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pivotTables/pivotTable2.xml" ContentType="application/vnd.openxmlformats-officedocument.spreadsheetml.pivotTable+xml"/>
  <Override PartName="/xl/tables/table8.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hidePivotFieldList="1"/>
  <mc:AlternateContent xmlns:mc="http://schemas.openxmlformats.org/markup-compatibility/2006">
    <mc:Choice Requires="x15">
      <x15ac:absPath xmlns:x15ac="http://schemas.microsoft.com/office/spreadsheetml/2010/11/ac" url="C:\Users\FONDOS EXTERNOS\Desktop\PRESUPUESTO 05022021 VIH 9PM\"/>
    </mc:Choice>
  </mc:AlternateContent>
  <xr:revisionPtr revIDLastSave="0" documentId="8_{EA52B986-6908-4BD6-AAC7-777725A0088E}" xr6:coauthVersionLast="46" xr6:coauthVersionMax="46" xr10:uidLastSave="{00000000-0000-0000-0000-000000000000}"/>
  <workbookProtection workbookAlgorithmName="SHA-512" workbookHashValue="zSNPlYMyvVDem7axd5XcSeRURDMWTJV1DFiX10GFK2U/W9RSphUsjZGnMbdE55HcWgzES3XYqgI65wyh5ubwpw==" workbookSaltValue="FJsIiwDL10I43h0TmTh3TA==" workbookSpinCount="100000" lockStructure="1"/>
  <bookViews>
    <workbookView xWindow="-110" yWindow="-110" windowWidth="19420" windowHeight="10420" tabRatio="886" firstSheet="6" activeTab="6" xr2:uid="{00000000-000D-0000-FFFF-FFFF00000000}"/>
  </bookViews>
  <sheets>
    <sheet name="DOCUMENTS_ESP" sheetId="89" r:id="rId1"/>
    <sheet name="DOCUMENTS_FRA" sheetId="88" r:id="rId2"/>
    <sheet name="DOCUMENTS_ENG" sheetId="6" r:id="rId3"/>
    <sheet name="SETUP" sheetId="1" r:id="rId4"/>
    <sheet name="SEARCH" sheetId="91" r:id="rId5"/>
    <sheet name="HIV-Key Info" sheetId="9" r:id="rId6"/>
    <sheet name="HIV-Pharmaceuticals" sheetId="15" r:id="rId7"/>
    <sheet name="HIV-Equipment" sheetId="21" r:id="rId8"/>
    <sheet name="HIV-Other HPs" sheetId="17" r:id="rId9"/>
    <sheet name="TB-Key Info" sheetId="11" state="hidden" r:id="rId10"/>
    <sheet name="TB-Pharmaceuticals" sheetId="22" state="hidden" r:id="rId11"/>
    <sheet name="TB-EQUIPMENT &amp; OTHER HPs" sheetId="23" state="hidden" r:id="rId12"/>
    <sheet name="Malaria-Key Info" sheetId="14" state="hidden" r:id="rId13"/>
    <sheet name="Malaria-Pharmaceuticals" sheetId="24" state="hidden" r:id="rId14"/>
    <sheet name="Malaria-Equipment &amp; Other HPs" sheetId="34" state="hidden" r:id="rId15"/>
    <sheet name="COVID" sheetId="85" r:id="rId16"/>
    <sheet name="HPM costs" sheetId="35" r:id="rId17"/>
    <sheet name="RSSH- HPM &amp;Lab System" sheetId="64" r:id="rId18"/>
    <sheet name="Detailed Budget" sheetId="58" r:id="rId19"/>
    <sheet name="PMsheet" sheetId="83" state="hidden" r:id="rId20"/>
    <sheet name="Language" sheetId="86" state="hidden" r:id="rId21"/>
    <sheet name="Grant" sheetId="90" state="hidden" r:id="rId22"/>
    <sheet name="Cost Input SB" sheetId="71" r:id="rId23"/>
    <sheet name="Mod Int SB" sheetId="68" r:id="rId24"/>
    <sheet name="Mod Int with HIV KP SB" sheetId="70" r:id="rId25"/>
    <sheet name="HIV Aggregation SB" sheetId="78" r:id="rId26"/>
    <sheet name="Population SB" sheetId="76" r:id="rId27"/>
    <sheet name="Blank Pivot" sheetId="80" r:id="rId28"/>
    <sheet name="HPM LIST" sheetId="36" state="hidden" r:id="rId29"/>
    <sheet name="LISTS" sheetId="2" state="hidden" r:id="rId30"/>
  </sheets>
  <externalReferences>
    <externalReference r:id="rId31"/>
    <externalReference r:id="rId32"/>
    <externalReference r:id="rId33"/>
    <externalReference r:id="rId34"/>
  </externalReferences>
  <definedNames>
    <definedName name="_xlnm._FilterDatabase" localSheetId="18" hidden="1">'Detailed Budget'!$A$1:$BT$562</definedName>
    <definedName name="_xlnm._FilterDatabase" localSheetId="21" hidden="1">Grant!$T$2:$Z$467</definedName>
    <definedName name="_xlnm._FilterDatabase" localSheetId="7" hidden="1">'HIV-Equipment'!$A$1:$I$1</definedName>
    <definedName name="_xlnm._FilterDatabase" localSheetId="8" hidden="1">'HIV-Other HPs'!$A$121:$L$223</definedName>
    <definedName name="_xlnm._FilterDatabase" localSheetId="6" hidden="1">'HIV-Pharmaceuticals'!$A$105:$AL$192</definedName>
    <definedName name="_xlnm._FilterDatabase" localSheetId="16" hidden="1">'HPM costs'!$A$15:$J$698</definedName>
    <definedName name="_xlnm._FilterDatabase" localSheetId="20" hidden="1">Language!$A$1:$G$969</definedName>
    <definedName name="_xlnm._FilterDatabase" localSheetId="14" hidden="1">'Malaria-Equipment &amp; Other HPs'!$A$1:$A$230</definedName>
    <definedName name="_xlnm._FilterDatabase" localSheetId="13" hidden="1">'Malaria-Pharmaceuticals'!$A$66:$AL$87</definedName>
    <definedName name="_xlnm._FilterDatabase" localSheetId="19" hidden="1">PMsheet!$W$2:$Z$1271</definedName>
    <definedName name="_xlnm._FilterDatabase" localSheetId="4" hidden="1">SEARCH!$A$1:$I$1259</definedName>
    <definedName name="_xlnm._FilterDatabase" localSheetId="11" hidden="1">'TB-EQUIPMENT &amp; OTHER HPs'!$A$8:$AL$61</definedName>
    <definedName name="_xlnm._FilterDatabase" localSheetId="10" hidden="1">'TB-Pharmaceuticals'!$A$12:$AK$33</definedName>
    <definedName name="Abbott">LISTS!$L$3:$L$5</definedName>
    <definedName name="AbbottEquip">LISTS!$L$3:$L$5</definedName>
    <definedName name="_xlnm.Print_Area" localSheetId="18">'Detailed Budget'!$A$1:$BN$549</definedName>
    <definedName name="_xlnm.Print_Area" localSheetId="3">SETUP!$A$1:$K$55</definedName>
    <definedName name="At_delivery" localSheetId="0">[1]SETUP!$S$9:$S$12</definedName>
    <definedName name="At_delivery" localSheetId="1">[1]SETUP!$S$9:$S$12</definedName>
    <definedName name="At_delivery">SETUP!$S$9:$S$12</definedName>
    <definedName name="bioMerieux">LISTS!$L$6:$L$8</definedName>
    <definedName name="Cepheid">LISTS!$L$9</definedName>
    <definedName name="CmpAcroSelected" localSheetId="22">INDIRECT(ADDRESS(CmpSelectedOnRow,2,1,TRUE,"CatCmp"))</definedName>
    <definedName name="CmpAcroSelected" localSheetId="0">INDIRECT(ADDRESS(CmpSelectedOnRow,2,1,TRUE,"CatCmp"))</definedName>
    <definedName name="CmpAcroSelected" localSheetId="1">INDIRECT(ADDRESS(CmpSelectedOnRow,2,1,TRUE,"CatCmp"))</definedName>
    <definedName name="CmpAcroSelected" localSheetId="24">INDIRECT(ADDRESS(CmpSelectedOnRow,2,1,TRUE,"CatCmp"))</definedName>
    <definedName name="CmpAcroSelected">INDIRECT(ADDRESS(CmpSelectedOnRow,2,1,TRUE,"CatCmp"))</definedName>
    <definedName name="CmpIdSelected" localSheetId="22">INDIRECT(ADDRESS(CmpSelectedOnRow,1,1,TRUE,"CatCmp"))</definedName>
    <definedName name="CmpIdSelected" localSheetId="0">INDIRECT(ADDRESS(CmpSelectedOnRow,1,1,TRUE,"CatCmp"))</definedName>
    <definedName name="CmpIdSelected" localSheetId="1">INDIRECT(ADDRESS(CmpSelectedOnRow,1,1,TRUE,"CatCmp"))</definedName>
    <definedName name="CmpIdSelected" localSheetId="24">INDIRECT(ADDRESS(CmpSelectedOnRow,1,1,TRUE,"CatCmp"))</definedName>
    <definedName name="CmpIdSelected">INDIRECT(ADDRESS(CmpSelectedOnRow,1,1,TRUE,"CatCmp"))</definedName>
    <definedName name="COMPONENT">LISTS!$D$3:$D$6</definedName>
    <definedName name="COUNTRY_" localSheetId="0">[2]PR_Countries!$I$2:$I$145</definedName>
    <definedName name="COUNTRY_" localSheetId="1">[3]PR_Countries!$I$2:$I$145</definedName>
    <definedName name="COUNTRYLIST">LISTS!$A$3:$A$166</definedName>
    <definedName name="COUTRYLIST">LISTS!$A$3:$A$166</definedName>
    <definedName name="COVS1C1">OFFSET(PMsheet!$O$1,MATCH(COVID!$A$7&amp;COVID!$A$8,PMsheet!$M:$M&amp;PMsheet!$N:$N,0)-1,0,COUNTIFS(PMsheet!$M:$M,COVID!A$7,PMsheet!$N:$N,COVID!$A$8),1)</definedName>
    <definedName name="COVS1C2">OFFSET(PMsheet!$U:$U,(MATCH(COVID!$A$7&amp;COVID!$A$8&amp;COVID!$A1,PMsheet!$R:$R&amp;PMsheet!$S:$S&amp;PMsheet!$T:$T,0)-1),0,COUNTIFS(PMsheet!$R:$R,COVID!$A$7,PMsheet!$S:$S,COVID!$A$8,PMsheet!$T:$T,COVID!$A1),)</definedName>
    <definedName name="COVS1C3">OFFSET(PMsheet!$G$1,MATCH(COVID!$A$7&amp;COVID!$A$8&amp;COVID!$A1&amp;COVID!$C1,PMsheet!$B:$B&amp;PMsheet!$C:$C&amp;PMsheet!$E:$E&amp;PMsheet!$F:$F,0)-1,0,COUNTIFS(PMsheet!$B:$B,COVID!$A$7,PMsheet!$C:$C,COVID!$A$8,PMsheet!$E:$E,COVID!$A1,PMsheet!$F:$F,COVID!$C1),)</definedName>
    <definedName name="CURRENCY">LISTS!$C$3:$C$4</definedName>
    <definedName name="DRW">LISTS!$L$10:$L$11</definedName>
    <definedName name="GRAN_NO" localSheetId="0">[1]SETUP!$G$13</definedName>
    <definedName name="GRAN_NO" localSheetId="1">[1]SETUP!$G$13</definedName>
    <definedName name="GRAN_NO">SETUP!$G$13</definedName>
    <definedName name="HIV1S1T1C1">OFFSET(PMsheet!$O$1,MATCH('HIV-Pharmaceuticals'!$A$7&amp;'HIV-Pharmaceuticals'!$A$8,PMsheet!$M:$M&amp;PMsheet!$N:$N,0)-1,0,COUNTIFS(PMsheet!$M:$M,'HIV-Pharmaceuticals'!$A$7,PMsheet!$N:$N,'HIV-Pharmaceuticals'!$A$8),1)</definedName>
    <definedName name="HIV1S1T1C2">OFFSET(PMsheet!$U:$U,MATCH('HIV-Pharmaceuticals'!$A$7&amp;'HIV-Pharmaceuticals'!$A$8&amp;'HIV-Pharmaceuticals'!$A1,PMsheet!$R:$R&amp;PMsheet!$S:$S&amp;PMsheet!$T:$T,0)-1,0,COUNTIFS(PMsheet!N:N,'HIV-Pharmaceuticals'!$A$7,PMsheet!$S:$S,'HIV-Pharmaceuticals'!$A$8,PMsheet!$T:$T,'HIV-Pharmaceuticals'!$A1),)</definedName>
    <definedName name="HIV1S1T1C3">OFFSET(PMsheet!$G$1,MATCH('HIV-Pharmaceuticals'!$A$7&amp;'HIV-Pharmaceuticals'!$A$8&amp;'HIV-Pharmaceuticals'!$A1&amp;'HIV-Pharmaceuticals'!$E1,PMsheet!$B:$B&amp;PMsheet!$C:$C&amp;PMsheet!$E:$E&amp;PMsheet!$F:$F,0)-1,0,COUNTIFS(PMsheet!$B:$B,'HIV-Pharmaceuticals'!$A$7,PMsheet!$C:$C,'HIV-Pharmaceuticals'!$A$8,PMsheet!$E:$E,'HIV-Pharmaceuticals'!$A1,PMsheet!$F:$F,'HIV-Pharmaceuticals'!$E1),)</definedName>
    <definedName name="HIV1S2T1C1">OFFSET(PMsheet!$O$1,MATCH('HIV-Pharmaceuticals'!$A$7&amp;'HIV-Pharmaceuticals'!$A$101,PMsheet!$M:$M&amp;PMsheet!$N:$N,0)-1,0,COUNTIFS(PMsheet!$M:$M,'HIV-Pharmaceuticals'!$A$7,PMsheet!$N:$N,'HIV-Pharmaceuticals'!$A$101),1)</definedName>
    <definedName name="HIV1S2T1C2">OFFSET(PMsheet!$U:$U,MATCH('HIV-Pharmaceuticals'!$A$7&amp;'HIV-Pharmaceuticals'!$A$101&amp;'HIV-Pharmaceuticals'!$A1,PMsheet!$R:$R&amp;PMsheet!$S:$S&amp;PMsheet!$T:$T,0)-1,0,COUNTIFS(PMsheet!N:N,'HIV-Pharmaceuticals'!$A$7,PMsheet!$S:$S,'HIV-Pharmaceuticals'!$A$101,PMsheet!$T:$T,'HIV-Pharmaceuticals'!$A1),)</definedName>
    <definedName name="HIV1S2T1C3">OFFSET(PMsheet!$G$1,MATCH('HIV-Pharmaceuticals'!$A$7&amp;'HIV-Pharmaceuticals'!$A$101&amp;'HIV-Pharmaceuticals'!$A1&amp;'HIV-Pharmaceuticals'!$E1,PMsheet!$B:$B&amp;PMsheet!$C:$C&amp;PMsheet!$E:$E&amp;PMsheet!$F:$F,0)-1,,COUNTIFS(PMsheet!$B:$B,'HIV-Pharmaceuticals'!$A$7,PMsheet!$C:$C,'HIV-Pharmaceuticals'!$A$101,PMsheet!$E:$E,'HIV-Pharmaceuticals'!$A1,PMsheet!$F:$F,'HIV-Pharmaceuticals'!$E1))</definedName>
    <definedName name="HIV2S1T1C1">OFFSET(PMsheet!$O:$O,MATCH('HIV-Equipment'!$A$7&amp;'HIV-Equipment'!$A$8,PMsheet!$M$1:$M$100&amp;PMsheet!$N$1:$N$100,0)-1,0,COUNTIFS(PMsheet!$M$1:$M$100,'HIV-Equipment'!$A$7,PMsheet!$N$1:$N$100,'HIV-Equipment'!$A$8),)</definedName>
    <definedName name="HIV2S1T1C2">OFFSET(PMsheet!$U:$U,MATCH('HIV-Equipment'!$A$7&amp;'HIV-Equipment'!$A$8&amp;'HIV-Equipment'!$A1,PMsheet!$R:$R&amp;PMsheet!$S:$S&amp;PMsheet!$T:$T,0)-1,0,COUNTIFS(PMsheet!P:P,'HIV-Equipment'!$A$7,PMsheet!$S:$S,'HIV-Equipment'!$A$8,PMsheet!$T:$T,'HIV-Equipment'!$A1),)</definedName>
    <definedName name="HIV2S1T1C3">OFFSET(PMsheet!$G$1,MATCH('HIV-Equipment'!$A$7&amp;'HIV-Equipment'!$A$8&amp;'HIV-Equipment'!$A1&amp;'HIV-Equipment'!$C1,PMsheet!$B:$B&amp;PMsheet!$C:$C&amp;PMsheet!$E:$E&amp;PMsheet!$F:$F,0)-1,0,COUNTIFS(PMsheet!$B:$B,'HIV-Equipment'!$A$7,PMsheet!$C:$C,'HIV-Equipment'!$A$8,PMsheet!$E:$E,'HIV-Equipment'!$A1,PMsheet!$F:$F,'HIV-Equipment'!$C1))</definedName>
    <definedName name="HIV3S1T1C1">OFFSET(PMsheet!$O$1,MATCH('HIV-Other HPs'!$A$7&amp;'HIV-Other HPs'!$A$8,PMsheet!$M:$M&amp;PMsheet!$N:$N,0)-1,0,COUNTIFS(PMsheet!$M:$M,'HIV-Other HPs'!A$7,PMsheet!$N:$N,'HIV-Other HPs'!$A$8),1)</definedName>
    <definedName name="HIV3S1T1C2">OFFSET(PMsheet!$U:$U,(MATCH('HIV-Other HPs'!$A$7&amp;'HIV-Other HPs'!$A$8&amp;'HIV-Other HPs'!$A1,PMsheet!$R:$R&amp;PMsheet!$S:$S&amp;PMsheet!$T:$T,0)-1),0,COUNTIFS(PMsheet!$R:$R,'HIV-Other HPs'!$A$7,PMsheet!$S:$S,'HIV-Other HPs'!$A$8,PMsheet!$T:$T,'HIV-Other HPs'!$A1),)</definedName>
    <definedName name="HIV3S1T1C3">OFFSET(PMsheet!$G$1,MATCH('HIV-Other HPs'!$A$7&amp;'HIV-Other HPs'!$A$8&amp;'HIV-Other HPs'!$A1&amp;'HIV-Other HPs'!$E1,PMsheet!$B:$B&amp;PMsheet!$C:$C&amp;PMsheet!$E:$E&amp;PMsheet!$F:$F,0)-1,0,COUNTIFS(PMsheet!$B:$B,'HIV-Other HPs'!$A$7,PMsheet!$C:$C,'HIV-Other HPs'!$A$8,PMsheet!$E:$E,'HIV-Other HPs'!$A1,PMsheet!$F:$F,'HIV-Other HPs'!$E1),)</definedName>
    <definedName name="HIV3S2T1C1">OFFSET(PMsheet!$O$1,MATCH('HIV-Other HPs'!$A$7&amp;'HIV-Other HPs'!$A$43,PMsheet!$M:$M&amp;PMsheet!$N:$N,0)-1,0,COUNTIFS(PMsheet!$M:$M,'HIV-Other HPs'!$A$7,PMsheet!$N:$N,'HIV-Other HPs'!$A$43),1)</definedName>
    <definedName name="HIV3S2T1C2">OFFSET(PMsheet!$U:$U,(MATCH('HIV-Other HPs'!$A$7&amp;'HIV-Other HPs'!$A$43&amp;'HIV-Other HPs'!$A1,PMsheet!$R:$R&amp;PMsheet!$S:$S&amp;PMsheet!$T:$T,0)-1),0,COUNTIFS(PMsheet!$R:$R,'HIV-Other HPs'!$A$7,PMsheet!$S:$S,'HIV-Other HPs'!$A$43,PMsheet!$T:$T,'HIV-Other HPs'!$A1),)</definedName>
    <definedName name="HIV3S2T1C3">OFFSET(PMsheet!$G$1,MATCH('HIV-Other HPs'!$A$7&amp;'HIV-Other HPs'!$A$43&amp;'HIV-Other HPs'!$A1&amp;'HIV-Other HPs'!$E1,PMsheet!$B:$B&amp;PMsheet!$C:$C&amp;PMsheet!$E:$E&amp;PMsheet!$F:$F,0)-1,0,COUNTIFS(PMsheet!$B:$B,'HIV-Other HPs'!$A$7,PMsheet!$C:$C,'HIV-Other HPs'!$A$43,PMsheet!$E:$E,'HIV-Other HPs'!$A1,PMsheet!$F:$F,'HIV-Other HPs'!$E1),)</definedName>
    <definedName name="HIV3S3T1C1">OFFSET(PMsheet!$O$1,MATCH('HIV-Other HPs'!$A$7&amp;'HIV-Other HPs'!$A$77,PMsheet!$M:$M&amp;PMsheet!$N:$N,0)-1,0,COUNTIFS(PMsheet!$M:$M,'HIV-Other HPs'!$A$7,PMsheet!$N:$N,'HIV-Other HPs'!$A$77),1)</definedName>
    <definedName name="HIV3S3T1C2">OFFSET(PMsheet!$U:$U,(MATCH('HIV-Other HPs'!$A$7&amp;'HIV-Other HPs'!$A$77&amp;'HIV-Other HPs'!$A1,PMsheet!$R:$R&amp;PMsheet!$S:$S&amp;PMsheet!$T:$T,0)-1),0,COUNTIFS(PMsheet!$R:$R,'HIV-Other HPs'!$A$7,PMsheet!$S:$S,'HIV-Other HPs'!$A$77,PMsheet!$T:$T,'HIV-Other HPs'!$A1),)</definedName>
    <definedName name="HIV3S3T1C3">OFFSET(PMsheet!$G$1,MATCH('HIV-Other HPs'!$A$7&amp;'HIV-Other HPs'!$A$77&amp;'HIV-Other HPs'!$A1&amp;'HIV-Other HPs'!$D1,PMsheet!$B:$B&amp;PMsheet!$C:$C&amp;PMsheet!$E:$E&amp;PMsheet!$F:$F,0)-1,0,COUNTIFS(PMsheet!$B:$B,'HIV-Other HPs'!$A$7,PMsheet!$C:$C,'HIV-Other HPs'!$A$77,PMsheet!$E:$E,'HIV-Other HPs'!$A1,PMsheet!$F:$F,'HIV-Other HPs'!$D1),)</definedName>
    <definedName name="HIV3S4T1C1">OFFSET(PMsheet!$O$1,MATCH('HIV-Other HPs'!$A$7&amp;'HIV-Other HPs'!$A$117,PMsheet!$M:$M&amp;PMsheet!$N:$N,0)-1,0,COUNTIFS(PMsheet!$M:$M,'HIV-Other HPs'!$A$7,PMsheet!$N:$N,'HIV-Other HPs'!$A$117),1)</definedName>
    <definedName name="HIV3S4T1C2">OFFSET(PMsheet!$U:$U,(MATCH('HIV-Other HPs'!$A$7&amp;'HIV-Other HPs'!$A$117&amp;'HIV-Other HPs'!$A1,PMsheet!$R:$R&amp;PMsheet!$S:$S&amp;PMsheet!$T:$T,0)-1),0,COUNTIFS(PMsheet!$R:$R,'HIV-Other HPs'!$A$7,PMsheet!$S:$S,'HIV-Other HPs'!$A$117,PMsheet!$T:$T,'HIV-Other HPs'!$A1),)</definedName>
    <definedName name="HIV3S4T1C3">OFFSET(PMsheet!$G$1,MATCH('HIV-Other HPs'!$A$7&amp;'HIV-Other HPs'!$A$117&amp;'HIV-Other HPs'!$A1&amp;'HIV-Other HPs'!$D1,PMsheet!$B:$B&amp;PMsheet!$C:$C&amp;PMsheet!$E:$E&amp;PMsheet!$F:$F,0)-1,0,COUNTIFS(PMsheet!$B:$B,'HIV-Other HPs'!$A$7,PMsheet!$C:$C,'HIV-Other HPs'!$A$117,PMsheet!$E:$E,'HIV-Other HPs'!$A1,PMsheet!$F:$F,'HIV-Other HPs'!$D1),)</definedName>
    <definedName name="Hologic">LISTS!$L$12</definedName>
    <definedName name="HPMInvestAutho">'HPM LIST'!$F$2:$F$8</definedName>
    <definedName name="HPMTypeOfInvest">'HPM LIST'!$D$2:$D$11</definedName>
    <definedName name="HPMTypeOfLab">'HPM LIST'!$E$2:$E$10</definedName>
    <definedName name="HPMTypeOfProd">'HPM LIST'!$C$2:$C$8</definedName>
    <definedName name="IMP_ST_DATE" localSheetId="0">[1]SETUP!$G$14</definedName>
    <definedName name="IMP_ST_DATE" localSheetId="1">[1]SETUP!$G$14</definedName>
    <definedName name="IMP_ST_DATE">SETUP!$G$14</definedName>
    <definedName name="KEY" localSheetId="0">[1]SETUP!$G$12</definedName>
    <definedName name="KEY" localSheetId="1">[1]SETUP!$G$12</definedName>
    <definedName name="KEY">SETUP!$G$12</definedName>
    <definedName name="KEY_1" localSheetId="0">[1]SETUP!$F$12</definedName>
    <definedName name="KEY_1" localSheetId="1">[1]SETUP!$F$12</definedName>
    <definedName name="KEY_1">SETUP!$F$12</definedName>
    <definedName name="LANGUAGELIST">LISTS!$B$3:$B$6</definedName>
    <definedName name="Lumpsumpharma">LISTS!$P$3:$P$4</definedName>
    <definedName name="ML1S1T1C1">OFFSET(PMsheet!$O$1,MATCH('Malaria-Pharmaceuticals'!$A$7&amp;'Malaria-Pharmaceuticals'!$A$8,PMsheet!$M:$M&amp;PMsheet!$N:$N,0)-1,0,COUNTIFS(PMsheet!$M:$M,'Malaria-Pharmaceuticals'!A$7,PMsheet!$N:$N,'Malaria-Pharmaceuticals'!$A$8),1)</definedName>
    <definedName name="ML1S1T1C2">OFFSET(PMsheet!$U:$U,(MATCH('Malaria-Pharmaceuticals'!$A$7&amp;'Malaria-Pharmaceuticals'!$A$8&amp;'Malaria-Pharmaceuticals'!$A1,PMsheet!$R:$R&amp;PMsheet!$S:$S&amp;PMsheet!$T:$T,0)-1),0,COUNTIFS(PMsheet!$R:$R,'Malaria-Pharmaceuticals'!$A$7,PMsheet!$S:$S,'Malaria-Pharmaceuticals'!$A$8,PMsheet!$T:$T,'Malaria-Pharmaceuticals'!$A1),)</definedName>
    <definedName name="ML1S1T1C3">OFFSET(PMsheet!$G$1,MATCH('Malaria-Pharmaceuticals'!$A$7&amp;'Malaria-Pharmaceuticals'!$A$8&amp;'Malaria-Pharmaceuticals'!$A1&amp;'Malaria-Pharmaceuticals'!$E1,PMsheet!$B:$B&amp;PMsheet!$C:$C&amp;PMsheet!$E:$E&amp;PMsheet!$F:$F,0)-1,0,COUNTIFS(PMsheet!$B:$B,'Malaria-Pharmaceuticals'!$A$7,PMsheet!$C:$C,'Malaria-Pharmaceuticals'!$A$8,PMsheet!$E:$E,'Malaria-Pharmaceuticals'!$A1,PMsheet!$F:$F,'Malaria-Pharmaceuticals'!$E1),)</definedName>
    <definedName name="ML1S2T1C1">OFFSET(PMsheet!$O$1,MATCH('Malaria-Pharmaceuticals'!$A$7&amp;'Malaria-Pharmaceuticals'!$A$62,PMsheet!$M:$M&amp;PMsheet!$N:$N,0)-1,0,COUNTIFS(PMsheet!$M:$M,'Malaria-Pharmaceuticals'!A$7,PMsheet!$N:$N,'Malaria-Pharmaceuticals'!$A$62),1)</definedName>
    <definedName name="ML1S2T1C2">OFFSET(PMsheet!$U:$U,(MATCH('Malaria-Pharmaceuticals'!$A$7&amp;'Malaria-Pharmaceuticals'!$A$62&amp;'Malaria-Pharmaceuticals'!$A1,PMsheet!$R:$R&amp;PMsheet!$S:$S&amp;PMsheet!$T:$T,0)-1),0,COUNTIFS(PMsheet!$R:$R,'Malaria-Pharmaceuticals'!$A$7,PMsheet!$S:$S,'Malaria-Pharmaceuticals'!$A$62,PMsheet!$T:$T,'Malaria-Pharmaceuticals'!$A1),)</definedName>
    <definedName name="ML1S2T1C3">OFFSET(PMsheet!$G$1,MATCH('Malaria-Pharmaceuticals'!$A$7&amp;'Malaria-Pharmaceuticals'!$A$62&amp;'Malaria-Pharmaceuticals'!$A1&amp;'Malaria-Pharmaceuticals'!$E1,PMsheet!$B:$B&amp;PMsheet!$C:$C&amp;PMsheet!$E:$E&amp;PMsheet!$F:$F,0)-1,0,COUNTIFS(PMsheet!$B:$B,'Malaria-Pharmaceuticals'!$A$7,PMsheet!$C:$C,'Malaria-Pharmaceuticals'!$A$62,PMsheet!$E:$E,'Malaria-Pharmaceuticals'!$A1,PMsheet!$F:$F,'Malaria-Pharmaceuticals'!$E1),)</definedName>
    <definedName name="ML2S1T1C1">OFFSET(PMsheet!$O$1,MATCH('Malaria-Equipment &amp; Other HPs'!$A$7&amp;'Malaria-Equipment &amp; Other HPs'!$A$8,PMsheet!$M:$M&amp;PMsheet!$N:$N,0)-1,0,COUNTIFS(PMsheet!$M:$M,'Malaria-Equipment &amp; Other HPs'!A$7,PMsheet!$N:$N,'Malaria-Equipment &amp; Other HPs'!$A$8),1)</definedName>
    <definedName name="ML2S1T1C2">OFFSET(PMsheet!$U:$U,(MATCH('Malaria-Equipment &amp; Other HPs'!$A$7&amp;'Malaria-Equipment &amp; Other HPs'!$A$8&amp;'Malaria-Equipment &amp; Other HPs'!$A1,PMsheet!$R:$R&amp;PMsheet!$S:$S&amp;PMsheet!$T:$T,0)-1),0,COUNTIFS(PMsheet!$R:$R,'Malaria-Equipment &amp; Other HPs'!$A$7,PMsheet!$S:$S,'Malaria-Equipment &amp; Other HPs'!$A$8,PMsheet!$T:$T,'Malaria-Equipment &amp; Other HPs'!$A1),)</definedName>
    <definedName name="ML2S1T1C3">OFFSET(PMsheet!$G$1,MATCH('Malaria-Equipment &amp; Other HPs'!$A$7&amp;'Malaria-Equipment &amp; Other HPs'!$A$8&amp;'Malaria-Equipment &amp; Other HPs'!$A1&amp;'Malaria-Equipment &amp; Other HPs'!$E1,PMsheet!$B:$B&amp;PMsheet!$C:$C&amp;PMsheet!$E:$E&amp;PMsheet!$F:$F,0)-1,0,COUNTIFS(PMsheet!$B:$B,'Malaria-Equipment &amp; Other HPs'!$A$7,PMsheet!$C:$C,'Malaria-Equipment &amp; Other HPs'!$A$8,PMsheet!$E:$E,'Malaria-Equipment &amp; Other HPs'!$A1,PMsheet!$F:$F,'Malaria-Equipment &amp; Other HPs'!$E1),)</definedName>
    <definedName name="ML2S2T1C1">OFFSET(PMsheet!$O$1,MATCH('Malaria-Equipment &amp; Other HPs'!$A$7&amp;'Malaria-Equipment &amp; Other HPs'!$A$36,PMsheet!$M:$M&amp;PMsheet!$N:$N,0)-1,0,COUNTIFS(PMsheet!$M:$M,'Malaria-Equipment &amp; Other HPs'!A$7,PMsheet!$N:$N,'Malaria-Equipment &amp; Other HPs'!$A$36),1)</definedName>
    <definedName name="ML2S2T1C2">OFFSET(PMsheet!$U:$U,(MATCH('Malaria-Equipment &amp; Other HPs'!$A$7&amp;'Malaria-Equipment &amp; Other HPs'!$A$36&amp;'Malaria-Equipment &amp; Other HPs'!$A1,PMsheet!$R:$R&amp;PMsheet!$S:$S&amp;PMsheet!$T:$T,0)-1),0,COUNTIFS(PMsheet!$R:$R,'Malaria-Equipment &amp; Other HPs'!$A$7,PMsheet!$S:$S,'Malaria-Equipment &amp; Other HPs'!$A$36,PMsheet!$T:$T,'Malaria-Equipment &amp; Other HPs'!$A1),)</definedName>
    <definedName name="ML2S2T1C3">OFFSET(PMsheet!$G$1,MATCH('Malaria-Equipment &amp; Other HPs'!$A$7&amp;'Malaria-Equipment &amp; Other HPs'!$A$36&amp;'Malaria-Equipment &amp; Other HPs'!$A1&amp;'Malaria-Equipment &amp; Other HPs'!$E1,PMsheet!$B:$B&amp;PMsheet!$C:$C&amp;PMsheet!$E:$E&amp;PMsheet!$F:$F,0)-1,0,COUNTIFS(PMsheet!$B:$B,'Malaria-Equipment &amp; Other HPs'!$A$7,PMsheet!$C:$C,'Malaria-Equipment &amp; Other HPs'!$A$36,PMsheet!$E:$E,'Malaria-Equipment &amp; Other HPs'!$A1,PMsheet!$F:$F,'Malaria-Equipment &amp; Other HPs'!$E1),)</definedName>
    <definedName name="ML2S3T1C1">OFFSET(PMsheet!$O$1,MATCH('Malaria-Equipment &amp; Other HPs'!$A$7&amp;'Malaria-Equipment &amp; Other HPs'!$A$58,PMsheet!$M:$M&amp;PMsheet!$N:$N,0)-1,0,COUNTIFS(PMsheet!$M:$M,'Malaria-Equipment &amp; Other HPs'!A$7,PMsheet!$N:$N,'Malaria-Equipment &amp; Other HPs'!$A$58),1)</definedName>
    <definedName name="ML2S3T1C2">OFFSET(PMsheet!$U:$U,(MATCH('Malaria-Equipment &amp; Other HPs'!$A$7&amp;'Malaria-Equipment &amp; Other HPs'!$A$58&amp;'Malaria-Equipment &amp; Other HPs'!$A1,PMsheet!$R:$R&amp;PMsheet!$S:$S&amp;PMsheet!$T:$T,0)-1),0,COUNTIFS(PMsheet!$R:$R,'Malaria-Equipment &amp; Other HPs'!$A$7,PMsheet!$S:$S,'Malaria-Equipment &amp; Other HPs'!$A$58,PMsheet!$T:$T,'Malaria-Equipment &amp; Other HPs'!$A1),)</definedName>
    <definedName name="ML2S3T1C3">OFFSET(PMsheet!$G$1,MATCH('Malaria-Equipment &amp; Other HPs'!$A$7&amp;'Malaria-Equipment &amp; Other HPs'!$A$58&amp;'Malaria-Equipment &amp; Other HPs'!$A1&amp;'Malaria-Equipment &amp; Other HPs'!$E1,PMsheet!$B:$B&amp;PMsheet!$C:$C&amp;PMsheet!$E:$E&amp;PMsheet!$F:$F,0)-1,0,COUNTIFS(PMsheet!$B:$B,'Malaria-Equipment &amp; Other HPs'!$A$7,PMsheet!$C:$C,'Malaria-Equipment &amp; Other HPs'!$A$58,PMsheet!$E:$E,'Malaria-Equipment &amp; Other HPs'!$A1,PMsheet!$F:$F,'Malaria-Equipment &amp; Other HPs'!$E1),)</definedName>
    <definedName name="ML2S4T1C1">OFFSET(PMsheet!$O$1,MATCH('Malaria-Equipment &amp; Other HPs'!$A$7&amp;'Malaria-Equipment &amp; Other HPs'!$A$124,PMsheet!$M:$M&amp;PMsheet!$N:$N,0)-1,0,COUNTIFS(PMsheet!$M:$M,'Malaria-Equipment &amp; Other HPs'!A$7,PMsheet!$N:$N,'Malaria-Equipment &amp; Other HPs'!$A$124),1)</definedName>
    <definedName name="ML2S4T1C2">OFFSET(PMsheet!$U:$U,(MATCH('Malaria-Equipment &amp; Other HPs'!$A$7&amp;'Malaria-Equipment &amp; Other HPs'!$A$124&amp;'Malaria-Equipment &amp; Other HPs'!$A1,PMsheet!$R:$R&amp;PMsheet!$S:$S&amp;PMsheet!$T:$T,0)-1),0,COUNTIFS(PMsheet!$R:$R,'Malaria-Equipment &amp; Other HPs'!$A$7,PMsheet!$S:$S,'Malaria-Equipment &amp; Other HPs'!$A$124,PMsheet!$T:$T,'Malaria-Equipment &amp; Other HPs'!$A1),)</definedName>
    <definedName name="ML2S4T1C3">OFFSET(PMsheet!$G$1,MATCH('Malaria-Equipment &amp; Other HPs'!$A$7&amp;'Malaria-Equipment &amp; Other HPs'!$A$124&amp;'Malaria-Equipment &amp; Other HPs'!$A1&amp;'Malaria-Equipment &amp; Other HPs'!$E1,PMsheet!$B:$B&amp;PMsheet!$C:$C&amp;PMsheet!$E:$E&amp;PMsheet!$F:$F,0)-1,0,COUNTIFS(PMsheet!$B:$B,'Malaria-Equipment &amp; Other HPs'!$A$7,PMsheet!$C:$C,'Malaria-Equipment &amp; Other HPs'!$A$124,PMsheet!$E:$E,'Malaria-Equipment &amp; Other HPs'!$A1,PMsheet!$F:$F,'Malaria-Equipment &amp; Other HPs'!$E1),)</definedName>
    <definedName name="MO_CHECK" localSheetId="0">[1]SETUP!$H$14</definedName>
    <definedName name="MO_CHECK" localSheetId="1">[1]SETUP!$H$14</definedName>
    <definedName name="MO_CHECK">SETUP!$H$14</definedName>
    <definedName name="NbMachin" localSheetId="0">[2]LISTS!$E$3:$E$114</definedName>
    <definedName name="NbMachin" localSheetId="1">[3]LISTS!$E$3:$E$114</definedName>
    <definedName name="NbMachin">LISTS!$E$3:$E$114</definedName>
    <definedName name="Other" localSheetId="0">[2]LISTS!$K$3,[2]LISTS!$K$6,[2]LISTS!$K$9,[2]LISTS!$K$10,[2]LISTS!$K$12,[2]LISTS!$K$13,[2]LISTS!$K$14,[2]LISTS!$K$20</definedName>
    <definedName name="Other" localSheetId="1">[3]LISTS!$K$3,[3]LISTS!$K$6,[3]LISTS!$K$9,[3]LISTS!$K$10,[3]LISTS!$K$12,[3]LISTS!$K$13,[3]LISTS!$K$14,[3]LISTS!$K$20</definedName>
    <definedName name="Other">LISTS!$K$3,LISTS!$K$6,LISTS!$K$9,LISTS!$K$10,LISTS!$K$12,LISTS!$K$13,LISTS!$K$14,LISTS!$K$20</definedName>
    <definedName name="PROCUREMENTENTITY" localSheetId="15">[4]LISTS!$F$3:$F$6</definedName>
    <definedName name="PROCUREMENTENTITY" localSheetId="0">[2]LISTS!$F$3:$F$6</definedName>
    <definedName name="PROCUREMENTENTITY" localSheetId="1">[3]LISTS!$F$3:$F$6</definedName>
    <definedName name="PROCUREMENTENTITY">LISTS!$F$3:$F$6</definedName>
    <definedName name="Qiagen">LISTS!$L$13</definedName>
    <definedName name="Rapid_Diagnostic_Test_Malaria" localSheetId="0">'[2]Malaria-Other HPs'!$H$2:$H$9</definedName>
    <definedName name="Rapid_Diagnostic_Test_Malaria">'[3]Malaria-Other HPs'!$H$2:$H$9</definedName>
    <definedName name="Roche">LISTS!$L$14:$L$19</definedName>
    <definedName name="RSHHHPMSystems" localSheetId="0">'[2]HPM LIST'!$A$2:$A$6</definedName>
    <definedName name="RSHHHPMSystems" localSheetId="1">'[3]HPM LIST'!$A$2:$A$6</definedName>
    <definedName name="RSHHHPMSystems">'HPM LIST'!$A$2:$A$6</definedName>
    <definedName name="SampleTypeVLEID" localSheetId="0">[2]LISTS!$M$3:$M$5</definedName>
    <definedName name="SampleTypeVLEID" localSheetId="1">[3]LISTS!$M$3:$M$5</definedName>
    <definedName name="SampleTypeVLEID">LISTS!$M$3:$M$5</definedName>
    <definedName name="Setup_Grant">OFFSET(Grant!$W:$W,MATCH(SETUP!$E$3&amp;SETUP!$E$6&amp;SETUP!$E$7,Grant!$T:$T&amp;Grant!$U:$U&amp;Grant!$V:$V,0)-1,0,COUNTIFS(Grant!$T:$T,SETUP!$E$3,Grant!$U:$U,SETUP!$E$6,Grant!$V:$V,SETUP!$E$7),)</definedName>
    <definedName name="Setup_PR">OFFSET(Grant!$V:$V,MATCH(SETUP!$E$3&amp;SETUP!$E$6,Grant!$T:$T&amp;Grant!$U:$U,0)-1,0,COUNTIFS(Grant!$T:$T,SETUP!$E$3,Grant!$U:$U,SETUP!$E$6),)</definedName>
    <definedName name="TB1S1T1C1">OFFSET(PMsheet!$O$1,MATCH('TB-Pharmaceuticals'!$A$7&amp;'TB-Pharmaceuticals'!$A$8,PMsheet!$M:$M&amp;PMsheet!$N:$N,0)-1,0,COUNTIFS(PMsheet!$M:$M,'TB-Pharmaceuticals'!A$7,PMsheet!$N:$N,'TB-Pharmaceuticals'!$A$8),1)</definedName>
    <definedName name="TB1S1T1C2">OFFSET(PMsheet!$U:$U,(MATCH('TB-Pharmaceuticals'!$A$7&amp;'TB-Pharmaceuticals'!$A$8&amp;'TB-Pharmaceuticals'!$A1,PMsheet!$R:$R&amp;PMsheet!$S:$S&amp;PMsheet!$T:$T,0)-1),0,COUNTIFS(PMsheet!$R:$R,'TB-Pharmaceuticals'!$A$7,PMsheet!$S:$S,'TB-Pharmaceuticals'!$A$8,PMsheet!$T:$T,'TB-Pharmaceuticals'!$A1),)</definedName>
    <definedName name="TB1S1T1C3">OFFSET(PMsheet!$G$1,MATCH('TB-Pharmaceuticals'!$A$7&amp;'TB-Pharmaceuticals'!$A$8&amp;'TB-Pharmaceuticals'!$A1&amp;'TB-Pharmaceuticals'!$D1,PMsheet!$B:$B&amp;PMsheet!$C:$C&amp;PMsheet!$E:$E&amp;PMsheet!$F:$F,0)-1,0,COUNTIFS(PMsheet!$B:$B,'TB-Pharmaceuticals'!$A$7,PMsheet!$C:$C,'TB-Pharmaceuticals'!$A$8,PMsheet!$E:$E,'TB-Pharmaceuticals'!$A1,PMsheet!$F:$F,'TB-Pharmaceuticals'!$D1),)</definedName>
    <definedName name="TB1S2T1C1">OFFSET(PMsheet!$O$1,MATCH('TB-Pharmaceuticals'!$A$7&amp;'TB-Pharmaceuticals'!$A$35,PMsheet!$M:$M&amp;PMsheet!$N:$N,0)-1,0,COUNTIFS(PMsheet!$M:$M,'TB-Pharmaceuticals'!A$7,PMsheet!$N:$N,'TB-Pharmaceuticals'!$A$35),1)</definedName>
    <definedName name="TB1S2T1C2">OFFSET(PMsheet!$U:$U,(MATCH('TB-Pharmaceuticals'!$A$7&amp;'TB-Pharmaceuticals'!$A$35&amp;'TB-Pharmaceuticals'!$A1,PMsheet!$R:$R&amp;PMsheet!$S:$S&amp;PMsheet!$T:$T,0)-1),0,COUNTIFS(PMsheet!$R:$R,'TB-Pharmaceuticals'!$A$7,PMsheet!$S:$S,'TB-Pharmaceuticals'!$A$35,PMsheet!$T:$T,'TB-Pharmaceuticals'!$A1),)</definedName>
    <definedName name="TB1S2T1C3">OFFSET(PMsheet!$G$1,MATCH('TB-Pharmaceuticals'!$A$7&amp;'TB-Pharmaceuticals'!$A$35&amp;'TB-Pharmaceuticals'!$A1&amp;'TB-Pharmaceuticals'!$D1,PMsheet!$B:$B&amp;PMsheet!$C:$C&amp;PMsheet!$E:$E&amp;PMsheet!$F:$F,0)-1,0,COUNTIFS(PMsheet!$B:$B,'TB-Pharmaceuticals'!$A$7,PMsheet!$C:$C,'TB-Pharmaceuticals'!$A$35,PMsheet!$E:$E,'TB-Pharmaceuticals'!$A1,PMsheet!$F:$F,'TB-Pharmaceuticals'!$D1),)</definedName>
    <definedName name="TB1S3T1C1">OFFSET(PMsheet!$O$1,MATCH('TB-Pharmaceuticals'!$A$7&amp;'TB-Pharmaceuticals'!$A$84,PMsheet!$M:$M&amp;PMsheet!$N:$N,0)-1,0,COUNTIFS(PMsheet!$M:$M,'TB-Pharmaceuticals'!A$7,PMsheet!$N:$N,'TB-Pharmaceuticals'!$A$84),1)</definedName>
    <definedName name="TB1S3T1C2">OFFSET(PMsheet!$U:$U,(MATCH('TB-Pharmaceuticals'!$A$7&amp;'TB-Pharmaceuticals'!$A$84&amp;'TB-Pharmaceuticals'!$A1,PMsheet!$R:$R&amp;PMsheet!$S:$S&amp;PMsheet!$T:$T,0)-1),0,COUNTIFS(PMsheet!$R:$R,'TB-Pharmaceuticals'!$A$7,PMsheet!$S:$S,'TB-Pharmaceuticals'!$A$84,PMsheet!$T:$T,'TB-Pharmaceuticals'!$A1),)</definedName>
    <definedName name="TB1S3T1C3">OFFSET(PMsheet!$G$1,MATCH('TB-Pharmaceuticals'!$A$7&amp;'TB-Pharmaceuticals'!$A$84&amp;'TB-Pharmaceuticals'!$A1&amp;'TB-Pharmaceuticals'!$D1,PMsheet!$B:$B&amp;PMsheet!$C:$C&amp;PMsheet!$E:$E&amp;PMsheet!$F:$F,0)-1,0,COUNTIFS(PMsheet!$B:$B,'TB-Pharmaceuticals'!$A$7,PMsheet!$C:$C,'TB-Pharmaceuticals'!$A$84,PMsheet!$E:$E,'TB-Pharmaceuticals'!$A1,PMsheet!$F:$F,'TB-Pharmaceuticals'!$D1),)</definedName>
    <definedName name="TB1S4T1C1">OFFSET(PMsheet!$O$1,MATCH('TB-Pharmaceuticals'!$A$7&amp;'TB-Pharmaceuticals'!$A$127,PMsheet!$M:$M&amp;PMsheet!$N:$N,0)-1,0,COUNTIFS(PMsheet!$M:$M,'TB-Pharmaceuticals'!A$7,PMsheet!$N:$N,'TB-Pharmaceuticals'!$A$127),1)</definedName>
    <definedName name="TB1S4T1C2">OFFSET(PMsheet!$U:$U,(MATCH('TB-Pharmaceuticals'!$A$7&amp;'TB-Pharmaceuticals'!$A$127&amp;'TB-Pharmaceuticals'!$A1,PMsheet!$R:$R&amp;PMsheet!$S:$S&amp;PMsheet!$T:$T,0)-1),0,COUNTIFS(PMsheet!$R:$R,'TB-Pharmaceuticals'!$A$7,PMsheet!$S:$S,'TB-Pharmaceuticals'!$A$127,PMsheet!$T:$T,'TB-Pharmaceuticals'!$A1),)</definedName>
    <definedName name="TB1S4T1C3">OFFSET(PMsheet!$G$1,MATCH('TB-Pharmaceuticals'!$A$7&amp;'TB-Pharmaceuticals'!$A$127&amp;'TB-Pharmaceuticals'!$A1&amp;'TB-Pharmaceuticals'!$D1,PMsheet!$B:$B&amp;PMsheet!$C:$C&amp;PMsheet!$E:$E&amp;PMsheet!$F:$F,0)-1,0,COUNTIFS(PMsheet!$B:$B,'TB-Pharmaceuticals'!$A$7,PMsheet!$C:$C,'TB-Pharmaceuticals'!$A$127,PMsheet!$E:$E,'TB-Pharmaceuticals'!$A1,PMsheet!$F:$F,'TB-Pharmaceuticals'!$D1),)</definedName>
    <definedName name="TB2S1T1C1">OFFSET(PMsheet!$O$1,MATCH('TB-EQUIPMENT &amp; OTHER HPs'!$A$7&amp;'TB-EQUIPMENT &amp; OTHER HPs'!$A$8,PMsheet!$M:$M&amp;PMsheet!$N:$N,0)-1,0,COUNTIFS(PMsheet!$M:$M,'TB-EQUIPMENT &amp; OTHER HPs'!A$7,PMsheet!$N:$N,'TB-EQUIPMENT &amp; OTHER HPs'!$A$8),1)</definedName>
    <definedName name="TB2S1T1C2">OFFSET(PMsheet!$U:$U,(MATCH('TB-EQUIPMENT &amp; OTHER HPs'!$A$7&amp;'TB-EQUIPMENT &amp; OTHER HPs'!$A$8&amp;'TB-EQUIPMENT &amp; OTHER HPs'!$A1,PMsheet!$R:$R&amp;PMsheet!$S:$S&amp;PMsheet!$T:$T,0)-1),0,COUNTIFS(PMsheet!$R:$R,'TB-EQUIPMENT &amp; OTHER HPs'!$A$7,PMsheet!$S:$S,'TB-EQUIPMENT &amp; OTHER HPs'!$A$8,PMsheet!$T:$T,'TB-EQUIPMENT &amp; OTHER HPs'!$A1),)</definedName>
    <definedName name="TB2S1T1C3">OFFSET(PMsheet!$G$1,MATCH('TB-EQUIPMENT &amp; OTHER HPs'!$A$7&amp;'TB-EQUIPMENT &amp; OTHER HPs'!$A$8&amp;'TB-EQUIPMENT &amp; OTHER HPs'!$A1&amp;'TB-EQUIPMENT &amp; OTHER HPs'!$E1,PMsheet!$B:$B&amp;PMsheet!$C:$C&amp;PMsheet!$E:$E&amp;PMsheet!$F:$F,0)-1,0,COUNTIFS(PMsheet!$B:$B,'TB-EQUIPMENT &amp; OTHER HPs'!$A$7,PMsheet!$C:$C,'TB-EQUIPMENT &amp; OTHER HPs'!$A$8,PMsheet!$E:$E,'TB-EQUIPMENT &amp; OTHER HPs'!$A1,PMsheet!$F:$F,'TB-EQUIPMENT &amp; OTHER HPs'!$E1),)</definedName>
    <definedName name="TB2S2T1C1">OFFSET(PMsheet!$O$1,MATCH('TB-EQUIPMENT &amp; OTHER HPs'!$A$7&amp;'TB-EQUIPMENT &amp; OTHER HPs'!$A$63,PMsheet!$M:$M&amp;PMsheet!$N:$N,0)-1,0,COUNTIFS(PMsheet!$M:$M,'TB-EQUIPMENT &amp; OTHER HPs'!A$7,PMsheet!$N:$N,'TB-EQUIPMENT &amp; OTHER HPs'!$A$63),1)</definedName>
    <definedName name="TB2S2T1C2">OFFSET(PMsheet!$U:$U,(MATCH('TB-EQUIPMENT &amp; OTHER HPs'!$A$7&amp;'TB-EQUIPMENT &amp; OTHER HPs'!$A$63&amp;'TB-EQUIPMENT &amp; OTHER HPs'!$A1,PMsheet!$R:$R&amp;PMsheet!$S:$S&amp;PMsheet!$T:$T,0)-1),0,COUNTIFS(PMsheet!$R:$R,'TB-EQUIPMENT &amp; OTHER HPs'!$A$7,PMsheet!$S:$S,'TB-EQUIPMENT &amp; OTHER HPs'!$A$63,PMsheet!$T:$T,'TB-EQUIPMENT &amp; OTHER HPs'!$A1),)</definedName>
    <definedName name="TB2S2T1C3">OFFSET(PMsheet!$G$1,MATCH('TB-EQUIPMENT &amp; OTHER HPs'!$A$7&amp;'TB-EQUIPMENT &amp; OTHER HPs'!$A$63&amp;'TB-EQUIPMENT &amp; OTHER HPs'!$A1&amp;'TB-EQUIPMENT &amp; OTHER HPs'!$E1,PMsheet!$B:$B&amp;PMsheet!$C:$C&amp;PMsheet!$E:$E&amp;PMsheet!$F:$F,0)-1,0,COUNTIFS(PMsheet!$B:$B,'TB-EQUIPMENT &amp; OTHER HPs'!$A$7,PMsheet!$C:$C,'TB-EQUIPMENT &amp; OTHER HPs'!$A$63,PMsheet!$E:$E,'TB-EQUIPMENT &amp; OTHER HPs'!$A1,PMsheet!$F:$F,'TB-EQUIPMENT &amp; OTHER HPs'!$E1),)</definedName>
    <definedName name="TB2S3T1C1">OFFSET(PMsheet!$O$1,MATCH('TB-EQUIPMENT &amp; OTHER HPs'!$A$7&amp;'TB-EQUIPMENT &amp; OTHER HPs'!$A$85,PMsheet!$M:$M&amp;PMsheet!$N:$N,0)-1,0,COUNTIFS(PMsheet!$M:$M,'TB-EQUIPMENT &amp; OTHER HPs'!A$7,PMsheet!$N:$N,'TB-EQUIPMENT &amp; OTHER HPs'!$A$85),1)</definedName>
    <definedName name="TB2S3T1C2">OFFSET(PMsheet!$U:$U,(MATCH('TB-EQUIPMENT &amp; OTHER HPs'!$A$7&amp;'TB-EQUIPMENT &amp; OTHER HPs'!$A$85&amp;'TB-EQUIPMENT &amp; OTHER HPs'!$A1,PMsheet!$R:$R&amp;PMsheet!$S:$S&amp;PMsheet!$T:$T,0)-1),0,COUNTIFS(PMsheet!$R:$R,'TB-EQUIPMENT &amp; OTHER HPs'!$A$7,PMsheet!$S:$S,'TB-EQUIPMENT &amp; OTHER HPs'!$A$85,PMsheet!$T:$T,'TB-EQUIPMENT &amp; OTHER HPs'!$A1),)</definedName>
    <definedName name="TB2S3T1C3">OFFSET(PMsheet!$G$1,MATCH('TB-EQUIPMENT &amp; OTHER HPs'!$A$7&amp;'TB-EQUIPMENT &amp; OTHER HPs'!$A$85&amp;'TB-EQUIPMENT &amp; OTHER HPs'!$A1&amp;'TB-EQUIPMENT &amp; OTHER HPs'!$E1,PMsheet!$B:$B&amp;PMsheet!$C:$C&amp;PMsheet!$E:$E&amp;PMsheet!$F:$F,0)-1,0,COUNTIFS(PMsheet!$B:$B,'TB-EQUIPMENT &amp; OTHER HPs'!$A$7,PMsheet!$C:$C,'TB-EQUIPMENT &amp; OTHER HPs'!$A$85,PMsheet!$E:$E,'TB-EQUIPMENT &amp; OTHER HPs'!$A1,PMsheet!$F:$F,'TB-EQUIPMENT &amp; OTHER HPs'!$E1),)</definedName>
    <definedName name="TB2S4T1C1">OFFSET(PMsheet!$O$1,MATCH('TB-EQUIPMENT &amp; OTHER HPs'!$A$7&amp;'TB-EQUIPMENT &amp; OTHER HPs'!$A$132,PMsheet!$M:$M&amp;PMsheet!$N:$N,0)-1,0,COUNTIFS(PMsheet!$M:$M,'TB-EQUIPMENT &amp; OTHER HPs'!A$7,PMsheet!$N:$N,'TB-EQUIPMENT &amp; OTHER HPs'!$A$132),1)</definedName>
    <definedName name="TB2S4T1C2">OFFSET(PMsheet!$U:$U,(MATCH('TB-EQUIPMENT &amp; OTHER HPs'!$A$7&amp;'TB-EQUIPMENT &amp; OTHER HPs'!$A$132&amp;'TB-EQUIPMENT &amp; OTHER HPs'!$A1,PMsheet!$R:$R&amp;PMsheet!$S:$S&amp;PMsheet!$T:$T,0)-1),0,COUNTIFS(PMsheet!$R:$R,'TB-EQUIPMENT &amp; OTHER HPs'!$A$7,PMsheet!$S:$S,'TB-EQUIPMENT &amp; OTHER HPs'!$A$132,PMsheet!$T:$T,'TB-EQUIPMENT &amp; OTHER HPs'!$A1),)</definedName>
    <definedName name="TB2S4T1C3">OFFSET(PMsheet!$G$1,MATCH('TB-EQUIPMENT &amp; OTHER HPs'!$A$7&amp;'TB-EQUIPMENT &amp; OTHER HPs'!$A$132&amp;'TB-EQUIPMENT &amp; OTHER HPs'!$A1&amp;'TB-EQUIPMENT &amp; OTHER HPs'!$E1,PMsheet!$B:$B&amp;PMsheet!$C:$C&amp;PMsheet!$E:$E&amp;PMsheet!$F:$F,0)-1,0,COUNTIFS(PMsheet!$B:$B,'TB-EQUIPMENT &amp; OTHER HPs'!$A$7,PMsheet!$C:$C,'TB-EQUIPMENT &amp; OTHER HPs'!$A$132,PMsheet!$E:$E,'TB-EQUIPMENT &amp; OTHER HPs'!$A1,PMsheet!$F:$F,'TB-EQUIPMENT &amp; OTHER HPs'!$E1),)</definedName>
    <definedName name="TypeOfPay" localSheetId="15">[4]LISTS!$F$9:$F$10</definedName>
    <definedName name="TypeOfPay" localSheetId="0">[2]LISTS!$F$9:$F$10</definedName>
    <definedName name="TypeOfPay" localSheetId="1">[3]LISTS!$F$9:$F$10</definedName>
    <definedName name="TypeOfPay">LISTS!$F$9:$F$10</definedName>
    <definedName name="UnitMeasure3" localSheetId="15">[4]LISTS!$S$3:$S$5</definedName>
    <definedName name="UnitMeasure3" localSheetId="0">[2]LISTS!$S$3:$S$5</definedName>
    <definedName name="UnitMeasure3" localSheetId="1">[3]LISTS!$S$3:$S$5</definedName>
    <definedName name="Upfront" localSheetId="0">[1]SETUP!$S$8:$S$12</definedName>
    <definedName name="Upfront" localSheetId="1">[1]SETUP!$S$8:$S$12</definedName>
    <definedName name="Upfront">SETUP!$S$8:$S$12</definedName>
    <definedName name="VERSION" localSheetId="0">[2]LISTS!$E$4:$E$23</definedName>
    <definedName name="VERSION" localSheetId="1">[3]LISTS!$E$4:$E$23</definedName>
    <definedName name="VERSION">LISTS!$E$4:$E$23</definedName>
    <definedName name="ViralLoadBrand" localSheetId="0">[2]LISTS!$K$3,[2]LISTS!$K$6,[2]LISTS!$K$9,[2]LISTS!$K$10,[2]LISTS!$K$12,[2]LISTS!$K$13,[2]LISTS!$K$14,[2]LISTS!$K$20</definedName>
    <definedName name="ViralLoadBrand" localSheetId="1">[3]LISTS!$K$3,[3]LISTS!$K$6,[3]LISTS!$K$9,[3]LISTS!$K$10,[3]LISTS!$K$12,[3]LISTS!$K$13,[3]LISTS!$K$14,[3]LISTS!$K$20</definedName>
    <definedName name="ViralLoadBrand">LISTS!$K$3,LISTS!$K$6,LISTS!$K$9,LISTS!$K$10,LISTS!$K$12,LISTS!$K$13,LISTS!$K$14,LISTS!$K$20</definedName>
    <definedName name="VL">LISTS!$K$3:$K$22</definedName>
    <definedName name="VLBrand">LISTS!$K$3:$K$22</definedName>
    <definedName name="VLEIDBrand" localSheetId="0">[2]LISTS!$J$3:$J$10</definedName>
    <definedName name="VLEIDBrand" localSheetId="1">[3]LISTS!$J$3:$J$10</definedName>
    <definedName name="VLEIDBrand">LISTS!$J$3:$J$10</definedName>
    <definedName name="YesNo" localSheetId="0">[2]LISTS!$O$3:$O$4</definedName>
    <definedName name="YesNo" localSheetId="1">[3]LISTS!$O$3:$O$4</definedName>
    <definedName name="YesNo">LISTS!$O$3:$O$4</definedName>
  </definedNames>
  <calcPr calcId="181029" iterateDelta="1E-4"/>
  <pivotCaches>
    <pivotCache cacheId="1" r:id="rId35"/>
    <pivotCache cacheId="2" r:id="rId36"/>
    <pivotCache cacheId="3" r:id="rId37"/>
    <pivotCache cacheId="10" r:id="rId38"/>
  </pivotCaches>
</workbook>
</file>

<file path=xl/calcChain.xml><?xml version="1.0" encoding="utf-8"?>
<calcChain xmlns="http://schemas.openxmlformats.org/spreadsheetml/2006/main">
  <c r="A2" i="1" l="1"/>
  <c r="I4" i="1" s="1"/>
  <c r="AK230" i="34"/>
  <c r="AK229" i="34"/>
  <c r="AK228" i="34"/>
  <c r="AK227" i="34"/>
  <c r="AK226" i="34"/>
  <c r="AK225" i="34"/>
  <c r="AK224" i="34"/>
  <c r="AK223" i="34"/>
  <c r="AK222" i="34"/>
  <c r="AK221" i="34"/>
  <c r="AK220" i="34"/>
  <c r="AK219" i="34"/>
  <c r="AK218" i="34"/>
  <c r="AK217" i="34"/>
  <c r="AK216" i="34"/>
  <c r="AK215" i="34"/>
  <c r="AK214" i="34"/>
  <c r="AK213" i="34"/>
  <c r="AK212" i="34"/>
  <c r="AK211" i="34"/>
  <c r="AK210" i="34"/>
  <c r="AK209" i="34"/>
  <c r="AK208" i="34"/>
  <c r="AK207" i="34"/>
  <c r="AK206" i="34"/>
  <c r="AK205" i="34"/>
  <c r="AK204" i="34"/>
  <c r="AK203" i="34"/>
  <c r="AK202" i="34"/>
  <c r="AK201" i="34"/>
  <c r="AK200" i="34"/>
  <c r="AK199" i="34"/>
  <c r="AK198" i="34"/>
  <c r="AK197" i="34"/>
  <c r="AK196" i="34"/>
  <c r="AK195" i="34"/>
  <c r="AK194" i="34"/>
  <c r="AK193" i="34"/>
  <c r="AK192" i="34"/>
  <c r="AK191" i="34"/>
  <c r="AK190" i="34"/>
  <c r="AK189" i="34"/>
  <c r="AK188" i="34"/>
  <c r="AK187" i="34"/>
  <c r="AK186" i="34"/>
  <c r="AK185" i="34"/>
  <c r="AK184" i="34"/>
  <c r="AK183" i="34"/>
  <c r="AK182" i="34"/>
  <c r="AK181" i="34"/>
  <c r="AK180" i="34"/>
  <c r="AK179" i="34"/>
  <c r="AK178" i="34"/>
  <c r="AK177" i="34"/>
  <c r="AK176" i="34"/>
  <c r="AK175" i="34"/>
  <c r="AK174" i="34"/>
  <c r="AK173" i="34"/>
  <c r="AK172" i="34"/>
  <c r="AK171" i="34"/>
  <c r="AK170" i="34"/>
  <c r="AK169" i="34"/>
  <c r="AK168" i="34"/>
  <c r="AK167" i="34"/>
  <c r="AK166" i="34"/>
  <c r="AK165" i="34"/>
  <c r="AK164" i="34"/>
  <c r="AK163" i="34"/>
  <c r="AK162" i="34"/>
  <c r="AK161" i="34"/>
  <c r="AK160" i="34"/>
  <c r="AK159" i="34"/>
  <c r="AK158" i="34"/>
  <c r="AK157" i="34"/>
  <c r="AK156" i="34"/>
  <c r="AK155" i="34"/>
  <c r="AK154" i="34"/>
  <c r="AK153" i="34"/>
  <c r="AK152" i="34"/>
  <c r="AK151" i="34"/>
  <c r="AK150" i="34"/>
  <c r="AK149" i="34"/>
  <c r="AK148" i="34"/>
  <c r="AK147" i="34"/>
  <c r="AK146" i="34"/>
  <c r="AK145" i="34"/>
  <c r="AK144" i="34"/>
  <c r="AK143" i="34"/>
  <c r="AK142" i="34"/>
  <c r="AK141" i="34"/>
  <c r="AK140" i="34"/>
  <c r="AK139" i="34"/>
  <c r="AK138" i="34"/>
  <c r="AK137" i="34"/>
  <c r="AK136" i="34"/>
  <c r="AK135" i="34"/>
  <c r="AK134" i="34"/>
  <c r="AK133" i="34"/>
  <c r="AK132" i="34"/>
  <c r="AK131" i="34"/>
  <c r="AK130"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Y3" i="90"/>
  <c r="X3" i="90"/>
  <c r="AJ41" i="22"/>
  <c r="AJ42" i="22"/>
  <c r="AJ43" i="22"/>
  <c r="AJ44" i="22"/>
  <c r="AJ45" i="22"/>
  <c r="AJ46" i="22"/>
  <c r="AJ47" i="22"/>
  <c r="AJ48" i="22"/>
  <c r="AJ49" i="22"/>
  <c r="AJ50" i="22"/>
  <c r="AJ51" i="22"/>
  <c r="AJ52" i="22"/>
  <c r="AJ53" i="22"/>
  <c r="AJ54" i="22"/>
  <c r="AJ55" i="22"/>
  <c r="AJ56" i="22"/>
  <c r="AJ57" i="22"/>
  <c r="AJ58" i="22"/>
  <c r="AJ59" i="22"/>
  <c r="AJ60" i="22"/>
  <c r="AJ61" i="22"/>
  <c r="AJ62" i="22"/>
  <c r="AJ63" i="22"/>
  <c r="AJ64" i="22"/>
  <c r="AJ65" i="22"/>
  <c r="AJ66" i="22"/>
  <c r="AJ67" i="22"/>
  <c r="AJ68" i="22"/>
  <c r="AJ69" i="22"/>
  <c r="AJ70" i="22"/>
  <c r="AJ71" i="22"/>
  <c r="AJ72" i="22"/>
  <c r="AJ73" i="22"/>
  <c r="AJ74" i="22"/>
  <c r="AJ75" i="22"/>
  <c r="AJ76" i="22"/>
  <c r="AJ77" i="22"/>
  <c r="AJ78" i="22"/>
  <c r="AJ79" i="22"/>
  <c r="AJ80" i="22"/>
  <c r="AJ81" i="22"/>
  <c r="AJ82" i="22"/>
  <c r="BI15" i="24"/>
  <c r="S591" i="35" s="1"/>
  <c r="BH15" i="24"/>
  <c r="R591" i="35" s="1"/>
  <c r="BG15" i="24"/>
  <c r="Q591" i="35" s="1"/>
  <c r="BF15" i="24"/>
  <c r="P591" i="35" s="1"/>
  <c r="A7" i="21"/>
  <c r="O3" i="90"/>
  <c r="A7" i="17"/>
  <c r="AJ223" i="17"/>
  <c r="AJ222" i="17"/>
  <c r="AJ221" i="17"/>
  <c r="AJ220" i="17"/>
  <c r="AJ219" i="17"/>
  <c r="AJ218" i="17"/>
  <c r="AJ217" i="17"/>
  <c r="AJ216" i="17"/>
  <c r="AJ215" i="17"/>
  <c r="AJ214" i="17"/>
  <c r="AJ213" i="17"/>
  <c r="AJ212" i="17"/>
  <c r="AJ211" i="17"/>
  <c r="AJ210" i="17"/>
  <c r="AJ209" i="17"/>
  <c r="AJ208" i="17"/>
  <c r="AJ207" i="17"/>
  <c r="AJ206" i="17"/>
  <c r="AJ205" i="17"/>
  <c r="AJ204" i="17"/>
  <c r="AJ203" i="17"/>
  <c r="AJ202" i="17"/>
  <c r="AJ201" i="17"/>
  <c r="AJ200" i="17"/>
  <c r="AJ199" i="17"/>
  <c r="AJ198" i="17"/>
  <c r="AJ197" i="17"/>
  <c r="AJ196" i="17"/>
  <c r="AJ195" i="17"/>
  <c r="AJ194" i="17"/>
  <c r="AJ193" i="17"/>
  <c r="AJ192" i="17"/>
  <c r="AJ191" i="17"/>
  <c r="AJ190" i="17"/>
  <c r="AJ189" i="17"/>
  <c r="AJ188" i="17"/>
  <c r="AJ187" i="17"/>
  <c r="AJ186" i="17"/>
  <c r="AJ185" i="17"/>
  <c r="AJ184" i="17"/>
  <c r="AJ183" i="17"/>
  <c r="AJ182" i="17"/>
  <c r="AJ181" i="17"/>
  <c r="AJ180" i="17"/>
  <c r="AJ179" i="17"/>
  <c r="AJ178" i="17"/>
  <c r="AJ177" i="17"/>
  <c r="AJ176" i="17"/>
  <c r="AJ175" i="17"/>
  <c r="AJ174" i="17"/>
  <c r="AJ173" i="17"/>
  <c r="AJ172" i="17"/>
  <c r="AJ171" i="17"/>
  <c r="AJ170" i="17"/>
  <c r="AJ169" i="17"/>
  <c r="AJ168" i="17"/>
  <c r="AJ167" i="17"/>
  <c r="AJ166" i="17"/>
  <c r="AJ165" i="17"/>
  <c r="AJ164" i="17"/>
  <c r="AJ163" i="17"/>
  <c r="AJ162" i="17"/>
  <c r="AJ161" i="17"/>
  <c r="AJ160" i="17"/>
  <c r="AJ159" i="17"/>
  <c r="AJ158" i="17"/>
  <c r="AJ157" i="17"/>
  <c r="AJ156" i="17"/>
  <c r="AJ155" i="17"/>
  <c r="AJ154" i="17"/>
  <c r="AJ153" i="17"/>
  <c r="AJ152" i="17"/>
  <c r="AJ151" i="17"/>
  <c r="AJ150" i="17"/>
  <c r="AJ149" i="17"/>
  <c r="AJ148" i="17"/>
  <c r="AJ147" i="17"/>
  <c r="AJ146" i="17"/>
  <c r="AJ145" i="17"/>
  <c r="AJ144" i="17"/>
  <c r="AJ143" i="17"/>
  <c r="AJ142" i="17"/>
  <c r="AJ141" i="17"/>
  <c r="AJ140" i="17"/>
  <c r="AJ139" i="17"/>
  <c r="AJ138" i="17"/>
  <c r="AJ137" i="17"/>
  <c r="AJ136" i="17"/>
  <c r="AJ135" i="17"/>
  <c r="AJ134" i="17"/>
  <c r="AJ133" i="17"/>
  <c r="AJ132" i="17"/>
  <c r="AJ131" i="17"/>
  <c r="AJ130" i="17"/>
  <c r="AJ129" i="17"/>
  <c r="AJ128" i="17"/>
  <c r="AJ127" i="17"/>
  <c r="AJ126" i="17"/>
  <c r="AJ125" i="17"/>
  <c r="AJ124" i="17"/>
  <c r="AJ123" i="17"/>
  <c r="AJ114" i="17"/>
  <c r="AJ113" i="17"/>
  <c r="AJ112" i="17"/>
  <c r="AJ111" i="17"/>
  <c r="AJ110" i="17"/>
  <c r="AJ109" i="17"/>
  <c r="AJ108" i="17"/>
  <c r="AJ107" i="17"/>
  <c r="AJ106" i="17"/>
  <c r="AJ105" i="17"/>
  <c r="AJ104" i="17"/>
  <c r="AJ103" i="17"/>
  <c r="AJ102" i="17"/>
  <c r="AJ101" i="17"/>
  <c r="AJ100" i="17"/>
  <c r="AJ99" i="17"/>
  <c r="AJ98" i="17"/>
  <c r="AJ97" i="17"/>
  <c r="AJ96" i="17"/>
  <c r="AJ95" i="17"/>
  <c r="AJ94" i="17"/>
  <c r="AJ93" i="17"/>
  <c r="AJ92" i="17"/>
  <c r="AJ91" i="17"/>
  <c r="AJ90" i="17"/>
  <c r="AJ89" i="17"/>
  <c r="AJ88" i="17"/>
  <c r="AJ87" i="17"/>
  <c r="AJ86" i="17"/>
  <c r="AJ85" i="17"/>
  <c r="AJ84" i="17"/>
  <c r="AJ83" i="17"/>
  <c r="AK74" i="17"/>
  <c r="AK73" i="17"/>
  <c r="AK72" i="17"/>
  <c r="AK71" i="17"/>
  <c r="AK70" i="17"/>
  <c r="AK69" i="17"/>
  <c r="AK68" i="17"/>
  <c r="AK67" i="17"/>
  <c r="AK66" i="17"/>
  <c r="AK65" i="17"/>
  <c r="AK64" i="17"/>
  <c r="AK63" i="17"/>
  <c r="AK62" i="17"/>
  <c r="AK61" i="17"/>
  <c r="AK60" i="17"/>
  <c r="AK59" i="17"/>
  <c r="AK58" i="17"/>
  <c r="AK57" i="17"/>
  <c r="AK56" i="17"/>
  <c r="AK55" i="17"/>
  <c r="AK54" i="17"/>
  <c r="AK53" i="17"/>
  <c r="AK52" i="17"/>
  <c r="AK51" i="17"/>
  <c r="AK50" i="17"/>
  <c r="AK49" i="17"/>
  <c r="K223" i="17"/>
  <c r="K222" i="17"/>
  <c r="K221" i="17"/>
  <c r="K220" i="17"/>
  <c r="K219" i="17"/>
  <c r="K218" i="17"/>
  <c r="K217" i="17"/>
  <c r="K216" i="17"/>
  <c r="K215" i="17"/>
  <c r="K214" i="17"/>
  <c r="K213" i="17"/>
  <c r="K212" i="17"/>
  <c r="K211" i="17"/>
  <c r="K210" i="17"/>
  <c r="K209" i="17"/>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L136" i="17" s="1"/>
  <c r="K135" i="17"/>
  <c r="L135" i="17" s="1"/>
  <c r="K134" i="17"/>
  <c r="L134" i="17" s="1"/>
  <c r="K133" i="17"/>
  <c r="L133" i="17" s="1"/>
  <c r="K132" i="17"/>
  <c r="L132" i="17" s="1"/>
  <c r="K131" i="17"/>
  <c r="L131" i="17" s="1"/>
  <c r="K130" i="17"/>
  <c r="L130" i="17" s="1"/>
  <c r="K129" i="17"/>
  <c r="L129" i="17" s="1"/>
  <c r="K128" i="17"/>
  <c r="L128" i="17" s="1"/>
  <c r="K127" i="17"/>
  <c r="L127" i="17" s="1"/>
  <c r="K126" i="17"/>
  <c r="L126" i="17" s="1"/>
  <c r="K125" i="17"/>
  <c r="L125" i="17" s="1"/>
  <c r="K124" i="17"/>
  <c r="L124" i="17" s="1"/>
  <c r="K123" i="17"/>
  <c r="L123" i="17" s="1"/>
  <c r="K114" i="17"/>
  <c r="L114" i="17" s="1"/>
  <c r="K113" i="17"/>
  <c r="K112" i="17"/>
  <c r="L112" i="17" s="1"/>
  <c r="K111" i="17"/>
  <c r="L111" i="17" s="1"/>
  <c r="K110" i="17"/>
  <c r="L110" i="17" s="1"/>
  <c r="K109" i="17"/>
  <c r="K108" i="17"/>
  <c r="L108" i="17" s="1"/>
  <c r="K107" i="17"/>
  <c r="L107" i="17" s="1"/>
  <c r="K106" i="17"/>
  <c r="K105" i="17"/>
  <c r="K104" i="17"/>
  <c r="L104" i="17" s="1"/>
  <c r="K103" i="17"/>
  <c r="L103" i="17" s="1"/>
  <c r="K102" i="17"/>
  <c r="K101" i="17"/>
  <c r="K100" i="17"/>
  <c r="L100" i="17" s="1"/>
  <c r="K99" i="17"/>
  <c r="L99" i="17" s="1"/>
  <c r="K98" i="17"/>
  <c r="L98" i="17" s="1"/>
  <c r="K97" i="17"/>
  <c r="K96" i="17"/>
  <c r="L96" i="17" s="1"/>
  <c r="K95" i="17"/>
  <c r="L95" i="17" s="1"/>
  <c r="K94" i="17"/>
  <c r="L94" i="17" s="1"/>
  <c r="K93" i="17"/>
  <c r="K92" i="17"/>
  <c r="L92" i="17" s="1"/>
  <c r="K91" i="17"/>
  <c r="L91" i="17" s="1"/>
  <c r="K90" i="17"/>
  <c r="K89" i="17"/>
  <c r="K88" i="17"/>
  <c r="L88" i="17" s="1"/>
  <c r="K87" i="17"/>
  <c r="L87" i="17" s="1"/>
  <c r="K86" i="17"/>
  <c r="L86" i="17" s="1"/>
  <c r="K85" i="17"/>
  <c r="K84" i="17"/>
  <c r="L84" i="17" s="1"/>
  <c r="K83" i="17"/>
  <c r="L83" i="17" s="1"/>
  <c r="L74" i="17"/>
  <c r="M74" i="17" s="1"/>
  <c r="L73" i="17"/>
  <c r="L72" i="17"/>
  <c r="M72" i="17" s="1"/>
  <c r="L71" i="17"/>
  <c r="M71" i="17" s="1"/>
  <c r="L70" i="17"/>
  <c r="L69" i="17"/>
  <c r="L68" i="17"/>
  <c r="M68" i="17" s="1"/>
  <c r="L67" i="17"/>
  <c r="M67" i="17" s="1"/>
  <c r="L66" i="17"/>
  <c r="M66" i="17" s="1"/>
  <c r="L65" i="17"/>
  <c r="L64" i="17"/>
  <c r="M64" i="17" s="1"/>
  <c r="L63" i="17"/>
  <c r="M63" i="17" s="1"/>
  <c r="L62" i="17"/>
  <c r="M62" i="17" s="1"/>
  <c r="L61" i="17"/>
  <c r="M61" i="17" s="1"/>
  <c r="L60" i="17"/>
  <c r="L59" i="17"/>
  <c r="M59" i="17" s="1"/>
  <c r="L58" i="17"/>
  <c r="M58" i="17" s="1"/>
  <c r="L57" i="17"/>
  <c r="M57" i="17" s="1"/>
  <c r="L56" i="17"/>
  <c r="M56" i="17" s="1"/>
  <c r="L55" i="17"/>
  <c r="M55" i="17" s="1"/>
  <c r="L54" i="17"/>
  <c r="M54" i="17" s="1"/>
  <c r="L53" i="17"/>
  <c r="M53" i="17" s="1"/>
  <c r="L52" i="17"/>
  <c r="M52" i="17" s="1"/>
  <c r="L51" i="17"/>
  <c r="M51" i="17" s="1"/>
  <c r="L50" i="17"/>
  <c r="M50" i="17" s="1"/>
  <c r="L49" i="17"/>
  <c r="M49" i="17" s="1"/>
  <c r="AK40" i="17"/>
  <c r="AK39" i="17"/>
  <c r="AK38" i="17"/>
  <c r="AK37" i="17"/>
  <c r="AK36" i="17"/>
  <c r="AK35" i="17"/>
  <c r="AK34" i="17"/>
  <c r="AK33" i="17"/>
  <c r="AK32" i="17"/>
  <c r="AK31" i="17"/>
  <c r="AK30" i="17"/>
  <c r="AK29" i="17"/>
  <c r="AK28" i="17"/>
  <c r="AK27" i="17"/>
  <c r="AK26" i="17"/>
  <c r="AK25" i="17"/>
  <c r="AK24" i="17"/>
  <c r="AK23" i="17"/>
  <c r="AK22" i="17"/>
  <c r="AK21" i="17"/>
  <c r="AK20" i="17"/>
  <c r="AK19" i="17"/>
  <c r="AK18" i="17"/>
  <c r="AK17" i="17"/>
  <c r="AK16" i="17"/>
  <c r="AK15" i="17"/>
  <c r="AK14" i="17"/>
  <c r="L40" i="17"/>
  <c r="L39" i="17"/>
  <c r="M39" i="17" s="1"/>
  <c r="L38" i="17"/>
  <c r="M38" i="17" s="1"/>
  <c r="L37" i="17"/>
  <c r="M37" i="17" s="1"/>
  <c r="L36" i="17"/>
  <c r="L35" i="17"/>
  <c r="M35" i="17" s="1"/>
  <c r="L34" i="17"/>
  <c r="M34" i="17" s="1"/>
  <c r="L33" i="17"/>
  <c r="M33" i="17" s="1"/>
  <c r="L32" i="17"/>
  <c r="L31" i="17"/>
  <c r="L30" i="17"/>
  <c r="M30" i="17" s="1"/>
  <c r="L29" i="17"/>
  <c r="M29" i="17" s="1"/>
  <c r="L28" i="17"/>
  <c r="M28" i="17" s="1"/>
  <c r="L27" i="17"/>
  <c r="M27" i="17" s="1"/>
  <c r="L26" i="17"/>
  <c r="M26" i="17" s="1"/>
  <c r="L25" i="17"/>
  <c r="L24" i="17"/>
  <c r="L23" i="17"/>
  <c r="M23" i="17" s="1"/>
  <c r="L22" i="17"/>
  <c r="M22" i="17" s="1"/>
  <c r="L21" i="17"/>
  <c r="M21" i="17" s="1"/>
  <c r="L20" i="17"/>
  <c r="L19" i="17"/>
  <c r="M19" i="17" s="1"/>
  <c r="L18" i="17"/>
  <c r="M18" i="17" s="1"/>
  <c r="L17" i="17"/>
  <c r="M17" i="17" s="1"/>
  <c r="L16" i="17"/>
  <c r="L15" i="17"/>
  <c r="M15" i="17" s="1"/>
  <c r="L14" i="17"/>
  <c r="M14" i="17" s="1"/>
  <c r="AD58" i="21"/>
  <c r="AD57" i="21"/>
  <c r="AD56" i="21"/>
  <c r="AD55" i="21"/>
  <c r="AD54" i="21"/>
  <c r="AD53" i="21"/>
  <c r="AD52" i="21"/>
  <c r="AD51" i="21"/>
  <c r="AD50" i="21"/>
  <c r="AD49" i="21"/>
  <c r="AD48" i="2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E58" i="21"/>
  <c r="E57" i="21"/>
  <c r="F57" i="21" s="1"/>
  <c r="E56" i="21"/>
  <c r="F56" i="21" s="1"/>
  <c r="E55" i="21"/>
  <c r="F55" i="21" s="1"/>
  <c r="E54" i="21"/>
  <c r="E53" i="21"/>
  <c r="F53" i="21" s="1"/>
  <c r="E52" i="21"/>
  <c r="F52" i="21" s="1"/>
  <c r="E51" i="21"/>
  <c r="F51" i="21" s="1"/>
  <c r="E50" i="21"/>
  <c r="E49" i="21"/>
  <c r="F49" i="21" s="1"/>
  <c r="E48" i="21"/>
  <c r="F48" i="21" s="1"/>
  <c r="E47" i="21"/>
  <c r="E46" i="21"/>
  <c r="E45" i="21"/>
  <c r="F45" i="21" s="1"/>
  <c r="E44" i="21"/>
  <c r="F44" i="21" s="1"/>
  <c r="E43" i="21"/>
  <c r="F43" i="21" s="1"/>
  <c r="E42" i="21"/>
  <c r="E41" i="21"/>
  <c r="E40" i="21"/>
  <c r="F40" i="21" s="1"/>
  <c r="E39" i="21"/>
  <c r="E38" i="21"/>
  <c r="E37" i="21"/>
  <c r="F37" i="21" s="1"/>
  <c r="E36" i="21"/>
  <c r="F36" i="21" s="1"/>
  <c r="E35" i="21"/>
  <c r="E34" i="21"/>
  <c r="E33" i="21"/>
  <c r="F33" i="21" s="1"/>
  <c r="E32" i="21"/>
  <c r="F32" i="21" s="1"/>
  <c r="E31" i="21"/>
  <c r="F31" i="21" s="1"/>
  <c r="E30" i="21"/>
  <c r="E29" i="21"/>
  <c r="F29" i="21" s="1"/>
  <c r="E28" i="21"/>
  <c r="F28" i="21" s="1"/>
  <c r="E27" i="21"/>
  <c r="F27" i="21" s="1"/>
  <c r="E26" i="21"/>
  <c r="E25" i="21"/>
  <c r="F25" i="21" s="1"/>
  <c r="E24" i="21"/>
  <c r="F24" i="21" s="1"/>
  <c r="E23" i="21"/>
  <c r="E22" i="21"/>
  <c r="E21" i="21"/>
  <c r="F21" i="21" s="1"/>
  <c r="E20" i="21"/>
  <c r="F20" i="21" s="1"/>
  <c r="E19" i="21"/>
  <c r="F19" i="21" s="1"/>
  <c r="E18" i="21"/>
  <c r="E17" i="21"/>
  <c r="F17" i="21" s="1"/>
  <c r="E16" i="21"/>
  <c r="F16" i="21" s="1"/>
  <c r="E15" i="21"/>
  <c r="F15" i="21" s="1"/>
  <c r="E14" i="21"/>
  <c r="F14" i="21" s="1"/>
  <c r="AK192" i="15"/>
  <c r="AK107" i="15"/>
  <c r="AK191" i="15"/>
  <c r="AK190" i="15"/>
  <c r="AK189" i="15"/>
  <c r="AK188" i="15"/>
  <c r="AK187" i="15"/>
  <c r="AK186" i="15"/>
  <c r="AK185" i="15"/>
  <c r="AK184" i="15"/>
  <c r="AK183" i="15"/>
  <c r="AK182" i="15"/>
  <c r="AK181" i="15"/>
  <c r="AK180" i="15"/>
  <c r="AK179" i="15"/>
  <c r="AK178" i="15"/>
  <c r="AK177" i="15"/>
  <c r="AK176" i="15"/>
  <c r="AK175" i="15"/>
  <c r="AK174" i="15"/>
  <c r="AK173" i="15"/>
  <c r="AK172" i="15"/>
  <c r="AK171" i="15"/>
  <c r="AK170" i="15"/>
  <c r="AK169" i="15"/>
  <c r="AK168" i="15"/>
  <c r="AK167" i="15"/>
  <c r="AK166" i="15"/>
  <c r="AK165" i="15"/>
  <c r="AK164" i="15"/>
  <c r="AK163" i="15"/>
  <c r="AK162" i="15"/>
  <c r="AK161" i="15"/>
  <c r="AK160" i="15"/>
  <c r="AK159" i="15"/>
  <c r="AK158" i="15"/>
  <c r="AK157" i="15"/>
  <c r="AK156" i="15"/>
  <c r="AK155" i="15"/>
  <c r="AK154" i="15"/>
  <c r="AK153" i="15"/>
  <c r="AK152" i="15"/>
  <c r="AK151" i="15"/>
  <c r="AK150" i="15"/>
  <c r="AK149"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27" i="15"/>
  <c r="AK126" i="15"/>
  <c r="AK125" i="15"/>
  <c r="AK124" i="15"/>
  <c r="AK123" i="15"/>
  <c r="AK122" i="15"/>
  <c r="AK121" i="15"/>
  <c r="AK120" i="15"/>
  <c r="AK119" i="15"/>
  <c r="AK118" i="15"/>
  <c r="AK117" i="15"/>
  <c r="AK116" i="15"/>
  <c r="AK115" i="15"/>
  <c r="AK114" i="15"/>
  <c r="AK113" i="15"/>
  <c r="AK112" i="15"/>
  <c r="AK111" i="15"/>
  <c r="AK110" i="15"/>
  <c r="AK109" i="15"/>
  <c r="AK108" i="15"/>
  <c r="L192" i="15"/>
  <c r="M192" i="15" s="1"/>
  <c r="L191" i="15"/>
  <c r="L190" i="15"/>
  <c r="M190" i="15" s="1"/>
  <c r="L189" i="15"/>
  <c r="M189" i="15" s="1"/>
  <c r="L188" i="15"/>
  <c r="M188" i="15" s="1"/>
  <c r="L187" i="15"/>
  <c r="L186" i="15"/>
  <c r="M186" i="15" s="1"/>
  <c r="L185" i="15"/>
  <c r="M185" i="15" s="1"/>
  <c r="L184" i="15"/>
  <c r="M184" i="15" s="1"/>
  <c r="L183" i="15"/>
  <c r="L182" i="15"/>
  <c r="M182" i="15" s="1"/>
  <c r="L181" i="15"/>
  <c r="M181" i="15" s="1"/>
  <c r="L180" i="15"/>
  <c r="M180" i="15" s="1"/>
  <c r="L179" i="15"/>
  <c r="L178" i="15"/>
  <c r="M178" i="15" s="1"/>
  <c r="L177" i="15"/>
  <c r="M177" i="15" s="1"/>
  <c r="L176" i="15"/>
  <c r="M176" i="15" s="1"/>
  <c r="L175" i="15"/>
  <c r="L174" i="15"/>
  <c r="M174" i="15" s="1"/>
  <c r="L173" i="15"/>
  <c r="M173" i="15" s="1"/>
  <c r="L172" i="15"/>
  <c r="M172" i="15" s="1"/>
  <c r="L171" i="15"/>
  <c r="M171" i="15" s="1"/>
  <c r="L170" i="15"/>
  <c r="M170" i="15" s="1"/>
  <c r="L169" i="15"/>
  <c r="M169" i="15" s="1"/>
  <c r="L168" i="15"/>
  <c r="M168" i="15" s="1"/>
  <c r="L167" i="15"/>
  <c r="L166" i="15"/>
  <c r="L165" i="15"/>
  <c r="M165" i="15" s="1"/>
  <c r="L164" i="15"/>
  <c r="M164" i="15" s="1"/>
  <c r="L163" i="15"/>
  <c r="L162" i="15"/>
  <c r="M162" i="15" s="1"/>
  <c r="L161" i="15"/>
  <c r="M161" i="15" s="1"/>
  <c r="L160" i="15"/>
  <c r="M160" i="15" s="1"/>
  <c r="L159" i="15"/>
  <c r="L158" i="15"/>
  <c r="M158" i="15" s="1"/>
  <c r="L157" i="15"/>
  <c r="M157" i="15" s="1"/>
  <c r="L156" i="15"/>
  <c r="M156" i="15" s="1"/>
  <c r="L155" i="15"/>
  <c r="M155" i="15" s="1"/>
  <c r="L154" i="15"/>
  <c r="M154" i="15" s="1"/>
  <c r="L153" i="15"/>
  <c r="M153" i="15" s="1"/>
  <c r="L152" i="15"/>
  <c r="M152" i="15" s="1"/>
  <c r="L151" i="15"/>
  <c r="L150" i="15"/>
  <c r="L149" i="15"/>
  <c r="M149" i="15" s="1"/>
  <c r="L148" i="15"/>
  <c r="M148" i="15" s="1"/>
  <c r="L147" i="15"/>
  <c r="L146" i="15"/>
  <c r="M146" i="15" s="1"/>
  <c r="L145" i="15"/>
  <c r="M145" i="15" s="1"/>
  <c r="L144" i="15"/>
  <c r="M144" i="15" s="1"/>
  <c r="L143" i="15"/>
  <c r="L142" i="15"/>
  <c r="M142" i="15" s="1"/>
  <c r="L141" i="15"/>
  <c r="M141" i="15" s="1"/>
  <c r="L140" i="15"/>
  <c r="M140" i="15" s="1"/>
  <c r="L139" i="15"/>
  <c r="M139" i="15" s="1"/>
  <c r="L138" i="15"/>
  <c r="M138" i="15" s="1"/>
  <c r="L137" i="15"/>
  <c r="M137" i="15" s="1"/>
  <c r="L136" i="15"/>
  <c r="L135" i="15"/>
  <c r="L134" i="15"/>
  <c r="M134" i="15" s="1"/>
  <c r="L133" i="15"/>
  <c r="M133" i="15" s="1"/>
  <c r="L132" i="15"/>
  <c r="M132" i="15" s="1"/>
  <c r="L131" i="15"/>
  <c r="L130" i="15"/>
  <c r="M130" i="15" s="1"/>
  <c r="L129" i="15"/>
  <c r="M129" i="15" s="1"/>
  <c r="L128" i="15"/>
  <c r="M128" i="15" s="1"/>
  <c r="L127" i="15"/>
  <c r="L126" i="15"/>
  <c r="M126" i="15" s="1"/>
  <c r="L125" i="15"/>
  <c r="M125" i="15" s="1"/>
  <c r="L124" i="15"/>
  <c r="L123" i="15"/>
  <c r="M123" i="15" s="1"/>
  <c r="L122" i="15"/>
  <c r="M122" i="15" s="1"/>
  <c r="L121" i="15"/>
  <c r="M121" i="15" s="1"/>
  <c r="L120" i="15"/>
  <c r="M120" i="15" s="1"/>
  <c r="L119" i="15"/>
  <c r="L118" i="15"/>
  <c r="M118" i="15" s="1"/>
  <c r="L117" i="15"/>
  <c r="M117" i="15" s="1"/>
  <c r="L116" i="15"/>
  <c r="M116" i="15" s="1"/>
  <c r="L115" i="15"/>
  <c r="L114" i="15"/>
  <c r="M114" i="15" s="1"/>
  <c r="L113" i="15"/>
  <c r="M113" i="15" s="1"/>
  <c r="L112" i="15"/>
  <c r="M112" i="15" s="1"/>
  <c r="L111" i="15"/>
  <c r="M111" i="15" s="1"/>
  <c r="L110" i="15"/>
  <c r="M110" i="15" s="1"/>
  <c r="L109" i="15"/>
  <c r="M109" i="15" s="1"/>
  <c r="L108" i="15"/>
  <c r="M108" i="15" s="1"/>
  <c r="L107" i="15"/>
  <c r="M107" i="15" s="1"/>
  <c r="AK99" i="15"/>
  <c r="AK98" i="15"/>
  <c r="AK97" i="15"/>
  <c r="AK96" i="15"/>
  <c r="AK95"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AK15" i="15"/>
  <c r="AK14" i="15"/>
  <c r="BC24" i="15" s="1"/>
  <c r="L99" i="15"/>
  <c r="M99" i="15" s="1"/>
  <c r="L98" i="15"/>
  <c r="L97" i="15"/>
  <c r="M97" i="15" s="1"/>
  <c r="L96" i="15"/>
  <c r="M96" i="15" s="1"/>
  <c r="L95" i="15"/>
  <c r="M95" i="15" s="1"/>
  <c r="L94" i="15"/>
  <c r="L93" i="15"/>
  <c r="M93" i="15" s="1"/>
  <c r="L92" i="15"/>
  <c r="M92" i="15" s="1"/>
  <c r="L91" i="15"/>
  <c r="L90" i="15"/>
  <c r="L89" i="15"/>
  <c r="M89" i="15" s="1"/>
  <c r="L88" i="15"/>
  <c r="M88" i="15" s="1"/>
  <c r="L87" i="15"/>
  <c r="L86" i="15"/>
  <c r="L85" i="15"/>
  <c r="M85" i="15" s="1"/>
  <c r="L84" i="15"/>
  <c r="M84" i="15" s="1"/>
  <c r="L83" i="15"/>
  <c r="M83" i="15" s="1"/>
  <c r="L82" i="15"/>
  <c r="L81" i="15"/>
  <c r="M81" i="15" s="1"/>
  <c r="L80" i="15"/>
  <c r="M80" i="15" s="1"/>
  <c r="L79" i="15"/>
  <c r="M79" i="15" s="1"/>
  <c r="L78" i="15"/>
  <c r="L77" i="15"/>
  <c r="M77" i="15" s="1"/>
  <c r="L76" i="15"/>
  <c r="M76" i="15" s="1"/>
  <c r="L75" i="15"/>
  <c r="M75" i="15" s="1"/>
  <c r="L74" i="15"/>
  <c r="L73" i="15"/>
  <c r="M73" i="15" s="1"/>
  <c r="L72" i="15"/>
  <c r="M72" i="15" s="1"/>
  <c r="L71" i="15"/>
  <c r="L70" i="15"/>
  <c r="L69" i="15"/>
  <c r="M69" i="15" s="1"/>
  <c r="L68" i="15"/>
  <c r="M68" i="15" s="1"/>
  <c r="L67" i="15"/>
  <c r="M67" i="15" s="1"/>
  <c r="L66" i="15"/>
  <c r="L65" i="15"/>
  <c r="M65" i="15" s="1"/>
  <c r="L64" i="15"/>
  <c r="M64" i="15" s="1"/>
  <c r="L63" i="15"/>
  <c r="M63" i="15" s="1"/>
  <c r="L62" i="15"/>
  <c r="L61" i="15"/>
  <c r="M61" i="15" s="1"/>
  <c r="L60" i="15"/>
  <c r="M60" i="15" s="1"/>
  <c r="L59" i="15"/>
  <c r="M59" i="15" s="1"/>
  <c r="L58" i="15"/>
  <c r="M58" i="15" s="1"/>
  <c r="L57" i="15"/>
  <c r="M57" i="15" s="1"/>
  <c r="L56" i="15"/>
  <c r="M56" i="15" s="1"/>
  <c r="L55" i="15"/>
  <c r="M55" i="15" s="1"/>
  <c r="L54" i="15"/>
  <c r="L53" i="15"/>
  <c r="M53" i="15" s="1"/>
  <c r="L52" i="15"/>
  <c r="M52" i="15" s="1"/>
  <c r="L51" i="15"/>
  <c r="M51" i="15" s="1"/>
  <c r="L50" i="15"/>
  <c r="L49" i="15"/>
  <c r="M49" i="15" s="1"/>
  <c r="L48" i="15"/>
  <c r="M48" i="15" s="1"/>
  <c r="L47" i="15"/>
  <c r="M47" i="15" s="1"/>
  <c r="L46" i="15"/>
  <c r="L45" i="15"/>
  <c r="M45" i="15" s="1"/>
  <c r="L44" i="15"/>
  <c r="M44" i="15" s="1"/>
  <c r="L43" i="15"/>
  <c r="M43" i="15" s="1"/>
  <c r="L42" i="15"/>
  <c r="M42" i="15" s="1"/>
  <c r="L41" i="15"/>
  <c r="M41" i="15" s="1"/>
  <c r="L40" i="15"/>
  <c r="M40" i="15" s="1"/>
  <c r="L39" i="15"/>
  <c r="M39" i="15" s="1"/>
  <c r="L38" i="15"/>
  <c r="L37" i="15"/>
  <c r="M37" i="15" s="1"/>
  <c r="L36" i="15"/>
  <c r="M36" i="15" s="1"/>
  <c r="L35" i="15"/>
  <c r="M35" i="15" s="1"/>
  <c r="L34" i="15"/>
  <c r="L33" i="15"/>
  <c r="M33" i="15" s="1"/>
  <c r="L32" i="15"/>
  <c r="M32" i="15" s="1"/>
  <c r="L31" i="15"/>
  <c r="M31" i="15" s="1"/>
  <c r="L30" i="15"/>
  <c r="L29" i="15"/>
  <c r="M29" i="15" s="1"/>
  <c r="L28" i="15"/>
  <c r="M28" i="15" s="1"/>
  <c r="L27" i="15"/>
  <c r="M27" i="15" s="1"/>
  <c r="L26" i="15"/>
  <c r="M26" i="15" s="1"/>
  <c r="L25" i="15"/>
  <c r="L24" i="15"/>
  <c r="M24" i="15" s="1"/>
  <c r="L23" i="15"/>
  <c r="M23" i="15" s="1"/>
  <c r="L22" i="15"/>
  <c r="L21" i="15"/>
  <c r="M21" i="15" s="1"/>
  <c r="L20" i="15"/>
  <c r="M20" i="15" s="1"/>
  <c r="L19" i="15"/>
  <c r="L18" i="15"/>
  <c r="L17" i="15"/>
  <c r="M17" i="15" s="1"/>
  <c r="L16" i="15"/>
  <c r="M16" i="15" s="1"/>
  <c r="L15" i="15"/>
  <c r="M15" i="15" s="1"/>
  <c r="L14" i="15"/>
  <c r="AK122" i="34"/>
  <c r="AK121" i="34"/>
  <c r="AK120" i="34"/>
  <c r="AK119" i="34"/>
  <c r="AK118" i="34"/>
  <c r="AK117" i="34"/>
  <c r="AK116" i="34"/>
  <c r="AK115" i="34"/>
  <c r="AK114" i="34"/>
  <c r="AK113" i="34"/>
  <c r="AK112" i="34"/>
  <c r="AK111" i="34"/>
  <c r="AK110" i="34"/>
  <c r="AK109" i="34"/>
  <c r="AK108" i="34"/>
  <c r="AK107" i="34"/>
  <c r="AK106" i="34"/>
  <c r="AK105" i="34"/>
  <c r="AK104" i="34"/>
  <c r="AK103" i="34"/>
  <c r="AK102" i="34"/>
  <c r="AK101" i="34"/>
  <c r="AK100" i="34"/>
  <c r="AK99" i="34"/>
  <c r="AK98" i="34"/>
  <c r="AK97" i="34"/>
  <c r="AK96" i="34"/>
  <c r="AK95" i="34"/>
  <c r="AK94" i="34"/>
  <c r="AK93" i="34"/>
  <c r="AK92" i="34"/>
  <c r="AK91" i="34"/>
  <c r="AK90" i="34"/>
  <c r="AK89" i="34"/>
  <c r="AK88" i="34"/>
  <c r="AK87" i="34"/>
  <c r="AK86" i="34"/>
  <c r="AK85" i="34"/>
  <c r="AK84" i="34"/>
  <c r="AK83" i="34"/>
  <c r="AK82" i="34"/>
  <c r="AK81" i="34"/>
  <c r="AK80" i="34"/>
  <c r="AK79" i="34"/>
  <c r="AK78" i="34"/>
  <c r="AK77" i="34"/>
  <c r="AK76" i="34"/>
  <c r="AK75" i="34"/>
  <c r="AK74" i="34"/>
  <c r="AK73" i="34"/>
  <c r="AK72" i="34"/>
  <c r="AK71" i="34"/>
  <c r="AK70" i="34"/>
  <c r="AK69" i="34"/>
  <c r="AK68" i="34"/>
  <c r="AK67" i="34"/>
  <c r="AK66" i="34"/>
  <c r="AK65" i="34"/>
  <c r="BG36" i="34" s="1"/>
  <c r="AK64" i="34"/>
  <c r="AK56" i="34"/>
  <c r="AK55" i="34"/>
  <c r="AK54" i="34"/>
  <c r="AK53" i="34"/>
  <c r="AK52" i="34"/>
  <c r="AK51" i="34"/>
  <c r="AK50" i="34"/>
  <c r="AK49" i="34"/>
  <c r="AK48" i="34"/>
  <c r="AK47" i="34"/>
  <c r="AK46" i="34"/>
  <c r="AK45" i="34"/>
  <c r="AK44" i="34"/>
  <c r="AK43" i="34"/>
  <c r="AK42" i="34"/>
  <c r="L122" i="34"/>
  <c r="M122" i="34" s="1"/>
  <c r="L121" i="34"/>
  <c r="L120" i="34"/>
  <c r="M120" i="34" s="1"/>
  <c r="L119" i="34"/>
  <c r="M119" i="34" s="1"/>
  <c r="L118" i="34"/>
  <c r="M118" i="34" s="1"/>
  <c r="L117" i="34"/>
  <c r="M117" i="34" s="1"/>
  <c r="L116" i="34"/>
  <c r="M116" i="34" s="1"/>
  <c r="L115" i="34"/>
  <c r="M115" i="34" s="1"/>
  <c r="L114" i="34"/>
  <c r="L113" i="34"/>
  <c r="L112" i="34"/>
  <c r="M112" i="34" s="1"/>
  <c r="L111" i="34"/>
  <c r="M111" i="34" s="1"/>
  <c r="L110" i="34"/>
  <c r="M110" i="34" s="1"/>
  <c r="L109" i="34"/>
  <c r="L108" i="34"/>
  <c r="M108" i="34" s="1"/>
  <c r="L107" i="34"/>
  <c r="M107" i="34" s="1"/>
  <c r="L106" i="34"/>
  <c r="L105" i="34"/>
  <c r="L104" i="34"/>
  <c r="M104" i="34" s="1"/>
  <c r="L103" i="34"/>
  <c r="M103" i="34" s="1"/>
  <c r="L102" i="34"/>
  <c r="M102" i="34" s="1"/>
  <c r="L101" i="34"/>
  <c r="M101" i="34" s="1"/>
  <c r="L100" i="34"/>
  <c r="M100" i="34" s="1"/>
  <c r="L99" i="34"/>
  <c r="M99" i="34" s="1"/>
  <c r="L98" i="34"/>
  <c r="M98" i="34" s="1"/>
  <c r="L97" i="34"/>
  <c r="L96" i="34"/>
  <c r="M96" i="34" s="1"/>
  <c r="L95" i="34"/>
  <c r="M95" i="34" s="1"/>
  <c r="L94" i="34"/>
  <c r="M94" i="34" s="1"/>
  <c r="L93" i="34"/>
  <c r="L92" i="34"/>
  <c r="M92" i="34" s="1"/>
  <c r="L91" i="34"/>
  <c r="M91" i="34" s="1"/>
  <c r="L90" i="34"/>
  <c r="L89" i="34"/>
  <c r="L88" i="34"/>
  <c r="M88" i="34" s="1"/>
  <c r="L87" i="34"/>
  <c r="M87" i="34" s="1"/>
  <c r="L86" i="34"/>
  <c r="M86" i="34" s="1"/>
  <c r="L85" i="34"/>
  <c r="M85" i="34" s="1"/>
  <c r="L84" i="34"/>
  <c r="M84" i="34" s="1"/>
  <c r="L83" i="34"/>
  <c r="M83" i="34" s="1"/>
  <c r="L82" i="34"/>
  <c r="L81" i="34"/>
  <c r="L80" i="34"/>
  <c r="M80" i="34" s="1"/>
  <c r="L79" i="34"/>
  <c r="M79" i="34" s="1"/>
  <c r="L78" i="34"/>
  <c r="M78" i="34" s="1"/>
  <c r="L77" i="34"/>
  <c r="L76" i="34"/>
  <c r="M76" i="34" s="1"/>
  <c r="L75" i="34"/>
  <c r="M75" i="34" s="1"/>
  <c r="L74" i="34"/>
  <c r="M74" i="34" s="1"/>
  <c r="L73" i="34"/>
  <c r="L72" i="34"/>
  <c r="M72" i="34" s="1"/>
  <c r="L71" i="34"/>
  <c r="M71" i="34" s="1"/>
  <c r="L70" i="34"/>
  <c r="M70" i="34" s="1"/>
  <c r="L69" i="34"/>
  <c r="L68" i="34"/>
  <c r="L67" i="34"/>
  <c r="M67" i="34" s="1"/>
  <c r="L66" i="34"/>
  <c r="M66" i="34" s="1"/>
  <c r="L65" i="34"/>
  <c r="M65" i="34" s="1"/>
  <c r="L64" i="34"/>
  <c r="L56" i="34"/>
  <c r="M56" i="34" s="1"/>
  <c r="L55" i="34"/>
  <c r="M55" i="34" s="1"/>
  <c r="L54" i="34"/>
  <c r="L53" i="34"/>
  <c r="M53" i="34" s="1"/>
  <c r="L52" i="34"/>
  <c r="M52" i="34" s="1"/>
  <c r="L51" i="34"/>
  <c r="M51" i="34" s="1"/>
  <c r="L50" i="34"/>
  <c r="L49" i="34"/>
  <c r="M49" i="34" s="1"/>
  <c r="L48" i="34"/>
  <c r="M48" i="34" s="1"/>
  <c r="L47" i="34"/>
  <c r="L46" i="34"/>
  <c r="L45" i="34"/>
  <c r="M45" i="34" s="1"/>
  <c r="L44" i="34"/>
  <c r="M44" i="34" s="1"/>
  <c r="L43" i="34"/>
  <c r="M43" i="34" s="1"/>
  <c r="L42" i="34"/>
  <c r="AK33" i="34"/>
  <c r="AK32" i="34"/>
  <c r="AK31" i="34"/>
  <c r="AK30" i="34"/>
  <c r="AK29" i="34"/>
  <c r="AK28" i="34"/>
  <c r="AK27" i="34"/>
  <c r="AK26" i="34"/>
  <c r="AK25" i="34"/>
  <c r="AK24" i="34"/>
  <c r="AK23" i="34"/>
  <c r="AK22" i="34"/>
  <c r="AK21" i="34"/>
  <c r="AK20" i="34"/>
  <c r="AK19" i="34"/>
  <c r="AK18" i="34"/>
  <c r="AK17" i="34"/>
  <c r="AK16" i="34"/>
  <c r="BE31" i="34" s="1"/>
  <c r="AK15" i="34"/>
  <c r="AK14" i="34"/>
  <c r="L33" i="34"/>
  <c r="L32" i="34"/>
  <c r="M32" i="34" s="1"/>
  <c r="L31" i="34"/>
  <c r="L30" i="34"/>
  <c r="L29" i="34"/>
  <c r="M29" i="34" s="1"/>
  <c r="L28" i="34"/>
  <c r="M28" i="34" s="1"/>
  <c r="L27" i="34"/>
  <c r="M27" i="34" s="1"/>
  <c r="L26" i="34"/>
  <c r="L25" i="34"/>
  <c r="M25" i="34" s="1"/>
  <c r="L24" i="34"/>
  <c r="M24" i="34" s="1"/>
  <c r="L23" i="34"/>
  <c r="M23" i="34" s="1"/>
  <c r="L22" i="34"/>
  <c r="M22" i="34" s="1"/>
  <c r="L21" i="34"/>
  <c r="M21" i="34" s="1"/>
  <c r="L20" i="34"/>
  <c r="M20" i="34" s="1"/>
  <c r="L19" i="34"/>
  <c r="M19" i="34" s="1"/>
  <c r="L18" i="34"/>
  <c r="L17" i="34"/>
  <c r="M17" i="34" s="1"/>
  <c r="L16" i="34"/>
  <c r="M16" i="34" s="1"/>
  <c r="L15" i="34"/>
  <c r="M15" i="34" s="1"/>
  <c r="L14" i="34"/>
  <c r="AK14" i="24"/>
  <c r="L68" i="24"/>
  <c r="M68" i="24" s="1"/>
  <c r="AK87" i="24"/>
  <c r="AK86" i="24"/>
  <c r="AK85" i="24"/>
  <c r="AK84" i="24"/>
  <c r="AK83" i="24"/>
  <c r="AK82" i="24"/>
  <c r="AK81" i="24"/>
  <c r="AK80" i="24"/>
  <c r="AK79" i="24"/>
  <c r="AK78" i="24"/>
  <c r="AK77" i="24"/>
  <c r="AK76" i="24"/>
  <c r="AK75" i="24"/>
  <c r="AK74" i="24"/>
  <c r="AK73" i="24"/>
  <c r="AK72" i="24"/>
  <c r="AK71" i="24"/>
  <c r="AK70" i="24"/>
  <c r="AK69" i="24"/>
  <c r="AK68" i="24"/>
  <c r="BG23" i="24" s="1"/>
  <c r="L87" i="24"/>
  <c r="M87" i="24" s="1"/>
  <c r="L86" i="24"/>
  <c r="M86" i="24" s="1"/>
  <c r="L85" i="24"/>
  <c r="M85" i="24" s="1"/>
  <c r="L84" i="24"/>
  <c r="M84" i="24" s="1"/>
  <c r="L83" i="24"/>
  <c r="M83" i="24" s="1"/>
  <c r="L82" i="24"/>
  <c r="L81" i="24"/>
  <c r="L80" i="24"/>
  <c r="M80" i="24" s="1"/>
  <c r="L79" i="24"/>
  <c r="M79" i="24" s="1"/>
  <c r="L78" i="24"/>
  <c r="L77" i="24"/>
  <c r="M77" i="24" s="1"/>
  <c r="L76" i="24"/>
  <c r="M76" i="24" s="1"/>
  <c r="L75" i="24"/>
  <c r="M75" i="24" s="1"/>
  <c r="L74" i="24"/>
  <c r="L73" i="24"/>
  <c r="M73" i="24" s="1"/>
  <c r="L72" i="24"/>
  <c r="M72" i="24" s="1"/>
  <c r="L71" i="24"/>
  <c r="M71" i="24" s="1"/>
  <c r="L70" i="24"/>
  <c r="M70" i="24" s="1"/>
  <c r="L69" i="24"/>
  <c r="M69" i="24" s="1"/>
  <c r="AK60" i="24"/>
  <c r="AK59" i="24"/>
  <c r="AK58" i="24"/>
  <c r="AK57" i="24"/>
  <c r="AK56" i="24"/>
  <c r="AK55" i="24"/>
  <c r="AK54" i="24"/>
  <c r="AK53" i="24"/>
  <c r="AK52" i="24"/>
  <c r="AK51" i="24"/>
  <c r="AK50" i="24"/>
  <c r="AK49" i="24"/>
  <c r="AK48" i="24"/>
  <c r="AK47" i="24"/>
  <c r="AK46" i="24"/>
  <c r="AK45" i="24"/>
  <c r="AK44" i="24"/>
  <c r="AK43" i="24"/>
  <c r="AK42" i="24"/>
  <c r="AK41" i="24"/>
  <c r="AK40" i="24"/>
  <c r="AK39" i="24"/>
  <c r="AK38" i="24"/>
  <c r="AK37" i="24"/>
  <c r="AK36" i="24"/>
  <c r="AK35" i="24"/>
  <c r="AK34" i="24"/>
  <c r="AK33" i="24"/>
  <c r="AK32" i="24"/>
  <c r="AK31" i="24"/>
  <c r="AK30" i="24"/>
  <c r="AK29" i="24"/>
  <c r="AK28" i="24"/>
  <c r="AK27" i="24"/>
  <c r="AK26" i="24"/>
  <c r="AK25" i="24"/>
  <c r="AK24" i="24"/>
  <c r="AK23" i="24"/>
  <c r="AK22" i="24"/>
  <c r="AK21" i="24"/>
  <c r="AK20" i="24"/>
  <c r="AK19" i="24"/>
  <c r="AK18" i="24"/>
  <c r="AK17" i="24"/>
  <c r="AK16" i="24"/>
  <c r="AK15" i="24"/>
  <c r="L60" i="24"/>
  <c r="L59" i="24"/>
  <c r="M59" i="24" s="1"/>
  <c r="L58" i="24"/>
  <c r="M58" i="24" s="1"/>
  <c r="L57" i="24"/>
  <c r="M57" i="24" s="1"/>
  <c r="L56" i="24"/>
  <c r="L55" i="24"/>
  <c r="M55" i="24" s="1"/>
  <c r="L54" i="24"/>
  <c r="M54" i="24" s="1"/>
  <c r="L53" i="24"/>
  <c r="L52" i="24"/>
  <c r="L51" i="24"/>
  <c r="M51" i="24" s="1"/>
  <c r="L50" i="24"/>
  <c r="M50" i="24" s="1"/>
  <c r="L49" i="24"/>
  <c r="M49" i="24" s="1"/>
  <c r="L48" i="24"/>
  <c r="L47" i="24"/>
  <c r="M47" i="24" s="1"/>
  <c r="L46" i="24"/>
  <c r="M46" i="24" s="1"/>
  <c r="L45" i="24"/>
  <c r="M45" i="24" s="1"/>
  <c r="L44" i="24"/>
  <c r="L43" i="24"/>
  <c r="M43" i="24" s="1"/>
  <c r="L42" i="24"/>
  <c r="M42" i="24" s="1"/>
  <c r="L41" i="24"/>
  <c r="M41" i="24" s="1"/>
  <c r="L40" i="24"/>
  <c r="L39" i="24"/>
  <c r="M39" i="24" s="1"/>
  <c r="L38" i="24"/>
  <c r="M38" i="24" s="1"/>
  <c r="L37" i="24"/>
  <c r="M37" i="24" s="1"/>
  <c r="L36" i="24"/>
  <c r="L35" i="24"/>
  <c r="M35" i="24" s="1"/>
  <c r="L34" i="24"/>
  <c r="M34" i="24" s="1"/>
  <c r="L33" i="24"/>
  <c r="M33" i="24" s="1"/>
  <c r="L32" i="24"/>
  <c r="L31" i="24"/>
  <c r="M31" i="24" s="1"/>
  <c r="L30" i="24"/>
  <c r="M30" i="24" s="1"/>
  <c r="L29" i="24"/>
  <c r="M29" i="24" s="1"/>
  <c r="L28" i="24"/>
  <c r="L27" i="24"/>
  <c r="M27" i="24" s="1"/>
  <c r="L26" i="24"/>
  <c r="M26" i="24" s="1"/>
  <c r="L25" i="24"/>
  <c r="M25" i="24" s="1"/>
  <c r="L24" i="24"/>
  <c r="L23" i="24"/>
  <c r="M23" i="24" s="1"/>
  <c r="L22" i="24"/>
  <c r="M22" i="24" s="1"/>
  <c r="L21" i="24"/>
  <c r="M21" i="24" s="1"/>
  <c r="L20" i="24"/>
  <c r="L19" i="24"/>
  <c r="M19" i="24" s="1"/>
  <c r="L18" i="24"/>
  <c r="M18" i="24" s="1"/>
  <c r="L17" i="24"/>
  <c r="M17" i="24" s="1"/>
  <c r="L16" i="24"/>
  <c r="L15" i="24"/>
  <c r="M15" i="24" s="1"/>
  <c r="L14" i="24"/>
  <c r="M14" i="24" s="1"/>
  <c r="L161" i="23"/>
  <c r="M161" i="23" s="1"/>
  <c r="L143" i="23"/>
  <c r="M143" i="23" s="1"/>
  <c r="L175" i="23"/>
  <c r="M175" i="23" s="1"/>
  <c r="L174" i="23"/>
  <c r="M174" i="23" s="1"/>
  <c r="L173" i="23"/>
  <c r="M173" i="23" s="1"/>
  <c r="L172" i="23"/>
  <c r="L171" i="23"/>
  <c r="M171" i="23" s="1"/>
  <c r="L170" i="23"/>
  <c r="M170" i="23" s="1"/>
  <c r="L169" i="23"/>
  <c r="M169" i="23" s="1"/>
  <c r="L168" i="23"/>
  <c r="L167" i="23"/>
  <c r="M167" i="23" s="1"/>
  <c r="L166" i="23"/>
  <c r="M166" i="23" s="1"/>
  <c r="L165" i="23"/>
  <c r="M165" i="23" s="1"/>
  <c r="L164" i="23"/>
  <c r="L163" i="23"/>
  <c r="M163" i="23" s="1"/>
  <c r="L162" i="23"/>
  <c r="M162" i="23" s="1"/>
  <c r="L160" i="23"/>
  <c r="M160" i="23" s="1"/>
  <c r="L159" i="23"/>
  <c r="L158" i="23"/>
  <c r="M158" i="23" s="1"/>
  <c r="L157" i="23"/>
  <c r="M157" i="23" s="1"/>
  <c r="L156" i="23"/>
  <c r="M156" i="23" s="1"/>
  <c r="L155" i="23"/>
  <c r="L154" i="23"/>
  <c r="M154" i="23" s="1"/>
  <c r="L153" i="23"/>
  <c r="M153" i="23" s="1"/>
  <c r="L152" i="23"/>
  <c r="L151" i="23"/>
  <c r="L150" i="23"/>
  <c r="M150" i="23" s="1"/>
  <c r="L149" i="23"/>
  <c r="M149" i="23" s="1"/>
  <c r="L148" i="23"/>
  <c r="M148" i="23" s="1"/>
  <c r="L147" i="23"/>
  <c r="L146" i="23"/>
  <c r="M146" i="23" s="1"/>
  <c r="L145" i="23"/>
  <c r="M145" i="23" s="1"/>
  <c r="L144" i="23"/>
  <c r="M144" i="23" s="1"/>
  <c r="L142" i="23"/>
  <c r="L141" i="23"/>
  <c r="M141" i="23" s="1"/>
  <c r="L140" i="23"/>
  <c r="M140" i="23" s="1"/>
  <c r="L139" i="23"/>
  <c r="M139" i="23" s="1"/>
  <c r="L138" i="23"/>
  <c r="M138" i="23" s="1"/>
  <c r="AK175" i="23"/>
  <c r="AK174" i="23"/>
  <c r="AK173" i="23"/>
  <c r="AK172" i="23"/>
  <c r="AK171" i="23"/>
  <c r="AK170" i="23"/>
  <c r="AK169" i="23"/>
  <c r="AK168" i="23"/>
  <c r="AK167" i="23"/>
  <c r="AK166" i="23"/>
  <c r="AK165" i="23"/>
  <c r="AK164" i="23"/>
  <c r="AK163" i="23"/>
  <c r="AK162" i="23"/>
  <c r="AK161" i="23"/>
  <c r="AK160" i="23"/>
  <c r="AK159" i="23"/>
  <c r="AK158" i="23"/>
  <c r="AK157" i="23"/>
  <c r="AK156" i="23"/>
  <c r="AK155" i="23"/>
  <c r="AK154" i="23"/>
  <c r="AK153" i="23"/>
  <c r="AK152" i="23"/>
  <c r="AK151" i="23"/>
  <c r="AK150" i="23"/>
  <c r="AK149" i="23"/>
  <c r="AK148" i="23"/>
  <c r="AK147" i="23"/>
  <c r="AK146" i="23"/>
  <c r="AK145" i="23"/>
  <c r="AK144" i="23"/>
  <c r="AK143" i="23"/>
  <c r="AK142" i="23"/>
  <c r="AK141" i="23"/>
  <c r="AK140" i="23"/>
  <c r="AK139" i="23"/>
  <c r="AK138" i="23"/>
  <c r="AK130" i="23"/>
  <c r="AK129" i="23"/>
  <c r="AK128" i="23"/>
  <c r="AK127" i="23"/>
  <c r="AK126" i="23"/>
  <c r="AK125" i="23"/>
  <c r="AK124" i="23"/>
  <c r="AK123" i="23"/>
  <c r="AK122" i="23"/>
  <c r="AK121" i="23"/>
  <c r="AK120" i="23"/>
  <c r="AK119" i="23"/>
  <c r="AK118" i="23"/>
  <c r="AK117" i="23"/>
  <c r="AK116" i="23"/>
  <c r="AK115" i="23"/>
  <c r="AK114" i="23"/>
  <c r="AK113" i="23"/>
  <c r="AK112" i="23"/>
  <c r="AK111" i="23"/>
  <c r="AK110" i="23"/>
  <c r="AK109" i="23"/>
  <c r="AK108" i="23"/>
  <c r="AK107" i="23"/>
  <c r="AK106" i="23"/>
  <c r="AK105" i="23"/>
  <c r="AK104" i="23"/>
  <c r="AK103" i="23"/>
  <c r="AK102" i="23"/>
  <c r="AK101" i="23"/>
  <c r="AK100" i="23"/>
  <c r="AK99" i="23"/>
  <c r="AK98" i="23"/>
  <c r="AK97" i="23"/>
  <c r="AK96" i="23"/>
  <c r="AK95" i="23"/>
  <c r="AK94" i="23"/>
  <c r="AK93" i="23"/>
  <c r="AK92" i="23"/>
  <c r="AK91" i="23"/>
  <c r="BA33" i="23" s="1"/>
  <c r="L130" i="23"/>
  <c r="M130" i="23" s="1"/>
  <c r="L129" i="23"/>
  <c r="L128" i="23"/>
  <c r="M128" i="23" s="1"/>
  <c r="L127" i="23"/>
  <c r="M127" i="23" s="1"/>
  <c r="L126" i="23"/>
  <c r="M126" i="23" s="1"/>
  <c r="L125" i="23"/>
  <c r="L124" i="23"/>
  <c r="M124" i="23" s="1"/>
  <c r="L123" i="23"/>
  <c r="M123" i="23" s="1"/>
  <c r="L122" i="23"/>
  <c r="M122" i="23" s="1"/>
  <c r="L121" i="23"/>
  <c r="L120" i="23"/>
  <c r="M120" i="23" s="1"/>
  <c r="L119" i="23"/>
  <c r="M119" i="23" s="1"/>
  <c r="L118" i="23"/>
  <c r="M118" i="23" s="1"/>
  <c r="L117" i="23"/>
  <c r="L116" i="23"/>
  <c r="M116" i="23" s="1"/>
  <c r="L115" i="23"/>
  <c r="M115" i="23" s="1"/>
  <c r="L114" i="23"/>
  <c r="M114" i="23" s="1"/>
  <c r="L113" i="23"/>
  <c r="L112" i="23"/>
  <c r="M112" i="23" s="1"/>
  <c r="L111" i="23"/>
  <c r="M111" i="23" s="1"/>
  <c r="L110" i="23"/>
  <c r="L109" i="23"/>
  <c r="L108" i="23"/>
  <c r="M108" i="23" s="1"/>
  <c r="L107" i="23"/>
  <c r="M107" i="23" s="1"/>
  <c r="L106" i="23"/>
  <c r="L105" i="23"/>
  <c r="L104" i="23"/>
  <c r="M104" i="23" s="1"/>
  <c r="L103" i="23"/>
  <c r="M103" i="23" s="1"/>
  <c r="L102" i="23"/>
  <c r="L101" i="23"/>
  <c r="L100" i="23"/>
  <c r="M100" i="23" s="1"/>
  <c r="L99" i="23"/>
  <c r="M99" i="23" s="1"/>
  <c r="L98" i="23"/>
  <c r="M98" i="23" s="1"/>
  <c r="L97" i="23"/>
  <c r="L96" i="23"/>
  <c r="M96" i="23" s="1"/>
  <c r="L95" i="23"/>
  <c r="M95" i="23" s="1"/>
  <c r="L94" i="23"/>
  <c r="M94" i="23" s="1"/>
  <c r="L93" i="23"/>
  <c r="L92" i="23"/>
  <c r="M92" i="23" s="1"/>
  <c r="L91" i="23"/>
  <c r="M91" i="23" s="1"/>
  <c r="L83" i="23"/>
  <c r="M83" i="23" s="1"/>
  <c r="L82" i="23"/>
  <c r="L81" i="23"/>
  <c r="M81" i="23" s="1"/>
  <c r="L80" i="23"/>
  <c r="M80" i="23" s="1"/>
  <c r="L79" i="23"/>
  <c r="M79" i="23" s="1"/>
  <c r="L78" i="23"/>
  <c r="M78" i="23" s="1"/>
  <c r="L77" i="23"/>
  <c r="M77" i="23" s="1"/>
  <c r="L76" i="23"/>
  <c r="M76" i="23" s="1"/>
  <c r="L75" i="23"/>
  <c r="L74" i="23"/>
  <c r="L73" i="23"/>
  <c r="M73" i="23" s="1"/>
  <c r="L72" i="23"/>
  <c r="M72" i="23" s="1"/>
  <c r="L71" i="23"/>
  <c r="M71" i="23" s="1"/>
  <c r="L70" i="23"/>
  <c r="L69" i="23"/>
  <c r="M69" i="23" s="1"/>
  <c r="AK83" i="23"/>
  <c r="AK82" i="23"/>
  <c r="AK81" i="23"/>
  <c r="AK80" i="23"/>
  <c r="AK79" i="23"/>
  <c r="AK78" i="23"/>
  <c r="AK77" i="23"/>
  <c r="AK76" i="23"/>
  <c r="AK75" i="23"/>
  <c r="AK74" i="23"/>
  <c r="AK73" i="23"/>
  <c r="AK72" i="23"/>
  <c r="AK71" i="23"/>
  <c r="BF31" i="23" s="1"/>
  <c r="AK70" i="23"/>
  <c r="AK69" i="23"/>
  <c r="AK61" i="23"/>
  <c r="AK60" i="23"/>
  <c r="AK59" i="23"/>
  <c r="AK58" i="23"/>
  <c r="AK57" i="23"/>
  <c r="AK56" i="23"/>
  <c r="AK55" i="23"/>
  <c r="AK54" i="23"/>
  <c r="AK53" i="23"/>
  <c r="AK52" i="23"/>
  <c r="AK51" i="23"/>
  <c r="AK50" i="23"/>
  <c r="AK49" i="23"/>
  <c r="AK48" i="23"/>
  <c r="AK47" i="23"/>
  <c r="AK46" i="23"/>
  <c r="AK45" i="23"/>
  <c r="AK44" i="23"/>
  <c r="AK43" i="23"/>
  <c r="AK42" i="23"/>
  <c r="AK41" i="23"/>
  <c r="AK40" i="23"/>
  <c r="AK39" i="23"/>
  <c r="AK38" i="23"/>
  <c r="AK37" i="23"/>
  <c r="AK36" i="23"/>
  <c r="AK35" i="23"/>
  <c r="AK34" i="23"/>
  <c r="AK33" i="23"/>
  <c r="AK32" i="23"/>
  <c r="AK31" i="23"/>
  <c r="AK30" i="23"/>
  <c r="AK29" i="23"/>
  <c r="AK28" i="23"/>
  <c r="AK27" i="23"/>
  <c r="AK26" i="23"/>
  <c r="AK25" i="23"/>
  <c r="AK24" i="23"/>
  <c r="AK23" i="23"/>
  <c r="AK22" i="23"/>
  <c r="AK21" i="23"/>
  <c r="AK20" i="23"/>
  <c r="AK19" i="23"/>
  <c r="AK18" i="23"/>
  <c r="AK17" i="23"/>
  <c r="AK16" i="23"/>
  <c r="BI14" i="23" s="1"/>
  <c r="S144" i="35" s="1"/>
  <c r="S143" i="35" s="1"/>
  <c r="AK15" i="23"/>
  <c r="AK14" i="23"/>
  <c r="L61" i="23"/>
  <c r="M61" i="23" s="1"/>
  <c r="L60" i="23"/>
  <c r="M60" i="23" s="1"/>
  <c r="L59" i="23"/>
  <c r="M59" i="23" s="1"/>
  <c r="L58" i="23"/>
  <c r="L57" i="23"/>
  <c r="M57" i="23" s="1"/>
  <c r="L56" i="23"/>
  <c r="M56" i="23" s="1"/>
  <c r="L55" i="23"/>
  <c r="M55" i="23" s="1"/>
  <c r="L54" i="23"/>
  <c r="M54" i="23" s="1"/>
  <c r="L53" i="23"/>
  <c r="M53" i="23" s="1"/>
  <c r="L52" i="23"/>
  <c r="M52" i="23" s="1"/>
  <c r="L51" i="23"/>
  <c r="M51" i="23" s="1"/>
  <c r="L50" i="23"/>
  <c r="L49" i="23"/>
  <c r="M49" i="23" s="1"/>
  <c r="L48" i="23"/>
  <c r="M48" i="23" s="1"/>
  <c r="L47" i="23"/>
  <c r="L46" i="23"/>
  <c r="L45" i="23"/>
  <c r="M45" i="23" s="1"/>
  <c r="L44" i="23"/>
  <c r="M44" i="23" s="1"/>
  <c r="L43" i="23"/>
  <c r="M43" i="23" s="1"/>
  <c r="L42" i="23"/>
  <c r="L41" i="23"/>
  <c r="M41" i="23" s="1"/>
  <c r="L40" i="23"/>
  <c r="M40" i="23" s="1"/>
  <c r="L39" i="23"/>
  <c r="M39" i="23" s="1"/>
  <c r="L38" i="23"/>
  <c r="M38" i="23" s="1"/>
  <c r="L37" i="23"/>
  <c r="M37" i="23" s="1"/>
  <c r="L36" i="23"/>
  <c r="M36" i="23" s="1"/>
  <c r="L35" i="23"/>
  <c r="M35" i="23" s="1"/>
  <c r="L34" i="23"/>
  <c r="L33" i="23"/>
  <c r="M33" i="23" s="1"/>
  <c r="L32" i="23"/>
  <c r="M32" i="23" s="1"/>
  <c r="L31" i="23"/>
  <c r="M31" i="23" s="1"/>
  <c r="L30" i="23"/>
  <c r="L29" i="23"/>
  <c r="M29" i="23" s="1"/>
  <c r="L28" i="23"/>
  <c r="M28" i="23" s="1"/>
  <c r="L27" i="23"/>
  <c r="M27" i="23" s="1"/>
  <c r="L26" i="23"/>
  <c r="L25" i="23"/>
  <c r="M25" i="23" s="1"/>
  <c r="L24" i="23"/>
  <c r="M24" i="23" s="1"/>
  <c r="L23" i="23"/>
  <c r="M23" i="23" s="1"/>
  <c r="L22" i="23"/>
  <c r="L21" i="23"/>
  <c r="M21" i="23" s="1"/>
  <c r="L20" i="23"/>
  <c r="M20" i="23" s="1"/>
  <c r="L19" i="23"/>
  <c r="M19" i="23" s="1"/>
  <c r="L18" i="23"/>
  <c r="L17" i="23"/>
  <c r="M17" i="23" s="1"/>
  <c r="L16" i="23"/>
  <c r="M16" i="23" s="1"/>
  <c r="L15" i="23"/>
  <c r="M15" i="23" s="1"/>
  <c r="L14" i="23"/>
  <c r="AJ140" i="22"/>
  <c r="AJ162" i="22"/>
  <c r="AJ161" i="22"/>
  <c r="AJ160" i="22"/>
  <c r="AJ159" i="22"/>
  <c r="AJ158" i="22"/>
  <c r="AJ157" i="22"/>
  <c r="AJ156" i="22"/>
  <c r="AJ155" i="22"/>
  <c r="AJ154" i="22"/>
  <c r="AJ153" i="22"/>
  <c r="AJ152" i="22"/>
  <c r="AJ151" i="22"/>
  <c r="AJ150" i="22"/>
  <c r="AJ149" i="22"/>
  <c r="AJ148" i="22"/>
  <c r="AJ147" i="22"/>
  <c r="AJ146" i="22"/>
  <c r="AJ145" i="22"/>
  <c r="AJ144" i="22"/>
  <c r="AJ143" i="22"/>
  <c r="AJ142" i="22"/>
  <c r="AJ141" i="22"/>
  <c r="AJ139" i="22"/>
  <c r="AJ138" i="22"/>
  <c r="AJ137" i="22"/>
  <c r="AJ136" i="22"/>
  <c r="AJ135" i="22"/>
  <c r="AJ134" i="22"/>
  <c r="AJ133" i="22"/>
  <c r="BA29" i="22" s="1"/>
  <c r="K162" i="22"/>
  <c r="L162" i="22" s="1"/>
  <c r="K161" i="22"/>
  <c r="K160" i="22"/>
  <c r="L160" i="22" s="1"/>
  <c r="K159" i="22"/>
  <c r="L159" i="22" s="1"/>
  <c r="K158" i="22"/>
  <c r="L158" i="22" s="1"/>
  <c r="K157" i="22"/>
  <c r="K156" i="22"/>
  <c r="L156" i="22" s="1"/>
  <c r="K155" i="22"/>
  <c r="L155" i="22" s="1"/>
  <c r="K154" i="22"/>
  <c r="K153" i="22"/>
  <c r="L153" i="22" s="1"/>
  <c r="K152" i="22"/>
  <c r="L152" i="22" s="1"/>
  <c r="K151" i="22"/>
  <c r="L151" i="22" s="1"/>
  <c r="K150" i="22"/>
  <c r="L150" i="22" s="1"/>
  <c r="K149" i="22"/>
  <c r="K148" i="22"/>
  <c r="L148" i="22" s="1"/>
  <c r="K147" i="22"/>
  <c r="L147" i="22" s="1"/>
  <c r="K146" i="22"/>
  <c r="L146" i="22" s="1"/>
  <c r="K145" i="22"/>
  <c r="K144" i="22"/>
  <c r="L144" i="22" s="1"/>
  <c r="K143" i="22"/>
  <c r="L143" i="22" s="1"/>
  <c r="K142" i="22"/>
  <c r="K141" i="22"/>
  <c r="K140" i="22"/>
  <c r="L140" i="22" s="1"/>
  <c r="K139" i="22"/>
  <c r="L139" i="22" s="1"/>
  <c r="K138" i="22"/>
  <c r="L138" i="22" s="1"/>
  <c r="K137" i="22"/>
  <c r="K136" i="22"/>
  <c r="L136" i="22" s="1"/>
  <c r="K135" i="22"/>
  <c r="L135" i="22" s="1"/>
  <c r="K134" i="22"/>
  <c r="L134" i="22" s="1"/>
  <c r="K133" i="22"/>
  <c r="K125" i="22"/>
  <c r="L125" i="22" s="1"/>
  <c r="K124" i="22"/>
  <c r="L124" i="22" s="1"/>
  <c r="K123" i="22"/>
  <c r="L123" i="22" s="1"/>
  <c r="K122" i="22"/>
  <c r="K121" i="22"/>
  <c r="L121" i="22" s="1"/>
  <c r="K120" i="22"/>
  <c r="L120" i="22" s="1"/>
  <c r="K119" i="22"/>
  <c r="L119" i="22" s="1"/>
  <c r="K118" i="22"/>
  <c r="L118" i="22" s="1"/>
  <c r="K117" i="22"/>
  <c r="L117" i="22" s="1"/>
  <c r="K116" i="22"/>
  <c r="L116" i="22" s="1"/>
  <c r="K115" i="22"/>
  <c r="L115" i="22" s="1"/>
  <c r="K114" i="22"/>
  <c r="K113" i="22"/>
  <c r="L113" i="22" s="1"/>
  <c r="K112" i="22"/>
  <c r="L112" i="22" s="1"/>
  <c r="K111" i="22"/>
  <c r="L111" i="22" s="1"/>
  <c r="K110" i="22"/>
  <c r="K109" i="22"/>
  <c r="L109" i="22" s="1"/>
  <c r="K108" i="22"/>
  <c r="L108" i="22" s="1"/>
  <c r="K107" i="22"/>
  <c r="L107" i="22" s="1"/>
  <c r="K106" i="22"/>
  <c r="K105" i="22"/>
  <c r="L105" i="22" s="1"/>
  <c r="K104" i="22"/>
  <c r="L104" i="22" s="1"/>
  <c r="K103" i="22"/>
  <c r="L103" i="22" s="1"/>
  <c r="K102" i="22"/>
  <c r="L102" i="22" s="1"/>
  <c r="K101" i="22"/>
  <c r="L101" i="22" s="1"/>
  <c r="K100" i="22"/>
  <c r="L100" i="22" s="1"/>
  <c r="K99" i="22"/>
  <c r="L99" i="22" s="1"/>
  <c r="K98" i="22"/>
  <c r="K97" i="22"/>
  <c r="L97" i="22" s="1"/>
  <c r="K96" i="22"/>
  <c r="L96" i="22" s="1"/>
  <c r="K95" i="22"/>
  <c r="K94" i="22"/>
  <c r="K93" i="22"/>
  <c r="L93" i="22" s="1"/>
  <c r="K92" i="22"/>
  <c r="L92" i="22" s="1"/>
  <c r="K91" i="22"/>
  <c r="L91" i="22" s="1"/>
  <c r="K90" i="22"/>
  <c r="AJ125" i="22"/>
  <c r="AJ124" i="22"/>
  <c r="AJ123" i="22"/>
  <c r="AJ122" i="22"/>
  <c r="AJ121" i="22"/>
  <c r="AJ120" i="22"/>
  <c r="AJ119" i="22"/>
  <c r="AJ118" i="22"/>
  <c r="AJ117" i="22"/>
  <c r="AJ116" i="22"/>
  <c r="AJ115" i="22"/>
  <c r="AJ114" i="22"/>
  <c r="AJ113" i="22"/>
  <c r="AJ112" i="22"/>
  <c r="AJ111" i="22"/>
  <c r="AJ110" i="22"/>
  <c r="AJ109" i="22"/>
  <c r="AJ108" i="22"/>
  <c r="AJ107" i="22"/>
  <c r="AJ106" i="22"/>
  <c r="AJ105" i="22"/>
  <c r="AJ104" i="22"/>
  <c r="AJ103" i="22"/>
  <c r="AJ102" i="22"/>
  <c r="AJ101" i="22"/>
  <c r="AJ100" i="22"/>
  <c r="AJ99" i="22"/>
  <c r="AJ98" i="22"/>
  <c r="AJ97" i="22"/>
  <c r="AJ96" i="22"/>
  <c r="AJ95" i="22"/>
  <c r="AJ94" i="22"/>
  <c r="AJ93" i="22"/>
  <c r="AJ92" i="22"/>
  <c r="AJ91" i="22"/>
  <c r="AJ90" i="22"/>
  <c r="K82" i="22"/>
  <c r="L82" i="22" s="1"/>
  <c r="K81" i="22"/>
  <c r="L81" i="22" s="1"/>
  <c r="K80" i="22"/>
  <c r="L80" i="22" s="1"/>
  <c r="K79" i="22"/>
  <c r="L79" i="22" s="1"/>
  <c r="K78" i="22"/>
  <c r="L78" i="22" s="1"/>
  <c r="K77" i="22"/>
  <c r="L77" i="22" s="1"/>
  <c r="K76" i="22"/>
  <c r="L76" i="22" s="1"/>
  <c r="K75" i="22"/>
  <c r="L75" i="22" s="1"/>
  <c r="K74" i="22"/>
  <c r="L74" i="22" s="1"/>
  <c r="K73" i="22"/>
  <c r="L73" i="22" s="1"/>
  <c r="K72" i="22"/>
  <c r="K71" i="22"/>
  <c r="L71" i="22" s="1"/>
  <c r="K70" i="22"/>
  <c r="L70" i="22" s="1"/>
  <c r="K69" i="22"/>
  <c r="L69" i="22" s="1"/>
  <c r="K68" i="22"/>
  <c r="L68" i="22" s="1"/>
  <c r="K67" i="22"/>
  <c r="L67" i="22" s="1"/>
  <c r="K66" i="22"/>
  <c r="L66" i="22" s="1"/>
  <c r="K65" i="22"/>
  <c r="L65" i="22" s="1"/>
  <c r="K64" i="22"/>
  <c r="L64" i="22" s="1"/>
  <c r="K63" i="22"/>
  <c r="L63" i="22" s="1"/>
  <c r="K62" i="22"/>
  <c r="L62" i="22" s="1"/>
  <c r="K61" i="22"/>
  <c r="L61" i="22" s="1"/>
  <c r="K60" i="22"/>
  <c r="L60" i="22" s="1"/>
  <c r="K59" i="22"/>
  <c r="L59" i="22" s="1"/>
  <c r="K58" i="22"/>
  <c r="L58" i="22" s="1"/>
  <c r="K57" i="22"/>
  <c r="L57" i="22" s="1"/>
  <c r="K56" i="22"/>
  <c r="K55" i="22"/>
  <c r="L55" i="22" s="1"/>
  <c r="K54" i="22"/>
  <c r="L54" i="22" s="1"/>
  <c r="K53" i="22"/>
  <c r="L53" i="22" s="1"/>
  <c r="K52" i="22"/>
  <c r="L52" i="22" s="1"/>
  <c r="K51" i="22"/>
  <c r="L51" i="22" s="1"/>
  <c r="K50" i="22"/>
  <c r="L50" i="22" s="1"/>
  <c r="K49" i="22"/>
  <c r="L49" i="22" s="1"/>
  <c r="K48" i="22"/>
  <c r="L48" i="22" s="1"/>
  <c r="K47" i="22"/>
  <c r="L47" i="22" s="1"/>
  <c r="K46" i="22"/>
  <c r="L46" i="22" s="1"/>
  <c r="K45" i="22"/>
  <c r="L45" i="22" s="1"/>
  <c r="K44" i="22"/>
  <c r="L44" i="22" s="1"/>
  <c r="K43" i="22"/>
  <c r="K42" i="22"/>
  <c r="L42" i="22" s="1"/>
  <c r="K41" i="22"/>
  <c r="L41" i="22" s="1"/>
  <c r="AJ33" i="22"/>
  <c r="AJ32" i="22"/>
  <c r="AJ31" i="22"/>
  <c r="AJ30" i="22"/>
  <c r="AJ29" i="22"/>
  <c r="AJ28" i="22"/>
  <c r="AJ27" i="22"/>
  <c r="AJ26" i="22"/>
  <c r="AJ25" i="22"/>
  <c r="AJ24" i="22"/>
  <c r="AJ23" i="22"/>
  <c r="AJ22" i="22"/>
  <c r="AJ21" i="22"/>
  <c r="AJ20" i="22"/>
  <c r="AJ19" i="22"/>
  <c r="AJ18" i="22"/>
  <c r="AJ17" i="22"/>
  <c r="AJ16" i="22"/>
  <c r="AJ15" i="22"/>
  <c r="AJ14" i="22"/>
  <c r="AX24" i="22" s="1"/>
  <c r="K33" i="22"/>
  <c r="L33" i="22" s="1"/>
  <c r="K32" i="22"/>
  <c r="K31" i="22"/>
  <c r="L31" i="22" s="1"/>
  <c r="K30" i="22"/>
  <c r="L30" i="22" s="1"/>
  <c r="K29" i="22"/>
  <c r="L29" i="22" s="1"/>
  <c r="K28" i="22"/>
  <c r="K27" i="22"/>
  <c r="L27" i="22" s="1"/>
  <c r="K26" i="22"/>
  <c r="L26" i="22" s="1"/>
  <c r="K25" i="22"/>
  <c r="K24" i="22"/>
  <c r="L24" i="22" s="1"/>
  <c r="K23" i="22"/>
  <c r="L23" i="22" s="1"/>
  <c r="K22" i="22"/>
  <c r="L22" i="22" s="1"/>
  <c r="K21" i="22"/>
  <c r="L21" i="22" s="1"/>
  <c r="K20" i="22"/>
  <c r="K19" i="22"/>
  <c r="L19" i="22" s="1"/>
  <c r="K18" i="22"/>
  <c r="L18" i="22" s="1"/>
  <c r="K17" i="22"/>
  <c r="L17" i="22" s="1"/>
  <c r="K16" i="22"/>
  <c r="K15" i="22"/>
  <c r="L15" i="22" s="1"/>
  <c r="K14" i="22"/>
  <c r="L14" i="22" s="1"/>
  <c r="S64" i="34"/>
  <c r="T64" i="34" s="1"/>
  <c r="Z64" i="34"/>
  <c r="AA64" i="34" s="1"/>
  <c r="AG64" i="34"/>
  <c r="AH64" i="34" s="1"/>
  <c r="AJ40" i="34"/>
  <c r="AJ66" i="24"/>
  <c r="K137" i="23"/>
  <c r="J137" i="23"/>
  <c r="I137" i="23"/>
  <c r="K136" i="23"/>
  <c r="J136" i="23"/>
  <c r="L137" i="23"/>
  <c r="M137" i="23"/>
  <c r="AM90" i="23"/>
  <c r="AL90" i="23"/>
  <c r="M68" i="23"/>
  <c r="L68" i="23"/>
  <c r="K68" i="23"/>
  <c r="J68" i="23"/>
  <c r="I68" i="23"/>
  <c r="H68" i="23"/>
  <c r="G68" i="23"/>
  <c r="F68" i="23"/>
  <c r="E68" i="23"/>
  <c r="D68" i="23"/>
  <c r="C68" i="23"/>
  <c r="B68" i="23"/>
  <c r="A68" i="23"/>
  <c r="K67" i="23"/>
  <c r="J67" i="23"/>
  <c r="H67" i="23"/>
  <c r="G67" i="23"/>
  <c r="F67" i="23"/>
  <c r="D67" i="23"/>
  <c r="C67" i="23"/>
  <c r="B67" i="23"/>
  <c r="AJ67" i="23"/>
  <c r="AJ89" i="23" s="1"/>
  <c r="AJ136" i="23" s="1"/>
  <c r="J39" i="22"/>
  <c r="J88" i="22" s="1"/>
  <c r="J121" i="17"/>
  <c r="AJ105" i="15"/>
  <c r="M6" i="1"/>
  <c r="L6" i="1"/>
  <c r="K6" i="1"/>
  <c r="L1" i="14"/>
  <c r="A7" i="14" s="1"/>
  <c r="A3" i="1"/>
  <c r="N12" i="17" s="1"/>
  <c r="N47" i="17" s="1"/>
  <c r="M81" i="17" s="1"/>
  <c r="M121" i="17" s="1"/>
  <c r="L1" i="23"/>
  <c r="B3" i="23" s="1"/>
  <c r="L1" i="35"/>
  <c r="F14" i="35" s="1"/>
  <c r="F100" i="35" s="1"/>
  <c r="F186" i="35" s="1"/>
  <c r="F272" i="35" s="1"/>
  <c r="L1" i="34"/>
  <c r="G3" i="34" s="1"/>
  <c r="L1" i="24"/>
  <c r="K1" i="11"/>
  <c r="A8" i="11" s="1"/>
  <c r="J1" i="21"/>
  <c r="L1" i="17"/>
  <c r="A45" i="17" s="1"/>
  <c r="G19" i="1"/>
  <c r="K1" i="9"/>
  <c r="B77" i="9" s="1"/>
  <c r="K1" i="15"/>
  <c r="X13" i="15" s="1"/>
  <c r="X106" i="15" s="1"/>
  <c r="E11" i="1"/>
  <c r="D6" i="1"/>
  <c r="H6" i="1"/>
  <c r="D15" i="1"/>
  <c r="D7" i="1"/>
  <c r="H12" i="1"/>
  <c r="C17" i="1"/>
  <c r="D3" i="1"/>
  <c r="E10" i="1"/>
  <c r="E19" i="1"/>
  <c r="F19" i="1"/>
  <c r="D4" i="1"/>
  <c r="D9" i="1"/>
  <c r="I3" i="1"/>
  <c r="K5" i="1"/>
  <c r="D13" i="1"/>
  <c r="C19" i="1"/>
  <c r="D5" i="1"/>
  <c r="E9" i="1"/>
  <c r="D14" i="1"/>
  <c r="BI20" i="17"/>
  <c r="S304" i="35" s="1"/>
  <c r="S303" i="35" s="1"/>
  <c r="BH20" i="17"/>
  <c r="R304" i="35" s="1"/>
  <c r="R303" i="35" s="1"/>
  <c r="BG20" i="17"/>
  <c r="Q392" i="35" s="1"/>
  <c r="Q391" i="35" s="1"/>
  <c r="BF20" i="17"/>
  <c r="P46" i="35" s="1"/>
  <c r="P45" i="35" s="1"/>
  <c r="BE20" i="17"/>
  <c r="N392" i="35" s="1"/>
  <c r="N391" i="35" s="1"/>
  <c r="BD20" i="17"/>
  <c r="M46" i="35" s="1"/>
  <c r="M45" i="35" s="1"/>
  <c r="BC20" i="17"/>
  <c r="L46" i="35" s="1"/>
  <c r="L45" i="35" s="1"/>
  <c r="BB20" i="17"/>
  <c r="K392" i="35" s="1"/>
  <c r="K391" i="35" s="1"/>
  <c r="BA20" i="17"/>
  <c r="I132" i="35" s="1"/>
  <c r="I131" i="35" s="1"/>
  <c r="AZ20" i="17"/>
  <c r="H304" i="35" s="1"/>
  <c r="H303" i="35" s="1"/>
  <c r="AY20" i="17"/>
  <c r="G304" i="35" s="1"/>
  <c r="AX20" i="17"/>
  <c r="F304" i="35" s="1"/>
  <c r="F303" i="35" s="1"/>
  <c r="BI19" i="34"/>
  <c r="S349" i="35" s="1"/>
  <c r="S348" i="35" s="1"/>
  <c r="BH19" i="34"/>
  <c r="BG19" i="34"/>
  <c r="Q609" i="35" s="1"/>
  <c r="BF19" i="34"/>
  <c r="BE19" i="34"/>
  <c r="BD19" i="34"/>
  <c r="M263" i="35" s="1"/>
  <c r="M262" i="35" s="1"/>
  <c r="BC19" i="34"/>
  <c r="L523" i="35" s="1"/>
  <c r="L522" i="35" s="1"/>
  <c r="BB19" i="34"/>
  <c r="K349" i="35" s="1"/>
  <c r="K348" i="35" s="1"/>
  <c r="BA19" i="34"/>
  <c r="I437" i="35" s="1"/>
  <c r="I436" i="35" s="1"/>
  <c r="AZ19" i="34"/>
  <c r="H437" i="35" s="1"/>
  <c r="H436" i="35" s="1"/>
  <c r="AY19" i="34"/>
  <c r="G694" i="35" s="1"/>
  <c r="AX19" i="34"/>
  <c r="G458" i="35"/>
  <c r="L458" i="35"/>
  <c r="K458" i="35"/>
  <c r="I458" i="35"/>
  <c r="H458" i="35"/>
  <c r="S458" i="35"/>
  <c r="R458" i="35"/>
  <c r="Q458" i="35"/>
  <c r="P458" i="35"/>
  <c r="N458" i="35"/>
  <c r="M458" i="35"/>
  <c r="P72" i="85"/>
  <c r="P90" i="85"/>
  <c r="O90" i="85"/>
  <c r="N90" i="85"/>
  <c r="M90" i="85"/>
  <c r="L90" i="85"/>
  <c r="K90" i="85"/>
  <c r="J90" i="85"/>
  <c r="I90" i="85"/>
  <c r="H90" i="85"/>
  <c r="G90" i="85"/>
  <c r="F90" i="85"/>
  <c r="E90" i="85"/>
  <c r="P89" i="85"/>
  <c r="O89" i="85"/>
  <c r="N89" i="85"/>
  <c r="M89" i="85"/>
  <c r="L89" i="85"/>
  <c r="K89" i="85"/>
  <c r="J89" i="85"/>
  <c r="I89" i="85"/>
  <c r="H89" i="85"/>
  <c r="G89" i="85"/>
  <c r="F89" i="85"/>
  <c r="E89" i="85"/>
  <c r="P88" i="85"/>
  <c r="O88" i="85"/>
  <c r="N88" i="85"/>
  <c r="M88" i="85"/>
  <c r="L88" i="85"/>
  <c r="K88" i="85"/>
  <c r="J88" i="85"/>
  <c r="I88" i="85"/>
  <c r="H88" i="85"/>
  <c r="G88" i="85"/>
  <c r="F88" i="85"/>
  <c r="E88" i="85"/>
  <c r="P86" i="85"/>
  <c r="O86" i="85"/>
  <c r="N86" i="85"/>
  <c r="M86" i="85"/>
  <c r="L86" i="85"/>
  <c r="K86" i="85"/>
  <c r="J86" i="85"/>
  <c r="I86" i="85"/>
  <c r="H86" i="85"/>
  <c r="G86" i="85"/>
  <c r="F86" i="85"/>
  <c r="E86" i="85"/>
  <c r="P85" i="85"/>
  <c r="O85" i="85"/>
  <c r="N85" i="85"/>
  <c r="M85" i="85"/>
  <c r="L85" i="85"/>
  <c r="K85" i="85"/>
  <c r="J85" i="85"/>
  <c r="I85" i="85"/>
  <c r="H85" i="85"/>
  <c r="G85" i="85"/>
  <c r="F85" i="85"/>
  <c r="E85" i="85"/>
  <c r="P84" i="85"/>
  <c r="O84" i="85"/>
  <c r="N84" i="85"/>
  <c r="M84" i="85"/>
  <c r="L84" i="85"/>
  <c r="K84" i="85"/>
  <c r="J84" i="85"/>
  <c r="I84" i="85"/>
  <c r="H84" i="85"/>
  <c r="G84" i="85"/>
  <c r="F84" i="85"/>
  <c r="E84" i="85"/>
  <c r="P82" i="85"/>
  <c r="O82" i="85"/>
  <c r="N82" i="85"/>
  <c r="M82" i="85"/>
  <c r="L82" i="85"/>
  <c r="K82" i="85"/>
  <c r="J82" i="85"/>
  <c r="I82" i="85"/>
  <c r="H82" i="85"/>
  <c r="G82" i="85"/>
  <c r="F82" i="85"/>
  <c r="E82" i="85"/>
  <c r="P81" i="85"/>
  <c r="O81" i="85"/>
  <c r="N81" i="85"/>
  <c r="M81" i="85"/>
  <c r="L81" i="85"/>
  <c r="K81" i="85"/>
  <c r="J81" i="85"/>
  <c r="I81" i="85"/>
  <c r="H81" i="85"/>
  <c r="G81" i="85"/>
  <c r="F81" i="85"/>
  <c r="E81" i="85"/>
  <c r="P80" i="85"/>
  <c r="O80" i="85"/>
  <c r="N80" i="85"/>
  <c r="M80" i="85"/>
  <c r="L80" i="85"/>
  <c r="K80" i="85"/>
  <c r="J80" i="85"/>
  <c r="I80" i="85"/>
  <c r="H80" i="85"/>
  <c r="G80" i="85"/>
  <c r="F80" i="85"/>
  <c r="E80" i="85"/>
  <c r="P78" i="85"/>
  <c r="O78" i="85"/>
  <c r="N78" i="85"/>
  <c r="M78" i="85"/>
  <c r="L78" i="85"/>
  <c r="K78" i="85"/>
  <c r="J78" i="85"/>
  <c r="I78" i="85"/>
  <c r="H78" i="85"/>
  <c r="G78" i="85"/>
  <c r="F78" i="85"/>
  <c r="E78" i="85"/>
  <c r="P77" i="85"/>
  <c r="O77" i="85"/>
  <c r="N77" i="85"/>
  <c r="M77" i="85"/>
  <c r="L77" i="85"/>
  <c r="K77" i="85"/>
  <c r="J77" i="85"/>
  <c r="I77" i="85"/>
  <c r="H77" i="85"/>
  <c r="G77" i="85"/>
  <c r="F77" i="85"/>
  <c r="E77" i="85"/>
  <c r="P76" i="85"/>
  <c r="O76" i="85"/>
  <c r="N76" i="85"/>
  <c r="M76" i="85"/>
  <c r="L76" i="85"/>
  <c r="K76" i="85"/>
  <c r="J76" i="85"/>
  <c r="I76" i="85"/>
  <c r="H76" i="85"/>
  <c r="G76" i="85"/>
  <c r="F76" i="85"/>
  <c r="E76" i="85"/>
  <c r="P74" i="85"/>
  <c r="O74" i="85"/>
  <c r="N74" i="85"/>
  <c r="M74" i="85"/>
  <c r="L74" i="85"/>
  <c r="K74" i="85"/>
  <c r="J74" i="85"/>
  <c r="I74" i="85"/>
  <c r="H74" i="85"/>
  <c r="G74" i="85"/>
  <c r="F74" i="85"/>
  <c r="E74" i="85"/>
  <c r="P73" i="85"/>
  <c r="O73" i="85"/>
  <c r="N73" i="85"/>
  <c r="M73" i="85"/>
  <c r="L73" i="85"/>
  <c r="K73" i="85"/>
  <c r="J73" i="85"/>
  <c r="I73" i="85"/>
  <c r="H73" i="85"/>
  <c r="G73" i="85"/>
  <c r="F73" i="85"/>
  <c r="E73" i="85"/>
  <c r="O72" i="85"/>
  <c r="N72" i="85"/>
  <c r="M72" i="85"/>
  <c r="L72" i="85"/>
  <c r="K72" i="85"/>
  <c r="J72" i="85"/>
  <c r="I72" i="85"/>
  <c r="H72" i="85"/>
  <c r="G72" i="85"/>
  <c r="F72" i="85"/>
  <c r="E72" i="85"/>
  <c r="P70" i="85"/>
  <c r="O70" i="85"/>
  <c r="N70" i="85"/>
  <c r="M70" i="85"/>
  <c r="L70" i="85"/>
  <c r="K70" i="85"/>
  <c r="J70" i="85"/>
  <c r="I70" i="85"/>
  <c r="H70" i="85"/>
  <c r="G70" i="85"/>
  <c r="F70" i="85"/>
  <c r="E70" i="85"/>
  <c r="P69" i="85"/>
  <c r="O69" i="85"/>
  <c r="N69" i="85"/>
  <c r="M69" i="85"/>
  <c r="L69" i="85"/>
  <c r="K69" i="85"/>
  <c r="J69" i="85"/>
  <c r="I69" i="85"/>
  <c r="H69" i="85"/>
  <c r="G69" i="85"/>
  <c r="F69" i="85"/>
  <c r="E69" i="85"/>
  <c r="P68" i="85"/>
  <c r="O68" i="85"/>
  <c r="N68" i="85"/>
  <c r="M68" i="85"/>
  <c r="L68" i="85"/>
  <c r="K68" i="85"/>
  <c r="J68" i="85"/>
  <c r="I68" i="85"/>
  <c r="H68" i="85"/>
  <c r="G68" i="85"/>
  <c r="F68" i="85"/>
  <c r="E68" i="85"/>
  <c r="P66" i="85"/>
  <c r="O66" i="85"/>
  <c r="N66" i="85"/>
  <c r="M66" i="85"/>
  <c r="L66" i="85"/>
  <c r="K66" i="85"/>
  <c r="J66" i="85"/>
  <c r="I66" i="85"/>
  <c r="H66" i="85"/>
  <c r="G66" i="85"/>
  <c r="F66" i="85"/>
  <c r="E66" i="85"/>
  <c r="P65" i="85"/>
  <c r="O65" i="85"/>
  <c r="N65" i="85"/>
  <c r="M65" i="85"/>
  <c r="L65" i="85"/>
  <c r="K65" i="85"/>
  <c r="J65" i="85"/>
  <c r="I65" i="85"/>
  <c r="H65" i="85"/>
  <c r="G65" i="85"/>
  <c r="F65" i="85"/>
  <c r="E65" i="85"/>
  <c r="P64" i="85"/>
  <c r="O64" i="85"/>
  <c r="N64" i="85"/>
  <c r="M64" i="85"/>
  <c r="L64" i="85"/>
  <c r="K64" i="85"/>
  <c r="J64" i="85"/>
  <c r="I64" i="85"/>
  <c r="H64" i="85"/>
  <c r="G64" i="85"/>
  <c r="F64" i="85"/>
  <c r="E64" i="85"/>
  <c r="M680" i="35"/>
  <c r="L680" i="35"/>
  <c r="K680" i="35"/>
  <c r="O680" i="35" s="1"/>
  <c r="I680" i="35"/>
  <c r="H680" i="35"/>
  <c r="G680" i="35"/>
  <c r="J680" i="35" s="1"/>
  <c r="K246" i="35"/>
  <c r="K243" i="35"/>
  <c r="I243" i="35"/>
  <c r="I246" i="35"/>
  <c r="H246" i="35"/>
  <c r="J246" i="35" s="1"/>
  <c r="G246" i="35"/>
  <c r="G243" i="35"/>
  <c r="BK550" i="58"/>
  <c r="BM550" i="58"/>
  <c r="BK551" i="58"/>
  <c r="BM551" i="58"/>
  <c r="BK552" i="58"/>
  <c r="BM552" i="58"/>
  <c r="BK554" i="58"/>
  <c r="BM554" i="58"/>
  <c r="BK555" i="58"/>
  <c r="BM555" i="58"/>
  <c r="BK556" i="58"/>
  <c r="BM556" i="58"/>
  <c r="BK557" i="58"/>
  <c r="BM557" i="58"/>
  <c r="BK558" i="58"/>
  <c r="BM558" i="58"/>
  <c r="BK559" i="58"/>
  <c r="BM559" i="58"/>
  <c r="BK560" i="58"/>
  <c r="BM560" i="58"/>
  <c r="BK561" i="58"/>
  <c r="BM561" i="58"/>
  <c r="N698" i="35"/>
  <c r="P698" i="35"/>
  <c r="Q698" i="35"/>
  <c r="R698" i="35"/>
  <c r="T698" i="35" s="1"/>
  <c r="S698" i="35"/>
  <c r="K698" i="35"/>
  <c r="L698" i="35"/>
  <c r="M698" i="35"/>
  <c r="O698" i="35" s="1"/>
  <c r="G698" i="35"/>
  <c r="H698" i="35"/>
  <c r="I698" i="35"/>
  <c r="J698" i="35" s="1"/>
  <c r="P683" i="35"/>
  <c r="T683" i="35" s="1"/>
  <c r="Q683" i="35"/>
  <c r="R683" i="35"/>
  <c r="S683" i="35"/>
  <c r="K683" i="35"/>
  <c r="O683" i="35" s="1"/>
  <c r="L683" i="35"/>
  <c r="M683" i="35"/>
  <c r="N683" i="35"/>
  <c r="G683" i="35"/>
  <c r="J683" i="35" s="1"/>
  <c r="H683" i="35"/>
  <c r="I683" i="35"/>
  <c r="P677" i="35"/>
  <c r="Q677" i="35"/>
  <c r="T677" i="35" s="1"/>
  <c r="R677" i="35"/>
  <c r="S677" i="35"/>
  <c r="K677" i="35"/>
  <c r="L677" i="35"/>
  <c r="O677" i="35" s="1"/>
  <c r="M677" i="35"/>
  <c r="N677" i="35"/>
  <c r="G677" i="35"/>
  <c r="H677" i="35"/>
  <c r="J677" i="35" s="1"/>
  <c r="I677" i="35"/>
  <c r="P613" i="35"/>
  <c r="Q613" i="35"/>
  <c r="R613" i="35"/>
  <c r="T613" i="35" s="1"/>
  <c r="S613" i="35"/>
  <c r="K613" i="35"/>
  <c r="L613" i="35"/>
  <c r="M613" i="35"/>
  <c r="O613" i="35" s="1"/>
  <c r="N613" i="35"/>
  <c r="G613" i="35"/>
  <c r="H613" i="35"/>
  <c r="I613" i="35"/>
  <c r="J613" i="35" s="1"/>
  <c r="P598" i="35"/>
  <c r="Q598" i="35"/>
  <c r="R598" i="35"/>
  <c r="S598" i="35"/>
  <c r="T598" i="35" s="1"/>
  <c r="K598" i="35"/>
  <c r="L598" i="35"/>
  <c r="M598" i="35"/>
  <c r="N598" i="35"/>
  <c r="O598" i="35" s="1"/>
  <c r="G598" i="35"/>
  <c r="H598" i="35"/>
  <c r="I598" i="35"/>
  <c r="P592" i="35"/>
  <c r="T592" i="35" s="1"/>
  <c r="Q592" i="35"/>
  <c r="R592" i="35"/>
  <c r="S592" i="35"/>
  <c r="K592" i="35"/>
  <c r="O592" i="35" s="1"/>
  <c r="L592" i="35"/>
  <c r="M592" i="35"/>
  <c r="N592" i="35"/>
  <c r="G592" i="35"/>
  <c r="J592" i="35" s="1"/>
  <c r="H592" i="35"/>
  <c r="I592" i="35"/>
  <c r="P527" i="35"/>
  <c r="Q527" i="35"/>
  <c r="T527" i="35" s="1"/>
  <c r="R527" i="35"/>
  <c r="S527" i="35"/>
  <c r="K527" i="35"/>
  <c r="L527" i="35"/>
  <c r="O527" i="35" s="1"/>
  <c r="M527" i="35"/>
  <c r="N527" i="35"/>
  <c r="I527" i="35"/>
  <c r="H527" i="35"/>
  <c r="J527" i="35" s="1"/>
  <c r="G527" i="35"/>
  <c r="P512" i="35"/>
  <c r="Q512" i="35"/>
  <c r="R512" i="35"/>
  <c r="T512" i="35" s="1"/>
  <c r="S512" i="35"/>
  <c r="K512" i="35"/>
  <c r="L512" i="35"/>
  <c r="M512" i="35"/>
  <c r="O512" i="35" s="1"/>
  <c r="N512" i="35"/>
  <c r="G512" i="35"/>
  <c r="H512" i="35"/>
  <c r="I512" i="35"/>
  <c r="J512" i="35" s="1"/>
  <c r="N506" i="35"/>
  <c r="P506" i="35"/>
  <c r="Q506" i="35"/>
  <c r="R506" i="35"/>
  <c r="T506" i="35" s="1"/>
  <c r="S506" i="35"/>
  <c r="K506" i="35"/>
  <c r="L506" i="35"/>
  <c r="M506" i="35"/>
  <c r="O506" i="35" s="1"/>
  <c r="G506" i="35"/>
  <c r="H506" i="35"/>
  <c r="I506" i="35"/>
  <c r="S441" i="35"/>
  <c r="T441" i="35" s="1"/>
  <c r="R441" i="35"/>
  <c r="Q441" i="35"/>
  <c r="P441" i="35"/>
  <c r="N441" i="35"/>
  <c r="O441" i="35" s="1"/>
  <c r="M441" i="35"/>
  <c r="L441" i="35"/>
  <c r="K441" i="35"/>
  <c r="I441" i="35"/>
  <c r="J441" i="35" s="1"/>
  <c r="H441" i="35"/>
  <c r="G441" i="35"/>
  <c r="G426" i="35"/>
  <c r="H426" i="35"/>
  <c r="J426" i="35" s="1"/>
  <c r="I426" i="35"/>
  <c r="K426" i="35"/>
  <c r="L426" i="35"/>
  <c r="M426" i="35"/>
  <c r="O426" i="35" s="1"/>
  <c r="N426" i="35"/>
  <c r="P426" i="35"/>
  <c r="Q426" i="35"/>
  <c r="R426" i="35"/>
  <c r="T426" i="35" s="1"/>
  <c r="S426" i="35"/>
  <c r="G420" i="35"/>
  <c r="H420" i="35"/>
  <c r="I420" i="35"/>
  <c r="J420" i="35" s="1"/>
  <c r="K420" i="35"/>
  <c r="L420" i="35"/>
  <c r="M420" i="35"/>
  <c r="N420" i="35"/>
  <c r="O420" i="35" s="1"/>
  <c r="P420" i="35"/>
  <c r="Q420" i="35"/>
  <c r="R420" i="35"/>
  <c r="S420" i="35"/>
  <c r="T420" i="35" s="1"/>
  <c r="J18" i="11"/>
  <c r="J21" i="11"/>
  <c r="H21" i="11"/>
  <c r="H18" i="11"/>
  <c r="F21" i="11"/>
  <c r="F18" i="11"/>
  <c r="BI19" i="17"/>
  <c r="S129" i="35" s="1"/>
  <c r="S128" i="35" s="1"/>
  <c r="BH19" i="17"/>
  <c r="R215" i="35" s="1"/>
  <c r="BG19" i="17"/>
  <c r="BF19" i="17"/>
  <c r="BE19" i="17"/>
  <c r="N561" i="35" s="1"/>
  <c r="N560" i="35" s="1"/>
  <c r="BD19" i="17"/>
  <c r="M475" i="35" s="1"/>
  <c r="M474" i="35" s="1"/>
  <c r="BC19" i="17"/>
  <c r="L215" i="35" s="1"/>
  <c r="L214" i="35" s="1"/>
  <c r="BB19" i="17"/>
  <c r="BA19" i="17"/>
  <c r="I129" i="35" s="1"/>
  <c r="I128" i="35" s="1"/>
  <c r="AZ19" i="17"/>
  <c r="H129" i="35" s="1"/>
  <c r="H128" i="35" s="1"/>
  <c r="AY19" i="17"/>
  <c r="G43" i="35" s="1"/>
  <c r="G42" i="35" s="1"/>
  <c r="AX19" i="17"/>
  <c r="AD14" i="85"/>
  <c r="AD15" i="85"/>
  <c r="AD16" i="85"/>
  <c r="AD17" i="85"/>
  <c r="AD18" i="85"/>
  <c r="AD19" i="85"/>
  <c r="AD20" i="85"/>
  <c r="AD21" i="85"/>
  <c r="AD22" i="85"/>
  <c r="AD23" i="85"/>
  <c r="AD24" i="85"/>
  <c r="AD25" i="85"/>
  <c r="AD26" i="85"/>
  <c r="AD27" i="85"/>
  <c r="AD28" i="85"/>
  <c r="AD29" i="85"/>
  <c r="AD30" i="85"/>
  <c r="AD31" i="85"/>
  <c r="AD32" i="85"/>
  <c r="AD33" i="85"/>
  <c r="AD34" i="85"/>
  <c r="AD35" i="85"/>
  <c r="AD36" i="85"/>
  <c r="AD37" i="85"/>
  <c r="AD38" i="85"/>
  <c r="AD39" i="85"/>
  <c r="AD40" i="85"/>
  <c r="AD41" i="85"/>
  <c r="AD42" i="85"/>
  <c r="AD43" i="85"/>
  <c r="AD44" i="85"/>
  <c r="AD45" i="85"/>
  <c r="AD46" i="85"/>
  <c r="AD47" i="85"/>
  <c r="AD48" i="85"/>
  <c r="AD49" i="85"/>
  <c r="AD50" i="85"/>
  <c r="AD51" i="85"/>
  <c r="AD52" i="85"/>
  <c r="AD53" i="85"/>
  <c r="AD54" i="85"/>
  <c r="AD55" i="85"/>
  <c r="AD56" i="85"/>
  <c r="AD57" i="85"/>
  <c r="AD58" i="85"/>
  <c r="E58" i="85"/>
  <c r="F58" i="85" s="1"/>
  <c r="E57" i="85"/>
  <c r="F57" i="85" s="1"/>
  <c r="E56" i="85"/>
  <c r="F56" i="85" s="1"/>
  <c r="E55" i="85"/>
  <c r="F55" i="85" s="1"/>
  <c r="E54" i="85"/>
  <c r="F54" i="85" s="1"/>
  <c r="E53" i="85"/>
  <c r="F53" i="85" s="1"/>
  <c r="E52" i="85"/>
  <c r="F52" i="85" s="1"/>
  <c r="E51" i="85"/>
  <c r="F51" i="85" s="1"/>
  <c r="E50" i="85"/>
  <c r="F50" i="85" s="1"/>
  <c r="E49" i="85"/>
  <c r="F49" i="85" s="1"/>
  <c r="E48" i="85"/>
  <c r="F48" i="85" s="1"/>
  <c r="E47" i="85"/>
  <c r="F47" i="85" s="1"/>
  <c r="E46" i="85"/>
  <c r="F46" i="85" s="1"/>
  <c r="E45" i="85"/>
  <c r="F45" i="85" s="1"/>
  <c r="E44" i="85"/>
  <c r="F44" i="85" s="1"/>
  <c r="E43" i="85"/>
  <c r="F43" i="85" s="1"/>
  <c r="E42" i="85"/>
  <c r="F42" i="85" s="1"/>
  <c r="E41" i="85"/>
  <c r="F41" i="85" s="1"/>
  <c r="E40" i="85"/>
  <c r="F40" i="85" s="1"/>
  <c r="E39" i="85"/>
  <c r="F39" i="85" s="1"/>
  <c r="E38" i="85"/>
  <c r="F38" i="85" s="1"/>
  <c r="E37" i="85"/>
  <c r="F37" i="85" s="1"/>
  <c r="E36" i="85"/>
  <c r="F36" i="85" s="1"/>
  <c r="E35" i="85"/>
  <c r="F35" i="85" s="1"/>
  <c r="E34" i="85"/>
  <c r="F34" i="85" s="1"/>
  <c r="E33" i="85"/>
  <c r="F33" i="85" s="1"/>
  <c r="E32" i="85"/>
  <c r="F32" i="85" s="1"/>
  <c r="E31" i="85"/>
  <c r="F31" i="85" s="1"/>
  <c r="E30" i="85"/>
  <c r="F30" i="85" s="1"/>
  <c r="E29" i="85"/>
  <c r="F29" i="85" s="1"/>
  <c r="E28" i="85"/>
  <c r="F28" i="85" s="1"/>
  <c r="E27" i="85"/>
  <c r="F27" i="85" s="1"/>
  <c r="E26" i="85"/>
  <c r="F26" i="85" s="1"/>
  <c r="E25" i="85"/>
  <c r="F25" i="85" s="1"/>
  <c r="E24" i="85"/>
  <c r="F24" i="85" s="1"/>
  <c r="E23" i="85"/>
  <c r="F23" i="85" s="1"/>
  <c r="E22" i="85"/>
  <c r="F22" i="85" s="1"/>
  <c r="E21" i="85"/>
  <c r="F21" i="85" s="1"/>
  <c r="E20" i="85"/>
  <c r="F20" i="85" s="1"/>
  <c r="E19" i="85"/>
  <c r="F19" i="85" s="1"/>
  <c r="E18" i="85"/>
  <c r="F18" i="85" s="1"/>
  <c r="E17" i="85"/>
  <c r="F17" i="85" s="1"/>
  <c r="E16" i="85"/>
  <c r="F16" i="85" s="1"/>
  <c r="E15" i="85"/>
  <c r="F15" i="85" s="1"/>
  <c r="E14" i="85"/>
  <c r="F14" i="85" s="1"/>
  <c r="A7" i="85"/>
  <c r="F5" i="85"/>
  <c r="F3" i="85"/>
  <c r="C5" i="85"/>
  <c r="C3" i="85"/>
  <c r="Z58" i="85"/>
  <c r="AA58" i="85" s="1"/>
  <c r="S58" i="85"/>
  <c r="T58" i="85" s="1"/>
  <c r="L58" i="85"/>
  <c r="Z57" i="85"/>
  <c r="AA57" i="85" s="1"/>
  <c r="S57" i="85"/>
  <c r="T57" i="85" s="1"/>
  <c r="L57" i="85"/>
  <c r="Z56" i="85"/>
  <c r="AA56" i="85" s="1"/>
  <c r="S56" i="85"/>
  <c r="T56" i="85" s="1"/>
  <c r="L56" i="85"/>
  <c r="Z55" i="85"/>
  <c r="AA55" i="85" s="1"/>
  <c r="S55" i="85"/>
  <c r="T55" i="85" s="1"/>
  <c r="L55" i="85"/>
  <c r="M55" i="85" s="1"/>
  <c r="Z54" i="85"/>
  <c r="AA54" i="85" s="1"/>
  <c r="S54" i="85"/>
  <c r="L54" i="85"/>
  <c r="M54" i="85" s="1"/>
  <c r="Z53" i="85"/>
  <c r="AA53" i="85" s="1"/>
  <c r="S53" i="85"/>
  <c r="T53" i="85" s="1"/>
  <c r="L53" i="85"/>
  <c r="M53" i="85" s="1"/>
  <c r="Z52" i="85"/>
  <c r="AA52" i="85" s="1"/>
  <c r="S52" i="85"/>
  <c r="T52" i="85" s="1"/>
  <c r="L52" i="85"/>
  <c r="M52" i="85" s="1"/>
  <c r="Z51" i="85"/>
  <c r="AA51" i="85" s="1"/>
  <c r="S51" i="85"/>
  <c r="T51" i="85" s="1"/>
  <c r="L51" i="85"/>
  <c r="M51" i="85" s="1"/>
  <c r="Z50" i="85"/>
  <c r="AA50" i="85" s="1"/>
  <c r="S50" i="85"/>
  <c r="T50" i="85" s="1"/>
  <c r="L50" i="85"/>
  <c r="M50" i="85" s="1"/>
  <c r="Z49" i="85"/>
  <c r="AA49" i="85" s="1"/>
  <c r="S49" i="85"/>
  <c r="T49" i="85" s="1"/>
  <c r="L49" i="85"/>
  <c r="Z48" i="85"/>
  <c r="AA48" i="85" s="1"/>
  <c r="S48" i="85"/>
  <c r="L48" i="85"/>
  <c r="M48" i="85" s="1"/>
  <c r="Z47" i="85"/>
  <c r="AA47" i="85" s="1"/>
  <c r="S47" i="85"/>
  <c r="T47" i="85" s="1"/>
  <c r="L47" i="85"/>
  <c r="M47" i="85" s="1"/>
  <c r="Z46" i="85"/>
  <c r="AA46" i="85" s="1"/>
  <c r="S46" i="85"/>
  <c r="L46" i="85"/>
  <c r="M46" i="85" s="1"/>
  <c r="Z45" i="85"/>
  <c r="AA45" i="85" s="1"/>
  <c r="S45" i="85"/>
  <c r="L45" i="85"/>
  <c r="M45" i="85" s="1"/>
  <c r="Z44" i="85"/>
  <c r="AA44" i="85" s="1"/>
  <c r="S44" i="85"/>
  <c r="T44" i="85" s="1"/>
  <c r="L44" i="85"/>
  <c r="M44" i="85" s="1"/>
  <c r="Z43" i="85"/>
  <c r="AA43" i="85" s="1"/>
  <c r="S43" i="85"/>
  <c r="T43" i="85" s="1"/>
  <c r="L43" i="85"/>
  <c r="M43" i="85" s="1"/>
  <c r="Z42" i="85"/>
  <c r="AA42" i="85" s="1"/>
  <c r="S42" i="85"/>
  <c r="T42" i="85" s="1"/>
  <c r="L42" i="85"/>
  <c r="M42" i="85" s="1"/>
  <c r="Z41" i="85"/>
  <c r="AA41" i="85" s="1"/>
  <c r="S41" i="85"/>
  <c r="T41" i="85" s="1"/>
  <c r="L41" i="85"/>
  <c r="M41" i="85" s="1"/>
  <c r="Z40" i="85"/>
  <c r="AA40" i="85" s="1"/>
  <c r="S40" i="85"/>
  <c r="T40" i="85" s="1"/>
  <c r="L40" i="85"/>
  <c r="M40" i="85" s="1"/>
  <c r="Z39" i="85"/>
  <c r="AA39" i="85" s="1"/>
  <c r="S39" i="85"/>
  <c r="L39" i="85"/>
  <c r="M39" i="85" s="1"/>
  <c r="Z38" i="85"/>
  <c r="AA38" i="85" s="1"/>
  <c r="S38" i="85"/>
  <c r="T38" i="85" s="1"/>
  <c r="L38" i="85"/>
  <c r="M38" i="85" s="1"/>
  <c r="Z37" i="85"/>
  <c r="AA37" i="85" s="1"/>
  <c r="S37" i="85"/>
  <c r="L37" i="85"/>
  <c r="M37" i="85" s="1"/>
  <c r="Z36" i="85"/>
  <c r="AA36" i="85" s="1"/>
  <c r="S36" i="85"/>
  <c r="T36" i="85" s="1"/>
  <c r="L36" i="85"/>
  <c r="M36" i="85" s="1"/>
  <c r="Z35" i="85"/>
  <c r="AA35" i="85" s="1"/>
  <c r="S35" i="85"/>
  <c r="T35" i="85" s="1"/>
  <c r="L35" i="85"/>
  <c r="M35" i="85" s="1"/>
  <c r="Z34" i="85"/>
  <c r="AA34" i="85" s="1"/>
  <c r="S34" i="85"/>
  <c r="L34" i="85"/>
  <c r="M34" i="85" s="1"/>
  <c r="Z33" i="85"/>
  <c r="AA33" i="85" s="1"/>
  <c r="S33" i="85"/>
  <c r="T33" i="85" s="1"/>
  <c r="L33" i="85"/>
  <c r="Z32" i="85"/>
  <c r="AA32" i="85" s="1"/>
  <c r="S32" i="85"/>
  <c r="T32" i="85" s="1"/>
  <c r="L32" i="85"/>
  <c r="M32" i="85" s="1"/>
  <c r="Z31" i="85"/>
  <c r="AA31" i="85" s="1"/>
  <c r="S31" i="85"/>
  <c r="L31" i="85"/>
  <c r="M31" i="85" s="1"/>
  <c r="Z30" i="85"/>
  <c r="AA30" i="85" s="1"/>
  <c r="S30" i="85"/>
  <c r="T30" i="85" s="1"/>
  <c r="L30" i="85"/>
  <c r="Z29" i="85"/>
  <c r="AA29" i="85" s="1"/>
  <c r="S29" i="85"/>
  <c r="L29" i="85"/>
  <c r="M29" i="85" s="1"/>
  <c r="Z28" i="85"/>
  <c r="AA28" i="85" s="1"/>
  <c r="S28" i="85"/>
  <c r="L28" i="85"/>
  <c r="M28" i="85" s="1"/>
  <c r="Z27" i="85"/>
  <c r="AA27" i="85" s="1"/>
  <c r="S27" i="85"/>
  <c r="T27" i="85" s="1"/>
  <c r="L27" i="85"/>
  <c r="M27" i="85" s="1"/>
  <c r="Z26" i="85"/>
  <c r="AA26" i="85" s="1"/>
  <c r="S26" i="85"/>
  <c r="L26" i="85"/>
  <c r="M26" i="85" s="1"/>
  <c r="Z25" i="85"/>
  <c r="AA25" i="85" s="1"/>
  <c r="S25" i="85"/>
  <c r="T25" i="85" s="1"/>
  <c r="L25" i="85"/>
  <c r="Z24" i="85"/>
  <c r="AA24" i="85" s="1"/>
  <c r="S24" i="85"/>
  <c r="T24" i="85" s="1"/>
  <c r="L24" i="85"/>
  <c r="M24" i="85" s="1"/>
  <c r="Z23" i="85"/>
  <c r="AA23" i="85" s="1"/>
  <c r="S23" i="85"/>
  <c r="T23" i="85" s="1"/>
  <c r="L23" i="85"/>
  <c r="Z22" i="85"/>
  <c r="AA22" i="85" s="1"/>
  <c r="S22" i="85"/>
  <c r="T22" i="85" s="1"/>
  <c r="L22" i="85"/>
  <c r="M22" i="85" s="1"/>
  <c r="Z21" i="85"/>
  <c r="AA21" i="85" s="1"/>
  <c r="S21" i="85"/>
  <c r="T21" i="85" s="1"/>
  <c r="L21" i="85"/>
  <c r="M21" i="85" s="1"/>
  <c r="Z20" i="85"/>
  <c r="AA20" i="85" s="1"/>
  <c r="S20" i="85"/>
  <c r="L20" i="85"/>
  <c r="M20" i="85" s="1"/>
  <c r="Z19" i="85"/>
  <c r="AA19" i="85" s="1"/>
  <c r="S19" i="85"/>
  <c r="L19" i="85"/>
  <c r="M19" i="85" s="1"/>
  <c r="Z18" i="85"/>
  <c r="AA18" i="85" s="1"/>
  <c r="S18" i="85"/>
  <c r="T18" i="85" s="1"/>
  <c r="L18" i="85"/>
  <c r="M18" i="85" s="1"/>
  <c r="Z17" i="85"/>
  <c r="AA17" i="85" s="1"/>
  <c r="S17" i="85"/>
  <c r="T17" i="85" s="1"/>
  <c r="L17" i="85"/>
  <c r="M17" i="85" s="1"/>
  <c r="Z16" i="85"/>
  <c r="AA16" i="85" s="1"/>
  <c r="S16" i="85"/>
  <c r="T16" i="85" s="1"/>
  <c r="L16" i="85"/>
  <c r="Z15" i="85"/>
  <c r="AA15" i="85" s="1"/>
  <c r="S15" i="85"/>
  <c r="T15" i="85" s="1"/>
  <c r="L15" i="85"/>
  <c r="Z14" i="85"/>
  <c r="AA14" i="85" s="1"/>
  <c r="S14" i="85"/>
  <c r="T14" i="85" s="1"/>
  <c r="L14" i="85"/>
  <c r="M14" i="85" s="1"/>
  <c r="J4" i="85"/>
  <c r="BK549" i="58"/>
  <c r="S14" i="34"/>
  <c r="T14" i="34" s="1"/>
  <c r="Z14" i="34"/>
  <c r="AG14" i="34"/>
  <c r="AH14" i="34" s="1"/>
  <c r="S15" i="34"/>
  <c r="T15" i="34" s="1"/>
  <c r="Z15" i="34"/>
  <c r="AA15" i="34" s="1"/>
  <c r="AG15" i="34"/>
  <c r="S16" i="34"/>
  <c r="Z16" i="34"/>
  <c r="AA16" i="34" s="1"/>
  <c r="AG16" i="34"/>
  <c r="AH16" i="34" s="1"/>
  <c r="S17" i="34"/>
  <c r="Z17" i="34"/>
  <c r="AA17" i="34" s="1"/>
  <c r="AG17" i="34"/>
  <c r="AH17" i="34" s="1"/>
  <c r="S18" i="34"/>
  <c r="T18" i="34" s="1"/>
  <c r="Z18" i="34"/>
  <c r="AG18" i="34"/>
  <c r="AH18" i="34" s="1"/>
  <c r="S19" i="34"/>
  <c r="T19" i="34" s="1"/>
  <c r="Z19" i="34"/>
  <c r="AA19" i="34" s="1"/>
  <c r="AG19" i="34"/>
  <c r="S20" i="34"/>
  <c r="Z20" i="34"/>
  <c r="AA20" i="34" s="1"/>
  <c r="AG20" i="34"/>
  <c r="AH20" i="34" s="1"/>
  <c r="S21" i="34"/>
  <c r="Z21" i="34"/>
  <c r="AA21" i="34" s="1"/>
  <c r="AG21" i="34"/>
  <c r="AH21" i="34" s="1"/>
  <c r="S22" i="34"/>
  <c r="T22" i="34" s="1"/>
  <c r="Z22" i="34"/>
  <c r="AG22" i="34"/>
  <c r="AH22" i="34" s="1"/>
  <c r="S23" i="34"/>
  <c r="T23" i="34" s="1"/>
  <c r="Z23" i="34"/>
  <c r="AA23" i="34" s="1"/>
  <c r="AG23" i="34"/>
  <c r="S24" i="34"/>
  <c r="Z24" i="34"/>
  <c r="AA24" i="34" s="1"/>
  <c r="AG24" i="34"/>
  <c r="AH24" i="34" s="1"/>
  <c r="S25" i="34"/>
  <c r="Z25" i="34"/>
  <c r="AA25" i="34" s="1"/>
  <c r="AG25" i="34"/>
  <c r="AH25" i="34" s="1"/>
  <c r="S26" i="34"/>
  <c r="T26" i="34" s="1"/>
  <c r="Z26" i="34"/>
  <c r="AG26" i="34"/>
  <c r="AH26" i="34" s="1"/>
  <c r="S27" i="34"/>
  <c r="T27" i="34" s="1"/>
  <c r="Z27" i="34"/>
  <c r="AA27" i="34" s="1"/>
  <c r="AG27" i="34"/>
  <c r="S28" i="34"/>
  <c r="T28" i="34" s="1"/>
  <c r="Z28" i="34"/>
  <c r="AA28" i="34" s="1"/>
  <c r="AG28" i="34"/>
  <c r="AH28" i="34" s="1"/>
  <c r="S29" i="34"/>
  <c r="Z29" i="34"/>
  <c r="AA29" i="34" s="1"/>
  <c r="AG29" i="34"/>
  <c r="AH29" i="34" s="1"/>
  <c r="S30" i="34"/>
  <c r="T30" i="34" s="1"/>
  <c r="Z30" i="34"/>
  <c r="AG30" i="34"/>
  <c r="AH30" i="34" s="1"/>
  <c r="S31" i="34"/>
  <c r="T31" i="34" s="1"/>
  <c r="Z31" i="34"/>
  <c r="AA31" i="34" s="1"/>
  <c r="AG31" i="34"/>
  <c r="S32" i="34"/>
  <c r="T32" i="34" s="1"/>
  <c r="Z32" i="34"/>
  <c r="AA32" i="34" s="1"/>
  <c r="AG32" i="34"/>
  <c r="AH32" i="34" s="1"/>
  <c r="AJ32" i="34" s="1"/>
  <c r="S33" i="34"/>
  <c r="T33" i="34" s="1"/>
  <c r="AJ33" i="34" s="1"/>
  <c r="Z33" i="34"/>
  <c r="AA33" i="34" s="1"/>
  <c r="AG33" i="34"/>
  <c r="AH33" i="34" s="1"/>
  <c r="S42" i="34"/>
  <c r="T42" i="34" s="1"/>
  <c r="Z42" i="34"/>
  <c r="AG42" i="34"/>
  <c r="AH42" i="34" s="1"/>
  <c r="S43" i="34"/>
  <c r="T43" i="34" s="1"/>
  <c r="Z43" i="34"/>
  <c r="AA43" i="34" s="1"/>
  <c r="AG43" i="34"/>
  <c r="S44" i="34"/>
  <c r="T44" i="34" s="1"/>
  <c r="Z44" i="34"/>
  <c r="AA44" i="34" s="1"/>
  <c r="AG44" i="34"/>
  <c r="AH44" i="34" s="1"/>
  <c r="S45" i="34"/>
  <c r="T45" i="34" s="1"/>
  <c r="AJ45" i="34" s="1"/>
  <c r="Z45" i="34"/>
  <c r="AA45" i="34" s="1"/>
  <c r="AG45" i="34"/>
  <c r="AH45" i="34" s="1"/>
  <c r="S46" i="34"/>
  <c r="T46" i="34" s="1"/>
  <c r="Z46" i="34"/>
  <c r="AG46" i="34"/>
  <c r="AH46" i="34" s="1"/>
  <c r="S47" i="34"/>
  <c r="T47" i="34" s="1"/>
  <c r="Z47" i="34"/>
  <c r="AA47" i="34" s="1"/>
  <c r="AG47" i="34"/>
  <c r="S48" i="34"/>
  <c r="T48" i="34" s="1"/>
  <c r="Z48" i="34"/>
  <c r="AA48" i="34" s="1"/>
  <c r="AG48" i="34"/>
  <c r="S49" i="34"/>
  <c r="Z49" i="34"/>
  <c r="AA49" i="34" s="1"/>
  <c r="AG49" i="34"/>
  <c r="AH49" i="34" s="1"/>
  <c r="S50" i="34"/>
  <c r="T50" i="34" s="1"/>
  <c r="Z50" i="34"/>
  <c r="AG50" i="34"/>
  <c r="AH50" i="34" s="1"/>
  <c r="S51" i="34"/>
  <c r="T51" i="34" s="1"/>
  <c r="Z51" i="34"/>
  <c r="AA51" i="34" s="1"/>
  <c r="AG51" i="34"/>
  <c r="AH51" i="34" s="1"/>
  <c r="AJ51" i="34" s="1"/>
  <c r="S52" i="34"/>
  <c r="Z52" i="34"/>
  <c r="AA52" i="34" s="1"/>
  <c r="AG52" i="34"/>
  <c r="AH52" i="34" s="1"/>
  <c r="S53" i="34"/>
  <c r="Z53" i="34"/>
  <c r="AA53" i="34" s="1"/>
  <c r="AG53" i="34"/>
  <c r="AH53" i="34" s="1"/>
  <c r="S54" i="34"/>
  <c r="T54" i="34" s="1"/>
  <c r="Z54" i="34"/>
  <c r="AG54" i="34"/>
  <c r="AH54" i="34" s="1"/>
  <c r="S55" i="34"/>
  <c r="T55" i="34" s="1"/>
  <c r="Z55" i="34"/>
  <c r="AA55" i="34" s="1"/>
  <c r="AG55" i="34"/>
  <c r="S56" i="34"/>
  <c r="Z56" i="34"/>
  <c r="AA56" i="34" s="1"/>
  <c r="AG56" i="34"/>
  <c r="AH56" i="34" s="1"/>
  <c r="S65" i="34"/>
  <c r="Z65" i="34"/>
  <c r="AA65" i="34" s="1"/>
  <c r="AG65" i="34"/>
  <c r="AH65" i="34" s="1"/>
  <c r="S66" i="34"/>
  <c r="T66" i="34" s="1"/>
  <c r="Z66" i="34"/>
  <c r="AG66" i="34"/>
  <c r="AH66" i="34" s="1"/>
  <c r="S67" i="34"/>
  <c r="T67" i="34" s="1"/>
  <c r="Z67" i="34"/>
  <c r="AA67" i="34" s="1"/>
  <c r="AG67" i="34"/>
  <c r="S68" i="34"/>
  <c r="T68" i="34" s="1"/>
  <c r="Z68" i="34"/>
  <c r="AA68" i="34" s="1"/>
  <c r="AG68" i="34"/>
  <c r="AH68" i="34" s="1"/>
  <c r="AJ68" i="34" s="1"/>
  <c r="S69" i="34"/>
  <c r="Z69" i="34"/>
  <c r="AA69" i="34" s="1"/>
  <c r="AG69" i="34"/>
  <c r="AH69" i="34" s="1"/>
  <c r="S70" i="34"/>
  <c r="T70" i="34" s="1"/>
  <c r="Z70" i="34"/>
  <c r="AG70" i="34"/>
  <c r="AH70" i="34" s="1"/>
  <c r="S71" i="34"/>
  <c r="T71" i="34" s="1"/>
  <c r="Z71" i="34"/>
  <c r="AA71" i="34" s="1"/>
  <c r="AG71" i="34"/>
  <c r="S72" i="34"/>
  <c r="Z72" i="34"/>
  <c r="AA72" i="34" s="1"/>
  <c r="AG72" i="34"/>
  <c r="AH72" i="34" s="1"/>
  <c r="S73" i="34"/>
  <c r="Z73" i="34"/>
  <c r="AA73" i="34" s="1"/>
  <c r="AG73" i="34"/>
  <c r="AH73" i="34" s="1"/>
  <c r="S74" i="34"/>
  <c r="T74" i="34" s="1"/>
  <c r="Z74" i="34"/>
  <c r="AG74" i="34"/>
  <c r="AH74" i="34" s="1"/>
  <c r="S75" i="34"/>
  <c r="T75" i="34" s="1"/>
  <c r="Z75" i="34"/>
  <c r="AA75" i="34" s="1"/>
  <c r="AG75" i="34"/>
  <c r="S76" i="34"/>
  <c r="T76" i="34" s="1"/>
  <c r="Z76" i="34"/>
  <c r="AA76" i="34" s="1"/>
  <c r="AG76" i="34"/>
  <c r="S77" i="34"/>
  <c r="Z77" i="34"/>
  <c r="AA77" i="34" s="1"/>
  <c r="AG77" i="34"/>
  <c r="AH77" i="34" s="1"/>
  <c r="S78" i="34"/>
  <c r="T78" i="34" s="1"/>
  <c r="Z78" i="34"/>
  <c r="AG78" i="34"/>
  <c r="AH78" i="34" s="1"/>
  <c r="S79" i="34"/>
  <c r="T79" i="34" s="1"/>
  <c r="Z79" i="34"/>
  <c r="AA79" i="34" s="1"/>
  <c r="AG79" i="34"/>
  <c r="S80" i="34"/>
  <c r="Z80" i="34"/>
  <c r="AA80" i="34" s="1"/>
  <c r="AG80" i="34"/>
  <c r="AH80" i="34" s="1"/>
  <c r="S81" i="34"/>
  <c r="Z81" i="34"/>
  <c r="AA81" i="34" s="1"/>
  <c r="AG81" i="34"/>
  <c r="AH81" i="34" s="1"/>
  <c r="S82" i="34"/>
  <c r="T82" i="34" s="1"/>
  <c r="Z82" i="34"/>
  <c r="AG82" i="34"/>
  <c r="AH82" i="34" s="1"/>
  <c r="S83" i="34"/>
  <c r="T83" i="34" s="1"/>
  <c r="Z83" i="34"/>
  <c r="AA83" i="34" s="1"/>
  <c r="AG83" i="34"/>
  <c r="S84" i="34"/>
  <c r="T84" i="34" s="1"/>
  <c r="Z84" i="34"/>
  <c r="AA84" i="34" s="1"/>
  <c r="AG84" i="34"/>
  <c r="AH84" i="34" s="1"/>
  <c r="S85" i="34"/>
  <c r="Z85" i="34"/>
  <c r="AA85" i="34" s="1"/>
  <c r="AG85" i="34"/>
  <c r="AH85" i="34" s="1"/>
  <c r="S86" i="34"/>
  <c r="T86" i="34" s="1"/>
  <c r="Z86" i="34"/>
  <c r="AG86" i="34"/>
  <c r="AH86" i="34" s="1"/>
  <c r="S87" i="34"/>
  <c r="T87" i="34" s="1"/>
  <c r="Z87" i="34"/>
  <c r="AA87" i="34" s="1"/>
  <c r="AG87" i="34"/>
  <c r="S88" i="34"/>
  <c r="T88" i="34" s="1"/>
  <c r="Z88" i="34"/>
  <c r="AA88" i="34" s="1"/>
  <c r="AG88" i="34"/>
  <c r="AH88" i="34" s="1"/>
  <c r="AJ88" i="34" s="1"/>
  <c r="S89" i="34"/>
  <c r="Z89" i="34"/>
  <c r="AA89" i="34" s="1"/>
  <c r="AG89" i="34"/>
  <c r="AH89" i="34" s="1"/>
  <c r="S90" i="34"/>
  <c r="T90" i="34" s="1"/>
  <c r="Z90" i="34"/>
  <c r="AG90" i="34"/>
  <c r="AH90" i="34" s="1"/>
  <c r="S91" i="34"/>
  <c r="T91" i="34" s="1"/>
  <c r="Z91" i="34"/>
  <c r="AA91" i="34" s="1"/>
  <c r="AG91" i="34"/>
  <c r="S92" i="34"/>
  <c r="T92" i="34" s="1"/>
  <c r="Z92" i="34"/>
  <c r="AA92" i="34" s="1"/>
  <c r="AG92" i="34"/>
  <c r="AH92" i="34" s="1"/>
  <c r="AJ92" i="34" s="1"/>
  <c r="S93" i="34"/>
  <c r="Z93" i="34"/>
  <c r="AA93" i="34" s="1"/>
  <c r="AG93" i="34"/>
  <c r="AH93" i="34" s="1"/>
  <c r="S94" i="34"/>
  <c r="T94" i="34" s="1"/>
  <c r="Z94" i="34"/>
  <c r="AG94" i="34"/>
  <c r="AH94" i="34" s="1"/>
  <c r="S95" i="34"/>
  <c r="T95" i="34" s="1"/>
  <c r="Z95" i="34"/>
  <c r="AA95" i="34" s="1"/>
  <c r="AG95" i="34"/>
  <c r="S96" i="34"/>
  <c r="T96" i="34" s="1"/>
  <c r="Z96" i="34"/>
  <c r="AA96" i="34" s="1"/>
  <c r="AG96" i="34"/>
  <c r="AH96" i="34" s="1"/>
  <c r="AJ96" i="34" s="1"/>
  <c r="S97" i="34"/>
  <c r="Z97" i="34"/>
  <c r="AA97" i="34" s="1"/>
  <c r="AG97" i="34"/>
  <c r="AH97" i="34" s="1"/>
  <c r="S98" i="34"/>
  <c r="T98" i="34" s="1"/>
  <c r="Z98" i="34"/>
  <c r="AG98" i="34"/>
  <c r="AH98" i="34" s="1"/>
  <c r="S99" i="34"/>
  <c r="T99" i="34" s="1"/>
  <c r="Z99" i="34"/>
  <c r="AA99" i="34" s="1"/>
  <c r="AG99" i="34"/>
  <c r="S100" i="34"/>
  <c r="T100" i="34" s="1"/>
  <c r="Z100" i="34"/>
  <c r="AA100" i="34" s="1"/>
  <c r="AG100" i="34"/>
  <c r="AH100" i="34" s="1"/>
  <c r="S101" i="34"/>
  <c r="Z101" i="34"/>
  <c r="AA101" i="34" s="1"/>
  <c r="AG101" i="34"/>
  <c r="AH101" i="34" s="1"/>
  <c r="S102" i="34"/>
  <c r="T102" i="34" s="1"/>
  <c r="Z102" i="34"/>
  <c r="AG102" i="34"/>
  <c r="AH102" i="34" s="1"/>
  <c r="S103" i="34"/>
  <c r="T103" i="34" s="1"/>
  <c r="Z103" i="34"/>
  <c r="AA103" i="34" s="1"/>
  <c r="AG103" i="34"/>
  <c r="S104" i="34"/>
  <c r="Z104" i="34"/>
  <c r="AA104" i="34" s="1"/>
  <c r="AG104" i="34"/>
  <c r="AH104" i="34" s="1"/>
  <c r="S105" i="34"/>
  <c r="Z105" i="34"/>
  <c r="AA105" i="34" s="1"/>
  <c r="AG105" i="34"/>
  <c r="AH105" i="34" s="1"/>
  <c r="S106" i="34"/>
  <c r="T106" i="34" s="1"/>
  <c r="Z106" i="34"/>
  <c r="AG106" i="34"/>
  <c r="AH106" i="34" s="1"/>
  <c r="S107" i="34"/>
  <c r="T107" i="34" s="1"/>
  <c r="Z107" i="34"/>
  <c r="AA107" i="34" s="1"/>
  <c r="AG107" i="34"/>
  <c r="S108" i="34"/>
  <c r="T108" i="34" s="1"/>
  <c r="Z108" i="34"/>
  <c r="AA108" i="34" s="1"/>
  <c r="AG108" i="34"/>
  <c r="AH108" i="34" s="1"/>
  <c r="AJ108" i="34" s="1"/>
  <c r="S109" i="34"/>
  <c r="Z109" i="34"/>
  <c r="AA109" i="34" s="1"/>
  <c r="AG109" i="34"/>
  <c r="AH109" i="34" s="1"/>
  <c r="S110" i="34"/>
  <c r="T110" i="34" s="1"/>
  <c r="Z110" i="34"/>
  <c r="AG110" i="34"/>
  <c r="AH110" i="34" s="1"/>
  <c r="S111" i="34"/>
  <c r="T111" i="34" s="1"/>
  <c r="Z111" i="34"/>
  <c r="AA111" i="34" s="1"/>
  <c r="AG111" i="34"/>
  <c r="S112" i="34"/>
  <c r="Z112" i="34"/>
  <c r="AA112" i="34" s="1"/>
  <c r="AG112" i="34"/>
  <c r="AH112" i="34" s="1"/>
  <c r="S113" i="34"/>
  <c r="Z113" i="34"/>
  <c r="AA113" i="34" s="1"/>
  <c r="AG113" i="34"/>
  <c r="AH113" i="34" s="1"/>
  <c r="S114" i="34"/>
  <c r="T114" i="34" s="1"/>
  <c r="Z114" i="34"/>
  <c r="AG114" i="34"/>
  <c r="AH114" i="34" s="1"/>
  <c r="S115" i="34"/>
  <c r="T115" i="34" s="1"/>
  <c r="Z115" i="34"/>
  <c r="AA115" i="34" s="1"/>
  <c r="AG115" i="34"/>
  <c r="S116" i="34"/>
  <c r="Z116" i="34"/>
  <c r="AA116" i="34" s="1"/>
  <c r="AG116" i="34"/>
  <c r="AH116" i="34" s="1"/>
  <c r="S117" i="34"/>
  <c r="Z117" i="34"/>
  <c r="AA117" i="34" s="1"/>
  <c r="AG117" i="34"/>
  <c r="AH117" i="34" s="1"/>
  <c r="S118" i="34"/>
  <c r="T118" i="34" s="1"/>
  <c r="Z118" i="34"/>
  <c r="AG118" i="34"/>
  <c r="AH118" i="34" s="1"/>
  <c r="S119" i="34"/>
  <c r="T119" i="34" s="1"/>
  <c r="Z119" i="34"/>
  <c r="AA119" i="34" s="1"/>
  <c r="AG119" i="34"/>
  <c r="S120" i="34"/>
  <c r="T120" i="34" s="1"/>
  <c r="Z120" i="34"/>
  <c r="AA120" i="34" s="1"/>
  <c r="AG120" i="34"/>
  <c r="AH120" i="34" s="1"/>
  <c r="AJ120" i="34" s="1"/>
  <c r="S121" i="34"/>
  <c r="Z121" i="34"/>
  <c r="AA121" i="34" s="1"/>
  <c r="AG121" i="34"/>
  <c r="AH121" i="34" s="1"/>
  <c r="S122" i="34"/>
  <c r="T122" i="34" s="1"/>
  <c r="Z122" i="34"/>
  <c r="AG122" i="34"/>
  <c r="AH122" i="34" s="1"/>
  <c r="S130" i="34"/>
  <c r="T130" i="34" s="1"/>
  <c r="Z130" i="34"/>
  <c r="AA130" i="34" s="1"/>
  <c r="AG130" i="34"/>
  <c r="S131" i="34"/>
  <c r="Z131" i="34"/>
  <c r="AA131" i="34" s="1"/>
  <c r="AG131" i="34"/>
  <c r="AH131" i="34" s="1"/>
  <c r="S132" i="34"/>
  <c r="Z132" i="34"/>
  <c r="AA132" i="34" s="1"/>
  <c r="AG132" i="34"/>
  <c r="AH132" i="34" s="1"/>
  <c r="S133" i="34"/>
  <c r="T133" i="34" s="1"/>
  <c r="Z133" i="34"/>
  <c r="AG133" i="34"/>
  <c r="AH133" i="34" s="1"/>
  <c r="S134" i="34"/>
  <c r="T134" i="34" s="1"/>
  <c r="Z134" i="34"/>
  <c r="AA134" i="34" s="1"/>
  <c r="AG134" i="34"/>
  <c r="S135" i="34"/>
  <c r="Z135" i="34"/>
  <c r="AA135" i="34" s="1"/>
  <c r="AG135" i="34"/>
  <c r="AH135" i="34" s="1"/>
  <c r="S136" i="34"/>
  <c r="Z136" i="34"/>
  <c r="AA136" i="34" s="1"/>
  <c r="AG136" i="34"/>
  <c r="AH136" i="34" s="1"/>
  <c r="S137" i="34"/>
  <c r="T137" i="34" s="1"/>
  <c r="Z137" i="34"/>
  <c r="AG137" i="34"/>
  <c r="AH137" i="34" s="1"/>
  <c r="S138" i="34"/>
  <c r="T138" i="34" s="1"/>
  <c r="Z138" i="34"/>
  <c r="AA138" i="34" s="1"/>
  <c r="AG138" i="34"/>
  <c r="S139" i="34"/>
  <c r="T139" i="34" s="1"/>
  <c r="Z139" i="34"/>
  <c r="AA139" i="34" s="1"/>
  <c r="AG139" i="34"/>
  <c r="AH139" i="34" s="1"/>
  <c r="AJ139" i="34" s="1"/>
  <c r="S140" i="34"/>
  <c r="Z140" i="34"/>
  <c r="AA140" i="34" s="1"/>
  <c r="AG140" i="34"/>
  <c r="AH140" i="34" s="1"/>
  <c r="S141" i="34"/>
  <c r="T141" i="34" s="1"/>
  <c r="Z141" i="34"/>
  <c r="AG141" i="34"/>
  <c r="AH141" i="34" s="1"/>
  <c r="S142" i="34"/>
  <c r="T142" i="34" s="1"/>
  <c r="Z142" i="34"/>
  <c r="AA142" i="34" s="1"/>
  <c r="AG142" i="34"/>
  <c r="S143" i="34"/>
  <c r="T143" i="34" s="1"/>
  <c r="Z143" i="34"/>
  <c r="AA143" i="34" s="1"/>
  <c r="AG143" i="34"/>
  <c r="AH143" i="34" s="1"/>
  <c r="S144" i="34"/>
  <c r="Z144" i="34"/>
  <c r="AA144" i="34" s="1"/>
  <c r="AG144" i="34"/>
  <c r="AH144" i="34" s="1"/>
  <c r="S145" i="34"/>
  <c r="T145" i="34" s="1"/>
  <c r="Z145" i="34"/>
  <c r="AG145" i="34"/>
  <c r="AH145" i="34" s="1"/>
  <c r="S146" i="34"/>
  <c r="T146" i="34" s="1"/>
  <c r="Z146" i="34"/>
  <c r="AA146" i="34" s="1"/>
  <c r="AG146" i="34"/>
  <c r="S147" i="34"/>
  <c r="Z147" i="34"/>
  <c r="AA147" i="34" s="1"/>
  <c r="AG147" i="34"/>
  <c r="AH147" i="34" s="1"/>
  <c r="S148" i="34"/>
  <c r="Z148" i="34"/>
  <c r="AA148" i="34" s="1"/>
  <c r="AG148" i="34"/>
  <c r="AH148" i="34" s="1"/>
  <c r="S149" i="34"/>
  <c r="T149" i="34" s="1"/>
  <c r="Z149" i="34"/>
  <c r="AG149" i="34"/>
  <c r="AH149" i="34" s="1"/>
  <c r="S150" i="34"/>
  <c r="T150" i="34" s="1"/>
  <c r="Z150" i="34"/>
  <c r="AA150" i="34" s="1"/>
  <c r="AG150" i="34"/>
  <c r="S151" i="34"/>
  <c r="T151" i="34" s="1"/>
  <c r="Z151" i="34"/>
  <c r="AA151" i="34" s="1"/>
  <c r="AG151" i="34"/>
  <c r="AH151" i="34" s="1"/>
  <c r="AJ151" i="34" s="1"/>
  <c r="S152" i="34"/>
  <c r="Z152" i="34"/>
  <c r="AA152" i="34" s="1"/>
  <c r="AG152" i="34"/>
  <c r="AH152" i="34" s="1"/>
  <c r="S153" i="34"/>
  <c r="T153" i="34" s="1"/>
  <c r="Z153" i="34"/>
  <c r="AG153" i="34"/>
  <c r="AH153" i="34" s="1"/>
  <c r="S154" i="34"/>
  <c r="T154" i="34" s="1"/>
  <c r="Z154" i="34"/>
  <c r="AA154" i="34" s="1"/>
  <c r="AG154" i="34"/>
  <c r="S155" i="34"/>
  <c r="Z155" i="34"/>
  <c r="AA155" i="34" s="1"/>
  <c r="AG155" i="34"/>
  <c r="AH155" i="34" s="1"/>
  <c r="S156" i="34"/>
  <c r="Z156" i="34"/>
  <c r="AA156" i="34" s="1"/>
  <c r="AG156" i="34"/>
  <c r="AH156" i="34" s="1"/>
  <c r="S157" i="34"/>
  <c r="T157" i="34" s="1"/>
  <c r="Z157" i="34"/>
  <c r="AG157" i="34"/>
  <c r="AH157" i="34" s="1"/>
  <c r="S158" i="34"/>
  <c r="T158" i="34" s="1"/>
  <c r="Z158" i="34"/>
  <c r="AA158" i="34" s="1"/>
  <c r="AG158" i="34"/>
  <c r="S159" i="34"/>
  <c r="T159" i="34" s="1"/>
  <c r="Z159" i="34"/>
  <c r="AA159" i="34" s="1"/>
  <c r="AG159" i="34"/>
  <c r="AH159" i="34" s="1"/>
  <c r="AJ159" i="34" s="1"/>
  <c r="S160" i="34"/>
  <c r="Z160" i="34"/>
  <c r="AA160" i="34" s="1"/>
  <c r="AG160" i="34"/>
  <c r="AH160" i="34" s="1"/>
  <c r="S161" i="34"/>
  <c r="T161" i="34" s="1"/>
  <c r="Z161" i="34"/>
  <c r="AG161" i="34"/>
  <c r="AH161" i="34" s="1"/>
  <c r="S162" i="34"/>
  <c r="T162" i="34" s="1"/>
  <c r="Z162" i="34"/>
  <c r="AA162" i="34" s="1"/>
  <c r="AG162" i="34"/>
  <c r="S163" i="34"/>
  <c r="T163" i="34" s="1"/>
  <c r="AJ163" i="34" s="1"/>
  <c r="Z163" i="34"/>
  <c r="AA163" i="34" s="1"/>
  <c r="AG163" i="34"/>
  <c r="AH163" i="34" s="1"/>
  <c r="S164" i="34"/>
  <c r="Z164" i="34"/>
  <c r="AA164" i="34" s="1"/>
  <c r="AG164" i="34"/>
  <c r="AH164" i="34" s="1"/>
  <c r="S165" i="34"/>
  <c r="T165" i="34" s="1"/>
  <c r="Z165" i="34"/>
  <c r="AG165" i="34"/>
  <c r="AH165" i="34" s="1"/>
  <c r="S166" i="34"/>
  <c r="T166" i="34" s="1"/>
  <c r="Z166" i="34"/>
  <c r="AA166" i="34" s="1"/>
  <c r="AG166" i="34"/>
  <c r="S167" i="34"/>
  <c r="T167" i="34" s="1"/>
  <c r="Z167" i="34"/>
  <c r="AA167" i="34" s="1"/>
  <c r="AG167" i="34"/>
  <c r="AH167" i="34" s="1"/>
  <c r="S168" i="34"/>
  <c r="Z168" i="34"/>
  <c r="AA168" i="34" s="1"/>
  <c r="AG168" i="34"/>
  <c r="AH168" i="34" s="1"/>
  <c r="S169" i="34"/>
  <c r="T169" i="34" s="1"/>
  <c r="Z169" i="34"/>
  <c r="AG169" i="34"/>
  <c r="AH169" i="34" s="1"/>
  <c r="S170" i="34"/>
  <c r="T170" i="34" s="1"/>
  <c r="Z170" i="34"/>
  <c r="AA170" i="34" s="1"/>
  <c r="AG170" i="34"/>
  <c r="S171" i="34"/>
  <c r="Z171" i="34"/>
  <c r="AA171" i="34" s="1"/>
  <c r="AG171" i="34"/>
  <c r="AH171" i="34" s="1"/>
  <c r="S172" i="34"/>
  <c r="Z172" i="34"/>
  <c r="AA172" i="34" s="1"/>
  <c r="AG172" i="34"/>
  <c r="AH172" i="34" s="1"/>
  <c r="S173" i="34"/>
  <c r="T173" i="34" s="1"/>
  <c r="Z173" i="34"/>
  <c r="AG173" i="34"/>
  <c r="AH173" i="34" s="1"/>
  <c r="S174" i="34"/>
  <c r="T174" i="34" s="1"/>
  <c r="Z174" i="34"/>
  <c r="AA174" i="34" s="1"/>
  <c r="AG174" i="34"/>
  <c r="S175" i="34"/>
  <c r="T175" i="34" s="1"/>
  <c r="Z175" i="34"/>
  <c r="AA175" i="34" s="1"/>
  <c r="AG175" i="34"/>
  <c r="AH175" i="34" s="1"/>
  <c r="AJ175" i="34" s="1"/>
  <c r="S176" i="34"/>
  <c r="Z176" i="34"/>
  <c r="AA176" i="34" s="1"/>
  <c r="AG176" i="34"/>
  <c r="AH176" i="34" s="1"/>
  <c r="S177" i="34"/>
  <c r="T177" i="34" s="1"/>
  <c r="Z177" i="34"/>
  <c r="AG177" i="34"/>
  <c r="AH177" i="34" s="1"/>
  <c r="S178" i="34"/>
  <c r="T178" i="34" s="1"/>
  <c r="Z178" i="34"/>
  <c r="AA178" i="34" s="1"/>
  <c r="AG178" i="34"/>
  <c r="S179" i="34"/>
  <c r="Z179" i="34"/>
  <c r="AA179" i="34" s="1"/>
  <c r="AG179" i="34"/>
  <c r="AH179" i="34" s="1"/>
  <c r="S180" i="34"/>
  <c r="T180" i="34" s="1"/>
  <c r="AJ180" i="34" s="1"/>
  <c r="Z180" i="34"/>
  <c r="AA180" i="34" s="1"/>
  <c r="AG180" i="34"/>
  <c r="AH180" i="34" s="1"/>
  <c r="S181" i="34"/>
  <c r="T181" i="34" s="1"/>
  <c r="Z181" i="34"/>
  <c r="AG181" i="34"/>
  <c r="AH181" i="34" s="1"/>
  <c r="S182" i="34"/>
  <c r="T182" i="34" s="1"/>
  <c r="Z182" i="34"/>
  <c r="AA182" i="34" s="1"/>
  <c r="AG182" i="34"/>
  <c r="S183" i="34"/>
  <c r="T183" i="34" s="1"/>
  <c r="Z183" i="34"/>
  <c r="AA183" i="34" s="1"/>
  <c r="AG183" i="34"/>
  <c r="S184" i="34"/>
  <c r="Z184" i="34"/>
  <c r="AA184" i="34" s="1"/>
  <c r="AG184" i="34"/>
  <c r="AH184" i="34" s="1"/>
  <c r="S185" i="34"/>
  <c r="T185" i="34" s="1"/>
  <c r="Z185" i="34"/>
  <c r="AG185" i="34"/>
  <c r="AH185" i="34" s="1"/>
  <c r="S186" i="34"/>
  <c r="T186" i="34" s="1"/>
  <c r="Z186" i="34"/>
  <c r="AA186" i="34" s="1"/>
  <c r="AG186" i="34"/>
  <c r="S187" i="34"/>
  <c r="T187" i="34" s="1"/>
  <c r="Z187" i="34"/>
  <c r="AA187" i="34" s="1"/>
  <c r="AG187" i="34"/>
  <c r="AH187" i="34" s="1"/>
  <c r="S188" i="34"/>
  <c r="Z188" i="34"/>
  <c r="AA188" i="34" s="1"/>
  <c r="AG188" i="34"/>
  <c r="AH188" i="34" s="1"/>
  <c r="S189" i="34"/>
  <c r="T189" i="34" s="1"/>
  <c r="Z189" i="34"/>
  <c r="AG189" i="34"/>
  <c r="AH189" i="34" s="1"/>
  <c r="S190" i="34"/>
  <c r="T190" i="34" s="1"/>
  <c r="Z190" i="34"/>
  <c r="AA190" i="34" s="1"/>
  <c r="AG190" i="34"/>
  <c r="S191" i="34"/>
  <c r="Z191" i="34"/>
  <c r="AA191" i="34" s="1"/>
  <c r="AG191" i="34"/>
  <c r="AH191" i="34" s="1"/>
  <c r="S192" i="34"/>
  <c r="Z192" i="34"/>
  <c r="AA192" i="34" s="1"/>
  <c r="AG192" i="34"/>
  <c r="AH192" i="34" s="1"/>
  <c r="S193" i="34"/>
  <c r="T193" i="34" s="1"/>
  <c r="Z193" i="34"/>
  <c r="AG193" i="34"/>
  <c r="AH193" i="34" s="1"/>
  <c r="S194" i="34"/>
  <c r="T194" i="34" s="1"/>
  <c r="Z194" i="34"/>
  <c r="AA194" i="34" s="1"/>
  <c r="AG194" i="34"/>
  <c r="S195" i="34"/>
  <c r="T195" i="34" s="1"/>
  <c r="Z195" i="34"/>
  <c r="AA195" i="34" s="1"/>
  <c r="AG195" i="34"/>
  <c r="AH195" i="34" s="1"/>
  <c r="S196" i="34"/>
  <c r="Z196" i="34"/>
  <c r="AA196" i="34" s="1"/>
  <c r="AG196" i="34"/>
  <c r="AH196" i="34" s="1"/>
  <c r="S197" i="34"/>
  <c r="T197" i="34" s="1"/>
  <c r="Z197" i="34"/>
  <c r="AG197" i="34"/>
  <c r="AH197" i="34" s="1"/>
  <c r="S198" i="34"/>
  <c r="T198" i="34" s="1"/>
  <c r="Z198" i="34"/>
  <c r="AA198" i="34" s="1"/>
  <c r="AG198" i="34"/>
  <c r="S199" i="34"/>
  <c r="Z199" i="34"/>
  <c r="AA199" i="34" s="1"/>
  <c r="AG199" i="34"/>
  <c r="AH199" i="34" s="1"/>
  <c r="S200" i="34"/>
  <c r="Z200" i="34"/>
  <c r="AA200" i="34" s="1"/>
  <c r="AG200" i="34"/>
  <c r="AH200" i="34" s="1"/>
  <c r="S201" i="34"/>
  <c r="T201" i="34" s="1"/>
  <c r="Z201" i="34"/>
  <c r="AG201" i="34"/>
  <c r="AH201" i="34" s="1"/>
  <c r="S202" i="34"/>
  <c r="T202" i="34" s="1"/>
  <c r="Z202" i="34"/>
  <c r="AA202" i="34" s="1"/>
  <c r="AG202" i="34"/>
  <c r="S203" i="34"/>
  <c r="T203" i="34" s="1"/>
  <c r="Z203" i="34"/>
  <c r="AA203" i="34" s="1"/>
  <c r="AG203" i="34"/>
  <c r="AH203" i="34" s="1"/>
  <c r="S204" i="34"/>
  <c r="Z204" i="34"/>
  <c r="AA204" i="34" s="1"/>
  <c r="AG204" i="34"/>
  <c r="AH204" i="34" s="1"/>
  <c r="S205" i="34"/>
  <c r="T205" i="34" s="1"/>
  <c r="Z205" i="34"/>
  <c r="AG205" i="34"/>
  <c r="AH205" i="34" s="1"/>
  <c r="S206" i="34"/>
  <c r="T206" i="34" s="1"/>
  <c r="Z206" i="34"/>
  <c r="AA206" i="34" s="1"/>
  <c r="AG206" i="34"/>
  <c r="S207" i="34"/>
  <c r="Z207" i="34"/>
  <c r="AA207" i="34" s="1"/>
  <c r="AG207" i="34"/>
  <c r="AH207" i="34" s="1"/>
  <c r="S208" i="34"/>
  <c r="Z208" i="34"/>
  <c r="AA208" i="34" s="1"/>
  <c r="AG208" i="34"/>
  <c r="AH208" i="34" s="1"/>
  <c r="S209" i="34"/>
  <c r="T209" i="34" s="1"/>
  <c r="Z209" i="34"/>
  <c r="AG209" i="34"/>
  <c r="AH209" i="34" s="1"/>
  <c r="S210" i="34"/>
  <c r="T210" i="34" s="1"/>
  <c r="Z210" i="34"/>
  <c r="AA210" i="34" s="1"/>
  <c r="AG210" i="34"/>
  <c r="S211" i="34"/>
  <c r="T211" i="34" s="1"/>
  <c r="Z211" i="34"/>
  <c r="AA211" i="34" s="1"/>
  <c r="AG211" i="34"/>
  <c r="AH211" i="34" s="1"/>
  <c r="AJ211" i="34" s="1"/>
  <c r="S212" i="34"/>
  <c r="Z212" i="34"/>
  <c r="AA212" i="34" s="1"/>
  <c r="AG212" i="34"/>
  <c r="AH212" i="34" s="1"/>
  <c r="S213" i="34"/>
  <c r="T213" i="34" s="1"/>
  <c r="Z213" i="34"/>
  <c r="AG213" i="34"/>
  <c r="AH213" i="34" s="1"/>
  <c r="S214" i="34"/>
  <c r="T214" i="34" s="1"/>
  <c r="Z214" i="34"/>
  <c r="AA214" i="34" s="1"/>
  <c r="AG214" i="34"/>
  <c r="S215" i="34"/>
  <c r="Z215" i="34"/>
  <c r="AA215" i="34" s="1"/>
  <c r="AG215" i="34"/>
  <c r="AH215" i="34" s="1"/>
  <c r="S216" i="34"/>
  <c r="Z216" i="34"/>
  <c r="AA216" i="34" s="1"/>
  <c r="AG216" i="34"/>
  <c r="AH216" i="34" s="1"/>
  <c r="S217" i="34"/>
  <c r="T217" i="34" s="1"/>
  <c r="Z217" i="34"/>
  <c r="AG217" i="34"/>
  <c r="AH217" i="34" s="1"/>
  <c r="S218" i="34"/>
  <c r="T218" i="34" s="1"/>
  <c r="Z218" i="34"/>
  <c r="AA218" i="34" s="1"/>
  <c r="AG218" i="34"/>
  <c r="S219" i="34"/>
  <c r="T219" i="34" s="1"/>
  <c r="Z219" i="34"/>
  <c r="AA219" i="34" s="1"/>
  <c r="AG219" i="34"/>
  <c r="AH219" i="34" s="1"/>
  <c r="AJ219" i="34" s="1"/>
  <c r="S220" i="34"/>
  <c r="Z220" i="34"/>
  <c r="AA220" i="34" s="1"/>
  <c r="AG220" i="34"/>
  <c r="AH220" i="34" s="1"/>
  <c r="S221" i="34"/>
  <c r="T221" i="34" s="1"/>
  <c r="Z221" i="34"/>
  <c r="AG221" i="34"/>
  <c r="AH221" i="34" s="1"/>
  <c r="S222" i="34"/>
  <c r="T222" i="34" s="1"/>
  <c r="Z222" i="34"/>
  <c r="AA222" i="34" s="1"/>
  <c r="AG222" i="34"/>
  <c r="S223" i="34"/>
  <c r="Z223" i="34"/>
  <c r="AA223" i="34" s="1"/>
  <c r="AG223" i="34"/>
  <c r="AH223" i="34" s="1"/>
  <c r="S224" i="34"/>
  <c r="Z224" i="34"/>
  <c r="AA224" i="34" s="1"/>
  <c r="AG224" i="34"/>
  <c r="AH224" i="34" s="1"/>
  <c r="S225" i="34"/>
  <c r="T225" i="34" s="1"/>
  <c r="Z225" i="34"/>
  <c r="AG225" i="34"/>
  <c r="AH225" i="34" s="1"/>
  <c r="S226" i="34"/>
  <c r="T226" i="34" s="1"/>
  <c r="Z226" i="34"/>
  <c r="AA226" i="34" s="1"/>
  <c r="AG226" i="34"/>
  <c r="S227" i="34"/>
  <c r="Z227" i="34"/>
  <c r="AA227" i="34" s="1"/>
  <c r="AG227" i="34"/>
  <c r="AH227" i="34" s="1"/>
  <c r="S228" i="34"/>
  <c r="Z228" i="34"/>
  <c r="AA228" i="34" s="1"/>
  <c r="AG228" i="34"/>
  <c r="AH228" i="34" s="1"/>
  <c r="S229" i="34"/>
  <c r="T229" i="34" s="1"/>
  <c r="Z229" i="34"/>
  <c r="AG229" i="34"/>
  <c r="AH229" i="34" s="1"/>
  <c r="S230" i="34"/>
  <c r="T230" i="34" s="1"/>
  <c r="Z230" i="34"/>
  <c r="AA230" i="34" s="1"/>
  <c r="AG230" i="34"/>
  <c r="AX16" i="34"/>
  <c r="F254" i="35" s="1"/>
  <c r="F253" i="35" s="1"/>
  <c r="AY16" i="34"/>
  <c r="G340" i="35" s="1"/>
  <c r="G339" i="35" s="1"/>
  <c r="R16" i="58" s="1"/>
  <c r="AZ16" i="34"/>
  <c r="H428" i="35" s="1"/>
  <c r="H427" i="35" s="1"/>
  <c r="T5" i="58" s="1"/>
  <c r="BA16" i="34"/>
  <c r="I600" i="35" s="1"/>
  <c r="I599" i="35" s="1"/>
  <c r="BB16" i="34"/>
  <c r="K82" i="35" s="1"/>
  <c r="K81" i="35" s="1"/>
  <c r="BC16" i="34"/>
  <c r="L600" i="35" s="1"/>
  <c r="L599" i="35" s="1"/>
  <c r="BD16" i="34"/>
  <c r="M82" i="35" s="1"/>
  <c r="BE16" i="34"/>
  <c r="N685" i="35" s="1"/>
  <c r="N684" i="35" s="1"/>
  <c r="AI9" i="58" s="1"/>
  <c r="BF16" i="34"/>
  <c r="P685" i="35" s="1"/>
  <c r="P684" i="35" s="1"/>
  <c r="AP9" i="58" s="1"/>
  <c r="BG16" i="34"/>
  <c r="Q168" i="35" s="1"/>
  <c r="Q167" i="35" s="1"/>
  <c r="AR2" i="58" s="1"/>
  <c r="BH16" i="34"/>
  <c r="R82" i="35" s="1"/>
  <c r="R81" i="35" s="1"/>
  <c r="BI16" i="34"/>
  <c r="S600" i="35" s="1"/>
  <c r="S599" i="35" s="1"/>
  <c r="AX17" i="34"/>
  <c r="F431" i="35" s="1"/>
  <c r="F430" i="35" s="1"/>
  <c r="AY17" i="34"/>
  <c r="AZ17" i="34"/>
  <c r="H171" i="35" s="1"/>
  <c r="H170" i="35" s="1"/>
  <c r="BA17" i="34"/>
  <c r="BB17" i="34"/>
  <c r="K431" i="35" s="1"/>
  <c r="BC17" i="34"/>
  <c r="BD17" i="34"/>
  <c r="M257" i="35" s="1"/>
  <c r="BE17" i="34"/>
  <c r="BF17" i="34"/>
  <c r="BG17" i="34"/>
  <c r="BH17" i="34"/>
  <c r="R431" i="35" s="1"/>
  <c r="R430" i="35" s="1"/>
  <c r="BI17" i="34"/>
  <c r="S171" i="35" s="1"/>
  <c r="S170" i="35" s="1"/>
  <c r="AX15" i="34"/>
  <c r="F165" i="35" s="1"/>
  <c r="F164" i="35" s="1"/>
  <c r="AY15" i="34"/>
  <c r="AZ15" i="34"/>
  <c r="H511" i="35" s="1"/>
  <c r="H510" i="35" s="1"/>
  <c r="BA15" i="34"/>
  <c r="I251" i="35" s="1"/>
  <c r="I250" i="35" s="1"/>
  <c r="BB15" i="34"/>
  <c r="K79" i="35" s="1"/>
  <c r="K78" i="35" s="1"/>
  <c r="BC15" i="34"/>
  <c r="BD15" i="34"/>
  <c r="M511" i="35" s="1"/>
  <c r="M510" i="35" s="1"/>
  <c r="BE15" i="34"/>
  <c r="BF15" i="34"/>
  <c r="BG15" i="34"/>
  <c r="BH15" i="34"/>
  <c r="R79" i="35" s="1"/>
  <c r="R78" i="35" s="1"/>
  <c r="BI15" i="34"/>
  <c r="S79" i="35" s="1"/>
  <c r="S78" i="35" s="1"/>
  <c r="G77" i="35"/>
  <c r="H77" i="35"/>
  <c r="I77" i="35"/>
  <c r="J77" i="35" s="1"/>
  <c r="K77" i="35"/>
  <c r="O77" i="35" s="1"/>
  <c r="L77" i="35"/>
  <c r="M77" i="35"/>
  <c r="N77" i="35"/>
  <c r="P77" i="35"/>
  <c r="T77" i="35" s="1"/>
  <c r="Q77" i="35"/>
  <c r="R77" i="35"/>
  <c r="S77" i="35"/>
  <c r="G80" i="35"/>
  <c r="J80" i="35" s="1"/>
  <c r="H80" i="35"/>
  <c r="I80" i="35"/>
  <c r="K80" i="35"/>
  <c r="L80" i="35"/>
  <c r="O80" i="35" s="1"/>
  <c r="M80" i="35"/>
  <c r="N80" i="35"/>
  <c r="P80" i="35"/>
  <c r="Q80" i="35"/>
  <c r="T80" i="35" s="1"/>
  <c r="R80" i="35"/>
  <c r="S80" i="35"/>
  <c r="G83" i="35"/>
  <c r="H83" i="35"/>
  <c r="J83" i="35" s="1"/>
  <c r="I83" i="35"/>
  <c r="K83" i="35"/>
  <c r="L83" i="35"/>
  <c r="M83" i="35"/>
  <c r="O83" i="35" s="1"/>
  <c r="N83" i="35"/>
  <c r="P83" i="35"/>
  <c r="Q83" i="35"/>
  <c r="R83" i="35"/>
  <c r="T83" i="35" s="1"/>
  <c r="S83" i="35"/>
  <c r="G86" i="35"/>
  <c r="H86" i="35"/>
  <c r="I86" i="35"/>
  <c r="J86" i="35" s="1"/>
  <c r="K86" i="35"/>
  <c r="L86" i="35"/>
  <c r="M86" i="35"/>
  <c r="N86" i="35"/>
  <c r="O86" i="35" s="1"/>
  <c r="P86" i="35"/>
  <c r="Q86" i="35"/>
  <c r="R86" i="35"/>
  <c r="S86" i="35"/>
  <c r="T86" i="35" s="1"/>
  <c r="G89" i="35"/>
  <c r="H89" i="35"/>
  <c r="I89" i="35"/>
  <c r="J89" i="35" s="1"/>
  <c r="K89" i="35"/>
  <c r="O89" i="35" s="1"/>
  <c r="L89" i="35"/>
  <c r="M89" i="35"/>
  <c r="N89" i="35"/>
  <c r="P89" i="35"/>
  <c r="T89" i="35" s="1"/>
  <c r="Q89" i="35"/>
  <c r="R89" i="35"/>
  <c r="S89" i="35"/>
  <c r="F263" i="35"/>
  <c r="F262" i="35" s="1"/>
  <c r="G523" i="35"/>
  <c r="G522" i="35" s="1"/>
  <c r="P263" i="35"/>
  <c r="P262" i="35" s="1"/>
  <c r="G92" i="35"/>
  <c r="H92" i="35"/>
  <c r="J92" i="35" s="1"/>
  <c r="I92" i="35"/>
  <c r="K92" i="35"/>
  <c r="L92" i="35"/>
  <c r="M92" i="35"/>
  <c r="O92" i="35" s="1"/>
  <c r="N92" i="35"/>
  <c r="P92" i="35"/>
  <c r="Q92" i="35"/>
  <c r="R92" i="35"/>
  <c r="T92" i="35" s="1"/>
  <c r="S92" i="35"/>
  <c r="G95" i="35"/>
  <c r="H95" i="35"/>
  <c r="I95" i="35"/>
  <c r="J95" i="35" s="1"/>
  <c r="K95" i="35"/>
  <c r="L95" i="35"/>
  <c r="M95" i="35"/>
  <c r="N95" i="35"/>
  <c r="O95" i="35" s="1"/>
  <c r="P95" i="35"/>
  <c r="Q95" i="35"/>
  <c r="R95" i="35"/>
  <c r="S95" i="35"/>
  <c r="T95" i="35" s="1"/>
  <c r="G163" i="35"/>
  <c r="H163" i="35"/>
  <c r="I163" i="35"/>
  <c r="K163" i="35"/>
  <c r="O163" i="35" s="1"/>
  <c r="L163" i="35"/>
  <c r="M163" i="35"/>
  <c r="N163" i="35"/>
  <c r="P163" i="35"/>
  <c r="T163" i="35" s="1"/>
  <c r="Q163" i="35"/>
  <c r="R163" i="35"/>
  <c r="S163" i="35"/>
  <c r="G166" i="35"/>
  <c r="J166" i="35" s="1"/>
  <c r="H166" i="35"/>
  <c r="I166" i="35"/>
  <c r="K166" i="35"/>
  <c r="L166" i="35"/>
  <c r="O166" i="35" s="1"/>
  <c r="M166" i="35"/>
  <c r="N166" i="35"/>
  <c r="P166" i="35"/>
  <c r="Q166" i="35"/>
  <c r="T166" i="35" s="1"/>
  <c r="R166" i="35"/>
  <c r="S166" i="35"/>
  <c r="G169" i="35"/>
  <c r="H169" i="35"/>
  <c r="J169" i="35" s="1"/>
  <c r="I169" i="35"/>
  <c r="K169" i="35"/>
  <c r="L169" i="35"/>
  <c r="M169" i="35"/>
  <c r="N169" i="35"/>
  <c r="P169" i="35"/>
  <c r="Q169" i="35"/>
  <c r="R169" i="35"/>
  <c r="T169" i="35" s="1"/>
  <c r="S169" i="35"/>
  <c r="G172" i="35"/>
  <c r="H172" i="35"/>
  <c r="I172" i="35"/>
  <c r="J172" i="35" s="1"/>
  <c r="K172" i="35"/>
  <c r="L172" i="35"/>
  <c r="M172" i="35"/>
  <c r="N172" i="35"/>
  <c r="O172" i="35" s="1"/>
  <c r="P172" i="35"/>
  <c r="Q172" i="35"/>
  <c r="R172" i="35"/>
  <c r="S172" i="35"/>
  <c r="T172" i="35" s="1"/>
  <c r="G175" i="35"/>
  <c r="H175" i="35"/>
  <c r="I175" i="35"/>
  <c r="K175" i="35"/>
  <c r="O175" i="35" s="1"/>
  <c r="L175" i="35"/>
  <c r="M175" i="35"/>
  <c r="N175" i="35"/>
  <c r="P175" i="35"/>
  <c r="T175" i="35" s="1"/>
  <c r="Q175" i="35"/>
  <c r="R175" i="35"/>
  <c r="S175" i="35"/>
  <c r="G178" i="35"/>
  <c r="J178" i="35" s="1"/>
  <c r="H178" i="35"/>
  <c r="I178" i="35"/>
  <c r="K178" i="35"/>
  <c r="L178" i="35"/>
  <c r="O178" i="35" s="1"/>
  <c r="M178" i="35"/>
  <c r="N178" i="35"/>
  <c r="P178" i="35"/>
  <c r="Q178" i="35"/>
  <c r="T178" i="35" s="1"/>
  <c r="R178" i="35"/>
  <c r="S178" i="35"/>
  <c r="P181" i="35"/>
  <c r="Q181" i="35"/>
  <c r="T181" i="35" s="1"/>
  <c r="R181" i="35"/>
  <c r="S181" i="35"/>
  <c r="G249" i="35"/>
  <c r="H249" i="35"/>
  <c r="J249" i="35" s="1"/>
  <c r="I249" i="35"/>
  <c r="K249" i="35"/>
  <c r="L249" i="35"/>
  <c r="M249" i="35"/>
  <c r="O249" i="35" s="1"/>
  <c r="N249" i="35"/>
  <c r="P249" i="35"/>
  <c r="Q249" i="35"/>
  <c r="R249" i="35"/>
  <c r="T249" i="35" s="1"/>
  <c r="S249" i="35"/>
  <c r="G252" i="35"/>
  <c r="H252" i="35"/>
  <c r="I252" i="35"/>
  <c r="J252" i="35" s="1"/>
  <c r="K252" i="35"/>
  <c r="L252" i="35"/>
  <c r="M252" i="35"/>
  <c r="N252" i="35"/>
  <c r="O252" i="35" s="1"/>
  <c r="P252" i="35"/>
  <c r="Q252" i="35"/>
  <c r="R252" i="35"/>
  <c r="S252" i="35"/>
  <c r="T252" i="35" s="1"/>
  <c r="G255" i="35"/>
  <c r="H255" i="35"/>
  <c r="I255" i="35"/>
  <c r="K255" i="35"/>
  <c r="O255" i="35" s="1"/>
  <c r="L255" i="35"/>
  <c r="M255" i="35"/>
  <c r="N255" i="35"/>
  <c r="P255" i="35"/>
  <c r="T255" i="35" s="1"/>
  <c r="Q255" i="35"/>
  <c r="R255" i="35"/>
  <c r="S255" i="35"/>
  <c r="G258" i="35"/>
  <c r="J258" i="35" s="1"/>
  <c r="H258" i="35"/>
  <c r="I258" i="35"/>
  <c r="K258" i="35"/>
  <c r="L258" i="35"/>
  <c r="O258" i="35" s="1"/>
  <c r="M258" i="35"/>
  <c r="N258" i="35"/>
  <c r="P258" i="35"/>
  <c r="Q258" i="35"/>
  <c r="T258" i="35" s="1"/>
  <c r="R258" i="35"/>
  <c r="S258" i="35"/>
  <c r="G261" i="35"/>
  <c r="H261" i="35"/>
  <c r="J261" i="35" s="1"/>
  <c r="I261" i="35"/>
  <c r="K261" i="35"/>
  <c r="L261" i="35"/>
  <c r="M261" i="35"/>
  <c r="N261" i="35"/>
  <c r="P261" i="35"/>
  <c r="Q261" i="35"/>
  <c r="R261" i="35"/>
  <c r="T261" i="35" s="1"/>
  <c r="S261" i="35"/>
  <c r="G264" i="35"/>
  <c r="H264" i="35"/>
  <c r="I264" i="35"/>
  <c r="J264" i="35" s="1"/>
  <c r="K264" i="35"/>
  <c r="L264" i="35"/>
  <c r="M264" i="35"/>
  <c r="N264" i="35"/>
  <c r="O264" i="35" s="1"/>
  <c r="P264" i="35"/>
  <c r="Q264" i="35"/>
  <c r="R264" i="35"/>
  <c r="S264" i="35"/>
  <c r="T264" i="35" s="1"/>
  <c r="G335" i="35"/>
  <c r="H335" i="35"/>
  <c r="I335" i="35"/>
  <c r="J335" i="35" s="1"/>
  <c r="K335" i="35"/>
  <c r="O335" i="35" s="1"/>
  <c r="L335" i="35"/>
  <c r="M335" i="35"/>
  <c r="N335" i="35"/>
  <c r="P335" i="35"/>
  <c r="T335" i="35" s="1"/>
  <c r="Q335" i="35"/>
  <c r="R335" i="35"/>
  <c r="S335" i="35"/>
  <c r="G338" i="35"/>
  <c r="J338" i="35" s="1"/>
  <c r="H338" i="35"/>
  <c r="I338" i="35"/>
  <c r="K338" i="35"/>
  <c r="L338" i="35"/>
  <c r="O338" i="35" s="1"/>
  <c r="M338" i="35"/>
  <c r="N338" i="35"/>
  <c r="P338" i="35"/>
  <c r="Q338" i="35"/>
  <c r="T338" i="35" s="1"/>
  <c r="R338" i="35"/>
  <c r="S338" i="35"/>
  <c r="G341" i="35"/>
  <c r="H341" i="35"/>
  <c r="J341" i="35" s="1"/>
  <c r="I341" i="35"/>
  <c r="K341" i="35"/>
  <c r="L341" i="35"/>
  <c r="M341" i="35"/>
  <c r="O341" i="35" s="1"/>
  <c r="N341" i="35"/>
  <c r="P341" i="35"/>
  <c r="Q341" i="35"/>
  <c r="R341" i="35"/>
  <c r="T341" i="35" s="1"/>
  <c r="S341" i="35"/>
  <c r="G344" i="35"/>
  <c r="H344" i="35"/>
  <c r="I344" i="35"/>
  <c r="J344" i="35" s="1"/>
  <c r="K344" i="35"/>
  <c r="L344" i="35"/>
  <c r="M344" i="35"/>
  <c r="N344" i="35"/>
  <c r="O344" i="35" s="1"/>
  <c r="P344" i="35"/>
  <c r="Q344" i="35"/>
  <c r="R344" i="35"/>
  <c r="S344" i="35"/>
  <c r="T344" i="35" s="1"/>
  <c r="G347" i="35"/>
  <c r="H347" i="35"/>
  <c r="I347" i="35"/>
  <c r="J347" i="35" s="1"/>
  <c r="K347" i="35"/>
  <c r="O347" i="35" s="1"/>
  <c r="L347" i="35"/>
  <c r="M347" i="35"/>
  <c r="N347" i="35"/>
  <c r="P347" i="35"/>
  <c r="T347" i="35" s="1"/>
  <c r="Q347" i="35"/>
  <c r="R347" i="35"/>
  <c r="S347" i="35"/>
  <c r="G350" i="35"/>
  <c r="J350" i="35" s="1"/>
  <c r="H350" i="35"/>
  <c r="I350" i="35"/>
  <c r="K350" i="35"/>
  <c r="L350" i="35"/>
  <c r="O350" i="35" s="1"/>
  <c r="M350" i="35"/>
  <c r="N350" i="35"/>
  <c r="P350" i="35"/>
  <c r="Q350" i="35"/>
  <c r="T350" i="35" s="1"/>
  <c r="R350" i="35"/>
  <c r="S350" i="35"/>
  <c r="G353" i="35"/>
  <c r="H353" i="35"/>
  <c r="J353" i="35" s="1"/>
  <c r="I353" i="35"/>
  <c r="K353" i="35"/>
  <c r="L353" i="35"/>
  <c r="M353" i="35"/>
  <c r="O353" i="35" s="1"/>
  <c r="N353" i="35"/>
  <c r="P353" i="35"/>
  <c r="Q353" i="35"/>
  <c r="R353" i="35"/>
  <c r="T353" i="35" s="1"/>
  <c r="S353" i="35"/>
  <c r="G423" i="35"/>
  <c r="H423" i="35"/>
  <c r="I423" i="35"/>
  <c r="J423" i="35" s="1"/>
  <c r="K423" i="35"/>
  <c r="L423" i="35"/>
  <c r="M423" i="35"/>
  <c r="N423" i="35"/>
  <c r="O423" i="35" s="1"/>
  <c r="P423" i="35"/>
  <c r="Q423" i="35"/>
  <c r="R423" i="35"/>
  <c r="S423" i="35"/>
  <c r="T423" i="35" s="1"/>
  <c r="G429" i="35"/>
  <c r="H429" i="35"/>
  <c r="I429" i="35"/>
  <c r="J429" i="35" s="1"/>
  <c r="K429" i="35"/>
  <c r="O429" i="35" s="1"/>
  <c r="L429" i="35"/>
  <c r="M429" i="35"/>
  <c r="N429" i="35"/>
  <c r="P429" i="35"/>
  <c r="T429" i="35" s="1"/>
  <c r="Q429" i="35"/>
  <c r="R429" i="35"/>
  <c r="S429" i="35"/>
  <c r="G432" i="35"/>
  <c r="J432" i="35" s="1"/>
  <c r="H432" i="35"/>
  <c r="I432" i="35"/>
  <c r="K432" i="35"/>
  <c r="L432" i="35"/>
  <c r="O432" i="35" s="1"/>
  <c r="M432" i="35"/>
  <c r="N432" i="35"/>
  <c r="P432" i="35"/>
  <c r="Q432" i="35"/>
  <c r="T432" i="35" s="1"/>
  <c r="R432" i="35"/>
  <c r="S432" i="35"/>
  <c r="G435" i="35"/>
  <c r="H435" i="35"/>
  <c r="J435" i="35" s="1"/>
  <c r="I435" i="35"/>
  <c r="K435" i="35"/>
  <c r="L435" i="35"/>
  <c r="M435" i="35"/>
  <c r="O435" i="35" s="1"/>
  <c r="N435" i="35"/>
  <c r="P435" i="35"/>
  <c r="Q435" i="35"/>
  <c r="R435" i="35"/>
  <c r="T435" i="35" s="1"/>
  <c r="S435" i="35"/>
  <c r="G438" i="35"/>
  <c r="H438" i="35"/>
  <c r="I438" i="35"/>
  <c r="J438" i="35" s="1"/>
  <c r="K438" i="35"/>
  <c r="L438" i="35"/>
  <c r="M438" i="35"/>
  <c r="N438" i="35"/>
  <c r="O438" i="35" s="1"/>
  <c r="P438" i="35"/>
  <c r="Q438" i="35"/>
  <c r="R438" i="35"/>
  <c r="S438" i="35"/>
  <c r="T438" i="35" s="1"/>
  <c r="G509" i="35"/>
  <c r="H509" i="35"/>
  <c r="I509" i="35"/>
  <c r="K509" i="35"/>
  <c r="O509" i="35" s="1"/>
  <c r="L509" i="35"/>
  <c r="M509" i="35"/>
  <c r="N509" i="35"/>
  <c r="P509" i="35"/>
  <c r="T509" i="35" s="1"/>
  <c r="Q509" i="35"/>
  <c r="R509" i="35"/>
  <c r="S509" i="35"/>
  <c r="G515" i="35"/>
  <c r="J515" i="35" s="1"/>
  <c r="H515" i="35"/>
  <c r="I515" i="35"/>
  <c r="K515" i="35"/>
  <c r="L515" i="35"/>
  <c r="O515" i="35" s="1"/>
  <c r="M515" i="35"/>
  <c r="N515" i="35"/>
  <c r="P515" i="35"/>
  <c r="Q515" i="35"/>
  <c r="T515" i="35" s="1"/>
  <c r="R515" i="35"/>
  <c r="S515" i="35"/>
  <c r="G518" i="35"/>
  <c r="H518" i="35"/>
  <c r="J518" i="35" s="1"/>
  <c r="I518" i="35"/>
  <c r="K518" i="35"/>
  <c r="L518" i="35"/>
  <c r="M518" i="35"/>
  <c r="O518" i="35" s="1"/>
  <c r="N518" i="35"/>
  <c r="P518" i="35"/>
  <c r="Q518" i="35"/>
  <c r="R518" i="35"/>
  <c r="T518" i="35" s="1"/>
  <c r="S518" i="35"/>
  <c r="G521" i="35"/>
  <c r="H521" i="35"/>
  <c r="I521" i="35"/>
  <c r="J521" i="35" s="1"/>
  <c r="K521" i="35"/>
  <c r="L521" i="35"/>
  <c r="M521" i="35"/>
  <c r="N521" i="35"/>
  <c r="O521" i="35" s="1"/>
  <c r="P521" i="35"/>
  <c r="Q521" i="35"/>
  <c r="R521" i="35"/>
  <c r="S521" i="35"/>
  <c r="T521" i="35" s="1"/>
  <c r="G524" i="35"/>
  <c r="H524" i="35"/>
  <c r="I524" i="35"/>
  <c r="K524" i="35"/>
  <c r="O524" i="35" s="1"/>
  <c r="L524" i="35"/>
  <c r="M524" i="35"/>
  <c r="N524" i="35"/>
  <c r="P524" i="35"/>
  <c r="T524" i="35" s="1"/>
  <c r="Q524" i="35"/>
  <c r="R524" i="35"/>
  <c r="S524" i="35"/>
  <c r="G595" i="35"/>
  <c r="J595" i="35" s="1"/>
  <c r="H595" i="35"/>
  <c r="I595" i="35"/>
  <c r="K595" i="35"/>
  <c r="L595" i="35"/>
  <c r="O595" i="35" s="1"/>
  <c r="M595" i="35"/>
  <c r="N595" i="35"/>
  <c r="P595" i="35"/>
  <c r="Q595" i="35"/>
  <c r="T595" i="35" s="1"/>
  <c r="R595" i="35"/>
  <c r="S595" i="35"/>
  <c r="G601" i="35"/>
  <c r="H601" i="35"/>
  <c r="J601" i="35" s="1"/>
  <c r="I601" i="35"/>
  <c r="K601" i="35"/>
  <c r="L601" i="35"/>
  <c r="M601" i="35"/>
  <c r="O601" i="35" s="1"/>
  <c r="N601" i="35"/>
  <c r="P601" i="35"/>
  <c r="Q601" i="35"/>
  <c r="R601" i="35"/>
  <c r="T601" i="35" s="1"/>
  <c r="S601" i="35"/>
  <c r="G604" i="35"/>
  <c r="H604" i="35"/>
  <c r="I604" i="35"/>
  <c r="J604" i="35" s="1"/>
  <c r="K604" i="35"/>
  <c r="L604" i="35"/>
  <c r="M604" i="35"/>
  <c r="N604" i="35"/>
  <c r="O604" i="35" s="1"/>
  <c r="P604" i="35"/>
  <c r="Q604" i="35"/>
  <c r="R604" i="35"/>
  <c r="S604" i="35"/>
  <c r="T604" i="35" s="1"/>
  <c r="G607" i="35"/>
  <c r="H607" i="35"/>
  <c r="I607" i="35"/>
  <c r="J607" i="35" s="1"/>
  <c r="K607" i="35"/>
  <c r="O607" i="35" s="1"/>
  <c r="L607" i="35"/>
  <c r="M607" i="35"/>
  <c r="N607" i="35"/>
  <c r="P607" i="35"/>
  <c r="T607" i="35" s="1"/>
  <c r="Q607" i="35"/>
  <c r="R607" i="35"/>
  <c r="S607" i="35"/>
  <c r="G610" i="35"/>
  <c r="J610" i="35" s="1"/>
  <c r="H610" i="35"/>
  <c r="I610" i="35"/>
  <c r="K610" i="35"/>
  <c r="L610" i="35"/>
  <c r="O610" i="35" s="1"/>
  <c r="M610" i="35"/>
  <c r="N610" i="35"/>
  <c r="P610" i="35"/>
  <c r="Q610" i="35"/>
  <c r="T610" i="35" s="1"/>
  <c r="R610" i="35"/>
  <c r="S610" i="35"/>
  <c r="N680" i="35"/>
  <c r="P680" i="35"/>
  <c r="T680" i="35" s="1"/>
  <c r="Q680" i="35"/>
  <c r="R680" i="35"/>
  <c r="S680" i="35"/>
  <c r="G686" i="35"/>
  <c r="J686" i="35" s="1"/>
  <c r="H686" i="35"/>
  <c r="I686" i="35"/>
  <c r="K686" i="35"/>
  <c r="L686" i="35"/>
  <c r="O686" i="35" s="1"/>
  <c r="M686" i="35"/>
  <c r="N686" i="35"/>
  <c r="P686" i="35"/>
  <c r="Q686" i="35"/>
  <c r="R686" i="35"/>
  <c r="S686" i="35"/>
  <c r="G689" i="35"/>
  <c r="H689" i="35"/>
  <c r="J689" i="35" s="1"/>
  <c r="I689" i="35"/>
  <c r="K689" i="35"/>
  <c r="L689" i="35"/>
  <c r="M689" i="35"/>
  <c r="O689" i="35" s="1"/>
  <c r="N689" i="35"/>
  <c r="P689" i="35"/>
  <c r="Q689" i="35"/>
  <c r="R689" i="35"/>
  <c r="T689" i="35" s="1"/>
  <c r="S689" i="35"/>
  <c r="G692" i="35"/>
  <c r="H692" i="35"/>
  <c r="I692" i="35"/>
  <c r="J692" i="35" s="1"/>
  <c r="K692" i="35"/>
  <c r="L692" i="35"/>
  <c r="M692" i="35"/>
  <c r="N692" i="35"/>
  <c r="O692" i="35" s="1"/>
  <c r="P692" i="35"/>
  <c r="Q692" i="35"/>
  <c r="R692" i="35"/>
  <c r="S692" i="35"/>
  <c r="T692" i="35" s="1"/>
  <c r="G695" i="35"/>
  <c r="H695" i="35"/>
  <c r="I695" i="35"/>
  <c r="J695" i="35" s="1"/>
  <c r="K695" i="35"/>
  <c r="O695" i="35" s="1"/>
  <c r="L695" i="35"/>
  <c r="M695" i="35"/>
  <c r="N695" i="35"/>
  <c r="P695" i="35"/>
  <c r="T695" i="35" s="1"/>
  <c r="Q695" i="35"/>
  <c r="R695" i="35"/>
  <c r="S695" i="35"/>
  <c r="G157" i="35"/>
  <c r="J157" i="35" s="1"/>
  <c r="H157" i="35"/>
  <c r="I157" i="35"/>
  <c r="K157" i="35"/>
  <c r="L157" i="35"/>
  <c r="O157" i="35" s="1"/>
  <c r="M157" i="35"/>
  <c r="N157" i="35"/>
  <c r="P157" i="35"/>
  <c r="Q157" i="35"/>
  <c r="T157" i="35" s="1"/>
  <c r="R157" i="35"/>
  <c r="S157" i="35"/>
  <c r="G160" i="35"/>
  <c r="H160" i="35"/>
  <c r="J160" i="35" s="1"/>
  <c r="I160" i="35"/>
  <c r="K160" i="35"/>
  <c r="L160" i="35"/>
  <c r="M160" i="35"/>
  <c r="O160" i="35" s="1"/>
  <c r="N160" i="35"/>
  <c r="P160" i="35"/>
  <c r="Q160" i="35"/>
  <c r="R160" i="35"/>
  <c r="T160" i="35" s="1"/>
  <c r="S160" i="35"/>
  <c r="G106" i="35"/>
  <c r="H106" i="35"/>
  <c r="I106" i="35"/>
  <c r="J106" i="35" s="1"/>
  <c r="K106" i="35"/>
  <c r="L106" i="35"/>
  <c r="M106" i="35"/>
  <c r="N106" i="35"/>
  <c r="O106" i="35" s="1"/>
  <c r="P106" i="35"/>
  <c r="Q106" i="35"/>
  <c r="R106" i="35"/>
  <c r="S106" i="35"/>
  <c r="T106" i="35" s="1"/>
  <c r="G109" i="35"/>
  <c r="H109" i="35"/>
  <c r="I109" i="35"/>
  <c r="J109" i="35" s="1"/>
  <c r="K109" i="35"/>
  <c r="L109" i="35"/>
  <c r="M109" i="35"/>
  <c r="N109" i="35"/>
  <c r="P109" i="35"/>
  <c r="Q109" i="35"/>
  <c r="R109" i="35"/>
  <c r="S109" i="35"/>
  <c r="G112" i="35"/>
  <c r="H112" i="35"/>
  <c r="I112" i="35"/>
  <c r="K112" i="35"/>
  <c r="L112" i="35"/>
  <c r="M112" i="35"/>
  <c r="N112" i="35"/>
  <c r="P112" i="35"/>
  <c r="Q112" i="35"/>
  <c r="R112" i="35"/>
  <c r="S112" i="35"/>
  <c r="G115" i="35"/>
  <c r="H115" i="35"/>
  <c r="I115" i="35"/>
  <c r="K115" i="35"/>
  <c r="L115" i="35"/>
  <c r="M115" i="35"/>
  <c r="N115" i="35"/>
  <c r="P115" i="35"/>
  <c r="Q115" i="35"/>
  <c r="R115" i="35"/>
  <c r="S115" i="35"/>
  <c r="G118" i="35"/>
  <c r="H118" i="35"/>
  <c r="I118" i="35"/>
  <c r="K118" i="35"/>
  <c r="L118" i="35"/>
  <c r="M118" i="35"/>
  <c r="N118" i="35"/>
  <c r="P118" i="35"/>
  <c r="Q118" i="35"/>
  <c r="R118" i="35"/>
  <c r="S118" i="35"/>
  <c r="G121" i="35"/>
  <c r="H121" i="35"/>
  <c r="I121" i="35"/>
  <c r="K121" i="35"/>
  <c r="L121" i="35"/>
  <c r="M121" i="35"/>
  <c r="N121" i="35"/>
  <c r="P121" i="35"/>
  <c r="Q121" i="35"/>
  <c r="R121" i="35"/>
  <c r="S121" i="35"/>
  <c r="G127" i="35"/>
  <c r="H127" i="35"/>
  <c r="I127" i="35"/>
  <c r="K127" i="35"/>
  <c r="L127" i="35"/>
  <c r="M127" i="35"/>
  <c r="N127" i="35"/>
  <c r="P127" i="35"/>
  <c r="Q127" i="35"/>
  <c r="R127" i="35"/>
  <c r="S127" i="35"/>
  <c r="G130" i="35"/>
  <c r="H130" i="35"/>
  <c r="I130" i="35"/>
  <c r="K130" i="35"/>
  <c r="L130" i="35"/>
  <c r="M130" i="35"/>
  <c r="N130" i="35"/>
  <c r="P130" i="35"/>
  <c r="Q130" i="35"/>
  <c r="R130" i="35"/>
  <c r="S130" i="35"/>
  <c r="G133" i="35"/>
  <c r="H133" i="35"/>
  <c r="I133" i="35"/>
  <c r="K133" i="35"/>
  <c r="L133" i="35"/>
  <c r="M133" i="35"/>
  <c r="N133" i="35"/>
  <c r="P133" i="35"/>
  <c r="Q133" i="35"/>
  <c r="R133" i="35"/>
  <c r="S133" i="35"/>
  <c r="G136" i="35"/>
  <c r="H136" i="35"/>
  <c r="I136" i="35"/>
  <c r="J136" i="35" s="1"/>
  <c r="K136" i="35"/>
  <c r="O136" i="35" s="1"/>
  <c r="L136" i="35"/>
  <c r="M136" i="35"/>
  <c r="N136" i="35"/>
  <c r="P136" i="35"/>
  <c r="T136" i="35" s="1"/>
  <c r="Q136" i="35"/>
  <c r="R136" i="35"/>
  <c r="S136" i="35"/>
  <c r="G139" i="35"/>
  <c r="J139" i="35" s="1"/>
  <c r="H139" i="35"/>
  <c r="I139" i="35"/>
  <c r="K139" i="35"/>
  <c r="L139" i="35"/>
  <c r="O139" i="35" s="1"/>
  <c r="M139" i="35"/>
  <c r="N139" i="35"/>
  <c r="P139" i="35"/>
  <c r="Q139" i="35"/>
  <c r="T139" i="35" s="1"/>
  <c r="R139" i="35"/>
  <c r="S139" i="35"/>
  <c r="G142" i="35"/>
  <c r="H142" i="35"/>
  <c r="J142" i="35" s="1"/>
  <c r="I142" i="35"/>
  <c r="K142" i="35"/>
  <c r="L142" i="35"/>
  <c r="M142" i="35"/>
  <c r="O142" i="35" s="1"/>
  <c r="N142" i="35"/>
  <c r="P142" i="35"/>
  <c r="Q142" i="35"/>
  <c r="R142" i="35"/>
  <c r="T142" i="35" s="1"/>
  <c r="S142" i="35"/>
  <c r="G145" i="35"/>
  <c r="H145" i="35"/>
  <c r="I145" i="35"/>
  <c r="J145" i="35" s="1"/>
  <c r="K145" i="35"/>
  <c r="L145" i="35"/>
  <c r="M145" i="35"/>
  <c r="N145" i="35"/>
  <c r="O145" i="35" s="1"/>
  <c r="P145" i="35"/>
  <c r="Q145" i="35"/>
  <c r="R145" i="35"/>
  <c r="S145" i="35"/>
  <c r="G148" i="35"/>
  <c r="H148" i="35"/>
  <c r="I148" i="35"/>
  <c r="K148" i="35"/>
  <c r="O148" i="35" s="1"/>
  <c r="L148" i="35"/>
  <c r="M148" i="35"/>
  <c r="N148" i="35"/>
  <c r="P148" i="35"/>
  <c r="T148" i="35" s="1"/>
  <c r="Q148" i="35"/>
  <c r="R148" i="35"/>
  <c r="S148" i="35"/>
  <c r="G151" i="35"/>
  <c r="J151" i="35" s="1"/>
  <c r="H151" i="35"/>
  <c r="I151" i="35"/>
  <c r="K151" i="35"/>
  <c r="L151" i="35"/>
  <c r="O151" i="35" s="1"/>
  <c r="M151" i="35"/>
  <c r="N151" i="35"/>
  <c r="P151" i="35"/>
  <c r="Q151" i="35"/>
  <c r="T151" i="35" s="1"/>
  <c r="R151" i="35"/>
  <c r="S151" i="35"/>
  <c r="G154" i="35"/>
  <c r="H154" i="35"/>
  <c r="J154" i="35" s="1"/>
  <c r="I154" i="35"/>
  <c r="K154" i="35"/>
  <c r="L154" i="35"/>
  <c r="M154" i="35"/>
  <c r="O154" i="35" s="1"/>
  <c r="N154" i="35"/>
  <c r="P154" i="35"/>
  <c r="Q154" i="35"/>
  <c r="R154" i="35"/>
  <c r="T154" i="35" s="1"/>
  <c r="S154" i="35"/>
  <c r="G399" i="35"/>
  <c r="H399" i="35"/>
  <c r="I399" i="35"/>
  <c r="J399" i="35" s="1"/>
  <c r="K399" i="35"/>
  <c r="L399" i="35"/>
  <c r="M399" i="35"/>
  <c r="N399" i="35"/>
  <c r="O399" i="35" s="1"/>
  <c r="P399" i="35"/>
  <c r="Q399" i="35"/>
  <c r="R399" i="35"/>
  <c r="S399" i="35"/>
  <c r="T399" i="35" s="1"/>
  <c r="G485" i="35"/>
  <c r="H485" i="35"/>
  <c r="I485" i="35"/>
  <c r="J485" i="35" s="1"/>
  <c r="K485" i="35"/>
  <c r="O485" i="35" s="1"/>
  <c r="L485" i="35"/>
  <c r="M485" i="35"/>
  <c r="N485" i="35"/>
  <c r="P485" i="35"/>
  <c r="T485" i="35" s="1"/>
  <c r="Q485" i="35"/>
  <c r="R485" i="35"/>
  <c r="S485" i="35"/>
  <c r="S14" i="17"/>
  <c r="T14" i="17" s="1"/>
  <c r="Z14" i="17"/>
  <c r="AG14" i="17"/>
  <c r="AH14" i="17" s="1"/>
  <c r="S15" i="17"/>
  <c r="T15" i="17" s="1"/>
  <c r="Z15" i="17"/>
  <c r="AG15" i="17"/>
  <c r="AH15" i="17" s="1"/>
  <c r="S16" i="17"/>
  <c r="T16" i="17" s="1"/>
  <c r="Z16" i="17"/>
  <c r="AA16" i="17" s="1"/>
  <c r="AG16" i="17"/>
  <c r="S17" i="17"/>
  <c r="Z17" i="17"/>
  <c r="AA17" i="17" s="1"/>
  <c r="AG17" i="17"/>
  <c r="AH17" i="17" s="1"/>
  <c r="S18" i="17"/>
  <c r="T18" i="17" s="1"/>
  <c r="Z18" i="17"/>
  <c r="AG18" i="17"/>
  <c r="AH18" i="17" s="1"/>
  <c r="S19" i="17"/>
  <c r="T19" i="17" s="1"/>
  <c r="Z19" i="17"/>
  <c r="AG19" i="17"/>
  <c r="AH19" i="17" s="1"/>
  <c r="S20" i="17"/>
  <c r="T20" i="17" s="1"/>
  <c r="Z20" i="17"/>
  <c r="AA20" i="17" s="1"/>
  <c r="AG20" i="17"/>
  <c r="S21" i="17"/>
  <c r="Z21" i="17"/>
  <c r="AA21" i="17" s="1"/>
  <c r="AG21" i="17"/>
  <c r="AH21" i="17" s="1"/>
  <c r="S22" i="17"/>
  <c r="Z22" i="17"/>
  <c r="AA22" i="17" s="1"/>
  <c r="AG22" i="17"/>
  <c r="AH22" i="17" s="1"/>
  <c r="S23" i="17"/>
  <c r="T23" i="17" s="1"/>
  <c r="Z23" i="17"/>
  <c r="AG23" i="17"/>
  <c r="AH23" i="17" s="1"/>
  <c r="S24" i="17"/>
  <c r="T24" i="17" s="1"/>
  <c r="Z24" i="17"/>
  <c r="AA24" i="17" s="1"/>
  <c r="AG24" i="17"/>
  <c r="S25" i="17"/>
  <c r="T25" i="17" s="1"/>
  <c r="Z25" i="17"/>
  <c r="AA25" i="17" s="1"/>
  <c r="AG25" i="17"/>
  <c r="AH25" i="17" s="1"/>
  <c r="AJ25" i="17" s="1"/>
  <c r="S26" i="17"/>
  <c r="Z26" i="17"/>
  <c r="AA26" i="17" s="1"/>
  <c r="AG26" i="17"/>
  <c r="AH26" i="17" s="1"/>
  <c r="S27" i="17"/>
  <c r="T27" i="17" s="1"/>
  <c r="Z27" i="17"/>
  <c r="AG27" i="17"/>
  <c r="AH27" i="17" s="1"/>
  <c r="S28" i="17"/>
  <c r="T28" i="17" s="1"/>
  <c r="Z28" i="17"/>
  <c r="AA28" i="17" s="1"/>
  <c r="AG28" i="17"/>
  <c r="S29" i="17"/>
  <c r="Z29" i="17"/>
  <c r="AA29" i="17" s="1"/>
  <c r="AG29" i="17"/>
  <c r="AH29" i="17" s="1"/>
  <c r="S30" i="17"/>
  <c r="Z30" i="17"/>
  <c r="AA30" i="17" s="1"/>
  <c r="AG30" i="17"/>
  <c r="AH30" i="17" s="1"/>
  <c r="S31" i="17"/>
  <c r="T31" i="17" s="1"/>
  <c r="Z31" i="17"/>
  <c r="AG31" i="17"/>
  <c r="AH31" i="17" s="1"/>
  <c r="S32" i="17"/>
  <c r="T32" i="17" s="1"/>
  <c r="Z32" i="17"/>
  <c r="AA32" i="17" s="1"/>
  <c r="AG32" i="17"/>
  <c r="S33" i="17"/>
  <c r="Z33" i="17"/>
  <c r="AA33" i="17" s="1"/>
  <c r="AG33" i="17"/>
  <c r="AH33" i="17" s="1"/>
  <c r="S34" i="17"/>
  <c r="T34" i="17" s="1"/>
  <c r="Z34" i="17"/>
  <c r="AG34" i="17"/>
  <c r="AH34" i="17" s="1"/>
  <c r="S35" i="17"/>
  <c r="T35" i="17" s="1"/>
  <c r="Z35" i="17"/>
  <c r="AA35" i="17" s="1"/>
  <c r="AG35" i="17"/>
  <c r="S36" i="17"/>
  <c r="T36" i="17" s="1"/>
  <c r="Z36" i="17"/>
  <c r="AA36" i="17" s="1"/>
  <c r="AG36" i="17"/>
  <c r="S37" i="17"/>
  <c r="Z37" i="17"/>
  <c r="AA37" i="17" s="1"/>
  <c r="AG37" i="17"/>
  <c r="AH37" i="17" s="1"/>
  <c r="S38" i="17"/>
  <c r="T38" i="17" s="1"/>
  <c r="AJ38" i="17" s="1"/>
  <c r="Z38" i="17"/>
  <c r="AA38" i="17" s="1"/>
  <c r="AG38" i="17"/>
  <c r="AH38" i="17" s="1"/>
  <c r="S39" i="17"/>
  <c r="T39" i="17" s="1"/>
  <c r="Z39" i="17"/>
  <c r="AA39" i="17" s="1"/>
  <c r="AJ39" i="17" s="1"/>
  <c r="AG39" i="17"/>
  <c r="AH39" i="17" s="1"/>
  <c r="S40" i="17"/>
  <c r="T40" i="17" s="1"/>
  <c r="Z40" i="17"/>
  <c r="AA40" i="17" s="1"/>
  <c r="AG40" i="17"/>
  <c r="S49" i="17"/>
  <c r="Z49" i="17"/>
  <c r="AA49" i="17" s="1"/>
  <c r="AG49" i="17"/>
  <c r="AH49" i="17" s="1"/>
  <c r="S50" i="17"/>
  <c r="T50" i="17" s="1"/>
  <c r="Z50" i="17"/>
  <c r="AA50" i="17" s="1"/>
  <c r="AG50" i="17"/>
  <c r="AH50" i="17" s="1"/>
  <c r="S51" i="17"/>
  <c r="T51" i="17" s="1"/>
  <c r="Z51" i="17"/>
  <c r="AA51" i="17" s="1"/>
  <c r="AG51" i="17"/>
  <c r="S52" i="17"/>
  <c r="T52" i="17" s="1"/>
  <c r="Z52" i="17"/>
  <c r="AA52" i="17" s="1"/>
  <c r="AG52" i="17"/>
  <c r="S53" i="17"/>
  <c r="T53" i="17" s="1"/>
  <c r="Z53" i="17"/>
  <c r="AA53" i="17" s="1"/>
  <c r="AG53" i="17"/>
  <c r="AH53" i="17" s="1"/>
  <c r="S54" i="17"/>
  <c r="Z54" i="17"/>
  <c r="AA54" i="17" s="1"/>
  <c r="AG54" i="17"/>
  <c r="AH54" i="17" s="1"/>
  <c r="S55" i="17"/>
  <c r="T55" i="17" s="1"/>
  <c r="Z55" i="17"/>
  <c r="AA55" i="17" s="1"/>
  <c r="AG55" i="17"/>
  <c r="AH55" i="17" s="1"/>
  <c r="S56" i="17"/>
  <c r="T56" i="17" s="1"/>
  <c r="Z56" i="17"/>
  <c r="AA56" i="17" s="1"/>
  <c r="AG56" i="17"/>
  <c r="S57" i="17"/>
  <c r="Z57" i="17"/>
  <c r="AA57" i="17" s="1"/>
  <c r="AG57" i="17"/>
  <c r="AH57" i="17" s="1"/>
  <c r="S58" i="17"/>
  <c r="Z58" i="17"/>
  <c r="AA58" i="17" s="1"/>
  <c r="AG58" i="17"/>
  <c r="AH58" i="17" s="1"/>
  <c r="S59" i="17"/>
  <c r="T59" i="17" s="1"/>
  <c r="Z59" i="17"/>
  <c r="AG59" i="17"/>
  <c r="AH59" i="17" s="1"/>
  <c r="S60" i="17"/>
  <c r="T60" i="17" s="1"/>
  <c r="Z60" i="17"/>
  <c r="AA60" i="17" s="1"/>
  <c r="AG60" i="17"/>
  <c r="S61" i="17"/>
  <c r="T61" i="17" s="1"/>
  <c r="Z61" i="17"/>
  <c r="AA61" i="17" s="1"/>
  <c r="AG61" i="17"/>
  <c r="S62" i="17"/>
  <c r="Z62" i="17"/>
  <c r="AA62" i="17" s="1"/>
  <c r="AG62" i="17"/>
  <c r="AH62" i="17" s="1"/>
  <c r="S63" i="17"/>
  <c r="T63" i="17" s="1"/>
  <c r="Z63" i="17"/>
  <c r="AG63" i="17"/>
  <c r="AH63" i="17" s="1"/>
  <c r="S64" i="17"/>
  <c r="T64" i="17" s="1"/>
  <c r="Z64" i="17"/>
  <c r="AA64" i="17" s="1"/>
  <c r="AG64" i="17"/>
  <c r="S65" i="17"/>
  <c r="T65" i="17" s="1"/>
  <c r="Z65" i="17"/>
  <c r="AA65" i="17" s="1"/>
  <c r="AG65" i="17"/>
  <c r="S66" i="17"/>
  <c r="Z66" i="17"/>
  <c r="AA66" i="17" s="1"/>
  <c r="AG66" i="17"/>
  <c r="AH66" i="17" s="1"/>
  <c r="S67" i="17"/>
  <c r="T67" i="17" s="1"/>
  <c r="Z67" i="17"/>
  <c r="AA67" i="17" s="1"/>
  <c r="AG67" i="17"/>
  <c r="S68" i="17"/>
  <c r="T68" i="17" s="1"/>
  <c r="Z68" i="17"/>
  <c r="AA68" i="17" s="1"/>
  <c r="AG68" i="17"/>
  <c r="S69" i="17"/>
  <c r="Z69" i="17"/>
  <c r="AA69" i="17" s="1"/>
  <c r="AG69" i="17"/>
  <c r="AH69" i="17" s="1"/>
  <c r="S70" i="17"/>
  <c r="Z70" i="17"/>
  <c r="AA70" i="17" s="1"/>
  <c r="AG70" i="17"/>
  <c r="AH70" i="17" s="1"/>
  <c r="S71" i="17"/>
  <c r="T71" i="17" s="1"/>
  <c r="Z71" i="17"/>
  <c r="AG71" i="17"/>
  <c r="AH71" i="17" s="1"/>
  <c r="S72" i="17"/>
  <c r="T72" i="17" s="1"/>
  <c r="Z72" i="17"/>
  <c r="AA72" i="17" s="1"/>
  <c r="AG72" i="17"/>
  <c r="S73" i="17"/>
  <c r="T73" i="17" s="1"/>
  <c r="Z73" i="17"/>
  <c r="AA73" i="17" s="1"/>
  <c r="AG73" i="17"/>
  <c r="AH73" i="17" s="1"/>
  <c r="AJ73" i="17" s="1"/>
  <c r="S74" i="17"/>
  <c r="Z74" i="17"/>
  <c r="AA74" i="17" s="1"/>
  <c r="AG74" i="17"/>
  <c r="AH74" i="17" s="1"/>
  <c r="R83" i="17"/>
  <c r="S83" i="17" s="1"/>
  <c r="Y83" i="17"/>
  <c r="Z83" i="17" s="1"/>
  <c r="AF83" i="17"/>
  <c r="AG83" i="17" s="1"/>
  <c r="R84" i="17"/>
  <c r="S84" i="17" s="1"/>
  <c r="Y84" i="17"/>
  <c r="Z84" i="17" s="1"/>
  <c r="AF84" i="17"/>
  <c r="R85" i="17"/>
  <c r="S85" i="17" s="1"/>
  <c r="AI85" i="17" s="1"/>
  <c r="Y85" i="17"/>
  <c r="Z85" i="17" s="1"/>
  <c r="AF85" i="17"/>
  <c r="AG85" i="17" s="1"/>
  <c r="R86" i="17"/>
  <c r="S86" i="17" s="1"/>
  <c r="Y86" i="17"/>
  <c r="AF86" i="17"/>
  <c r="AG86" i="17" s="1"/>
  <c r="R87" i="17"/>
  <c r="S87" i="17" s="1"/>
  <c r="Y87" i="17"/>
  <c r="Z87" i="17" s="1"/>
  <c r="AF87" i="17"/>
  <c r="R88" i="17"/>
  <c r="S88" i="17" s="1"/>
  <c r="Y88" i="17"/>
  <c r="Z88" i="17" s="1"/>
  <c r="AF88" i="17"/>
  <c r="R89" i="17"/>
  <c r="S89" i="17" s="1"/>
  <c r="Y89" i="17"/>
  <c r="Z89" i="17" s="1"/>
  <c r="AF89" i="17"/>
  <c r="R90" i="17"/>
  <c r="Y90" i="17"/>
  <c r="Z90" i="17" s="1"/>
  <c r="AF90" i="17"/>
  <c r="AG90" i="17" s="1"/>
  <c r="R91" i="17"/>
  <c r="S91" i="17" s="1"/>
  <c r="Y91" i="17"/>
  <c r="AF91" i="17"/>
  <c r="AG91" i="17" s="1"/>
  <c r="R92" i="17"/>
  <c r="S92" i="17" s="1"/>
  <c r="Y92" i="17"/>
  <c r="Z92" i="17" s="1"/>
  <c r="AF92" i="17"/>
  <c r="R93" i="17"/>
  <c r="Y93" i="17"/>
  <c r="Z93" i="17" s="1"/>
  <c r="AF93" i="17"/>
  <c r="AG93" i="17" s="1"/>
  <c r="R94" i="17"/>
  <c r="S94" i="17" s="1"/>
  <c r="AI94" i="17" s="1"/>
  <c r="Y94" i="17"/>
  <c r="Z94" i="17" s="1"/>
  <c r="AF94" i="17"/>
  <c r="AG94" i="17" s="1"/>
  <c r="R95" i="17"/>
  <c r="S95" i="17" s="1"/>
  <c r="Y95" i="17"/>
  <c r="AF95" i="17"/>
  <c r="AG95" i="17" s="1"/>
  <c r="R96" i="17"/>
  <c r="S96" i="17" s="1"/>
  <c r="Y96" i="17"/>
  <c r="Z96" i="17" s="1"/>
  <c r="AF96" i="17"/>
  <c r="R97" i="17"/>
  <c r="Y97" i="17"/>
  <c r="Z97" i="17" s="1"/>
  <c r="AF97" i="17"/>
  <c r="AG97" i="17" s="1"/>
  <c r="R98" i="17"/>
  <c r="Y98" i="17"/>
  <c r="Z98" i="17" s="1"/>
  <c r="AF98" i="17"/>
  <c r="AG98" i="17" s="1"/>
  <c r="R99" i="17"/>
  <c r="S99" i="17" s="1"/>
  <c r="Y99" i="17"/>
  <c r="Z99" i="17" s="1"/>
  <c r="AI99" i="17" s="1"/>
  <c r="AF99" i="17"/>
  <c r="AG99" i="17" s="1"/>
  <c r="R100" i="17"/>
  <c r="S100" i="17" s="1"/>
  <c r="Y100" i="17"/>
  <c r="Z100" i="17" s="1"/>
  <c r="AF100" i="17"/>
  <c r="R101" i="17"/>
  <c r="S101" i="17" s="1"/>
  <c r="Y101" i="17"/>
  <c r="Z101" i="17" s="1"/>
  <c r="AF101" i="17"/>
  <c r="R102" i="17"/>
  <c r="S102" i="17" s="1"/>
  <c r="Y102" i="17"/>
  <c r="AF102" i="17"/>
  <c r="AG102" i="17" s="1"/>
  <c r="R103" i="17"/>
  <c r="S103" i="17" s="1"/>
  <c r="Y103" i="17"/>
  <c r="Z103" i="17" s="1"/>
  <c r="AI103" i="17" s="1"/>
  <c r="AF103" i="17"/>
  <c r="AG103" i="17" s="1"/>
  <c r="R104" i="17"/>
  <c r="S104" i="17" s="1"/>
  <c r="Y104" i="17"/>
  <c r="Z104" i="17" s="1"/>
  <c r="AF104" i="17"/>
  <c r="R105" i="17"/>
  <c r="S105" i="17" s="1"/>
  <c r="Y105" i="17"/>
  <c r="Z105" i="17" s="1"/>
  <c r="AF105" i="17"/>
  <c r="AG105" i="17" s="1"/>
  <c r="AI105" i="17" s="1"/>
  <c r="R106" i="17"/>
  <c r="Y106" i="17"/>
  <c r="Z106" i="17" s="1"/>
  <c r="AF106" i="17"/>
  <c r="AG106" i="17" s="1"/>
  <c r="R107" i="17"/>
  <c r="S107" i="17" s="1"/>
  <c r="Y107" i="17"/>
  <c r="Z107" i="17" s="1"/>
  <c r="AI107" i="17" s="1"/>
  <c r="AF107" i="17"/>
  <c r="AG107" i="17" s="1"/>
  <c r="R108" i="17"/>
  <c r="S108" i="17" s="1"/>
  <c r="Y108" i="17"/>
  <c r="Z108" i="17" s="1"/>
  <c r="AF108" i="17"/>
  <c r="R109" i="17"/>
  <c r="Y109" i="17"/>
  <c r="Z109" i="17" s="1"/>
  <c r="AF109" i="17"/>
  <c r="AG109" i="17" s="1"/>
  <c r="R110" i="17"/>
  <c r="Y110" i="17"/>
  <c r="Z110" i="17" s="1"/>
  <c r="AF110" i="17"/>
  <c r="AG110" i="17" s="1"/>
  <c r="R111" i="17"/>
  <c r="S111" i="17" s="1"/>
  <c r="Y111" i="17"/>
  <c r="Z111" i="17" s="1"/>
  <c r="AF111" i="17"/>
  <c r="R112" i="17"/>
  <c r="S112" i="17" s="1"/>
  <c r="Y112" i="17"/>
  <c r="Z112" i="17" s="1"/>
  <c r="AF112" i="17"/>
  <c r="R113" i="17"/>
  <c r="Y113" i="17"/>
  <c r="Z113" i="17" s="1"/>
  <c r="AF113" i="17"/>
  <c r="AG113" i="17" s="1"/>
  <c r="R114" i="17"/>
  <c r="S114" i="17" s="1"/>
  <c r="Y114" i="17"/>
  <c r="AF114" i="17"/>
  <c r="AG114" i="17" s="1"/>
  <c r="R123" i="17"/>
  <c r="S123" i="17" s="1"/>
  <c r="Y123" i="17"/>
  <c r="Z123" i="17" s="1"/>
  <c r="AF123" i="17"/>
  <c r="AG123" i="17" s="1"/>
  <c r="R124" i="17"/>
  <c r="S124" i="17" s="1"/>
  <c r="Y124" i="17"/>
  <c r="Z124" i="17" s="1"/>
  <c r="AF124" i="17"/>
  <c r="R125" i="17"/>
  <c r="Y125" i="17"/>
  <c r="Z125" i="17" s="1"/>
  <c r="AF125" i="17"/>
  <c r="AG125" i="17" s="1"/>
  <c r="R126" i="17"/>
  <c r="Y126" i="17"/>
  <c r="Z126" i="17" s="1"/>
  <c r="AF126" i="17"/>
  <c r="AG126" i="17" s="1"/>
  <c r="R127" i="17"/>
  <c r="S127" i="17" s="1"/>
  <c r="Y127" i="17"/>
  <c r="AF127" i="17"/>
  <c r="AG127" i="17" s="1"/>
  <c r="R128" i="17"/>
  <c r="S128" i="17" s="1"/>
  <c r="Y128" i="17"/>
  <c r="Z128" i="17" s="1"/>
  <c r="AF128" i="17"/>
  <c r="AG128" i="17" s="1"/>
  <c r="R129" i="17"/>
  <c r="Y129" i="17"/>
  <c r="Z129" i="17" s="1"/>
  <c r="AF129" i="17"/>
  <c r="AG129" i="17" s="1"/>
  <c r="R130" i="17"/>
  <c r="Y130" i="17"/>
  <c r="Z130" i="17" s="1"/>
  <c r="AF130" i="17"/>
  <c r="AG130" i="17" s="1"/>
  <c r="R131" i="17"/>
  <c r="S131" i="17" s="1"/>
  <c r="Y131" i="17"/>
  <c r="Z131" i="17" s="1"/>
  <c r="AF131" i="17"/>
  <c r="AG131" i="17" s="1"/>
  <c r="R132" i="17"/>
  <c r="S132" i="17" s="1"/>
  <c r="Y132" i="17"/>
  <c r="Z132" i="17" s="1"/>
  <c r="AF132" i="17"/>
  <c r="R133" i="17"/>
  <c r="S133" i="17" s="1"/>
  <c r="Y133" i="17"/>
  <c r="Z133" i="17" s="1"/>
  <c r="AF133" i="17"/>
  <c r="AG133" i="17" s="1"/>
  <c r="AI133" i="17" s="1"/>
  <c r="R134" i="17"/>
  <c r="Y134" i="17"/>
  <c r="Z134" i="17" s="1"/>
  <c r="AF134" i="17"/>
  <c r="AG134" i="17" s="1"/>
  <c r="R135" i="17"/>
  <c r="S135" i="17" s="1"/>
  <c r="Y135" i="17"/>
  <c r="Z135" i="17" s="1"/>
  <c r="AF135" i="17"/>
  <c r="R136" i="17"/>
  <c r="S136" i="17" s="1"/>
  <c r="Y136" i="17"/>
  <c r="Z136" i="17" s="1"/>
  <c r="AF136" i="17"/>
  <c r="R137" i="17"/>
  <c r="Y137" i="17"/>
  <c r="Z137" i="17" s="1"/>
  <c r="AF137" i="17"/>
  <c r="AG137" i="17" s="1"/>
  <c r="R138" i="17"/>
  <c r="Y138" i="17"/>
  <c r="Z138" i="17" s="1"/>
  <c r="AF138" i="17"/>
  <c r="AG138" i="17" s="1"/>
  <c r="R139" i="17"/>
  <c r="S139" i="17" s="1"/>
  <c r="Y139" i="17"/>
  <c r="AF139" i="17"/>
  <c r="AG139" i="17" s="1"/>
  <c r="R140" i="17"/>
  <c r="S140" i="17" s="1"/>
  <c r="Y140" i="17"/>
  <c r="Z140" i="17" s="1"/>
  <c r="AF140" i="17"/>
  <c r="R141" i="17"/>
  <c r="S141" i="17" s="1"/>
  <c r="Y141" i="17"/>
  <c r="Z141" i="17" s="1"/>
  <c r="AF141" i="17"/>
  <c r="AG141" i="17" s="1"/>
  <c r="AI141" i="17" s="1"/>
  <c r="R142" i="17"/>
  <c r="Y142" i="17"/>
  <c r="Z142" i="17" s="1"/>
  <c r="AF142" i="17"/>
  <c r="AG142" i="17" s="1"/>
  <c r="R143" i="17"/>
  <c r="S143" i="17" s="1"/>
  <c r="Y143" i="17"/>
  <c r="AF143" i="17"/>
  <c r="AG143" i="17" s="1"/>
  <c r="R144" i="17"/>
  <c r="S144" i="17" s="1"/>
  <c r="Y144" i="17"/>
  <c r="Z144" i="17" s="1"/>
  <c r="AF144" i="17"/>
  <c r="R145" i="17"/>
  <c r="S145" i="17" s="1"/>
  <c r="Y145" i="17"/>
  <c r="Z145" i="17" s="1"/>
  <c r="AF145" i="17"/>
  <c r="R146" i="17"/>
  <c r="S146" i="17" s="1"/>
  <c r="Y146" i="17"/>
  <c r="AF146" i="17"/>
  <c r="AG146" i="17" s="1"/>
  <c r="R147" i="17"/>
  <c r="S147" i="17" s="1"/>
  <c r="Y147" i="17"/>
  <c r="AF147" i="17"/>
  <c r="AG147" i="17" s="1"/>
  <c r="R148" i="17"/>
  <c r="S148" i="17" s="1"/>
  <c r="Y148" i="17"/>
  <c r="Z148" i="17" s="1"/>
  <c r="AF148" i="17"/>
  <c r="R149" i="17"/>
  <c r="Y149" i="17"/>
  <c r="Z149" i="17" s="1"/>
  <c r="AF149" i="17"/>
  <c r="AG149" i="17" s="1"/>
  <c r="R150" i="17"/>
  <c r="S150" i="17" s="1"/>
  <c r="AI150" i="17" s="1"/>
  <c r="Y150" i="17"/>
  <c r="Z150" i="17" s="1"/>
  <c r="AF150" i="17"/>
  <c r="AG150" i="17" s="1"/>
  <c r="R151" i="17"/>
  <c r="S151" i="17" s="1"/>
  <c r="Y151" i="17"/>
  <c r="AF151" i="17"/>
  <c r="AG151" i="17" s="1"/>
  <c r="R152" i="17"/>
  <c r="S152" i="17" s="1"/>
  <c r="Y152" i="17"/>
  <c r="Z152" i="17" s="1"/>
  <c r="AF152" i="17"/>
  <c r="R153" i="17"/>
  <c r="S153" i="17" s="1"/>
  <c r="Y153" i="17"/>
  <c r="Z153" i="17" s="1"/>
  <c r="AF153" i="17"/>
  <c r="R154" i="17"/>
  <c r="Y154" i="17"/>
  <c r="Z154" i="17" s="1"/>
  <c r="AF154" i="17"/>
  <c r="AG154" i="17" s="1"/>
  <c r="R155" i="17"/>
  <c r="S155" i="17" s="1"/>
  <c r="Y155" i="17"/>
  <c r="AF155" i="17"/>
  <c r="AG155" i="17" s="1"/>
  <c r="R156" i="17"/>
  <c r="S156" i="17" s="1"/>
  <c r="Y156" i="17"/>
  <c r="Z156" i="17" s="1"/>
  <c r="AF156" i="17"/>
  <c r="R157" i="17"/>
  <c r="S157" i="17" s="1"/>
  <c r="Y157" i="17"/>
  <c r="Z157" i="17" s="1"/>
  <c r="AF157" i="17"/>
  <c r="AG157" i="17" s="1"/>
  <c r="R158" i="17"/>
  <c r="Y158" i="17"/>
  <c r="Z158" i="17" s="1"/>
  <c r="AF158" i="17"/>
  <c r="AG158" i="17" s="1"/>
  <c r="R159" i="17"/>
  <c r="S159" i="17" s="1"/>
  <c r="Y159" i="17"/>
  <c r="Z159" i="17" s="1"/>
  <c r="AF159" i="17"/>
  <c r="R160" i="17"/>
  <c r="S160" i="17" s="1"/>
  <c r="Y160" i="17"/>
  <c r="Z160" i="17" s="1"/>
  <c r="AF160" i="17"/>
  <c r="R161" i="17"/>
  <c r="Y161" i="17"/>
  <c r="Z161" i="17" s="1"/>
  <c r="AF161" i="17"/>
  <c r="AG161" i="17" s="1"/>
  <c r="R162" i="17"/>
  <c r="Y162" i="17"/>
  <c r="Z162" i="17" s="1"/>
  <c r="AF162" i="17"/>
  <c r="AG162" i="17" s="1"/>
  <c r="R163" i="17"/>
  <c r="S163" i="17" s="1"/>
  <c r="Y163" i="17"/>
  <c r="AF163" i="17"/>
  <c r="AG163" i="17" s="1"/>
  <c r="R164" i="17"/>
  <c r="S164" i="17" s="1"/>
  <c r="Y164" i="17"/>
  <c r="Z164" i="17" s="1"/>
  <c r="AF164" i="17"/>
  <c r="R165" i="17"/>
  <c r="Y165" i="17"/>
  <c r="Z165" i="17" s="1"/>
  <c r="AF165" i="17"/>
  <c r="AG165" i="17" s="1"/>
  <c r="R166" i="17"/>
  <c r="Y166" i="17"/>
  <c r="Z166" i="17" s="1"/>
  <c r="AF166" i="17"/>
  <c r="AG166" i="17" s="1"/>
  <c r="R167" i="17"/>
  <c r="S167" i="17" s="1"/>
  <c r="Y167" i="17"/>
  <c r="AF167" i="17"/>
  <c r="AG167" i="17" s="1"/>
  <c r="R168" i="17"/>
  <c r="S168" i="17" s="1"/>
  <c r="Y168" i="17"/>
  <c r="Z168" i="17" s="1"/>
  <c r="AF168" i="17"/>
  <c r="R169" i="17"/>
  <c r="S169" i="17" s="1"/>
  <c r="Y169" i="17"/>
  <c r="Z169" i="17" s="1"/>
  <c r="AF169" i="17"/>
  <c r="AG169" i="17" s="1"/>
  <c r="AI169" i="17" s="1"/>
  <c r="R170" i="17"/>
  <c r="Y170" i="17"/>
  <c r="Z170" i="17" s="1"/>
  <c r="AF170" i="17"/>
  <c r="AG170" i="17" s="1"/>
  <c r="R171" i="17"/>
  <c r="S171" i="17" s="1"/>
  <c r="Y171" i="17"/>
  <c r="AF171" i="17"/>
  <c r="AG171" i="17" s="1"/>
  <c r="R172" i="17"/>
  <c r="S172" i="17" s="1"/>
  <c r="Y172" i="17"/>
  <c r="Z172" i="17" s="1"/>
  <c r="AF172" i="17"/>
  <c r="R173" i="17"/>
  <c r="Y173" i="17"/>
  <c r="Z173" i="17" s="1"/>
  <c r="AF173" i="17"/>
  <c r="AG173" i="17" s="1"/>
  <c r="R174" i="17"/>
  <c r="Y174" i="17"/>
  <c r="Z174" i="17" s="1"/>
  <c r="AF174" i="17"/>
  <c r="AG174" i="17" s="1"/>
  <c r="R175" i="17"/>
  <c r="S175" i="17" s="1"/>
  <c r="Y175" i="17"/>
  <c r="Z175" i="17" s="1"/>
  <c r="AI175" i="17" s="1"/>
  <c r="AF175" i="17"/>
  <c r="AG175" i="17" s="1"/>
  <c r="R176" i="17"/>
  <c r="S176" i="17" s="1"/>
  <c r="Y176" i="17"/>
  <c r="Z176" i="17" s="1"/>
  <c r="AF176" i="17"/>
  <c r="R177" i="17"/>
  <c r="Y177" i="17"/>
  <c r="Z177" i="17" s="1"/>
  <c r="AF177" i="17"/>
  <c r="AG177" i="17" s="1"/>
  <c r="R178" i="17"/>
  <c r="Y178" i="17"/>
  <c r="Z178" i="17" s="1"/>
  <c r="AF178" i="17"/>
  <c r="AG178" i="17" s="1"/>
  <c r="R179" i="17"/>
  <c r="S179" i="17" s="1"/>
  <c r="Y179" i="17"/>
  <c r="AF179" i="17"/>
  <c r="AG179" i="17" s="1"/>
  <c r="R180" i="17"/>
  <c r="S180" i="17" s="1"/>
  <c r="Y180" i="17"/>
  <c r="Z180" i="17" s="1"/>
  <c r="AF180" i="17"/>
  <c r="R181" i="17"/>
  <c r="S181" i="17" s="1"/>
  <c r="Y181" i="17"/>
  <c r="Z181" i="17" s="1"/>
  <c r="AF181" i="17"/>
  <c r="AG181" i="17" s="1"/>
  <c r="AI181" i="17" s="1"/>
  <c r="R182" i="17"/>
  <c r="S182" i="17" s="1"/>
  <c r="AI182" i="17" s="1"/>
  <c r="Y182" i="17"/>
  <c r="Z182" i="17" s="1"/>
  <c r="AF182" i="17"/>
  <c r="AG182" i="17" s="1"/>
  <c r="R183" i="17"/>
  <c r="S183" i="17" s="1"/>
  <c r="Y183" i="17"/>
  <c r="AF183" i="17"/>
  <c r="AG183" i="17" s="1"/>
  <c r="R184" i="17"/>
  <c r="S184" i="17" s="1"/>
  <c r="Y184" i="17"/>
  <c r="Z184" i="17" s="1"/>
  <c r="AF184" i="17"/>
  <c r="R185" i="17"/>
  <c r="S185" i="17" s="1"/>
  <c r="Y185" i="17"/>
  <c r="Z185" i="17" s="1"/>
  <c r="AF185" i="17"/>
  <c r="R186" i="17"/>
  <c r="Y186" i="17"/>
  <c r="Z186" i="17" s="1"/>
  <c r="AF186" i="17"/>
  <c r="AG186" i="17" s="1"/>
  <c r="R187" i="17"/>
  <c r="S187" i="17" s="1"/>
  <c r="Y187" i="17"/>
  <c r="Z187" i="17" s="1"/>
  <c r="AF187" i="17"/>
  <c r="R188" i="17"/>
  <c r="S188" i="17" s="1"/>
  <c r="Y188" i="17"/>
  <c r="Z188" i="17" s="1"/>
  <c r="AF188" i="17"/>
  <c r="R189" i="17"/>
  <c r="Y189" i="17"/>
  <c r="Z189" i="17" s="1"/>
  <c r="AF189" i="17"/>
  <c r="AG189" i="17" s="1"/>
  <c r="R190" i="17"/>
  <c r="Y190" i="17"/>
  <c r="Z190" i="17" s="1"/>
  <c r="AF190" i="17"/>
  <c r="AG190" i="17" s="1"/>
  <c r="R191" i="17"/>
  <c r="S191" i="17" s="1"/>
  <c r="Y191" i="17"/>
  <c r="AF191" i="17"/>
  <c r="AG191" i="17" s="1"/>
  <c r="R192" i="17"/>
  <c r="S192" i="17" s="1"/>
  <c r="Y192" i="17"/>
  <c r="Z192" i="17" s="1"/>
  <c r="AF192" i="17"/>
  <c r="R193" i="17"/>
  <c r="Y193" i="17"/>
  <c r="Z193" i="17" s="1"/>
  <c r="AF193" i="17"/>
  <c r="AG193" i="17" s="1"/>
  <c r="R194" i="17"/>
  <c r="S194" i="17" s="1"/>
  <c r="AI194" i="17" s="1"/>
  <c r="Y194" i="17"/>
  <c r="Z194" i="17" s="1"/>
  <c r="AF194" i="17"/>
  <c r="AG194" i="17" s="1"/>
  <c r="R195" i="17"/>
  <c r="S195" i="17" s="1"/>
  <c r="Y195" i="17"/>
  <c r="AF195" i="17"/>
  <c r="AG195" i="17" s="1"/>
  <c r="R196" i="17"/>
  <c r="S196" i="17" s="1"/>
  <c r="Y196" i="17"/>
  <c r="Z196" i="17" s="1"/>
  <c r="AF196" i="17"/>
  <c r="R197" i="17"/>
  <c r="Y197" i="17"/>
  <c r="Z197" i="17" s="1"/>
  <c r="AF197" i="17"/>
  <c r="AG197" i="17" s="1"/>
  <c r="R198" i="17"/>
  <c r="Y198" i="17"/>
  <c r="Z198" i="17" s="1"/>
  <c r="AF198" i="17"/>
  <c r="AG198" i="17" s="1"/>
  <c r="R199" i="17"/>
  <c r="S199" i="17" s="1"/>
  <c r="Y199" i="17"/>
  <c r="Z199" i="17" s="1"/>
  <c r="AI199" i="17" s="1"/>
  <c r="AF199" i="17"/>
  <c r="AG199" i="17" s="1"/>
  <c r="R200" i="17"/>
  <c r="S200" i="17" s="1"/>
  <c r="Y200" i="17"/>
  <c r="Z200" i="17" s="1"/>
  <c r="AF200" i="17"/>
  <c r="R201" i="17"/>
  <c r="S201" i="17" s="1"/>
  <c r="Y201" i="17"/>
  <c r="Z201" i="17" s="1"/>
  <c r="AF201" i="17"/>
  <c r="AG201" i="17" s="1"/>
  <c r="AI201" i="17" s="1"/>
  <c r="R202" i="17"/>
  <c r="Y202" i="17"/>
  <c r="Z202" i="17" s="1"/>
  <c r="AF202" i="17"/>
  <c r="AG202" i="17" s="1"/>
  <c r="R203" i="17"/>
  <c r="S203" i="17" s="1"/>
  <c r="Y203" i="17"/>
  <c r="Z203" i="17" s="1"/>
  <c r="AF203" i="17"/>
  <c r="AG203" i="17" s="1"/>
  <c r="R204" i="17"/>
  <c r="S204" i="17" s="1"/>
  <c r="Y204" i="17"/>
  <c r="Z204" i="17" s="1"/>
  <c r="AF204" i="17"/>
  <c r="R205" i="17"/>
  <c r="Y205" i="17"/>
  <c r="Z205" i="17" s="1"/>
  <c r="AF205" i="17"/>
  <c r="AG205" i="17" s="1"/>
  <c r="R206" i="17"/>
  <c r="Y206" i="17"/>
  <c r="Z206" i="17" s="1"/>
  <c r="AF206" i="17"/>
  <c r="AG206" i="17" s="1"/>
  <c r="R207" i="17"/>
  <c r="S207" i="17" s="1"/>
  <c r="Y207" i="17"/>
  <c r="Z207" i="17" s="1"/>
  <c r="AF207" i="17"/>
  <c r="R208" i="17"/>
  <c r="S208" i="17" s="1"/>
  <c r="Y208" i="17"/>
  <c r="Z208" i="17" s="1"/>
  <c r="AF208" i="17"/>
  <c r="R209" i="17"/>
  <c r="S209" i="17" s="1"/>
  <c r="Y209" i="17"/>
  <c r="Z209" i="17" s="1"/>
  <c r="AF209" i="17"/>
  <c r="AG209" i="17" s="1"/>
  <c r="R210" i="17"/>
  <c r="S210" i="17" s="1"/>
  <c r="AI210" i="17" s="1"/>
  <c r="Y210" i="17"/>
  <c r="Z210" i="17" s="1"/>
  <c r="AF210" i="17"/>
  <c r="AG210" i="17" s="1"/>
  <c r="R211" i="17"/>
  <c r="S211" i="17" s="1"/>
  <c r="Y211" i="17"/>
  <c r="AF211" i="17"/>
  <c r="AG211" i="17" s="1"/>
  <c r="R212" i="17"/>
  <c r="S212" i="17" s="1"/>
  <c r="Y212" i="17"/>
  <c r="Z212" i="17" s="1"/>
  <c r="AF212" i="17"/>
  <c r="R213" i="17"/>
  <c r="Y213" i="17"/>
  <c r="Z213" i="17" s="1"/>
  <c r="AF213" i="17"/>
  <c r="AG213" i="17" s="1"/>
  <c r="R214" i="17"/>
  <c r="Y214" i="17"/>
  <c r="Z214" i="17" s="1"/>
  <c r="AF214" i="17"/>
  <c r="AG214" i="17" s="1"/>
  <c r="R215" i="17"/>
  <c r="S215" i="17" s="1"/>
  <c r="Y215" i="17"/>
  <c r="AF215" i="17"/>
  <c r="AG215" i="17" s="1"/>
  <c r="R216" i="17"/>
  <c r="S216" i="17" s="1"/>
  <c r="Y216" i="17"/>
  <c r="Z216" i="17" s="1"/>
  <c r="AF216" i="17"/>
  <c r="R217" i="17"/>
  <c r="Y217" i="17"/>
  <c r="Z217" i="17" s="1"/>
  <c r="AF217" i="17"/>
  <c r="AG217" i="17" s="1"/>
  <c r="R218" i="17"/>
  <c r="Y218" i="17"/>
  <c r="Z218" i="17" s="1"/>
  <c r="AF218" i="17"/>
  <c r="AG218" i="17" s="1"/>
  <c r="R219" i="17"/>
  <c r="S219" i="17" s="1"/>
  <c r="Y219" i="17"/>
  <c r="Z219" i="17" s="1"/>
  <c r="AI219" i="17" s="1"/>
  <c r="AF219" i="17"/>
  <c r="AG219" i="17" s="1"/>
  <c r="R220" i="17"/>
  <c r="S220" i="17" s="1"/>
  <c r="Y220" i="17"/>
  <c r="Z220" i="17" s="1"/>
  <c r="AF220" i="17"/>
  <c r="R221" i="17"/>
  <c r="Y221" i="17"/>
  <c r="Z221" i="17" s="1"/>
  <c r="AF221" i="17"/>
  <c r="AG221" i="17" s="1"/>
  <c r="R222" i="17"/>
  <c r="S222" i="17" s="1"/>
  <c r="Y222" i="17"/>
  <c r="AF222" i="17"/>
  <c r="AG222" i="17" s="1"/>
  <c r="R223" i="17"/>
  <c r="S223" i="17" s="1"/>
  <c r="Y223" i="17"/>
  <c r="Z223" i="17" s="1"/>
  <c r="AF223" i="17"/>
  <c r="G18" i="11"/>
  <c r="G21" i="11"/>
  <c r="G17" i="11" s="1"/>
  <c r="G14" i="11" s="1"/>
  <c r="G16" i="11" s="1"/>
  <c r="I18" i="11"/>
  <c r="I21" i="11"/>
  <c r="K18" i="11"/>
  <c r="K21" i="11"/>
  <c r="K17" i="11" s="1"/>
  <c r="K14" i="11" s="1"/>
  <c r="K15" i="11" s="1"/>
  <c r="BK124" i="58"/>
  <c r="BK64" i="58"/>
  <c r="AV45" i="17"/>
  <c r="S81" i="24"/>
  <c r="Z81" i="24"/>
  <c r="AA81" i="24" s="1"/>
  <c r="AG81" i="24"/>
  <c r="S80" i="24"/>
  <c r="Z80" i="24"/>
  <c r="AA80" i="24" s="1"/>
  <c r="AG80" i="24"/>
  <c r="AH80" i="24" s="1"/>
  <c r="S79" i="24"/>
  <c r="Z79" i="24"/>
  <c r="AA79" i="24" s="1"/>
  <c r="AG79" i="24"/>
  <c r="AH79" i="24" s="1"/>
  <c r="S78" i="24"/>
  <c r="T78" i="24" s="1"/>
  <c r="Z78" i="24"/>
  <c r="AG78" i="24"/>
  <c r="AH78" i="24" s="1"/>
  <c r="S77" i="24"/>
  <c r="T77" i="24" s="1"/>
  <c r="Z77" i="24"/>
  <c r="AA77" i="24" s="1"/>
  <c r="AG77" i="24"/>
  <c r="AH77" i="24" s="1"/>
  <c r="S76" i="24"/>
  <c r="Z76" i="24"/>
  <c r="AA76" i="24" s="1"/>
  <c r="AG76" i="24"/>
  <c r="Z75" i="24"/>
  <c r="AA75" i="24" s="1"/>
  <c r="S75" i="24"/>
  <c r="T75" i="24" s="1"/>
  <c r="AG75" i="24"/>
  <c r="AH75" i="24" s="1"/>
  <c r="Z74" i="24"/>
  <c r="AG74" i="24"/>
  <c r="AH74" i="24" s="1"/>
  <c r="S74" i="24"/>
  <c r="Z73" i="24"/>
  <c r="AA73" i="24" s="1"/>
  <c r="AG73" i="24"/>
  <c r="AH73" i="24" s="1"/>
  <c r="S73" i="24"/>
  <c r="Z72" i="24"/>
  <c r="AA72" i="24" s="1"/>
  <c r="AG72" i="24"/>
  <c r="AH72" i="24" s="1"/>
  <c r="S72" i="24"/>
  <c r="Z71" i="24"/>
  <c r="AG71" i="24"/>
  <c r="AH71" i="24" s="1"/>
  <c r="S71" i="24"/>
  <c r="Z70" i="24"/>
  <c r="AA70" i="24" s="1"/>
  <c r="AG70" i="24"/>
  <c r="AH70" i="24" s="1"/>
  <c r="S70" i="24"/>
  <c r="Z69" i="24"/>
  <c r="AA69" i="24" s="1"/>
  <c r="AG69" i="24"/>
  <c r="AH69" i="24" s="1"/>
  <c r="S69" i="24"/>
  <c r="S82" i="24"/>
  <c r="T82" i="24" s="1"/>
  <c r="S83" i="24"/>
  <c r="T83" i="24" s="1"/>
  <c r="M229" i="34"/>
  <c r="M225" i="34"/>
  <c r="M221" i="34"/>
  <c r="M217" i="34"/>
  <c r="M213" i="34"/>
  <c r="M209" i="34"/>
  <c r="M205" i="34"/>
  <c r="M201" i="34"/>
  <c r="M197" i="34"/>
  <c r="M193" i="34"/>
  <c r="M189" i="34"/>
  <c r="M185" i="34"/>
  <c r="M181" i="34"/>
  <c r="M177" i="34"/>
  <c r="M173" i="34"/>
  <c r="M169" i="34"/>
  <c r="M165" i="34"/>
  <c r="M161" i="34"/>
  <c r="M157" i="34"/>
  <c r="M153" i="34"/>
  <c r="M149" i="34"/>
  <c r="M145" i="34"/>
  <c r="M141" i="34"/>
  <c r="M138" i="34"/>
  <c r="M136" i="34"/>
  <c r="M135" i="34"/>
  <c r="M134" i="34"/>
  <c r="M133" i="34"/>
  <c r="M132" i="34"/>
  <c r="M130" i="34"/>
  <c r="A7" i="34"/>
  <c r="A7" i="24"/>
  <c r="L14" i="21"/>
  <c r="S14" i="21"/>
  <c r="T14" i="21" s="1"/>
  <c r="Z14" i="21"/>
  <c r="AA14" i="21" s="1"/>
  <c r="L15" i="21"/>
  <c r="M15" i="21" s="1"/>
  <c r="S15" i="21"/>
  <c r="Z15" i="21"/>
  <c r="AA15" i="21" s="1"/>
  <c r="L16" i="21"/>
  <c r="M16" i="21" s="1"/>
  <c r="S16" i="21"/>
  <c r="T16" i="21" s="1"/>
  <c r="Z16" i="21"/>
  <c r="AA16" i="21" s="1"/>
  <c r="L17" i="21"/>
  <c r="S17" i="21"/>
  <c r="T17" i="21" s="1"/>
  <c r="Z17" i="21"/>
  <c r="AA17" i="21" s="1"/>
  <c r="L18" i="21"/>
  <c r="S18" i="21"/>
  <c r="T18" i="21" s="1"/>
  <c r="Z18" i="21"/>
  <c r="AA18" i="21" s="1"/>
  <c r="L19" i="21"/>
  <c r="M19" i="21" s="1"/>
  <c r="S19" i="21"/>
  <c r="Z19" i="21"/>
  <c r="AA19" i="21" s="1"/>
  <c r="L20" i="21"/>
  <c r="M20" i="21" s="1"/>
  <c r="S20" i="21"/>
  <c r="T20" i="21" s="1"/>
  <c r="Z20" i="21"/>
  <c r="AA20" i="21" s="1"/>
  <c r="L21" i="21"/>
  <c r="S21" i="21"/>
  <c r="T21" i="21" s="1"/>
  <c r="Z21" i="21"/>
  <c r="AA21" i="21" s="1"/>
  <c r="L22" i="21"/>
  <c r="S22" i="21"/>
  <c r="T22" i="21" s="1"/>
  <c r="Z22" i="21"/>
  <c r="AA22" i="21" s="1"/>
  <c r="L23" i="21"/>
  <c r="M23" i="21" s="1"/>
  <c r="S23" i="21"/>
  <c r="Z23" i="21"/>
  <c r="AA23" i="21" s="1"/>
  <c r="L24" i="21"/>
  <c r="M24" i="21" s="1"/>
  <c r="S24" i="21"/>
  <c r="T24" i="21" s="1"/>
  <c r="Z24" i="21"/>
  <c r="L25" i="21"/>
  <c r="M25" i="21" s="1"/>
  <c r="S25" i="21"/>
  <c r="T25" i="21" s="1"/>
  <c r="Z25" i="21"/>
  <c r="AA25" i="21" s="1"/>
  <c r="AC25" i="21" s="1"/>
  <c r="L26" i="21"/>
  <c r="M26" i="21" s="1"/>
  <c r="S26" i="21"/>
  <c r="T26" i="21" s="1"/>
  <c r="Z26" i="21"/>
  <c r="AA26" i="21" s="1"/>
  <c r="L27" i="21"/>
  <c r="M27" i="21" s="1"/>
  <c r="S27" i="21"/>
  <c r="Z27" i="21"/>
  <c r="AA27" i="21" s="1"/>
  <c r="L28" i="21"/>
  <c r="M28" i="21" s="1"/>
  <c r="S28" i="21"/>
  <c r="T28" i="21" s="1"/>
  <c r="Z28" i="21"/>
  <c r="L29" i="21"/>
  <c r="M29" i="21" s="1"/>
  <c r="S29" i="21"/>
  <c r="T29" i="21" s="1"/>
  <c r="Z29" i="21"/>
  <c r="AA29" i="21" s="1"/>
  <c r="AC29" i="21" s="1"/>
  <c r="L30" i="21"/>
  <c r="S30" i="21"/>
  <c r="T30" i="21" s="1"/>
  <c r="Z30" i="21"/>
  <c r="AA30" i="21" s="1"/>
  <c r="L31" i="21"/>
  <c r="M31" i="21" s="1"/>
  <c r="S31" i="21"/>
  <c r="T31" i="21" s="1"/>
  <c r="Z31" i="21"/>
  <c r="AA31" i="21" s="1"/>
  <c r="L32" i="21"/>
  <c r="M32" i="21" s="1"/>
  <c r="S32" i="21"/>
  <c r="T32" i="21" s="1"/>
  <c r="Z32" i="21"/>
  <c r="L33" i="21"/>
  <c r="S33" i="21"/>
  <c r="T33" i="21" s="1"/>
  <c r="Z33" i="21"/>
  <c r="AA33" i="21" s="1"/>
  <c r="L34" i="21"/>
  <c r="M34" i="21" s="1"/>
  <c r="S34" i="21"/>
  <c r="T34" i="21" s="1"/>
  <c r="Z34" i="21"/>
  <c r="AA34" i="21" s="1"/>
  <c r="L35" i="21"/>
  <c r="M35" i="21" s="1"/>
  <c r="S35" i="21"/>
  <c r="T35" i="21" s="1"/>
  <c r="Z35" i="21"/>
  <c r="AA35" i="21" s="1"/>
  <c r="L36" i="21"/>
  <c r="M36" i="21" s="1"/>
  <c r="S36" i="21"/>
  <c r="T36" i="21" s="1"/>
  <c r="Z36" i="21"/>
  <c r="L37" i="21"/>
  <c r="M37" i="21" s="1"/>
  <c r="S37" i="21"/>
  <c r="T37" i="21" s="1"/>
  <c r="Z37" i="21"/>
  <c r="L38" i="21"/>
  <c r="S38" i="21"/>
  <c r="T38" i="21" s="1"/>
  <c r="Z38" i="21"/>
  <c r="AA38" i="21" s="1"/>
  <c r="L39" i="21"/>
  <c r="M39" i="21" s="1"/>
  <c r="S39" i="21"/>
  <c r="Z39" i="21"/>
  <c r="AA39" i="21" s="1"/>
  <c r="L40" i="21"/>
  <c r="M40" i="21" s="1"/>
  <c r="S40" i="21"/>
  <c r="T40" i="21" s="1"/>
  <c r="Z40" i="21"/>
  <c r="L41" i="21"/>
  <c r="M41" i="21" s="1"/>
  <c r="S41" i="21"/>
  <c r="T41" i="21" s="1"/>
  <c r="Z41" i="21"/>
  <c r="AA41" i="21" s="1"/>
  <c r="AC41" i="21" s="1"/>
  <c r="L42" i="21"/>
  <c r="S42" i="21"/>
  <c r="T42" i="21" s="1"/>
  <c r="Z42" i="21"/>
  <c r="AA42" i="21" s="1"/>
  <c r="L43" i="21"/>
  <c r="M43" i="21" s="1"/>
  <c r="S43" i="21"/>
  <c r="Z43" i="21"/>
  <c r="AA43" i="21" s="1"/>
  <c r="L44" i="21"/>
  <c r="M44" i="21" s="1"/>
  <c r="S44" i="21"/>
  <c r="T44" i="21" s="1"/>
  <c r="Z44" i="21"/>
  <c r="L45" i="21"/>
  <c r="S45" i="21"/>
  <c r="T45" i="21" s="1"/>
  <c r="Z45" i="21"/>
  <c r="AA45" i="21" s="1"/>
  <c r="L46" i="21"/>
  <c r="S46" i="21"/>
  <c r="T46" i="21" s="1"/>
  <c r="Z46" i="21"/>
  <c r="AA46" i="21" s="1"/>
  <c r="L47" i="21"/>
  <c r="M47" i="21" s="1"/>
  <c r="S47" i="21"/>
  <c r="T47" i="21" s="1"/>
  <c r="Z47" i="21"/>
  <c r="AA47" i="21" s="1"/>
  <c r="L48" i="21"/>
  <c r="M48" i="21" s="1"/>
  <c r="S48" i="21"/>
  <c r="T48" i="21" s="1"/>
  <c r="Z48" i="21"/>
  <c r="L49" i="21"/>
  <c r="M49" i="21" s="1"/>
  <c r="S49" i="21"/>
  <c r="T49" i="21" s="1"/>
  <c r="Z49" i="21"/>
  <c r="L50" i="21"/>
  <c r="S50" i="21"/>
  <c r="T50" i="21" s="1"/>
  <c r="Z50" i="21"/>
  <c r="AA50" i="21" s="1"/>
  <c r="L51" i="21"/>
  <c r="M51" i="21" s="1"/>
  <c r="S51" i="21"/>
  <c r="Z51" i="21"/>
  <c r="AA51" i="21" s="1"/>
  <c r="L52" i="21"/>
  <c r="M52" i="21" s="1"/>
  <c r="S52" i="21"/>
  <c r="Z52" i="21"/>
  <c r="AA52" i="21" s="1"/>
  <c r="L53" i="21"/>
  <c r="M53" i="21" s="1"/>
  <c r="S53" i="21"/>
  <c r="T53" i="21" s="1"/>
  <c r="Z53" i="21"/>
  <c r="L54" i="21"/>
  <c r="S54" i="21"/>
  <c r="T54" i="21" s="1"/>
  <c r="Z54" i="21"/>
  <c r="AA54" i="21" s="1"/>
  <c r="L55" i="21"/>
  <c r="S55" i="21"/>
  <c r="T55" i="21" s="1"/>
  <c r="Z55" i="21"/>
  <c r="AA55" i="21" s="1"/>
  <c r="L56" i="21"/>
  <c r="M56" i="21" s="1"/>
  <c r="S56" i="21"/>
  <c r="Z56" i="21"/>
  <c r="AA56" i="21" s="1"/>
  <c r="L57" i="21"/>
  <c r="M57" i="21" s="1"/>
  <c r="S57" i="21"/>
  <c r="T57" i="21" s="1"/>
  <c r="Z57" i="21"/>
  <c r="AA57" i="21" s="1"/>
  <c r="AC57" i="21" s="1"/>
  <c r="L58" i="21"/>
  <c r="S58" i="21"/>
  <c r="T58" i="21" s="1"/>
  <c r="Z58" i="21"/>
  <c r="AA58" i="21" s="1"/>
  <c r="R14" i="22"/>
  <c r="Y14" i="22"/>
  <c r="Z14" i="22" s="1"/>
  <c r="AF14" i="22"/>
  <c r="AG14" i="22" s="1"/>
  <c r="R15" i="22"/>
  <c r="S15" i="22" s="1"/>
  <c r="Y15" i="22"/>
  <c r="AF15" i="22"/>
  <c r="AG15" i="22" s="1"/>
  <c r="R16" i="22"/>
  <c r="S16" i="22" s="1"/>
  <c r="Y16" i="22"/>
  <c r="Z16" i="22" s="1"/>
  <c r="AF16" i="22"/>
  <c r="R17" i="22"/>
  <c r="Y17" i="22"/>
  <c r="Z17" i="22" s="1"/>
  <c r="AF17" i="22"/>
  <c r="AG17" i="22" s="1"/>
  <c r="R18" i="22"/>
  <c r="Y18" i="22"/>
  <c r="Z18" i="22" s="1"/>
  <c r="AF18" i="22"/>
  <c r="AG18" i="22" s="1"/>
  <c r="R19" i="22"/>
  <c r="S19" i="22" s="1"/>
  <c r="Y19" i="22"/>
  <c r="AF19" i="22"/>
  <c r="AG19" i="22" s="1"/>
  <c r="R20" i="22"/>
  <c r="S20" i="22" s="1"/>
  <c r="Y20" i="22"/>
  <c r="Z20" i="22" s="1"/>
  <c r="AF20" i="22"/>
  <c r="R21" i="22"/>
  <c r="Y21" i="22"/>
  <c r="Z21" i="22" s="1"/>
  <c r="AF21" i="22"/>
  <c r="AG21" i="22" s="1"/>
  <c r="R41" i="22"/>
  <c r="Y41" i="22"/>
  <c r="Z41" i="22" s="1"/>
  <c r="AF41" i="22"/>
  <c r="AG41" i="22" s="1"/>
  <c r="R42" i="22"/>
  <c r="S42" i="22" s="1"/>
  <c r="Y42" i="22"/>
  <c r="Z42" i="22" s="1"/>
  <c r="AF42" i="22"/>
  <c r="AG42" i="22" s="1"/>
  <c r="AI42" i="22" s="1"/>
  <c r="R43" i="22"/>
  <c r="S43" i="22" s="1"/>
  <c r="Y43" i="22"/>
  <c r="Z43" i="22" s="1"/>
  <c r="AF43" i="22"/>
  <c r="R44" i="22"/>
  <c r="Y44" i="22"/>
  <c r="Z44" i="22" s="1"/>
  <c r="AF44" i="22"/>
  <c r="AG44" i="22" s="1"/>
  <c r="R45" i="22"/>
  <c r="S45" i="22" s="1"/>
  <c r="Y45" i="22"/>
  <c r="Z45" i="22" s="1"/>
  <c r="AF45" i="22"/>
  <c r="AG45" i="22" s="1"/>
  <c r="R46" i="22"/>
  <c r="S46" i="22" s="1"/>
  <c r="Y46" i="22"/>
  <c r="AF46" i="22"/>
  <c r="AG46" i="22" s="1"/>
  <c r="R47" i="22"/>
  <c r="S47" i="22" s="1"/>
  <c r="Y47" i="22"/>
  <c r="Z47" i="22" s="1"/>
  <c r="AF47" i="22"/>
  <c r="R48" i="22"/>
  <c r="Y48" i="22"/>
  <c r="Z48" i="22" s="1"/>
  <c r="AF48" i="22"/>
  <c r="AG48" i="22" s="1"/>
  <c r="R49" i="22"/>
  <c r="Y49" i="22"/>
  <c r="Z49" i="22" s="1"/>
  <c r="AF49" i="22"/>
  <c r="AG49" i="22" s="1"/>
  <c r="R50" i="22"/>
  <c r="S50" i="22" s="1"/>
  <c r="Y50" i="22"/>
  <c r="Z50" i="22" s="1"/>
  <c r="AF50" i="22"/>
  <c r="AG50" i="22" s="1"/>
  <c r="R51" i="22"/>
  <c r="Y51" i="22"/>
  <c r="Z51" i="22" s="1"/>
  <c r="AF51" i="22"/>
  <c r="AG51" i="22" s="1"/>
  <c r="R52" i="22"/>
  <c r="Y52" i="22"/>
  <c r="Z52" i="22" s="1"/>
  <c r="AF52" i="22"/>
  <c r="AG52" i="22" s="1"/>
  <c r="R53" i="22"/>
  <c r="Y53" i="22"/>
  <c r="Z53" i="22" s="1"/>
  <c r="AF53" i="22"/>
  <c r="AG53" i="22" s="1"/>
  <c r="R54" i="22"/>
  <c r="S54" i="22" s="1"/>
  <c r="Y54" i="22"/>
  <c r="Z54" i="22" s="1"/>
  <c r="AF54" i="22"/>
  <c r="AG54" i="22" s="1"/>
  <c r="R90" i="22"/>
  <c r="S90" i="22" s="1"/>
  <c r="Y90" i="22"/>
  <c r="Z90" i="22" s="1"/>
  <c r="AF90" i="22"/>
  <c r="R91" i="22"/>
  <c r="Y91" i="22"/>
  <c r="Z91" i="22" s="1"/>
  <c r="AF91" i="22"/>
  <c r="AG91" i="22" s="1"/>
  <c r="R92" i="22"/>
  <c r="S92" i="22" s="1"/>
  <c r="Y92" i="22"/>
  <c r="Z92" i="22" s="1"/>
  <c r="AI92" i="22" s="1"/>
  <c r="AF92" i="22"/>
  <c r="AG92" i="22" s="1"/>
  <c r="R93" i="22"/>
  <c r="S93" i="22" s="1"/>
  <c r="Y93" i="22"/>
  <c r="AF93" i="22"/>
  <c r="AG93" i="22" s="1"/>
  <c r="R94" i="22"/>
  <c r="S94" i="22" s="1"/>
  <c r="Y94" i="22"/>
  <c r="Z94" i="22" s="1"/>
  <c r="AF94" i="22"/>
  <c r="S14" i="24"/>
  <c r="Z14" i="24"/>
  <c r="AA14" i="24" s="1"/>
  <c r="AG14" i="24"/>
  <c r="AH14" i="24" s="1"/>
  <c r="S15" i="24"/>
  <c r="Z15" i="24"/>
  <c r="AA15" i="24" s="1"/>
  <c r="AG15" i="24"/>
  <c r="AH15" i="24" s="1"/>
  <c r="S16" i="24"/>
  <c r="T16" i="24" s="1"/>
  <c r="Z16" i="24"/>
  <c r="AG16" i="24"/>
  <c r="AH16" i="24" s="1"/>
  <c r="S17" i="24"/>
  <c r="T17" i="24" s="1"/>
  <c r="Z17" i="24"/>
  <c r="AA17" i="24" s="1"/>
  <c r="AG17" i="24"/>
  <c r="S18" i="24"/>
  <c r="Z18" i="24"/>
  <c r="AA18" i="24" s="1"/>
  <c r="AG18" i="24"/>
  <c r="AH18" i="24" s="1"/>
  <c r="S19" i="24"/>
  <c r="Z19" i="24"/>
  <c r="AA19" i="24" s="1"/>
  <c r="AG19" i="24"/>
  <c r="AH19" i="24" s="1"/>
  <c r="S20" i="24"/>
  <c r="T20" i="24" s="1"/>
  <c r="Z20" i="24"/>
  <c r="AG20" i="24"/>
  <c r="AH20" i="24" s="1"/>
  <c r="S21" i="24"/>
  <c r="T21" i="24" s="1"/>
  <c r="Z21" i="24"/>
  <c r="AA21" i="24" s="1"/>
  <c r="AG21" i="24"/>
  <c r="S22" i="24"/>
  <c r="Z22" i="24"/>
  <c r="AA22" i="24" s="1"/>
  <c r="AG22" i="24"/>
  <c r="AH22" i="24" s="1"/>
  <c r="S23" i="24"/>
  <c r="Z23" i="24"/>
  <c r="AA23" i="24" s="1"/>
  <c r="AG23" i="24"/>
  <c r="AH23" i="24" s="1"/>
  <c r="S24" i="24"/>
  <c r="T24" i="24" s="1"/>
  <c r="Z24" i="24"/>
  <c r="AG24" i="24"/>
  <c r="AH24" i="24" s="1"/>
  <c r="S25" i="24"/>
  <c r="T25" i="24" s="1"/>
  <c r="Z25" i="24"/>
  <c r="AA25" i="24" s="1"/>
  <c r="AG25" i="24"/>
  <c r="S26" i="24"/>
  <c r="Z26" i="24"/>
  <c r="AA26" i="24" s="1"/>
  <c r="AG26" i="24"/>
  <c r="AH26" i="24" s="1"/>
  <c r="S27" i="24"/>
  <c r="T27" i="24" s="1"/>
  <c r="Z27" i="24"/>
  <c r="AA27" i="24" s="1"/>
  <c r="AG27" i="24"/>
  <c r="AH27" i="24" s="1"/>
  <c r="S28" i="24"/>
  <c r="T28" i="24" s="1"/>
  <c r="Z28" i="24"/>
  <c r="AG28" i="24"/>
  <c r="AH28" i="24" s="1"/>
  <c r="S29" i="24"/>
  <c r="T29" i="24" s="1"/>
  <c r="Z29" i="24"/>
  <c r="AA29" i="24" s="1"/>
  <c r="AG29" i="24"/>
  <c r="S30" i="24"/>
  <c r="Z30" i="24"/>
  <c r="AA30" i="24" s="1"/>
  <c r="AG30" i="24"/>
  <c r="AH30" i="24" s="1"/>
  <c r="S31" i="24"/>
  <c r="Z31" i="24"/>
  <c r="AA31" i="24" s="1"/>
  <c r="AG31" i="24"/>
  <c r="AH31" i="24" s="1"/>
  <c r="S32" i="24"/>
  <c r="T32" i="24" s="1"/>
  <c r="Z32" i="24"/>
  <c r="AG32" i="24"/>
  <c r="AH32" i="24" s="1"/>
  <c r="S33" i="24"/>
  <c r="T33" i="24" s="1"/>
  <c r="Z33" i="24"/>
  <c r="AA33" i="24" s="1"/>
  <c r="AG33" i="24"/>
  <c r="S34" i="24"/>
  <c r="Z34" i="24"/>
  <c r="AA34" i="24" s="1"/>
  <c r="AG34" i="24"/>
  <c r="AH34" i="24" s="1"/>
  <c r="S35" i="24"/>
  <c r="Z35" i="24"/>
  <c r="AA35" i="24" s="1"/>
  <c r="AG35" i="24"/>
  <c r="AH35" i="24" s="1"/>
  <c r="S36" i="24"/>
  <c r="T36" i="24" s="1"/>
  <c r="Z36" i="24"/>
  <c r="AA36" i="24" s="1"/>
  <c r="AG36" i="24"/>
  <c r="AH36" i="24" s="1"/>
  <c r="S37" i="24"/>
  <c r="T37" i="24" s="1"/>
  <c r="Z37" i="24"/>
  <c r="AA37" i="24" s="1"/>
  <c r="AG37" i="24"/>
  <c r="AH37" i="24" s="1"/>
  <c r="S38" i="24"/>
  <c r="Z38" i="24"/>
  <c r="AA38" i="24" s="1"/>
  <c r="AG38" i="24"/>
  <c r="AH38" i="24" s="1"/>
  <c r="S39" i="24"/>
  <c r="Z39" i="24"/>
  <c r="AA39" i="24" s="1"/>
  <c r="AG39" i="24"/>
  <c r="AH39" i="24" s="1"/>
  <c r="S40" i="24"/>
  <c r="T40" i="24" s="1"/>
  <c r="Z40" i="24"/>
  <c r="AG40" i="24"/>
  <c r="AH40" i="24" s="1"/>
  <c r="S41" i="24"/>
  <c r="T41" i="24" s="1"/>
  <c r="Z41" i="24"/>
  <c r="AA41" i="24" s="1"/>
  <c r="AG41" i="24"/>
  <c r="AH41" i="24" s="1"/>
  <c r="S42" i="24"/>
  <c r="Z42" i="24"/>
  <c r="AA42" i="24" s="1"/>
  <c r="AG42" i="24"/>
  <c r="AH42" i="24" s="1"/>
  <c r="S43" i="24"/>
  <c r="Z43" i="24"/>
  <c r="AA43" i="24" s="1"/>
  <c r="AG43" i="24"/>
  <c r="AH43" i="24" s="1"/>
  <c r="S44" i="24"/>
  <c r="T44" i="24" s="1"/>
  <c r="Z44" i="24"/>
  <c r="AA44" i="24" s="1"/>
  <c r="AG44" i="24"/>
  <c r="AH44" i="24" s="1"/>
  <c r="S45" i="24"/>
  <c r="T45" i="24" s="1"/>
  <c r="Z45" i="24"/>
  <c r="AA45" i="24" s="1"/>
  <c r="AG45" i="24"/>
  <c r="S46" i="24"/>
  <c r="Z46" i="24"/>
  <c r="AA46" i="24" s="1"/>
  <c r="AG46" i="24"/>
  <c r="AH46" i="24" s="1"/>
  <c r="S47" i="24"/>
  <c r="T47" i="24" s="1"/>
  <c r="Z47" i="24"/>
  <c r="AA47" i="24" s="1"/>
  <c r="AG47" i="24"/>
  <c r="AH47" i="24" s="1"/>
  <c r="S48" i="24"/>
  <c r="T48" i="24" s="1"/>
  <c r="Z48" i="24"/>
  <c r="AG48" i="24"/>
  <c r="AH48" i="24" s="1"/>
  <c r="S49" i="24"/>
  <c r="T49" i="24" s="1"/>
  <c r="Z49" i="24"/>
  <c r="AA49" i="24" s="1"/>
  <c r="AG49" i="24"/>
  <c r="S50" i="24"/>
  <c r="Z50" i="24"/>
  <c r="AA50" i="24" s="1"/>
  <c r="AG50" i="24"/>
  <c r="AH50" i="24" s="1"/>
  <c r="S51" i="24"/>
  <c r="Z51" i="24"/>
  <c r="AA51" i="24" s="1"/>
  <c r="AG51" i="24"/>
  <c r="AH51" i="24" s="1"/>
  <c r="S52" i="24"/>
  <c r="T52" i="24" s="1"/>
  <c r="Z52" i="24"/>
  <c r="AG52" i="24"/>
  <c r="AH52" i="24" s="1"/>
  <c r="S53" i="24"/>
  <c r="T53" i="24" s="1"/>
  <c r="Z53" i="24"/>
  <c r="AA53" i="24" s="1"/>
  <c r="AG53" i="24"/>
  <c r="S54" i="24"/>
  <c r="Z54" i="24"/>
  <c r="AA54" i="24" s="1"/>
  <c r="AG54" i="24"/>
  <c r="AH54" i="24" s="1"/>
  <c r="S55" i="24"/>
  <c r="Z55" i="24"/>
  <c r="AA55" i="24" s="1"/>
  <c r="AG55" i="24"/>
  <c r="AH55" i="24" s="1"/>
  <c r="S56" i="24"/>
  <c r="T56" i="24" s="1"/>
  <c r="Z56" i="24"/>
  <c r="AG56" i="24"/>
  <c r="AH56" i="24" s="1"/>
  <c r="S57" i="24"/>
  <c r="T57" i="24" s="1"/>
  <c r="Z57" i="24"/>
  <c r="AA57" i="24" s="1"/>
  <c r="AG57" i="24"/>
  <c r="S58" i="24"/>
  <c r="Z58" i="24"/>
  <c r="AA58" i="24" s="1"/>
  <c r="AG58" i="24"/>
  <c r="AH58" i="24" s="1"/>
  <c r="S59" i="24"/>
  <c r="T59" i="24" s="1"/>
  <c r="Z59" i="24"/>
  <c r="AA59" i="24" s="1"/>
  <c r="AG59" i="24"/>
  <c r="AH59" i="24" s="1"/>
  <c r="S60" i="24"/>
  <c r="T60" i="24" s="1"/>
  <c r="Z60" i="24"/>
  <c r="AG60" i="24"/>
  <c r="AH60" i="24" s="1"/>
  <c r="S68" i="24"/>
  <c r="T68" i="24" s="1"/>
  <c r="Z68" i="24"/>
  <c r="AA68" i="24" s="1"/>
  <c r="AG68" i="24"/>
  <c r="S33" i="15"/>
  <c r="Z33" i="15"/>
  <c r="AA33" i="15" s="1"/>
  <c r="AG33" i="15"/>
  <c r="AH33" i="15" s="1"/>
  <c r="S107" i="15"/>
  <c r="T107" i="15" s="1"/>
  <c r="Z107" i="15"/>
  <c r="AA107" i="15" s="1"/>
  <c r="AG107" i="15"/>
  <c r="AH107" i="15" s="1"/>
  <c r="S112" i="15"/>
  <c r="T112" i="15" s="1"/>
  <c r="Z112" i="15"/>
  <c r="AG112" i="15"/>
  <c r="AH112" i="15" s="1"/>
  <c r="S113" i="15"/>
  <c r="T113" i="15" s="1"/>
  <c r="Z113" i="15"/>
  <c r="AA113" i="15" s="1"/>
  <c r="AG113" i="15"/>
  <c r="S114" i="15"/>
  <c r="Z114" i="15"/>
  <c r="AA114" i="15" s="1"/>
  <c r="AG114" i="15"/>
  <c r="AH114" i="15" s="1"/>
  <c r="S108" i="15"/>
  <c r="Z108" i="15"/>
  <c r="AA108" i="15" s="1"/>
  <c r="AG108" i="15"/>
  <c r="AH108" i="15" s="1"/>
  <c r="S109" i="15"/>
  <c r="T109" i="15" s="1"/>
  <c r="Z109" i="15"/>
  <c r="AA109" i="15" s="1"/>
  <c r="AG109" i="15"/>
  <c r="AH109" i="15" s="1"/>
  <c r="S110" i="15"/>
  <c r="T110" i="15" s="1"/>
  <c r="Z110" i="15"/>
  <c r="AA110" i="15" s="1"/>
  <c r="AG110" i="15"/>
  <c r="S111" i="15"/>
  <c r="Z111" i="15"/>
  <c r="AA111" i="15" s="1"/>
  <c r="AG111" i="15"/>
  <c r="AH111" i="15" s="1"/>
  <c r="S115" i="15"/>
  <c r="Z115" i="15"/>
  <c r="AA115" i="15" s="1"/>
  <c r="AG115" i="15"/>
  <c r="AH115" i="15" s="1"/>
  <c r="S116" i="15"/>
  <c r="T116" i="15" s="1"/>
  <c r="Z116" i="15"/>
  <c r="AG116" i="15"/>
  <c r="AH116" i="15" s="1"/>
  <c r="S117" i="15"/>
  <c r="T117" i="15" s="1"/>
  <c r="Z117" i="15"/>
  <c r="AA117" i="15" s="1"/>
  <c r="AG117" i="15"/>
  <c r="S118" i="15"/>
  <c r="Z118" i="15"/>
  <c r="AA118" i="15" s="1"/>
  <c r="AG118" i="15"/>
  <c r="AH118" i="15" s="1"/>
  <c r="R133" i="22"/>
  <c r="Y133" i="22"/>
  <c r="Z133" i="22" s="1"/>
  <c r="AF133" i="22"/>
  <c r="AG133" i="22" s="1"/>
  <c r="R134" i="22"/>
  <c r="S134" i="22" s="1"/>
  <c r="Y134" i="22"/>
  <c r="AF134" i="22"/>
  <c r="AG134" i="22" s="1"/>
  <c r="R135" i="22"/>
  <c r="S135" i="22" s="1"/>
  <c r="Y135" i="22"/>
  <c r="Z135" i="22" s="1"/>
  <c r="AF135" i="22"/>
  <c r="R136" i="22"/>
  <c r="Y136" i="22"/>
  <c r="Z136" i="22" s="1"/>
  <c r="AF136" i="22"/>
  <c r="AG136" i="22" s="1"/>
  <c r="S69" i="23"/>
  <c r="T69" i="23" s="1"/>
  <c r="Z69" i="23"/>
  <c r="AA69" i="23" s="1"/>
  <c r="AG69" i="23"/>
  <c r="AH69" i="23" s="1"/>
  <c r="S70" i="23"/>
  <c r="T70" i="23" s="1"/>
  <c r="Z70" i="23"/>
  <c r="AA70" i="23" s="1"/>
  <c r="AG70" i="23"/>
  <c r="AH70" i="23" s="1"/>
  <c r="S71" i="23"/>
  <c r="T71" i="23" s="1"/>
  <c r="Z71" i="23"/>
  <c r="AA71" i="23" s="1"/>
  <c r="AG71" i="23"/>
  <c r="S72" i="23"/>
  <c r="Z72" i="23"/>
  <c r="AA72" i="23" s="1"/>
  <c r="AG72" i="23"/>
  <c r="AH72" i="23" s="1"/>
  <c r="S163" i="23"/>
  <c r="Z163" i="23"/>
  <c r="AA163" i="23" s="1"/>
  <c r="AG163" i="23"/>
  <c r="AH163" i="23" s="1"/>
  <c r="S93" i="23"/>
  <c r="T93" i="23" s="1"/>
  <c r="Z93" i="23"/>
  <c r="AA93" i="23" s="1"/>
  <c r="AG93" i="23"/>
  <c r="AH93" i="23" s="1"/>
  <c r="S94" i="23"/>
  <c r="T94" i="23" s="1"/>
  <c r="Z94" i="23"/>
  <c r="AA94" i="23" s="1"/>
  <c r="AG94" i="23"/>
  <c r="S95" i="23"/>
  <c r="Z95" i="23"/>
  <c r="AA95" i="23" s="1"/>
  <c r="AG95" i="23"/>
  <c r="AH95" i="23" s="1"/>
  <c r="S96" i="23"/>
  <c r="Z96" i="23"/>
  <c r="AA96" i="23" s="1"/>
  <c r="AG96" i="23"/>
  <c r="AH96" i="23" s="1"/>
  <c r="S91" i="23"/>
  <c r="T91" i="23" s="1"/>
  <c r="Z91" i="23"/>
  <c r="AG91" i="23"/>
  <c r="AH91" i="23" s="1"/>
  <c r="S92" i="23"/>
  <c r="T92" i="23" s="1"/>
  <c r="Z92" i="23"/>
  <c r="AA92" i="23" s="1"/>
  <c r="AG92" i="23"/>
  <c r="S97" i="23"/>
  <c r="Z97" i="23"/>
  <c r="AA97" i="23" s="1"/>
  <c r="AG97" i="23"/>
  <c r="AH97" i="23" s="1"/>
  <c r="S98" i="23"/>
  <c r="Z98" i="23"/>
  <c r="AA98" i="23" s="1"/>
  <c r="AG98" i="23"/>
  <c r="AH98" i="23" s="1"/>
  <c r="S99" i="23"/>
  <c r="T99" i="23" s="1"/>
  <c r="Z99" i="23"/>
  <c r="AG99" i="23"/>
  <c r="AH99" i="23" s="1"/>
  <c r="S100" i="23"/>
  <c r="T100" i="23" s="1"/>
  <c r="Z100" i="23"/>
  <c r="AA100" i="23" s="1"/>
  <c r="AG100" i="23"/>
  <c r="AH100" i="23" s="1"/>
  <c r="S101" i="23"/>
  <c r="Z101" i="23"/>
  <c r="AA101" i="23" s="1"/>
  <c r="AG101" i="23"/>
  <c r="AH101" i="23" s="1"/>
  <c r="S102" i="23"/>
  <c r="Z102" i="23"/>
  <c r="AA102" i="23" s="1"/>
  <c r="AG102" i="23"/>
  <c r="AH102" i="23" s="1"/>
  <c r="S103" i="23"/>
  <c r="T103" i="23" s="1"/>
  <c r="Z103" i="23"/>
  <c r="AG103" i="23"/>
  <c r="AH103" i="23" s="1"/>
  <c r="S162" i="23"/>
  <c r="T162" i="23" s="1"/>
  <c r="Z162" i="23"/>
  <c r="AA162" i="23" s="1"/>
  <c r="AG162" i="23"/>
  <c r="S138" i="23"/>
  <c r="Z138" i="23"/>
  <c r="AA138" i="23" s="1"/>
  <c r="AG138" i="23"/>
  <c r="AH138" i="23" s="1"/>
  <c r="S139" i="23"/>
  <c r="Z139" i="23"/>
  <c r="AA139" i="23" s="1"/>
  <c r="AG139" i="23"/>
  <c r="AH139" i="23" s="1"/>
  <c r="S140" i="23"/>
  <c r="T140" i="23" s="1"/>
  <c r="Z140" i="23"/>
  <c r="AA140" i="23" s="1"/>
  <c r="AG140" i="23"/>
  <c r="AH140" i="23" s="1"/>
  <c r="S141" i="23"/>
  <c r="T141" i="23" s="1"/>
  <c r="Z141" i="23"/>
  <c r="AA141" i="23" s="1"/>
  <c r="AG141" i="23"/>
  <c r="AH141" i="23" s="1"/>
  <c r="S14" i="23"/>
  <c r="Z14" i="23"/>
  <c r="AA14" i="23" s="1"/>
  <c r="AG14" i="23"/>
  <c r="AH14" i="23" s="1"/>
  <c r="S15" i="23"/>
  <c r="Z15" i="23"/>
  <c r="AA15" i="23" s="1"/>
  <c r="AG15" i="23"/>
  <c r="AH15" i="23" s="1"/>
  <c r="S16" i="23"/>
  <c r="T16" i="23" s="1"/>
  <c r="Z16" i="23"/>
  <c r="AA16" i="23" s="1"/>
  <c r="AG16" i="23"/>
  <c r="AH16" i="23" s="1"/>
  <c r="S73" i="23"/>
  <c r="T73" i="23" s="1"/>
  <c r="Z73" i="23"/>
  <c r="AA73" i="23" s="1"/>
  <c r="AG73" i="23"/>
  <c r="S74" i="23"/>
  <c r="Z74" i="23"/>
  <c r="AA74" i="23" s="1"/>
  <c r="AG74" i="23"/>
  <c r="AH74" i="23" s="1"/>
  <c r="S75" i="23"/>
  <c r="Z75" i="23"/>
  <c r="AA75" i="23" s="1"/>
  <c r="AG75" i="23"/>
  <c r="AH75" i="23" s="1"/>
  <c r="S143" i="23"/>
  <c r="T143" i="23" s="1"/>
  <c r="Z143" i="23"/>
  <c r="AA143" i="23" s="1"/>
  <c r="AG143" i="23"/>
  <c r="S144" i="23"/>
  <c r="T144" i="23" s="1"/>
  <c r="Z144" i="23"/>
  <c r="AG144" i="23"/>
  <c r="AH144" i="23" s="1"/>
  <c r="S145" i="23"/>
  <c r="T145" i="23" s="1"/>
  <c r="Z145" i="23"/>
  <c r="AA145" i="23" s="1"/>
  <c r="AG145" i="23"/>
  <c r="AH145" i="23" s="1"/>
  <c r="S147" i="23"/>
  <c r="T147" i="23" s="1"/>
  <c r="Z147" i="23"/>
  <c r="AA147" i="23" s="1"/>
  <c r="AG147" i="23"/>
  <c r="S142" i="23"/>
  <c r="T142" i="23" s="1"/>
  <c r="Z142" i="23"/>
  <c r="AA142" i="23" s="1"/>
  <c r="AG142" i="23"/>
  <c r="S146" i="23"/>
  <c r="T146" i="23" s="1"/>
  <c r="Z146" i="23"/>
  <c r="AA146" i="23" s="1"/>
  <c r="AG146" i="23"/>
  <c r="AH146" i="23" s="1"/>
  <c r="S148" i="23"/>
  <c r="T148" i="23" s="1"/>
  <c r="AJ148" i="23" s="1"/>
  <c r="Z148" i="23"/>
  <c r="AA148" i="23" s="1"/>
  <c r="AG148" i="23"/>
  <c r="AH148" i="23" s="1"/>
  <c r="S149" i="23"/>
  <c r="T149" i="23" s="1"/>
  <c r="Z149" i="23"/>
  <c r="AA149" i="23" s="1"/>
  <c r="AG149" i="23"/>
  <c r="S150" i="23"/>
  <c r="T150" i="23" s="1"/>
  <c r="Z150" i="23"/>
  <c r="AA150" i="23" s="1"/>
  <c r="AG150" i="23"/>
  <c r="S151" i="23"/>
  <c r="T151" i="23" s="1"/>
  <c r="Z151" i="23"/>
  <c r="AA151" i="23" s="1"/>
  <c r="AG151" i="23"/>
  <c r="AH151" i="23" s="1"/>
  <c r="AJ151" i="23" s="1"/>
  <c r="S152" i="23"/>
  <c r="T152" i="23" s="1"/>
  <c r="Z152" i="23"/>
  <c r="AA152" i="23" s="1"/>
  <c r="AG152" i="23"/>
  <c r="AH152" i="23" s="1"/>
  <c r="S153" i="23"/>
  <c r="T153" i="23" s="1"/>
  <c r="Z153" i="23"/>
  <c r="AG153" i="23"/>
  <c r="AH153" i="23" s="1"/>
  <c r="S154" i="23"/>
  <c r="T154" i="23" s="1"/>
  <c r="Z154" i="23"/>
  <c r="AA154" i="23" s="1"/>
  <c r="AG154" i="23"/>
  <c r="S155" i="23"/>
  <c r="Z155" i="23"/>
  <c r="AA155" i="23" s="1"/>
  <c r="AG155" i="23"/>
  <c r="AH155" i="23" s="1"/>
  <c r="S156" i="23"/>
  <c r="Z156" i="23"/>
  <c r="AA156" i="23" s="1"/>
  <c r="AG156" i="23"/>
  <c r="AH156" i="23" s="1"/>
  <c r="S157" i="23"/>
  <c r="T157" i="23" s="1"/>
  <c r="Z157" i="23"/>
  <c r="AA157" i="23" s="1"/>
  <c r="AG157" i="23"/>
  <c r="S158" i="23"/>
  <c r="T158" i="23" s="1"/>
  <c r="Z158" i="23"/>
  <c r="AA158" i="23" s="1"/>
  <c r="AG158" i="23"/>
  <c r="S159" i="23"/>
  <c r="Z159" i="23"/>
  <c r="AA159" i="23" s="1"/>
  <c r="AG159" i="23"/>
  <c r="AH159" i="23" s="1"/>
  <c r="S160" i="23"/>
  <c r="T160" i="23" s="1"/>
  <c r="Z160" i="23"/>
  <c r="AG160" i="23"/>
  <c r="AH160" i="23" s="1"/>
  <c r="S161" i="23"/>
  <c r="T161" i="23" s="1"/>
  <c r="Z161" i="23"/>
  <c r="AA161" i="23" s="1"/>
  <c r="AG161" i="23"/>
  <c r="AH161" i="23" s="1"/>
  <c r="AX14" i="22"/>
  <c r="G50" i="35"/>
  <c r="AY14" i="22"/>
  <c r="G49" i="35" s="1"/>
  <c r="H50" i="35"/>
  <c r="AZ14" i="22"/>
  <c r="H221" i="35" s="1"/>
  <c r="H220" i="35" s="1"/>
  <c r="I50" i="35"/>
  <c r="BA14" i="22"/>
  <c r="K50" i="35"/>
  <c r="BB14" i="22"/>
  <c r="K567" i="35" s="1"/>
  <c r="K566" i="35" s="1"/>
  <c r="L50" i="35"/>
  <c r="BC14" i="22"/>
  <c r="M50" i="35"/>
  <c r="BD14" i="22"/>
  <c r="M567" i="35" s="1"/>
  <c r="M566" i="35" s="1"/>
  <c r="N50" i="35"/>
  <c r="BE14" i="22"/>
  <c r="N221" i="35" s="1"/>
  <c r="N220" i="35" s="1"/>
  <c r="P50" i="35"/>
  <c r="BF14" i="22"/>
  <c r="Q50" i="35"/>
  <c r="BG14" i="22"/>
  <c r="Q49" i="35" s="1"/>
  <c r="Q48" i="35" s="1"/>
  <c r="AR137" i="58" s="1"/>
  <c r="R50" i="35"/>
  <c r="BH14" i="22"/>
  <c r="R481" i="35" s="1"/>
  <c r="R480" i="35" s="1"/>
  <c r="AT140" i="58" s="1"/>
  <c r="S50" i="35"/>
  <c r="BI14" i="22"/>
  <c r="AX15" i="22"/>
  <c r="G53" i="35"/>
  <c r="AY15" i="22"/>
  <c r="G224" i="35" s="1"/>
  <c r="H53" i="35"/>
  <c r="J53" i="35" s="1"/>
  <c r="AZ15" i="22"/>
  <c r="H655" i="35" s="1"/>
  <c r="H654" i="35" s="1"/>
  <c r="I53" i="35"/>
  <c r="BA15" i="22"/>
  <c r="I484" i="35" s="1"/>
  <c r="I483" i="35" s="1"/>
  <c r="K53" i="35"/>
  <c r="BB15" i="22"/>
  <c r="L53" i="35"/>
  <c r="BC15" i="22"/>
  <c r="L224" i="35" s="1"/>
  <c r="L223" i="35" s="1"/>
  <c r="M53" i="35"/>
  <c r="BD15" i="22"/>
  <c r="N53" i="35"/>
  <c r="BE15" i="22"/>
  <c r="P53" i="35"/>
  <c r="BF15" i="22"/>
  <c r="P310" i="35" s="1"/>
  <c r="P309" i="35" s="1"/>
  <c r="Q53" i="35"/>
  <c r="BG15" i="22"/>
  <c r="Q484" i="35" s="1"/>
  <c r="R53" i="35"/>
  <c r="BH15" i="22"/>
  <c r="R52" i="35" s="1"/>
  <c r="R51" i="35" s="1"/>
  <c r="S53" i="35"/>
  <c r="BI15" i="22"/>
  <c r="G59" i="35"/>
  <c r="J59" i="35" s="1"/>
  <c r="H59" i="35"/>
  <c r="I59" i="35"/>
  <c r="K59" i="35"/>
  <c r="L59" i="35"/>
  <c r="M59" i="35"/>
  <c r="N59" i="35"/>
  <c r="P59" i="35"/>
  <c r="Q59" i="35"/>
  <c r="R59" i="35"/>
  <c r="S59" i="35"/>
  <c r="G62" i="35"/>
  <c r="H62" i="35"/>
  <c r="I62" i="35"/>
  <c r="K62" i="35"/>
  <c r="L62" i="35"/>
  <c r="M62" i="35"/>
  <c r="N62" i="35"/>
  <c r="P62" i="35"/>
  <c r="Q62" i="35"/>
  <c r="R62" i="35"/>
  <c r="S62" i="35"/>
  <c r="G68" i="35"/>
  <c r="H68" i="35"/>
  <c r="I68" i="35"/>
  <c r="J68" i="35" s="1"/>
  <c r="K68" i="35"/>
  <c r="L68" i="35"/>
  <c r="M68" i="35"/>
  <c r="N68" i="35"/>
  <c r="P68" i="35"/>
  <c r="Q68" i="35"/>
  <c r="R68" i="35"/>
  <c r="S68" i="35"/>
  <c r="G26" i="35"/>
  <c r="H26" i="35"/>
  <c r="I26" i="35"/>
  <c r="K26" i="35"/>
  <c r="L26" i="35"/>
  <c r="M26" i="35"/>
  <c r="N26" i="35"/>
  <c r="P26" i="35"/>
  <c r="Q26" i="35"/>
  <c r="R26" i="35"/>
  <c r="S26" i="35"/>
  <c r="AX14" i="24"/>
  <c r="G71" i="35"/>
  <c r="AY14" i="24"/>
  <c r="H71" i="35"/>
  <c r="AZ14" i="24"/>
  <c r="I71" i="35"/>
  <c r="BA14" i="24"/>
  <c r="K71" i="35"/>
  <c r="BB14" i="24"/>
  <c r="L71" i="35"/>
  <c r="BC14" i="24"/>
  <c r="L502" i="35" s="1"/>
  <c r="L501" i="35" s="1"/>
  <c r="M71" i="35"/>
  <c r="BD14" i="24"/>
  <c r="N71" i="35"/>
  <c r="BE14" i="24"/>
  <c r="N328" i="35" s="1"/>
  <c r="N327" i="35" s="1"/>
  <c r="P71" i="35"/>
  <c r="BF14" i="24"/>
  <c r="P416" i="35" s="1"/>
  <c r="P415" i="35" s="1"/>
  <c r="Q71" i="35"/>
  <c r="BG14" i="24"/>
  <c r="Q588" i="35" s="1"/>
  <c r="Q587" i="35" s="1"/>
  <c r="R71" i="35"/>
  <c r="BH14" i="24"/>
  <c r="R70" i="35" s="1"/>
  <c r="S71" i="35"/>
  <c r="BI14" i="24"/>
  <c r="S416" i="35" s="1"/>
  <c r="S415" i="35" s="1"/>
  <c r="AX15" i="24"/>
  <c r="F331" i="35" s="1"/>
  <c r="F330" i="35" s="1"/>
  <c r="P96" i="58" s="1"/>
  <c r="G74" i="35"/>
  <c r="AY15" i="24"/>
  <c r="G676" i="35" s="1"/>
  <c r="G675" i="35" s="1"/>
  <c r="H74" i="35"/>
  <c r="AZ15" i="24"/>
  <c r="H331" i="35" s="1"/>
  <c r="H330" i="35" s="1"/>
  <c r="I74" i="35"/>
  <c r="BA15" i="24"/>
  <c r="K74" i="35"/>
  <c r="BB15" i="24"/>
  <c r="K505" i="35" s="1"/>
  <c r="K504" i="35" s="1"/>
  <c r="AC110" i="58" s="1"/>
  <c r="L74" i="35"/>
  <c r="BC15" i="24"/>
  <c r="L245" i="35" s="1"/>
  <c r="L244" i="35" s="1"/>
  <c r="M74" i="35"/>
  <c r="BD15" i="24"/>
  <c r="N74" i="35"/>
  <c r="BE15" i="24"/>
  <c r="N159" i="35" s="1"/>
  <c r="N158" i="35" s="1"/>
  <c r="P74" i="35"/>
  <c r="Q74" i="35"/>
  <c r="R74" i="35"/>
  <c r="S74" i="35"/>
  <c r="AX14" i="15"/>
  <c r="G17" i="35"/>
  <c r="AY14" i="15"/>
  <c r="H17" i="35"/>
  <c r="AZ14" i="15"/>
  <c r="H188" i="35" s="1"/>
  <c r="H187" i="35" s="1"/>
  <c r="I17" i="35"/>
  <c r="BA14" i="15"/>
  <c r="I362" i="35" s="1"/>
  <c r="I361" i="35" s="1"/>
  <c r="K17" i="35"/>
  <c r="BB14" i="15"/>
  <c r="K448" i="35" s="1"/>
  <c r="K447" i="35" s="1"/>
  <c r="L17" i="35"/>
  <c r="BC14" i="15"/>
  <c r="L362" i="35" s="1"/>
  <c r="L361" i="35" s="1"/>
  <c r="M17" i="35"/>
  <c r="BD14" i="15"/>
  <c r="N17" i="35"/>
  <c r="BE14" i="15"/>
  <c r="N274" i="35" s="1"/>
  <c r="N273" i="35" s="1"/>
  <c r="P17" i="35"/>
  <c r="BF14" i="15"/>
  <c r="P619" i="35" s="1"/>
  <c r="P618" i="35" s="1"/>
  <c r="Q17" i="35"/>
  <c r="BG14" i="15"/>
  <c r="R17" i="35"/>
  <c r="BH14" i="15"/>
  <c r="R619" i="35" s="1"/>
  <c r="R618" i="35" s="1"/>
  <c r="S17" i="35"/>
  <c r="BI14" i="15"/>
  <c r="AX15" i="15"/>
  <c r="F451" i="35" s="1"/>
  <c r="G20" i="35"/>
  <c r="AY15" i="15"/>
  <c r="G191" i="35" s="1"/>
  <c r="G190" i="35" s="1"/>
  <c r="H20" i="35"/>
  <c r="J20" i="35" s="1"/>
  <c r="AZ15" i="15"/>
  <c r="H622" i="35" s="1"/>
  <c r="H621" i="35" s="1"/>
  <c r="T206" i="58" s="1"/>
  <c r="I20" i="35"/>
  <c r="BA15" i="15"/>
  <c r="I105" i="35" s="1"/>
  <c r="I104" i="35" s="1"/>
  <c r="V201" i="58" s="1"/>
  <c r="K20" i="35"/>
  <c r="BB15" i="15"/>
  <c r="K191" i="35" s="1"/>
  <c r="L20" i="35"/>
  <c r="BC15" i="15"/>
  <c r="L191" i="35" s="1"/>
  <c r="L190" i="35" s="1"/>
  <c r="M20" i="35"/>
  <c r="BD15" i="15"/>
  <c r="N20" i="35"/>
  <c r="BE15" i="15"/>
  <c r="N19" i="35" s="1"/>
  <c r="N18" i="35" s="1"/>
  <c r="AI200" i="58" s="1"/>
  <c r="P20" i="35"/>
  <c r="BF15" i="15"/>
  <c r="P622" i="35" s="1"/>
  <c r="Q20" i="35"/>
  <c r="BG15" i="15"/>
  <c r="Q191" i="35" s="1"/>
  <c r="Q190" i="35" s="1"/>
  <c r="R20" i="35"/>
  <c r="BH15" i="15"/>
  <c r="R537" i="35" s="1"/>
  <c r="R536" i="35" s="1"/>
  <c r="R623" i="35"/>
  <c r="S20" i="35"/>
  <c r="BI15" i="15"/>
  <c r="S623" i="35"/>
  <c r="AX16" i="15"/>
  <c r="AY16" i="15"/>
  <c r="G22" i="35" s="1"/>
  <c r="G21" i="35" s="1"/>
  <c r="R542" i="58" s="1"/>
  <c r="AZ16" i="15"/>
  <c r="H195" i="35"/>
  <c r="BA16" i="15"/>
  <c r="I540" i="35" s="1"/>
  <c r="I539" i="35" s="1"/>
  <c r="I541" i="35"/>
  <c r="BB16" i="15"/>
  <c r="K454" i="35" s="1"/>
  <c r="K453" i="35" s="1"/>
  <c r="AC545" i="58" s="1"/>
  <c r="BC16" i="15"/>
  <c r="L455" i="35"/>
  <c r="BD16" i="15"/>
  <c r="M626" i="35"/>
  <c r="BE16" i="15"/>
  <c r="N626" i="35"/>
  <c r="BF16" i="15"/>
  <c r="P625" i="35" s="1"/>
  <c r="P624" i="35" s="1"/>
  <c r="AP548" i="58" s="1"/>
  <c r="P195" i="35"/>
  <c r="BG16" i="15"/>
  <c r="Q22" i="35" s="1"/>
  <c r="Q21" i="35" s="1"/>
  <c r="BH16" i="15"/>
  <c r="BI16" i="15"/>
  <c r="S369" i="35"/>
  <c r="AX14" i="17"/>
  <c r="F28" i="35" s="1"/>
  <c r="F27" i="35" s="1"/>
  <c r="AY14" i="17"/>
  <c r="G374" i="35" s="1"/>
  <c r="G373" i="35" s="1"/>
  <c r="AZ14" i="17"/>
  <c r="H200" i="35" s="1"/>
  <c r="H199" i="35" s="1"/>
  <c r="BA14" i="17"/>
  <c r="BB14" i="17"/>
  <c r="K200" i="35" s="1"/>
  <c r="K199" i="35" s="1"/>
  <c r="BC14" i="17"/>
  <c r="L374" i="35" s="1"/>
  <c r="L373" i="35" s="1"/>
  <c r="BD14" i="17"/>
  <c r="M114" i="35" s="1"/>
  <c r="M113" i="35" s="1"/>
  <c r="BE14" i="17"/>
  <c r="BF14" i="17"/>
  <c r="P460" i="35" s="1"/>
  <c r="P459" i="35" s="1"/>
  <c r="BG14" i="17"/>
  <c r="Q374" i="35" s="1"/>
  <c r="Q373" i="35" s="1"/>
  <c r="BH14" i="17"/>
  <c r="R374" i="35" s="1"/>
  <c r="R373" i="35" s="1"/>
  <c r="BI14" i="17"/>
  <c r="AX15" i="17"/>
  <c r="F31" i="35" s="1"/>
  <c r="F30" i="35" s="1"/>
  <c r="AY15" i="17"/>
  <c r="G377" i="35" s="1"/>
  <c r="G376" i="35" s="1"/>
  <c r="AZ15" i="17"/>
  <c r="H289" i="35" s="1"/>
  <c r="H288" i="35" s="1"/>
  <c r="BA15" i="17"/>
  <c r="BB15" i="17"/>
  <c r="BC15" i="17"/>
  <c r="L31" i="35" s="1"/>
  <c r="L30" i="35" s="1"/>
  <c r="BD15" i="17"/>
  <c r="BE15" i="17"/>
  <c r="N203" i="35" s="1"/>
  <c r="BF15" i="17"/>
  <c r="P463" i="35" s="1"/>
  <c r="P462" i="35" s="1"/>
  <c r="BG15" i="17"/>
  <c r="Q203" i="35" s="1"/>
  <c r="Q202" i="35" s="1"/>
  <c r="BH15" i="17"/>
  <c r="R31" i="35" s="1"/>
  <c r="R30" i="35" s="1"/>
  <c r="BI15" i="17"/>
  <c r="S463" i="35" s="1"/>
  <c r="AX16" i="17"/>
  <c r="F637" i="35" s="1"/>
  <c r="AY16" i="17"/>
  <c r="G206" i="35" s="1"/>
  <c r="G205" i="35" s="1"/>
  <c r="AZ16" i="17"/>
  <c r="H552" i="35" s="1"/>
  <c r="H551" i="35" s="1"/>
  <c r="BA16" i="17"/>
  <c r="I380" i="35" s="1"/>
  <c r="BB16" i="17"/>
  <c r="K34" i="35" s="1"/>
  <c r="K33" i="35" s="1"/>
  <c r="BC16" i="17"/>
  <c r="L206" i="35" s="1"/>
  <c r="L205" i="35" s="1"/>
  <c r="BD16" i="17"/>
  <c r="M466" i="35" s="1"/>
  <c r="M465" i="35" s="1"/>
  <c r="BE16" i="17"/>
  <c r="N380" i="35" s="1"/>
  <c r="N379" i="35" s="1"/>
  <c r="BF16" i="17"/>
  <c r="BG16" i="17"/>
  <c r="Q206" i="35" s="1"/>
  <c r="Q205" i="35" s="1"/>
  <c r="BH16" i="17"/>
  <c r="R552" i="35" s="1"/>
  <c r="R551" i="35" s="1"/>
  <c r="BI16" i="17"/>
  <c r="S292" i="35" s="1"/>
  <c r="S291" i="35" s="1"/>
  <c r="G23" i="35"/>
  <c r="H23" i="35"/>
  <c r="I23" i="35"/>
  <c r="K23" i="35"/>
  <c r="L23" i="35"/>
  <c r="M23" i="35"/>
  <c r="N23" i="35"/>
  <c r="P23" i="35"/>
  <c r="Q23" i="35"/>
  <c r="R23" i="35"/>
  <c r="S23" i="35"/>
  <c r="G29" i="35"/>
  <c r="H29" i="35"/>
  <c r="I29" i="35"/>
  <c r="K29" i="35"/>
  <c r="L29" i="35"/>
  <c r="M29" i="35"/>
  <c r="N29" i="35"/>
  <c r="P29" i="35"/>
  <c r="Q29" i="35"/>
  <c r="R29" i="35"/>
  <c r="S29" i="35"/>
  <c r="G32" i="35"/>
  <c r="H32" i="35"/>
  <c r="I32" i="35"/>
  <c r="K32" i="35"/>
  <c r="L32" i="35"/>
  <c r="M32" i="35"/>
  <c r="N32" i="35"/>
  <c r="P32" i="35"/>
  <c r="Q32" i="35"/>
  <c r="R32" i="35"/>
  <c r="S32" i="35"/>
  <c r="G35" i="35"/>
  <c r="H35" i="35"/>
  <c r="I35" i="35"/>
  <c r="K35" i="35"/>
  <c r="L35" i="35"/>
  <c r="M35" i="35"/>
  <c r="N35" i="35"/>
  <c r="P35" i="35"/>
  <c r="Q35" i="35"/>
  <c r="R35" i="35"/>
  <c r="S35" i="35"/>
  <c r="AX17" i="17"/>
  <c r="AY17" i="17"/>
  <c r="G37" i="35" s="1"/>
  <c r="G36" i="35" s="1"/>
  <c r="AZ17" i="17"/>
  <c r="H209" i="35" s="1"/>
  <c r="H208" i="35" s="1"/>
  <c r="BA17" i="17"/>
  <c r="I209" i="35" s="1"/>
  <c r="I208" i="35" s="1"/>
  <c r="BB17" i="17"/>
  <c r="K37" i="35" s="1"/>
  <c r="K36" i="35" s="1"/>
  <c r="BC17" i="17"/>
  <c r="L295" i="35" s="1"/>
  <c r="L294" i="35" s="1"/>
  <c r="BD17" i="17"/>
  <c r="M383" i="35" s="1"/>
  <c r="M382" i="35" s="1"/>
  <c r="BE17" i="17"/>
  <c r="N37" i="35" s="1"/>
  <c r="N36" i="35" s="1"/>
  <c r="BF17" i="17"/>
  <c r="BG17" i="17"/>
  <c r="Q640" i="35" s="1"/>
  <c r="Q639" i="35" s="1"/>
  <c r="BH17" i="17"/>
  <c r="R469" i="35" s="1"/>
  <c r="BI17" i="17"/>
  <c r="S469" i="35" s="1"/>
  <c r="S468" i="35" s="1"/>
  <c r="AX18" i="17"/>
  <c r="AY18" i="17"/>
  <c r="G472" i="35" s="1"/>
  <c r="G471" i="35" s="1"/>
  <c r="AZ18" i="17"/>
  <c r="H298" i="35" s="1"/>
  <c r="BA18" i="17"/>
  <c r="I212" i="35" s="1"/>
  <c r="I211" i="35" s="1"/>
  <c r="BB18" i="17"/>
  <c r="K298" i="35" s="1"/>
  <c r="K297" i="35" s="1"/>
  <c r="BC18" i="17"/>
  <c r="L386" i="35" s="1"/>
  <c r="L385" i="35" s="1"/>
  <c r="BD18" i="17"/>
  <c r="M643" i="35" s="1"/>
  <c r="M642" i="35" s="1"/>
  <c r="BE18" i="17"/>
  <c r="N386" i="35" s="1"/>
  <c r="N385" i="35" s="1"/>
  <c r="BF18" i="17"/>
  <c r="P212" i="35" s="1"/>
  <c r="P211" i="35" s="1"/>
  <c r="BG18" i="17"/>
  <c r="Q298" i="35" s="1"/>
  <c r="Q297" i="35" s="1"/>
  <c r="BH18" i="17"/>
  <c r="R558" i="35" s="1"/>
  <c r="R557" i="35" s="1"/>
  <c r="BI18" i="17"/>
  <c r="S40" i="35" s="1"/>
  <c r="S39" i="35" s="1"/>
  <c r="G41" i="35"/>
  <c r="H41" i="35"/>
  <c r="I41" i="35"/>
  <c r="K41" i="35"/>
  <c r="L41" i="35"/>
  <c r="M41" i="35"/>
  <c r="N41" i="35"/>
  <c r="P41" i="35"/>
  <c r="Q41" i="35"/>
  <c r="R41" i="35"/>
  <c r="S41" i="35"/>
  <c r="F646" i="35"/>
  <c r="F645" i="35" s="1"/>
  <c r="K561" i="35"/>
  <c r="K560" i="35" s="1"/>
  <c r="P389" i="35"/>
  <c r="P388" i="35" s="1"/>
  <c r="G44" i="35"/>
  <c r="H44" i="35"/>
  <c r="I44" i="35"/>
  <c r="K44" i="35"/>
  <c r="L44" i="35"/>
  <c r="M44" i="35"/>
  <c r="N44" i="35"/>
  <c r="P44" i="35"/>
  <c r="Q44" i="35"/>
  <c r="R44" i="35"/>
  <c r="S44" i="35"/>
  <c r="G47" i="35"/>
  <c r="H47" i="35"/>
  <c r="I47" i="35"/>
  <c r="K47" i="35"/>
  <c r="L47" i="35"/>
  <c r="M47" i="35"/>
  <c r="N47" i="35"/>
  <c r="P47" i="35"/>
  <c r="Q47" i="35"/>
  <c r="R47" i="35"/>
  <c r="S47" i="35"/>
  <c r="AX16" i="22"/>
  <c r="F658" i="35" s="1"/>
  <c r="F657" i="35" s="1"/>
  <c r="AY16" i="22"/>
  <c r="G55" i="35" s="1"/>
  <c r="G54" i="35" s="1"/>
  <c r="AZ16" i="22"/>
  <c r="H55" i="35" s="1"/>
  <c r="H54" i="35" s="1"/>
  <c r="BA16" i="22"/>
  <c r="I658" i="35" s="1"/>
  <c r="I657" i="35" s="1"/>
  <c r="BB16" i="22"/>
  <c r="K227" i="35" s="1"/>
  <c r="K226" i="35" s="1"/>
  <c r="BC16" i="22"/>
  <c r="L487" i="35" s="1"/>
  <c r="BD16" i="22"/>
  <c r="BE16" i="22"/>
  <c r="BF16" i="22"/>
  <c r="P55" i="35" s="1"/>
  <c r="P54" i="35" s="1"/>
  <c r="BG16" i="22"/>
  <c r="Q313" i="35" s="1"/>
  <c r="Q312" i="35" s="1"/>
  <c r="BH16" i="22"/>
  <c r="R227" i="35" s="1"/>
  <c r="R226" i="35" s="1"/>
  <c r="BI16" i="22"/>
  <c r="G56" i="35"/>
  <c r="H56" i="35"/>
  <c r="I56" i="35"/>
  <c r="K56" i="35"/>
  <c r="O56" i="35" s="1"/>
  <c r="L56" i="35"/>
  <c r="M56" i="35"/>
  <c r="N56" i="35"/>
  <c r="P56" i="35"/>
  <c r="T56" i="35" s="1"/>
  <c r="Q56" i="35"/>
  <c r="R56" i="35"/>
  <c r="S56" i="35"/>
  <c r="G65" i="35"/>
  <c r="J65" i="35" s="1"/>
  <c r="H65" i="35"/>
  <c r="I65" i="35"/>
  <c r="K65" i="35"/>
  <c r="L65" i="35"/>
  <c r="O65" i="35" s="1"/>
  <c r="M65" i="35"/>
  <c r="N65" i="35"/>
  <c r="P65" i="35"/>
  <c r="Q65" i="35"/>
  <c r="T65" i="35" s="1"/>
  <c r="R65" i="35"/>
  <c r="S65" i="35"/>
  <c r="G103" i="35"/>
  <c r="H103" i="35"/>
  <c r="I103" i="35"/>
  <c r="G189" i="35"/>
  <c r="H189" i="35"/>
  <c r="I189" i="35"/>
  <c r="G192" i="35"/>
  <c r="H192" i="35"/>
  <c r="I192" i="35"/>
  <c r="K192" i="35"/>
  <c r="O192" i="35" s="1"/>
  <c r="L192" i="35"/>
  <c r="M192" i="35"/>
  <c r="N192" i="35"/>
  <c r="P192" i="35"/>
  <c r="T192" i="35" s="1"/>
  <c r="Q192" i="35"/>
  <c r="R192" i="35"/>
  <c r="S192" i="35"/>
  <c r="G195" i="35"/>
  <c r="I195" i="35"/>
  <c r="K195" i="35"/>
  <c r="L195" i="35"/>
  <c r="M195" i="35"/>
  <c r="N195" i="35"/>
  <c r="Q195" i="35"/>
  <c r="R195" i="35"/>
  <c r="S195" i="35"/>
  <c r="G198" i="35"/>
  <c r="H198" i="35"/>
  <c r="I198" i="35"/>
  <c r="K198" i="35"/>
  <c r="L198" i="35"/>
  <c r="M198" i="35"/>
  <c r="N198" i="35"/>
  <c r="P198" i="35"/>
  <c r="Q198" i="35"/>
  <c r="R198" i="35"/>
  <c r="S198" i="35"/>
  <c r="G201" i="35"/>
  <c r="H201" i="35"/>
  <c r="I201" i="35"/>
  <c r="K201" i="35"/>
  <c r="L201" i="35"/>
  <c r="M201" i="35"/>
  <c r="N201" i="35"/>
  <c r="P201" i="35"/>
  <c r="Q201" i="35"/>
  <c r="R201" i="35"/>
  <c r="S201" i="35"/>
  <c r="G204" i="35"/>
  <c r="H204" i="35"/>
  <c r="I204" i="35"/>
  <c r="K204" i="35"/>
  <c r="L204" i="35"/>
  <c r="M204" i="35"/>
  <c r="N204" i="35"/>
  <c r="P204" i="35"/>
  <c r="Q204" i="35"/>
  <c r="R204" i="35"/>
  <c r="S204" i="35"/>
  <c r="G207" i="35"/>
  <c r="H207" i="35"/>
  <c r="I207" i="35"/>
  <c r="K207" i="35"/>
  <c r="L207" i="35"/>
  <c r="M207" i="35"/>
  <c r="N207" i="35"/>
  <c r="P207" i="35"/>
  <c r="Q207" i="35"/>
  <c r="R207" i="35"/>
  <c r="S207" i="35"/>
  <c r="G213" i="35"/>
  <c r="H213" i="35"/>
  <c r="I213" i="35"/>
  <c r="K213" i="35"/>
  <c r="L213" i="35"/>
  <c r="M213" i="35"/>
  <c r="N213" i="35"/>
  <c r="P213" i="35"/>
  <c r="Q213" i="35"/>
  <c r="R213" i="35"/>
  <c r="S213" i="35"/>
  <c r="G216" i="35"/>
  <c r="H216" i="35"/>
  <c r="I216" i="35"/>
  <c r="K216" i="35"/>
  <c r="L216" i="35"/>
  <c r="M216" i="35"/>
  <c r="N216" i="35"/>
  <c r="P216" i="35"/>
  <c r="Q216" i="35"/>
  <c r="R216" i="35"/>
  <c r="S216" i="35"/>
  <c r="G219" i="35"/>
  <c r="H219" i="35"/>
  <c r="I219" i="35"/>
  <c r="K219" i="35"/>
  <c r="L219" i="35"/>
  <c r="M219" i="35"/>
  <c r="N219" i="35"/>
  <c r="P219" i="35"/>
  <c r="Q219" i="35"/>
  <c r="R219" i="35"/>
  <c r="S219" i="35"/>
  <c r="G222" i="35"/>
  <c r="H222" i="35"/>
  <c r="I222" i="35"/>
  <c r="J222" i="35" s="1"/>
  <c r="K222" i="35"/>
  <c r="L222" i="35"/>
  <c r="M222" i="35"/>
  <c r="N222" i="35"/>
  <c r="O222" i="35" s="1"/>
  <c r="P222" i="35"/>
  <c r="Q222" i="35"/>
  <c r="R222" i="35"/>
  <c r="S222" i="35"/>
  <c r="T222" i="35" s="1"/>
  <c r="G225" i="35"/>
  <c r="H225" i="35"/>
  <c r="I225" i="35"/>
  <c r="K225" i="35"/>
  <c r="O225" i="35" s="1"/>
  <c r="L225" i="35"/>
  <c r="M225" i="35"/>
  <c r="N225" i="35"/>
  <c r="P225" i="35"/>
  <c r="T225" i="35" s="1"/>
  <c r="Q225" i="35"/>
  <c r="R225" i="35"/>
  <c r="S225" i="35"/>
  <c r="G228" i="35"/>
  <c r="J228" i="35" s="1"/>
  <c r="H228" i="35"/>
  <c r="I228" i="35"/>
  <c r="K228" i="35"/>
  <c r="L228" i="35"/>
  <c r="O228" i="35" s="1"/>
  <c r="M228" i="35"/>
  <c r="N228" i="35"/>
  <c r="P228" i="35"/>
  <c r="Q228" i="35"/>
  <c r="T228" i="35" s="1"/>
  <c r="R228" i="35"/>
  <c r="S228" i="35"/>
  <c r="G231" i="35"/>
  <c r="H231" i="35"/>
  <c r="J231" i="35" s="1"/>
  <c r="I231" i="35"/>
  <c r="K231" i="35"/>
  <c r="L231" i="35"/>
  <c r="M231" i="35"/>
  <c r="O231" i="35" s="1"/>
  <c r="N231" i="35"/>
  <c r="P231" i="35"/>
  <c r="Q231" i="35"/>
  <c r="R231" i="35"/>
  <c r="S231" i="35"/>
  <c r="G234" i="35"/>
  <c r="H234" i="35"/>
  <c r="I234" i="35"/>
  <c r="J234" i="35" s="1"/>
  <c r="K234" i="35"/>
  <c r="L234" i="35"/>
  <c r="M234" i="35"/>
  <c r="N234" i="35"/>
  <c r="O234" i="35" s="1"/>
  <c r="P234" i="35"/>
  <c r="Q234" i="35"/>
  <c r="R234" i="35"/>
  <c r="S234" i="35"/>
  <c r="G237" i="35"/>
  <c r="H237" i="35"/>
  <c r="I237" i="35"/>
  <c r="K237" i="35"/>
  <c r="O237" i="35" s="1"/>
  <c r="L237" i="35"/>
  <c r="M237" i="35"/>
  <c r="N237" i="35"/>
  <c r="P237" i="35"/>
  <c r="T237" i="35" s="1"/>
  <c r="Q237" i="35"/>
  <c r="R237" i="35"/>
  <c r="S237" i="35"/>
  <c r="G240" i="35"/>
  <c r="J240" i="35" s="1"/>
  <c r="H240" i="35"/>
  <c r="I240" i="35"/>
  <c r="K240" i="35"/>
  <c r="L240" i="35"/>
  <c r="O240" i="35" s="1"/>
  <c r="M240" i="35"/>
  <c r="N240" i="35"/>
  <c r="P240" i="35"/>
  <c r="Q240" i="35"/>
  <c r="T240" i="35" s="1"/>
  <c r="R240" i="35"/>
  <c r="S240" i="35"/>
  <c r="G275" i="35"/>
  <c r="H275" i="35"/>
  <c r="I275" i="35"/>
  <c r="G278" i="35"/>
  <c r="H278" i="35"/>
  <c r="I278" i="35"/>
  <c r="J278" i="35" s="1"/>
  <c r="K278" i="35"/>
  <c r="L278" i="35"/>
  <c r="M278" i="35"/>
  <c r="N278" i="35"/>
  <c r="O278" i="35" s="1"/>
  <c r="P278" i="35"/>
  <c r="Q278" i="35"/>
  <c r="R278" i="35"/>
  <c r="S278" i="35"/>
  <c r="T278" i="35" s="1"/>
  <c r="G281" i="35"/>
  <c r="H281" i="35"/>
  <c r="I281" i="35"/>
  <c r="K281" i="35"/>
  <c r="L281" i="35"/>
  <c r="M281" i="35"/>
  <c r="N281" i="35"/>
  <c r="P281" i="35"/>
  <c r="Q281" i="35"/>
  <c r="R281" i="35"/>
  <c r="S281" i="35"/>
  <c r="G284" i="35"/>
  <c r="H284" i="35"/>
  <c r="I284" i="35"/>
  <c r="K284" i="35"/>
  <c r="L284" i="35"/>
  <c r="M284" i="35"/>
  <c r="N284" i="35"/>
  <c r="P284" i="35"/>
  <c r="Q284" i="35"/>
  <c r="R284" i="35"/>
  <c r="S284" i="35"/>
  <c r="G287" i="35"/>
  <c r="H287" i="35"/>
  <c r="I287" i="35"/>
  <c r="K287" i="35"/>
  <c r="L287" i="35"/>
  <c r="M287" i="35"/>
  <c r="N287" i="35"/>
  <c r="P287" i="35"/>
  <c r="Q287" i="35"/>
  <c r="R287" i="35"/>
  <c r="S287" i="35"/>
  <c r="G290" i="35"/>
  <c r="H290" i="35"/>
  <c r="I290" i="35"/>
  <c r="K290" i="35"/>
  <c r="L290" i="35"/>
  <c r="M290" i="35"/>
  <c r="N290" i="35"/>
  <c r="P290" i="35"/>
  <c r="Q290" i="35"/>
  <c r="R290" i="35"/>
  <c r="S290" i="35"/>
  <c r="G293" i="35"/>
  <c r="H293" i="35"/>
  <c r="I293" i="35"/>
  <c r="K293" i="35"/>
  <c r="L293" i="35"/>
  <c r="M293" i="35"/>
  <c r="N293" i="35"/>
  <c r="P293" i="35"/>
  <c r="Q293" i="35"/>
  <c r="R293" i="35"/>
  <c r="S293" i="35"/>
  <c r="G299" i="35"/>
  <c r="H299" i="35"/>
  <c r="I299" i="35"/>
  <c r="K299" i="35"/>
  <c r="L299" i="35"/>
  <c r="M299" i="35"/>
  <c r="N299" i="35"/>
  <c r="P299" i="35"/>
  <c r="Q299" i="35"/>
  <c r="R299" i="35"/>
  <c r="S299" i="35"/>
  <c r="G302" i="35"/>
  <c r="H302" i="35"/>
  <c r="I302" i="35"/>
  <c r="K302" i="35"/>
  <c r="L302" i="35"/>
  <c r="M302" i="35"/>
  <c r="N302" i="35"/>
  <c r="P302" i="35"/>
  <c r="Q302" i="35"/>
  <c r="R302" i="35"/>
  <c r="S302" i="35"/>
  <c r="G305" i="35"/>
  <c r="H305" i="35"/>
  <c r="I305" i="35"/>
  <c r="K305" i="35"/>
  <c r="L305" i="35"/>
  <c r="M305" i="35"/>
  <c r="N305" i="35"/>
  <c r="P305" i="35"/>
  <c r="Q305" i="35"/>
  <c r="R305" i="35"/>
  <c r="S305" i="35"/>
  <c r="G308" i="35"/>
  <c r="H308" i="35"/>
  <c r="I308" i="35"/>
  <c r="K308" i="35"/>
  <c r="O308" i="35" s="1"/>
  <c r="L308" i="35"/>
  <c r="M308" i="35"/>
  <c r="N308" i="35"/>
  <c r="P308" i="35"/>
  <c r="T308" i="35" s="1"/>
  <c r="Q308" i="35"/>
  <c r="R308" i="35"/>
  <c r="S308" i="35"/>
  <c r="G311" i="35"/>
  <c r="J311" i="35" s="1"/>
  <c r="H311" i="35"/>
  <c r="I311" i="35"/>
  <c r="K311" i="35"/>
  <c r="L311" i="35"/>
  <c r="O311" i="35" s="1"/>
  <c r="M311" i="35"/>
  <c r="N311" i="35"/>
  <c r="P311" i="35"/>
  <c r="Q311" i="35"/>
  <c r="T311" i="35" s="1"/>
  <c r="R311" i="35"/>
  <c r="S311" i="35"/>
  <c r="G314" i="35"/>
  <c r="H314" i="35"/>
  <c r="J314" i="35" s="1"/>
  <c r="I314" i="35"/>
  <c r="K314" i="35"/>
  <c r="L314" i="35"/>
  <c r="M314" i="35"/>
  <c r="O314" i="35" s="1"/>
  <c r="N314" i="35"/>
  <c r="P314" i="35"/>
  <c r="Q314" i="35"/>
  <c r="R314" i="35"/>
  <c r="T314" i="35" s="1"/>
  <c r="S314" i="35"/>
  <c r="G317" i="35"/>
  <c r="H317" i="35"/>
  <c r="I317" i="35"/>
  <c r="J317" i="35" s="1"/>
  <c r="K317" i="35"/>
  <c r="L317" i="35"/>
  <c r="M317" i="35"/>
  <c r="N317" i="35"/>
  <c r="P317" i="35"/>
  <c r="Q317" i="35"/>
  <c r="R317" i="35"/>
  <c r="S317" i="35"/>
  <c r="G320" i="35"/>
  <c r="H320" i="35"/>
  <c r="I320" i="35"/>
  <c r="K320" i="35"/>
  <c r="O320" i="35" s="1"/>
  <c r="L320" i="35"/>
  <c r="M320" i="35"/>
  <c r="N320" i="35"/>
  <c r="P320" i="35"/>
  <c r="T320" i="35" s="1"/>
  <c r="Q320" i="35"/>
  <c r="R320" i="35"/>
  <c r="S320" i="35"/>
  <c r="G323" i="35"/>
  <c r="J323" i="35" s="1"/>
  <c r="H323" i="35"/>
  <c r="I323" i="35"/>
  <c r="K323" i="35"/>
  <c r="L323" i="35"/>
  <c r="O323" i="35" s="1"/>
  <c r="M323" i="35"/>
  <c r="N323" i="35"/>
  <c r="P323" i="35"/>
  <c r="Q323" i="35"/>
  <c r="T323" i="35" s="1"/>
  <c r="R323" i="35"/>
  <c r="S323" i="35"/>
  <c r="G326" i="35"/>
  <c r="H326" i="35"/>
  <c r="J326" i="35" s="1"/>
  <c r="I326" i="35"/>
  <c r="K326" i="35"/>
  <c r="L326" i="35"/>
  <c r="M326" i="35"/>
  <c r="O326" i="35" s="1"/>
  <c r="N326" i="35"/>
  <c r="P326" i="35"/>
  <c r="Q326" i="35"/>
  <c r="R326" i="35"/>
  <c r="T326" i="35" s="1"/>
  <c r="S326" i="35"/>
  <c r="G363" i="35"/>
  <c r="H363" i="35"/>
  <c r="I363" i="35"/>
  <c r="G366" i="35"/>
  <c r="H366" i="35"/>
  <c r="I366" i="35"/>
  <c r="K366" i="35"/>
  <c r="O366" i="35" s="1"/>
  <c r="L366" i="35"/>
  <c r="M366" i="35"/>
  <c r="N366" i="35"/>
  <c r="P366" i="35"/>
  <c r="T366" i="35" s="1"/>
  <c r="Q366" i="35"/>
  <c r="R366" i="35"/>
  <c r="S366" i="35"/>
  <c r="G369" i="35"/>
  <c r="H369" i="35"/>
  <c r="I369" i="35"/>
  <c r="K369" i="35"/>
  <c r="L369" i="35"/>
  <c r="M369" i="35"/>
  <c r="N369" i="35"/>
  <c r="P369" i="35"/>
  <c r="Q369" i="35"/>
  <c r="R369" i="35"/>
  <c r="G372" i="35"/>
  <c r="H372" i="35"/>
  <c r="I372" i="35"/>
  <c r="K372" i="35"/>
  <c r="L372" i="35"/>
  <c r="M372" i="35"/>
  <c r="N372" i="35"/>
  <c r="P372" i="35"/>
  <c r="Q372" i="35"/>
  <c r="R372" i="35"/>
  <c r="S372" i="35"/>
  <c r="G375" i="35"/>
  <c r="H375" i="35"/>
  <c r="I375" i="35"/>
  <c r="K375" i="35"/>
  <c r="L375" i="35"/>
  <c r="M375" i="35"/>
  <c r="N375" i="35"/>
  <c r="P375" i="35"/>
  <c r="Q375" i="35"/>
  <c r="R375" i="35"/>
  <c r="S375" i="35"/>
  <c r="G378" i="35"/>
  <c r="H378" i="35"/>
  <c r="I378" i="35"/>
  <c r="K378" i="35"/>
  <c r="L378" i="35"/>
  <c r="M378" i="35"/>
  <c r="N378" i="35"/>
  <c r="P378" i="35"/>
  <c r="Q378" i="35"/>
  <c r="R378" i="35"/>
  <c r="S378" i="35"/>
  <c r="G381" i="35"/>
  <c r="H381" i="35"/>
  <c r="I381" i="35"/>
  <c r="K381" i="35"/>
  <c r="L381" i="35"/>
  <c r="M381" i="35"/>
  <c r="N381" i="35"/>
  <c r="P381" i="35"/>
  <c r="Q381" i="35"/>
  <c r="R381" i="35"/>
  <c r="S381" i="35"/>
  <c r="G387" i="35"/>
  <c r="H387" i="35"/>
  <c r="I387" i="35"/>
  <c r="K387" i="35"/>
  <c r="L387" i="35"/>
  <c r="M387" i="35"/>
  <c r="N387" i="35"/>
  <c r="P387" i="35"/>
  <c r="Q387" i="35"/>
  <c r="R387" i="35"/>
  <c r="S387" i="35"/>
  <c r="G390" i="35"/>
  <c r="H390" i="35"/>
  <c r="I390" i="35"/>
  <c r="K390" i="35"/>
  <c r="L390" i="35"/>
  <c r="M390" i="35"/>
  <c r="N390" i="35"/>
  <c r="P390" i="35"/>
  <c r="Q390" i="35"/>
  <c r="R390" i="35"/>
  <c r="S390" i="35"/>
  <c r="G393" i="35"/>
  <c r="H393" i="35"/>
  <c r="I393" i="35"/>
  <c r="K393" i="35"/>
  <c r="L393" i="35"/>
  <c r="M393" i="35"/>
  <c r="N393" i="35"/>
  <c r="P393" i="35"/>
  <c r="Q393" i="35"/>
  <c r="R393" i="35"/>
  <c r="S393" i="35"/>
  <c r="G396" i="35"/>
  <c r="H396" i="35"/>
  <c r="J396" i="35" s="1"/>
  <c r="I396" i="35"/>
  <c r="K396" i="35"/>
  <c r="L396" i="35"/>
  <c r="M396" i="35"/>
  <c r="O396" i="35" s="1"/>
  <c r="N396" i="35"/>
  <c r="P396" i="35"/>
  <c r="Q396" i="35"/>
  <c r="R396" i="35"/>
  <c r="T396" i="35" s="1"/>
  <c r="S396" i="35"/>
  <c r="G402" i="35"/>
  <c r="H402" i="35"/>
  <c r="I402" i="35"/>
  <c r="J402" i="35" s="1"/>
  <c r="K402" i="35"/>
  <c r="L402" i="35"/>
  <c r="M402" i="35"/>
  <c r="N402" i="35"/>
  <c r="O402" i="35" s="1"/>
  <c r="P402" i="35"/>
  <c r="Q402" i="35"/>
  <c r="R402" i="35"/>
  <c r="S402" i="35"/>
  <c r="G405" i="35"/>
  <c r="H405" i="35"/>
  <c r="I405" i="35"/>
  <c r="K405" i="35"/>
  <c r="L405" i="35"/>
  <c r="M405" i="35"/>
  <c r="N405" i="35"/>
  <c r="P405" i="35"/>
  <c r="T405" i="35" s="1"/>
  <c r="Q405" i="35"/>
  <c r="R405" i="35"/>
  <c r="S405" i="35"/>
  <c r="G408" i="35"/>
  <c r="J408" i="35" s="1"/>
  <c r="H408" i="35"/>
  <c r="I408" i="35"/>
  <c r="K408" i="35"/>
  <c r="L408" i="35"/>
  <c r="O408" i="35" s="1"/>
  <c r="M408" i="35"/>
  <c r="N408" i="35"/>
  <c r="P408" i="35"/>
  <c r="Q408" i="35"/>
  <c r="R408" i="35"/>
  <c r="S408" i="35"/>
  <c r="G411" i="35"/>
  <c r="H411" i="35"/>
  <c r="J411" i="35" s="1"/>
  <c r="I411" i="35"/>
  <c r="K411" i="35"/>
  <c r="L411" i="35"/>
  <c r="M411" i="35"/>
  <c r="N411" i="35"/>
  <c r="P411" i="35"/>
  <c r="Q411" i="35"/>
  <c r="R411" i="35"/>
  <c r="T411" i="35" s="1"/>
  <c r="S411" i="35"/>
  <c r="G414" i="35"/>
  <c r="H414" i="35"/>
  <c r="I414" i="35"/>
  <c r="J414" i="35" s="1"/>
  <c r="K414" i="35"/>
  <c r="L414" i="35"/>
  <c r="M414" i="35"/>
  <c r="N414" i="35"/>
  <c r="P414" i="35"/>
  <c r="Q414" i="35"/>
  <c r="R414" i="35"/>
  <c r="S414" i="35"/>
  <c r="T414" i="35" s="1"/>
  <c r="G449" i="35"/>
  <c r="H449" i="35"/>
  <c r="I449" i="35"/>
  <c r="G452" i="35"/>
  <c r="J452" i="35" s="1"/>
  <c r="H452" i="35"/>
  <c r="I452" i="35"/>
  <c r="K452" i="35"/>
  <c r="L452" i="35"/>
  <c r="M452" i="35"/>
  <c r="N452" i="35"/>
  <c r="P452" i="35"/>
  <c r="Q452" i="35"/>
  <c r="T452" i="35" s="1"/>
  <c r="R452" i="35"/>
  <c r="S452" i="35"/>
  <c r="G455" i="35"/>
  <c r="H455" i="35"/>
  <c r="I455" i="35"/>
  <c r="K455" i="35"/>
  <c r="M455" i="35"/>
  <c r="N455" i="35"/>
  <c r="P455" i="35"/>
  <c r="Q455" i="35"/>
  <c r="R455" i="35"/>
  <c r="S455" i="35"/>
  <c r="G461" i="35"/>
  <c r="H461" i="35"/>
  <c r="I461" i="35"/>
  <c r="K461" i="35"/>
  <c r="L461" i="35"/>
  <c r="M461" i="35"/>
  <c r="N461" i="35"/>
  <c r="P461" i="35"/>
  <c r="Q461" i="35"/>
  <c r="R461" i="35"/>
  <c r="S461" i="35"/>
  <c r="G464" i="35"/>
  <c r="H464" i="35"/>
  <c r="I464" i="35"/>
  <c r="K464" i="35"/>
  <c r="L464" i="35"/>
  <c r="M464" i="35"/>
  <c r="N464" i="35"/>
  <c r="P464" i="35"/>
  <c r="Q464" i="35"/>
  <c r="R464" i="35"/>
  <c r="S464" i="35"/>
  <c r="G467" i="35"/>
  <c r="H467" i="35"/>
  <c r="I467" i="35"/>
  <c r="K467" i="35"/>
  <c r="L467" i="35"/>
  <c r="M467" i="35"/>
  <c r="N467" i="35"/>
  <c r="P467" i="35"/>
  <c r="Q467" i="35"/>
  <c r="R467" i="35"/>
  <c r="S467" i="35"/>
  <c r="G473" i="35"/>
  <c r="H473" i="35"/>
  <c r="I473" i="35"/>
  <c r="K473" i="35"/>
  <c r="L473" i="35"/>
  <c r="M473" i="35"/>
  <c r="N473" i="35"/>
  <c r="P473" i="35"/>
  <c r="Q473" i="35"/>
  <c r="R473" i="35"/>
  <c r="S473" i="35"/>
  <c r="K475" i="35"/>
  <c r="K474" i="35" s="1"/>
  <c r="G476" i="35"/>
  <c r="H476" i="35"/>
  <c r="I476" i="35"/>
  <c r="K476" i="35"/>
  <c r="L476" i="35"/>
  <c r="M476" i="35"/>
  <c r="N476" i="35"/>
  <c r="P476" i="35"/>
  <c r="Q476" i="35"/>
  <c r="R476" i="35"/>
  <c r="S476" i="35"/>
  <c r="G479" i="35"/>
  <c r="H479" i="35"/>
  <c r="I479" i="35"/>
  <c r="K479" i="35"/>
  <c r="L479" i="35"/>
  <c r="M479" i="35"/>
  <c r="N479" i="35"/>
  <c r="P479" i="35"/>
  <c r="Q479" i="35"/>
  <c r="R479" i="35"/>
  <c r="S479" i="35"/>
  <c r="G482" i="35"/>
  <c r="J482" i="35" s="1"/>
  <c r="H482" i="35"/>
  <c r="I482" i="35"/>
  <c r="K482" i="35"/>
  <c r="L482" i="35"/>
  <c r="O482" i="35" s="1"/>
  <c r="M482" i="35"/>
  <c r="N482" i="35"/>
  <c r="P482" i="35"/>
  <c r="Q482" i="35"/>
  <c r="T482" i="35" s="1"/>
  <c r="R482" i="35"/>
  <c r="S482" i="35"/>
  <c r="G488" i="35"/>
  <c r="H488" i="35"/>
  <c r="J488" i="35" s="1"/>
  <c r="I488" i="35"/>
  <c r="K488" i="35"/>
  <c r="L488" i="35"/>
  <c r="M488" i="35"/>
  <c r="O488" i="35" s="1"/>
  <c r="N488" i="35"/>
  <c r="P488" i="35"/>
  <c r="Q488" i="35"/>
  <c r="R488" i="35"/>
  <c r="T488" i="35" s="1"/>
  <c r="S488" i="35"/>
  <c r="G491" i="35"/>
  <c r="H491" i="35"/>
  <c r="I491" i="35"/>
  <c r="J491" i="35" s="1"/>
  <c r="K491" i="35"/>
  <c r="L491" i="35"/>
  <c r="M491" i="35"/>
  <c r="N491" i="35"/>
  <c r="P491" i="35"/>
  <c r="Q491" i="35"/>
  <c r="R491" i="35"/>
  <c r="S491" i="35"/>
  <c r="G494" i="35"/>
  <c r="H494" i="35"/>
  <c r="I494" i="35"/>
  <c r="K494" i="35"/>
  <c r="O494" i="35" s="1"/>
  <c r="L494" i="35"/>
  <c r="M494" i="35"/>
  <c r="N494" i="35"/>
  <c r="P494" i="35"/>
  <c r="T494" i="35" s="1"/>
  <c r="Q494" i="35"/>
  <c r="R494" i="35"/>
  <c r="S494" i="35"/>
  <c r="G497" i="35"/>
  <c r="J497" i="35" s="1"/>
  <c r="H497" i="35"/>
  <c r="I497" i="35"/>
  <c r="K497" i="35"/>
  <c r="L497" i="35"/>
  <c r="O497" i="35" s="1"/>
  <c r="M497" i="35"/>
  <c r="N497" i="35"/>
  <c r="P497" i="35"/>
  <c r="Q497" i="35"/>
  <c r="T497" i="35" s="1"/>
  <c r="R497" i="35"/>
  <c r="S497" i="35"/>
  <c r="G500" i="35"/>
  <c r="H500" i="35"/>
  <c r="J500" i="35" s="1"/>
  <c r="I500" i="35"/>
  <c r="K500" i="35"/>
  <c r="L500" i="35"/>
  <c r="M500" i="35"/>
  <c r="O500" i="35" s="1"/>
  <c r="N500" i="35"/>
  <c r="P500" i="35"/>
  <c r="Q500" i="35"/>
  <c r="R500" i="35"/>
  <c r="T500" i="35" s="1"/>
  <c r="S500" i="35"/>
  <c r="G535" i="35"/>
  <c r="H535" i="35"/>
  <c r="I535" i="35"/>
  <c r="G538" i="35"/>
  <c r="H538" i="35"/>
  <c r="I538" i="35"/>
  <c r="K538" i="35"/>
  <c r="O538" i="35" s="1"/>
  <c r="L538" i="35"/>
  <c r="M538" i="35"/>
  <c r="N538" i="35"/>
  <c r="P538" i="35"/>
  <c r="T538" i="35" s="1"/>
  <c r="Q538" i="35"/>
  <c r="R538" i="35"/>
  <c r="S538" i="35"/>
  <c r="G541" i="35"/>
  <c r="H541" i="35"/>
  <c r="K541" i="35"/>
  <c r="L541" i="35"/>
  <c r="M541" i="35"/>
  <c r="N541" i="35"/>
  <c r="P541" i="35"/>
  <c r="Q541" i="35"/>
  <c r="R541" i="35"/>
  <c r="S541" i="35"/>
  <c r="G544" i="35"/>
  <c r="H544" i="35"/>
  <c r="I544" i="35"/>
  <c r="K544" i="35"/>
  <c r="L544" i="35"/>
  <c r="M544" i="35"/>
  <c r="N544" i="35"/>
  <c r="P544" i="35"/>
  <c r="Q544" i="35"/>
  <c r="R544" i="35"/>
  <c r="S544" i="35"/>
  <c r="G547" i="35"/>
  <c r="H547" i="35"/>
  <c r="I547" i="35"/>
  <c r="K547" i="35"/>
  <c r="L547" i="35"/>
  <c r="M547" i="35"/>
  <c r="N547" i="35"/>
  <c r="P547" i="35"/>
  <c r="Q547" i="35"/>
  <c r="R547" i="35"/>
  <c r="S547" i="35"/>
  <c r="G550" i="35"/>
  <c r="H550" i="35"/>
  <c r="I550" i="35"/>
  <c r="K550" i="35"/>
  <c r="L550" i="35"/>
  <c r="M550" i="35"/>
  <c r="N550" i="35"/>
  <c r="P550" i="35"/>
  <c r="Q550" i="35"/>
  <c r="R550" i="35"/>
  <c r="S550" i="35"/>
  <c r="G553" i="35"/>
  <c r="H553" i="35"/>
  <c r="I553" i="35"/>
  <c r="K553" i="35"/>
  <c r="L553" i="35"/>
  <c r="M553" i="35"/>
  <c r="N553" i="35"/>
  <c r="P553" i="35"/>
  <c r="Q553" i="35"/>
  <c r="R553" i="35"/>
  <c r="S553" i="35"/>
  <c r="G559" i="35"/>
  <c r="H559" i="35"/>
  <c r="I559" i="35"/>
  <c r="K559" i="35"/>
  <c r="L559" i="35"/>
  <c r="M559" i="35"/>
  <c r="N559" i="35"/>
  <c r="P559" i="35"/>
  <c r="Q559" i="35"/>
  <c r="R559" i="35"/>
  <c r="S559" i="35"/>
  <c r="G562" i="35"/>
  <c r="H562" i="35"/>
  <c r="I562" i="35"/>
  <c r="K562" i="35"/>
  <c r="L562" i="35"/>
  <c r="M562" i="35"/>
  <c r="N562" i="35"/>
  <c r="P562" i="35"/>
  <c r="Q562" i="35"/>
  <c r="R562" i="35"/>
  <c r="S562" i="35"/>
  <c r="G565" i="35"/>
  <c r="H565" i="35"/>
  <c r="I565" i="35"/>
  <c r="K565" i="35"/>
  <c r="L565" i="35"/>
  <c r="M565" i="35"/>
  <c r="N565" i="35"/>
  <c r="P565" i="35"/>
  <c r="Q565" i="35"/>
  <c r="R565" i="35"/>
  <c r="S565" i="35"/>
  <c r="G568" i="35"/>
  <c r="H568" i="35"/>
  <c r="J568" i="35" s="1"/>
  <c r="I568" i="35"/>
  <c r="K568" i="35"/>
  <c r="L568" i="35"/>
  <c r="M568" i="35"/>
  <c r="O568" i="35" s="1"/>
  <c r="N568" i="35"/>
  <c r="P568" i="35"/>
  <c r="Q568" i="35"/>
  <c r="R568" i="35"/>
  <c r="T568" i="35" s="1"/>
  <c r="S568" i="35"/>
  <c r="G571" i="35"/>
  <c r="H571" i="35"/>
  <c r="I571" i="35"/>
  <c r="J571" i="35" s="1"/>
  <c r="K571" i="35"/>
  <c r="L571" i="35"/>
  <c r="M571" i="35"/>
  <c r="N571" i="35"/>
  <c r="O571" i="35" s="1"/>
  <c r="P571" i="35"/>
  <c r="Q571" i="35"/>
  <c r="R571" i="35"/>
  <c r="S571" i="35"/>
  <c r="T571" i="35" s="1"/>
  <c r="G574" i="35"/>
  <c r="H574" i="35"/>
  <c r="I574" i="35"/>
  <c r="K574" i="35"/>
  <c r="O574" i="35" s="1"/>
  <c r="L574" i="35"/>
  <c r="M574" i="35"/>
  <c r="N574" i="35"/>
  <c r="P574" i="35"/>
  <c r="T574" i="35" s="1"/>
  <c r="Q574" i="35"/>
  <c r="R574" i="35"/>
  <c r="S574" i="35"/>
  <c r="G577" i="35"/>
  <c r="J577" i="35" s="1"/>
  <c r="H577" i="35"/>
  <c r="I577" i="35"/>
  <c r="K577" i="35"/>
  <c r="L577" i="35"/>
  <c r="M577" i="35"/>
  <c r="N577" i="35"/>
  <c r="P577" i="35"/>
  <c r="Q577" i="35"/>
  <c r="T577" i="35" s="1"/>
  <c r="R577" i="35"/>
  <c r="S577" i="35"/>
  <c r="G580" i="35"/>
  <c r="H580" i="35"/>
  <c r="J580" i="35" s="1"/>
  <c r="I580" i="35"/>
  <c r="K580" i="35"/>
  <c r="L580" i="35"/>
  <c r="M580" i="35"/>
  <c r="O580" i="35" s="1"/>
  <c r="N580" i="35"/>
  <c r="P580" i="35"/>
  <c r="Q580" i="35"/>
  <c r="R580" i="35"/>
  <c r="T580" i="35" s="1"/>
  <c r="S580" i="35"/>
  <c r="G583" i="35"/>
  <c r="H583" i="35"/>
  <c r="I583" i="35"/>
  <c r="J583" i="35" s="1"/>
  <c r="K583" i="35"/>
  <c r="L583" i="35"/>
  <c r="M583" i="35"/>
  <c r="N583" i="35"/>
  <c r="P583" i="35"/>
  <c r="Q583" i="35"/>
  <c r="R583" i="35"/>
  <c r="S583" i="35"/>
  <c r="G586" i="35"/>
  <c r="H586" i="35"/>
  <c r="I586" i="35"/>
  <c r="J586" i="35" s="1"/>
  <c r="K586" i="35"/>
  <c r="O586" i="35" s="1"/>
  <c r="L586" i="35"/>
  <c r="M586" i="35"/>
  <c r="N586" i="35"/>
  <c r="P586" i="35"/>
  <c r="T586" i="35" s="1"/>
  <c r="Q586" i="35"/>
  <c r="R586" i="35"/>
  <c r="S586" i="35"/>
  <c r="G620" i="35"/>
  <c r="H620" i="35"/>
  <c r="I620" i="35"/>
  <c r="G623" i="35"/>
  <c r="H623" i="35"/>
  <c r="J623" i="35" s="1"/>
  <c r="I623" i="35"/>
  <c r="K623" i="35"/>
  <c r="L623" i="35"/>
  <c r="M623" i="35"/>
  <c r="O623" i="35" s="1"/>
  <c r="N623" i="35"/>
  <c r="P623" i="35"/>
  <c r="Q623" i="35"/>
  <c r="G626" i="35"/>
  <c r="H626" i="35"/>
  <c r="I626" i="35"/>
  <c r="K626" i="35"/>
  <c r="L626" i="35"/>
  <c r="P626" i="35"/>
  <c r="Q626" i="35"/>
  <c r="R626" i="35"/>
  <c r="S626" i="35"/>
  <c r="G629" i="35"/>
  <c r="H629" i="35"/>
  <c r="I629" i="35"/>
  <c r="K629" i="35"/>
  <c r="L629" i="35"/>
  <c r="M629" i="35"/>
  <c r="N629" i="35"/>
  <c r="P629" i="35"/>
  <c r="Q629" i="35"/>
  <c r="R629" i="35"/>
  <c r="S629" i="35"/>
  <c r="G632" i="35"/>
  <c r="H632" i="35"/>
  <c r="I632" i="35"/>
  <c r="K632" i="35"/>
  <c r="L632" i="35"/>
  <c r="M632" i="35"/>
  <c r="N632" i="35"/>
  <c r="P632" i="35"/>
  <c r="Q632" i="35"/>
  <c r="R632" i="35"/>
  <c r="S632" i="35"/>
  <c r="G635" i="35"/>
  <c r="H635" i="35"/>
  <c r="I635" i="35"/>
  <c r="K635" i="35"/>
  <c r="L635" i="35"/>
  <c r="M635" i="35"/>
  <c r="N635" i="35"/>
  <c r="P635" i="35"/>
  <c r="Q635" i="35"/>
  <c r="R635" i="35"/>
  <c r="S635" i="35"/>
  <c r="G638" i="35"/>
  <c r="H638" i="35"/>
  <c r="I638" i="35"/>
  <c r="K638" i="35"/>
  <c r="L638" i="35"/>
  <c r="M638" i="35"/>
  <c r="N638" i="35"/>
  <c r="P638" i="35"/>
  <c r="Q638" i="35"/>
  <c r="R638" i="35"/>
  <c r="S638" i="35"/>
  <c r="G644" i="35"/>
  <c r="H644" i="35"/>
  <c r="I644" i="35"/>
  <c r="K644" i="35"/>
  <c r="L644" i="35"/>
  <c r="M644" i="35"/>
  <c r="N644" i="35"/>
  <c r="P644" i="35"/>
  <c r="Q644" i="35"/>
  <c r="R644" i="35"/>
  <c r="S644" i="35"/>
  <c r="G647" i="35"/>
  <c r="H647" i="35"/>
  <c r="I647" i="35"/>
  <c r="K647" i="35"/>
  <c r="L647" i="35"/>
  <c r="M647" i="35"/>
  <c r="N647" i="35"/>
  <c r="P647" i="35"/>
  <c r="Q647" i="35"/>
  <c r="R647" i="35"/>
  <c r="S647" i="35"/>
  <c r="G650" i="35"/>
  <c r="H650" i="35"/>
  <c r="I650" i="35"/>
  <c r="K650" i="35"/>
  <c r="L650" i="35"/>
  <c r="M650" i="35"/>
  <c r="N650" i="35"/>
  <c r="P650" i="35"/>
  <c r="Q650" i="35"/>
  <c r="R650" i="35"/>
  <c r="S650" i="35"/>
  <c r="G653" i="35"/>
  <c r="H653" i="35"/>
  <c r="I653" i="35"/>
  <c r="J653" i="35" s="1"/>
  <c r="K653" i="35"/>
  <c r="L653" i="35"/>
  <c r="M653" i="35"/>
  <c r="N653" i="35"/>
  <c r="P653" i="35"/>
  <c r="Q653" i="35"/>
  <c r="R653" i="35"/>
  <c r="S653" i="35"/>
  <c r="G656" i="35"/>
  <c r="H656" i="35"/>
  <c r="I656" i="35"/>
  <c r="J656" i="35" s="1"/>
  <c r="K656" i="35"/>
  <c r="O656" i="35" s="1"/>
  <c r="L656" i="35"/>
  <c r="M656" i="35"/>
  <c r="N656" i="35"/>
  <c r="P656" i="35"/>
  <c r="T656" i="35" s="1"/>
  <c r="Q656" i="35"/>
  <c r="R656" i="35"/>
  <c r="S656" i="35"/>
  <c r="G659" i="35"/>
  <c r="J659" i="35" s="1"/>
  <c r="H659" i="35"/>
  <c r="I659" i="35"/>
  <c r="K659" i="35"/>
  <c r="L659" i="35"/>
  <c r="O659" i="35" s="1"/>
  <c r="M659" i="35"/>
  <c r="N659" i="35"/>
  <c r="P659" i="35"/>
  <c r="Q659" i="35"/>
  <c r="T659" i="35" s="1"/>
  <c r="R659" i="35"/>
  <c r="S659" i="35"/>
  <c r="G662" i="35"/>
  <c r="H662" i="35"/>
  <c r="J662" i="35" s="1"/>
  <c r="I662" i="35"/>
  <c r="K662" i="35"/>
  <c r="L662" i="35"/>
  <c r="M662" i="35"/>
  <c r="N662" i="35"/>
  <c r="P662" i="35"/>
  <c r="Q662" i="35"/>
  <c r="R662" i="35"/>
  <c r="T662" i="35" s="1"/>
  <c r="S662" i="35"/>
  <c r="G665" i="35"/>
  <c r="H665" i="35"/>
  <c r="I665" i="35"/>
  <c r="J665" i="35" s="1"/>
  <c r="K665" i="35"/>
  <c r="L665" i="35"/>
  <c r="M665" i="35"/>
  <c r="N665" i="35"/>
  <c r="O665" i="35" s="1"/>
  <c r="P665" i="35"/>
  <c r="Q665" i="35"/>
  <c r="R665" i="35"/>
  <c r="S665" i="35"/>
  <c r="G668" i="35"/>
  <c r="H668" i="35"/>
  <c r="I668" i="35"/>
  <c r="K668" i="35"/>
  <c r="O668" i="35" s="1"/>
  <c r="L668" i="35"/>
  <c r="M668" i="35"/>
  <c r="N668" i="35"/>
  <c r="P668" i="35"/>
  <c r="T668" i="35" s="1"/>
  <c r="Q668" i="35"/>
  <c r="R668" i="35"/>
  <c r="S668" i="35"/>
  <c r="G671" i="35"/>
  <c r="J671" i="35" s="1"/>
  <c r="H671" i="35"/>
  <c r="I671" i="35"/>
  <c r="K671" i="35"/>
  <c r="L671" i="35"/>
  <c r="O671" i="35" s="1"/>
  <c r="M671" i="35"/>
  <c r="N671" i="35"/>
  <c r="P671" i="35"/>
  <c r="Q671" i="35"/>
  <c r="T671" i="35" s="1"/>
  <c r="R671" i="35"/>
  <c r="S671" i="35"/>
  <c r="G181" i="35"/>
  <c r="H181" i="35"/>
  <c r="I181" i="35"/>
  <c r="K181" i="35"/>
  <c r="L181" i="35"/>
  <c r="M181" i="35"/>
  <c r="N181" i="35"/>
  <c r="G267" i="35"/>
  <c r="H267" i="35"/>
  <c r="I267" i="35"/>
  <c r="K267" i="35"/>
  <c r="L267" i="35"/>
  <c r="M267" i="35"/>
  <c r="N267" i="35"/>
  <c r="P267" i="35"/>
  <c r="Q267" i="35"/>
  <c r="R267" i="35"/>
  <c r="S267" i="35"/>
  <c r="K103" i="35"/>
  <c r="L103" i="35"/>
  <c r="M103" i="35"/>
  <c r="N103" i="35"/>
  <c r="P103" i="35"/>
  <c r="Q103" i="35"/>
  <c r="R103" i="35"/>
  <c r="S103" i="35"/>
  <c r="G417" i="35"/>
  <c r="H417" i="35"/>
  <c r="I417" i="35"/>
  <c r="K417" i="35"/>
  <c r="O417" i="35" s="1"/>
  <c r="L417" i="35"/>
  <c r="M417" i="35"/>
  <c r="N417" i="35"/>
  <c r="P417" i="35"/>
  <c r="T417" i="35" s="1"/>
  <c r="Q417" i="35"/>
  <c r="R417" i="35"/>
  <c r="S417" i="35"/>
  <c r="K363" i="35"/>
  <c r="L363" i="35"/>
  <c r="M363" i="35"/>
  <c r="N363" i="35"/>
  <c r="P363" i="35"/>
  <c r="Q363" i="35"/>
  <c r="R363" i="35"/>
  <c r="S363" i="35"/>
  <c r="G503" i="35"/>
  <c r="J503" i="35" s="1"/>
  <c r="H503" i="35"/>
  <c r="I503" i="35"/>
  <c r="K503" i="35"/>
  <c r="L503" i="35"/>
  <c r="O503" i="35" s="1"/>
  <c r="M503" i="35"/>
  <c r="N503" i="35"/>
  <c r="P503" i="35"/>
  <c r="Q503" i="35"/>
  <c r="R503" i="35"/>
  <c r="S503" i="35"/>
  <c r="K449" i="35"/>
  <c r="L449" i="35"/>
  <c r="M449" i="35"/>
  <c r="N449" i="35"/>
  <c r="P449" i="35"/>
  <c r="Q449" i="35"/>
  <c r="R449" i="35"/>
  <c r="S449" i="35"/>
  <c r="H243" i="35"/>
  <c r="L243" i="35"/>
  <c r="O243" i="35" s="1"/>
  <c r="M243" i="35"/>
  <c r="N243" i="35"/>
  <c r="P243" i="35"/>
  <c r="Q243" i="35"/>
  <c r="T243" i="35" s="1"/>
  <c r="R243" i="35"/>
  <c r="S243" i="35"/>
  <c r="G589" i="35"/>
  <c r="H589" i="35"/>
  <c r="J589" i="35" s="1"/>
  <c r="I589" i="35"/>
  <c r="K589" i="35"/>
  <c r="L589" i="35"/>
  <c r="M589" i="35"/>
  <c r="O589" i="35" s="1"/>
  <c r="N589" i="35"/>
  <c r="P589" i="35"/>
  <c r="Q589" i="35"/>
  <c r="R589" i="35"/>
  <c r="T589" i="35" s="1"/>
  <c r="S589" i="35"/>
  <c r="G329" i="35"/>
  <c r="H329" i="35"/>
  <c r="I329" i="35"/>
  <c r="J329" i="35" s="1"/>
  <c r="K329" i="35"/>
  <c r="L329" i="35"/>
  <c r="M329" i="35"/>
  <c r="N329" i="35"/>
  <c r="P329" i="35"/>
  <c r="Q329" i="35"/>
  <c r="R329" i="35"/>
  <c r="S329" i="35"/>
  <c r="G674" i="35"/>
  <c r="H674" i="35"/>
  <c r="I674" i="35"/>
  <c r="K674" i="35"/>
  <c r="O674" i="35" s="1"/>
  <c r="L674" i="35"/>
  <c r="M674" i="35"/>
  <c r="N674" i="35"/>
  <c r="P674" i="35"/>
  <c r="T674" i="35" s="1"/>
  <c r="Q674" i="35"/>
  <c r="R674" i="35"/>
  <c r="S674" i="35"/>
  <c r="L246" i="35"/>
  <c r="M246" i="35"/>
  <c r="N246" i="35"/>
  <c r="P246" i="35"/>
  <c r="Q246" i="35"/>
  <c r="T246" i="35" s="1"/>
  <c r="R246" i="35"/>
  <c r="S246" i="35"/>
  <c r="G332" i="35"/>
  <c r="H332" i="35"/>
  <c r="J332" i="35" s="1"/>
  <c r="I332" i="35"/>
  <c r="K332" i="35"/>
  <c r="L332" i="35"/>
  <c r="M332" i="35"/>
  <c r="N332" i="35"/>
  <c r="P332" i="35"/>
  <c r="Q332" i="35"/>
  <c r="R332" i="35"/>
  <c r="T332" i="35" s="1"/>
  <c r="S332" i="35"/>
  <c r="K189" i="35"/>
  <c r="L189" i="35"/>
  <c r="M189" i="35"/>
  <c r="N189" i="35"/>
  <c r="P189" i="35"/>
  <c r="Q189" i="35"/>
  <c r="R189" i="35"/>
  <c r="S189" i="35"/>
  <c r="K275" i="35"/>
  <c r="L275" i="35"/>
  <c r="M275" i="35"/>
  <c r="N275" i="35"/>
  <c r="P275" i="35"/>
  <c r="Q275" i="35"/>
  <c r="R275" i="35"/>
  <c r="S275" i="35"/>
  <c r="K535" i="35"/>
  <c r="L535" i="35"/>
  <c r="M535" i="35"/>
  <c r="N535" i="35"/>
  <c r="P535" i="35"/>
  <c r="Q535" i="35"/>
  <c r="R535" i="35"/>
  <c r="S535" i="35"/>
  <c r="K620" i="35"/>
  <c r="L620" i="35"/>
  <c r="M620" i="35"/>
  <c r="N620" i="35"/>
  <c r="P620" i="35"/>
  <c r="Q620" i="35"/>
  <c r="R620" i="35"/>
  <c r="S620" i="35"/>
  <c r="S14" i="15"/>
  <c r="T14" i="15" s="1"/>
  <c r="Z14" i="15"/>
  <c r="AA14" i="15" s="1"/>
  <c r="AG14" i="15"/>
  <c r="S15" i="15"/>
  <c r="T15" i="15" s="1"/>
  <c r="Z15" i="15"/>
  <c r="AA15" i="15" s="1"/>
  <c r="AG15" i="15"/>
  <c r="S16" i="15"/>
  <c r="Z16" i="15"/>
  <c r="AA16" i="15" s="1"/>
  <c r="AG16" i="15"/>
  <c r="AH16" i="15" s="1"/>
  <c r="S17" i="15"/>
  <c r="Z17" i="15"/>
  <c r="AA17" i="15" s="1"/>
  <c r="AG17" i="15"/>
  <c r="AH17" i="15" s="1"/>
  <c r="S18" i="15"/>
  <c r="T18" i="15" s="1"/>
  <c r="Z18" i="15"/>
  <c r="AA18" i="15" s="1"/>
  <c r="AG18" i="15"/>
  <c r="AH18" i="15" s="1"/>
  <c r="AJ18" i="15" s="1"/>
  <c r="S19" i="15"/>
  <c r="T19" i="15" s="1"/>
  <c r="Z19" i="15"/>
  <c r="AA19" i="15" s="1"/>
  <c r="AG19" i="15"/>
  <c r="S20" i="15"/>
  <c r="Z20" i="15"/>
  <c r="AA20" i="15" s="1"/>
  <c r="AG20" i="15"/>
  <c r="AH20" i="15" s="1"/>
  <c r="S21" i="15"/>
  <c r="T21" i="15" s="1"/>
  <c r="Z21" i="15"/>
  <c r="AG21" i="15"/>
  <c r="AH21" i="15" s="1"/>
  <c r="S22" i="15"/>
  <c r="T22" i="15" s="1"/>
  <c r="Z22" i="15"/>
  <c r="AA22" i="15" s="1"/>
  <c r="AG22" i="15"/>
  <c r="S23" i="15"/>
  <c r="Z23" i="15"/>
  <c r="AA23" i="15" s="1"/>
  <c r="AG23" i="15"/>
  <c r="AH23" i="15" s="1"/>
  <c r="S24" i="15"/>
  <c r="Z24" i="15"/>
  <c r="AA24" i="15" s="1"/>
  <c r="AG24" i="15"/>
  <c r="AH24" i="15" s="1"/>
  <c r="S25" i="15"/>
  <c r="T25" i="15" s="1"/>
  <c r="Z25" i="15"/>
  <c r="AG25" i="15"/>
  <c r="AH25" i="15" s="1"/>
  <c r="S26" i="15"/>
  <c r="T26" i="15" s="1"/>
  <c r="Z26" i="15"/>
  <c r="AA26" i="15" s="1"/>
  <c r="AG26" i="15"/>
  <c r="S27" i="15"/>
  <c r="Z27" i="15"/>
  <c r="AA27" i="15" s="1"/>
  <c r="AG27" i="15"/>
  <c r="AH27" i="15" s="1"/>
  <c r="S28" i="15"/>
  <c r="Z28" i="15"/>
  <c r="AA28" i="15" s="1"/>
  <c r="AG28" i="15"/>
  <c r="AH28" i="15" s="1"/>
  <c r="S29" i="15"/>
  <c r="T29" i="15" s="1"/>
  <c r="Z29" i="15"/>
  <c r="AA29" i="15" s="1"/>
  <c r="AJ29" i="15" s="1"/>
  <c r="AG29" i="15"/>
  <c r="AH29" i="15" s="1"/>
  <c r="S30" i="15"/>
  <c r="T30" i="15" s="1"/>
  <c r="Z30" i="15"/>
  <c r="AA30" i="15" s="1"/>
  <c r="AG30" i="15"/>
  <c r="S31" i="15"/>
  <c r="Z31" i="15"/>
  <c r="AA31" i="15" s="1"/>
  <c r="AG31" i="15"/>
  <c r="AH31" i="15" s="1"/>
  <c r="S32" i="15"/>
  <c r="Z32" i="15"/>
  <c r="AA32" i="15" s="1"/>
  <c r="AG32" i="15"/>
  <c r="AH32" i="15" s="1"/>
  <c r="A7" i="23"/>
  <c r="M121" i="34"/>
  <c r="M113" i="34"/>
  <c r="M109" i="34"/>
  <c r="M105" i="34"/>
  <c r="M97" i="34"/>
  <c r="M93" i="34"/>
  <c r="M89" i="34"/>
  <c r="M81" i="34"/>
  <c r="M77" i="34"/>
  <c r="M73" i="34"/>
  <c r="M69" i="34"/>
  <c r="M68" i="34"/>
  <c r="M64" i="34"/>
  <c r="M47" i="34"/>
  <c r="M30" i="34"/>
  <c r="M26" i="34"/>
  <c r="M18" i="34"/>
  <c r="M14" i="34"/>
  <c r="M82" i="24"/>
  <c r="M81" i="24"/>
  <c r="M78" i="24"/>
  <c r="M74" i="24"/>
  <c r="M20" i="24"/>
  <c r="BI18" i="23"/>
  <c r="BH18" i="23"/>
  <c r="BG18" i="23"/>
  <c r="BF18" i="23"/>
  <c r="BE18" i="23"/>
  <c r="BD18" i="23"/>
  <c r="BC18" i="23"/>
  <c r="BB18" i="23"/>
  <c r="BA18" i="23"/>
  <c r="AZ18" i="23"/>
  <c r="AY18" i="23"/>
  <c r="AX18" i="23"/>
  <c r="M159" i="23"/>
  <c r="M155" i="23"/>
  <c r="M151" i="23"/>
  <c r="M147" i="23"/>
  <c r="M142" i="23"/>
  <c r="M129" i="23"/>
  <c r="M125" i="23"/>
  <c r="M121" i="23"/>
  <c r="M117" i="23"/>
  <c r="M113" i="23"/>
  <c r="M109" i="23"/>
  <c r="M105" i="23"/>
  <c r="M102" i="23"/>
  <c r="M82" i="23"/>
  <c r="M58" i="23"/>
  <c r="M50" i="23"/>
  <c r="M42" i="23"/>
  <c r="M34" i="23"/>
  <c r="M26" i="23"/>
  <c r="M22" i="23"/>
  <c r="M18" i="23"/>
  <c r="O3" i="83"/>
  <c r="O4" i="83" s="1"/>
  <c r="N4" i="83" s="1"/>
  <c r="A7" i="22"/>
  <c r="R152" i="22"/>
  <c r="S152" i="22" s="1"/>
  <c r="Y152" i="22"/>
  <c r="Z152" i="22" s="1"/>
  <c r="AF152" i="22"/>
  <c r="R151" i="22"/>
  <c r="S151" i="22" s="1"/>
  <c r="Y151" i="22"/>
  <c r="AF151" i="22"/>
  <c r="AG151" i="22" s="1"/>
  <c r="R150" i="22"/>
  <c r="S150" i="22" s="1"/>
  <c r="Y150" i="22"/>
  <c r="AF150" i="22"/>
  <c r="AG150" i="22" s="1"/>
  <c r="R149" i="22"/>
  <c r="S149" i="22" s="1"/>
  <c r="Y149" i="22"/>
  <c r="AF149" i="22"/>
  <c r="AG149" i="22" s="1"/>
  <c r="L149" i="22"/>
  <c r="R148" i="22"/>
  <c r="S148" i="22" s="1"/>
  <c r="Y148" i="22"/>
  <c r="Z148" i="22" s="1"/>
  <c r="AF148" i="22"/>
  <c r="R147" i="22"/>
  <c r="S147" i="22" s="1"/>
  <c r="Y147" i="22"/>
  <c r="AF147" i="22"/>
  <c r="AG147" i="22" s="1"/>
  <c r="R146" i="22"/>
  <c r="Y146" i="22"/>
  <c r="Z146" i="22" s="1"/>
  <c r="AF146" i="22"/>
  <c r="AG146" i="22" s="1"/>
  <c r="R145" i="22"/>
  <c r="S145" i="22" s="1"/>
  <c r="Y145" i="22"/>
  <c r="AF145" i="22"/>
  <c r="AG145" i="22" s="1"/>
  <c r="L145" i="22"/>
  <c r="R144" i="22"/>
  <c r="Y144" i="22"/>
  <c r="Z144" i="22" s="1"/>
  <c r="AF144" i="22"/>
  <c r="AG144" i="22" s="1"/>
  <c r="R143" i="22"/>
  <c r="Y143" i="22"/>
  <c r="Z143" i="22" s="1"/>
  <c r="AF143" i="22"/>
  <c r="AG143" i="22" s="1"/>
  <c r="R142" i="22"/>
  <c r="S142" i="22" s="1"/>
  <c r="Y142" i="22"/>
  <c r="AF142" i="22"/>
  <c r="AG142" i="22" s="1"/>
  <c r="L142" i="22"/>
  <c r="R141" i="22"/>
  <c r="S141" i="22" s="1"/>
  <c r="Y141" i="22"/>
  <c r="Z141" i="22" s="1"/>
  <c r="AF141" i="22"/>
  <c r="AG141" i="22" s="1"/>
  <c r="L141" i="22"/>
  <c r="L72" i="22"/>
  <c r="L56" i="22"/>
  <c r="Y72" i="22"/>
  <c r="Y71" i="22"/>
  <c r="Z71" i="22" s="1"/>
  <c r="Y70" i="22"/>
  <c r="Z70" i="22" s="1"/>
  <c r="Y69" i="22"/>
  <c r="Z69" i="22" s="1"/>
  <c r="Y68" i="22"/>
  <c r="Z68" i="22" s="1"/>
  <c r="Y67" i="22"/>
  <c r="Y66" i="22"/>
  <c r="Y65" i="22"/>
  <c r="Y64" i="22"/>
  <c r="Z64" i="22" s="1"/>
  <c r="Y63" i="22"/>
  <c r="Z63" i="22" s="1"/>
  <c r="Y62" i="22"/>
  <c r="Z62" i="22" s="1"/>
  <c r="Y61" i="22"/>
  <c r="Y60" i="22"/>
  <c r="Z60" i="22" s="1"/>
  <c r="Y59" i="22"/>
  <c r="Y58" i="22"/>
  <c r="Z58" i="22" s="1"/>
  <c r="Y57" i="22"/>
  <c r="Z57" i="22" s="1"/>
  <c r="Y56" i="22"/>
  <c r="Y55" i="22"/>
  <c r="Z55" i="22" s="1"/>
  <c r="AF71" i="22"/>
  <c r="AG71" i="22" s="1"/>
  <c r="R71" i="22"/>
  <c r="AF70" i="22"/>
  <c r="AG70" i="22" s="1"/>
  <c r="R70" i="22"/>
  <c r="AF69" i="22"/>
  <c r="AG69" i="22" s="1"/>
  <c r="R69" i="22"/>
  <c r="S69" i="22" s="1"/>
  <c r="AF68" i="22"/>
  <c r="AG68" i="22" s="1"/>
  <c r="R68" i="22"/>
  <c r="AF67" i="22"/>
  <c r="AG67" i="22" s="1"/>
  <c r="R67" i="22"/>
  <c r="S67" i="22" s="1"/>
  <c r="AF66" i="22"/>
  <c r="AG66" i="22" s="1"/>
  <c r="R66" i="22"/>
  <c r="S66" i="22" s="1"/>
  <c r="AF65" i="22"/>
  <c r="AG65" i="22" s="1"/>
  <c r="R65" i="22"/>
  <c r="S65" i="22" s="1"/>
  <c r="AF64" i="22"/>
  <c r="AG64" i="22" s="1"/>
  <c r="R64" i="22"/>
  <c r="AF63" i="22"/>
  <c r="AG63" i="22" s="1"/>
  <c r="R63" i="22"/>
  <c r="S63" i="22" s="1"/>
  <c r="AF62" i="22"/>
  <c r="R62" i="22"/>
  <c r="S62" i="22" s="1"/>
  <c r="AF61" i="22"/>
  <c r="AG61" i="22" s="1"/>
  <c r="R61" i="22"/>
  <c r="S61" i="22" s="1"/>
  <c r="AF60" i="22"/>
  <c r="AG60" i="22" s="1"/>
  <c r="R60" i="22"/>
  <c r="AF59" i="22"/>
  <c r="AG59" i="22" s="1"/>
  <c r="R59" i="22"/>
  <c r="S59" i="22" s="1"/>
  <c r="AF58" i="22"/>
  <c r="AG58" i="22" s="1"/>
  <c r="R58" i="22"/>
  <c r="AF57" i="22"/>
  <c r="AG57" i="22" s="1"/>
  <c r="R57" i="22"/>
  <c r="S57" i="22" s="1"/>
  <c r="AF56" i="22"/>
  <c r="AG56" i="22" s="1"/>
  <c r="R56" i="22"/>
  <c r="S56" i="22" s="1"/>
  <c r="AF55" i="22"/>
  <c r="R55" i="22"/>
  <c r="S55" i="22" s="1"/>
  <c r="R72" i="22"/>
  <c r="S72" i="22" s="1"/>
  <c r="AF72" i="22"/>
  <c r="AG72" i="22" s="1"/>
  <c r="L161" i="22"/>
  <c r="L157" i="22"/>
  <c r="L154" i="22"/>
  <c r="L137" i="22"/>
  <c r="L133" i="22"/>
  <c r="L122" i="22"/>
  <c r="L114" i="22"/>
  <c r="L110" i="22"/>
  <c r="L106" i="22"/>
  <c r="L98" i="22"/>
  <c r="L95" i="22"/>
  <c r="L94" i="22"/>
  <c r="L90" i="22"/>
  <c r="L43" i="22"/>
  <c r="L32" i="22"/>
  <c r="L28" i="22"/>
  <c r="L25" i="22"/>
  <c r="L20" i="22"/>
  <c r="L16" i="22"/>
  <c r="Y3" i="83"/>
  <c r="W3" i="83"/>
  <c r="X3" i="83" s="1"/>
  <c r="M73" i="17"/>
  <c r="M70" i="17"/>
  <c r="M69" i="17"/>
  <c r="M65" i="17"/>
  <c r="M60" i="17"/>
  <c r="M40" i="17"/>
  <c r="M36" i="17"/>
  <c r="M32" i="17"/>
  <c r="M31" i="17"/>
  <c r="M25" i="17"/>
  <c r="M24" i="17"/>
  <c r="M20" i="17"/>
  <c r="M16" i="17"/>
  <c r="F58" i="21"/>
  <c r="F54" i="21"/>
  <c r="F50" i="21"/>
  <c r="F47" i="21"/>
  <c r="F46" i="21"/>
  <c r="F42" i="21"/>
  <c r="F41" i="21"/>
  <c r="F39" i="21"/>
  <c r="F38" i="21"/>
  <c r="F35" i="21"/>
  <c r="F34" i="21"/>
  <c r="F30" i="21"/>
  <c r="F26" i="21"/>
  <c r="F23" i="21"/>
  <c r="F22" i="21"/>
  <c r="F18" i="21"/>
  <c r="M191" i="15"/>
  <c r="M187" i="15"/>
  <c r="M183" i="15"/>
  <c r="M179" i="15"/>
  <c r="M175" i="15"/>
  <c r="M167" i="15"/>
  <c r="M166" i="15"/>
  <c r="M163" i="15"/>
  <c r="M159" i="15"/>
  <c r="M151" i="15"/>
  <c r="M150" i="15"/>
  <c r="M147" i="15"/>
  <c r="M143" i="15"/>
  <c r="M136" i="15"/>
  <c r="M135" i="15"/>
  <c r="M131" i="15"/>
  <c r="M127" i="15"/>
  <c r="M124" i="15"/>
  <c r="M119" i="15"/>
  <c r="M115" i="15"/>
  <c r="M98" i="15"/>
  <c r="M94" i="15"/>
  <c r="M91" i="15"/>
  <c r="M90" i="15"/>
  <c r="M87" i="15"/>
  <c r="M86" i="15"/>
  <c r="M82" i="15"/>
  <c r="M78" i="15"/>
  <c r="M74" i="15"/>
  <c r="M71" i="15"/>
  <c r="M70" i="15"/>
  <c r="M66" i="15"/>
  <c r="M62" i="15"/>
  <c r="M54" i="15"/>
  <c r="M50" i="15"/>
  <c r="M46" i="15"/>
  <c r="M38" i="15"/>
  <c r="M34" i="15"/>
  <c r="M30" i="15"/>
  <c r="M25" i="15"/>
  <c r="M22" i="15"/>
  <c r="M19" i="15"/>
  <c r="M18" i="15"/>
  <c r="M14" i="15"/>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79" i="17"/>
  <c r="L178" i="17"/>
  <c r="L177" i="17"/>
  <c r="L176" i="17"/>
  <c r="L175" i="17"/>
  <c r="L174" i="17"/>
  <c r="L173" i="17"/>
  <c r="L172" i="17"/>
  <c r="L171" i="17"/>
  <c r="L170" i="17"/>
  <c r="L169" i="17"/>
  <c r="L168" i="17"/>
  <c r="L167" i="17"/>
  <c r="L166" i="17"/>
  <c r="L165" i="17"/>
  <c r="L164" i="17"/>
  <c r="L163" i="17"/>
  <c r="L162" i="17"/>
  <c r="L161"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13" i="17"/>
  <c r="L109" i="17"/>
  <c r="L106" i="17"/>
  <c r="L105" i="17"/>
  <c r="L102" i="17"/>
  <c r="L101" i="17"/>
  <c r="L97" i="17"/>
  <c r="L93" i="17"/>
  <c r="L90" i="17"/>
  <c r="L89" i="17"/>
  <c r="L85" i="17"/>
  <c r="BI30" i="22"/>
  <c r="BH30" i="22"/>
  <c r="BG30" i="22"/>
  <c r="BF30" i="22"/>
  <c r="BE30" i="22"/>
  <c r="BD30" i="22"/>
  <c r="BC30" i="22"/>
  <c r="BB30" i="22"/>
  <c r="BA30" i="22"/>
  <c r="AZ30" i="22"/>
  <c r="AY30" i="22"/>
  <c r="AX30" i="22"/>
  <c r="BF24" i="23"/>
  <c r="BB24" i="23"/>
  <c r="AX24" i="23"/>
  <c r="BJ31" i="22"/>
  <c r="BJ32" i="22"/>
  <c r="BJ33" i="22"/>
  <c r="BF22" i="22"/>
  <c r="BB22" i="22"/>
  <c r="AX22" i="22"/>
  <c r="BF27" i="34"/>
  <c r="BB27" i="34"/>
  <c r="AX27" i="34"/>
  <c r="BF20" i="24"/>
  <c r="BB20" i="24"/>
  <c r="AX20" i="24"/>
  <c r="R124" i="35"/>
  <c r="Q124" i="35"/>
  <c r="P124" i="35"/>
  <c r="N124" i="35"/>
  <c r="M124" i="35"/>
  <c r="L124" i="35"/>
  <c r="K124" i="35"/>
  <c r="I124" i="35"/>
  <c r="G124" i="35"/>
  <c r="H124" i="35"/>
  <c r="BF39" i="17"/>
  <c r="BB39" i="17"/>
  <c r="AX39" i="17"/>
  <c r="BE21" i="21"/>
  <c r="BA21" i="21"/>
  <c r="AW21" i="21"/>
  <c r="BF22" i="15"/>
  <c r="BB22" i="15"/>
  <c r="AX22" i="15"/>
  <c r="S641" i="35"/>
  <c r="R641" i="35"/>
  <c r="Q641" i="35"/>
  <c r="P641" i="35"/>
  <c r="N641" i="35"/>
  <c r="M641" i="35"/>
  <c r="L641" i="35"/>
  <c r="K641" i="35"/>
  <c r="G641" i="35"/>
  <c r="H641" i="35"/>
  <c r="I641" i="35"/>
  <c r="S296" i="35"/>
  <c r="R296" i="35"/>
  <c r="Q296" i="35"/>
  <c r="P296" i="35"/>
  <c r="N296" i="35"/>
  <c r="M296" i="35"/>
  <c r="L296" i="35"/>
  <c r="K296" i="35"/>
  <c r="G296" i="35"/>
  <c r="H296" i="35"/>
  <c r="I296" i="35"/>
  <c r="S210" i="35"/>
  <c r="S556" i="35"/>
  <c r="R210" i="35"/>
  <c r="R556" i="35"/>
  <c r="Q210" i="35"/>
  <c r="Q556" i="35"/>
  <c r="P210" i="35"/>
  <c r="P556" i="35"/>
  <c r="N210" i="35"/>
  <c r="N556" i="35"/>
  <c r="M210" i="35"/>
  <c r="M556" i="35"/>
  <c r="L210" i="35"/>
  <c r="L556" i="35"/>
  <c r="K210" i="35"/>
  <c r="K556" i="35"/>
  <c r="G210" i="35"/>
  <c r="G556" i="35"/>
  <c r="H210" i="35"/>
  <c r="H556" i="35"/>
  <c r="I210" i="35"/>
  <c r="I556" i="35"/>
  <c r="S470" i="35"/>
  <c r="R470" i="35"/>
  <c r="Q470" i="35"/>
  <c r="P470" i="35"/>
  <c r="N470" i="35"/>
  <c r="M470" i="35"/>
  <c r="L470" i="35"/>
  <c r="K470" i="35"/>
  <c r="G470" i="35"/>
  <c r="H470" i="35"/>
  <c r="I470" i="35"/>
  <c r="S384" i="35"/>
  <c r="R384" i="35"/>
  <c r="Q384" i="35"/>
  <c r="P384" i="35"/>
  <c r="N384" i="35"/>
  <c r="M384" i="35"/>
  <c r="L384" i="35"/>
  <c r="K384" i="35"/>
  <c r="G384" i="35"/>
  <c r="H384" i="35"/>
  <c r="I384" i="35"/>
  <c r="S38" i="35"/>
  <c r="R38" i="35"/>
  <c r="Q38" i="35"/>
  <c r="P38" i="35"/>
  <c r="N38" i="35"/>
  <c r="M38" i="35"/>
  <c r="L38" i="35"/>
  <c r="K38" i="35"/>
  <c r="G38" i="35"/>
  <c r="H38" i="35"/>
  <c r="I38" i="35"/>
  <c r="M230" i="34"/>
  <c r="M228" i="34"/>
  <c r="M227" i="34"/>
  <c r="M226" i="34"/>
  <c r="M224" i="34"/>
  <c r="M223" i="34"/>
  <c r="M222" i="34"/>
  <c r="M220" i="34"/>
  <c r="M219" i="34"/>
  <c r="M218" i="34"/>
  <c r="M216" i="34"/>
  <c r="M215" i="34"/>
  <c r="M214" i="34"/>
  <c r="M212" i="34"/>
  <c r="M211" i="34"/>
  <c r="M210" i="34"/>
  <c r="M208" i="34"/>
  <c r="M207" i="34"/>
  <c r="M206" i="34"/>
  <c r="M204" i="34"/>
  <c r="M203" i="34"/>
  <c r="M202" i="34"/>
  <c r="M200" i="34"/>
  <c r="M199" i="34"/>
  <c r="M198" i="34"/>
  <c r="M196" i="34"/>
  <c r="M195" i="34"/>
  <c r="M194" i="34"/>
  <c r="M192" i="34"/>
  <c r="M191" i="34"/>
  <c r="M190" i="34"/>
  <c r="M188" i="34"/>
  <c r="M187" i="34"/>
  <c r="M186" i="34"/>
  <c r="M184" i="34"/>
  <c r="M183" i="34"/>
  <c r="M182" i="34"/>
  <c r="M180" i="34"/>
  <c r="M179" i="34"/>
  <c r="M178" i="34"/>
  <c r="M176" i="34"/>
  <c r="M175" i="34"/>
  <c r="M174" i="34"/>
  <c r="M172" i="34"/>
  <c r="M171" i="34"/>
  <c r="M170" i="34"/>
  <c r="M168" i="34"/>
  <c r="M167" i="34"/>
  <c r="M166" i="34"/>
  <c r="M164" i="34"/>
  <c r="M163" i="34"/>
  <c r="M162" i="34"/>
  <c r="M160" i="34"/>
  <c r="M159" i="34"/>
  <c r="M158" i="34"/>
  <c r="M156" i="34"/>
  <c r="M155" i="34"/>
  <c r="M154" i="34"/>
  <c r="M152" i="34"/>
  <c r="M151" i="34"/>
  <c r="M150" i="34"/>
  <c r="M148" i="34"/>
  <c r="M147" i="34"/>
  <c r="M146" i="34"/>
  <c r="M144" i="34"/>
  <c r="M143" i="34"/>
  <c r="M142" i="34"/>
  <c r="M140" i="34"/>
  <c r="M139" i="34"/>
  <c r="M137" i="34"/>
  <c r="M131" i="34"/>
  <c r="M114" i="34"/>
  <c r="M106" i="34"/>
  <c r="M90" i="34"/>
  <c r="M82" i="34"/>
  <c r="M54" i="34"/>
  <c r="M50" i="34"/>
  <c r="M46" i="34"/>
  <c r="M42" i="34"/>
  <c r="M33" i="34"/>
  <c r="M31" i="34"/>
  <c r="M60" i="24"/>
  <c r="M56" i="24"/>
  <c r="M53" i="24"/>
  <c r="M52" i="24"/>
  <c r="M48" i="24"/>
  <c r="M44" i="24"/>
  <c r="M40" i="24"/>
  <c r="M36" i="24"/>
  <c r="M32" i="24"/>
  <c r="M28" i="24"/>
  <c r="M24" i="24"/>
  <c r="M16" i="24"/>
  <c r="M172" i="23"/>
  <c r="M168" i="23"/>
  <c r="M164" i="23"/>
  <c r="M152" i="23"/>
  <c r="M110" i="23"/>
  <c r="M106" i="23"/>
  <c r="M101" i="23"/>
  <c r="M97" i="23"/>
  <c r="M93" i="23"/>
  <c r="M75" i="23"/>
  <c r="M74" i="23"/>
  <c r="M70" i="23"/>
  <c r="M47" i="23"/>
  <c r="M46" i="23"/>
  <c r="M30" i="23"/>
  <c r="M14" i="23"/>
  <c r="L180" i="17"/>
  <c r="F56" i="14"/>
  <c r="F61" i="14"/>
  <c r="F60" i="14"/>
  <c r="F59" i="14"/>
  <c r="F58" i="14"/>
  <c r="F57" i="14"/>
  <c r="F19" i="14"/>
  <c r="F18" i="14" s="1"/>
  <c r="G19" i="14"/>
  <c r="G18" i="14" s="1"/>
  <c r="H19" i="14"/>
  <c r="H18" i="14" s="1"/>
  <c r="I19" i="14"/>
  <c r="I18" i="14" s="1"/>
  <c r="G15" i="14"/>
  <c r="AG76" i="23"/>
  <c r="AH76" i="23" s="1"/>
  <c r="AG192" i="15"/>
  <c r="AG191" i="15"/>
  <c r="AH191" i="15" s="1"/>
  <c r="AG190" i="15"/>
  <c r="AH190" i="15" s="1"/>
  <c r="AG189" i="15"/>
  <c r="AG188" i="15"/>
  <c r="AH188" i="15" s="1"/>
  <c r="AG187" i="15"/>
  <c r="AH187" i="15" s="1"/>
  <c r="AG186" i="15"/>
  <c r="AH186" i="15" s="1"/>
  <c r="AG185" i="15"/>
  <c r="AH185" i="15" s="1"/>
  <c r="AG184" i="15"/>
  <c r="AH184" i="15" s="1"/>
  <c r="AG183" i="15"/>
  <c r="AH183" i="15" s="1"/>
  <c r="AG182" i="15"/>
  <c r="AH182" i="15" s="1"/>
  <c r="AG181" i="15"/>
  <c r="AH181" i="15" s="1"/>
  <c r="AG180" i="15"/>
  <c r="AG179" i="15"/>
  <c r="AH179" i="15" s="1"/>
  <c r="AG178" i="15"/>
  <c r="AH178" i="15" s="1"/>
  <c r="AG177" i="15"/>
  <c r="AG176" i="15"/>
  <c r="AH176" i="15" s="1"/>
  <c r="AG175" i="15"/>
  <c r="AH175" i="15" s="1"/>
  <c r="AG174" i="15"/>
  <c r="AH174" i="15" s="1"/>
  <c r="AG173" i="15"/>
  <c r="AH173" i="15" s="1"/>
  <c r="AG172" i="15"/>
  <c r="AH172" i="15" s="1"/>
  <c r="AG171" i="15"/>
  <c r="AH171" i="15" s="1"/>
  <c r="AG170" i="15"/>
  <c r="AH170" i="15" s="1"/>
  <c r="AG169" i="15"/>
  <c r="AG168" i="15"/>
  <c r="AH168" i="15" s="1"/>
  <c r="AG167" i="15"/>
  <c r="AH167" i="15" s="1"/>
  <c r="AG166" i="15"/>
  <c r="AH166" i="15" s="1"/>
  <c r="AG165" i="15"/>
  <c r="AH165" i="15" s="1"/>
  <c r="AG164" i="15"/>
  <c r="AG163" i="15"/>
  <c r="AG162" i="15"/>
  <c r="AH162" i="15" s="1"/>
  <c r="AG161" i="15"/>
  <c r="AH161" i="15" s="1"/>
  <c r="AG160" i="15"/>
  <c r="AH160" i="15" s="1"/>
  <c r="AG159" i="15"/>
  <c r="AG158" i="15"/>
  <c r="AH158" i="15" s="1"/>
  <c r="AG157" i="15"/>
  <c r="AH157" i="15" s="1"/>
  <c r="AG156" i="15"/>
  <c r="AH156" i="15" s="1"/>
  <c r="AG155" i="15"/>
  <c r="AH155" i="15" s="1"/>
  <c r="AG154" i="15"/>
  <c r="AH154" i="15" s="1"/>
  <c r="AG153" i="15"/>
  <c r="AH153" i="15" s="1"/>
  <c r="AG152" i="15"/>
  <c r="AG151" i="15"/>
  <c r="AH151" i="15" s="1"/>
  <c r="AG150" i="15"/>
  <c r="AH150" i="15" s="1"/>
  <c r="AG149" i="15"/>
  <c r="AH149" i="15" s="1"/>
  <c r="AG148" i="15"/>
  <c r="AG147" i="15"/>
  <c r="AH147" i="15" s="1"/>
  <c r="AG146" i="15"/>
  <c r="AH146" i="15" s="1"/>
  <c r="AG145" i="15"/>
  <c r="AH145" i="15" s="1"/>
  <c r="AG144" i="15"/>
  <c r="AH144" i="15" s="1"/>
  <c r="AG143" i="15"/>
  <c r="AH143" i="15" s="1"/>
  <c r="AG142" i="15"/>
  <c r="AH142" i="15" s="1"/>
  <c r="AG141" i="15"/>
  <c r="AH141" i="15" s="1"/>
  <c r="AG140" i="15"/>
  <c r="AH140" i="15" s="1"/>
  <c r="AG139" i="15"/>
  <c r="AH139" i="15" s="1"/>
  <c r="AG138" i="15"/>
  <c r="AH138" i="15" s="1"/>
  <c r="AG137" i="15"/>
  <c r="AH137" i="15" s="1"/>
  <c r="AG136" i="15"/>
  <c r="AH136" i="15" s="1"/>
  <c r="AG135" i="15"/>
  <c r="AH135" i="15" s="1"/>
  <c r="AG134" i="15"/>
  <c r="AH134" i="15" s="1"/>
  <c r="AG133" i="15"/>
  <c r="AH133" i="15" s="1"/>
  <c r="AG132" i="15"/>
  <c r="AH132" i="15" s="1"/>
  <c r="AG131" i="15"/>
  <c r="AH131" i="15" s="1"/>
  <c r="AG130" i="15"/>
  <c r="AH130" i="15" s="1"/>
  <c r="AG129" i="15"/>
  <c r="AH129" i="15" s="1"/>
  <c r="AG128" i="15"/>
  <c r="AG127" i="15"/>
  <c r="AH127" i="15" s="1"/>
  <c r="AG126" i="15"/>
  <c r="AH126" i="15" s="1"/>
  <c r="AG125" i="15"/>
  <c r="AH125" i="15" s="1"/>
  <c r="AG124" i="15"/>
  <c r="AH124" i="15" s="1"/>
  <c r="AG123" i="15"/>
  <c r="AH123" i="15" s="1"/>
  <c r="AG122" i="15"/>
  <c r="AG121" i="15"/>
  <c r="AG120" i="15"/>
  <c r="AH120" i="15" s="1"/>
  <c r="AG119" i="15"/>
  <c r="AH119" i="15" s="1"/>
  <c r="Z192" i="15"/>
  <c r="AA192" i="15" s="1"/>
  <c r="Z191" i="15"/>
  <c r="AA191" i="15" s="1"/>
  <c r="Z190" i="15"/>
  <c r="AA190" i="15" s="1"/>
  <c r="Z189" i="15"/>
  <c r="AA189" i="15" s="1"/>
  <c r="Z188" i="15"/>
  <c r="AA188" i="15" s="1"/>
  <c r="Z187" i="15"/>
  <c r="Z186" i="15"/>
  <c r="AA186" i="15" s="1"/>
  <c r="Z185" i="15"/>
  <c r="Z184" i="15"/>
  <c r="AA184" i="15" s="1"/>
  <c r="Z183" i="15"/>
  <c r="Z182" i="15"/>
  <c r="Z181" i="15"/>
  <c r="AA181" i="15" s="1"/>
  <c r="Z180" i="15"/>
  <c r="AA180" i="15" s="1"/>
  <c r="Z179" i="15"/>
  <c r="AA179" i="15" s="1"/>
  <c r="Z178" i="15"/>
  <c r="Z177" i="15"/>
  <c r="AA177" i="15" s="1"/>
  <c r="Z176" i="15"/>
  <c r="AA176" i="15" s="1"/>
  <c r="Z175" i="15"/>
  <c r="AA175" i="15" s="1"/>
  <c r="Z174" i="15"/>
  <c r="Z173" i="15"/>
  <c r="AA173" i="15" s="1"/>
  <c r="Z172" i="15"/>
  <c r="Z171" i="15"/>
  <c r="AA171" i="15" s="1"/>
  <c r="Z170" i="15"/>
  <c r="AA170" i="15" s="1"/>
  <c r="Z169" i="15"/>
  <c r="AA169" i="15" s="1"/>
  <c r="Z168" i="15"/>
  <c r="AA168" i="15" s="1"/>
  <c r="Z167" i="15"/>
  <c r="AA167" i="15" s="1"/>
  <c r="Z166" i="15"/>
  <c r="AA166" i="15" s="1"/>
  <c r="Z165" i="15"/>
  <c r="AA165" i="15" s="1"/>
  <c r="Z164" i="15"/>
  <c r="AA164" i="15" s="1"/>
  <c r="Z163" i="15"/>
  <c r="AA163" i="15" s="1"/>
  <c r="Z162" i="15"/>
  <c r="Z161" i="15"/>
  <c r="AA161" i="15" s="1"/>
  <c r="Z160" i="15"/>
  <c r="Z159" i="15"/>
  <c r="AA159" i="15" s="1"/>
  <c r="Z158" i="15"/>
  <c r="Z157" i="15"/>
  <c r="AA157" i="15" s="1"/>
  <c r="Z156" i="15"/>
  <c r="AA156" i="15" s="1"/>
  <c r="Z155" i="15"/>
  <c r="AA155" i="15" s="1"/>
  <c r="Z154" i="15"/>
  <c r="Z153" i="15"/>
  <c r="AA153" i="15" s="1"/>
  <c r="Z152" i="15"/>
  <c r="AA152" i="15" s="1"/>
  <c r="Z151" i="15"/>
  <c r="Z150" i="15"/>
  <c r="Z149" i="15"/>
  <c r="AA149" i="15" s="1"/>
  <c r="Z148" i="15"/>
  <c r="AA148" i="15" s="1"/>
  <c r="Z147" i="15"/>
  <c r="AA147" i="15" s="1"/>
  <c r="Z146" i="15"/>
  <c r="AA146" i="15" s="1"/>
  <c r="Z145" i="15"/>
  <c r="AA145" i="15" s="1"/>
  <c r="Z144" i="15"/>
  <c r="AA144" i="15" s="1"/>
  <c r="Z143" i="15"/>
  <c r="Z142" i="15"/>
  <c r="AA142" i="15" s="1"/>
  <c r="Z141" i="15"/>
  <c r="AA141" i="15" s="1"/>
  <c r="Z140" i="15"/>
  <c r="AA140" i="15" s="1"/>
  <c r="Z139" i="15"/>
  <c r="AA139" i="15" s="1"/>
  <c r="Z138" i="15"/>
  <c r="AA138" i="15" s="1"/>
  <c r="Z137" i="15"/>
  <c r="Z136" i="15"/>
  <c r="AA136" i="15" s="1"/>
  <c r="Z135" i="15"/>
  <c r="AA135" i="15" s="1"/>
  <c r="Z134" i="15"/>
  <c r="AA134" i="15" s="1"/>
  <c r="Z133" i="15"/>
  <c r="Z132" i="15"/>
  <c r="AA132" i="15" s="1"/>
  <c r="Z131" i="15"/>
  <c r="AA131" i="15" s="1"/>
  <c r="Z130" i="15"/>
  <c r="Z129" i="15"/>
  <c r="Z128" i="15"/>
  <c r="AA128" i="15" s="1"/>
  <c r="Z127" i="15"/>
  <c r="AA127" i="15" s="1"/>
  <c r="Z126" i="15"/>
  <c r="Z125" i="15"/>
  <c r="AA125" i="15" s="1"/>
  <c r="Z124" i="15"/>
  <c r="AA124" i="15" s="1"/>
  <c r="Z123" i="15"/>
  <c r="Z122" i="15"/>
  <c r="AA122" i="15" s="1"/>
  <c r="Z121" i="15"/>
  <c r="AA121" i="15" s="1"/>
  <c r="Z120" i="15"/>
  <c r="AA120" i="15" s="1"/>
  <c r="Z119" i="15"/>
  <c r="S192" i="15"/>
  <c r="T192" i="15" s="1"/>
  <c r="S191" i="15"/>
  <c r="S190" i="15"/>
  <c r="S189" i="15"/>
  <c r="T189" i="15" s="1"/>
  <c r="S188" i="15"/>
  <c r="S187" i="15"/>
  <c r="T187" i="15" s="1"/>
  <c r="S186" i="15"/>
  <c r="T186" i="15" s="1"/>
  <c r="S185" i="15"/>
  <c r="T185" i="15" s="1"/>
  <c r="S184" i="15"/>
  <c r="S183" i="15"/>
  <c r="T183" i="15" s="1"/>
  <c r="S182" i="15"/>
  <c r="T182" i="15" s="1"/>
  <c r="S181" i="15"/>
  <c r="S180" i="15"/>
  <c r="T180" i="15" s="1"/>
  <c r="S179" i="15"/>
  <c r="S178" i="15"/>
  <c r="T178" i="15" s="1"/>
  <c r="S177" i="15"/>
  <c r="T177" i="15" s="1"/>
  <c r="S176" i="15"/>
  <c r="S175" i="15"/>
  <c r="S174" i="15"/>
  <c r="T174" i="15" s="1"/>
  <c r="S173" i="15"/>
  <c r="S172" i="15"/>
  <c r="T172" i="15" s="1"/>
  <c r="S171" i="15"/>
  <c r="S170" i="15"/>
  <c r="S169" i="15"/>
  <c r="T169" i="15" s="1"/>
  <c r="S168" i="15"/>
  <c r="T168" i="15" s="1"/>
  <c r="S167" i="15"/>
  <c r="S166" i="15"/>
  <c r="S165" i="15"/>
  <c r="S164" i="15"/>
  <c r="T164" i="15" s="1"/>
  <c r="S163" i="15"/>
  <c r="T163" i="15" s="1"/>
  <c r="S162" i="15"/>
  <c r="T162" i="15" s="1"/>
  <c r="S161" i="15"/>
  <c r="T161" i="15" s="1"/>
  <c r="S160" i="15"/>
  <c r="T160" i="15" s="1"/>
  <c r="S159" i="15"/>
  <c r="T159" i="15" s="1"/>
  <c r="S158" i="15"/>
  <c r="T158" i="15" s="1"/>
  <c r="S157" i="15"/>
  <c r="T157" i="15" s="1"/>
  <c r="S156" i="15"/>
  <c r="S155" i="15"/>
  <c r="S154" i="15"/>
  <c r="T154" i="15" s="1"/>
  <c r="S153" i="15"/>
  <c r="S152" i="15"/>
  <c r="T152" i="15" s="1"/>
  <c r="S151" i="15"/>
  <c r="T151" i="15" s="1"/>
  <c r="S150" i="15"/>
  <c r="T150" i="15" s="1"/>
  <c r="S149" i="15"/>
  <c r="T149" i="15" s="1"/>
  <c r="S148" i="15"/>
  <c r="T148" i="15" s="1"/>
  <c r="S147" i="15"/>
  <c r="S146" i="15"/>
  <c r="S145" i="15"/>
  <c r="T145" i="15" s="1"/>
  <c r="S144" i="15"/>
  <c r="S143" i="15"/>
  <c r="T143" i="15" s="1"/>
  <c r="S142" i="15"/>
  <c r="S141" i="15"/>
  <c r="S140" i="15"/>
  <c r="S139" i="15"/>
  <c r="T139" i="15" s="1"/>
  <c r="S138" i="15"/>
  <c r="S137" i="15"/>
  <c r="T137" i="15" s="1"/>
  <c r="S136" i="15"/>
  <c r="S135" i="15"/>
  <c r="S134" i="15"/>
  <c r="S133" i="15"/>
  <c r="T133" i="15" s="1"/>
  <c r="S132" i="15"/>
  <c r="T132" i="15" s="1"/>
  <c r="S131" i="15"/>
  <c r="S130" i="15"/>
  <c r="T130" i="15" s="1"/>
  <c r="S129" i="15"/>
  <c r="T129" i="15" s="1"/>
  <c r="S128" i="15"/>
  <c r="T128" i="15" s="1"/>
  <c r="S127" i="15"/>
  <c r="S126" i="15"/>
  <c r="T126" i="15" s="1"/>
  <c r="S125" i="15"/>
  <c r="T125" i="15" s="1"/>
  <c r="S124" i="15"/>
  <c r="S123" i="15"/>
  <c r="T123" i="15" s="1"/>
  <c r="S122" i="15"/>
  <c r="T122" i="15" s="1"/>
  <c r="S121" i="15"/>
  <c r="T121" i="15" s="1"/>
  <c r="S120" i="15"/>
  <c r="S119" i="15"/>
  <c r="T119" i="15" s="1"/>
  <c r="K19" i="14"/>
  <c r="K18" i="14" s="1"/>
  <c r="J19" i="14"/>
  <c r="J18" i="14" s="1"/>
  <c r="K15" i="14"/>
  <c r="J15" i="14"/>
  <c r="I15" i="14"/>
  <c r="H15" i="14"/>
  <c r="F15" i="14"/>
  <c r="BK136" i="58"/>
  <c r="BM549" i="58"/>
  <c r="BM136" i="58"/>
  <c r="BM562" i="58"/>
  <c r="BM548" i="58"/>
  <c r="BM547" i="58"/>
  <c r="BM546" i="58"/>
  <c r="BM545" i="58"/>
  <c r="BM544" i="58"/>
  <c r="BM543" i="58"/>
  <c r="BM542" i="58"/>
  <c r="BM541" i="58"/>
  <c r="BM540" i="58"/>
  <c r="BM539" i="58"/>
  <c r="BM538" i="58"/>
  <c r="BM537" i="58"/>
  <c r="BM536" i="58"/>
  <c r="BM535" i="58"/>
  <c r="BM534" i="58"/>
  <c r="BM533" i="58"/>
  <c r="BM532" i="58"/>
  <c r="BM531" i="58"/>
  <c r="BM530" i="58"/>
  <c r="BM529" i="58"/>
  <c r="BM528" i="58"/>
  <c r="BM527" i="58"/>
  <c r="BM526" i="58"/>
  <c r="BM525" i="58"/>
  <c r="BM524" i="58"/>
  <c r="BM523" i="58"/>
  <c r="BM522" i="58"/>
  <c r="BM521" i="58"/>
  <c r="BM520" i="58"/>
  <c r="BM519" i="58"/>
  <c r="BM518" i="58"/>
  <c r="BM517" i="58"/>
  <c r="BM516" i="58"/>
  <c r="BM515" i="58"/>
  <c r="BM514" i="58"/>
  <c r="BM513" i="58"/>
  <c r="BM512" i="58"/>
  <c r="BM511" i="58"/>
  <c r="BM510" i="58"/>
  <c r="BM509" i="58"/>
  <c r="BM508" i="58"/>
  <c r="BM507" i="58"/>
  <c r="BM506" i="58"/>
  <c r="BM505" i="58"/>
  <c r="BM504" i="58"/>
  <c r="BM503" i="58"/>
  <c r="BM502" i="58"/>
  <c r="BM501" i="58"/>
  <c r="BM500" i="58"/>
  <c r="BM499" i="58"/>
  <c r="BM498" i="58"/>
  <c r="BM497" i="58"/>
  <c r="BM496" i="58"/>
  <c r="BM495" i="58"/>
  <c r="BM494" i="58"/>
  <c r="BM493" i="58"/>
  <c r="BM492" i="58"/>
  <c r="BM491" i="58"/>
  <c r="BM490" i="58"/>
  <c r="BM489" i="58"/>
  <c r="BM488" i="58"/>
  <c r="BM487" i="58"/>
  <c r="BM486" i="58"/>
  <c r="BM485" i="58"/>
  <c r="BM484" i="58"/>
  <c r="BM483" i="58"/>
  <c r="BM482" i="58"/>
  <c r="BM481" i="58"/>
  <c r="BM480" i="58"/>
  <c r="BM479" i="58"/>
  <c r="BM478" i="58"/>
  <c r="BM477" i="58"/>
  <c r="BM476" i="58"/>
  <c r="BM475" i="58"/>
  <c r="BM474" i="58"/>
  <c r="BM473" i="58"/>
  <c r="BM472" i="58"/>
  <c r="BM471" i="58"/>
  <c r="BM470" i="58"/>
  <c r="BM469" i="58"/>
  <c r="BM468" i="58"/>
  <c r="BM467" i="58"/>
  <c r="BM466" i="58"/>
  <c r="BM465" i="58"/>
  <c r="BM464" i="58"/>
  <c r="BM463" i="58"/>
  <c r="BM462" i="58"/>
  <c r="BM461" i="58"/>
  <c r="BM460" i="58"/>
  <c r="BM459" i="58"/>
  <c r="BM458" i="58"/>
  <c r="BM457" i="58"/>
  <c r="BM456" i="58"/>
  <c r="BM455" i="58"/>
  <c r="BM454" i="58"/>
  <c r="BM453" i="58"/>
  <c r="BM452" i="58"/>
  <c r="BM451" i="58"/>
  <c r="BM450" i="58"/>
  <c r="BM449" i="58"/>
  <c r="BM448" i="58"/>
  <c r="BM447" i="58"/>
  <c r="BM446" i="58"/>
  <c r="BM445" i="58"/>
  <c r="BM444" i="58"/>
  <c r="BM443" i="58"/>
  <c r="BM442" i="58"/>
  <c r="BM441" i="58"/>
  <c r="BM440" i="58"/>
  <c r="BM439" i="58"/>
  <c r="BM438" i="58"/>
  <c r="BM437" i="58"/>
  <c r="BM436" i="58"/>
  <c r="BM435" i="58"/>
  <c r="BM434" i="58"/>
  <c r="BM433" i="58"/>
  <c r="BM432" i="58"/>
  <c r="BM431" i="58"/>
  <c r="BM430" i="58"/>
  <c r="BM429" i="58"/>
  <c r="BM428" i="58"/>
  <c r="BM427" i="58"/>
  <c r="BM426" i="58"/>
  <c r="BM425" i="58"/>
  <c r="BM424" i="58"/>
  <c r="BM423" i="58"/>
  <c r="BM422" i="58"/>
  <c r="BM421" i="58"/>
  <c r="BM420" i="58"/>
  <c r="BM419" i="58"/>
  <c r="BM418" i="58"/>
  <c r="BM417" i="58"/>
  <c r="BM416" i="58"/>
  <c r="BM415" i="58"/>
  <c r="BM414" i="58"/>
  <c r="BM413" i="58"/>
  <c r="BM412" i="58"/>
  <c r="BM411" i="58"/>
  <c r="BM410" i="58"/>
  <c r="BM409" i="58"/>
  <c r="BM408" i="58"/>
  <c r="BM407" i="58"/>
  <c r="BM406" i="58"/>
  <c r="BM405" i="58"/>
  <c r="BM404" i="58"/>
  <c r="BM403" i="58"/>
  <c r="BM402" i="58"/>
  <c r="BM401" i="58"/>
  <c r="BM400" i="58"/>
  <c r="BM399" i="58"/>
  <c r="BM398" i="58"/>
  <c r="BM397" i="58"/>
  <c r="BM396" i="58"/>
  <c r="BM395" i="58"/>
  <c r="BM394" i="58"/>
  <c r="BM393" i="58"/>
  <c r="BM392" i="58"/>
  <c r="BM391" i="58"/>
  <c r="BM390" i="58"/>
  <c r="BM389" i="58"/>
  <c r="BM388" i="58"/>
  <c r="BM387" i="58"/>
  <c r="BM386" i="58"/>
  <c r="BM385" i="58"/>
  <c r="BM384" i="58"/>
  <c r="BM383" i="58"/>
  <c r="BM382" i="58"/>
  <c r="BM381" i="58"/>
  <c r="BM380" i="58"/>
  <c r="BM379" i="58"/>
  <c r="BM378" i="58"/>
  <c r="BM377" i="58"/>
  <c r="BM376" i="58"/>
  <c r="BM375" i="58"/>
  <c r="BM374" i="58"/>
  <c r="BM373" i="58"/>
  <c r="BM372" i="58"/>
  <c r="BM371" i="58"/>
  <c r="BM370" i="58"/>
  <c r="BM369" i="58"/>
  <c r="BM368" i="58"/>
  <c r="BM367" i="58"/>
  <c r="BM366" i="58"/>
  <c r="BM365" i="58"/>
  <c r="BM364" i="58"/>
  <c r="BM363" i="58"/>
  <c r="BM362" i="58"/>
  <c r="BM361" i="58"/>
  <c r="BM360" i="58"/>
  <c r="BM359" i="58"/>
  <c r="BM358" i="58"/>
  <c r="BM357" i="58"/>
  <c r="BM356" i="58"/>
  <c r="BM355" i="58"/>
  <c r="BM354" i="58"/>
  <c r="BM353" i="58"/>
  <c r="BM352" i="58"/>
  <c r="BM351" i="58"/>
  <c r="BM350" i="58"/>
  <c r="BM349" i="58"/>
  <c r="BM348" i="58"/>
  <c r="BM347" i="58"/>
  <c r="BM346" i="58"/>
  <c r="BM345" i="58"/>
  <c r="BM344" i="58"/>
  <c r="BM343" i="58"/>
  <c r="BM342" i="58"/>
  <c r="BM341" i="58"/>
  <c r="BM340" i="58"/>
  <c r="BM339" i="58"/>
  <c r="BM338" i="58"/>
  <c r="BM337" i="58"/>
  <c r="BM336" i="58"/>
  <c r="BM335" i="58"/>
  <c r="BM334" i="58"/>
  <c r="BM333" i="58"/>
  <c r="BM332" i="58"/>
  <c r="BM331" i="58"/>
  <c r="BM330" i="58"/>
  <c r="BM329" i="58"/>
  <c r="BM328" i="58"/>
  <c r="BM327" i="58"/>
  <c r="BM326" i="58"/>
  <c r="BM325" i="58"/>
  <c r="BM324" i="58"/>
  <c r="BM323" i="58"/>
  <c r="BM322" i="58"/>
  <c r="BM321" i="58"/>
  <c r="BM320" i="58"/>
  <c r="BM319" i="58"/>
  <c r="BM318" i="58"/>
  <c r="BM317" i="58"/>
  <c r="BM316" i="58"/>
  <c r="BM315" i="58"/>
  <c r="BM314" i="58"/>
  <c r="BM313" i="58"/>
  <c r="BM312" i="58"/>
  <c r="BM311" i="58"/>
  <c r="BM310" i="58"/>
  <c r="BM309" i="58"/>
  <c r="BM308" i="58"/>
  <c r="BM307" i="58"/>
  <c r="BM306" i="58"/>
  <c r="BM305" i="58"/>
  <c r="BM304" i="58"/>
  <c r="BM303" i="58"/>
  <c r="BM302" i="58"/>
  <c r="BM301" i="58"/>
  <c r="BM300" i="58"/>
  <c r="BM299" i="58"/>
  <c r="BM298" i="58"/>
  <c r="BM297" i="58"/>
  <c r="BM296" i="58"/>
  <c r="BM295" i="58"/>
  <c r="BM294" i="58"/>
  <c r="BM293" i="58"/>
  <c r="BM292" i="58"/>
  <c r="BM291" i="58"/>
  <c r="BM290" i="58"/>
  <c r="BM289" i="58"/>
  <c r="BM288" i="58"/>
  <c r="BM287" i="58"/>
  <c r="BM286" i="58"/>
  <c r="BM285" i="58"/>
  <c r="BM284" i="58"/>
  <c r="BM283" i="58"/>
  <c r="BM282" i="58"/>
  <c r="BM281" i="58"/>
  <c r="BM280" i="58"/>
  <c r="BM279" i="58"/>
  <c r="BM278" i="58"/>
  <c r="BM277" i="58"/>
  <c r="BM276" i="58"/>
  <c r="BM275" i="58"/>
  <c r="BM274" i="58"/>
  <c r="BM273" i="58"/>
  <c r="BM272" i="58"/>
  <c r="BM271" i="58"/>
  <c r="BM270" i="58"/>
  <c r="BM269" i="58"/>
  <c r="BM268" i="58"/>
  <c r="BM267" i="58"/>
  <c r="BM266" i="58"/>
  <c r="BM265" i="58"/>
  <c r="BM264" i="58"/>
  <c r="BM263" i="58"/>
  <c r="BM262" i="58"/>
  <c r="BM261" i="58"/>
  <c r="BM260" i="58"/>
  <c r="BM259" i="58"/>
  <c r="BM258" i="58"/>
  <c r="BM257" i="58"/>
  <c r="BM256" i="58"/>
  <c r="BM255" i="58"/>
  <c r="BM254" i="58"/>
  <c r="BM253" i="58"/>
  <c r="BM252" i="58"/>
  <c r="BM251" i="58"/>
  <c r="BM250" i="58"/>
  <c r="BM249" i="58"/>
  <c r="BM248" i="58"/>
  <c r="BM247" i="58"/>
  <c r="BM246" i="58"/>
  <c r="BM245" i="58"/>
  <c r="BM244" i="58"/>
  <c r="BM243" i="58"/>
  <c r="BM242" i="58"/>
  <c r="BM241" i="58"/>
  <c r="BM240" i="58"/>
  <c r="BM239" i="58"/>
  <c r="BM238" i="58"/>
  <c r="BM237" i="58"/>
  <c r="BM236" i="58"/>
  <c r="BM235" i="58"/>
  <c r="BM234" i="58"/>
  <c r="BM233" i="58"/>
  <c r="BM232" i="58"/>
  <c r="BM231" i="58"/>
  <c r="BM230" i="58"/>
  <c r="BM229" i="58"/>
  <c r="BM228" i="58"/>
  <c r="BM227" i="58"/>
  <c r="BM226" i="58"/>
  <c r="BM225" i="58"/>
  <c r="BM224" i="58"/>
  <c r="BM223" i="58"/>
  <c r="BM222" i="58"/>
  <c r="BM221" i="58"/>
  <c r="BM220" i="58"/>
  <c r="BM219" i="58"/>
  <c r="BM218" i="58"/>
  <c r="BM217" i="58"/>
  <c r="BM216" i="58"/>
  <c r="BM215" i="58"/>
  <c r="BM214" i="58"/>
  <c r="BM213" i="58"/>
  <c r="BM212" i="58"/>
  <c r="BM211" i="58"/>
  <c r="BM210" i="58"/>
  <c r="BM209" i="58"/>
  <c r="BM208" i="58"/>
  <c r="BM207" i="58"/>
  <c r="BM206" i="58"/>
  <c r="BM205" i="58"/>
  <c r="BM204" i="58"/>
  <c r="BM203" i="58"/>
  <c r="BM202" i="58"/>
  <c r="BM201" i="58"/>
  <c r="BM200" i="58"/>
  <c r="BM199" i="58"/>
  <c r="BM198" i="58"/>
  <c r="BM197" i="58"/>
  <c r="BM196" i="58"/>
  <c r="BM195" i="58"/>
  <c r="BM194" i="58"/>
  <c r="BM193" i="58"/>
  <c r="BM192" i="58"/>
  <c r="BM191" i="58"/>
  <c r="BM190" i="58"/>
  <c r="BM189" i="58"/>
  <c r="BM188" i="58"/>
  <c r="BM187" i="58"/>
  <c r="BM186" i="58"/>
  <c r="BM185" i="58"/>
  <c r="BM184" i="58"/>
  <c r="BM183" i="58"/>
  <c r="BM182" i="58"/>
  <c r="BM181" i="58"/>
  <c r="BM180" i="58"/>
  <c r="BM179" i="58"/>
  <c r="BM178" i="58"/>
  <c r="BM177" i="58"/>
  <c r="BM176" i="58"/>
  <c r="BM175" i="58"/>
  <c r="BM174" i="58"/>
  <c r="BM173" i="58"/>
  <c r="BM172" i="58"/>
  <c r="BM171" i="58"/>
  <c r="BM170" i="58"/>
  <c r="BM169" i="58"/>
  <c r="BM168" i="58"/>
  <c r="BM167" i="58"/>
  <c r="BM166" i="58"/>
  <c r="BM165" i="58"/>
  <c r="BM164" i="58"/>
  <c r="BM163" i="58"/>
  <c r="BM162" i="58"/>
  <c r="BM161" i="58"/>
  <c r="BM160" i="58"/>
  <c r="BM159" i="58"/>
  <c r="BM158" i="58"/>
  <c r="BM157" i="58"/>
  <c r="BM156" i="58"/>
  <c r="BM155" i="58"/>
  <c r="BM154" i="58"/>
  <c r="BM153" i="58"/>
  <c r="BM152" i="58"/>
  <c r="BM151" i="58"/>
  <c r="BM150" i="58"/>
  <c r="BM149" i="58"/>
  <c r="BM148" i="58"/>
  <c r="BM147" i="58"/>
  <c r="BM146" i="58"/>
  <c r="BM145" i="58"/>
  <c r="BM144" i="58"/>
  <c r="BM143" i="58"/>
  <c r="BM142" i="58"/>
  <c r="BM141" i="58"/>
  <c r="BM140" i="58"/>
  <c r="BM139" i="58"/>
  <c r="BM138" i="58"/>
  <c r="BM137" i="58"/>
  <c r="BM135" i="58"/>
  <c r="BM134" i="58"/>
  <c r="BM133" i="58"/>
  <c r="BM132" i="58"/>
  <c r="BM131" i="58"/>
  <c r="BM130" i="58"/>
  <c r="BM129" i="58"/>
  <c r="BM128" i="58"/>
  <c r="BM127" i="58"/>
  <c r="BM126" i="58"/>
  <c r="BM125" i="58"/>
  <c r="BM124" i="58"/>
  <c r="BM123" i="58"/>
  <c r="BM122" i="58"/>
  <c r="BM121" i="58"/>
  <c r="BM120" i="58"/>
  <c r="BM119" i="58"/>
  <c r="BM118" i="58"/>
  <c r="BM117" i="58"/>
  <c r="BM116" i="58"/>
  <c r="BM115" i="58"/>
  <c r="BM114" i="58"/>
  <c r="BM113" i="58"/>
  <c r="BM112" i="58"/>
  <c r="BM111" i="58"/>
  <c r="BM110" i="58"/>
  <c r="BM109" i="58"/>
  <c r="BM108" i="58"/>
  <c r="BM107" i="58"/>
  <c r="BM106" i="58"/>
  <c r="BM105" i="58"/>
  <c r="BM104" i="58"/>
  <c r="BM103" i="58"/>
  <c r="BM102" i="58"/>
  <c r="BM101" i="58"/>
  <c r="BM100" i="58"/>
  <c r="BM99" i="58"/>
  <c r="BM98" i="58"/>
  <c r="BM97" i="58"/>
  <c r="BM96" i="58"/>
  <c r="BM95" i="58"/>
  <c r="BM94" i="58"/>
  <c r="BM93" i="58"/>
  <c r="BM92" i="58"/>
  <c r="BM91" i="58"/>
  <c r="BM90" i="58"/>
  <c r="BM89" i="58"/>
  <c r="BM88" i="58"/>
  <c r="BM87" i="58"/>
  <c r="BM86" i="58"/>
  <c r="BM85" i="58"/>
  <c r="BM84" i="58"/>
  <c r="BM83" i="58"/>
  <c r="BM82" i="58"/>
  <c r="BM81" i="58"/>
  <c r="BM80" i="58"/>
  <c r="BM79" i="58"/>
  <c r="BM78" i="58"/>
  <c r="BM77" i="58"/>
  <c r="BM76" i="58"/>
  <c r="BM75" i="58"/>
  <c r="BM74" i="58"/>
  <c r="BM73" i="58"/>
  <c r="BM72" i="58"/>
  <c r="BM71" i="58"/>
  <c r="BM70" i="58"/>
  <c r="BM69" i="58"/>
  <c r="BM68" i="58"/>
  <c r="BM67" i="58"/>
  <c r="BM66" i="58"/>
  <c r="BM65" i="58"/>
  <c r="BM64" i="58"/>
  <c r="BM63" i="58"/>
  <c r="BM62" i="58"/>
  <c r="BM61" i="58"/>
  <c r="BM60" i="58"/>
  <c r="BM59" i="58"/>
  <c r="BM58" i="58"/>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14" i="58"/>
  <c r="BM13" i="58"/>
  <c r="BM12" i="58"/>
  <c r="BM11" i="58"/>
  <c r="BM10" i="58"/>
  <c r="BM9" i="58"/>
  <c r="BM8" i="58"/>
  <c r="BM7" i="58"/>
  <c r="BM6" i="58"/>
  <c r="BM5" i="58"/>
  <c r="BM4" i="58"/>
  <c r="BM3" i="58"/>
  <c r="BM2" i="58"/>
  <c r="BN562" i="58"/>
  <c r="BF12" i="34"/>
  <c r="BB12" i="34"/>
  <c r="AX12" i="34"/>
  <c r="BF12" i="24"/>
  <c r="BB12" i="24"/>
  <c r="AX12" i="24"/>
  <c r="H73" i="14"/>
  <c r="F73" i="14"/>
  <c r="D73" i="14"/>
  <c r="H67" i="14"/>
  <c r="F67" i="14"/>
  <c r="D67" i="14"/>
  <c r="H63" i="14"/>
  <c r="F63" i="14"/>
  <c r="D63" i="14"/>
  <c r="L46" i="14"/>
  <c r="J46" i="14"/>
  <c r="H46" i="14"/>
  <c r="J32" i="14"/>
  <c r="H32" i="14"/>
  <c r="F32" i="14"/>
  <c r="BF12" i="23"/>
  <c r="BB12" i="23"/>
  <c r="AX12" i="23"/>
  <c r="BF12" i="22"/>
  <c r="BB12" i="22"/>
  <c r="AX12" i="22"/>
  <c r="BF12" i="17"/>
  <c r="BB12" i="17"/>
  <c r="AX12" i="17"/>
  <c r="BE12" i="21"/>
  <c r="BA12" i="21"/>
  <c r="AW12" i="21"/>
  <c r="F43" i="9"/>
  <c r="F53" i="9" s="1"/>
  <c r="E43" i="9"/>
  <c r="E53" i="9" s="1"/>
  <c r="D43" i="9"/>
  <c r="D53" i="9" s="1"/>
  <c r="E11" i="9"/>
  <c r="BF12" i="15"/>
  <c r="BB12" i="15"/>
  <c r="AX12" i="15"/>
  <c r="F12" i="14"/>
  <c r="G11" i="9"/>
  <c r="F12" i="11"/>
  <c r="BK548" i="58"/>
  <c r="BK547" i="58"/>
  <c r="BK546" i="58"/>
  <c r="BK545" i="58"/>
  <c r="BK544" i="58"/>
  <c r="BK543" i="58"/>
  <c r="BK542" i="58"/>
  <c r="BK541" i="58"/>
  <c r="BK540" i="58"/>
  <c r="BK539" i="58"/>
  <c r="BK538" i="58"/>
  <c r="BK537" i="58"/>
  <c r="BK536" i="58"/>
  <c r="BK535" i="58"/>
  <c r="BK534" i="58"/>
  <c r="BK533" i="58"/>
  <c r="BK532" i="58"/>
  <c r="BK531" i="58"/>
  <c r="BK530" i="58"/>
  <c r="BK529" i="58"/>
  <c r="BK528" i="58"/>
  <c r="BK527" i="58"/>
  <c r="BK526" i="58"/>
  <c r="BK525" i="58"/>
  <c r="BK524" i="58"/>
  <c r="BK523" i="58"/>
  <c r="BK522" i="58"/>
  <c r="BK521" i="58"/>
  <c r="BK520" i="58"/>
  <c r="BK519" i="58"/>
  <c r="BK518" i="58"/>
  <c r="BK517" i="58"/>
  <c r="BK516" i="58"/>
  <c r="BK515" i="58"/>
  <c r="BK514" i="58"/>
  <c r="BK513" i="58"/>
  <c r="BK512" i="58"/>
  <c r="BK511" i="58"/>
  <c r="BK510" i="58"/>
  <c r="BK509" i="58"/>
  <c r="BK508" i="58"/>
  <c r="BK507" i="58"/>
  <c r="BK506" i="58"/>
  <c r="BK505" i="58"/>
  <c r="BK504" i="58"/>
  <c r="BK503" i="58"/>
  <c r="BK502" i="58"/>
  <c r="BK501" i="58"/>
  <c r="BK500" i="58"/>
  <c r="BK499" i="58"/>
  <c r="BK498" i="58"/>
  <c r="BK497" i="58"/>
  <c r="BK496" i="58"/>
  <c r="BK495" i="58"/>
  <c r="BK494" i="58"/>
  <c r="BK493" i="58"/>
  <c r="BK492" i="58"/>
  <c r="BK491" i="58"/>
  <c r="BK490" i="58"/>
  <c r="BK489" i="58"/>
  <c r="BK488" i="58"/>
  <c r="BK487" i="58"/>
  <c r="BK486" i="58"/>
  <c r="BK485" i="58"/>
  <c r="BK484" i="58"/>
  <c r="BK483" i="58"/>
  <c r="BK482" i="58"/>
  <c r="BK481" i="58"/>
  <c r="BK480" i="58"/>
  <c r="BK479" i="58"/>
  <c r="BK478" i="58"/>
  <c r="BK477" i="58"/>
  <c r="BK476" i="58"/>
  <c r="BK475" i="58"/>
  <c r="BK474" i="58"/>
  <c r="BK473" i="58"/>
  <c r="BK472" i="58"/>
  <c r="BK471" i="58"/>
  <c r="BK470" i="58"/>
  <c r="BK469" i="58"/>
  <c r="BK468" i="58"/>
  <c r="BK467" i="58"/>
  <c r="BK466" i="58"/>
  <c r="BK465" i="58"/>
  <c r="BK464" i="58"/>
  <c r="BK463" i="58"/>
  <c r="BK462" i="58"/>
  <c r="BK461" i="58"/>
  <c r="BK460" i="58"/>
  <c r="BK459" i="58"/>
  <c r="BK458" i="58"/>
  <c r="BK457" i="58"/>
  <c r="BK456" i="58"/>
  <c r="BK455" i="58"/>
  <c r="BK454" i="58"/>
  <c r="BK453" i="58"/>
  <c r="BK452" i="58"/>
  <c r="BK451" i="58"/>
  <c r="BK450" i="58"/>
  <c r="BK449" i="58"/>
  <c r="BK448" i="58"/>
  <c r="BK447" i="58"/>
  <c r="BK446" i="58"/>
  <c r="BK445" i="58"/>
  <c r="BK444" i="58"/>
  <c r="BK443" i="58"/>
  <c r="BK442" i="58"/>
  <c r="BK441" i="58"/>
  <c r="BK440" i="58"/>
  <c r="BK439" i="58"/>
  <c r="BK438" i="58"/>
  <c r="BK437" i="58"/>
  <c r="BK436" i="58"/>
  <c r="BK435" i="58"/>
  <c r="BK434" i="58"/>
  <c r="BK433" i="58"/>
  <c r="BK432" i="58"/>
  <c r="BK431" i="58"/>
  <c r="BK430" i="58"/>
  <c r="BK429" i="58"/>
  <c r="BK428" i="58"/>
  <c r="BK427" i="58"/>
  <c r="BK426" i="58"/>
  <c r="BK425" i="58"/>
  <c r="BK424" i="58"/>
  <c r="BK423" i="58"/>
  <c r="BK422" i="58"/>
  <c r="BK421" i="58"/>
  <c r="BK420" i="58"/>
  <c r="BK419" i="58"/>
  <c r="BK418" i="58"/>
  <c r="BK417" i="58"/>
  <c r="BK416" i="58"/>
  <c r="BK415" i="58"/>
  <c r="BK414" i="58"/>
  <c r="BK413" i="58"/>
  <c r="BK412" i="58"/>
  <c r="BK411" i="58"/>
  <c r="BK410" i="58"/>
  <c r="BK409" i="58"/>
  <c r="BK408" i="58"/>
  <c r="BK407" i="58"/>
  <c r="BK406" i="58"/>
  <c r="BK405" i="58"/>
  <c r="BK404" i="58"/>
  <c r="BK403" i="58"/>
  <c r="BK402" i="58"/>
  <c r="BK401" i="58"/>
  <c r="BK400" i="58"/>
  <c r="BK399" i="58"/>
  <c r="BK398" i="58"/>
  <c r="BK397" i="58"/>
  <c r="BK396" i="58"/>
  <c r="BK395" i="58"/>
  <c r="BK394" i="58"/>
  <c r="BK393" i="58"/>
  <c r="BK392" i="58"/>
  <c r="BK391" i="58"/>
  <c r="BK390" i="58"/>
  <c r="BK389" i="58"/>
  <c r="BK388" i="58"/>
  <c r="BK387" i="58"/>
  <c r="BK386" i="58"/>
  <c r="BK385" i="58"/>
  <c r="BK384" i="58"/>
  <c r="BK383" i="58"/>
  <c r="BK382" i="58"/>
  <c r="BK381" i="58"/>
  <c r="BK380" i="58"/>
  <c r="BK379" i="58"/>
  <c r="BK378" i="58"/>
  <c r="BK377" i="58"/>
  <c r="BK376" i="58"/>
  <c r="BK375" i="58"/>
  <c r="BK374" i="58"/>
  <c r="BK373" i="58"/>
  <c r="BK372" i="58"/>
  <c r="BK371" i="58"/>
  <c r="BK370" i="58"/>
  <c r="BK369" i="58"/>
  <c r="BK368" i="58"/>
  <c r="BK367" i="58"/>
  <c r="BK366" i="58"/>
  <c r="BK365" i="58"/>
  <c r="BK364" i="58"/>
  <c r="BK363" i="58"/>
  <c r="BK362" i="58"/>
  <c r="BK361" i="58"/>
  <c r="BK360" i="58"/>
  <c r="BK359" i="58"/>
  <c r="BK358" i="58"/>
  <c r="BK357" i="58"/>
  <c r="BK356" i="58"/>
  <c r="BK355" i="58"/>
  <c r="BK354" i="58"/>
  <c r="BK353" i="58"/>
  <c r="BK352" i="58"/>
  <c r="BK351" i="58"/>
  <c r="BK350" i="58"/>
  <c r="BK349" i="58"/>
  <c r="BK348" i="58"/>
  <c r="BK347" i="58"/>
  <c r="BK346" i="58"/>
  <c r="BK345" i="58"/>
  <c r="BK344" i="58"/>
  <c r="BK343" i="58"/>
  <c r="BK342" i="58"/>
  <c r="BK341" i="58"/>
  <c r="BK340" i="58"/>
  <c r="BK339" i="58"/>
  <c r="BK338" i="58"/>
  <c r="BK337" i="58"/>
  <c r="BK336" i="58"/>
  <c r="BK335" i="58"/>
  <c r="BK334" i="58"/>
  <c r="BK333" i="58"/>
  <c r="BK332" i="58"/>
  <c r="BK331" i="58"/>
  <c r="BK330" i="58"/>
  <c r="BK329" i="58"/>
  <c r="BK328" i="58"/>
  <c r="BK327" i="58"/>
  <c r="BK326" i="58"/>
  <c r="BK325" i="58"/>
  <c r="BK324" i="58"/>
  <c r="BK323" i="58"/>
  <c r="BK322" i="58"/>
  <c r="BK321" i="58"/>
  <c r="BK320" i="58"/>
  <c r="BK319" i="58"/>
  <c r="BK318" i="58"/>
  <c r="BK317" i="58"/>
  <c r="BK316" i="58"/>
  <c r="BK315" i="58"/>
  <c r="BK314" i="58"/>
  <c r="BK313" i="58"/>
  <c r="BK312" i="58"/>
  <c r="BK311" i="58"/>
  <c r="BK310" i="58"/>
  <c r="BK309" i="58"/>
  <c r="BK308" i="58"/>
  <c r="BK307" i="58"/>
  <c r="BK306" i="58"/>
  <c r="BK305" i="58"/>
  <c r="BK304" i="58"/>
  <c r="BK303" i="58"/>
  <c r="BK302" i="58"/>
  <c r="BK301" i="58"/>
  <c r="BK300" i="58"/>
  <c r="BK299" i="58"/>
  <c r="BK298" i="58"/>
  <c r="BK297" i="58"/>
  <c r="BK296" i="58"/>
  <c r="BK295" i="58"/>
  <c r="BK294" i="58"/>
  <c r="BK293" i="58"/>
  <c r="BK292" i="58"/>
  <c r="BK291" i="58"/>
  <c r="BK290" i="58"/>
  <c r="BK289" i="58"/>
  <c r="BK288" i="58"/>
  <c r="BK287" i="58"/>
  <c r="BK286" i="58"/>
  <c r="BK285" i="58"/>
  <c r="BK284" i="58"/>
  <c r="BK283" i="58"/>
  <c r="BK282" i="58"/>
  <c r="BK281" i="58"/>
  <c r="BK280" i="58"/>
  <c r="BK279" i="58"/>
  <c r="BK278" i="58"/>
  <c r="BK277" i="58"/>
  <c r="BK276" i="58"/>
  <c r="BK275" i="58"/>
  <c r="BK274" i="58"/>
  <c r="BK273" i="58"/>
  <c r="BK272" i="58"/>
  <c r="BK271" i="58"/>
  <c r="BK270" i="58"/>
  <c r="BK269" i="58"/>
  <c r="BK268" i="58"/>
  <c r="BK267" i="58"/>
  <c r="BK266" i="58"/>
  <c r="BK265" i="58"/>
  <c r="BK264" i="58"/>
  <c r="BK263" i="58"/>
  <c r="BK262" i="58"/>
  <c r="BK261" i="58"/>
  <c r="BK260" i="58"/>
  <c r="BK259" i="58"/>
  <c r="BK258" i="58"/>
  <c r="BK257" i="58"/>
  <c r="BK256" i="58"/>
  <c r="BK255" i="58"/>
  <c r="BK254" i="58"/>
  <c r="BK253" i="58"/>
  <c r="BK252" i="58"/>
  <c r="BK251" i="58"/>
  <c r="BK250" i="58"/>
  <c r="BK249" i="58"/>
  <c r="BK248" i="58"/>
  <c r="BK247" i="58"/>
  <c r="BK246" i="58"/>
  <c r="BK245" i="58"/>
  <c r="BK244" i="58"/>
  <c r="BK243" i="58"/>
  <c r="BK242" i="58"/>
  <c r="BK241" i="58"/>
  <c r="BK240" i="58"/>
  <c r="BK239" i="58"/>
  <c r="BK238" i="58"/>
  <c r="BK237" i="58"/>
  <c r="BK236" i="58"/>
  <c r="BK235" i="58"/>
  <c r="BK234" i="58"/>
  <c r="BK233" i="58"/>
  <c r="BK232" i="58"/>
  <c r="BK231" i="58"/>
  <c r="BK230" i="58"/>
  <c r="BK229" i="58"/>
  <c r="BK228" i="58"/>
  <c r="BK227" i="58"/>
  <c r="BK226" i="58"/>
  <c r="BK225" i="58"/>
  <c r="BK224" i="58"/>
  <c r="BK223" i="58"/>
  <c r="BK222" i="58"/>
  <c r="BK221" i="58"/>
  <c r="BK220" i="58"/>
  <c r="BK219" i="58"/>
  <c r="BK218" i="58"/>
  <c r="BK217" i="58"/>
  <c r="BK216" i="58"/>
  <c r="BK215" i="58"/>
  <c r="BK214" i="58"/>
  <c r="BK213" i="58"/>
  <c r="BK212" i="58"/>
  <c r="BK211" i="58"/>
  <c r="BK210" i="58"/>
  <c r="BK209" i="58"/>
  <c r="BK208" i="58"/>
  <c r="BK207" i="58"/>
  <c r="BK206" i="58"/>
  <c r="BK205" i="58"/>
  <c r="BK204" i="58"/>
  <c r="BK203" i="58"/>
  <c r="BK202" i="58"/>
  <c r="BK201" i="58"/>
  <c r="BK200" i="58"/>
  <c r="BK199" i="58"/>
  <c r="BK198" i="58"/>
  <c r="BK197" i="58"/>
  <c r="BK196" i="58"/>
  <c r="BK195" i="58"/>
  <c r="BK194" i="58"/>
  <c r="BK193" i="58"/>
  <c r="BK192" i="58"/>
  <c r="BK191" i="58"/>
  <c r="BK190" i="58"/>
  <c r="BK189" i="58"/>
  <c r="BK188" i="58"/>
  <c r="BK187" i="58"/>
  <c r="BK186" i="58"/>
  <c r="BK185" i="58"/>
  <c r="BK184" i="58"/>
  <c r="BK183" i="58"/>
  <c r="BK182" i="58"/>
  <c r="BK181" i="58"/>
  <c r="BK180" i="58"/>
  <c r="BK179" i="58"/>
  <c r="BK178" i="58"/>
  <c r="BK177" i="58"/>
  <c r="BK176" i="58"/>
  <c r="BK175" i="58"/>
  <c r="BK174" i="58"/>
  <c r="BK173" i="58"/>
  <c r="BK172" i="58"/>
  <c r="BK171" i="58"/>
  <c r="BK170" i="58"/>
  <c r="BK169" i="58"/>
  <c r="BK168" i="58"/>
  <c r="BK167" i="58"/>
  <c r="BK166" i="58"/>
  <c r="BK165" i="58"/>
  <c r="BK164" i="58"/>
  <c r="BK163" i="58"/>
  <c r="BK162" i="58"/>
  <c r="BK161" i="58"/>
  <c r="BK160" i="58"/>
  <c r="BK159" i="58"/>
  <c r="BK158" i="58"/>
  <c r="BK157" i="58"/>
  <c r="BK156" i="58"/>
  <c r="BK155" i="58"/>
  <c r="BK154" i="58"/>
  <c r="BK153" i="58"/>
  <c r="BK152" i="58"/>
  <c r="BK151" i="58"/>
  <c r="BK150" i="58"/>
  <c r="BK149" i="58"/>
  <c r="BK148" i="58"/>
  <c r="BK147" i="58"/>
  <c r="BK146" i="58"/>
  <c r="BK145" i="58"/>
  <c r="BK144" i="58"/>
  <c r="BK143" i="58"/>
  <c r="BK142" i="58"/>
  <c r="BK141" i="58"/>
  <c r="BK140" i="58"/>
  <c r="BK139" i="58"/>
  <c r="BK138" i="58"/>
  <c r="BK137" i="58"/>
  <c r="BK135" i="58"/>
  <c r="BK134" i="58"/>
  <c r="BK133" i="58"/>
  <c r="BK132" i="58"/>
  <c r="BK131" i="58"/>
  <c r="BK130" i="58"/>
  <c r="BK129" i="58"/>
  <c r="BK128" i="58"/>
  <c r="BK127" i="58"/>
  <c r="BK126" i="58"/>
  <c r="BK125" i="58"/>
  <c r="BK123" i="58"/>
  <c r="BK122" i="58"/>
  <c r="BK121" i="58"/>
  <c r="BK120" i="58"/>
  <c r="BK119" i="58"/>
  <c r="BK118" i="58"/>
  <c r="BK117" i="58"/>
  <c r="BK116" i="58"/>
  <c r="BK115" i="58"/>
  <c r="BK114" i="58"/>
  <c r="BK113" i="58"/>
  <c r="BK112" i="58"/>
  <c r="BK111" i="58"/>
  <c r="BK110" i="58"/>
  <c r="BK109" i="58"/>
  <c r="BK108" i="58"/>
  <c r="BK107" i="58"/>
  <c r="BK106" i="58"/>
  <c r="BK105" i="58"/>
  <c r="BK104" i="58"/>
  <c r="BK103" i="58"/>
  <c r="BK102" i="58"/>
  <c r="BK101" i="58"/>
  <c r="BK100" i="58"/>
  <c r="BK99" i="58"/>
  <c r="BK98" i="58"/>
  <c r="BK97" i="58"/>
  <c r="BK96" i="58"/>
  <c r="BK95" i="58"/>
  <c r="BK94" i="58"/>
  <c r="BK93" i="58"/>
  <c r="BK92" i="58"/>
  <c r="BK91" i="58"/>
  <c r="BK90" i="58"/>
  <c r="BK89" i="58"/>
  <c r="BK88" i="58"/>
  <c r="BK87" i="58"/>
  <c r="BK86" i="58"/>
  <c r="BK85" i="58"/>
  <c r="BK84" i="58"/>
  <c r="BK83" i="58"/>
  <c r="BK82" i="58"/>
  <c r="BK81" i="58"/>
  <c r="BK80" i="58"/>
  <c r="BK79" i="58"/>
  <c r="BK78" i="58"/>
  <c r="BK77" i="58"/>
  <c r="BK76" i="58"/>
  <c r="BK75" i="58"/>
  <c r="BK74" i="58"/>
  <c r="BK73" i="58"/>
  <c r="BK72" i="58"/>
  <c r="BK71" i="58"/>
  <c r="BK70" i="58"/>
  <c r="BK69" i="58"/>
  <c r="BK68" i="58"/>
  <c r="BK67" i="58"/>
  <c r="BK66" i="58"/>
  <c r="BK65" i="58"/>
  <c r="BK63" i="58"/>
  <c r="BK62" i="58"/>
  <c r="BK61" i="58"/>
  <c r="BK60" i="58"/>
  <c r="BK59" i="58"/>
  <c r="BK58" i="58"/>
  <c r="BK57" i="58"/>
  <c r="BK56" i="58"/>
  <c r="BK55" i="58"/>
  <c r="BK54" i="58"/>
  <c r="BK53" i="58"/>
  <c r="BK52" i="58"/>
  <c r="BK51" i="58"/>
  <c r="BK50" i="58"/>
  <c r="BK49" i="58"/>
  <c r="BK48" i="58"/>
  <c r="BK47" i="58"/>
  <c r="BK46" i="58"/>
  <c r="BK45" i="58"/>
  <c r="BK44" i="58"/>
  <c r="BK43" i="58"/>
  <c r="BK42" i="58"/>
  <c r="BK41" i="58"/>
  <c r="BK40" i="58"/>
  <c r="BK39" i="58"/>
  <c r="BK38" i="58"/>
  <c r="BK37" i="58"/>
  <c r="BK36" i="58"/>
  <c r="BK35" i="58"/>
  <c r="BK34" i="58"/>
  <c r="BK33" i="58"/>
  <c r="BK32" i="58"/>
  <c r="BK31" i="58"/>
  <c r="BK30" i="58"/>
  <c r="BK29" i="58"/>
  <c r="BK28" i="58"/>
  <c r="BK27" i="58"/>
  <c r="BK26" i="58"/>
  <c r="BK25" i="58"/>
  <c r="BK24" i="58"/>
  <c r="BK23" i="58"/>
  <c r="BK22" i="58"/>
  <c r="BK21" i="58"/>
  <c r="BK20" i="58"/>
  <c r="BK19" i="58"/>
  <c r="BK18" i="58"/>
  <c r="BK17" i="58"/>
  <c r="BK16" i="58"/>
  <c r="BK15" i="58"/>
  <c r="BK14" i="58"/>
  <c r="BK13" i="58"/>
  <c r="BK12" i="58"/>
  <c r="BK11" i="58"/>
  <c r="BK10" i="58"/>
  <c r="BK9" i="58"/>
  <c r="BK8" i="58"/>
  <c r="BK7" i="58"/>
  <c r="BK6" i="58"/>
  <c r="BK5" i="58"/>
  <c r="BK4" i="58"/>
  <c r="BK3" i="58"/>
  <c r="BK2" i="58"/>
  <c r="F12" i="1"/>
  <c r="H3" i="34"/>
  <c r="H3" i="24"/>
  <c r="H3" i="6"/>
  <c r="J18" i="9"/>
  <c r="F14" i="9"/>
  <c r="L18" i="9"/>
  <c r="K18" i="9"/>
  <c r="I18" i="9"/>
  <c r="H18" i="9"/>
  <c r="G18" i="9"/>
  <c r="F18" i="9"/>
  <c r="L14" i="9"/>
  <c r="K14" i="9"/>
  <c r="J14" i="9"/>
  <c r="I14" i="9"/>
  <c r="H14" i="9"/>
  <c r="G14" i="9"/>
  <c r="E18" i="9"/>
  <c r="E14" i="9"/>
  <c r="I3" i="64"/>
  <c r="X87" i="64"/>
  <c r="S87" i="64"/>
  <c r="N87" i="64"/>
  <c r="X86" i="64"/>
  <c r="S86" i="64"/>
  <c r="N86" i="64"/>
  <c r="X85" i="64"/>
  <c r="S85" i="64"/>
  <c r="N85" i="64"/>
  <c r="X84" i="64"/>
  <c r="S84" i="64"/>
  <c r="N84" i="64"/>
  <c r="X83" i="64"/>
  <c r="S83" i="64"/>
  <c r="N83" i="64"/>
  <c r="X82" i="64"/>
  <c r="S82" i="64"/>
  <c r="N82" i="64"/>
  <c r="X81" i="64"/>
  <c r="S81" i="64"/>
  <c r="N81" i="64"/>
  <c r="X80" i="64"/>
  <c r="S80" i="64"/>
  <c r="N80" i="64"/>
  <c r="X79" i="64"/>
  <c r="S79" i="64"/>
  <c r="N79" i="64"/>
  <c r="X78" i="64"/>
  <c r="S78" i="64"/>
  <c r="N78" i="64"/>
  <c r="X77" i="64"/>
  <c r="S77" i="64"/>
  <c r="N77" i="64"/>
  <c r="X76" i="64"/>
  <c r="S76" i="64"/>
  <c r="N76" i="64"/>
  <c r="X75" i="64"/>
  <c r="S75" i="64"/>
  <c r="N75" i="64"/>
  <c r="X74" i="64"/>
  <c r="S74" i="64"/>
  <c r="N74" i="64"/>
  <c r="X73" i="64"/>
  <c r="S73" i="64"/>
  <c r="N73" i="64"/>
  <c r="X72" i="64"/>
  <c r="S72" i="64"/>
  <c r="N72" i="64"/>
  <c r="X71" i="64"/>
  <c r="S71" i="64"/>
  <c r="N71" i="64"/>
  <c r="X70" i="64"/>
  <c r="S70" i="64"/>
  <c r="N70" i="64"/>
  <c r="X69" i="64"/>
  <c r="S69" i="64"/>
  <c r="N69" i="64"/>
  <c r="X68" i="64"/>
  <c r="S68" i="64"/>
  <c r="N68" i="64"/>
  <c r="X67" i="64"/>
  <c r="S67" i="64"/>
  <c r="N67" i="64"/>
  <c r="X66" i="64"/>
  <c r="S66" i="64"/>
  <c r="N66" i="64"/>
  <c r="X65" i="64"/>
  <c r="S65" i="64"/>
  <c r="N65" i="64"/>
  <c r="X64" i="64"/>
  <c r="S64" i="64"/>
  <c r="N64" i="64"/>
  <c r="X63" i="64"/>
  <c r="S63" i="64"/>
  <c r="N63" i="64"/>
  <c r="X62" i="64"/>
  <c r="S62" i="64"/>
  <c r="N62" i="64"/>
  <c r="X61" i="64"/>
  <c r="S61" i="64"/>
  <c r="N61" i="64"/>
  <c r="X60" i="64"/>
  <c r="S60" i="64"/>
  <c r="N60" i="64"/>
  <c r="X59" i="64"/>
  <c r="S59" i="64"/>
  <c r="N59" i="64"/>
  <c r="X58" i="64"/>
  <c r="S58" i="64"/>
  <c r="N58" i="64"/>
  <c r="X57" i="64"/>
  <c r="S57" i="64"/>
  <c r="N57" i="64"/>
  <c r="X56" i="64"/>
  <c r="S56" i="64"/>
  <c r="N56" i="64"/>
  <c r="X55" i="64"/>
  <c r="S55" i="64"/>
  <c r="N55" i="64"/>
  <c r="X47" i="64"/>
  <c r="S47" i="64"/>
  <c r="N47" i="64"/>
  <c r="X46" i="64"/>
  <c r="S46" i="64"/>
  <c r="N46" i="64"/>
  <c r="X45" i="64"/>
  <c r="S45" i="64"/>
  <c r="N45" i="64"/>
  <c r="X44" i="64"/>
  <c r="S44" i="64"/>
  <c r="N44" i="64"/>
  <c r="X43" i="64"/>
  <c r="S43" i="64"/>
  <c r="N43" i="64"/>
  <c r="X42" i="64"/>
  <c r="S42" i="64"/>
  <c r="N42" i="64"/>
  <c r="X41" i="64"/>
  <c r="S41" i="64"/>
  <c r="N41" i="64"/>
  <c r="X40" i="64"/>
  <c r="S40" i="64"/>
  <c r="N40" i="64"/>
  <c r="X39" i="64"/>
  <c r="S39" i="64"/>
  <c r="N39" i="64"/>
  <c r="X38" i="64"/>
  <c r="S38" i="64"/>
  <c r="N38" i="64"/>
  <c r="X37" i="64"/>
  <c r="S37" i="64"/>
  <c r="N37" i="64"/>
  <c r="X36" i="64"/>
  <c r="S36" i="64"/>
  <c r="N36" i="64"/>
  <c r="X35" i="64"/>
  <c r="S35" i="64"/>
  <c r="N35" i="64"/>
  <c r="X34" i="64"/>
  <c r="S34" i="64"/>
  <c r="N34" i="64"/>
  <c r="X33" i="64"/>
  <c r="S33" i="64"/>
  <c r="N33" i="64"/>
  <c r="X32" i="64"/>
  <c r="S32" i="64"/>
  <c r="N32" i="64"/>
  <c r="X31" i="64"/>
  <c r="S31" i="64"/>
  <c r="N31" i="64"/>
  <c r="X30" i="64"/>
  <c r="S30" i="64"/>
  <c r="N30" i="64"/>
  <c r="X29" i="64"/>
  <c r="S29" i="64"/>
  <c r="N29" i="64"/>
  <c r="X28" i="64"/>
  <c r="S28" i="64"/>
  <c r="N28" i="64"/>
  <c r="X27" i="64"/>
  <c r="S27" i="64"/>
  <c r="N27" i="64"/>
  <c r="X26" i="64"/>
  <c r="S26" i="64"/>
  <c r="N26" i="64"/>
  <c r="X25" i="64"/>
  <c r="S25" i="64"/>
  <c r="N25" i="64"/>
  <c r="X24" i="64"/>
  <c r="S24" i="64"/>
  <c r="N24" i="64"/>
  <c r="X23" i="64"/>
  <c r="S23" i="64"/>
  <c r="N23" i="64"/>
  <c r="X22" i="64"/>
  <c r="S22" i="64"/>
  <c r="N22" i="64"/>
  <c r="X21" i="64"/>
  <c r="S21" i="64"/>
  <c r="N21" i="64"/>
  <c r="X20" i="64"/>
  <c r="S20" i="64"/>
  <c r="N20" i="64"/>
  <c r="X19" i="64"/>
  <c r="S19" i="64"/>
  <c r="N19" i="64"/>
  <c r="X18" i="64"/>
  <c r="S18" i="64"/>
  <c r="N18" i="64"/>
  <c r="X17" i="64"/>
  <c r="S17" i="64"/>
  <c r="N17" i="64"/>
  <c r="X16" i="64"/>
  <c r="S16" i="64"/>
  <c r="N16" i="64"/>
  <c r="X15" i="64"/>
  <c r="S15" i="64"/>
  <c r="N15" i="64"/>
  <c r="I5" i="64"/>
  <c r="C5" i="64"/>
  <c r="C3" i="64"/>
  <c r="AF162" i="22"/>
  <c r="AG162" i="22" s="1"/>
  <c r="Y162" i="22"/>
  <c r="Z162" i="22" s="1"/>
  <c r="R162" i="22"/>
  <c r="S162" i="22" s="1"/>
  <c r="AF161" i="22"/>
  <c r="AG161" i="22" s="1"/>
  <c r="Y161" i="22"/>
  <c r="R161" i="22"/>
  <c r="S161" i="22" s="1"/>
  <c r="AF160" i="22"/>
  <c r="AG160" i="22" s="1"/>
  <c r="Y160" i="22"/>
  <c r="Z160" i="22" s="1"/>
  <c r="R160" i="22"/>
  <c r="AF159" i="22"/>
  <c r="AG159" i="22" s="1"/>
  <c r="Y159" i="22"/>
  <c r="R159" i="22"/>
  <c r="S159" i="22" s="1"/>
  <c r="AF158" i="22"/>
  <c r="AG158" i="22" s="1"/>
  <c r="Y158" i="22"/>
  <c r="Z158" i="22" s="1"/>
  <c r="R158" i="22"/>
  <c r="AF157" i="22"/>
  <c r="AG157" i="22" s="1"/>
  <c r="Y157" i="22"/>
  <c r="Z157" i="22" s="1"/>
  <c r="R157" i="22"/>
  <c r="AF156" i="22"/>
  <c r="Y156" i="22"/>
  <c r="Z156" i="22" s="1"/>
  <c r="R156" i="22"/>
  <c r="S156" i="22" s="1"/>
  <c r="AF155" i="22"/>
  <c r="AG155" i="22" s="1"/>
  <c r="Y155" i="22"/>
  <c r="Z155" i="22" s="1"/>
  <c r="R155" i="22"/>
  <c r="AF154" i="22"/>
  <c r="AG154" i="22" s="1"/>
  <c r="Y154" i="22"/>
  <c r="R154" i="22"/>
  <c r="S154" i="22" s="1"/>
  <c r="AF153" i="22"/>
  <c r="AG153" i="22" s="1"/>
  <c r="Y153" i="22"/>
  <c r="Z153" i="22" s="1"/>
  <c r="R153" i="22"/>
  <c r="AF140" i="22"/>
  <c r="AG140" i="22" s="1"/>
  <c r="Y140" i="22"/>
  <c r="Z140" i="22" s="1"/>
  <c r="R140" i="22"/>
  <c r="S140" i="22" s="1"/>
  <c r="AF139" i="22"/>
  <c r="AG139" i="22" s="1"/>
  <c r="Y139" i="22"/>
  <c r="Z139" i="22" s="1"/>
  <c r="R139" i="22"/>
  <c r="AF125" i="22"/>
  <c r="AG125" i="22" s="1"/>
  <c r="Y125" i="22"/>
  <c r="Z125" i="22" s="1"/>
  <c r="R125" i="22"/>
  <c r="AF82" i="22"/>
  <c r="AG82" i="22" s="1"/>
  <c r="Y82" i="22"/>
  <c r="Z82" i="22" s="1"/>
  <c r="R82" i="22"/>
  <c r="AF81" i="22"/>
  <c r="AG81" i="22" s="1"/>
  <c r="Y81" i="22"/>
  <c r="R81" i="22"/>
  <c r="S81" i="22" s="1"/>
  <c r="AF80" i="22"/>
  <c r="AG80" i="22" s="1"/>
  <c r="Y80" i="22"/>
  <c r="Z80" i="22" s="1"/>
  <c r="R80" i="22"/>
  <c r="AF79" i="22"/>
  <c r="AG79" i="22" s="1"/>
  <c r="Y79" i="22"/>
  <c r="Z79" i="22" s="1"/>
  <c r="R79" i="22"/>
  <c r="AF78" i="22"/>
  <c r="Y78" i="22"/>
  <c r="Z78" i="22" s="1"/>
  <c r="R78" i="22"/>
  <c r="S78" i="22" s="1"/>
  <c r="AF77" i="22"/>
  <c r="AG77" i="22" s="1"/>
  <c r="Y77" i="22"/>
  <c r="R77" i="22"/>
  <c r="S77" i="22" s="1"/>
  <c r="AF76" i="22"/>
  <c r="AG76" i="22" s="1"/>
  <c r="Y76" i="22"/>
  <c r="Z76" i="22" s="1"/>
  <c r="R76" i="22"/>
  <c r="AF75" i="22"/>
  <c r="AG75" i="22" s="1"/>
  <c r="Y75" i="22"/>
  <c r="Z75" i="22" s="1"/>
  <c r="R75" i="22"/>
  <c r="AF74" i="22"/>
  <c r="AG74" i="22" s="1"/>
  <c r="Y74" i="22"/>
  <c r="Z74" i="22" s="1"/>
  <c r="R74" i="22"/>
  <c r="S74" i="22" s="1"/>
  <c r="AF73" i="22"/>
  <c r="AG73" i="22" s="1"/>
  <c r="Y73" i="22"/>
  <c r="Z73" i="22" s="1"/>
  <c r="R73" i="22"/>
  <c r="AF33" i="22"/>
  <c r="AG33" i="22" s="1"/>
  <c r="Y33" i="22"/>
  <c r="R33" i="22"/>
  <c r="S33" i="22" s="1"/>
  <c r="AF32" i="22"/>
  <c r="Y32" i="22"/>
  <c r="Z32" i="22" s="1"/>
  <c r="R32" i="22"/>
  <c r="S32" i="22" s="1"/>
  <c r="AF31" i="22"/>
  <c r="AG31" i="22" s="1"/>
  <c r="Y31" i="22"/>
  <c r="Z31" i="22" s="1"/>
  <c r="R31" i="22"/>
  <c r="AF30" i="22"/>
  <c r="Y30" i="22"/>
  <c r="Z30" i="22" s="1"/>
  <c r="R30" i="22"/>
  <c r="S30" i="22" s="1"/>
  <c r="AF29" i="22"/>
  <c r="AG29" i="22" s="1"/>
  <c r="Y29" i="22"/>
  <c r="Z29" i="22" s="1"/>
  <c r="R29" i="22"/>
  <c r="AF28" i="22"/>
  <c r="AG28" i="22" s="1"/>
  <c r="Y28" i="22"/>
  <c r="Z28" i="22" s="1"/>
  <c r="R28" i="22"/>
  <c r="S28" i="22" s="1"/>
  <c r="AF27" i="22"/>
  <c r="AG27" i="22" s="1"/>
  <c r="Y27" i="22"/>
  <c r="R27" i="22"/>
  <c r="S27" i="22" s="1"/>
  <c r="AF26" i="22"/>
  <c r="AG26" i="22" s="1"/>
  <c r="Y26" i="22"/>
  <c r="Z26" i="22" s="1"/>
  <c r="R26" i="22"/>
  <c r="S26" i="22" s="1"/>
  <c r="AF25" i="22"/>
  <c r="AG25" i="22" s="1"/>
  <c r="Y25" i="22"/>
  <c r="Z25" i="22" s="1"/>
  <c r="R25" i="22"/>
  <c r="AF24" i="22"/>
  <c r="AG24" i="22" s="1"/>
  <c r="Y24" i="22"/>
  <c r="Z24" i="22" s="1"/>
  <c r="R24" i="22"/>
  <c r="AF23" i="22"/>
  <c r="AG23" i="22" s="1"/>
  <c r="Y23" i="22"/>
  <c r="Z23" i="22" s="1"/>
  <c r="R23" i="22"/>
  <c r="AF138" i="22"/>
  <c r="AG138" i="22" s="1"/>
  <c r="Y138" i="22"/>
  <c r="Z138" i="22" s="1"/>
  <c r="R138" i="22"/>
  <c r="S138" i="22" s="1"/>
  <c r="AF137" i="22"/>
  <c r="Y137" i="22"/>
  <c r="Z137" i="22" s="1"/>
  <c r="R137" i="22"/>
  <c r="S137" i="22" s="1"/>
  <c r="L5" i="17"/>
  <c r="J4" i="21"/>
  <c r="AG87" i="24"/>
  <c r="AH87" i="24" s="1"/>
  <c r="AG86" i="24"/>
  <c r="AH86" i="24" s="1"/>
  <c r="AG85" i="24"/>
  <c r="AH85" i="24" s="1"/>
  <c r="AG84" i="24"/>
  <c r="AH84" i="24" s="1"/>
  <c r="AG83" i="24"/>
  <c r="AG82" i="24"/>
  <c r="AH82" i="24" s="1"/>
  <c r="Z87" i="24"/>
  <c r="Z86" i="24"/>
  <c r="Z85" i="24"/>
  <c r="Z84" i="24"/>
  <c r="AA84" i="24" s="1"/>
  <c r="Z83" i="24"/>
  <c r="AA83" i="24" s="1"/>
  <c r="Z82" i="24"/>
  <c r="S87" i="24"/>
  <c r="T87" i="24" s="1"/>
  <c r="S86" i="24"/>
  <c r="T86" i="24" s="1"/>
  <c r="S85" i="24"/>
  <c r="T85" i="24" s="1"/>
  <c r="S84" i="24"/>
  <c r="H3" i="23"/>
  <c r="F3" i="21"/>
  <c r="H3" i="9"/>
  <c r="I3" i="35"/>
  <c r="H3" i="17"/>
  <c r="H3" i="22"/>
  <c r="AF97" i="22"/>
  <c r="AG97" i="22" s="1"/>
  <c r="Y97" i="22"/>
  <c r="R97" i="22"/>
  <c r="S97" i="22" s="1"/>
  <c r="AF96" i="22"/>
  <c r="AG96" i="22" s="1"/>
  <c r="Y96" i="22"/>
  <c r="Z96" i="22" s="1"/>
  <c r="R96" i="22"/>
  <c r="AF95" i="22"/>
  <c r="AG95" i="22" s="1"/>
  <c r="Y95" i="22"/>
  <c r="Z95" i="22" s="1"/>
  <c r="R95" i="22"/>
  <c r="H3" i="11"/>
  <c r="H3" i="15"/>
  <c r="I3" i="14"/>
  <c r="G128" i="58"/>
  <c r="G127" i="58"/>
  <c r="G119" i="58"/>
  <c r="G112" i="58"/>
  <c r="G111" i="58"/>
  <c r="G105" i="58"/>
  <c r="G104" i="58"/>
  <c r="G98" i="58"/>
  <c r="G91" i="58"/>
  <c r="H5" i="6"/>
  <c r="I5" i="35"/>
  <c r="H5" i="34"/>
  <c r="H5" i="24"/>
  <c r="I5" i="14"/>
  <c r="H5" i="23"/>
  <c r="H5" i="22"/>
  <c r="H5" i="11"/>
  <c r="H5" i="17"/>
  <c r="F5" i="21"/>
  <c r="H5" i="15"/>
  <c r="H5" i="9"/>
  <c r="R22" i="22"/>
  <c r="Y22" i="22"/>
  <c r="Z22" i="22" s="1"/>
  <c r="AF22" i="22"/>
  <c r="AG22" i="22" s="1"/>
  <c r="R98" i="22"/>
  <c r="Y98" i="22"/>
  <c r="Z98" i="22" s="1"/>
  <c r="AF98" i="22"/>
  <c r="AG98" i="22" s="1"/>
  <c r="R99" i="22"/>
  <c r="Y99" i="22"/>
  <c r="Z99" i="22" s="1"/>
  <c r="AF99" i="22"/>
  <c r="AG99" i="22" s="1"/>
  <c r="R100" i="22"/>
  <c r="S100" i="22" s="1"/>
  <c r="Y100" i="22"/>
  <c r="Z100" i="22" s="1"/>
  <c r="AF100" i="22"/>
  <c r="R101" i="22"/>
  <c r="Y101" i="22"/>
  <c r="Z101" i="22" s="1"/>
  <c r="AF101" i="22"/>
  <c r="AG101" i="22" s="1"/>
  <c r="R102" i="22"/>
  <c r="S102" i="22" s="1"/>
  <c r="Y102" i="22"/>
  <c r="Z102" i="22" s="1"/>
  <c r="AF102" i="22"/>
  <c r="R103" i="22"/>
  <c r="S103" i="22" s="1"/>
  <c r="Y103" i="22"/>
  <c r="Z103" i="22" s="1"/>
  <c r="AF103" i="22"/>
  <c r="R104" i="22"/>
  <c r="Y104" i="22"/>
  <c r="Z104" i="22" s="1"/>
  <c r="AF104" i="22"/>
  <c r="AG104" i="22" s="1"/>
  <c r="R105" i="22"/>
  <c r="S105" i="22" s="1"/>
  <c r="Y105" i="22"/>
  <c r="Z105" i="22" s="1"/>
  <c r="AF105" i="22"/>
  <c r="AG105" i="22" s="1"/>
  <c r="R106" i="22"/>
  <c r="Y106" i="22"/>
  <c r="Z106" i="22" s="1"/>
  <c r="AF106" i="22"/>
  <c r="AG106" i="22" s="1"/>
  <c r="R107" i="22"/>
  <c r="S107" i="22" s="1"/>
  <c r="Y107" i="22"/>
  <c r="AF107" i="22"/>
  <c r="AG107" i="22" s="1"/>
  <c r="R108" i="22"/>
  <c r="S108" i="22" s="1"/>
  <c r="Y108" i="22"/>
  <c r="AF108" i="22"/>
  <c r="AG108" i="22" s="1"/>
  <c r="R109" i="22"/>
  <c r="S109" i="22" s="1"/>
  <c r="Y109" i="22"/>
  <c r="AF109" i="22"/>
  <c r="AG109" i="22" s="1"/>
  <c r="R110" i="22"/>
  <c r="Y110" i="22"/>
  <c r="Z110" i="22" s="1"/>
  <c r="AF110" i="22"/>
  <c r="AG110" i="22" s="1"/>
  <c r="R111" i="22"/>
  <c r="S111" i="22" s="1"/>
  <c r="Y111" i="22"/>
  <c r="Z111" i="22" s="1"/>
  <c r="AF111" i="22"/>
  <c r="AG111" i="22" s="1"/>
  <c r="R112" i="22"/>
  <c r="S112" i="22" s="1"/>
  <c r="Y112" i="22"/>
  <c r="AF112" i="22"/>
  <c r="AG112" i="22" s="1"/>
  <c r="R113" i="22"/>
  <c r="S113" i="22" s="1"/>
  <c r="Y113" i="22"/>
  <c r="AF113" i="22"/>
  <c r="AG113" i="22" s="1"/>
  <c r="R114" i="22"/>
  <c r="S114" i="22" s="1"/>
  <c r="Y114" i="22"/>
  <c r="AF114" i="22"/>
  <c r="AG114" i="22" s="1"/>
  <c r="R115" i="22"/>
  <c r="S115" i="22" s="1"/>
  <c r="Y115" i="22"/>
  <c r="AF115" i="22"/>
  <c r="AG115" i="22" s="1"/>
  <c r="R116" i="22"/>
  <c r="Y116" i="22"/>
  <c r="Z116" i="22" s="1"/>
  <c r="AF116" i="22"/>
  <c r="AG116" i="22" s="1"/>
  <c r="R117" i="22"/>
  <c r="Y117" i="22"/>
  <c r="Z117" i="22" s="1"/>
  <c r="AF117" i="22"/>
  <c r="AG117" i="22" s="1"/>
  <c r="R118" i="22"/>
  <c r="S118" i="22" s="1"/>
  <c r="Y118" i="22"/>
  <c r="AF118" i="22"/>
  <c r="AG118" i="22" s="1"/>
  <c r="R119" i="22"/>
  <c r="S119" i="22" s="1"/>
  <c r="Y119" i="22"/>
  <c r="Z119" i="22" s="1"/>
  <c r="AF119" i="22"/>
  <c r="AG119" i="22" s="1"/>
  <c r="R120" i="22"/>
  <c r="S120" i="22" s="1"/>
  <c r="Y120" i="22"/>
  <c r="AF120" i="22"/>
  <c r="AG120" i="22" s="1"/>
  <c r="R121" i="22"/>
  <c r="S121" i="22" s="1"/>
  <c r="Y121" i="22"/>
  <c r="AF121" i="22"/>
  <c r="AG121" i="22" s="1"/>
  <c r="R122" i="22"/>
  <c r="Y122" i="22"/>
  <c r="Z122" i="22" s="1"/>
  <c r="AF122" i="22"/>
  <c r="AG122" i="22" s="1"/>
  <c r="R123" i="22"/>
  <c r="Y123" i="22"/>
  <c r="Z123" i="22" s="1"/>
  <c r="AF123" i="22"/>
  <c r="AG123" i="22" s="1"/>
  <c r="R124" i="22"/>
  <c r="Y124" i="22"/>
  <c r="Z124" i="22" s="1"/>
  <c r="AF124" i="22"/>
  <c r="AG124" i="22" s="1"/>
  <c r="S76" i="23"/>
  <c r="Z76" i="23"/>
  <c r="AA76" i="23" s="1"/>
  <c r="S77" i="23"/>
  <c r="T77" i="23" s="1"/>
  <c r="Z77" i="23"/>
  <c r="AA77" i="23" s="1"/>
  <c r="AG77" i="23"/>
  <c r="AH77" i="23" s="1"/>
  <c r="S78" i="23"/>
  <c r="T78" i="23" s="1"/>
  <c r="Z78" i="23"/>
  <c r="AG78" i="23"/>
  <c r="AH78" i="23" s="1"/>
  <c r="S79" i="23"/>
  <c r="T79" i="23" s="1"/>
  <c r="Z79" i="23"/>
  <c r="AA79" i="23" s="1"/>
  <c r="AG79" i="23"/>
  <c r="S80" i="23"/>
  <c r="T80" i="23" s="1"/>
  <c r="Z80" i="23"/>
  <c r="AA80" i="23" s="1"/>
  <c r="AG80" i="23"/>
  <c r="AH80" i="23" s="1"/>
  <c r="S26" i="23"/>
  <c r="T26" i="23" s="1"/>
  <c r="Z26" i="23"/>
  <c r="AA26" i="23" s="1"/>
  <c r="AG26" i="23"/>
  <c r="AH26" i="23" s="1"/>
  <c r="S27" i="23"/>
  <c r="T27" i="23" s="1"/>
  <c r="Z27" i="23"/>
  <c r="AG27" i="23"/>
  <c r="S28" i="23"/>
  <c r="Z28" i="23"/>
  <c r="AA28" i="23" s="1"/>
  <c r="AG28" i="23"/>
  <c r="AH28" i="23" s="1"/>
  <c r="S29" i="23"/>
  <c r="T29" i="23" s="1"/>
  <c r="Z29" i="23"/>
  <c r="AG29" i="23"/>
  <c r="AH29" i="23" s="1"/>
  <c r="S30" i="23"/>
  <c r="T30" i="23" s="1"/>
  <c r="Z30" i="23"/>
  <c r="AG30" i="23"/>
  <c r="AH30" i="23" s="1"/>
  <c r="S31" i="23"/>
  <c r="T31" i="23" s="1"/>
  <c r="Z31" i="23"/>
  <c r="AA31" i="23" s="1"/>
  <c r="AG31" i="23"/>
  <c r="AH31" i="23" s="1"/>
  <c r="S32" i="23"/>
  <c r="T32" i="23" s="1"/>
  <c r="Z32" i="23"/>
  <c r="AG32" i="23"/>
  <c r="AH32" i="23" s="1"/>
  <c r="S33" i="23"/>
  <c r="Z33" i="23"/>
  <c r="AA33" i="23" s="1"/>
  <c r="AG33" i="23"/>
  <c r="AH33" i="23" s="1"/>
  <c r="S34" i="23"/>
  <c r="T34" i="23" s="1"/>
  <c r="Z34" i="23"/>
  <c r="AA34" i="23" s="1"/>
  <c r="AG34" i="23"/>
  <c r="S35" i="23"/>
  <c r="T35" i="23" s="1"/>
  <c r="Z35" i="23"/>
  <c r="AG35" i="23"/>
  <c r="AH35" i="23" s="1"/>
  <c r="S36" i="23"/>
  <c r="T36" i="23" s="1"/>
  <c r="Z36" i="23"/>
  <c r="AG36" i="23"/>
  <c r="AH36" i="23" s="1"/>
  <c r="S37" i="23"/>
  <c r="T37" i="23" s="1"/>
  <c r="Z37" i="23"/>
  <c r="AA37" i="23" s="1"/>
  <c r="AG37" i="23"/>
  <c r="AH37" i="23" s="1"/>
  <c r="S38" i="23"/>
  <c r="Z38" i="23"/>
  <c r="AA38" i="23" s="1"/>
  <c r="AG38" i="23"/>
  <c r="AH38" i="23" s="1"/>
  <c r="S39" i="23"/>
  <c r="Z39" i="23"/>
  <c r="AA39" i="23" s="1"/>
  <c r="AG39" i="23"/>
  <c r="AH39" i="23" s="1"/>
  <c r="S40" i="23"/>
  <c r="Z40" i="23"/>
  <c r="AA40" i="23" s="1"/>
  <c r="AG40" i="23"/>
  <c r="AH40" i="23" s="1"/>
  <c r="S41" i="23"/>
  <c r="Z41" i="23"/>
  <c r="AA41" i="23" s="1"/>
  <c r="AG41" i="23"/>
  <c r="AH41" i="23" s="1"/>
  <c r="S42" i="23"/>
  <c r="T42" i="23" s="1"/>
  <c r="Z42" i="23"/>
  <c r="AA42" i="23" s="1"/>
  <c r="AG42" i="23"/>
  <c r="S43" i="23"/>
  <c r="Z43" i="23"/>
  <c r="AA43" i="23" s="1"/>
  <c r="AG43" i="23"/>
  <c r="AH43" i="23" s="1"/>
  <c r="C3" i="21"/>
  <c r="C5" i="21"/>
  <c r="AG99" i="15"/>
  <c r="AH99" i="15" s="1"/>
  <c r="AG98" i="15"/>
  <c r="AG97" i="15"/>
  <c r="AH97" i="15" s="1"/>
  <c r="AG96" i="15"/>
  <c r="AH96" i="15" s="1"/>
  <c r="AG95" i="15"/>
  <c r="AH95" i="15" s="1"/>
  <c r="AG94" i="15"/>
  <c r="AG93" i="15"/>
  <c r="AH93" i="15" s="1"/>
  <c r="AG92" i="15"/>
  <c r="AH92" i="15" s="1"/>
  <c r="AG91" i="15"/>
  <c r="AH91" i="15" s="1"/>
  <c r="AG90" i="15"/>
  <c r="AH90" i="15" s="1"/>
  <c r="AG89" i="15"/>
  <c r="AH89" i="15" s="1"/>
  <c r="AG88" i="15"/>
  <c r="AH88" i="15" s="1"/>
  <c r="AG87" i="15"/>
  <c r="AH87" i="15" s="1"/>
  <c r="AG86" i="15"/>
  <c r="AG85" i="15"/>
  <c r="AH85" i="15" s="1"/>
  <c r="AG84" i="15"/>
  <c r="AH84" i="15" s="1"/>
  <c r="AG83" i="15"/>
  <c r="AG82" i="15"/>
  <c r="AH82" i="15" s="1"/>
  <c r="AG69" i="15"/>
  <c r="AH69" i="15" s="1"/>
  <c r="AG68" i="15"/>
  <c r="AH68" i="15" s="1"/>
  <c r="AG67" i="15"/>
  <c r="AG66" i="15"/>
  <c r="AH66" i="15" s="1"/>
  <c r="AG65" i="15"/>
  <c r="AH65" i="15" s="1"/>
  <c r="AG64" i="15"/>
  <c r="AH64" i="15" s="1"/>
  <c r="Z99" i="15"/>
  <c r="Z98" i="15"/>
  <c r="AA98" i="15" s="1"/>
  <c r="Z97" i="15"/>
  <c r="AA97" i="15" s="1"/>
  <c r="Z96" i="15"/>
  <c r="AA96" i="15" s="1"/>
  <c r="Z95" i="15"/>
  <c r="AA95" i="15" s="1"/>
  <c r="Z94" i="15"/>
  <c r="AA94" i="15" s="1"/>
  <c r="Z93" i="15"/>
  <c r="AA93" i="15" s="1"/>
  <c r="Z92" i="15"/>
  <c r="Z91" i="15"/>
  <c r="AA91" i="15" s="1"/>
  <c r="Z90" i="15"/>
  <c r="AA90" i="15" s="1"/>
  <c r="Z89" i="15"/>
  <c r="AA89" i="15" s="1"/>
  <c r="Z88" i="15"/>
  <c r="AA88" i="15" s="1"/>
  <c r="Z87" i="15"/>
  <c r="AA87" i="15" s="1"/>
  <c r="Z86" i="15"/>
  <c r="AA86" i="15" s="1"/>
  <c r="Z85" i="15"/>
  <c r="AA85" i="15" s="1"/>
  <c r="Z84" i="15"/>
  <c r="AA84" i="15" s="1"/>
  <c r="Z69" i="15"/>
  <c r="Z68" i="15"/>
  <c r="Z67" i="15"/>
  <c r="AA67" i="15" s="1"/>
  <c r="Z66" i="15"/>
  <c r="Z65" i="15"/>
  <c r="Z64" i="15"/>
  <c r="S99" i="15"/>
  <c r="T99" i="15" s="1"/>
  <c r="S98" i="15"/>
  <c r="T98" i="15" s="1"/>
  <c r="S97" i="15"/>
  <c r="S96" i="15"/>
  <c r="S95" i="15"/>
  <c r="S94" i="15"/>
  <c r="T94" i="15" s="1"/>
  <c r="S93" i="15"/>
  <c r="S92" i="15"/>
  <c r="T92" i="15" s="1"/>
  <c r="S91" i="15"/>
  <c r="S90" i="15"/>
  <c r="S89" i="15"/>
  <c r="S88" i="15"/>
  <c r="S87" i="15"/>
  <c r="S86" i="15"/>
  <c r="T86" i="15" s="1"/>
  <c r="S85" i="15"/>
  <c r="S84" i="15"/>
  <c r="S83" i="15"/>
  <c r="T83" i="15" s="1"/>
  <c r="S82" i="15"/>
  <c r="T82" i="15" s="1"/>
  <c r="S80" i="15"/>
  <c r="T80" i="15" s="1"/>
  <c r="S79" i="15"/>
  <c r="T79" i="15" s="1"/>
  <c r="S78" i="15"/>
  <c r="S77" i="15"/>
  <c r="T77" i="15" s="1"/>
  <c r="S76" i="15"/>
  <c r="T76" i="15" s="1"/>
  <c r="S75" i="15"/>
  <c r="T75" i="15" s="1"/>
  <c r="S74" i="15"/>
  <c r="S73" i="15"/>
  <c r="T73" i="15" s="1"/>
  <c r="S71" i="15"/>
  <c r="T71" i="15" s="1"/>
  <c r="S70" i="15"/>
  <c r="T70" i="15" s="1"/>
  <c r="S69" i="15"/>
  <c r="T69" i="15" s="1"/>
  <c r="S68" i="15"/>
  <c r="T68" i="15" s="1"/>
  <c r="S67" i="15"/>
  <c r="T67" i="15" s="1"/>
  <c r="S66" i="15"/>
  <c r="T66" i="15" s="1"/>
  <c r="S65" i="15"/>
  <c r="T65" i="15" s="1"/>
  <c r="S64" i="15"/>
  <c r="T64" i="15" s="1"/>
  <c r="Z70" i="15"/>
  <c r="AA70" i="15" s="1"/>
  <c r="AG70" i="15"/>
  <c r="Z71" i="15"/>
  <c r="AA71" i="15" s="1"/>
  <c r="AG71" i="15"/>
  <c r="S72" i="15"/>
  <c r="T72" i="15" s="1"/>
  <c r="Z72" i="15"/>
  <c r="AG72" i="15"/>
  <c r="AH72" i="15" s="1"/>
  <c r="Z73" i="15"/>
  <c r="AA73" i="15" s="1"/>
  <c r="AG73" i="15"/>
  <c r="Z74" i="15"/>
  <c r="AA74" i="15" s="1"/>
  <c r="AG74" i="15"/>
  <c r="AH74" i="15" s="1"/>
  <c r="Z75" i="15"/>
  <c r="AG75" i="15"/>
  <c r="AH75" i="15" s="1"/>
  <c r="Z76" i="15"/>
  <c r="AA76" i="15" s="1"/>
  <c r="AG76" i="15"/>
  <c r="AH76" i="15" s="1"/>
  <c r="Z77" i="15"/>
  <c r="AG77" i="15"/>
  <c r="AH77" i="15" s="1"/>
  <c r="Z78" i="15"/>
  <c r="AA78" i="15" s="1"/>
  <c r="AG78" i="15"/>
  <c r="AH78" i="15" s="1"/>
  <c r="Z79" i="15"/>
  <c r="AA79" i="15" s="1"/>
  <c r="AG79" i="15"/>
  <c r="AH79" i="15" s="1"/>
  <c r="Z80" i="15"/>
  <c r="AA80" i="15" s="1"/>
  <c r="AG80" i="15"/>
  <c r="S81" i="15"/>
  <c r="T81" i="15" s="1"/>
  <c r="Z81" i="15"/>
  <c r="AA81" i="15" s="1"/>
  <c r="AG81" i="15"/>
  <c r="AH81" i="15" s="1"/>
  <c r="Z82" i="15"/>
  <c r="Z83" i="15"/>
  <c r="AA83" i="15" s="1"/>
  <c r="S52" i="15"/>
  <c r="T52" i="15" s="1"/>
  <c r="Z52" i="15"/>
  <c r="AG52" i="15"/>
  <c r="AH52" i="15" s="1"/>
  <c r="S53" i="15"/>
  <c r="T53" i="15" s="1"/>
  <c r="Z53" i="15"/>
  <c r="AA53" i="15" s="1"/>
  <c r="AG53" i="15"/>
  <c r="S54" i="15"/>
  <c r="T54" i="15" s="1"/>
  <c r="Z54" i="15"/>
  <c r="AA54" i="15" s="1"/>
  <c r="AG54" i="15"/>
  <c r="S55" i="15"/>
  <c r="T55" i="15" s="1"/>
  <c r="Z55" i="15"/>
  <c r="AA55" i="15" s="1"/>
  <c r="AG55" i="15"/>
  <c r="S56" i="15"/>
  <c r="T56" i="15" s="1"/>
  <c r="Z56" i="15"/>
  <c r="AA56" i="15" s="1"/>
  <c r="AG56" i="15"/>
  <c r="S57" i="15"/>
  <c r="T57" i="15" s="1"/>
  <c r="Z57" i="15"/>
  <c r="AG57" i="15"/>
  <c r="AH57" i="15" s="1"/>
  <c r="S58" i="15"/>
  <c r="T58" i="15" s="1"/>
  <c r="Z58" i="15"/>
  <c r="AG58" i="15"/>
  <c r="AH58" i="15" s="1"/>
  <c r="S59" i="15"/>
  <c r="T59" i="15" s="1"/>
  <c r="Z59" i="15"/>
  <c r="AG59" i="15"/>
  <c r="AH59" i="15" s="1"/>
  <c r="S60" i="15"/>
  <c r="Z60" i="15"/>
  <c r="AA60" i="15" s="1"/>
  <c r="AG60" i="15"/>
  <c r="AH60" i="15" s="1"/>
  <c r="S61" i="15"/>
  <c r="T61" i="15" s="1"/>
  <c r="Z61" i="15"/>
  <c r="AA61" i="15" s="1"/>
  <c r="AG61" i="15"/>
  <c r="S62" i="15"/>
  <c r="T62" i="15" s="1"/>
  <c r="Z62" i="15"/>
  <c r="AG62" i="15"/>
  <c r="AH62" i="15" s="1"/>
  <c r="S63" i="15"/>
  <c r="Z63" i="15"/>
  <c r="AA63" i="15" s="1"/>
  <c r="AG63" i="15"/>
  <c r="AH63" i="15" s="1"/>
  <c r="S112" i="23"/>
  <c r="Z112" i="23"/>
  <c r="AA112" i="23" s="1"/>
  <c r="AG112" i="23"/>
  <c r="AH112" i="23" s="1"/>
  <c r="S111" i="23"/>
  <c r="Z111" i="23"/>
  <c r="AA111" i="23" s="1"/>
  <c r="AG111" i="23"/>
  <c r="AH111" i="23" s="1"/>
  <c r="S110" i="23"/>
  <c r="T110" i="23" s="1"/>
  <c r="Z110" i="23"/>
  <c r="AA110" i="23" s="1"/>
  <c r="AG110" i="23"/>
  <c r="AH110" i="23" s="1"/>
  <c r="S109" i="23"/>
  <c r="Z109" i="23"/>
  <c r="AA109" i="23" s="1"/>
  <c r="AG109" i="23"/>
  <c r="AH109" i="23" s="1"/>
  <c r="S108" i="23"/>
  <c r="Z108" i="23"/>
  <c r="AA108" i="23" s="1"/>
  <c r="AG108" i="23"/>
  <c r="AH108" i="23" s="1"/>
  <c r="S107" i="23"/>
  <c r="T107" i="23" s="1"/>
  <c r="Z107" i="23"/>
  <c r="AA107" i="23" s="1"/>
  <c r="AG107" i="23"/>
  <c r="AH107" i="23" s="1"/>
  <c r="S106" i="23"/>
  <c r="Z106" i="23"/>
  <c r="AA106" i="23" s="1"/>
  <c r="AG106" i="23"/>
  <c r="AH106" i="23" s="1"/>
  <c r="S105" i="23"/>
  <c r="T105" i="23" s="1"/>
  <c r="Z105" i="23"/>
  <c r="AA105" i="23" s="1"/>
  <c r="AG105" i="23"/>
  <c r="AH105" i="23" s="1"/>
  <c r="S104" i="23"/>
  <c r="T104" i="23" s="1"/>
  <c r="Z104" i="23"/>
  <c r="AA104" i="23" s="1"/>
  <c r="AG104" i="23"/>
  <c r="S47" i="23"/>
  <c r="T47" i="23" s="1"/>
  <c r="S48" i="23"/>
  <c r="S49" i="23"/>
  <c r="S50" i="23"/>
  <c r="T50" i="23" s="1"/>
  <c r="S51" i="23"/>
  <c r="S52" i="23"/>
  <c r="T52" i="23" s="1"/>
  <c r="Z47" i="23"/>
  <c r="AA47" i="23" s="1"/>
  <c r="Z48" i="23"/>
  <c r="AA48" i="23" s="1"/>
  <c r="Z49" i="23"/>
  <c r="AA49" i="23" s="1"/>
  <c r="Z50" i="23"/>
  <c r="AA50" i="23" s="1"/>
  <c r="Z51" i="23"/>
  <c r="AA51" i="23" s="1"/>
  <c r="Z52" i="23"/>
  <c r="AG47" i="23"/>
  <c r="AH47" i="23" s="1"/>
  <c r="AG48" i="23"/>
  <c r="AH48" i="23" s="1"/>
  <c r="AG49" i="23"/>
  <c r="AH49" i="23" s="1"/>
  <c r="AG50" i="23"/>
  <c r="AG51" i="23"/>
  <c r="AH51" i="23" s="1"/>
  <c r="AG52" i="23"/>
  <c r="AH52" i="23" s="1"/>
  <c r="S17" i="23"/>
  <c r="S18" i="23"/>
  <c r="S19" i="23"/>
  <c r="S20" i="23"/>
  <c r="T20" i="23" s="1"/>
  <c r="S21" i="23"/>
  <c r="T21" i="23" s="1"/>
  <c r="S22" i="23"/>
  <c r="T22" i="23" s="1"/>
  <c r="S23" i="23"/>
  <c r="S24" i="23"/>
  <c r="S25" i="23"/>
  <c r="S44" i="23"/>
  <c r="T44" i="23" s="1"/>
  <c r="Z17" i="23"/>
  <c r="AA17" i="23" s="1"/>
  <c r="Z18" i="23"/>
  <c r="AA18" i="23" s="1"/>
  <c r="Z19" i="23"/>
  <c r="AA19" i="23" s="1"/>
  <c r="Z20" i="23"/>
  <c r="Z21" i="23"/>
  <c r="Z22" i="23"/>
  <c r="Z23" i="23"/>
  <c r="AA23" i="23" s="1"/>
  <c r="Z24" i="23"/>
  <c r="AA24" i="23" s="1"/>
  <c r="Z25" i="23"/>
  <c r="AA25" i="23" s="1"/>
  <c r="Z44" i="23"/>
  <c r="AA44" i="23" s="1"/>
  <c r="AG17" i="23"/>
  <c r="AH17" i="23" s="1"/>
  <c r="AG18" i="23"/>
  <c r="AH18" i="23" s="1"/>
  <c r="AG19" i="23"/>
  <c r="AH19" i="23" s="1"/>
  <c r="AG20" i="23"/>
  <c r="AH20" i="23" s="1"/>
  <c r="AG21" i="23"/>
  <c r="AH21" i="23" s="1"/>
  <c r="AG22" i="23"/>
  <c r="AH22" i="23" s="1"/>
  <c r="AG23" i="23"/>
  <c r="AH23" i="23" s="1"/>
  <c r="AG24" i="23"/>
  <c r="AH24" i="23" s="1"/>
  <c r="AG25" i="23"/>
  <c r="AH25" i="23" s="1"/>
  <c r="AG44" i="23"/>
  <c r="AH44" i="23" s="1"/>
  <c r="C5" i="35"/>
  <c r="C3" i="35"/>
  <c r="C5" i="34"/>
  <c r="C3" i="34"/>
  <c r="S115" i="23"/>
  <c r="S116" i="23"/>
  <c r="T116" i="23" s="1"/>
  <c r="S117" i="23"/>
  <c r="S118" i="23"/>
  <c r="S119" i="23"/>
  <c r="T119" i="23" s="1"/>
  <c r="S120" i="23"/>
  <c r="T120" i="23" s="1"/>
  <c r="S121" i="23"/>
  <c r="S122" i="23"/>
  <c r="T122" i="23" s="1"/>
  <c r="Z115" i="23"/>
  <c r="AA115" i="23" s="1"/>
  <c r="Z116" i="23"/>
  <c r="Z117" i="23"/>
  <c r="AA117" i="23" s="1"/>
  <c r="Z118" i="23"/>
  <c r="AA118" i="23" s="1"/>
  <c r="Z119" i="23"/>
  <c r="Z120" i="23"/>
  <c r="AA120" i="23" s="1"/>
  <c r="Z121" i="23"/>
  <c r="AA121" i="23" s="1"/>
  <c r="Z122" i="23"/>
  <c r="AA122" i="23" s="1"/>
  <c r="AG115" i="23"/>
  <c r="AH115" i="23" s="1"/>
  <c r="AG116" i="23"/>
  <c r="AH116" i="23" s="1"/>
  <c r="AG117" i="23"/>
  <c r="AH117" i="23" s="1"/>
  <c r="AG118" i="23"/>
  <c r="AH118" i="23" s="1"/>
  <c r="AG119" i="23"/>
  <c r="AH119" i="23" s="1"/>
  <c r="AG120" i="23"/>
  <c r="AG121" i="23"/>
  <c r="AH121" i="23" s="1"/>
  <c r="AG122" i="23"/>
  <c r="S81" i="23"/>
  <c r="T81" i="23" s="1"/>
  <c r="S82" i="23"/>
  <c r="T82" i="23" s="1"/>
  <c r="Z81" i="23"/>
  <c r="Z82" i="23"/>
  <c r="AA82" i="23" s="1"/>
  <c r="AG81" i="23"/>
  <c r="AH81" i="23" s="1"/>
  <c r="AG82" i="23"/>
  <c r="AH82" i="23" s="1"/>
  <c r="S46" i="23"/>
  <c r="S53" i="23"/>
  <c r="S54" i="23"/>
  <c r="S55" i="23"/>
  <c r="T55" i="23" s="1"/>
  <c r="Z46" i="23"/>
  <c r="AA46" i="23" s="1"/>
  <c r="Z53" i="23"/>
  <c r="AA53" i="23" s="1"/>
  <c r="Z54" i="23"/>
  <c r="AA54" i="23" s="1"/>
  <c r="Z55" i="23"/>
  <c r="AA55" i="23" s="1"/>
  <c r="AG46" i="23"/>
  <c r="AH46" i="23" s="1"/>
  <c r="AG53" i="23"/>
  <c r="AH53" i="23" s="1"/>
  <c r="AG54" i="23"/>
  <c r="AH54" i="23" s="1"/>
  <c r="AG55" i="23"/>
  <c r="AH55" i="23" s="1"/>
  <c r="AG175" i="23"/>
  <c r="AH175" i="23" s="1"/>
  <c r="Z175" i="23"/>
  <c r="AA175" i="23" s="1"/>
  <c r="S175" i="23"/>
  <c r="AG174" i="23"/>
  <c r="AH174" i="23" s="1"/>
  <c r="Z174" i="23"/>
  <c r="S174" i="23"/>
  <c r="T174" i="23" s="1"/>
  <c r="AG173" i="23"/>
  <c r="AH173" i="23" s="1"/>
  <c r="Z173" i="23"/>
  <c r="AA173" i="23" s="1"/>
  <c r="S173" i="23"/>
  <c r="T173" i="23" s="1"/>
  <c r="AG172" i="23"/>
  <c r="AH172" i="23" s="1"/>
  <c r="Z172" i="23"/>
  <c r="S172" i="23"/>
  <c r="T172" i="23" s="1"/>
  <c r="AG171" i="23"/>
  <c r="AH171" i="23" s="1"/>
  <c r="Z171" i="23"/>
  <c r="S171" i="23"/>
  <c r="T171" i="23" s="1"/>
  <c r="AG170" i="23"/>
  <c r="AH170" i="23" s="1"/>
  <c r="Z170" i="23"/>
  <c r="AA170" i="23" s="1"/>
  <c r="S170" i="23"/>
  <c r="AG169" i="23"/>
  <c r="AH169" i="23" s="1"/>
  <c r="Z169" i="23"/>
  <c r="AA169" i="23" s="1"/>
  <c r="S169" i="23"/>
  <c r="AG168" i="23"/>
  <c r="AH168" i="23" s="1"/>
  <c r="Z168" i="23"/>
  <c r="AA168" i="23" s="1"/>
  <c r="S168" i="23"/>
  <c r="AG167" i="23"/>
  <c r="AH167" i="23" s="1"/>
  <c r="Z167" i="23"/>
  <c r="AA167" i="23" s="1"/>
  <c r="S167" i="23"/>
  <c r="T167" i="23" s="1"/>
  <c r="AG166" i="23"/>
  <c r="AH166" i="23" s="1"/>
  <c r="Z166" i="23"/>
  <c r="AA166" i="23" s="1"/>
  <c r="S166" i="23"/>
  <c r="AG165" i="23"/>
  <c r="Z165" i="23"/>
  <c r="AA165" i="23" s="1"/>
  <c r="S165" i="23"/>
  <c r="T165" i="23" s="1"/>
  <c r="AG164" i="23"/>
  <c r="AH164" i="23" s="1"/>
  <c r="Z164" i="23"/>
  <c r="AA164" i="23" s="1"/>
  <c r="S164" i="23"/>
  <c r="C5" i="24"/>
  <c r="C3" i="24"/>
  <c r="AG130" i="23"/>
  <c r="AH130" i="23" s="1"/>
  <c r="Z130" i="23"/>
  <c r="S130" i="23"/>
  <c r="T130" i="23" s="1"/>
  <c r="AG129" i="23"/>
  <c r="Z129" i="23"/>
  <c r="AA129" i="23" s="1"/>
  <c r="S129" i="23"/>
  <c r="T129" i="23" s="1"/>
  <c r="AG128" i="23"/>
  <c r="AH128" i="23" s="1"/>
  <c r="Z128" i="23"/>
  <c r="S128" i="23"/>
  <c r="T128" i="23" s="1"/>
  <c r="AG127" i="23"/>
  <c r="Z127" i="23"/>
  <c r="AA127" i="23" s="1"/>
  <c r="S127" i="23"/>
  <c r="T127" i="23" s="1"/>
  <c r="AG126" i="23"/>
  <c r="Z126" i="23"/>
  <c r="AA126" i="23" s="1"/>
  <c r="S126" i="23"/>
  <c r="T126" i="23" s="1"/>
  <c r="AG125" i="23"/>
  <c r="AH125" i="23" s="1"/>
  <c r="Z125" i="23"/>
  <c r="S125" i="23"/>
  <c r="T125" i="23" s="1"/>
  <c r="AG124" i="23"/>
  <c r="AH124" i="23" s="1"/>
  <c r="Z124" i="23"/>
  <c r="AA124" i="23" s="1"/>
  <c r="S124" i="23"/>
  <c r="AG123" i="23"/>
  <c r="AH123" i="23" s="1"/>
  <c r="Z123" i="23"/>
  <c r="AA123" i="23" s="1"/>
  <c r="S123" i="23"/>
  <c r="AG114" i="23"/>
  <c r="AH114" i="23" s="1"/>
  <c r="Z114" i="23"/>
  <c r="AA114" i="23" s="1"/>
  <c r="S114" i="23"/>
  <c r="AG113" i="23"/>
  <c r="AH113" i="23" s="1"/>
  <c r="Z113" i="23"/>
  <c r="AA113" i="23" s="1"/>
  <c r="S113" i="23"/>
  <c r="AG83" i="23"/>
  <c r="Z83" i="23"/>
  <c r="AA83" i="23" s="1"/>
  <c r="S83" i="23"/>
  <c r="T83" i="23" s="1"/>
  <c r="AG61" i="23"/>
  <c r="Z61" i="23"/>
  <c r="AA61" i="23" s="1"/>
  <c r="S61" i="23"/>
  <c r="T61" i="23" s="1"/>
  <c r="AG60" i="23"/>
  <c r="AH60" i="23" s="1"/>
  <c r="Z60" i="23"/>
  <c r="AA60" i="23" s="1"/>
  <c r="S60" i="23"/>
  <c r="T60" i="23" s="1"/>
  <c r="AG59" i="23"/>
  <c r="AH59" i="23" s="1"/>
  <c r="Z59" i="23"/>
  <c r="S59" i="23"/>
  <c r="T59" i="23" s="1"/>
  <c r="AG58" i="23"/>
  <c r="AH58" i="23" s="1"/>
  <c r="Z58" i="23"/>
  <c r="AA58" i="23" s="1"/>
  <c r="S58" i="23"/>
  <c r="AG57" i="23"/>
  <c r="AH57" i="23" s="1"/>
  <c r="Z57" i="23"/>
  <c r="AA57" i="23" s="1"/>
  <c r="S57" i="23"/>
  <c r="AG56" i="23"/>
  <c r="AH56" i="23" s="1"/>
  <c r="Z56" i="23"/>
  <c r="AA56" i="23" s="1"/>
  <c r="S56" i="23"/>
  <c r="T56" i="23" s="1"/>
  <c r="AG45" i="23"/>
  <c r="AH45" i="23" s="1"/>
  <c r="Z45" i="23"/>
  <c r="AA45" i="23" s="1"/>
  <c r="S45" i="23"/>
  <c r="C5" i="23"/>
  <c r="C3" i="23"/>
  <c r="C5" i="22"/>
  <c r="C3" i="22"/>
  <c r="AG34" i="15"/>
  <c r="AH34" i="15" s="1"/>
  <c r="AG35" i="15"/>
  <c r="AH35" i="15" s="1"/>
  <c r="AG36" i="15"/>
  <c r="AG37" i="15"/>
  <c r="AH37" i="15" s="1"/>
  <c r="AG38" i="15"/>
  <c r="AH38" i="15" s="1"/>
  <c r="AG39" i="15"/>
  <c r="AH39" i="15" s="1"/>
  <c r="AG40" i="15"/>
  <c r="AH40" i="15" s="1"/>
  <c r="AG41" i="15"/>
  <c r="AH41" i="15" s="1"/>
  <c r="AG42" i="15"/>
  <c r="AH42" i="15" s="1"/>
  <c r="AG43" i="15"/>
  <c r="AH43" i="15" s="1"/>
  <c r="AG44" i="15"/>
  <c r="AH44" i="15" s="1"/>
  <c r="AG45" i="15"/>
  <c r="AH45" i="15" s="1"/>
  <c r="AG46" i="15"/>
  <c r="AG47" i="15"/>
  <c r="AH47" i="15" s="1"/>
  <c r="AG48" i="15"/>
  <c r="AH48" i="15" s="1"/>
  <c r="AG49" i="15"/>
  <c r="AH49" i="15" s="1"/>
  <c r="AG50" i="15"/>
  <c r="AH50" i="15" s="1"/>
  <c r="AG51" i="15"/>
  <c r="AH51" i="15" s="1"/>
  <c r="Z34" i="15"/>
  <c r="Z35" i="15"/>
  <c r="AA35" i="15" s="1"/>
  <c r="Z36" i="15"/>
  <c r="AA36" i="15" s="1"/>
  <c r="Z37" i="15"/>
  <c r="Z38" i="15"/>
  <c r="Z39" i="15"/>
  <c r="AA39" i="15" s="1"/>
  <c r="Z40" i="15"/>
  <c r="AA40" i="15" s="1"/>
  <c r="Z41" i="15"/>
  <c r="Z42" i="15"/>
  <c r="Z43" i="15"/>
  <c r="AA43" i="15" s="1"/>
  <c r="Z44" i="15"/>
  <c r="AA44" i="15" s="1"/>
  <c r="Z45" i="15"/>
  <c r="AA45" i="15" s="1"/>
  <c r="Z46" i="15"/>
  <c r="AA46" i="15" s="1"/>
  <c r="Z47" i="15"/>
  <c r="AA47" i="15" s="1"/>
  <c r="Z48" i="15"/>
  <c r="Z49" i="15"/>
  <c r="AA49" i="15" s="1"/>
  <c r="Z50" i="15"/>
  <c r="AA50" i="15" s="1"/>
  <c r="Z51" i="15"/>
  <c r="AA51" i="15" s="1"/>
  <c r="S51" i="15"/>
  <c r="S34" i="15"/>
  <c r="T34" i="15" s="1"/>
  <c r="S35" i="15"/>
  <c r="T35" i="15" s="1"/>
  <c r="S36" i="15"/>
  <c r="T36" i="15" s="1"/>
  <c r="S37" i="15"/>
  <c r="T37" i="15" s="1"/>
  <c r="S38" i="15"/>
  <c r="T38" i="15" s="1"/>
  <c r="S39" i="15"/>
  <c r="S40" i="15"/>
  <c r="S41" i="15"/>
  <c r="T41" i="15" s="1"/>
  <c r="S42" i="15"/>
  <c r="T42" i="15" s="1"/>
  <c r="S43" i="15"/>
  <c r="T43" i="15" s="1"/>
  <c r="S44" i="15"/>
  <c r="S45" i="15"/>
  <c r="S46" i="15"/>
  <c r="T46" i="15" s="1"/>
  <c r="S47" i="15"/>
  <c r="S48" i="15"/>
  <c r="T48" i="15" s="1"/>
  <c r="S49" i="15"/>
  <c r="S50" i="15"/>
  <c r="C5" i="17"/>
  <c r="C3" i="17"/>
  <c r="C5" i="15"/>
  <c r="C3" i="15"/>
  <c r="C5" i="14"/>
  <c r="C3" i="14"/>
  <c r="C5" i="11"/>
  <c r="C3" i="11"/>
  <c r="C5" i="9"/>
  <c r="C3" i="9"/>
  <c r="C5" i="6"/>
  <c r="C3" i="6"/>
  <c r="AB41" i="21"/>
  <c r="S124" i="35"/>
  <c r="AR10" i="58"/>
  <c r="R8" i="58"/>
  <c r="AR12" i="58"/>
  <c r="R261" i="58"/>
  <c r="BG16" i="24"/>
  <c r="BH45" i="17"/>
  <c r="BC45" i="17"/>
  <c r="AZ45" i="17"/>
  <c r="R676" i="35"/>
  <c r="R675" i="35" s="1"/>
  <c r="R419" i="35"/>
  <c r="R418" i="35" s="1"/>
  <c r="R505" i="35"/>
  <c r="R504" i="35" s="1"/>
  <c r="P676" i="35"/>
  <c r="P675" i="35" s="1"/>
  <c r="AP113" i="58" s="1"/>
  <c r="P419" i="35"/>
  <c r="P505" i="35"/>
  <c r="P504" i="35" s="1"/>
  <c r="AP118" i="58" s="1"/>
  <c r="K245" i="35"/>
  <c r="K682" i="35"/>
  <c r="K681" i="35" s="1"/>
  <c r="F603" i="35"/>
  <c r="S245" i="35"/>
  <c r="S244" i="35" s="1"/>
  <c r="S676" i="35"/>
  <c r="S419" i="35"/>
  <c r="S418" i="35" s="1"/>
  <c r="AV93" i="58" s="1"/>
  <c r="S505" i="35"/>
  <c r="S504" i="35" s="1"/>
  <c r="AV102" i="58" s="1"/>
  <c r="Q676" i="35"/>
  <c r="Q675" i="35" s="1"/>
  <c r="AR121" i="58" s="1"/>
  <c r="Q419" i="35"/>
  <c r="Q418" i="35" s="1"/>
  <c r="AR117" i="58" s="1"/>
  <c r="Q505" i="35"/>
  <c r="I245" i="35"/>
  <c r="I244" i="35" s="1"/>
  <c r="R425" i="35"/>
  <c r="R424" i="35" s="1"/>
  <c r="H603" i="35"/>
  <c r="H602" i="35" s="1"/>
  <c r="Q682" i="35"/>
  <c r="Q681" i="35" s="1"/>
  <c r="Q597" i="35"/>
  <c r="Q596" i="35" s="1"/>
  <c r="Q425" i="35"/>
  <c r="Q424" i="35" s="1"/>
  <c r="Q511" i="35"/>
  <c r="Q510" i="35" s="1"/>
  <c r="L337" i="35"/>
  <c r="L336" i="35" s="1"/>
  <c r="L682" i="35"/>
  <c r="L681" i="35" s="1"/>
  <c r="L597" i="35"/>
  <c r="L596" i="35" s="1"/>
  <c r="L425" i="35"/>
  <c r="L424" i="35" s="1"/>
  <c r="L511" i="35"/>
  <c r="L510" i="35" s="1"/>
  <c r="G511" i="35"/>
  <c r="G510" i="35" s="1"/>
  <c r="G682" i="35"/>
  <c r="G681" i="35" s="1"/>
  <c r="G597" i="35"/>
  <c r="G596" i="35" s="1"/>
  <c r="G425" i="35"/>
  <c r="G424" i="35" s="1"/>
  <c r="Q688" i="35"/>
  <c r="Q687" i="35" s="1"/>
  <c r="Q603" i="35"/>
  <c r="Q431" i="35"/>
  <c r="Q517" i="35"/>
  <c r="Q516" i="35" s="1"/>
  <c r="AR30" i="58" s="1"/>
  <c r="L343" i="35"/>
  <c r="L688" i="35"/>
  <c r="L687" i="35" s="1"/>
  <c r="AE33" i="58" s="1"/>
  <c r="L603" i="35"/>
  <c r="L602" i="35" s="1"/>
  <c r="L431" i="35"/>
  <c r="L430" i="35" s="1"/>
  <c r="AE29" i="58" s="1"/>
  <c r="L517" i="35"/>
  <c r="G688" i="35"/>
  <c r="G687" i="35" s="1"/>
  <c r="R25" i="58" s="1"/>
  <c r="G603" i="35"/>
  <c r="G602" i="35" s="1"/>
  <c r="G431" i="35"/>
  <c r="G517" i="35"/>
  <c r="G516" i="35" s="1"/>
  <c r="R22" i="58" s="1"/>
  <c r="N484" i="35"/>
  <c r="N483" i="35" s="1"/>
  <c r="BI20" i="34"/>
  <c r="S266" i="35" s="1"/>
  <c r="S265" i="35" s="1"/>
  <c r="AX45" i="17"/>
  <c r="R193" i="58"/>
  <c r="BI16" i="24"/>
  <c r="AH85" i="17"/>
  <c r="BG45" i="17"/>
  <c r="BD45" i="17"/>
  <c r="AY45" i="17"/>
  <c r="BF45" i="17"/>
  <c r="BE45" i="17"/>
  <c r="BI45" i="17"/>
  <c r="BB45" i="17"/>
  <c r="BA45" i="17"/>
  <c r="R173" i="58"/>
  <c r="R212" i="58"/>
  <c r="R271" i="58"/>
  <c r="R183" i="58"/>
  <c r="R222" i="58"/>
  <c r="F188" i="35"/>
  <c r="F395" i="35"/>
  <c r="F454" i="35"/>
  <c r="BG20" i="34"/>
  <c r="Q180" i="35" s="1"/>
  <c r="Q179" i="35" s="1"/>
  <c r="BE20" i="34"/>
  <c r="N94" i="35" s="1"/>
  <c r="N93" i="35" s="1"/>
  <c r="BC20" i="34"/>
  <c r="BA20" i="34"/>
  <c r="I94" i="35" s="1"/>
  <c r="I93" i="35" s="1"/>
  <c r="AY20" i="34"/>
  <c r="G697" i="35" s="1"/>
  <c r="G696" i="35" s="1"/>
  <c r="BD20" i="34"/>
  <c r="M352" i="35" s="1"/>
  <c r="M351" i="35" s="1"/>
  <c r="AX20" i="34"/>
  <c r="F94" i="35" s="1"/>
  <c r="F93" i="35" s="1"/>
  <c r="BH20" i="34"/>
  <c r="R94" i="35" s="1"/>
  <c r="R93" i="35" s="1"/>
  <c r="BF20" i="34"/>
  <c r="BB20" i="34"/>
  <c r="K612" i="35" s="1"/>
  <c r="K611" i="35" s="1"/>
  <c r="AZ20" i="34"/>
  <c r="H526" i="35" s="1"/>
  <c r="H525" i="35" s="1"/>
  <c r="AR4" i="58"/>
  <c r="AZ27" i="22"/>
  <c r="BD27" i="22"/>
  <c r="BH27" i="22"/>
  <c r="BA27" i="22"/>
  <c r="BE27" i="22"/>
  <c r="BI27" i="22"/>
  <c r="AY27" i="22"/>
  <c r="BC27" i="22"/>
  <c r="BG27" i="22"/>
  <c r="AX27" i="22"/>
  <c r="BB27" i="22"/>
  <c r="BF27" i="22"/>
  <c r="I502" i="35"/>
  <c r="I501" i="35" s="1"/>
  <c r="I242" i="35"/>
  <c r="I241" i="35" s="1"/>
  <c r="G502" i="35"/>
  <c r="G242" i="35"/>
  <c r="G241" i="35" s="1"/>
  <c r="F540" i="35"/>
  <c r="L673" i="35"/>
  <c r="L672" i="35" s="1"/>
  <c r="L328" i="35"/>
  <c r="L327" i="35" s="1"/>
  <c r="L588" i="35"/>
  <c r="L587" i="35" s="1"/>
  <c r="S331" i="35"/>
  <c r="S330" i="35" s="1"/>
  <c r="S590" i="35"/>
  <c r="Q331" i="35"/>
  <c r="Q590" i="35"/>
  <c r="Q251" i="35"/>
  <c r="Q250" i="35" s="1"/>
  <c r="G588" i="35"/>
  <c r="G587" i="35" s="1"/>
  <c r="R590" i="35"/>
  <c r="P331" i="35"/>
  <c r="P330" i="35" s="1"/>
  <c r="P590" i="35"/>
  <c r="AA27" i="23"/>
  <c r="S242" i="35"/>
  <c r="S241" i="35" s="1"/>
  <c r="Q573" i="35"/>
  <c r="Q572" i="35" s="1"/>
  <c r="G460" i="35"/>
  <c r="Q245" i="35"/>
  <c r="P475" i="35"/>
  <c r="P474" i="35" s="1"/>
  <c r="F349" i="35"/>
  <c r="F348" i="35" s="1"/>
  <c r="F600" i="35"/>
  <c r="F599" i="35" s="1"/>
  <c r="F343" i="35"/>
  <c r="F342" i="35" s="1"/>
  <c r="P32" i="58" s="1"/>
  <c r="F561" i="35"/>
  <c r="F560" i="35" s="1"/>
  <c r="F523" i="35"/>
  <c r="F522" i="35" s="1"/>
  <c r="R245" i="35"/>
  <c r="R244" i="35" s="1"/>
  <c r="P245" i="35"/>
  <c r="P244" i="35" s="1"/>
  <c r="Q549" i="35"/>
  <c r="Q548" i="35" s="1"/>
  <c r="Q257" i="35"/>
  <c r="Q256" i="35" s="1"/>
  <c r="G673" i="35"/>
  <c r="G672" i="35" s="1"/>
  <c r="L416" i="35"/>
  <c r="L415" i="35" s="1"/>
  <c r="L631" i="35"/>
  <c r="L630" i="35" s="1"/>
  <c r="I625" i="35"/>
  <c r="I624" i="35" s="1"/>
  <c r="V548" i="58" s="1"/>
  <c r="S310" i="35"/>
  <c r="S309" i="35" s="1"/>
  <c r="G600" i="35"/>
  <c r="F437" i="35"/>
  <c r="L168" i="35"/>
  <c r="L167" i="35" s="1"/>
  <c r="L85" i="35"/>
  <c r="L84" i="35" s="1"/>
  <c r="AE35" i="58" s="1"/>
  <c r="R331" i="35"/>
  <c r="R330" i="35" s="1"/>
  <c r="AT104" i="58" s="1"/>
  <c r="S673" i="35"/>
  <c r="S672" i="35" s="1"/>
  <c r="I673" i="35"/>
  <c r="I672" i="35" s="1"/>
  <c r="I328" i="35"/>
  <c r="I327" i="35" s="1"/>
  <c r="I588" i="35"/>
  <c r="I587" i="35" s="1"/>
  <c r="I416" i="35"/>
  <c r="I415" i="35" s="1"/>
  <c r="K646" i="35"/>
  <c r="K645" i="35" s="1"/>
  <c r="Q463" i="35"/>
  <c r="Q462" i="35" s="1"/>
  <c r="H448" i="35"/>
  <c r="Q401" i="35"/>
  <c r="Q400" i="35" s="1"/>
  <c r="I365" i="35"/>
  <c r="I364" i="35" s="1"/>
  <c r="V202" i="58" s="1"/>
  <c r="L685" i="35"/>
  <c r="L684" i="35" s="1"/>
  <c r="Q600" i="35"/>
  <c r="Q599" i="35" s="1"/>
  <c r="L514" i="35"/>
  <c r="L513" i="35" s="1"/>
  <c r="L428" i="35"/>
  <c r="Q343" i="35"/>
  <c r="Q342" i="35" s="1"/>
  <c r="I177" i="35"/>
  <c r="I176" i="35" s="1"/>
  <c r="N673" i="35"/>
  <c r="N672" i="35" s="1"/>
  <c r="S588" i="35"/>
  <c r="S587" i="35" s="1"/>
  <c r="N242" i="35"/>
  <c r="N241" i="35" s="1"/>
  <c r="N416" i="35"/>
  <c r="Q658" i="35"/>
  <c r="Q657" i="35" s="1"/>
  <c r="Q634" i="35"/>
  <c r="Q633" i="35" s="1"/>
  <c r="H619" i="35"/>
  <c r="H618" i="35" s="1"/>
  <c r="K395" i="35"/>
  <c r="G685" i="35"/>
  <c r="G684" i="35" s="1"/>
  <c r="Q428" i="35"/>
  <c r="Q427" i="35" s="1"/>
  <c r="G428" i="35"/>
  <c r="G427" i="35" s="1"/>
  <c r="R5" i="58" s="1"/>
  <c r="H165" i="35"/>
  <c r="H164" i="35" s="1"/>
  <c r="T60" i="58" s="1"/>
  <c r="G82" i="35"/>
  <c r="G81" i="35" s="1"/>
  <c r="R3" i="58" s="1"/>
  <c r="Q685" i="35"/>
  <c r="Q514" i="35"/>
  <c r="G514" i="35"/>
  <c r="F428" i="35"/>
  <c r="Q337" i="35"/>
  <c r="M251" i="35"/>
  <c r="M250" i="35" s="1"/>
  <c r="L546" i="35"/>
  <c r="L545" i="35" s="1"/>
  <c r="L460" i="35"/>
  <c r="L459" i="35" s="1"/>
  <c r="F22" i="35"/>
  <c r="F21" i="35" s="1"/>
  <c r="P542" i="58" s="1"/>
  <c r="F280" i="35"/>
  <c r="F279" i="35" s="1"/>
  <c r="P547" i="58" s="1"/>
  <c r="P567" i="35"/>
  <c r="P566" i="35" s="1"/>
  <c r="P307" i="35"/>
  <c r="P306" i="35" s="1"/>
  <c r="AP142" i="58" s="1"/>
  <c r="P652" i="35"/>
  <c r="P651" i="35" s="1"/>
  <c r="AP143" i="58" s="1"/>
  <c r="M135" i="35"/>
  <c r="M134" i="35" s="1"/>
  <c r="AG138" i="58" s="1"/>
  <c r="M221" i="35"/>
  <c r="M220" i="35" s="1"/>
  <c r="AG141" i="58" s="1"/>
  <c r="M307" i="35"/>
  <c r="M306" i="35" s="1"/>
  <c r="AG142" i="58" s="1"/>
  <c r="M481" i="35"/>
  <c r="M480" i="35" s="1"/>
  <c r="AG140" i="58" s="1"/>
  <c r="G658" i="35"/>
  <c r="G657" i="35" s="1"/>
  <c r="H652" i="35"/>
  <c r="H651" i="35" s="1"/>
  <c r="T143" i="58" s="1"/>
  <c r="P646" i="35"/>
  <c r="P645" i="35" s="1"/>
  <c r="F625" i="35"/>
  <c r="F624" i="35" s="1"/>
  <c r="P548" i="58" s="1"/>
  <c r="P573" i="35"/>
  <c r="P572" i="35" s="1"/>
  <c r="F567" i="35"/>
  <c r="F566" i="35" s="1"/>
  <c r="R395" i="35"/>
  <c r="R394" i="35" s="1"/>
  <c r="AT139" i="58" s="1"/>
  <c r="I475" i="35"/>
  <c r="I474" i="35" s="1"/>
  <c r="N537" i="35"/>
  <c r="F570" i="35"/>
  <c r="F569" i="35" s="1"/>
  <c r="K600" i="35"/>
  <c r="K514" i="35"/>
  <c r="K513" i="35" s="1"/>
  <c r="K428" i="35"/>
  <c r="K427" i="35" s="1"/>
  <c r="AC5" i="58" s="1"/>
  <c r="K254" i="35"/>
  <c r="K253" i="35" s="1"/>
  <c r="P168" i="35"/>
  <c r="P167" i="35" s="1"/>
  <c r="AP2" i="58" s="1"/>
  <c r="F85" i="35"/>
  <c r="F84" i="35" s="1"/>
  <c r="P35" i="58" s="1"/>
  <c r="F694" i="35"/>
  <c r="F693" i="35" s="1"/>
  <c r="F609" i="35"/>
  <c r="F608" i="35" s="1"/>
  <c r="F340" i="35"/>
  <c r="F339" i="35" s="1"/>
  <c r="P16" i="58" s="1"/>
  <c r="K337" i="35"/>
  <c r="F177" i="35"/>
  <c r="N588" i="35"/>
  <c r="N587" i="35" s="1"/>
  <c r="L242" i="35"/>
  <c r="L241" i="35" s="1"/>
  <c r="S502" i="35"/>
  <c r="S501" i="35" s="1"/>
  <c r="Q502" i="35"/>
  <c r="N502" i="35"/>
  <c r="Q416" i="35"/>
  <c r="Q415" i="35" s="1"/>
  <c r="G313" i="35"/>
  <c r="G312" i="35" s="1"/>
  <c r="S328" i="35"/>
  <c r="S327" i="35" s="1"/>
  <c r="Q328" i="35"/>
  <c r="M652" i="35"/>
  <c r="M651" i="35" s="1"/>
  <c r="AG143" i="58" s="1"/>
  <c r="Q631" i="35"/>
  <c r="Q630" i="35" s="1"/>
  <c r="K534" i="35"/>
  <c r="K533" i="35" s="1"/>
  <c r="G463" i="35"/>
  <c r="M395" i="35"/>
  <c r="M394" i="35" s="1"/>
  <c r="AG139" i="58" s="1"/>
  <c r="F368" i="35"/>
  <c r="K362" i="35"/>
  <c r="K361" i="35" s="1"/>
  <c r="Q200" i="35"/>
  <c r="Q199" i="35" s="1"/>
  <c r="H362" i="35"/>
  <c r="H361" i="35" s="1"/>
  <c r="H534" i="35"/>
  <c r="P49" i="35"/>
  <c r="P48" i="35" s="1"/>
  <c r="P395" i="35"/>
  <c r="P394" i="35" s="1"/>
  <c r="AP139" i="58" s="1"/>
  <c r="P481" i="35"/>
  <c r="M49" i="35"/>
  <c r="M48" i="35" s="1"/>
  <c r="AG137" i="58" s="1"/>
  <c r="R168" i="35"/>
  <c r="R167" i="35" s="1"/>
  <c r="AT10" i="58" s="1"/>
  <c r="M168" i="35"/>
  <c r="M167" i="35" s="1"/>
  <c r="AG2" i="58" s="1"/>
  <c r="R171" i="35"/>
  <c r="R170" i="35" s="1"/>
  <c r="AT34" i="58" s="1"/>
  <c r="H168" i="35"/>
  <c r="H167" i="35" s="1"/>
  <c r="T10" i="58" s="1"/>
  <c r="Q91" i="35"/>
  <c r="Q90" i="35" s="1"/>
  <c r="Q349" i="35"/>
  <c r="Q348" i="35" s="1"/>
  <c r="Q694" i="35"/>
  <c r="Q693" i="35" s="1"/>
  <c r="Q263" i="35"/>
  <c r="Q262" i="35" s="1"/>
  <c r="Q523" i="35"/>
  <c r="Q522" i="35" s="1"/>
  <c r="L177" i="35"/>
  <c r="L176" i="35" s="1"/>
  <c r="L437" i="35"/>
  <c r="G91" i="35"/>
  <c r="G349" i="35"/>
  <c r="G348" i="35" s="1"/>
  <c r="G609" i="35"/>
  <c r="G263" i="35"/>
  <c r="G437" i="35"/>
  <c r="G436" i="35" s="1"/>
  <c r="Q177" i="35"/>
  <c r="Q176" i="35" s="1"/>
  <c r="S437" i="35"/>
  <c r="S436" i="35" s="1"/>
  <c r="F91" i="35"/>
  <c r="F90" i="35" s="1"/>
  <c r="L401" i="35"/>
  <c r="Q227" i="35"/>
  <c r="Q226" i="35" s="1"/>
  <c r="G416" i="35"/>
  <c r="G328" i="35"/>
  <c r="G327" i="35" s="1"/>
  <c r="G129" i="35"/>
  <c r="G128" i="35" s="1"/>
  <c r="G215" i="35"/>
  <c r="G214" i="35" s="1"/>
  <c r="G475" i="35"/>
  <c r="G474" i="35" s="1"/>
  <c r="G31" i="35"/>
  <c r="G30" i="35" s="1"/>
  <c r="G549" i="35"/>
  <c r="P108" i="35"/>
  <c r="L280" i="35"/>
  <c r="L279" i="35" s="1"/>
  <c r="AE547" i="58" s="1"/>
  <c r="L658" i="35"/>
  <c r="Q487" i="35"/>
  <c r="Q486" i="35" s="1"/>
  <c r="Q310" i="35"/>
  <c r="Q286" i="35"/>
  <c r="Q285" i="35" s="1"/>
  <c r="Q546" i="35"/>
  <c r="Q545" i="35" s="1"/>
  <c r="S540" i="35"/>
  <c r="S539" i="35" s="1"/>
  <c r="S625" i="35"/>
  <c r="S624" i="35" s="1"/>
  <c r="AV548" i="58" s="1"/>
  <c r="F362" i="35"/>
  <c r="F361" i="35" s="1"/>
  <c r="F448" i="35"/>
  <c r="K159" i="35"/>
  <c r="K158" i="35" s="1"/>
  <c r="H159" i="35"/>
  <c r="H158" i="35" s="1"/>
  <c r="L28" i="35"/>
  <c r="L27" i="35" s="1"/>
  <c r="AE181" i="58" s="1"/>
  <c r="L200" i="35"/>
  <c r="P609" i="35"/>
  <c r="P608" i="35" s="1"/>
  <c r="P523" i="35"/>
  <c r="Q165" i="35"/>
  <c r="Q164" i="35" s="1"/>
  <c r="AR82" i="58" s="1"/>
  <c r="BI26" i="22"/>
  <c r="P91" i="35"/>
  <c r="P90" i="35" s="1"/>
  <c r="P177" i="35"/>
  <c r="P176" i="35" s="1"/>
  <c r="K263" i="35"/>
  <c r="K262" i="35" s="1"/>
  <c r="K437" i="35"/>
  <c r="K436" i="35" s="1"/>
  <c r="F79" i="35"/>
  <c r="F78" i="35" s="1"/>
  <c r="P694" i="35"/>
  <c r="P693" i="35" s="1"/>
  <c r="K694" i="35"/>
  <c r="K609" i="35"/>
  <c r="K608" i="35" s="1"/>
  <c r="K523" i="35"/>
  <c r="K522" i="35" s="1"/>
  <c r="P349" i="35"/>
  <c r="P348" i="35" s="1"/>
  <c r="S91" i="35"/>
  <c r="S90" i="35" s="1"/>
  <c r="N523" i="35"/>
  <c r="N522" i="35" s="1"/>
  <c r="Q85" i="35"/>
  <c r="Q84" i="35" s="1"/>
  <c r="AR43" i="58" s="1"/>
  <c r="Q171" i="35"/>
  <c r="Q170" i="35" s="1"/>
  <c r="AR42" i="58" s="1"/>
  <c r="L171" i="35"/>
  <c r="L170" i="35" s="1"/>
  <c r="AE36" i="58" s="1"/>
  <c r="L257" i="35"/>
  <c r="L256" i="35" s="1"/>
  <c r="G85" i="35"/>
  <c r="G84" i="35" s="1"/>
  <c r="G171" i="35"/>
  <c r="G170" i="35" s="1"/>
  <c r="G257" i="35"/>
  <c r="G256" i="35" s="1"/>
  <c r="G343" i="35"/>
  <c r="G342" i="35" s="1"/>
  <c r="R48" i="58" s="1"/>
  <c r="Q82" i="35"/>
  <c r="Q254" i="35"/>
  <c r="Q253" i="35" s="1"/>
  <c r="Q340" i="35"/>
  <c r="Q339" i="35" s="1"/>
  <c r="AR8" i="58" s="1"/>
  <c r="L82" i="35"/>
  <c r="L81" i="35" s="1"/>
  <c r="AE3" i="58" s="1"/>
  <c r="L254" i="35"/>
  <c r="L253" i="35" s="1"/>
  <c r="AE15" i="58" s="1"/>
  <c r="L340" i="35"/>
  <c r="L339" i="35" s="1"/>
  <c r="G168" i="35"/>
  <c r="G167" i="35" s="1"/>
  <c r="G254" i="35"/>
  <c r="P79" i="35"/>
  <c r="P78" i="35" s="1"/>
  <c r="BB37" i="34"/>
  <c r="AJ203" i="34"/>
  <c r="Q156" i="35"/>
  <c r="Q70" i="35"/>
  <c r="Q69" i="35" s="1"/>
  <c r="Q242" i="35"/>
  <c r="Q241" i="35" s="1"/>
  <c r="K135" i="35"/>
  <c r="K134" i="35" s="1"/>
  <c r="AC138" i="58" s="1"/>
  <c r="K221" i="35"/>
  <c r="K307" i="35"/>
  <c r="K49" i="35"/>
  <c r="K48" i="35" s="1"/>
  <c r="K481" i="35"/>
  <c r="K480" i="35" s="1"/>
  <c r="AC140" i="58" s="1"/>
  <c r="K652" i="35"/>
  <c r="H135" i="35"/>
  <c r="H134" i="35" s="1"/>
  <c r="T138" i="58" s="1"/>
  <c r="H307" i="35"/>
  <c r="H306" i="35" s="1"/>
  <c r="T142" i="58" s="1"/>
  <c r="H395" i="35"/>
  <c r="H394" i="35" s="1"/>
  <c r="H567" i="35"/>
  <c r="H566" i="35" s="1"/>
  <c r="T141" i="58" s="1"/>
  <c r="F135" i="35"/>
  <c r="F221" i="35"/>
  <c r="F220" i="35" s="1"/>
  <c r="F307" i="35"/>
  <c r="F306" i="35" s="1"/>
  <c r="P142" i="58" s="1"/>
  <c r="F481" i="35"/>
  <c r="F480" i="35" s="1"/>
  <c r="P140" i="58" s="1"/>
  <c r="F652" i="35"/>
  <c r="F651" i="35" s="1"/>
  <c r="Q673" i="35"/>
  <c r="Q672" i="35" s="1"/>
  <c r="H481" i="35"/>
  <c r="Q43" i="35"/>
  <c r="Q42" i="35" s="1"/>
  <c r="R135" i="35"/>
  <c r="R134" i="35" s="1"/>
  <c r="AT138" i="58" s="1"/>
  <c r="R49" i="35"/>
  <c r="R48" i="35" s="1"/>
  <c r="AT137" i="58" s="1"/>
  <c r="R652" i="35"/>
  <c r="R651" i="35" s="1"/>
  <c r="AT143" i="58" s="1"/>
  <c r="R307" i="35"/>
  <c r="R221" i="35"/>
  <c r="R220" i="35" s="1"/>
  <c r="R567" i="35"/>
  <c r="R566" i="35" s="1"/>
  <c r="M658" i="35"/>
  <c r="M657" i="35" s="1"/>
  <c r="M377" i="35"/>
  <c r="M376" i="35" s="1"/>
  <c r="R108" i="35"/>
  <c r="R107" i="35" s="1"/>
  <c r="AT543" i="58" s="1"/>
  <c r="R22" i="35"/>
  <c r="R21" i="35" s="1"/>
  <c r="AT542" i="58" s="1"/>
  <c r="R368" i="35"/>
  <c r="R367" i="35" s="1"/>
  <c r="AT544" i="58" s="1"/>
  <c r="R540" i="35"/>
  <c r="R539" i="35" s="1"/>
  <c r="R194" i="35"/>
  <c r="R280" i="35"/>
  <c r="R279" i="35" s="1"/>
  <c r="AT547" i="58" s="1"/>
  <c r="R454" i="35"/>
  <c r="R453" i="35" s="1"/>
  <c r="AT545" i="58" s="1"/>
  <c r="R625" i="35"/>
  <c r="G280" i="35"/>
  <c r="G279" i="35" s="1"/>
  <c r="R547" i="58" s="1"/>
  <c r="K365" i="35"/>
  <c r="P534" i="35"/>
  <c r="P533" i="35" s="1"/>
  <c r="P362" i="35"/>
  <c r="P361" i="35" s="1"/>
  <c r="P448" i="35"/>
  <c r="P447" i="35" s="1"/>
  <c r="M362" i="35"/>
  <c r="M361" i="35" s="1"/>
  <c r="M448" i="35"/>
  <c r="M447" i="35" s="1"/>
  <c r="M534" i="35"/>
  <c r="M533" i="35" s="1"/>
  <c r="M188" i="35"/>
  <c r="M187" i="35" s="1"/>
  <c r="M619" i="35"/>
  <c r="M618" i="35" s="1"/>
  <c r="K188" i="35"/>
  <c r="K187" i="35" s="1"/>
  <c r="K274" i="35"/>
  <c r="K273" i="35" s="1"/>
  <c r="K619" i="35"/>
  <c r="K618" i="35" s="1"/>
  <c r="J243" i="35"/>
  <c r="K55" i="35"/>
  <c r="K54" i="35" s="1"/>
  <c r="P301" i="35"/>
  <c r="P300" i="35" s="1"/>
  <c r="P561" i="35"/>
  <c r="G28" i="35"/>
  <c r="G27" i="35" s="1"/>
  <c r="G631" i="35"/>
  <c r="G630" i="35" s="1"/>
  <c r="I194" i="35"/>
  <c r="I193" i="35" s="1"/>
  <c r="V546" i="58" s="1"/>
  <c r="I280" i="35"/>
  <c r="I279" i="35" s="1"/>
  <c r="V547" i="58" s="1"/>
  <c r="I368" i="35"/>
  <c r="I367" i="35" s="1"/>
  <c r="V544" i="58" s="1"/>
  <c r="I454" i="35"/>
  <c r="I453" i="35" s="1"/>
  <c r="V545" i="58" s="1"/>
  <c r="F102" i="35"/>
  <c r="F101" i="35" s="1"/>
  <c r="F274" i="35"/>
  <c r="F534" i="35"/>
  <c r="F533" i="35" s="1"/>
  <c r="F619" i="35"/>
  <c r="F618" i="35" s="1"/>
  <c r="F16" i="35"/>
  <c r="F15" i="35" s="1"/>
  <c r="M159" i="35"/>
  <c r="M158" i="35" s="1"/>
  <c r="J237" i="35"/>
  <c r="G401" i="35"/>
  <c r="G400" i="35" s="1"/>
  <c r="G487" i="35"/>
  <c r="G486" i="35" s="1"/>
  <c r="G573" i="35"/>
  <c r="G572" i="35" s="1"/>
  <c r="F129" i="35"/>
  <c r="F128" i="35" s="1"/>
  <c r="F215" i="35"/>
  <c r="F214" i="35" s="1"/>
  <c r="F301" i="35"/>
  <c r="F300" i="35" s="1"/>
  <c r="F389" i="35"/>
  <c r="F475" i="35"/>
  <c r="F43" i="35"/>
  <c r="F42" i="35" s="1"/>
  <c r="S156" i="35"/>
  <c r="S155" i="35" s="1"/>
  <c r="AV72" i="58" s="1"/>
  <c r="S70" i="35"/>
  <c r="S69" i="35" s="1"/>
  <c r="G156" i="35"/>
  <c r="G155" i="35" s="1"/>
  <c r="G70" i="35"/>
  <c r="G69" i="35" s="1"/>
  <c r="Q377" i="35"/>
  <c r="Q376" i="35" s="1"/>
  <c r="AR212" i="58" s="1"/>
  <c r="Q141" i="35"/>
  <c r="Q140" i="35" s="1"/>
  <c r="Q55" i="35"/>
  <c r="Q54" i="35" s="1"/>
  <c r="H102" i="35"/>
  <c r="H101" i="35" s="1"/>
  <c r="H16" i="35"/>
  <c r="H15" i="35" s="1"/>
  <c r="H274" i="35"/>
  <c r="H273" i="35" s="1"/>
  <c r="S52" i="35"/>
  <c r="K224" i="35"/>
  <c r="K223" i="35" s="1"/>
  <c r="P135" i="35"/>
  <c r="P134" i="35" s="1"/>
  <c r="AP138" i="58" s="1"/>
  <c r="P221" i="35"/>
  <c r="AX26" i="22"/>
  <c r="BG26" i="22"/>
  <c r="AZ26" i="22"/>
  <c r="BE26" i="22"/>
  <c r="AY26" i="22"/>
  <c r="Q79" i="35"/>
  <c r="L349" i="35"/>
  <c r="L348" i="35" s="1"/>
  <c r="P437" i="35"/>
  <c r="P436" i="35" s="1"/>
  <c r="AJ100" i="34"/>
  <c r="M3" i="83"/>
  <c r="R102" i="35"/>
  <c r="R101" i="35" s="1"/>
  <c r="R188" i="35"/>
  <c r="R187" i="35" s="1"/>
  <c r="R16" i="35"/>
  <c r="R15" i="35" s="1"/>
  <c r="R274" i="35"/>
  <c r="R273" i="35" s="1"/>
  <c r="R362" i="35"/>
  <c r="R361" i="35" s="1"/>
  <c r="R448" i="35"/>
  <c r="R447" i="35" s="1"/>
  <c r="R534" i="35"/>
  <c r="R533" i="35" s="1"/>
  <c r="Q34" i="35"/>
  <c r="Q33" i="35" s="1"/>
  <c r="L486" i="35"/>
  <c r="L141" i="35"/>
  <c r="L140" i="35" s="1"/>
  <c r="L55" i="35"/>
  <c r="L54" i="35" s="1"/>
  <c r="L573" i="35"/>
  <c r="L572" i="35" s="1"/>
  <c r="L227" i="35"/>
  <c r="L313" i="35"/>
  <c r="L117" i="35"/>
  <c r="L203" i="35"/>
  <c r="L202" i="35" s="1"/>
  <c r="L463" i="35"/>
  <c r="L462" i="35" s="1"/>
  <c r="L549" i="35"/>
  <c r="L548" i="35" s="1"/>
  <c r="L289" i="35"/>
  <c r="L288" i="35" s="1"/>
  <c r="L634" i="35"/>
  <c r="L633" i="35" s="1"/>
  <c r="L156" i="35"/>
  <c r="L155" i="35" s="1"/>
  <c r="AE81" i="58" s="1"/>
  <c r="L70" i="35"/>
  <c r="L69" i="35" s="1"/>
  <c r="F141" i="35"/>
  <c r="F140" i="35" s="1"/>
  <c r="F227" i="35"/>
  <c r="F226" i="35" s="1"/>
  <c r="F313" i="35"/>
  <c r="F312" i="35" s="1"/>
  <c r="R159" i="35"/>
  <c r="R158" i="35" s="1"/>
  <c r="R73" i="35"/>
  <c r="R72" i="35" s="1"/>
  <c r="AT91" i="58" s="1"/>
  <c r="Q19" i="35"/>
  <c r="Q18" i="35" s="1"/>
  <c r="AR200" i="58" s="1"/>
  <c r="H105" i="35"/>
  <c r="H104" i="35" s="1"/>
  <c r="T201" i="58" s="1"/>
  <c r="P159" i="35"/>
  <c r="P73" i="35"/>
  <c r="P72" i="35" s="1"/>
  <c r="J449" i="35"/>
  <c r="M227" i="35"/>
  <c r="M226" i="35" s="1"/>
  <c r="K129" i="35"/>
  <c r="K215" i="35"/>
  <c r="K389" i="35"/>
  <c r="K388" i="35" s="1"/>
  <c r="K43" i="35"/>
  <c r="K42" i="35" s="1"/>
  <c r="K301" i="35"/>
  <c r="K300" i="35" s="1"/>
  <c r="M108" i="35"/>
  <c r="M107" i="35" s="1"/>
  <c r="AG543" i="58" s="1"/>
  <c r="M280" i="35"/>
  <c r="M279" i="35" s="1"/>
  <c r="AG547" i="58" s="1"/>
  <c r="S159" i="35"/>
  <c r="S158" i="35" s="1"/>
  <c r="AV114" i="58" s="1"/>
  <c r="S73" i="35"/>
  <c r="S72" i="35" s="1"/>
  <c r="AV107" i="58" s="1"/>
  <c r="G141" i="35"/>
  <c r="G140" i="35" s="1"/>
  <c r="G227" i="35"/>
  <c r="G226" i="35" s="1"/>
  <c r="G123" i="35"/>
  <c r="G122" i="35" s="1"/>
  <c r="K31" i="35"/>
  <c r="K30" i="35" s="1"/>
  <c r="G117" i="35"/>
  <c r="G116" i="35" s="1"/>
  <c r="I108" i="35"/>
  <c r="I107" i="35" s="1"/>
  <c r="V543" i="58" s="1"/>
  <c r="I22" i="35"/>
  <c r="F108" i="35"/>
  <c r="F194" i="35"/>
  <c r="F193" i="35" s="1"/>
  <c r="P102" i="35"/>
  <c r="P101" i="35" s="1"/>
  <c r="P188" i="35"/>
  <c r="P187" i="35" s="1"/>
  <c r="P16" i="35"/>
  <c r="P15" i="35" s="1"/>
  <c r="P274" i="35"/>
  <c r="P273" i="35" s="1"/>
  <c r="K102" i="35"/>
  <c r="K101" i="35" s="1"/>
  <c r="K16" i="35"/>
  <c r="K15" i="35" s="1"/>
  <c r="H227" i="35"/>
  <c r="H226" i="35" s="1"/>
  <c r="Q117" i="35"/>
  <c r="Q31" i="35"/>
  <c r="Q30" i="35" s="1"/>
  <c r="M286" i="35"/>
  <c r="M285" i="35" s="1"/>
  <c r="K114" i="35"/>
  <c r="G114" i="35"/>
  <c r="G200" i="35"/>
  <c r="G199" i="35" s="1"/>
  <c r="G286" i="35"/>
  <c r="G285" i="35" s="1"/>
  <c r="S108" i="35"/>
  <c r="S107" i="35" s="1"/>
  <c r="AV543" i="58" s="1"/>
  <c r="M102" i="35"/>
  <c r="M101" i="35" s="1"/>
  <c r="M16" i="35"/>
  <c r="M15" i="35" s="1"/>
  <c r="M274" i="35"/>
  <c r="M273" i="35" s="1"/>
  <c r="I156" i="35"/>
  <c r="I155" i="35" s="1"/>
  <c r="I70" i="35"/>
  <c r="I69" i="35" s="1"/>
  <c r="P227" i="35"/>
  <c r="P226" i="35" s="1"/>
  <c r="P129" i="35"/>
  <c r="P128" i="35" s="1"/>
  <c r="P43" i="35"/>
  <c r="P215" i="35"/>
  <c r="P214" i="35" s="1"/>
  <c r="Q114" i="35"/>
  <c r="Q113" i="35" s="1"/>
  <c r="Q28" i="35"/>
  <c r="Q27" i="35" s="1"/>
  <c r="L114" i="35"/>
  <c r="L113" i="35" s="1"/>
  <c r="Q159" i="35"/>
  <c r="Q158" i="35" s="1"/>
  <c r="AR100" i="58" s="1"/>
  <c r="Q73" i="35"/>
  <c r="Q72" i="35" s="1"/>
  <c r="N156" i="35"/>
  <c r="N155" i="35" s="1"/>
  <c r="AI59" i="58" s="1"/>
  <c r="N70" i="35"/>
  <c r="I398" i="35"/>
  <c r="I397" i="35" s="1"/>
  <c r="I310" i="35"/>
  <c r="I309" i="35" s="1"/>
  <c r="BC26" i="22"/>
  <c r="Q138" i="35"/>
  <c r="Q137" i="35" s="1"/>
  <c r="H49" i="35"/>
  <c r="H48" i="35" s="1"/>
  <c r="T137" i="58" s="1"/>
  <c r="F49" i="35"/>
  <c r="F48" i="35" s="1"/>
  <c r="P137" i="58" s="1"/>
  <c r="BB26" i="22"/>
  <c r="BD26" i="22"/>
  <c r="BH26" i="22"/>
  <c r="BF26" i="22"/>
  <c r="BA26" i="22"/>
  <c r="BC40" i="34"/>
  <c r="BG40" i="34"/>
  <c r="BF37" i="34"/>
  <c r="AZ40" i="34"/>
  <c r="T70" i="24"/>
  <c r="T71" i="24"/>
  <c r="T74" i="24"/>
  <c r="T76" i="24"/>
  <c r="T80" i="24"/>
  <c r="T81" i="24"/>
  <c r="AI157" i="17"/>
  <c r="G165" i="35"/>
  <c r="G164" i="35" s="1"/>
  <c r="R73" i="58" s="1"/>
  <c r="G79" i="35"/>
  <c r="G78" i="35" s="1"/>
  <c r="G337" i="35"/>
  <c r="G336" i="35" s="1"/>
  <c r="G251" i="35"/>
  <c r="L79" i="35"/>
  <c r="L78" i="35" s="1"/>
  <c r="L165" i="35"/>
  <c r="L164" i="35" s="1"/>
  <c r="AE82" i="58" s="1"/>
  <c r="L251" i="35"/>
  <c r="L250" i="35" s="1"/>
  <c r="J598" i="35"/>
  <c r="L609" i="35"/>
  <c r="L608" i="35" s="1"/>
  <c r="L91" i="35"/>
  <c r="R251" i="35"/>
  <c r="K91" i="35"/>
  <c r="K90" i="35" s="1"/>
  <c r="K177" i="35"/>
  <c r="K176" i="35" s="1"/>
  <c r="BG39" i="34"/>
  <c r="BC39" i="34"/>
  <c r="AY38" i="34"/>
  <c r="BI40" i="34"/>
  <c r="BH37" i="34"/>
  <c r="BE40" i="34"/>
  <c r="BD37" i="34"/>
  <c r="BA38" i="34"/>
  <c r="AX40" i="34"/>
  <c r="BI39" i="34"/>
  <c r="BE39" i="34"/>
  <c r="AX38" i="34"/>
  <c r="BH40" i="34"/>
  <c r="BI37" i="34"/>
  <c r="AY39" i="34"/>
  <c r="BA39" i="34"/>
  <c r="BG37" i="34"/>
  <c r="BF40" i="34"/>
  <c r="BE37" i="34"/>
  <c r="BD40" i="34"/>
  <c r="BC37" i="34"/>
  <c r="BB40" i="34"/>
  <c r="AZ39" i="34"/>
  <c r="AX39" i="34"/>
  <c r="BH39" i="34"/>
  <c r="BF39" i="34"/>
  <c r="BD39" i="34"/>
  <c r="BB39" i="34"/>
  <c r="BA40" i="34"/>
  <c r="AZ38" i="34"/>
  <c r="AY40" i="34"/>
  <c r="AX33" i="34"/>
  <c r="BI38" i="34"/>
  <c r="BH38" i="34"/>
  <c r="BG38" i="34"/>
  <c r="BF38" i="34"/>
  <c r="BE38" i="34"/>
  <c r="BD38" i="34"/>
  <c r="BC38" i="34"/>
  <c r="BB38" i="34"/>
  <c r="BA37" i="34"/>
  <c r="AZ37" i="34"/>
  <c r="AY37" i="34"/>
  <c r="AX37" i="34"/>
  <c r="T591" i="35"/>
  <c r="T82" i="58"/>
  <c r="AR36" i="58"/>
  <c r="AP137" i="58"/>
  <c r="H352" i="35"/>
  <c r="H351" i="35" s="1"/>
  <c r="H266" i="35"/>
  <c r="H265" i="35" s="1"/>
  <c r="L352" i="35"/>
  <c r="L351" i="35" s="1"/>
  <c r="L180" i="35"/>
  <c r="L179" i="35" s="1"/>
  <c r="AR90" i="58"/>
  <c r="P158" i="35"/>
  <c r="AP100" i="58" s="1"/>
  <c r="G12" i="85"/>
  <c r="E62" i="85" s="1"/>
  <c r="O4" i="90"/>
  <c r="F266" i="35" l="1"/>
  <c r="F265" i="35" s="1"/>
  <c r="H180" i="35"/>
  <c r="H179" i="35" s="1"/>
  <c r="F440" i="35"/>
  <c r="F439" i="35" s="1"/>
  <c r="R165" i="35"/>
  <c r="L138" i="35"/>
  <c r="G310" i="35"/>
  <c r="H138" i="35"/>
  <c r="H137" i="35" s="1"/>
  <c r="P141" i="35"/>
  <c r="P140" i="35" s="1"/>
  <c r="R117" i="35"/>
  <c r="R116" i="35" s="1"/>
  <c r="L561" i="35"/>
  <c r="F401" i="35"/>
  <c r="F400" i="35" s="1"/>
  <c r="I43" i="35"/>
  <c r="I42" i="35" s="1"/>
  <c r="Q454" i="35"/>
  <c r="Q453" i="35" s="1"/>
  <c r="AR545" i="58" s="1"/>
  <c r="M4" i="83"/>
  <c r="L263" i="35"/>
  <c r="H73" i="35"/>
  <c r="H72" i="35" s="1"/>
  <c r="T107" i="58" s="1"/>
  <c r="L105" i="35"/>
  <c r="L104" i="35" s="1"/>
  <c r="F159" i="35"/>
  <c r="F158" i="35" s="1"/>
  <c r="S177" i="35"/>
  <c r="S176" i="35" s="1"/>
  <c r="N3" i="83"/>
  <c r="G177" i="35"/>
  <c r="G176" i="35" s="1"/>
  <c r="L694" i="35"/>
  <c r="L693" i="35" s="1"/>
  <c r="Q437" i="35"/>
  <c r="Q436" i="35" s="1"/>
  <c r="H340" i="35"/>
  <c r="H339" i="35" s="1"/>
  <c r="K487" i="35"/>
  <c r="G389" i="35"/>
  <c r="G388" i="35" s="1"/>
  <c r="H487" i="35"/>
  <c r="H486" i="35" s="1"/>
  <c r="F168" i="35"/>
  <c r="F167" i="35" s="1"/>
  <c r="P2" i="58" s="1"/>
  <c r="F514" i="35"/>
  <c r="F513" i="35" s="1"/>
  <c r="K171" i="35"/>
  <c r="K340" i="35"/>
  <c r="K339" i="35" s="1"/>
  <c r="R463" i="35"/>
  <c r="R462" i="35" s="1"/>
  <c r="F685" i="35"/>
  <c r="F684" i="35" s="1"/>
  <c r="P9" i="58" s="1"/>
  <c r="F82" i="35"/>
  <c r="F81" i="35" s="1"/>
  <c r="AB29" i="21"/>
  <c r="M688" i="35"/>
  <c r="O5" i="83"/>
  <c r="L5" i="83" s="1"/>
  <c r="O452" i="35"/>
  <c r="T408" i="35"/>
  <c r="R24" i="58"/>
  <c r="F180" i="35"/>
  <c r="F179" i="35" s="1"/>
  <c r="I180" i="35"/>
  <c r="I179" i="35" s="1"/>
  <c r="Q398" i="35"/>
  <c r="Q397" i="35" s="1"/>
  <c r="G52" i="35"/>
  <c r="G51" i="35" s="1"/>
  <c r="R162" i="58" s="1"/>
  <c r="R114" i="35"/>
  <c r="R55" i="35"/>
  <c r="R54" i="35" s="1"/>
  <c r="G537" i="35"/>
  <c r="G536" i="35" s="1"/>
  <c r="N365" i="35"/>
  <c r="N364" i="35" s="1"/>
  <c r="AI202" i="58" s="1"/>
  <c r="H254" i="35"/>
  <c r="H253" i="35" s="1"/>
  <c r="H337" i="35"/>
  <c r="H336" i="35" s="1"/>
  <c r="H31" i="35"/>
  <c r="H30" i="35" s="1"/>
  <c r="BE23" i="24"/>
  <c r="I537" i="35"/>
  <c r="I536" i="35" s="1"/>
  <c r="L4" i="83"/>
  <c r="AE11" i="58"/>
  <c r="O332" i="35"/>
  <c r="T402" i="35"/>
  <c r="T234" i="35"/>
  <c r="L310" i="35"/>
  <c r="H28" i="35"/>
  <c r="H27" i="35" s="1"/>
  <c r="H117" i="35"/>
  <c r="H116" i="35" s="1"/>
  <c r="H658" i="35"/>
  <c r="H657" i="35" s="1"/>
  <c r="H685" i="35"/>
  <c r="H684" i="35" s="1"/>
  <c r="R600" i="35"/>
  <c r="R343" i="35"/>
  <c r="R342" i="35" s="1"/>
  <c r="AT48" i="58" s="1"/>
  <c r="L622" i="35"/>
  <c r="L621" i="35" s="1"/>
  <c r="AE206" i="58" s="1"/>
  <c r="Q570" i="35"/>
  <c r="Q569" i="35" s="1"/>
  <c r="R682" i="35"/>
  <c r="F676" i="35"/>
  <c r="F675" i="35" s="1"/>
  <c r="AV19" i="34"/>
  <c r="BE39" i="23"/>
  <c r="AY38" i="23"/>
  <c r="AZ41" i="23"/>
  <c r="AZ31" i="34"/>
  <c r="BF14" i="34"/>
  <c r="BF18" i="34"/>
  <c r="P520" i="35" s="1"/>
  <c r="P519" i="35" s="1"/>
  <c r="AY18" i="34"/>
  <c r="G260" i="35" s="1"/>
  <c r="G259" i="35" s="1"/>
  <c r="BC35" i="34"/>
  <c r="BH33" i="34"/>
  <c r="BD33" i="34"/>
  <c r="BC34" i="34"/>
  <c r="BH36" i="34"/>
  <c r="AX36" i="34"/>
  <c r="R204" i="58"/>
  <c r="AH15" i="15"/>
  <c r="AJ15" i="15" s="1"/>
  <c r="AI15" i="15"/>
  <c r="T503" i="35"/>
  <c r="O411" i="35"/>
  <c r="M487" i="35"/>
  <c r="M486" i="35" s="1"/>
  <c r="M313" i="35"/>
  <c r="M312" i="35" s="1"/>
  <c r="M141" i="35"/>
  <c r="M140" i="35" s="1"/>
  <c r="M573" i="35"/>
  <c r="M572" i="35" s="1"/>
  <c r="M401" i="35"/>
  <c r="M400" i="35" s="1"/>
  <c r="M55" i="35"/>
  <c r="M54" i="35" s="1"/>
  <c r="M549" i="35"/>
  <c r="M548" i="35" s="1"/>
  <c r="M289" i="35"/>
  <c r="M288" i="35" s="1"/>
  <c r="M463" i="35"/>
  <c r="M462" i="35" s="1"/>
  <c r="M117" i="35"/>
  <c r="M116" i="35" s="1"/>
  <c r="M634" i="35"/>
  <c r="M633" i="35" s="1"/>
  <c r="R546" i="35"/>
  <c r="R545" i="35" s="1"/>
  <c r="R28" i="35"/>
  <c r="R27" i="35" s="1"/>
  <c r="R200" i="35"/>
  <c r="R199" i="35" s="1"/>
  <c r="R460" i="35"/>
  <c r="R459" i="35" s="1"/>
  <c r="R286" i="35"/>
  <c r="R285" i="35" s="1"/>
  <c r="S368" i="35"/>
  <c r="S367" i="35" s="1"/>
  <c r="AV544" i="58" s="1"/>
  <c r="S194" i="35"/>
  <c r="S193" i="35" s="1"/>
  <c r="S454" i="35"/>
  <c r="M625" i="35"/>
  <c r="M624" i="35" s="1"/>
  <c r="AG548" i="58" s="1"/>
  <c r="M194" i="35"/>
  <c r="M193" i="35" s="1"/>
  <c r="M540" i="35"/>
  <c r="M539" i="35" s="1"/>
  <c r="M22" i="35"/>
  <c r="M21" i="35" s="1"/>
  <c r="AG542" i="58" s="1"/>
  <c r="N191" i="35"/>
  <c r="N190" i="35" s="1"/>
  <c r="N622" i="35"/>
  <c r="N621" i="35" s="1"/>
  <c r="AI206" i="58" s="1"/>
  <c r="N451" i="35"/>
  <c r="G622" i="35"/>
  <c r="G621" i="35" s="1"/>
  <c r="R206" i="58" s="1"/>
  <c r="G105" i="35"/>
  <c r="G104" i="35" s="1"/>
  <c r="R201" i="58" s="1"/>
  <c r="G277" i="35"/>
  <c r="G276" i="35" s="1"/>
  <c r="R205" i="58" s="1"/>
  <c r="G19" i="35"/>
  <c r="G18" i="35" s="1"/>
  <c r="R200" i="58" s="1"/>
  <c r="G451" i="35"/>
  <c r="G450" i="35" s="1"/>
  <c r="R203" i="58" s="1"/>
  <c r="M419" i="35"/>
  <c r="M418" i="35" s="1"/>
  <c r="M505" i="35"/>
  <c r="M504" i="35" s="1"/>
  <c r="AG102" i="58" s="1"/>
  <c r="M676" i="35"/>
  <c r="M675" i="35" s="1"/>
  <c r="AG97" i="58" s="1"/>
  <c r="M591" i="35"/>
  <c r="M590" i="35" s="1"/>
  <c r="M331" i="35"/>
  <c r="M330" i="35" s="1"/>
  <c r="H419" i="35"/>
  <c r="H418" i="35" s="1"/>
  <c r="T109" i="58" s="1"/>
  <c r="H591" i="35"/>
  <c r="H590" i="35" s="1"/>
  <c r="H505" i="35"/>
  <c r="H504" i="35" s="1"/>
  <c r="T110" i="58" s="1"/>
  <c r="H676" i="35"/>
  <c r="H245" i="35"/>
  <c r="H244" i="35" s="1"/>
  <c r="S570" i="35"/>
  <c r="S569" i="35" s="1"/>
  <c r="S655" i="35"/>
  <c r="S654" i="35" s="1"/>
  <c r="S484" i="35"/>
  <c r="S483" i="35" s="1"/>
  <c r="S224" i="35"/>
  <c r="S138" i="35"/>
  <c r="N52" i="35"/>
  <c r="N51" i="35" s="1"/>
  <c r="N310" i="35"/>
  <c r="N309" i="35" s="1"/>
  <c r="N570" i="35"/>
  <c r="N569" i="35" s="1"/>
  <c r="N655" i="35"/>
  <c r="N654" i="35" s="1"/>
  <c r="G655" i="35"/>
  <c r="G654" i="35" s="1"/>
  <c r="G570" i="35"/>
  <c r="G398" i="35"/>
  <c r="G397" i="35" s="1"/>
  <c r="AG153" i="17"/>
  <c r="AI153" i="17" s="1"/>
  <c r="AH153" i="17"/>
  <c r="AG101" i="17"/>
  <c r="AH101" i="17"/>
  <c r="AG89" i="17"/>
  <c r="AI89" i="17" s="1"/>
  <c r="AH89" i="17"/>
  <c r="AH65" i="17"/>
  <c r="AJ65" i="17" s="1"/>
  <c r="AI65" i="17"/>
  <c r="O261" i="35"/>
  <c r="M597" i="35"/>
  <c r="M682" i="35"/>
  <c r="M681" i="35" s="1"/>
  <c r="M165" i="35"/>
  <c r="M164" i="35" s="1"/>
  <c r="M337" i="35"/>
  <c r="M336" i="35" s="1"/>
  <c r="M79" i="35"/>
  <c r="M78" i="35" s="1"/>
  <c r="M425" i="35"/>
  <c r="R603" i="35"/>
  <c r="R602" i="35" s="1"/>
  <c r="R517" i="35"/>
  <c r="R516" i="35" s="1"/>
  <c r="AT22" i="58" s="1"/>
  <c r="R257" i="35"/>
  <c r="R688" i="35"/>
  <c r="R687" i="35" s="1"/>
  <c r="H688" i="35"/>
  <c r="H687" i="35" s="1"/>
  <c r="H517" i="35"/>
  <c r="H516" i="35" s="1"/>
  <c r="H85" i="35"/>
  <c r="H257" i="35"/>
  <c r="H256" i="35" s="1"/>
  <c r="H343" i="35"/>
  <c r="M428" i="35"/>
  <c r="M427" i="35" s="1"/>
  <c r="M340" i="35"/>
  <c r="M339" i="35" s="1"/>
  <c r="M254" i="35"/>
  <c r="M685" i="35"/>
  <c r="M684" i="35" s="1"/>
  <c r="AG9" i="58" s="1"/>
  <c r="M514" i="35"/>
  <c r="AH183" i="34"/>
  <c r="AJ183" i="34" s="1"/>
  <c r="AI183" i="34"/>
  <c r="AH76" i="34"/>
  <c r="AJ76" i="34" s="1"/>
  <c r="AI76" i="34"/>
  <c r="N215" i="35"/>
  <c r="N214" i="35" s="1"/>
  <c r="N43" i="35"/>
  <c r="N42" i="35" s="1"/>
  <c r="N389" i="35"/>
  <c r="N388" i="35" s="1"/>
  <c r="BF34" i="34"/>
  <c r="N398" i="35"/>
  <c r="S398" i="35"/>
  <c r="S397" i="35" s="1"/>
  <c r="G138" i="35"/>
  <c r="G137" i="35" s="1"/>
  <c r="I138" i="35"/>
  <c r="I137" i="35" s="1"/>
  <c r="S280" i="35"/>
  <c r="I19" i="35"/>
  <c r="I18" i="35" s="1"/>
  <c r="V200" i="58" s="1"/>
  <c r="M454" i="35"/>
  <c r="M203" i="35"/>
  <c r="M202" i="35" s="1"/>
  <c r="N475" i="35"/>
  <c r="N474" i="35" s="1"/>
  <c r="Q537" i="35"/>
  <c r="Q536" i="35" s="1"/>
  <c r="R487" i="35"/>
  <c r="G365" i="35"/>
  <c r="G364" i="35" s="1"/>
  <c r="R202" i="58" s="1"/>
  <c r="AX34" i="34"/>
  <c r="BA35" i="34"/>
  <c r="AY36" i="34"/>
  <c r="BI31" i="34"/>
  <c r="I349" i="35"/>
  <c r="I348" i="35" s="1"/>
  <c r="N138" i="35"/>
  <c r="N137" i="35" s="1"/>
  <c r="G484" i="35"/>
  <c r="S22" i="35"/>
  <c r="S21" i="35" s="1"/>
  <c r="AV542" i="58" s="1"/>
  <c r="M368" i="35"/>
  <c r="M367" i="35" s="1"/>
  <c r="AG544" i="58" s="1"/>
  <c r="M31" i="35"/>
  <c r="M30" i="35" s="1"/>
  <c r="N129" i="35"/>
  <c r="N128" i="35" s="1"/>
  <c r="M73" i="35"/>
  <c r="M72" i="35" s="1"/>
  <c r="AG91" i="58" s="1"/>
  <c r="N105" i="35"/>
  <c r="N104" i="35" s="1"/>
  <c r="AI201" i="58" s="1"/>
  <c r="I91" i="35"/>
  <c r="I90" i="35" s="1"/>
  <c r="R514" i="35"/>
  <c r="R513" i="35" s="1"/>
  <c r="M600" i="35"/>
  <c r="M599" i="35" s="1"/>
  <c r="R85" i="35"/>
  <c r="R84" i="35" s="1"/>
  <c r="L365" i="35"/>
  <c r="L364" i="35" s="1"/>
  <c r="AE202" i="58" s="1"/>
  <c r="N277" i="35"/>
  <c r="N276" i="35" s="1"/>
  <c r="AI205" i="58" s="1"/>
  <c r="AR13" i="58"/>
  <c r="AR5" i="58"/>
  <c r="N224" i="35"/>
  <c r="N223" i="35" s="1"/>
  <c r="M245" i="35"/>
  <c r="M244" i="35" s="1"/>
  <c r="AG103" i="58" s="1"/>
  <c r="R631" i="35"/>
  <c r="AB25" i="21"/>
  <c r="H431" i="35"/>
  <c r="H430" i="35" s="1"/>
  <c r="T45" i="58" s="1"/>
  <c r="AG90" i="58"/>
  <c r="AG106" i="58"/>
  <c r="R694" i="35"/>
  <c r="R693" i="35" s="1"/>
  <c r="R437" i="35"/>
  <c r="T437" i="35" s="1"/>
  <c r="AR28" i="58"/>
  <c r="AR18" i="58"/>
  <c r="R88" i="58"/>
  <c r="AH19" i="15"/>
  <c r="AI19" i="15"/>
  <c r="R658" i="35"/>
  <c r="R657" i="35" s="1"/>
  <c r="R573" i="35"/>
  <c r="R313" i="35"/>
  <c r="R312" i="35" s="1"/>
  <c r="R401" i="35"/>
  <c r="R141" i="35"/>
  <c r="H573" i="35"/>
  <c r="H572" i="35" s="1"/>
  <c r="H313" i="35"/>
  <c r="H312" i="35" s="1"/>
  <c r="H141" i="35"/>
  <c r="H140" i="35" s="1"/>
  <c r="H401" i="35"/>
  <c r="R289" i="35"/>
  <c r="R288" i="35" s="1"/>
  <c r="R634" i="35"/>
  <c r="R633" i="35" s="1"/>
  <c r="R549" i="35"/>
  <c r="R203" i="35"/>
  <c r="R377" i="35"/>
  <c r="R376" i="35" s="1"/>
  <c r="H463" i="35"/>
  <c r="H462" i="35" s="1"/>
  <c r="H634" i="35"/>
  <c r="H633" i="35" s="1"/>
  <c r="H377" i="35"/>
  <c r="H376" i="35" s="1"/>
  <c r="H549" i="35"/>
  <c r="H548" i="35" s="1"/>
  <c r="H203" i="35"/>
  <c r="H202" i="35" s="1"/>
  <c r="M546" i="35"/>
  <c r="M545" i="35" s="1"/>
  <c r="M631" i="35"/>
  <c r="M630" i="35" s="1"/>
  <c r="M28" i="35"/>
  <c r="M200" i="35"/>
  <c r="M199" i="35" s="1"/>
  <c r="M374" i="35"/>
  <c r="M373" i="35" s="1"/>
  <c r="M460" i="35"/>
  <c r="H374" i="35"/>
  <c r="H373" i="35" s="1"/>
  <c r="H631" i="35"/>
  <c r="H114" i="35"/>
  <c r="H113" i="35" s="1"/>
  <c r="H460" i="35"/>
  <c r="H459" i="35" s="1"/>
  <c r="H546" i="35"/>
  <c r="H286" i="35"/>
  <c r="H285" i="35" s="1"/>
  <c r="P194" i="35"/>
  <c r="P193" i="35" s="1"/>
  <c r="P454" i="35"/>
  <c r="P453" i="35" s="1"/>
  <c r="AP545" i="58" s="1"/>
  <c r="P368" i="35"/>
  <c r="P367" i="35" s="1"/>
  <c r="AP544" i="58" s="1"/>
  <c r="P280" i="35"/>
  <c r="P279" i="35" s="1"/>
  <c r="AP547" i="58" s="1"/>
  <c r="P22" i="35"/>
  <c r="P21" i="35" s="1"/>
  <c r="AP542" i="58" s="1"/>
  <c r="P540" i="35"/>
  <c r="Q622" i="35"/>
  <c r="Q621" i="35" s="1"/>
  <c r="AR206" i="58" s="1"/>
  <c r="Q105" i="35"/>
  <c r="Q104" i="35" s="1"/>
  <c r="Q365" i="35"/>
  <c r="Q277" i="35"/>
  <c r="Q451" i="35"/>
  <c r="Q450" i="35" s="1"/>
  <c r="AR203" i="58" s="1"/>
  <c r="L537" i="35"/>
  <c r="L536" i="35" s="1"/>
  <c r="L277" i="35"/>
  <c r="L19" i="35"/>
  <c r="L451" i="35"/>
  <c r="L450" i="35" s="1"/>
  <c r="AE203" i="58" s="1"/>
  <c r="I191" i="35"/>
  <c r="I622" i="35"/>
  <c r="I621" i="35" s="1"/>
  <c r="V206" i="58" s="1"/>
  <c r="I277" i="35"/>
  <c r="I276" i="35" s="1"/>
  <c r="V205" i="58" s="1"/>
  <c r="I451" i="35"/>
  <c r="I450" i="35" s="1"/>
  <c r="V203" i="58" s="1"/>
  <c r="K419" i="35"/>
  <c r="K418" i="35" s="1"/>
  <c r="K676" i="35"/>
  <c r="K675" i="35" s="1"/>
  <c r="K331" i="35"/>
  <c r="K330" i="35" s="1"/>
  <c r="AC112" i="58" s="1"/>
  <c r="K591" i="35"/>
  <c r="K590" i="35" s="1"/>
  <c r="K73" i="35"/>
  <c r="F591" i="35"/>
  <c r="F590" i="35" s="1"/>
  <c r="F73" i="35"/>
  <c r="F72" i="35" s="1"/>
  <c r="F419" i="35"/>
  <c r="F418" i="35" s="1"/>
  <c r="F505" i="35"/>
  <c r="F504" i="35" s="1"/>
  <c r="F245" i="35"/>
  <c r="Q655" i="35"/>
  <c r="Q52" i="35"/>
  <c r="Q51" i="35" s="1"/>
  <c r="Q224" i="35"/>
  <c r="Q223" i="35" s="1"/>
  <c r="L570" i="35"/>
  <c r="L569" i="35" s="1"/>
  <c r="L484" i="35"/>
  <c r="L483" i="35" s="1"/>
  <c r="L398" i="35"/>
  <c r="L397" i="35" s="1"/>
  <c r="L655" i="35"/>
  <c r="L52" i="35"/>
  <c r="L51" i="35" s="1"/>
  <c r="I224" i="35"/>
  <c r="I223" i="35" s="1"/>
  <c r="I570" i="35"/>
  <c r="I569" i="35" s="1"/>
  <c r="I52" i="35"/>
  <c r="I51" i="35" s="1"/>
  <c r="I655" i="35"/>
  <c r="I654" i="35" s="1"/>
  <c r="AA37" i="21"/>
  <c r="AC37" i="21" s="1"/>
  <c r="AB37" i="21"/>
  <c r="AG185" i="17"/>
  <c r="AH185" i="17"/>
  <c r="AG145" i="17"/>
  <c r="AI145" i="17" s="1"/>
  <c r="AH145" i="17"/>
  <c r="AH61" i="17"/>
  <c r="AJ61" i="17" s="1"/>
  <c r="AI61" i="17"/>
  <c r="T686" i="35"/>
  <c r="O169" i="35"/>
  <c r="R597" i="35"/>
  <c r="R511" i="35"/>
  <c r="R510" i="35" s="1"/>
  <c r="R337" i="35"/>
  <c r="R336" i="35" s="1"/>
  <c r="H682" i="35"/>
  <c r="H597" i="35"/>
  <c r="H596" i="35" s="1"/>
  <c r="H251" i="35"/>
  <c r="H250" i="35" s="1"/>
  <c r="H425" i="35"/>
  <c r="H424" i="35" s="1"/>
  <c r="H79" i="35"/>
  <c r="H78" i="35" s="1"/>
  <c r="M603" i="35"/>
  <c r="M431" i="35"/>
  <c r="M430" i="35" s="1"/>
  <c r="AG45" i="58" s="1"/>
  <c r="M85" i="35"/>
  <c r="M84" i="35" s="1"/>
  <c r="AG43" i="58" s="1"/>
  <c r="M343" i="35"/>
  <c r="M342" i="35" s="1"/>
  <c r="AG32" i="58" s="1"/>
  <c r="M517" i="35"/>
  <c r="M516" i="35" s="1"/>
  <c r="M171" i="35"/>
  <c r="M170" i="35" s="1"/>
  <c r="AG44" i="58" s="1"/>
  <c r="R428" i="35"/>
  <c r="R427" i="35" s="1"/>
  <c r="R685" i="35"/>
  <c r="R684" i="35" s="1"/>
  <c r="AT17" i="58" s="1"/>
  <c r="R340" i="35"/>
  <c r="R254" i="35"/>
  <c r="R253" i="35" s="1"/>
  <c r="H514" i="35"/>
  <c r="H513" i="35" s="1"/>
  <c r="H82" i="35"/>
  <c r="H81" i="35" s="1"/>
  <c r="H600" i="35"/>
  <c r="H599" i="35" s="1"/>
  <c r="AH48" i="34"/>
  <c r="AJ48" i="34" s="1"/>
  <c r="AI48" i="34"/>
  <c r="I561" i="35"/>
  <c r="I560" i="35" s="1"/>
  <c r="I646" i="35"/>
  <c r="I301" i="35"/>
  <c r="I300" i="35" s="1"/>
  <c r="I389" i="35"/>
  <c r="I388" i="35" s="1"/>
  <c r="S215" i="35"/>
  <c r="S214" i="35" s="1"/>
  <c r="S43" i="35"/>
  <c r="S42" i="35" s="1"/>
  <c r="S561" i="35"/>
  <c r="S560" i="35" s="1"/>
  <c r="S475" i="35"/>
  <c r="S474" i="35" s="1"/>
  <c r="I694" i="35"/>
  <c r="I693" i="35" s="1"/>
  <c r="I609" i="35"/>
  <c r="I608" i="35" s="1"/>
  <c r="I523" i="35"/>
  <c r="I522" i="35" s="1"/>
  <c r="I263" i="35"/>
  <c r="I262" i="35" s="1"/>
  <c r="N263" i="35"/>
  <c r="N262" i="35" s="1"/>
  <c r="N694" i="35"/>
  <c r="N693" i="35" s="1"/>
  <c r="N349" i="35"/>
  <c r="N348" i="35" s="1"/>
  <c r="N91" i="35"/>
  <c r="N90" i="35" s="1"/>
  <c r="N609" i="35"/>
  <c r="N608" i="35" s="1"/>
  <c r="N437" i="35"/>
  <c r="N436" i="35" s="1"/>
  <c r="N177" i="35"/>
  <c r="S263" i="35"/>
  <c r="S262" i="35" s="1"/>
  <c r="S609" i="35"/>
  <c r="S608" i="35" s="1"/>
  <c r="S694" i="35"/>
  <c r="S523" i="35"/>
  <c r="S522" i="35" s="1"/>
  <c r="AJ19" i="15"/>
  <c r="J674" i="35"/>
  <c r="J417" i="35"/>
  <c r="J668" i="35"/>
  <c r="J574" i="35"/>
  <c r="J538" i="35"/>
  <c r="U538" i="35" s="1"/>
  <c r="J494" i="35"/>
  <c r="T449" i="35"/>
  <c r="J405" i="35"/>
  <c r="J366" i="35"/>
  <c r="J320" i="35"/>
  <c r="J308" i="35"/>
  <c r="J225" i="35"/>
  <c r="J192" i="35"/>
  <c r="J56" i="35"/>
  <c r="M17" i="21"/>
  <c r="AC17" i="21" s="1"/>
  <c r="AB17" i="21"/>
  <c r="AI209" i="17"/>
  <c r="AI185" i="17"/>
  <c r="S165" i="17"/>
  <c r="AI165" i="17" s="1"/>
  <c r="AH165" i="17"/>
  <c r="AI101" i="17"/>
  <c r="J148" i="35"/>
  <c r="J524" i="35"/>
  <c r="J509" i="35"/>
  <c r="J255" i="35"/>
  <c r="J175" i="35"/>
  <c r="J163" i="35"/>
  <c r="K511" i="35"/>
  <c r="K165" i="35"/>
  <c r="K164" i="35" s="1"/>
  <c r="AC60" i="58" s="1"/>
  <c r="AJ195" i="34"/>
  <c r="AJ187" i="34"/>
  <c r="AJ167" i="34"/>
  <c r="AJ143" i="34"/>
  <c r="AJ84" i="34"/>
  <c r="T80" i="34"/>
  <c r="AJ80" i="34" s="1"/>
  <c r="AI80" i="34"/>
  <c r="T56" i="34"/>
  <c r="AJ56" i="34" s="1"/>
  <c r="AI56" i="34"/>
  <c r="AJ44" i="34"/>
  <c r="T20" i="34"/>
  <c r="AJ20" i="34" s="1"/>
  <c r="AI20" i="34"/>
  <c r="J506" i="35"/>
  <c r="AJ55" i="17"/>
  <c r="F120" i="35"/>
  <c r="F119" i="35" s="1"/>
  <c r="K564" i="35"/>
  <c r="K563" i="35" s="1"/>
  <c r="AI131" i="17"/>
  <c r="AI83" i="17"/>
  <c r="J281" i="35"/>
  <c r="J23" i="35"/>
  <c r="O369" i="35"/>
  <c r="G108" i="35"/>
  <c r="G107" i="35" s="1"/>
  <c r="R543" i="58" s="1"/>
  <c r="G194" i="35"/>
  <c r="G193" i="35" s="1"/>
  <c r="G368" i="35"/>
  <c r="G367" i="35" s="1"/>
  <c r="R544" i="58" s="1"/>
  <c r="G454" i="35"/>
  <c r="G453" i="35" s="1"/>
  <c r="R545" i="58" s="1"/>
  <c r="G540" i="35"/>
  <c r="G539" i="35" s="1"/>
  <c r="G625" i="35"/>
  <c r="G624" i="35" s="1"/>
  <c r="R548" i="58" s="1"/>
  <c r="J541" i="35"/>
  <c r="T626" i="35"/>
  <c r="T541" i="35"/>
  <c r="T281" i="35"/>
  <c r="T109" i="35"/>
  <c r="O109" i="35"/>
  <c r="J626" i="35"/>
  <c r="O541" i="35"/>
  <c r="O455" i="35"/>
  <c r="J455" i="35"/>
  <c r="J369" i="35"/>
  <c r="O281" i="35"/>
  <c r="O195" i="35"/>
  <c r="AH26" i="15"/>
  <c r="AJ26" i="15" s="1"/>
  <c r="AI26" i="15"/>
  <c r="T24" i="15"/>
  <c r="AJ24" i="15" s="1"/>
  <c r="AI24" i="15"/>
  <c r="AA21" i="15"/>
  <c r="AJ21" i="15" s="1"/>
  <c r="AI21" i="15"/>
  <c r="T20" i="15"/>
  <c r="AJ20" i="15" s="1"/>
  <c r="AI20" i="15"/>
  <c r="T16" i="15"/>
  <c r="AJ16" i="15" s="1"/>
  <c r="AI16" i="15"/>
  <c r="T535" i="35"/>
  <c r="J535" i="35"/>
  <c r="O535" i="35"/>
  <c r="AC92" i="58"/>
  <c r="AC116" i="58"/>
  <c r="T665" i="35"/>
  <c r="O414" i="35"/>
  <c r="T32" i="15"/>
  <c r="AJ32" i="15" s="1"/>
  <c r="AI32" i="15"/>
  <c r="T28" i="15"/>
  <c r="AJ28" i="15" s="1"/>
  <c r="AI28" i="15"/>
  <c r="AA25" i="15"/>
  <c r="AJ25" i="15" s="1"/>
  <c r="AI25" i="15"/>
  <c r="AH22" i="15"/>
  <c r="AJ22" i="15" s="1"/>
  <c r="AI22" i="15"/>
  <c r="O363" i="35"/>
  <c r="J363" i="35"/>
  <c r="T363" i="35"/>
  <c r="O275" i="35"/>
  <c r="J275" i="35"/>
  <c r="T275" i="35"/>
  <c r="O189" i="35"/>
  <c r="T189" i="35"/>
  <c r="J189" i="35"/>
  <c r="O103" i="35"/>
  <c r="T103" i="35"/>
  <c r="J103" i="35"/>
  <c r="S401" i="35"/>
  <c r="S400" i="35" s="1"/>
  <c r="S573" i="35"/>
  <c r="S572" i="35" s="1"/>
  <c r="S658" i="35"/>
  <c r="S657" i="35" s="1"/>
  <c r="S487" i="35"/>
  <c r="S486" i="35" s="1"/>
  <c r="S227" i="35"/>
  <c r="S55" i="35"/>
  <c r="S313" i="35"/>
  <c r="S312" i="35" s="1"/>
  <c r="N313" i="35"/>
  <c r="N312" i="35" s="1"/>
  <c r="N487" i="35"/>
  <c r="N486" i="35" s="1"/>
  <c r="N573" i="35"/>
  <c r="N572" i="35" s="1"/>
  <c r="N55" i="35"/>
  <c r="N54" i="35" s="1"/>
  <c r="N401" i="35"/>
  <c r="N400" i="35" s="1"/>
  <c r="N658" i="35"/>
  <c r="N657" i="35" s="1"/>
  <c r="N227" i="35"/>
  <c r="N226" i="35" s="1"/>
  <c r="N141" i="35"/>
  <c r="N140" i="35" s="1"/>
  <c r="I141" i="35"/>
  <c r="I140" i="35" s="1"/>
  <c r="V163" i="58" s="1"/>
  <c r="I487" i="35"/>
  <c r="I486" i="35" s="1"/>
  <c r="I55" i="35"/>
  <c r="I54" i="35" s="1"/>
  <c r="V162" i="58" s="1"/>
  <c r="I227" i="35"/>
  <c r="I226" i="35" s="1"/>
  <c r="I573" i="35"/>
  <c r="I572" i="35" s="1"/>
  <c r="V166" i="58" s="1"/>
  <c r="I313" i="35"/>
  <c r="I312" i="35" s="1"/>
  <c r="I401" i="35"/>
  <c r="I400" i="35" s="1"/>
  <c r="T369" i="35"/>
  <c r="T195" i="35"/>
  <c r="O626" i="35"/>
  <c r="AP112" i="58"/>
  <c r="AP96" i="58"/>
  <c r="AH30" i="15"/>
  <c r="AJ30" i="15" s="1"/>
  <c r="AI30" i="15"/>
  <c r="AH14" i="15"/>
  <c r="AJ14" i="15" s="1"/>
  <c r="AI14" i="15"/>
  <c r="J620" i="35"/>
  <c r="T620" i="35"/>
  <c r="O620" i="35"/>
  <c r="S141" i="35"/>
  <c r="S140" i="35" s="1"/>
  <c r="AE14" i="58"/>
  <c r="AE6" i="58"/>
  <c r="AT45" i="58"/>
  <c r="AT21" i="58"/>
  <c r="J74" i="35"/>
  <c r="AG160" i="17"/>
  <c r="AI160" i="17" s="1"/>
  <c r="AH160" i="17"/>
  <c r="O246" i="35"/>
  <c r="BI27" i="23"/>
  <c r="BI41" i="17"/>
  <c r="AX41" i="17"/>
  <c r="BH34" i="34"/>
  <c r="BB33" i="34"/>
  <c r="AY35" i="34"/>
  <c r="BF33" i="34"/>
  <c r="BB34" i="34"/>
  <c r="AZ36" i="34"/>
  <c r="BC31" i="34"/>
  <c r="BD31" i="34"/>
  <c r="R609" i="35"/>
  <c r="R608" i="35" s="1"/>
  <c r="AI163" i="58"/>
  <c r="AT38" i="58"/>
  <c r="BG34" i="34"/>
  <c r="AZ33" i="34"/>
  <c r="BF35" i="34"/>
  <c r="BA34" i="34"/>
  <c r="BF31" i="34"/>
  <c r="BE36" i="34"/>
  <c r="M349" i="35"/>
  <c r="K401" i="35"/>
  <c r="K400" i="35" s="1"/>
  <c r="BE40" i="23"/>
  <c r="BE36" i="23"/>
  <c r="AI51" i="34"/>
  <c r="AI180" i="34"/>
  <c r="AV164" i="58"/>
  <c r="AI167" i="58"/>
  <c r="AZ28" i="23"/>
  <c r="T31" i="15"/>
  <c r="AJ31" i="15" s="1"/>
  <c r="AI31" i="15"/>
  <c r="T27" i="15"/>
  <c r="AJ27" i="15" s="1"/>
  <c r="AI27" i="15"/>
  <c r="T23" i="15"/>
  <c r="AJ23" i="15" s="1"/>
  <c r="AI23" i="15"/>
  <c r="T329" i="35"/>
  <c r="O329" i="35"/>
  <c r="T653" i="35"/>
  <c r="O653" i="35"/>
  <c r="T583" i="35"/>
  <c r="O583" i="35"/>
  <c r="O491" i="35"/>
  <c r="T455" i="35"/>
  <c r="T317" i="35"/>
  <c r="P487" i="35"/>
  <c r="P486" i="35" s="1"/>
  <c r="P313" i="35"/>
  <c r="P312" i="35" s="1"/>
  <c r="K313" i="35"/>
  <c r="K312" i="35" s="1"/>
  <c r="K658" i="35"/>
  <c r="K657" i="35" s="1"/>
  <c r="K141" i="35"/>
  <c r="F487" i="35"/>
  <c r="F486" i="35" s="1"/>
  <c r="F55" i="35"/>
  <c r="F54" i="35" s="1"/>
  <c r="I73" i="35"/>
  <c r="I331" i="35"/>
  <c r="I330" i="35" s="1"/>
  <c r="V104" i="58" s="1"/>
  <c r="O71" i="35"/>
  <c r="K138" i="35"/>
  <c r="K137" i="35" s="1"/>
  <c r="BB18" i="22"/>
  <c r="H52" i="35"/>
  <c r="H51" i="35" s="1"/>
  <c r="AZ18" i="22"/>
  <c r="F138" i="35"/>
  <c r="F655" i="35"/>
  <c r="S51" i="22"/>
  <c r="AH51" i="22"/>
  <c r="M45" i="21"/>
  <c r="AC45" i="21" s="1"/>
  <c r="AB45" i="21"/>
  <c r="M33" i="21"/>
  <c r="AC33" i="21" s="1"/>
  <c r="AB33" i="21"/>
  <c r="M21" i="21"/>
  <c r="AC21" i="21" s="1"/>
  <c r="AB21" i="21"/>
  <c r="S217" i="17"/>
  <c r="AI217" i="17" s="1"/>
  <c r="AH217" i="17"/>
  <c r="S197" i="17"/>
  <c r="AI197" i="17" s="1"/>
  <c r="AH197" i="17"/>
  <c r="S193" i="17"/>
  <c r="AI193" i="17" s="1"/>
  <c r="AH193" i="17"/>
  <c r="S173" i="17"/>
  <c r="AI173" i="17" s="1"/>
  <c r="AH173" i="17"/>
  <c r="S161" i="17"/>
  <c r="AI161" i="17" s="1"/>
  <c r="AH161" i="17"/>
  <c r="S149" i="17"/>
  <c r="AI149" i="17" s="1"/>
  <c r="AH149" i="17"/>
  <c r="S125" i="17"/>
  <c r="AI125" i="17" s="1"/>
  <c r="AH125" i="17"/>
  <c r="S113" i="17"/>
  <c r="AI113" i="17" s="1"/>
  <c r="AH113" i="17"/>
  <c r="S109" i="17"/>
  <c r="AI109" i="17" s="1"/>
  <c r="AH109" i="17"/>
  <c r="S93" i="17"/>
  <c r="AI93" i="17" s="1"/>
  <c r="AH93" i="17"/>
  <c r="T69" i="17"/>
  <c r="AJ69" i="17" s="1"/>
  <c r="AI69" i="17"/>
  <c r="T57" i="17"/>
  <c r="AJ57" i="17" s="1"/>
  <c r="AI57" i="17"/>
  <c r="T37" i="17"/>
  <c r="AJ37" i="17" s="1"/>
  <c r="AI37" i="17"/>
  <c r="T21" i="17"/>
  <c r="AJ21" i="17" s="1"/>
  <c r="AI21" i="17"/>
  <c r="T17" i="17"/>
  <c r="AJ17" i="17" s="1"/>
  <c r="AI17" i="17"/>
  <c r="P682" i="35"/>
  <c r="P681" i="35" s="1"/>
  <c r="P337" i="35"/>
  <c r="P336" i="35" s="1"/>
  <c r="P251" i="35"/>
  <c r="P250" i="35" s="1"/>
  <c r="F682" i="35"/>
  <c r="F681" i="35" s="1"/>
  <c r="F337" i="35"/>
  <c r="P517" i="35"/>
  <c r="P516" i="35" s="1"/>
  <c r="P431" i="35"/>
  <c r="P430" i="35" s="1"/>
  <c r="P171" i="35"/>
  <c r="P257" i="35"/>
  <c r="P256" i="35" s="1"/>
  <c r="K343" i="35"/>
  <c r="K342" i="35" s="1"/>
  <c r="AC40" i="58" s="1"/>
  <c r="K257" i="35"/>
  <c r="K256" i="35" s="1"/>
  <c r="P428" i="35"/>
  <c r="P514" i="35"/>
  <c r="P513" i="35" s="1"/>
  <c r="AP14" i="58" s="1"/>
  <c r="T215" i="34"/>
  <c r="AJ215" i="34" s="1"/>
  <c r="AI215" i="34"/>
  <c r="T207" i="34"/>
  <c r="AJ207" i="34" s="1"/>
  <c r="AI207" i="34"/>
  <c r="T199" i="34"/>
  <c r="AJ199" i="34" s="1"/>
  <c r="AI199" i="34"/>
  <c r="T155" i="34"/>
  <c r="AI155" i="34"/>
  <c r="T135" i="34"/>
  <c r="AJ135" i="34" s="1"/>
  <c r="AI135" i="34"/>
  <c r="T131" i="34"/>
  <c r="AJ131" i="34" s="1"/>
  <c r="AI131" i="34"/>
  <c r="T116" i="34"/>
  <c r="AJ116" i="34" s="1"/>
  <c r="AI116" i="34"/>
  <c r="T24" i="34"/>
  <c r="AJ24" i="34" s="1"/>
  <c r="AI24" i="34"/>
  <c r="T16" i="34"/>
  <c r="AJ16" i="34" s="1"/>
  <c r="AI16" i="34"/>
  <c r="R349" i="35"/>
  <c r="R91" i="35"/>
  <c r="R90" i="35" s="1"/>
  <c r="AX32" i="23"/>
  <c r="BH15" i="23"/>
  <c r="R579" i="35" s="1"/>
  <c r="R578" i="35" s="1"/>
  <c r="BA14" i="34"/>
  <c r="I679" i="35" s="1"/>
  <c r="I678" i="35" s="1"/>
  <c r="BA31" i="34"/>
  <c r="AY31" i="34"/>
  <c r="BB36" i="34"/>
  <c r="BI33" i="34"/>
  <c r="BE35" i="34"/>
  <c r="BD35" i="34"/>
  <c r="BA36" i="34"/>
  <c r="AX35" i="34"/>
  <c r="AY33" i="34"/>
  <c r="BD34" i="34"/>
  <c r="BF36" i="34"/>
  <c r="BI35" i="34"/>
  <c r="O449" i="35"/>
  <c r="K573" i="35"/>
  <c r="P658" i="35"/>
  <c r="H570" i="35"/>
  <c r="H569" i="35" s="1"/>
  <c r="P401" i="35"/>
  <c r="P400" i="35" s="1"/>
  <c r="F573" i="35"/>
  <c r="F572" i="35" s="1"/>
  <c r="BH18" i="34"/>
  <c r="BG14" i="23"/>
  <c r="Q58" i="35" s="1"/>
  <c r="Q57" i="35" s="1"/>
  <c r="BF29" i="23"/>
  <c r="BI37" i="23"/>
  <c r="AH133" i="17"/>
  <c r="AH209" i="17"/>
  <c r="AH157" i="17"/>
  <c r="L43" i="35"/>
  <c r="L42" i="35" s="1"/>
  <c r="G301" i="35"/>
  <c r="G561" i="35"/>
  <c r="G560" i="35" s="1"/>
  <c r="G646" i="35"/>
  <c r="G645" i="35" s="1"/>
  <c r="AI18" i="15"/>
  <c r="AI29" i="15"/>
  <c r="T17" i="15"/>
  <c r="AJ17" i="15" s="1"/>
  <c r="AI17" i="15"/>
  <c r="L34" i="35"/>
  <c r="L33" i="35" s="1"/>
  <c r="Q120" i="35"/>
  <c r="Q119" i="35" s="1"/>
  <c r="L637" i="35"/>
  <c r="L636" i="35" s="1"/>
  <c r="L466" i="35"/>
  <c r="L465" i="35" s="1"/>
  <c r="G34" i="35"/>
  <c r="G33" i="35" s="1"/>
  <c r="L380" i="35"/>
  <c r="L379" i="35" s="1"/>
  <c r="Q552" i="35"/>
  <c r="Q551" i="35" s="1"/>
  <c r="L298" i="35"/>
  <c r="L297" i="35" s="1"/>
  <c r="Q466" i="35"/>
  <c r="L123" i="35"/>
  <c r="L122" i="35" s="1"/>
  <c r="G637" i="35"/>
  <c r="G636" i="35" s="1"/>
  <c r="G552" i="35"/>
  <c r="G551" i="35" s="1"/>
  <c r="AI128" i="17"/>
  <c r="AI123" i="17"/>
  <c r="N289" i="35"/>
  <c r="N288" i="35" s="1"/>
  <c r="N634" i="35"/>
  <c r="N633" i="35" s="1"/>
  <c r="N377" i="35"/>
  <c r="N376" i="35" s="1"/>
  <c r="I374" i="35"/>
  <c r="I373" i="35" s="1"/>
  <c r="I460" i="35"/>
  <c r="I459" i="35" s="1"/>
  <c r="I631" i="35"/>
  <c r="I630" i="35" s="1"/>
  <c r="I546" i="35"/>
  <c r="I545" i="35" s="1"/>
  <c r="I28" i="35"/>
  <c r="I27" i="35" s="1"/>
  <c r="J27" i="35" s="1"/>
  <c r="S448" i="35"/>
  <c r="S447" i="35" s="1"/>
  <c r="BI17" i="15"/>
  <c r="S274" i="35"/>
  <c r="S273" i="35" s="1"/>
  <c r="S619" i="35"/>
  <c r="S618" i="35" s="1"/>
  <c r="S534" i="35"/>
  <c r="S533" i="35" s="1"/>
  <c r="S362" i="35"/>
  <c r="S361" i="35" s="1"/>
  <c r="S188" i="35"/>
  <c r="S187" i="35" s="1"/>
  <c r="S102" i="35"/>
  <c r="S101" i="35" s="1"/>
  <c r="S16" i="35"/>
  <c r="S15" i="35" s="1"/>
  <c r="G188" i="35"/>
  <c r="G187" i="35" s="1"/>
  <c r="BJ14" i="15"/>
  <c r="AY17" i="15"/>
  <c r="G16" i="35"/>
  <c r="G15" i="35" s="1"/>
  <c r="G448" i="35"/>
  <c r="G274" i="35"/>
  <c r="G273" i="35" s="1"/>
  <c r="G102" i="35"/>
  <c r="G619" i="35"/>
  <c r="G618" i="35" s="1"/>
  <c r="G534" i="35"/>
  <c r="G533" i="35" s="1"/>
  <c r="G362" i="35"/>
  <c r="G361" i="35" s="1"/>
  <c r="M502" i="35"/>
  <c r="M501" i="35" s="1"/>
  <c r="AG86" i="58" s="1"/>
  <c r="BD16" i="24"/>
  <c r="M416" i="35"/>
  <c r="M415" i="35" s="1"/>
  <c r="M328" i="35"/>
  <c r="M327" i="35" s="1"/>
  <c r="M70" i="35"/>
  <c r="M69" i="35" s="1"/>
  <c r="M242" i="35"/>
  <c r="M588" i="35"/>
  <c r="M587" i="35" s="1"/>
  <c r="M673" i="35"/>
  <c r="M672" i="35" s="1"/>
  <c r="M156" i="35"/>
  <c r="S481" i="35"/>
  <c r="S480" i="35" s="1"/>
  <c r="AV140" i="58" s="1"/>
  <c r="BI18" i="22"/>
  <c r="S307" i="35"/>
  <c r="S306" i="35" s="1"/>
  <c r="AV142" i="58" s="1"/>
  <c r="S395" i="35"/>
  <c r="S394" i="35" s="1"/>
  <c r="AV139" i="58" s="1"/>
  <c r="S221" i="35"/>
  <c r="S220" i="35" s="1"/>
  <c r="S652" i="35"/>
  <c r="S567" i="35"/>
  <c r="S49" i="35"/>
  <c r="S135" i="35"/>
  <c r="S134" i="35" s="1"/>
  <c r="AV138" i="58" s="1"/>
  <c r="L567" i="35"/>
  <c r="BC18" i="22"/>
  <c r="L652" i="35"/>
  <c r="L651" i="35" s="1"/>
  <c r="AE143" i="58" s="1"/>
  <c r="L221" i="35"/>
  <c r="L220" i="35" s="1"/>
  <c r="L307" i="35"/>
  <c r="L306" i="35" s="1"/>
  <c r="AE142" i="58" s="1"/>
  <c r="L395" i="35"/>
  <c r="L394" i="35" s="1"/>
  <c r="AE139" i="58" s="1"/>
  <c r="L481" i="35"/>
  <c r="L480" i="35" s="1"/>
  <c r="AE140" i="58" s="1"/>
  <c r="L135" i="35"/>
  <c r="L134" i="35" s="1"/>
  <c r="AE138" i="58" s="1"/>
  <c r="L49" i="35"/>
  <c r="L48" i="35" s="1"/>
  <c r="AE137" i="58" s="1"/>
  <c r="AH158" i="23"/>
  <c r="AJ158" i="23" s="1"/>
  <c r="AI158" i="23"/>
  <c r="AH154" i="23"/>
  <c r="AJ154" i="23" s="1"/>
  <c r="AI154" i="23"/>
  <c r="S21" i="22"/>
  <c r="AI21" i="22" s="1"/>
  <c r="AH21" i="22"/>
  <c r="AA48" i="21"/>
  <c r="AB48" i="21"/>
  <c r="AH76" i="24"/>
  <c r="AI76" i="24"/>
  <c r="Z195" i="17"/>
  <c r="AI195" i="17" s="1"/>
  <c r="AH195" i="17"/>
  <c r="S190" i="17"/>
  <c r="AI190" i="17" s="1"/>
  <c r="AH190" i="17"/>
  <c r="S186" i="17"/>
  <c r="AI186" i="17" s="1"/>
  <c r="AH186" i="17"/>
  <c r="S170" i="17"/>
  <c r="AI170" i="17" s="1"/>
  <c r="AH170" i="17"/>
  <c r="S154" i="17"/>
  <c r="AI154" i="17" s="1"/>
  <c r="AH154" i="17"/>
  <c r="AG140" i="17"/>
  <c r="AI140" i="17" s="1"/>
  <c r="AH140" i="17"/>
  <c r="Z127" i="17"/>
  <c r="AI127" i="17" s="1"/>
  <c r="AH127" i="17"/>
  <c r="AG124" i="17"/>
  <c r="AI124" i="17" s="1"/>
  <c r="AH124" i="17"/>
  <c r="AG104" i="17"/>
  <c r="AI104" i="17" s="1"/>
  <c r="AH104" i="17"/>
  <c r="AA71" i="17"/>
  <c r="AJ71" i="17" s="1"/>
  <c r="AI71" i="17"/>
  <c r="T66" i="17"/>
  <c r="AJ66" i="17" s="1"/>
  <c r="AI66" i="17"/>
  <c r="AA63" i="17"/>
  <c r="AJ63" i="17" s="1"/>
  <c r="AI63" i="17"/>
  <c r="AA59" i="17"/>
  <c r="AJ59" i="17" s="1"/>
  <c r="AI59" i="17"/>
  <c r="AH40" i="17"/>
  <c r="AJ40" i="17" s="1"/>
  <c r="AI40" i="17"/>
  <c r="T26" i="17"/>
  <c r="AJ26" i="17" s="1"/>
  <c r="AI26" i="17"/>
  <c r="N431" i="35"/>
  <c r="N430" i="35" s="1"/>
  <c r="AI45" i="58" s="1"/>
  <c r="N603" i="35"/>
  <c r="N602" i="35" s="1"/>
  <c r="N85" i="35"/>
  <c r="N84" i="35" s="1"/>
  <c r="N517" i="35"/>
  <c r="N516" i="35" s="1"/>
  <c r="N343" i="35"/>
  <c r="N342" i="35" s="1"/>
  <c r="N171" i="35"/>
  <c r="N170" i="35" s="1"/>
  <c r="AI20" i="58" s="1"/>
  <c r="N257" i="35"/>
  <c r="N256" i="35" s="1"/>
  <c r="N688" i="35"/>
  <c r="N687" i="35" s="1"/>
  <c r="AI49" i="58" s="1"/>
  <c r="I200" i="35"/>
  <c r="I199" i="35" s="1"/>
  <c r="S631" i="35"/>
  <c r="S630" i="35" s="1"/>
  <c r="S374" i="35"/>
  <c r="S114" i="35"/>
  <c r="S113" i="35" s="1"/>
  <c r="S460" i="35"/>
  <c r="S28" i="35"/>
  <c r="S27" i="35" s="1"/>
  <c r="S200" i="35"/>
  <c r="S199" i="35" s="1"/>
  <c r="S622" i="35"/>
  <c r="S621" i="35" s="1"/>
  <c r="AV206" i="58" s="1"/>
  <c r="S105" i="35"/>
  <c r="S104" i="35" s="1"/>
  <c r="AV201" i="58" s="1"/>
  <c r="S365" i="35"/>
  <c r="S364" i="35" s="1"/>
  <c r="AV202" i="58" s="1"/>
  <c r="S451" i="35"/>
  <c r="S450" i="35" s="1"/>
  <c r="AV203" i="58" s="1"/>
  <c r="S19" i="35"/>
  <c r="S277" i="35"/>
  <c r="S276" i="35" s="1"/>
  <c r="AV205" i="58" s="1"/>
  <c r="S537" i="35"/>
  <c r="S536" i="35" s="1"/>
  <c r="T20" i="35"/>
  <c r="O20" i="35"/>
  <c r="L274" i="35"/>
  <c r="L273" i="35" s="1"/>
  <c r="L448" i="35"/>
  <c r="L447" i="35" s="1"/>
  <c r="L102" i="35"/>
  <c r="L101" i="35" s="1"/>
  <c r="L534" i="35"/>
  <c r="L533" i="35" s="1"/>
  <c r="L188" i="35"/>
  <c r="L187" i="35" s="1"/>
  <c r="L16" i="35"/>
  <c r="L15" i="35" s="1"/>
  <c r="L619" i="35"/>
  <c r="L618" i="35" s="1"/>
  <c r="P328" i="35"/>
  <c r="P327" i="35" s="1"/>
  <c r="P242" i="35"/>
  <c r="P241" i="35" s="1"/>
  <c r="P70" i="35"/>
  <c r="P69" i="35" s="1"/>
  <c r="BF16" i="24"/>
  <c r="P673" i="35"/>
  <c r="P156" i="35"/>
  <c r="P155" i="35" s="1"/>
  <c r="AP59" i="58" s="1"/>
  <c r="P588" i="35"/>
  <c r="P587" i="35" s="1"/>
  <c r="H242" i="35"/>
  <c r="H241" i="35" s="1"/>
  <c r="AZ16" i="24"/>
  <c r="H416" i="35"/>
  <c r="H415" i="35" s="1"/>
  <c r="T76" i="58" s="1"/>
  <c r="H70" i="35"/>
  <c r="H69" i="35" s="1"/>
  <c r="H588" i="35"/>
  <c r="H673" i="35"/>
  <c r="H672" i="35" s="1"/>
  <c r="H502" i="35"/>
  <c r="H501" i="35" s="1"/>
  <c r="H328" i="35"/>
  <c r="H156" i="35"/>
  <c r="H155" i="35" s="1"/>
  <c r="N567" i="35"/>
  <c r="N566" i="35" s="1"/>
  <c r="AI141" i="58" s="1"/>
  <c r="BE18" i="22"/>
  <c r="N49" i="35"/>
  <c r="N48" i="35" s="1"/>
  <c r="AI137" i="58" s="1"/>
  <c r="N481" i="35"/>
  <c r="N135" i="35"/>
  <c r="N134" i="35" s="1"/>
  <c r="N395" i="35"/>
  <c r="N394" i="35" s="1"/>
  <c r="AI139" i="58" s="1"/>
  <c r="N652" i="35"/>
  <c r="N651" i="35" s="1"/>
  <c r="AI143" i="58" s="1"/>
  <c r="N307" i="35"/>
  <c r="N306" i="35" s="1"/>
  <c r="AI142" i="58" s="1"/>
  <c r="T14" i="23"/>
  <c r="AI14" i="23"/>
  <c r="T138" i="23"/>
  <c r="AJ138" i="23" s="1"/>
  <c r="AI138" i="23"/>
  <c r="T101" i="23"/>
  <c r="AJ101" i="23" s="1"/>
  <c r="AI101" i="23"/>
  <c r="T97" i="23"/>
  <c r="AJ97" i="23" s="1"/>
  <c r="AI97" i="23"/>
  <c r="T95" i="23"/>
  <c r="AJ95" i="23" s="1"/>
  <c r="AI95" i="23"/>
  <c r="T72" i="23"/>
  <c r="AJ72" i="23" s="1"/>
  <c r="AI72" i="23"/>
  <c r="S136" i="22"/>
  <c r="AI136" i="22" s="1"/>
  <c r="AH136" i="22"/>
  <c r="T111" i="15"/>
  <c r="AJ111" i="15" s="1"/>
  <c r="AI111" i="15"/>
  <c r="T114" i="15"/>
  <c r="AJ114" i="15" s="1"/>
  <c r="AI114" i="15"/>
  <c r="T38" i="24"/>
  <c r="AJ38" i="24" s="1"/>
  <c r="AI38" i="24"/>
  <c r="T34" i="24"/>
  <c r="AJ34" i="24" s="1"/>
  <c r="AI34" i="24"/>
  <c r="T26" i="24"/>
  <c r="AJ26" i="24" s="1"/>
  <c r="AI26" i="24"/>
  <c r="T14" i="24"/>
  <c r="AJ14" i="24" s="1"/>
  <c r="AI14" i="24"/>
  <c r="S91" i="22"/>
  <c r="AI91" i="22" s="1"/>
  <c r="AH91" i="22"/>
  <c r="S48" i="22"/>
  <c r="AI48" i="22" s="1"/>
  <c r="AH48" i="22"/>
  <c r="S44" i="22"/>
  <c r="AI44" i="22" s="1"/>
  <c r="AH44" i="22"/>
  <c r="S17" i="22"/>
  <c r="AI17" i="22" s="1"/>
  <c r="AH17" i="22"/>
  <c r="T51" i="21"/>
  <c r="AB51" i="21"/>
  <c r="AA40" i="21"/>
  <c r="AC40" i="21" s="1"/>
  <c r="AB40" i="21"/>
  <c r="T72" i="24"/>
  <c r="AJ72" i="24" s="1"/>
  <c r="AI72" i="24"/>
  <c r="S218" i="17"/>
  <c r="AI218" i="17" s="1"/>
  <c r="AH218" i="17"/>
  <c r="S214" i="17"/>
  <c r="AI214" i="17" s="1"/>
  <c r="AH214" i="17"/>
  <c r="AG204" i="17"/>
  <c r="AI204" i="17" s="1"/>
  <c r="AH204" i="17"/>
  <c r="S202" i="17"/>
  <c r="AI202" i="17" s="1"/>
  <c r="AH202" i="17"/>
  <c r="AG196" i="17"/>
  <c r="AI196" i="17" s="1"/>
  <c r="AH196" i="17"/>
  <c r="AG192" i="17"/>
  <c r="AI192" i="17" s="1"/>
  <c r="AH192" i="17"/>
  <c r="AG188" i="17"/>
  <c r="AI188" i="17" s="1"/>
  <c r="AH188" i="17"/>
  <c r="AG184" i="17"/>
  <c r="AI184" i="17" s="1"/>
  <c r="AH184" i="17"/>
  <c r="AG180" i="17"/>
  <c r="AI180" i="17" s="1"/>
  <c r="AH180" i="17"/>
  <c r="AG176" i="17"/>
  <c r="AI176" i="17" s="1"/>
  <c r="AH176" i="17"/>
  <c r="Z171" i="17"/>
  <c r="AI171" i="17" s="1"/>
  <c r="AH171" i="17"/>
  <c r="Z167" i="17"/>
  <c r="AI167" i="17" s="1"/>
  <c r="AH167" i="17"/>
  <c r="Z163" i="17"/>
  <c r="AI163" i="17" s="1"/>
  <c r="AH163" i="17"/>
  <c r="S158" i="17"/>
  <c r="AI158" i="17" s="1"/>
  <c r="AH158" i="17"/>
  <c r="AG156" i="17"/>
  <c r="AI156" i="17" s="1"/>
  <c r="AH156" i="17"/>
  <c r="Z151" i="17"/>
  <c r="AI151" i="17" s="1"/>
  <c r="AH151" i="17"/>
  <c r="Z147" i="17"/>
  <c r="AI147" i="17" s="1"/>
  <c r="AH147" i="17"/>
  <c r="S142" i="17"/>
  <c r="AI142" i="17" s="1"/>
  <c r="AH142" i="17"/>
  <c r="AG132" i="17"/>
  <c r="AI132" i="17" s="1"/>
  <c r="AH132" i="17"/>
  <c r="AG112" i="17"/>
  <c r="AI112" i="17" s="1"/>
  <c r="AH112" i="17"/>
  <c r="AG108" i="17"/>
  <c r="AI108" i="17" s="1"/>
  <c r="AH108" i="17"/>
  <c r="Z95" i="17"/>
  <c r="AI95" i="17" s="1"/>
  <c r="AH95" i="17"/>
  <c r="S90" i="17"/>
  <c r="AI90" i="17" s="1"/>
  <c r="AH90" i="17"/>
  <c r="AG88" i="17"/>
  <c r="AI88" i="17" s="1"/>
  <c r="AH88" i="17"/>
  <c r="AG84" i="17"/>
  <c r="AI84" i="17" s="1"/>
  <c r="AH84" i="17"/>
  <c r="T62" i="17"/>
  <c r="AJ62" i="17" s="1"/>
  <c r="AI62" i="17"/>
  <c r="T58" i="17"/>
  <c r="AJ58" i="17" s="1"/>
  <c r="AI58" i="17"/>
  <c r="T54" i="17"/>
  <c r="AI54" i="17"/>
  <c r="AH36" i="17"/>
  <c r="AJ36" i="17" s="1"/>
  <c r="AI36" i="17"/>
  <c r="AA31" i="17"/>
  <c r="AI31" i="17"/>
  <c r="AA27" i="17"/>
  <c r="AJ27" i="17" s="1"/>
  <c r="AI27" i="17"/>
  <c r="T22" i="17"/>
  <c r="AJ22" i="17" s="1"/>
  <c r="AI22" i="17"/>
  <c r="AA19" i="17"/>
  <c r="AJ19" i="17" s="1"/>
  <c r="AI19" i="17"/>
  <c r="AA15" i="17"/>
  <c r="AJ15" i="17" s="1"/>
  <c r="AI15" i="17"/>
  <c r="I682" i="35"/>
  <c r="I681" i="35" s="1"/>
  <c r="I511" i="35"/>
  <c r="I510" i="35" s="1"/>
  <c r="I597" i="35"/>
  <c r="I337" i="35"/>
  <c r="I336" i="35" s="1"/>
  <c r="I79" i="35"/>
  <c r="I78" i="35" s="1"/>
  <c r="I165" i="35"/>
  <c r="I164" i="35" s="1"/>
  <c r="I425" i="35"/>
  <c r="I424" i="35" s="1"/>
  <c r="S191" i="35"/>
  <c r="S190" i="35" s="1"/>
  <c r="AI80" i="24"/>
  <c r="AH128" i="17"/>
  <c r="AH150" i="17"/>
  <c r="P11" i="58"/>
  <c r="P3" i="58"/>
  <c r="I377" i="35"/>
  <c r="I376" i="35" s="1"/>
  <c r="I289" i="35"/>
  <c r="I288" i="35" s="1"/>
  <c r="I117" i="35"/>
  <c r="I116" i="35" s="1"/>
  <c r="I31" i="35"/>
  <c r="I30" i="35" s="1"/>
  <c r="K194" i="35"/>
  <c r="K193" i="35" s="1"/>
  <c r="K368" i="35"/>
  <c r="K367" i="35" s="1"/>
  <c r="AC544" i="58" s="1"/>
  <c r="K540" i="35"/>
  <c r="K539" i="35" s="1"/>
  <c r="K625" i="35"/>
  <c r="K624" i="35" s="1"/>
  <c r="AC548" i="58" s="1"/>
  <c r="K108" i="35"/>
  <c r="K280" i="35"/>
  <c r="K22" i="35"/>
  <c r="K21" i="35" s="1"/>
  <c r="H194" i="35"/>
  <c r="H193" i="35" s="1"/>
  <c r="J193" i="35" s="1"/>
  <c r="H368" i="35"/>
  <c r="H367" i="35" s="1"/>
  <c r="T544" i="58" s="1"/>
  <c r="H280" i="35"/>
  <c r="H108" i="35"/>
  <c r="H107" i="35" s="1"/>
  <c r="T543" i="58" s="1"/>
  <c r="H454" i="35"/>
  <c r="H453" i="35" s="1"/>
  <c r="T545" i="58" s="1"/>
  <c r="H540" i="35"/>
  <c r="H539" i="35" s="1"/>
  <c r="H625" i="35"/>
  <c r="H22" i="35"/>
  <c r="H21" i="35" s="1"/>
  <c r="T542" i="58" s="1"/>
  <c r="N619" i="35"/>
  <c r="N618" i="35" s="1"/>
  <c r="N188" i="35"/>
  <c r="N187" i="35" s="1"/>
  <c r="N16" i="35"/>
  <c r="N15" i="35" s="1"/>
  <c r="N102" i="35"/>
  <c r="N101" i="35" s="1"/>
  <c r="N448" i="35"/>
  <c r="N447" i="35" s="1"/>
  <c r="N362" i="35"/>
  <c r="N361" i="35" s="1"/>
  <c r="R328" i="35"/>
  <c r="R327" i="35" s="1"/>
  <c r="BH16" i="24"/>
  <c r="R416" i="35"/>
  <c r="R415" i="35" s="1"/>
  <c r="R502" i="35"/>
  <c r="R501" i="35" s="1"/>
  <c r="R588" i="35"/>
  <c r="R156" i="35"/>
  <c r="R155" i="35" s="1"/>
  <c r="AT72" i="58" s="1"/>
  <c r="R242" i="35"/>
  <c r="R673" i="35"/>
  <c r="R672" i="35" s="1"/>
  <c r="F242" i="35"/>
  <c r="F416" i="35"/>
  <c r="F415" i="35" s="1"/>
  <c r="F328" i="35"/>
  <c r="F327" i="35" s="1"/>
  <c r="F673" i="35"/>
  <c r="F672" i="35" s="1"/>
  <c r="F588" i="35"/>
  <c r="F587" i="35" s="1"/>
  <c r="AX16" i="24"/>
  <c r="F502" i="35"/>
  <c r="F501" i="35" s="1"/>
  <c r="F156" i="35"/>
  <c r="F155" i="35" s="1"/>
  <c r="F70" i="35"/>
  <c r="F69" i="35" s="1"/>
  <c r="P83" i="58" s="1"/>
  <c r="T53" i="35"/>
  <c r="O53" i="35"/>
  <c r="I221" i="35"/>
  <c r="I220" i="35" s="1"/>
  <c r="BA18" i="22"/>
  <c r="I307" i="35"/>
  <c r="I481" i="35"/>
  <c r="I480" i="35" s="1"/>
  <c r="V140" i="58" s="1"/>
  <c r="I652" i="35"/>
  <c r="I651" i="35" s="1"/>
  <c r="V143" i="58" s="1"/>
  <c r="I135" i="35"/>
  <c r="I134" i="35" s="1"/>
  <c r="V138" i="58" s="1"/>
  <c r="I49" i="35"/>
  <c r="I48" i="35" s="1"/>
  <c r="V137" i="58" s="1"/>
  <c r="I567" i="35"/>
  <c r="I395" i="35"/>
  <c r="I394" i="35" s="1"/>
  <c r="V139" i="58" s="1"/>
  <c r="T156" i="23"/>
  <c r="AI156" i="23"/>
  <c r="AA153" i="23"/>
  <c r="AJ153" i="23" s="1"/>
  <c r="AI153" i="23"/>
  <c r="AH150" i="23"/>
  <c r="AJ150" i="23" s="1"/>
  <c r="AI150" i="23"/>
  <c r="AH142" i="23"/>
  <c r="AJ142" i="23" s="1"/>
  <c r="AI142" i="23"/>
  <c r="T74" i="23"/>
  <c r="AJ74" i="23" s="1"/>
  <c r="AI74" i="23"/>
  <c r="T54" i="24"/>
  <c r="AJ54" i="24" s="1"/>
  <c r="AI54" i="24"/>
  <c r="T30" i="24"/>
  <c r="AJ30" i="24" s="1"/>
  <c r="AI30" i="24"/>
  <c r="T18" i="24"/>
  <c r="AJ18" i="24" s="1"/>
  <c r="AI18" i="24"/>
  <c r="S52" i="22"/>
  <c r="AI52" i="22" s="1"/>
  <c r="AH52" i="22"/>
  <c r="M50" i="21"/>
  <c r="AC50" i="21" s="1"/>
  <c r="AB50" i="21"/>
  <c r="AG220" i="17"/>
  <c r="AI220" i="17" s="1"/>
  <c r="AH220" i="17"/>
  <c r="AG216" i="17"/>
  <c r="AI216" i="17" s="1"/>
  <c r="AH216" i="17"/>
  <c r="AG212" i="17"/>
  <c r="AI212" i="17" s="1"/>
  <c r="AH212" i="17"/>
  <c r="AG208" i="17"/>
  <c r="AI208" i="17" s="1"/>
  <c r="AH208" i="17"/>
  <c r="AG200" i="17"/>
  <c r="AI200" i="17" s="1"/>
  <c r="AH200" i="17"/>
  <c r="S198" i="17"/>
  <c r="AI198" i="17" s="1"/>
  <c r="AH198" i="17"/>
  <c r="Z191" i="17"/>
  <c r="AI191" i="17" s="1"/>
  <c r="AH191" i="17"/>
  <c r="S178" i="17"/>
  <c r="AH178" i="17"/>
  <c r="AG172" i="17"/>
  <c r="AI172" i="17" s="1"/>
  <c r="AH172" i="17"/>
  <c r="S166" i="17"/>
  <c r="AI166" i="17" s="1"/>
  <c r="AH166" i="17"/>
  <c r="Z155" i="17"/>
  <c r="AI155" i="17" s="1"/>
  <c r="AH155" i="17"/>
  <c r="AG152" i="17"/>
  <c r="AI152" i="17" s="1"/>
  <c r="AH152" i="17"/>
  <c r="AG148" i="17"/>
  <c r="AI148" i="17" s="1"/>
  <c r="AH148" i="17"/>
  <c r="Z143" i="17"/>
  <c r="AI143" i="17" s="1"/>
  <c r="AH143" i="17"/>
  <c r="Z139" i="17"/>
  <c r="AH139" i="17"/>
  <c r="AG136" i="17"/>
  <c r="AI136" i="17" s="1"/>
  <c r="AH136" i="17"/>
  <c r="S134" i="17"/>
  <c r="AH134" i="17"/>
  <c r="S130" i="17"/>
  <c r="AH130" i="17"/>
  <c r="S126" i="17"/>
  <c r="AI126" i="17" s="1"/>
  <c r="AH126" i="17"/>
  <c r="AG100" i="17"/>
  <c r="AI100" i="17" s="1"/>
  <c r="AH100" i="17"/>
  <c r="AG96" i="17"/>
  <c r="AI96" i="17" s="1"/>
  <c r="AH96" i="17"/>
  <c r="Z91" i="17"/>
  <c r="AI91" i="17" s="1"/>
  <c r="AH91" i="17"/>
  <c r="AH72" i="17"/>
  <c r="AI72" i="17"/>
  <c r="AH68" i="17"/>
  <c r="AJ68" i="17" s="1"/>
  <c r="AI68" i="17"/>
  <c r="T30" i="17"/>
  <c r="AJ30" i="17" s="1"/>
  <c r="AI30" i="17"/>
  <c r="AH28" i="17"/>
  <c r="AJ28" i="17" s="1"/>
  <c r="AI28" i="17"/>
  <c r="AA23" i="17"/>
  <c r="AI23" i="17"/>
  <c r="AH20" i="17"/>
  <c r="AJ20" i="17" s="1"/>
  <c r="AI20" i="17"/>
  <c r="AH16" i="17"/>
  <c r="AJ16" i="17" s="1"/>
  <c r="AI16" i="17"/>
  <c r="U604" i="35"/>
  <c r="S682" i="35"/>
  <c r="S681" i="35" s="1"/>
  <c r="S511" i="35"/>
  <c r="S510" i="35" s="1"/>
  <c r="S597" i="35"/>
  <c r="S596" i="35" s="1"/>
  <c r="S251" i="35"/>
  <c r="S250" i="35" s="1"/>
  <c r="S425" i="35"/>
  <c r="S424" i="35" s="1"/>
  <c r="AV85" i="58" s="1"/>
  <c r="S165" i="35"/>
  <c r="S164" i="35" s="1"/>
  <c r="AV84" i="58" s="1"/>
  <c r="S337" i="35"/>
  <c r="S336" i="35" s="1"/>
  <c r="N682" i="35"/>
  <c r="N511" i="35"/>
  <c r="N510" i="35" s="1"/>
  <c r="N337" i="35"/>
  <c r="N336" i="35" s="1"/>
  <c r="N425" i="35"/>
  <c r="N424" i="35" s="1"/>
  <c r="N597" i="35"/>
  <c r="N596" i="35" s="1"/>
  <c r="N165" i="35"/>
  <c r="N164" i="35" s="1"/>
  <c r="AI73" i="58" s="1"/>
  <c r="N79" i="35"/>
  <c r="N78" i="35" s="1"/>
  <c r="N251" i="35"/>
  <c r="N250" i="35" s="1"/>
  <c r="I603" i="35"/>
  <c r="I602" i="35" s="1"/>
  <c r="I688" i="35"/>
  <c r="I687" i="35" s="1"/>
  <c r="I431" i="35"/>
  <c r="I430" i="35" s="1"/>
  <c r="V21" i="58" s="1"/>
  <c r="I85" i="35"/>
  <c r="I84" i="35" s="1"/>
  <c r="V27" i="58" s="1"/>
  <c r="BJ17" i="34"/>
  <c r="I343" i="35"/>
  <c r="I342" i="35" s="1"/>
  <c r="I517" i="35"/>
  <c r="I257" i="35"/>
  <c r="I256" i="35" s="1"/>
  <c r="I171" i="35"/>
  <c r="I170" i="35" s="1"/>
  <c r="V18" i="58" s="1"/>
  <c r="S685" i="35"/>
  <c r="S684" i="35" s="1"/>
  <c r="S340" i="35"/>
  <c r="S339" i="35" s="1"/>
  <c r="S82" i="35"/>
  <c r="S81" i="35" s="1"/>
  <c r="AV11" i="58" s="1"/>
  <c r="S428" i="35"/>
  <c r="S427" i="35" s="1"/>
  <c r="S168" i="35"/>
  <c r="S514" i="35"/>
  <c r="S513" i="35" s="1"/>
  <c r="AV6" i="58" s="1"/>
  <c r="S254" i="35"/>
  <c r="S253" i="35" s="1"/>
  <c r="N82" i="35"/>
  <c r="N81" i="35" s="1"/>
  <c r="N600" i="35"/>
  <c r="N599" i="35" s="1"/>
  <c r="N428" i="35"/>
  <c r="N427" i="35" s="1"/>
  <c r="N340" i="35"/>
  <c r="N514" i="35"/>
  <c r="N513" i="35" s="1"/>
  <c r="N254" i="35"/>
  <c r="N253" i="35" s="1"/>
  <c r="N168" i="35"/>
  <c r="N167" i="35" s="1"/>
  <c r="AI2" i="58" s="1"/>
  <c r="I340" i="35"/>
  <c r="I339" i="35" s="1"/>
  <c r="I254" i="35"/>
  <c r="I253" i="35" s="1"/>
  <c r="I82" i="35"/>
  <c r="I81" i="35" s="1"/>
  <c r="V3" i="58" s="1"/>
  <c r="I514" i="35"/>
  <c r="I513" i="35" s="1"/>
  <c r="I685" i="35"/>
  <c r="I684" i="35" s="1"/>
  <c r="V9" i="58" s="1"/>
  <c r="I428" i="35"/>
  <c r="I427" i="35" s="1"/>
  <c r="V5" i="58" s="1"/>
  <c r="I168" i="35"/>
  <c r="I167" i="35" s="1"/>
  <c r="V10" i="58" s="1"/>
  <c r="AH230" i="34"/>
  <c r="AJ230" i="34" s="1"/>
  <c r="AI230" i="34"/>
  <c r="AA229" i="34"/>
  <c r="AJ229" i="34" s="1"/>
  <c r="AI229" i="34"/>
  <c r="T228" i="34"/>
  <c r="AJ228" i="34" s="1"/>
  <c r="AI228" i="34"/>
  <c r="AH226" i="34"/>
  <c r="AJ226" i="34" s="1"/>
  <c r="AI226" i="34"/>
  <c r="AA225" i="34"/>
  <c r="AJ225" i="34" s="1"/>
  <c r="AI225" i="34"/>
  <c r="T224" i="34"/>
  <c r="AI224" i="34"/>
  <c r="AH222" i="34"/>
  <c r="AJ222" i="34" s="1"/>
  <c r="AI222" i="34"/>
  <c r="AA221" i="34"/>
  <c r="AJ221" i="34" s="1"/>
  <c r="AI221" i="34"/>
  <c r="T220" i="34"/>
  <c r="AJ220" i="34" s="1"/>
  <c r="AI220" i="34"/>
  <c r="AH218" i="34"/>
  <c r="AJ218" i="34" s="1"/>
  <c r="AI218" i="34"/>
  <c r="AA217" i="34"/>
  <c r="AJ217" i="34" s="1"/>
  <c r="AI217" i="34"/>
  <c r="T216" i="34"/>
  <c r="AJ216" i="34" s="1"/>
  <c r="AI216" i="34"/>
  <c r="AH214" i="34"/>
  <c r="AJ214" i="34" s="1"/>
  <c r="AI214" i="34"/>
  <c r="AA213" i="34"/>
  <c r="AJ213" i="34" s="1"/>
  <c r="AI213" i="34"/>
  <c r="T212" i="34"/>
  <c r="AJ212" i="34" s="1"/>
  <c r="AI212" i="34"/>
  <c r="AH210" i="34"/>
  <c r="AJ210" i="34" s="1"/>
  <c r="AI210" i="34"/>
  <c r="AA209" i="34"/>
  <c r="AJ209" i="34" s="1"/>
  <c r="AI209" i="34"/>
  <c r="T208" i="34"/>
  <c r="AJ208" i="34" s="1"/>
  <c r="AI208" i="34"/>
  <c r="AH206" i="34"/>
  <c r="AJ206" i="34" s="1"/>
  <c r="AI206" i="34"/>
  <c r="AA205" i="34"/>
  <c r="AJ205" i="34" s="1"/>
  <c r="AI205" i="34"/>
  <c r="T204" i="34"/>
  <c r="AJ204" i="34" s="1"/>
  <c r="AI204" i="34"/>
  <c r="AH202" i="34"/>
  <c r="AJ202" i="34" s="1"/>
  <c r="AI202" i="34"/>
  <c r="AA201" i="34"/>
  <c r="AJ201" i="34" s="1"/>
  <c r="AI201" i="34"/>
  <c r="T200" i="34"/>
  <c r="AJ200" i="34" s="1"/>
  <c r="AI200" i="34"/>
  <c r="AH198" i="34"/>
  <c r="AJ198" i="34" s="1"/>
  <c r="AI198" i="34"/>
  <c r="AA197" i="34"/>
  <c r="AJ197" i="34" s="1"/>
  <c r="AI197" i="34"/>
  <c r="T196" i="34"/>
  <c r="AJ196" i="34" s="1"/>
  <c r="AI196" i="34"/>
  <c r="AH194" i="34"/>
  <c r="AJ194" i="34" s="1"/>
  <c r="AI194" i="34"/>
  <c r="AA193" i="34"/>
  <c r="AJ193" i="34" s="1"/>
  <c r="AI193" i="34"/>
  <c r="T192" i="34"/>
  <c r="AJ192" i="34" s="1"/>
  <c r="AI192" i="34"/>
  <c r="AH190" i="34"/>
  <c r="AJ190" i="34" s="1"/>
  <c r="AI190" i="34"/>
  <c r="AA189" i="34"/>
  <c r="AJ189" i="34" s="1"/>
  <c r="AI189" i="34"/>
  <c r="T188" i="34"/>
  <c r="AJ188" i="34" s="1"/>
  <c r="AI188" i="34"/>
  <c r="AH186" i="34"/>
  <c r="AJ186" i="34" s="1"/>
  <c r="AI186" i="34"/>
  <c r="AA185" i="34"/>
  <c r="AJ185" i="34" s="1"/>
  <c r="AI185" i="34"/>
  <c r="T184" i="34"/>
  <c r="AJ184" i="34" s="1"/>
  <c r="AI184" i="34"/>
  <c r="AH182" i="34"/>
  <c r="AJ182" i="34" s="1"/>
  <c r="AI182" i="34"/>
  <c r="AA181" i="34"/>
  <c r="AJ181" i="34" s="1"/>
  <c r="AI181" i="34"/>
  <c r="AH178" i="34"/>
  <c r="AJ178" i="34" s="1"/>
  <c r="AI178" i="34"/>
  <c r="AA177" i="34"/>
  <c r="AJ177" i="34" s="1"/>
  <c r="AI177" i="34"/>
  <c r="T176" i="34"/>
  <c r="AJ176" i="34" s="1"/>
  <c r="AI176" i="34"/>
  <c r="AH174" i="34"/>
  <c r="AJ174" i="34" s="1"/>
  <c r="AI174" i="34"/>
  <c r="AA173" i="34"/>
  <c r="AJ173" i="34" s="1"/>
  <c r="AI173" i="34"/>
  <c r="T172" i="34"/>
  <c r="AJ172" i="34" s="1"/>
  <c r="AI172" i="34"/>
  <c r="AH170" i="34"/>
  <c r="AJ170" i="34" s="1"/>
  <c r="AI170" i="34"/>
  <c r="AA169" i="34"/>
  <c r="AJ169" i="34" s="1"/>
  <c r="AI169" i="34"/>
  <c r="T168" i="34"/>
  <c r="AJ168" i="34" s="1"/>
  <c r="AI168" i="34"/>
  <c r="AH166" i="34"/>
  <c r="AJ166" i="34" s="1"/>
  <c r="AI166" i="34"/>
  <c r="AA165" i="34"/>
  <c r="AJ165" i="34" s="1"/>
  <c r="AI165" i="34"/>
  <c r="T164" i="34"/>
  <c r="AJ164" i="34" s="1"/>
  <c r="AI164" i="34"/>
  <c r="AH162" i="34"/>
  <c r="AJ162" i="34" s="1"/>
  <c r="AI162" i="34"/>
  <c r="AA161" i="34"/>
  <c r="AJ161" i="34" s="1"/>
  <c r="AI161" i="34"/>
  <c r="T160" i="34"/>
  <c r="AJ160" i="34" s="1"/>
  <c r="AI160" i="34"/>
  <c r="AH158" i="34"/>
  <c r="AJ158" i="34" s="1"/>
  <c r="AI158" i="34"/>
  <c r="AA157" i="34"/>
  <c r="AJ157" i="34" s="1"/>
  <c r="AI157" i="34"/>
  <c r="T156" i="34"/>
  <c r="AJ156" i="34" s="1"/>
  <c r="AI156" i="34"/>
  <c r="AH154" i="34"/>
  <c r="AJ154" i="34" s="1"/>
  <c r="AI154" i="34"/>
  <c r="AA153" i="34"/>
  <c r="AJ153" i="34" s="1"/>
  <c r="AI153" i="34"/>
  <c r="T152" i="34"/>
  <c r="AJ152" i="34" s="1"/>
  <c r="AI152" i="34"/>
  <c r="AH150" i="34"/>
  <c r="AJ150" i="34" s="1"/>
  <c r="AI150" i="34"/>
  <c r="AA149" i="34"/>
  <c r="AJ149" i="34" s="1"/>
  <c r="AI149" i="34"/>
  <c r="T148" i="34"/>
  <c r="AJ148" i="34" s="1"/>
  <c r="AI148" i="34"/>
  <c r="AH146" i="34"/>
  <c r="AJ146" i="34" s="1"/>
  <c r="AI146" i="34"/>
  <c r="AA145" i="34"/>
  <c r="AJ145" i="34" s="1"/>
  <c r="AI145" i="34"/>
  <c r="T144" i="34"/>
  <c r="AJ144" i="34" s="1"/>
  <c r="AI144" i="34"/>
  <c r="AH142" i="34"/>
  <c r="AJ142" i="34" s="1"/>
  <c r="AI142" i="34"/>
  <c r="AA141" i="34"/>
  <c r="AJ141" i="34" s="1"/>
  <c r="AI141" i="34"/>
  <c r="T140" i="34"/>
  <c r="AI140" i="34"/>
  <c r="AH138" i="34"/>
  <c r="AJ138" i="34" s="1"/>
  <c r="AI138" i="34"/>
  <c r="AA137" i="34"/>
  <c r="AJ137" i="34" s="1"/>
  <c r="AI137" i="34"/>
  <c r="T136" i="34"/>
  <c r="AJ136" i="34" s="1"/>
  <c r="AI136" i="34"/>
  <c r="AH134" i="34"/>
  <c r="AJ134" i="34" s="1"/>
  <c r="AI134" i="34"/>
  <c r="AA133" i="34"/>
  <c r="AJ133" i="34" s="1"/>
  <c r="AI133" i="34"/>
  <c r="T132" i="34"/>
  <c r="AJ132" i="34" s="1"/>
  <c r="AI132" i="34"/>
  <c r="AH130" i="34"/>
  <c r="AJ130" i="34" s="1"/>
  <c r="AI130" i="34"/>
  <c r="AA122" i="34"/>
  <c r="AJ122" i="34" s="1"/>
  <c r="AI122" i="34"/>
  <c r="T121" i="34"/>
  <c r="AJ121" i="34" s="1"/>
  <c r="AI121" i="34"/>
  <c r="AH119" i="34"/>
  <c r="AJ119" i="34" s="1"/>
  <c r="AI119" i="34"/>
  <c r="AA118" i="34"/>
  <c r="AI118" i="34"/>
  <c r="T117" i="34"/>
  <c r="AJ117" i="34" s="1"/>
  <c r="AI117" i="34"/>
  <c r="AH115" i="34"/>
  <c r="AJ115" i="34" s="1"/>
  <c r="AI115" i="34"/>
  <c r="AA114" i="34"/>
  <c r="AJ114" i="34" s="1"/>
  <c r="AI114" i="34"/>
  <c r="T113" i="34"/>
  <c r="AJ113" i="34" s="1"/>
  <c r="AI113" i="34"/>
  <c r="AH111" i="34"/>
  <c r="AJ111" i="34" s="1"/>
  <c r="AI111" i="34"/>
  <c r="AA110" i="34"/>
  <c r="AJ110" i="34" s="1"/>
  <c r="AI110" i="34"/>
  <c r="T109" i="34"/>
  <c r="AJ109" i="34" s="1"/>
  <c r="AI109" i="34"/>
  <c r="AH107" i="34"/>
  <c r="AI107" i="34"/>
  <c r="AA106" i="34"/>
  <c r="AJ106" i="34" s="1"/>
  <c r="AI106" i="34"/>
  <c r="T105" i="34"/>
  <c r="AJ105" i="34" s="1"/>
  <c r="AI105" i="34"/>
  <c r="AH103" i="34"/>
  <c r="AJ103" i="34" s="1"/>
  <c r="AI103" i="34"/>
  <c r="AA102" i="34"/>
  <c r="AJ102" i="34" s="1"/>
  <c r="AI102" i="34"/>
  <c r="T101" i="34"/>
  <c r="AI101" i="34"/>
  <c r="AH99" i="34"/>
  <c r="AJ99" i="34" s="1"/>
  <c r="AI99" i="34"/>
  <c r="AA98" i="34"/>
  <c r="AJ98" i="34" s="1"/>
  <c r="AI98" i="34"/>
  <c r="T97" i="34"/>
  <c r="AJ97" i="34" s="1"/>
  <c r="AI97" i="34"/>
  <c r="AH95" i="34"/>
  <c r="AJ95" i="34" s="1"/>
  <c r="AI95" i="34"/>
  <c r="AA94" i="34"/>
  <c r="AJ94" i="34" s="1"/>
  <c r="AI94" i="34"/>
  <c r="T93" i="34"/>
  <c r="AJ93" i="34" s="1"/>
  <c r="AI93" i="34"/>
  <c r="AH91" i="34"/>
  <c r="AJ91" i="34" s="1"/>
  <c r="AI91" i="34"/>
  <c r="AA90" i="34"/>
  <c r="AJ90" i="34" s="1"/>
  <c r="AI90" i="34"/>
  <c r="T89" i="34"/>
  <c r="AJ89" i="34" s="1"/>
  <c r="AI89" i="34"/>
  <c r="AH87" i="34"/>
  <c r="AJ87" i="34" s="1"/>
  <c r="AI87" i="34"/>
  <c r="AA86" i="34"/>
  <c r="AJ86" i="34" s="1"/>
  <c r="AI86" i="34"/>
  <c r="T85" i="34"/>
  <c r="AJ85" i="34" s="1"/>
  <c r="AI85" i="34"/>
  <c r="AH83" i="34"/>
  <c r="AJ83" i="34" s="1"/>
  <c r="AI83" i="34"/>
  <c r="AA82" i="34"/>
  <c r="AJ82" i="34" s="1"/>
  <c r="AI82" i="34"/>
  <c r="T81" i="34"/>
  <c r="AJ81" i="34" s="1"/>
  <c r="AI81" i="34"/>
  <c r="S634" i="35"/>
  <c r="S633" i="35" s="1"/>
  <c r="S377" i="35"/>
  <c r="S117" i="35"/>
  <c r="S116" i="35" s="1"/>
  <c r="S203" i="35"/>
  <c r="S202" i="35" s="1"/>
  <c r="S289" i="35"/>
  <c r="S288" i="35" s="1"/>
  <c r="N546" i="35"/>
  <c r="N545" i="35" s="1"/>
  <c r="N460" i="35"/>
  <c r="N459" i="35" s="1"/>
  <c r="N28" i="35"/>
  <c r="N27" i="35" s="1"/>
  <c r="N286" i="35"/>
  <c r="N285" i="35" s="1"/>
  <c r="N200" i="35"/>
  <c r="N199" i="35" s="1"/>
  <c r="N114" i="35"/>
  <c r="N113" i="35" s="1"/>
  <c r="Q362" i="35"/>
  <c r="Q361" i="35" s="1"/>
  <c r="Q619" i="35"/>
  <c r="Q618" i="35" s="1"/>
  <c r="Q534" i="35"/>
  <c r="Q533" i="35" s="1"/>
  <c r="Q188" i="35"/>
  <c r="Q187" i="35" s="1"/>
  <c r="Q448" i="35"/>
  <c r="Q447" i="35" s="1"/>
  <c r="Q16" i="35"/>
  <c r="Q15" i="35" s="1"/>
  <c r="T15" i="35" s="1"/>
  <c r="Q274" i="35"/>
  <c r="Q273" i="35" s="1"/>
  <c r="I448" i="35"/>
  <c r="I447" i="35" s="1"/>
  <c r="I274" i="35"/>
  <c r="I273" i="35" s="1"/>
  <c r="I619" i="35"/>
  <c r="I102" i="35"/>
  <c r="I101" i="35" s="1"/>
  <c r="I16" i="35"/>
  <c r="I15" i="35" s="1"/>
  <c r="I534" i="35"/>
  <c r="I533" i="35" s="1"/>
  <c r="I188" i="35"/>
  <c r="BA17" i="15"/>
  <c r="O74" i="35"/>
  <c r="K242" i="35"/>
  <c r="K241" i="35" s="1"/>
  <c r="K416" i="35"/>
  <c r="K415" i="35" s="1"/>
  <c r="K328" i="35"/>
  <c r="K156" i="35"/>
  <c r="K155" i="35" s="1"/>
  <c r="BB16" i="24"/>
  <c r="K502" i="35"/>
  <c r="K501" i="35" s="1"/>
  <c r="K588" i="35"/>
  <c r="K70" i="35"/>
  <c r="K69" i="35" s="1"/>
  <c r="K673" i="35"/>
  <c r="K672" i="35" s="1"/>
  <c r="BG18" i="22"/>
  <c r="Q307" i="35"/>
  <c r="Q306" i="35" s="1"/>
  <c r="AR142" i="58" s="1"/>
  <c r="Q221" i="35"/>
  <c r="Q220" i="35" s="1"/>
  <c r="Q567" i="35"/>
  <c r="Q566" i="35" s="1"/>
  <c r="Q652" i="35"/>
  <c r="Q651" i="35" s="1"/>
  <c r="AR143" i="58" s="1"/>
  <c r="Q395" i="35"/>
  <c r="Q394" i="35" s="1"/>
  <c r="Q135" i="35"/>
  <c r="Q134" i="35" s="1"/>
  <c r="AR138" i="58" s="1"/>
  <c r="Q481" i="35"/>
  <c r="Q480" i="35" s="1"/>
  <c r="AR140" i="58" s="1"/>
  <c r="G135" i="35"/>
  <c r="G134" i="35" s="1"/>
  <c r="R138" i="58" s="1"/>
  <c r="G395" i="35"/>
  <c r="G394" i="35" s="1"/>
  <c r="R139" i="58" s="1"/>
  <c r="G307" i="35"/>
  <c r="G306" i="35" s="1"/>
  <c r="R142" i="58" s="1"/>
  <c r="AY18" i="22"/>
  <c r="G481" i="35"/>
  <c r="G480" i="35" s="1"/>
  <c r="R140" i="58" s="1"/>
  <c r="G221" i="35"/>
  <c r="G652" i="35"/>
  <c r="G567" i="35"/>
  <c r="G566" i="35" s="1"/>
  <c r="AH143" i="23"/>
  <c r="AJ143" i="23" s="1"/>
  <c r="AI143" i="23"/>
  <c r="T118" i="15"/>
  <c r="AJ118" i="15" s="1"/>
  <c r="AI118" i="15"/>
  <c r="T33" i="15"/>
  <c r="AJ33" i="15" s="1"/>
  <c r="AI33" i="15"/>
  <c r="T58" i="24"/>
  <c r="AJ58" i="24" s="1"/>
  <c r="AI58" i="24"/>
  <c r="T50" i="24"/>
  <c r="AJ50" i="24" s="1"/>
  <c r="AI50" i="24"/>
  <c r="T46" i="24"/>
  <c r="AJ46" i="24" s="1"/>
  <c r="AI46" i="24"/>
  <c r="T42" i="24"/>
  <c r="AJ42" i="24" s="1"/>
  <c r="AI42" i="24"/>
  <c r="T22" i="24"/>
  <c r="AI22" i="24"/>
  <c r="M58" i="21"/>
  <c r="AC58" i="21" s="1"/>
  <c r="AB58" i="21"/>
  <c r="M54" i="21"/>
  <c r="AC54" i="21" s="1"/>
  <c r="AB54" i="21"/>
  <c r="AA44" i="21"/>
  <c r="AB44" i="21"/>
  <c r="AA74" i="24"/>
  <c r="AI74" i="24"/>
  <c r="Z215" i="17"/>
  <c r="AI215" i="17" s="1"/>
  <c r="AH215" i="17"/>
  <c r="Z211" i="17"/>
  <c r="AI211" i="17" s="1"/>
  <c r="AH211" i="17"/>
  <c r="S206" i="17"/>
  <c r="AI206" i="17" s="1"/>
  <c r="AH206" i="17"/>
  <c r="Z183" i="17"/>
  <c r="AH183" i="17"/>
  <c r="Z179" i="17"/>
  <c r="AI179" i="17" s="1"/>
  <c r="AH179" i="17"/>
  <c r="S174" i="17"/>
  <c r="AI174" i="17" s="1"/>
  <c r="AH174" i="17"/>
  <c r="AG168" i="17"/>
  <c r="AI168" i="17" s="1"/>
  <c r="AH168" i="17"/>
  <c r="AG164" i="17"/>
  <c r="AI164" i="17" s="1"/>
  <c r="AH164" i="17"/>
  <c r="S162" i="17"/>
  <c r="AI162" i="17" s="1"/>
  <c r="AH162" i="17"/>
  <c r="AG144" i="17"/>
  <c r="AI144" i="17" s="1"/>
  <c r="AH144" i="17"/>
  <c r="S138" i="17"/>
  <c r="AI138" i="17" s="1"/>
  <c r="AH138" i="17"/>
  <c r="S110" i="17"/>
  <c r="AI110" i="17" s="1"/>
  <c r="AH110" i="17"/>
  <c r="S106" i="17"/>
  <c r="AI106" i="17" s="1"/>
  <c r="AH106" i="17"/>
  <c r="S98" i="17"/>
  <c r="AH98" i="17"/>
  <c r="AG92" i="17"/>
  <c r="AI92" i="17" s="1"/>
  <c r="AH92" i="17"/>
  <c r="T74" i="17"/>
  <c r="AJ74" i="17" s="1"/>
  <c r="AI74" i="17"/>
  <c r="T70" i="17"/>
  <c r="AJ70" i="17" s="1"/>
  <c r="AI70" i="17"/>
  <c r="AH64" i="17"/>
  <c r="AJ64" i="17" s="1"/>
  <c r="AI64" i="17"/>
  <c r="AH60" i="17"/>
  <c r="AJ60" i="17" s="1"/>
  <c r="AI60" i="17"/>
  <c r="AH56" i="17"/>
  <c r="AI56" i="17"/>
  <c r="AH52" i="17"/>
  <c r="AJ52" i="17" s="1"/>
  <c r="AI52" i="17"/>
  <c r="AH32" i="17"/>
  <c r="AJ32" i="17" s="1"/>
  <c r="AI32" i="17"/>
  <c r="AH24" i="17"/>
  <c r="AJ24" i="17" s="1"/>
  <c r="AI24" i="17"/>
  <c r="S343" i="35"/>
  <c r="S517" i="35"/>
  <c r="S516" i="35" s="1"/>
  <c r="AV30" i="58" s="1"/>
  <c r="S431" i="35"/>
  <c r="S430" i="35" s="1"/>
  <c r="AV45" i="58" s="1"/>
  <c r="S603" i="35"/>
  <c r="S602" i="35" s="1"/>
  <c r="S85" i="35"/>
  <c r="S84" i="35" s="1"/>
  <c r="S688" i="35"/>
  <c r="S687" i="35" s="1"/>
  <c r="N534" i="35"/>
  <c r="N533" i="35" s="1"/>
  <c r="Q102" i="35"/>
  <c r="Q101" i="35" s="1"/>
  <c r="S257" i="35"/>
  <c r="S256" i="35" s="1"/>
  <c r="P502" i="35"/>
  <c r="P501" i="35" s="1"/>
  <c r="AA78" i="34"/>
  <c r="AJ78" i="34" s="1"/>
  <c r="AI78" i="34"/>
  <c r="AA74" i="34"/>
  <c r="AJ74" i="34" s="1"/>
  <c r="AI74" i="34"/>
  <c r="AA70" i="34"/>
  <c r="AJ70" i="34" s="1"/>
  <c r="AI70" i="34"/>
  <c r="AA66" i="34"/>
  <c r="AJ66" i="34" s="1"/>
  <c r="AI66" i="34"/>
  <c r="AA42" i="34"/>
  <c r="AJ42" i="34" s="1"/>
  <c r="AI42" i="34"/>
  <c r="AA30" i="34"/>
  <c r="AJ30" i="34" s="1"/>
  <c r="AI30" i="34"/>
  <c r="AA26" i="34"/>
  <c r="AJ26" i="34" s="1"/>
  <c r="AI26" i="34"/>
  <c r="AA22" i="34"/>
  <c r="AJ22" i="34" s="1"/>
  <c r="AI22" i="34"/>
  <c r="AH19" i="34"/>
  <c r="AJ19" i="34" s="1"/>
  <c r="AI19" i="34"/>
  <c r="AH15" i="34"/>
  <c r="AJ15" i="34" s="1"/>
  <c r="AI15" i="34"/>
  <c r="H475" i="35"/>
  <c r="H474" i="35" s="1"/>
  <c r="H215" i="35"/>
  <c r="H214" i="35" s="1"/>
  <c r="H561" i="35"/>
  <c r="H560" i="35" s="1"/>
  <c r="H301" i="35"/>
  <c r="H300" i="35" s="1"/>
  <c r="AT79" i="58"/>
  <c r="R523" i="35"/>
  <c r="R522" i="35" s="1"/>
  <c r="AJ80" i="24"/>
  <c r="H389" i="35"/>
  <c r="H388" i="35" s="1"/>
  <c r="P174" i="35"/>
  <c r="P173" i="35" s="1"/>
  <c r="AP53" i="58" s="1"/>
  <c r="P88" i="35"/>
  <c r="P87" i="35" s="1"/>
  <c r="AP52" i="58" s="1"/>
  <c r="AI45" i="34"/>
  <c r="T77" i="34"/>
  <c r="AJ77" i="34" s="1"/>
  <c r="AI77" i="34"/>
  <c r="T73" i="34"/>
  <c r="AI73" i="34"/>
  <c r="T69" i="34"/>
  <c r="AJ69" i="34" s="1"/>
  <c r="AI69" i="34"/>
  <c r="AH55" i="34"/>
  <c r="AJ55" i="34" s="1"/>
  <c r="AI55" i="34"/>
  <c r="T53" i="34"/>
  <c r="AJ53" i="34" s="1"/>
  <c r="AI53" i="34"/>
  <c r="T49" i="34"/>
  <c r="AJ49" i="34" s="1"/>
  <c r="AI49" i="34"/>
  <c r="AH27" i="34"/>
  <c r="AJ27" i="34" s="1"/>
  <c r="AI27" i="34"/>
  <c r="AH23" i="34"/>
  <c r="AJ23" i="34" s="1"/>
  <c r="AI23" i="34"/>
  <c r="AA18" i="34"/>
  <c r="AJ18" i="34" s="1"/>
  <c r="AI18" i="34"/>
  <c r="AA14" i="34"/>
  <c r="AJ14" i="34" s="1"/>
  <c r="AI14" i="34"/>
  <c r="M129" i="35"/>
  <c r="M128" i="35" s="1"/>
  <c r="M43" i="35"/>
  <c r="M646" i="35"/>
  <c r="M301" i="35"/>
  <c r="M300" i="35" s="1"/>
  <c r="M389" i="35"/>
  <c r="AJ76" i="24"/>
  <c r="AT116" i="58"/>
  <c r="AT92" i="58"/>
  <c r="H43" i="35"/>
  <c r="H42" i="35" s="1"/>
  <c r="M561" i="35"/>
  <c r="M560" i="35" s="1"/>
  <c r="AH79" i="34"/>
  <c r="AJ79" i="34" s="1"/>
  <c r="AI79" i="34"/>
  <c r="AH75" i="34"/>
  <c r="AJ75" i="34" s="1"/>
  <c r="AI75" i="34"/>
  <c r="AH71" i="34"/>
  <c r="AJ71" i="34" s="1"/>
  <c r="AI71" i="34"/>
  <c r="AH67" i="34"/>
  <c r="AJ67" i="34" s="1"/>
  <c r="AI67" i="34"/>
  <c r="T65" i="34"/>
  <c r="AJ65" i="34" s="1"/>
  <c r="AI65" i="34"/>
  <c r="AA54" i="34"/>
  <c r="AJ54" i="34" s="1"/>
  <c r="AI54" i="34"/>
  <c r="AA50" i="34"/>
  <c r="AJ50" i="34" s="1"/>
  <c r="AI50" i="34"/>
  <c r="AH47" i="34"/>
  <c r="AJ47" i="34" s="1"/>
  <c r="AI47" i="34"/>
  <c r="AA46" i="34"/>
  <c r="AJ46" i="34" s="1"/>
  <c r="AI46" i="34"/>
  <c r="AH43" i="34"/>
  <c r="AJ43" i="34" s="1"/>
  <c r="AI43" i="34"/>
  <c r="AH31" i="34"/>
  <c r="AJ31" i="34" s="1"/>
  <c r="AI31" i="34"/>
  <c r="T29" i="34"/>
  <c r="AJ29" i="34" s="1"/>
  <c r="AI29" i="34"/>
  <c r="T25" i="34"/>
  <c r="AJ25" i="34" s="1"/>
  <c r="AI25" i="34"/>
  <c r="T21" i="34"/>
  <c r="AJ21" i="34" s="1"/>
  <c r="AI21" i="34"/>
  <c r="T17" i="34"/>
  <c r="AJ17" i="34" s="1"/>
  <c r="AI17" i="34"/>
  <c r="R561" i="35"/>
  <c r="R560" i="35" s="1"/>
  <c r="R43" i="35"/>
  <c r="R42" i="35" s="1"/>
  <c r="R129" i="35"/>
  <c r="R128" i="35" s="1"/>
  <c r="R301" i="35"/>
  <c r="R300" i="35" s="1"/>
  <c r="H263" i="35"/>
  <c r="H262" i="35" s="1"/>
  <c r="H177" i="35"/>
  <c r="H176" i="35" s="1"/>
  <c r="H91" i="35"/>
  <c r="H90" i="35" s="1"/>
  <c r="H523" i="35"/>
  <c r="H349" i="35"/>
  <c r="H348" i="35" s="1"/>
  <c r="H694" i="35"/>
  <c r="H693" i="35" s="1"/>
  <c r="H609" i="35"/>
  <c r="H608" i="35" s="1"/>
  <c r="M91" i="35"/>
  <c r="M90" i="35" s="1"/>
  <c r="M694" i="35"/>
  <c r="M693" i="35" s="1"/>
  <c r="M177" i="35"/>
  <c r="M176" i="35" s="1"/>
  <c r="M609" i="35"/>
  <c r="M608" i="35" s="1"/>
  <c r="M437" i="35"/>
  <c r="M436" i="35" s="1"/>
  <c r="M523" i="35"/>
  <c r="M522" i="35" s="1"/>
  <c r="R177" i="35"/>
  <c r="R263" i="35"/>
  <c r="BA24" i="22"/>
  <c r="BH24" i="22"/>
  <c r="BI24" i="22"/>
  <c r="BC24" i="22"/>
  <c r="BF24" i="22"/>
  <c r="AZ24" i="22"/>
  <c r="BE24" i="22"/>
  <c r="BG24" i="22"/>
  <c r="BD28" i="22"/>
  <c r="AY28" i="22"/>
  <c r="BB28" i="22"/>
  <c r="AZ28" i="22"/>
  <c r="BH28" i="22"/>
  <c r="BG28" i="22"/>
  <c r="BE28" i="22"/>
  <c r="BC29" i="22"/>
  <c r="BH29" i="22"/>
  <c r="BB29" i="22"/>
  <c r="BF29" i="22"/>
  <c r="BG29" i="22"/>
  <c r="AZ29" i="22"/>
  <c r="AX29" i="22"/>
  <c r="BG26" i="23"/>
  <c r="AY27" i="23"/>
  <c r="BA26" i="23"/>
  <c r="BA27" i="23"/>
  <c r="BC27" i="23"/>
  <c r="BB28" i="23"/>
  <c r="BI28" i="23"/>
  <c r="AZ26" i="23"/>
  <c r="BE27" i="23"/>
  <c r="BF26" i="23"/>
  <c r="AX28" i="23"/>
  <c r="BC28" i="23"/>
  <c r="BA28" i="23"/>
  <c r="BD14" i="23"/>
  <c r="M316" i="35" s="1"/>
  <c r="M315" i="35" s="1"/>
  <c r="BH14" i="23"/>
  <c r="R661" i="35" s="1"/>
  <c r="R660" i="35" s="1"/>
  <c r="AZ14" i="23"/>
  <c r="BI26" i="23"/>
  <c r="AY28" i="23"/>
  <c r="BF14" i="23"/>
  <c r="P490" i="35" s="1"/>
  <c r="P489" i="35" s="1"/>
  <c r="BE14" i="23"/>
  <c r="N404" i="35" s="1"/>
  <c r="N403" i="35" s="1"/>
  <c r="BD26" i="23"/>
  <c r="BG27" i="23"/>
  <c r="BE28" i="23"/>
  <c r="AX14" i="23"/>
  <c r="F490" i="35" s="1"/>
  <c r="F489" i="35" s="1"/>
  <c r="BD28" i="23"/>
  <c r="AY14" i="23"/>
  <c r="BA14" i="23"/>
  <c r="BB14" i="23"/>
  <c r="BG29" i="23"/>
  <c r="BC29" i="23"/>
  <c r="BE31" i="23"/>
  <c r="AX29" i="23"/>
  <c r="AZ29" i="23"/>
  <c r="AX31" i="23"/>
  <c r="BI32" i="23"/>
  <c r="BI29" i="23"/>
  <c r="BG31" i="23"/>
  <c r="BA30" i="23"/>
  <c r="BG15" i="23"/>
  <c r="Q579" i="35" s="1"/>
  <c r="Q578" i="35" s="1"/>
  <c r="AY29" i="23"/>
  <c r="BF30" i="23"/>
  <c r="BH32" i="23"/>
  <c r="BC32" i="23"/>
  <c r="BC30" i="23"/>
  <c r="BE32" i="23"/>
  <c r="BE29" i="23"/>
  <c r="AY31" i="23"/>
  <c r="BB29" i="23"/>
  <c r="BF15" i="23"/>
  <c r="P579" i="35" s="1"/>
  <c r="P578" i="35" s="1"/>
  <c r="BA15" i="23"/>
  <c r="AZ32" i="23"/>
  <c r="AY30" i="23"/>
  <c r="BA29" i="23"/>
  <c r="BB32" i="23"/>
  <c r="BC15" i="23"/>
  <c r="L61" i="35" s="1"/>
  <c r="L60" i="35" s="1"/>
  <c r="BE15" i="23"/>
  <c r="N61" i="35" s="1"/>
  <c r="N60" i="35" s="1"/>
  <c r="BI31" i="23"/>
  <c r="BB31" i="23"/>
  <c r="BH30" i="23"/>
  <c r="BD15" i="23"/>
  <c r="M319" i="35" s="1"/>
  <c r="M318" i="35" s="1"/>
  <c r="AX30" i="23"/>
  <c r="BD31" i="23"/>
  <c r="BI30" i="23"/>
  <c r="AZ31" i="23"/>
  <c r="BB15" i="23"/>
  <c r="BB30" i="23"/>
  <c r="BH29" i="23"/>
  <c r="BD30" i="23"/>
  <c r="BG32" i="23"/>
  <c r="BI15" i="23"/>
  <c r="BG33" i="23"/>
  <c r="AY33" i="23"/>
  <c r="BI35" i="23"/>
  <c r="BC36" i="23"/>
  <c r="BG34" i="23"/>
  <c r="BH36" i="23"/>
  <c r="BH34" i="23"/>
  <c r="BA34" i="23"/>
  <c r="BC16" i="23"/>
  <c r="L322" i="35" s="1"/>
  <c r="L321" i="35" s="1"/>
  <c r="BI16" i="23"/>
  <c r="BF36" i="23"/>
  <c r="BA35" i="23"/>
  <c r="AY36" i="23"/>
  <c r="AY34" i="23"/>
  <c r="BH35" i="23"/>
  <c r="BD34" i="23"/>
  <c r="BF33" i="23"/>
  <c r="BG16" i="23"/>
  <c r="BB16" i="23"/>
  <c r="AZ16" i="23"/>
  <c r="BB36" i="23"/>
  <c r="BB33" i="23"/>
  <c r="BI34" i="23"/>
  <c r="BA36" i="23"/>
  <c r="BH16" i="23"/>
  <c r="BB34" i="23"/>
  <c r="BF35" i="23"/>
  <c r="BA16" i="23"/>
  <c r="BG36" i="23"/>
  <c r="BE33" i="23"/>
  <c r="BF16" i="23"/>
  <c r="P582" i="35" s="1"/>
  <c r="AX34" i="23"/>
  <c r="BH33" i="23"/>
  <c r="BC35" i="23"/>
  <c r="BE16" i="23"/>
  <c r="BD17" i="23"/>
  <c r="BB17" i="23"/>
  <c r="AY39" i="23"/>
  <c r="BE41" i="23"/>
  <c r="BG38" i="23"/>
  <c r="BA38" i="23"/>
  <c r="BC40" i="23"/>
  <c r="BI42" i="23"/>
  <c r="BG42" i="23"/>
  <c r="BB38" i="23"/>
  <c r="AZ40" i="23"/>
  <c r="AX42" i="23"/>
  <c r="AX39" i="23"/>
  <c r="BH17" i="23"/>
  <c r="BC17" i="23"/>
  <c r="AZ38" i="23"/>
  <c r="BF40" i="23"/>
  <c r="BD37" i="23"/>
  <c r="BB37" i="23"/>
  <c r="AY40" i="23"/>
  <c r="BA42" i="23"/>
  <c r="BI40" i="23"/>
  <c r="AX38" i="23"/>
  <c r="BI39" i="23"/>
  <c r="BC41" i="23"/>
  <c r="BC38" i="23"/>
  <c r="BG17" i="23"/>
  <c r="AX40" i="23"/>
  <c r="AY42" i="23"/>
  <c r="BF41" i="23"/>
  <c r="BC37" i="23"/>
  <c r="AY41" i="23"/>
  <c r="BC42" i="23"/>
  <c r="BE37" i="23"/>
  <c r="BH42" i="23"/>
  <c r="BG40" i="23"/>
  <c r="BF38" i="23"/>
  <c r="BF42" i="23"/>
  <c r="BI17" i="23"/>
  <c r="BC39" i="23"/>
  <c r="BI38" i="23"/>
  <c r="BF39" i="23"/>
  <c r="BH40" i="23"/>
  <c r="AZ17" i="23"/>
  <c r="BI41" i="23"/>
  <c r="AZ39" i="23"/>
  <c r="AY37" i="23"/>
  <c r="BB42" i="23"/>
  <c r="BI22" i="24"/>
  <c r="BA22" i="24"/>
  <c r="BE22" i="24"/>
  <c r="BH22" i="24"/>
  <c r="BF22" i="24"/>
  <c r="BD22" i="24"/>
  <c r="AY22" i="24"/>
  <c r="BG22" i="24"/>
  <c r="BB22" i="24"/>
  <c r="BB23" i="24"/>
  <c r="BD23" i="24"/>
  <c r="AZ23" i="24"/>
  <c r="BC23" i="24"/>
  <c r="AX23" i="24"/>
  <c r="BH23" i="24"/>
  <c r="BB29" i="34"/>
  <c r="AX29" i="34"/>
  <c r="BC29" i="34"/>
  <c r="BF29" i="34"/>
  <c r="BA29" i="34"/>
  <c r="BG29" i="34"/>
  <c r="AZ14" i="34"/>
  <c r="H422" i="35" s="1"/>
  <c r="H421" i="35" s="1"/>
  <c r="BH14" i="34"/>
  <c r="R248" i="35" s="1"/>
  <c r="R247" i="35" s="1"/>
  <c r="AZ29" i="34"/>
  <c r="BE29" i="34"/>
  <c r="AY14" i="34"/>
  <c r="BI14" i="34"/>
  <c r="S334" i="35" s="1"/>
  <c r="S333" i="35" s="1"/>
  <c r="AX31" i="34"/>
  <c r="AX30" i="34"/>
  <c r="BA30" i="34"/>
  <c r="BC30" i="34"/>
  <c r="BD29" i="34"/>
  <c r="BC14" i="34"/>
  <c r="BE14" i="34"/>
  <c r="N679" i="35" s="1"/>
  <c r="N678" i="35" s="1"/>
  <c r="BB30" i="34"/>
  <c r="AZ30" i="34"/>
  <c r="BH31" i="34"/>
  <c r="BB31" i="34"/>
  <c r="BG31" i="34"/>
  <c r="BB14" i="34"/>
  <c r="BD14" i="34"/>
  <c r="M508" i="35" s="1"/>
  <c r="M507" i="35" s="1"/>
  <c r="BF30" i="34"/>
  <c r="BI30" i="34"/>
  <c r="BH30" i="34"/>
  <c r="BG30" i="34"/>
  <c r="BG14" i="34"/>
  <c r="Q594" i="35" s="1"/>
  <c r="AX14" i="34"/>
  <c r="F334" i="35" s="1"/>
  <c r="F333" i="35" s="1"/>
  <c r="BE30" i="34"/>
  <c r="AY30" i="34"/>
  <c r="BD30" i="34"/>
  <c r="AX32" i="34"/>
  <c r="BF32" i="34"/>
  <c r="BE32" i="34"/>
  <c r="AZ32" i="34"/>
  <c r="BD32" i="34"/>
  <c r="AY32" i="34"/>
  <c r="BA32" i="34"/>
  <c r="BG32" i="34"/>
  <c r="AX18" i="34"/>
  <c r="F260" i="35" s="1"/>
  <c r="F259" i="35" s="1"/>
  <c r="BB18" i="34"/>
  <c r="BA18" i="34"/>
  <c r="I346" i="35" s="1"/>
  <c r="BC33" i="34"/>
  <c r="BC18" i="34"/>
  <c r="BE18" i="34"/>
  <c r="BG35" i="34"/>
  <c r="BD36" i="34"/>
  <c r="AZ35" i="34"/>
  <c r="BH35" i="34"/>
  <c r="AY34" i="34"/>
  <c r="AZ34" i="34"/>
  <c r="BI36" i="34"/>
  <c r="BC36" i="34"/>
  <c r="BB35" i="34"/>
  <c r="BA33" i="34"/>
  <c r="BE34" i="34"/>
  <c r="BI34" i="34"/>
  <c r="BD18" i="34"/>
  <c r="M434" i="35" s="1"/>
  <c r="M433" i="35" s="1"/>
  <c r="AZ18" i="34"/>
  <c r="H174" i="35" s="1"/>
  <c r="H173" i="35" s="1"/>
  <c r="T53" i="58" s="1"/>
  <c r="BG18" i="34"/>
  <c r="BI18" i="34"/>
  <c r="S606" i="35" s="1"/>
  <c r="S605" i="35" s="1"/>
  <c r="BE33" i="34"/>
  <c r="BG33" i="34"/>
  <c r="AZ25" i="15"/>
  <c r="AX25" i="15"/>
  <c r="BF25" i="15"/>
  <c r="BG25" i="15"/>
  <c r="BA24" i="15"/>
  <c r="BF24" i="15"/>
  <c r="BE24" i="15"/>
  <c r="BB25" i="15"/>
  <c r="AY24" i="15"/>
  <c r="BD24" i="15"/>
  <c r="AZ24" i="15"/>
  <c r="AY25" i="15"/>
  <c r="BA25" i="15"/>
  <c r="BH24" i="15"/>
  <c r="BE25" i="15"/>
  <c r="BI24" i="15"/>
  <c r="BG24" i="15"/>
  <c r="AX24" i="15"/>
  <c r="BB24" i="15"/>
  <c r="BF28" i="15"/>
  <c r="BI26" i="15"/>
  <c r="AX26" i="15"/>
  <c r="BA27" i="15"/>
  <c r="BG27" i="15"/>
  <c r="BH26" i="15"/>
  <c r="BA26" i="15"/>
  <c r="BC27" i="15"/>
  <c r="AX27" i="15"/>
  <c r="BG26" i="15"/>
  <c r="BE26" i="15"/>
  <c r="BD26" i="15"/>
  <c r="AZ28" i="15"/>
  <c r="BI27" i="15"/>
  <c r="BD28" i="15"/>
  <c r="BG28" i="15"/>
  <c r="BC28" i="15"/>
  <c r="BA28" i="15"/>
  <c r="BI28" i="15"/>
  <c r="H646" i="35"/>
  <c r="H645" i="35" s="1"/>
  <c r="M215" i="35"/>
  <c r="M214" i="35" s="1"/>
  <c r="AG77" i="58"/>
  <c r="AI33" i="34"/>
  <c r="BF41" i="17"/>
  <c r="BC43" i="17"/>
  <c r="BA41" i="17"/>
  <c r="BB41" i="17"/>
  <c r="BB43" i="17"/>
  <c r="BI42" i="17"/>
  <c r="BG41" i="17"/>
  <c r="AX42" i="17"/>
  <c r="P24" i="58"/>
  <c r="AP12" i="58"/>
  <c r="AJ77" i="24"/>
  <c r="P425" i="35"/>
  <c r="P597" i="35"/>
  <c r="P596" i="35" s="1"/>
  <c r="P165" i="35"/>
  <c r="P164" i="35" s="1"/>
  <c r="K425" i="35"/>
  <c r="K424" i="35" s="1"/>
  <c r="K251" i="35"/>
  <c r="K250" i="35" s="1"/>
  <c r="K597" i="35"/>
  <c r="K596" i="35" s="1"/>
  <c r="F425" i="35"/>
  <c r="F597" i="35"/>
  <c r="F596" i="35" s="1"/>
  <c r="AV15" i="34"/>
  <c r="P603" i="35"/>
  <c r="P602" i="35" s="1"/>
  <c r="AP39" i="58" s="1"/>
  <c r="P688" i="35"/>
  <c r="P687" i="35" s="1"/>
  <c r="K688" i="35"/>
  <c r="K687" i="35" s="1"/>
  <c r="AC33" i="58" s="1"/>
  <c r="K85" i="35"/>
  <c r="K517" i="35"/>
  <c r="K516" i="35" s="1"/>
  <c r="AC38" i="58" s="1"/>
  <c r="F688" i="35"/>
  <c r="F171" i="35"/>
  <c r="F517" i="35"/>
  <c r="F516" i="35" s="1"/>
  <c r="P22" i="58" s="1"/>
  <c r="AC11" i="58"/>
  <c r="AC3" i="58"/>
  <c r="AV16" i="34"/>
  <c r="F257" i="35"/>
  <c r="F256" i="35" s="1"/>
  <c r="P340" i="35"/>
  <c r="P339" i="35" s="1"/>
  <c r="AP8" i="58" s="1"/>
  <c r="F251" i="35"/>
  <c r="F250" i="35" s="1"/>
  <c r="P343" i="35"/>
  <c r="P342" i="35" s="1"/>
  <c r="P600" i="35"/>
  <c r="P599" i="35" s="1"/>
  <c r="K685" i="35"/>
  <c r="P85" i="35"/>
  <c r="K168" i="35"/>
  <c r="K167" i="35" s="1"/>
  <c r="AV17" i="34"/>
  <c r="K603" i="35"/>
  <c r="K602" i="35" s="1"/>
  <c r="F511" i="35"/>
  <c r="P511" i="35"/>
  <c r="BJ16" i="34"/>
  <c r="AI28" i="34"/>
  <c r="AI44" i="34"/>
  <c r="AI163" i="34"/>
  <c r="AI187" i="34"/>
  <c r="AI167" i="34"/>
  <c r="AI211" i="34"/>
  <c r="AI143" i="34"/>
  <c r="AI203" i="34"/>
  <c r="AI219" i="34"/>
  <c r="AI175" i="34"/>
  <c r="AI84" i="34"/>
  <c r="AI120" i="34"/>
  <c r="AI108" i="34"/>
  <c r="AI100" i="34"/>
  <c r="AY17" i="23"/>
  <c r="T227" i="34"/>
  <c r="AJ227" i="34" s="1"/>
  <c r="AI227" i="34"/>
  <c r="T223" i="34"/>
  <c r="AJ223" i="34" s="1"/>
  <c r="AI223" i="34"/>
  <c r="T191" i="34"/>
  <c r="AI191" i="34"/>
  <c r="T179" i="34"/>
  <c r="AJ179" i="34" s="1"/>
  <c r="AI179" i="34"/>
  <c r="T171" i="34"/>
  <c r="AJ171" i="34" s="1"/>
  <c r="AI171" i="34"/>
  <c r="T147" i="34"/>
  <c r="AJ147" i="34" s="1"/>
  <c r="AI147" i="34"/>
  <c r="T112" i="34"/>
  <c r="AJ112" i="34" s="1"/>
  <c r="AI112" i="34"/>
  <c r="T104" i="34"/>
  <c r="AJ104" i="34" s="1"/>
  <c r="AI104" i="34"/>
  <c r="T72" i="34"/>
  <c r="AJ72" i="34" s="1"/>
  <c r="AI72" i="34"/>
  <c r="T52" i="34"/>
  <c r="AJ52" i="34" s="1"/>
  <c r="AI52" i="34"/>
  <c r="Q129" i="35"/>
  <c r="Q128" i="35" s="1"/>
  <c r="Q215" i="35"/>
  <c r="Q214" i="35" s="1"/>
  <c r="AZ27" i="23"/>
  <c r="AI32" i="34"/>
  <c r="AI159" i="34"/>
  <c r="AI195" i="34"/>
  <c r="AI151" i="34"/>
  <c r="AI139" i="34"/>
  <c r="AI92" i="34"/>
  <c r="AI68" i="34"/>
  <c r="AI88" i="34"/>
  <c r="AI96" i="34"/>
  <c r="O13" i="21"/>
  <c r="M13" i="21"/>
  <c r="BD27" i="23"/>
  <c r="P478" i="35"/>
  <c r="P477" i="35" s="1"/>
  <c r="P649" i="35"/>
  <c r="P648" i="35" s="1"/>
  <c r="Q646" i="35"/>
  <c r="Q645" i="35" s="1"/>
  <c r="Q561" i="35"/>
  <c r="Q560" i="35" s="1"/>
  <c r="Q475" i="35"/>
  <c r="Q474" i="35" s="1"/>
  <c r="R475" i="35"/>
  <c r="R474" i="35" s="1"/>
  <c r="R646" i="35"/>
  <c r="R645" i="35" s="1"/>
  <c r="Q389" i="35"/>
  <c r="Q388" i="35" s="1"/>
  <c r="S389" i="35"/>
  <c r="S388" i="35" s="1"/>
  <c r="Q301" i="35"/>
  <c r="Q300" i="35" s="1"/>
  <c r="R389" i="35"/>
  <c r="L475" i="35"/>
  <c r="L301" i="35"/>
  <c r="L300" i="35" s="1"/>
  <c r="L646" i="35"/>
  <c r="L645" i="35" s="1"/>
  <c r="L389" i="35"/>
  <c r="L388" i="35" s="1"/>
  <c r="L129" i="35"/>
  <c r="L128" i="35" s="1"/>
  <c r="R212" i="35"/>
  <c r="R211" i="35" s="1"/>
  <c r="AJ50" i="17"/>
  <c r="AI50" i="17"/>
  <c r="H40" i="35"/>
  <c r="H39" i="35" s="1"/>
  <c r="L312" i="35"/>
  <c r="O312" i="35" s="1"/>
  <c r="O79" i="35"/>
  <c r="AC30" i="58"/>
  <c r="AE43" i="58"/>
  <c r="T101" i="58"/>
  <c r="T4" i="58"/>
  <c r="P38" i="58"/>
  <c r="V33" i="58"/>
  <c r="G691" i="35"/>
  <c r="G690" i="35" s="1"/>
  <c r="R58" i="58" s="1"/>
  <c r="L3" i="83"/>
  <c r="I17" i="11"/>
  <c r="I14" i="11" s="1"/>
  <c r="I16" i="11" s="1"/>
  <c r="AI203" i="17"/>
  <c r="AI139" i="17"/>
  <c r="AJ31" i="17"/>
  <c r="AJ23" i="17"/>
  <c r="AC13" i="58"/>
  <c r="AV86" i="58"/>
  <c r="AI31" i="58"/>
  <c r="N266" i="35"/>
  <c r="N265" i="35" s="1"/>
  <c r="AR73" i="58"/>
  <c r="Q499" i="35"/>
  <c r="Q498" i="35" s="1"/>
  <c r="T115" i="58"/>
  <c r="Q67" i="35"/>
  <c r="Q66" i="35" s="1"/>
  <c r="V41" i="58"/>
  <c r="Q413" i="35"/>
  <c r="Q412" i="35" s="1"/>
  <c r="AG12" i="58"/>
  <c r="U344" i="35"/>
  <c r="AG79" i="58"/>
  <c r="M5" i="83"/>
  <c r="AV3" i="58"/>
  <c r="V11" i="58"/>
  <c r="T23" i="35"/>
  <c r="O23" i="35"/>
  <c r="J195" i="35"/>
  <c r="T623" i="35"/>
  <c r="BD17" i="15"/>
  <c r="J17" i="35"/>
  <c r="T74" i="35"/>
  <c r="T68" i="35"/>
  <c r="O68" i="35"/>
  <c r="T62" i="35"/>
  <c r="O62" i="35"/>
  <c r="J62" i="35"/>
  <c r="T59" i="35"/>
  <c r="O50" i="35"/>
  <c r="J50" i="35"/>
  <c r="AJ161" i="23"/>
  <c r="AJ156" i="23"/>
  <c r="AJ152" i="23"/>
  <c r="AJ146" i="23"/>
  <c r="AJ145" i="23"/>
  <c r="AJ16" i="23"/>
  <c r="AJ141" i="23"/>
  <c r="AJ140" i="23"/>
  <c r="AJ100" i="23"/>
  <c r="AJ93" i="23"/>
  <c r="AJ70" i="23"/>
  <c r="AJ69" i="23"/>
  <c r="AJ109" i="15"/>
  <c r="AJ107" i="15"/>
  <c r="AJ59" i="24"/>
  <c r="AJ47" i="24"/>
  <c r="AJ44" i="24"/>
  <c r="AJ41" i="24"/>
  <c r="AJ37" i="24"/>
  <c r="AJ36" i="24"/>
  <c r="AJ27" i="24"/>
  <c r="AI54" i="22"/>
  <c r="AI51" i="22"/>
  <c r="AI50" i="22"/>
  <c r="AI45" i="22"/>
  <c r="AC51" i="21"/>
  <c r="AC48" i="21"/>
  <c r="AC47" i="21"/>
  <c r="AC44" i="21"/>
  <c r="AC35" i="21"/>
  <c r="AC34" i="21"/>
  <c r="AC31" i="21"/>
  <c r="AC26" i="21"/>
  <c r="AC20" i="21"/>
  <c r="AJ22" i="24"/>
  <c r="BE17" i="23"/>
  <c r="AZ27" i="15"/>
  <c r="AI69" i="24"/>
  <c r="AI73" i="24"/>
  <c r="AJ75" i="24"/>
  <c r="AI79" i="24"/>
  <c r="AJ28" i="34"/>
  <c r="AI178" i="17"/>
  <c r="AI98" i="17"/>
  <c r="X13" i="23"/>
  <c r="X68" i="23" s="1"/>
  <c r="X90" i="23" s="1"/>
  <c r="X137" i="23" s="1"/>
  <c r="AJ155" i="34"/>
  <c r="D19" i="1"/>
  <c r="AM41" i="22" s="1"/>
  <c r="L1" i="22"/>
  <c r="Z3" i="90"/>
  <c r="A1" i="1"/>
  <c r="AJ53" i="17"/>
  <c r="J118" i="35"/>
  <c r="G564" i="35"/>
  <c r="G563" i="35" s="1"/>
  <c r="S649" i="35"/>
  <c r="S648" i="35" s="1"/>
  <c r="AI130" i="17"/>
  <c r="F212" i="35"/>
  <c r="F211" i="35" s="1"/>
  <c r="F558" i="35"/>
  <c r="F557" i="35" s="1"/>
  <c r="F40" i="35"/>
  <c r="F295" i="35"/>
  <c r="F294" i="35" s="1"/>
  <c r="F383" i="35"/>
  <c r="F382" i="35" s="1"/>
  <c r="F123" i="35"/>
  <c r="F122" i="35" s="1"/>
  <c r="K637" i="35"/>
  <c r="K636" i="35" s="1"/>
  <c r="K120" i="35"/>
  <c r="K119" i="35" s="1"/>
  <c r="K549" i="35"/>
  <c r="K548" i="35" s="1"/>
  <c r="K289" i="35"/>
  <c r="K288" i="35" s="1"/>
  <c r="N625" i="35"/>
  <c r="N624" i="35" s="1"/>
  <c r="AI548" i="58" s="1"/>
  <c r="N454" i="35"/>
  <c r="N453" i="35" s="1"/>
  <c r="AI545" i="58" s="1"/>
  <c r="N108" i="35"/>
  <c r="N107" i="35" s="1"/>
  <c r="AI543" i="58" s="1"/>
  <c r="N368" i="35"/>
  <c r="N367" i="35" s="1"/>
  <c r="AI544" i="58" s="1"/>
  <c r="BE17" i="15"/>
  <c r="N194" i="35"/>
  <c r="AT115" i="58"/>
  <c r="J685" i="35"/>
  <c r="F398" i="35"/>
  <c r="F397" i="35" s="1"/>
  <c r="H537" i="35"/>
  <c r="H536" i="35" s="1"/>
  <c r="P105" i="35"/>
  <c r="P104" i="35" s="1"/>
  <c r="AP201" i="58" s="1"/>
  <c r="P655" i="35"/>
  <c r="P654" i="35" s="1"/>
  <c r="P634" i="35"/>
  <c r="R191" i="35"/>
  <c r="R190" i="35" s="1"/>
  <c r="S153" i="35"/>
  <c r="S152" i="35" s="1"/>
  <c r="S670" i="35"/>
  <c r="S669" i="35" s="1"/>
  <c r="AI109" i="15"/>
  <c r="AI161" i="23"/>
  <c r="AI70" i="23"/>
  <c r="AI59" i="24"/>
  <c r="AI152" i="23"/>
  <c r="AH42" i="22"/>
  <c r="AP91" i="58"/>
  <c r="AP107" i="58"/>
  <c r="K352" i="35"/>
  <c r="K351" i="35" s="1"/>
  <c r="S585" i="35"/>
  <c r="S584" i="35" s="1"/>
  <c r="AV82" i="58"/>
  <c r="S239" i="35"/>
  <c r="S238" i="35" s="1"/>
  <c r="N526" i="35"/>
  <c r="N525" i="35" s="1"/>
  <c r="V13" i="58"/>
  <c r="T79" i="24"/>
  <c r="AJ79" i="24" s="1"/>
  <c r="AJ74" i="24"/>
  <c r="AJ70" i="24"/>
  <c r="AI70" i="24"/>
  <c r="P398" i="35"/>
  <c r="P397" i="35" s="1"/>
  <c r="F19" i="35"/>
  <c r="F18" i="35" s="1"/>
  <c r="F631" i="35"/>
  <c r="F630" i="35" s="1"/>
  <c r="H451" i="35"/>
  <c r="H450" i="35" s="1"/>
  <c r="T203" i="58" s="1"/>
  <c r="Q194" i="35"/>
  <c r="Q193" i="35" s="1"/>
  <c r="F365" i="35"/>
  <c r="F364" i="35" s="1"/>
  <c r="P202" i="58" s="1"/>
  <c r="R19" i="35"/>
  <c r="R18" i="35" s="1"/>
  <c r="AT200" i="58" s="1"/>
  <c r="P224" i="35"/>
  <c r="P223" i="35" s="1"/>
  <c r="F126" i="35"/>
  <c r="F125" i="35" s="1"/>
  <c r="P508" i="58" s="1"/>
  <c r="R19" i="58"/>
  <c r="R43" i="58"/>
  <c r="AV26" i="58"/>
  <c r="AV44" i="58"/>
  <c r="P377" i="35"/>
  <c r="P376" i="35" s="1"/>
  <c r="K19" i="35"/>
  <c r="K18" i="35" s="1"/>
  <c r="AC200" i="58" s="1"/>
  <c r="I230" i="35"/>
  <c r="I229" i="35" s="1"/>
  <c r="I404" i="35"/>
  <c r="I403" i="35" s="1"/>
  <c r="AI140" i="23"/>
  <c r="AI145" i="23"/>
  <c r="AB20" i="21"/>
  <c r="AI69" i="23"/>
  <c r="AB47" i="21"/>
  <c r="AB57" i="21"/>
  <c r="AR38" i="58"/>
  <c r="AR46" i="58"/>
  <c r="N505" i="35"/>
  <c r="AI93" i="23"/>
  <c r="AI41" i="24"/>
  <c r="AI37" i="24"/>
  <c r="AI151" i="23"/>
  <c r="P570" i="35"/>
  <c r="P569" i="35" s="1"/>
  <c r="BF18" i="22"/>
  <c r="P52" i="35"/>
  <c r="P51" i="35" s="1"/>
  <c r="P138" i="35"/>
  <c r="P137" i="35" s="1"/>
  <c r="M570" i="35"/>
  <c r="M569" i="35" s="1"/>
  <c r="M484" i="35"/>
  <c r="BD18" i="22"/>
  <c r="M398" i="35"/>
  <c r="M397" i="35" s="1"/>
  <c r="M655" i="35"/>
  <c r="M654" i="35" s="1"/>
  <c r="AG168" i="58" s="1"/>
  <c r="M52" i="35"/>
  <c r="M51" i="35" s="1"/>
  <c r="M224" i="35"/>
  <c r="M138" i="35"/>
  <c r="M137" i="35" s="1"/>
  <c r="AG163" i="58" s="1"/>
  <c r="K484" i="35"/>
  <c r="K483" i="35" s="1"/>
  <c r="K52" i="35"/>
  <c r="K398" i="35"/>
  <c r="K397" i="35" s="1"/>
  <c r="K655" i="35"/>
  <c r="K654" i="35" s="1"/>
  <c r="K570" i="35"/>
  <c r="K569" i="35" s="1"/>
  <c r="AX18" i="22"/>
  <c r="F224" i="35"/>
  <c r="F223" i="35" s="1"/>
  <c r="F310" i="35"/>
  <c r="F309" i="35" s="1"/>
  <c r="F484" i="35"/>
  <c r="F483" i="35" s="1"/>
  <c r="P165" i="58" s="1"/>
  <c r="F52" i="35"/>
  <c r="F51" i="35" s="1"/>
  <c r="T50" i="35"/>
  <c r="AA160" i="23"/>
  <c r="AJ160" i="23" s="1"/>
  <c r="AI160" i="23"/>
  <c r="T159" i="23"/>
  <c r="AJ159" i="23" s="1"/>
  <c r="AI159" i="23"/>
  <c r="AH157" i="23"/>
  <c r="AJ157" i="23" s="1"/>
  <c r="AI157" i="23"/>
  <c r="T155" i="23"/>
  <c r="AJ155" i="23" s="1"/>
  <c r="AI155" i="23"/>
  <c r="AH149" i="23"/>
  <c r="AJ149" i="23" s="1"/>
  <c r="AI149" i="23"/>
  <c r="AH147" i="23"/>
  <c r="AJ147" i="23" s="1"/>
  <c r="AI147" i="23"/>
  <c r="AA144" i="23"/>
  <c r="AJ144" i="23" s="1"/>
  <c r="AI144" i="23"/>
  <c r="T75" i="23"/>
  <c r="AJ75" i="23" s="1"/>
  <c r="AI75" i="23"/>
  <c r="AH73" i="23"/>
  <c r="AJ73" i="23" s="1"/>
  <c r="AI73" i="23"/>
  <c r="T15" i="23"/>
  <c r="AJ15" i="23" s="1"/>
  <c r="AI15" i="23"/>
  <c r="T139" i="23"/>
  <c r="AJ139" i="23" s="1"/>
  <c r="AI139" i="23"/>
  <c r="AA103" i="23"/>
  <c r="AJ103" i="23" s="1"/>
  <c r="AI103" i="23"/>
  <c r="AA99" i="23"/>
  <c r="AJ99" i="23" s="1"/>
  <c r="AI99" i="23"/>
  <c r="AH92" i="23"/>
  <c r="AJ92" i="23" s="1"/>
  <c r="AI92" i="23"/>
  <c r="AA91" i="23"/>
  <c r="AJ91" i="23" s="1"/>
  <c r="AI91" i="23"/>
  <c r="T96" i="23"/>
  <c r="AJ96" i="23" s="1"/>
  <c r="AI96" i="23"/>
  <c r="AG135" i="22"/>
  <c r="AI135" i="22" s="1"/>
  <c r="AH135" i="22"/>
  <c r="S133" i="22"/>
  <c r="AI133" i="22" s="1"/>
  <c r="AH133" i="22"/>
  <c r="AA116" i="15"/>
  <c r="AJ116" i="15" s="1"/>
  <c r="AI116" i="15"/>
  <c r="T115" i="15"/>
  <c r="AJ115" i="15" s="1"/>
  <c r="AI115" i="15"/>
  <c r="AH110" i="15"/>
  <c r="AJ110" i="15" s="1"/>
  <c r="AI110" i="15"/>
  <c r="T108" i="15"/>
  <c r="AJ108" i="15" s="1"/>
  <c r="AI108" i="15"/>
  <c r="AA56" i="24"/>
  <c r="AJ56" i="24" s="1"/>
  <c r="AI56" i="24"/>
  <c r="AH53" i="24"/>
  <c r="AJ53" i="24" s="1"/>
  <c r="AI53" i="24"/>
  <c r="T51" i="24"/>
  <c r="AJ51" i="24" s="1"/>
  <c r="AI51" i="24"/>
  <c r="AH49" i="24"/>
  <c r="AJ49" i="24" s="1"/>
  <c r="AI49" i="24"/>
  <c r="AA48" i="24"/>
  <c r="AJ48" i="24" s="1"/>
  <c r="AI48" i="24"/>
  <c r="AH45" i="24"/>
  <c r="AJ45" i="24" s="1"/>
  <c r="AI45" i="24"/>
  <c r="T43" i="24"/>
  <c r="AJ43" i="24" s="1"/>
  <c r="AI43" i="24"/>
  <c r="AA40" i="24"/>
  <c r="AJ40" i="24" s="1"/>
  <c r="AI40" i="24"/>
  <c r="T35" i="24"/>
  <c r="AJ35" i="24" s="1"/>
  <c r="AI35" i="24"/>
  <c r="AA32" i="24"/>
  <c r="AJ32" i="24" s="1"/>
  <c r="AI32" i="24"/>
  <c r="AA24" i="24"/>
  <c r="AJ24" i="24" s="1"/>
  <c r="AI24" i="24"/>
  <c r="AH21" i="24"/>
  <c r="AJ21" i="24" s="1"/>
  <c r="AI21" i="24"/>
  <c r="T19" i="24"/>
  <c r="AJ19" i="24" s="1"/>
  <c r="AI19" i="24"/>
  <c r="T15" i="24"/>
  <c r="AJ15" i="24" s="1"/>
  <c r="AI15" i="24"/>
  <c r="AG94" i="22"/>
  <c r="AI94" i="22" s="1"/>
  <c r="AH94" i="22"/>
  <c r="AG90" i="22"/>
  <c r="AI90" i="22" s="1"/>
  <c r="AH90" i="22"/>
  <c r="S53" i="22"/>
  <c r="AI53" i="22" s="1"/>
  <c r="AH53" i="22"/>
  <c r="S49" i="22"/>
  <c r="AI49" i="22" s="1"/>
  <c r="AH49" i="22"/>
  <c r="AG47" i="22"/>
  <c r="AI47" i="22" s="1"/>
  <c r="AH47" i="22"/>
  <c r="Z46" i="22"/>
  <c r="AI46" i="22" s="1"/>
  <c r="AH46" i="22"/>
  <c r="AG20" i="22"/>
  <c r="AI20" i="22" s="1"/>
  <c r="AH20" i="22"/>
  <c r="S18" i="22"/>
  <c r="AI18" i="22" s="1"/>
  <c r="AH18" i="22"/>
  <c r="AG16" i="22"/>
  <c r="AI16" i="22" s="1"/>
  <c r="AH16" i="22"/>
  <c r="S14" i="22"/>
  <c r="AI14" i="22" s="1"/>
  <c r="AH14" i="22"/>
  <c r="T56" i="21"/>
  <c r="AC56" i="21" s="1"/>
  <c r="AB56" i="21"/>
  <c r="M55" i="21"/>
  <c r="AC55" i="21" s="1"/>
  <c r="AB55" i="21"/>
  <c r="T52" i="21"/>
  <c r="AC52" i="21" s="1"/>
  <c r="AB52" i="21"/>
  <c r="AA49" i="21"/>
  <c r="AC49" i="21" s="1"/>
  <c r="AB49" i="21"/>
  <c r="M46" i="21"/>
  <c r="AC46" i="21" s="1"/>
  <c r="AB46" i="21"/>
  <c r="T43" i="21"/>
  <c r="AC43" i="21" s="1"/>
  <c r="AB43" i="21"/>
  <c r="M42" i="21"/>
  <c r="AC42" i="21" s="1"/>
  <c r="AB42" i="21"/>
  <c r="T39" i="21"/>
  <c r="AC39" i="21" s="1"/>
  <c r="AB39" i="21"/>
  <c r="M38" i="21"/>
  <c r="AC38" i="21" s="1"/>
  <c r="AB38" i="21"/>
  <c r="AA36" i="21"/>
  <c r="AC36" i="21" s="1"/>
  <c r="AB36" i="21"/>
  <c r="AA32" i="21"/>
  <c r="AC32" i="21" s="1"/>
  <c r="AB32" i="21"/>
  <c r="M30" i="21"/>
  <c r="AC30" i="21" s="1"/>
  <c r="AB30" i="21"/>
  <c r="AA28" i="21"/>
  <c r="AC28" i="21" s="1"/>
  <c r="AB28" i="21"/>
  <c r="T27" i="21"/>
  <c r="AC27" i="21" s="1"/>
  <c r="AB27" i="21"/>
  <c r="AA24" i="21"/>
  <c r="AC24" i="21" s="1"/>
  <c r="AB24" i="21"/>
  <c r="T23" i="21"/>
  <c r="AC23" i="21" s="1"/>
  <c r="AB23" i="21"/>
  <c r="M22" i="21"/>
  <c r="AC22" i="21" s="1"/>
  <c r="AB22" i="21"/>
  <c r="T19" i="21"/>
  <c r="AC19" i="21" s="1"/>
  <c r="AB19" i="21"/>
  <c r="M18" i="21"/>
  <c r="AC18" i="21" s="1"/>
  <c r="AB18" i="21"/>
  <c r="T15" i="21"/>
  <c r="AC15" i="21" s="1"/>
  <c r="AB15" i="21"/>
  <c r="AI75" i="24"/>
  <c r="R398" i="35"/>
  <c r="R397" i="35" s="1"/>
  <c r="AR114" i="58"/>
  <c r="AR106" i="58"/>
  <c r="AI77" i="24"/>
  <c r="G73" i="35"/>
  <c r="G72" i="35" s="1"/>
  <c r="M310" i="35"/>
  <c r="M309" i="35" s="1"/>
  <c r="AI148" i="23"/>
  <c r="AH92" i="22"/>
  <c r="AE73" i="58"/>
  <c r="AE72" i="58"/>
  <c r="M94" i="35"/>
  <c r="M93" i="35" s="1"/>
  <c r="R436" i="35"/>
  <c r="N180" i="35"/>
  <c r="N179" i="35" s="1"/>
  <c r="S413" i="35"/>
  <c r="S412" i="35" s="1"/>
  <c r="AR93" i="58"/>
  <c r="P17" i="58"/>
  <c r="N440" i="35"/>
  <c r="N439" i="35" s="1"/>
  <c r="T73" i="24"/>
  <c r="AJ73" i="24" s="1"/>
  <c r="T69" i="24"/>
  <c r="AJ69" i="24" s="1"/>
  <c r="L73" i="35"/>
  <c r="L72" i="35" s="1"/>
  <c r="H365" i="35"/>
  <c r="Q540" i="35"/>
  <c r="Q539" i="35" s="1"/>
  <c r="N280" i="35"/>
  <c r="N279" i="35" s="1"/>
  <c r="AI547" i="58" s="1"/>
  <c r="N540" i="35"/>
  <c r="N539" i="35" s="1"/>
  <c r="AI16" i="23"/>
  <c r="AI100" i="23"/>
  <c r="AH45" i="22"/>
  <c r="AI141" i="23"/>
  <c r="AB26" i="21"/>
  <c r="AB35" i="21"/>
  <c r="AB31" i="21"/>
  <c r="AI107" i="15"/>
  <c r="AB34" i="21"/>
  <c r="AI47" i="24"/>
  <c r="P383" i="35"/>
  <c r="P382" i="35" s="1"/>
  <c r="P123" i="35"/>
  <c r="P122" i="35" s="1"/>
  <c r="P380" i="35"/>
  <c r="P379" i="35" s="1"/>
  <c r="P34" i="35"/>
  <c r="P33" i="35" s="1"/>
  <c r="P289" i="35"/>
  <c r="P288" i="35" s="1"/>
  <c r="P117" i="35"/>
  <c r="P116" i="35" s="1"/>
  <c r="F286" i="35"/>
  <c r="F285" i="35" s="1"/>
  <c r="F200" i="35"/>
  <c r="F460" i="35"/>
  <c r="F459" i="35" s="1"/>
  <c r="F374" i="35"/>
  <c r="F373" i="35" s="1"/>
  <c r="BG17" i="15"/>
  <c r="Q108" i="35"/>
  <c r="Q107" i="35" s="1"/>
  <c r="AR543" i="58" s="1"/>
  <c r="Q280" i="35"/>
  <c r="Q279" i="35" s="1"/>
  <c r="AR547" i="58" s="1"/>
  <c r="Q368" i="35"/>
  <c r="Q367" i="35" s="1"/>
  <c r="AR544" i="58" s="1"/>
  <c r="L454" i="35"/>
  <c r="L453" i="35" s="1"/>
  <c r="AE545" i="58" s="1"/>
  <c r="BC17" i="15"/>
  <c r="BJ16" i="15"/>
  <c r="L625" i="35"/>
  <c r="L624" i="35" s="1"/>
  <c r="L194" i="35"/>
  <c r="L193" i="35" s="1"/>
  <c r="L368" i="35"/>
  <c r="L367" i="35" s="1"/>
  <c r="AE544" i="58" s="1"/>
  <c r="L540" i="35"/>
  <c r="L539" i="35" s="1"/>
  <c r="L22" i="35"/>
  <c r="L21" i="35" s="1"/>
  <c r="AE542" i="58" s="1"/>
  <c r="P19" i="35"/>
  <c r="P18" i="35" s="1"/>
  <c r="AP200" i="58" s="1"/>
  <c r="P191" i="35"/>
  <c r="P190" i="35" s="1"/>
  <c r="P451" i="35"/>
  <c r="P537" i="35"/>
  <c r="P536" i="35" s="1"/>
  <c r="P365" i="35"/>
  <c r="P364" i="35" s="1"/>
  <c r="AP202" i="58" s="1"/>
  <c r="BF17" i="15"/>
  <c r="P277" i="35"/>
  <c r="P276" i="35" s="1"/>
  <c r="AP205" i="58" s="1"/>
  <c r="M191" i="35"/>
  <c r="M190" i="35" s="1"/>
  <c r="M365" i="35"/>
  <c r="M364" i="35" s="1"/>
  <c r="AG202" i="58" s="1"/>
  <c r="M105" i="35"/>
  <c r="M104" i="35" s="1"/>
  <c r="AG201" i="58" s="1"/>
  <c r="M537" i="35"/>
  <c r="M536" i="35" s="1"/>
  <c r="M19" i="35"/>
  <c r="M18" i="35" s="1"/>
  <c r="M451" i="35"/>
  <c r="M450" i="35" s="1"/>
  <c r="AG203" i="58" s="1"/>
  <c r="M622" i="35"/>
  <c r="K451" i="35"/>
  <c r="K450" i="35" s="1"/>
  <c r="K622" i="35"/>
  <c r="K621" i="35" s="1"/>
  <c r="K105" i="35"/>
  <c r="K104" i="35" s="1"/>
  <c r="AC201" i="58" s="1"/>
  <c r="BB17" i="15"/>
  <c r="K537" i="35"/>
  <c r="K536" i="35" s="1"/>
  <c r="K277" i="35"/>
  <c r="K276" i="35" s="1"/>
  <c r="AC205" i="58" s="1"/>
  <c r="BJ15" i="15"/>
  <c r="F191" i="35"/>
  <c r="F190" i="35" s="1"/>
  <c r="AX17" i="15"/>
  <c r="F537" i="35"/>
  <c r="F277" i="35"/>
  <c r="F622" i="35"/>
  <c r="F105" i="35"/>
  <c r="F104" i="35" s="1"/>
  <c r="P201" i="58" s="1"/>
  <c r="T17" i="35"/>
  <c r="O17" i="35"/>
  <c r="BE16" i="24"/>
  <c r="N591" i="35"/>
  <c r="N590" i="35" s="1"/>
  <c r="N245" i="35"/>
  <c r="N244" i="35" s="1"/>
  <c r="N676" i="35"/>
  <c r="N675" i="35" s="1"/>
  <c r="AI113" i="58" s="1"/>
  <c r="N419" i="35"/>
  <c r="N418" i="35" s="1"/>
  <c r="N73" i="35"/>
  <c r="N72" i="35" s="1"/>
  <c r="AI115" i="58" s="1"/>
  <c r="L676" i="35"/>
  <c r="L675" i="35" s="1"/>
  <c r="BC16" i="24"/>
  <c r="L505" i="35"/>
  <c r="L504" i="35" s="1"/>
  <c r="AE110" i="58" s="1"/>
  <c r="L331" i="35"/>
  <c r="L159" i="35"/>
  <c r="L591" i="35"/>
  <c r="L590" i="35" s="1"/>
  <c r="AY16" i="24"/>
  <c r="G245" i="35"/>
  <c r="G244" i="35" s="1"/>
  <c r="G505" i="35"/>
  <c r="G591" i="35"/>
  <c r="G419" i="35"/>
  <c r="G418" i="35" s="1"/>
  <c r="G331" i="35"/>
  <c r="G330" i="35" s="1"/>
  <c r="R96" i="58" s="1"/>
  <c r="G159" i="35"/>
  <c r="T71" i="35"/>
  <c r="J71" i="35"/>
  <c r="R655" i="35"/>
  <c r="R654" i="35" s="1"/>
  <c r="AT168" i="58" s="1"/>
  <c r="R224" i="35"/>
  <c r="R223" i="35" s="1"/>
  <c r="R484" i="35"/>
  <c r="R483" i="35" s="1"/>
  <c r="BH18" i="22"/>
  <c r="R570" i="35"/>
  <c r="R569" i="35" s="1"/>
  <c r="R310" i="35"/>
  <c r="R309" i="35" s="1"/>
  <c r="R138" i="35"/>
  <c r="R137" i="35" s="1"/>
  <c r="AA71" i="24"/>
  <c r="AJ71" i="24" s="1"/>
  <c r="AI71" i="24"/>
  <c r="AA78" i="24"/>
  <c r="AJ78" i="24" s="1"/>
  <c r="AI78" i="24"/>
  <c r="AH81" i="24"/>
  <c r="AJ81" i="24" s="1"/>
  <c r="AI81" i="24"/>
  <c r="P19" i="58"/>
  <c r="P43" i="58"/>
  <c r="K295" i="35"/>
  <c r="K294" i="35" s="1"/>
  <c r="K123" i="35"/>
  <c r="K122" i="35" s="1"/>
  <c r="F552" i="35"/>
  <c r="F551" i="35" s="1"/>
  <c r="F34" i="35"/>
  <c r="F33" i="35" s="1"/>
  <c r="F466" i="35"/>
  <c r="F549" i="35"/>
  <c r="F548" i="35" s="1"/>
  <c r="F117" i="35"/>
  <c r="F116" i="35" s="1"/>
  <c r="R622" i="35"/>
  <c r="R621" i="35" s="1"/>
  <c r="AT206" i="58" s="1"/>
  <c r="BH17" i="15"/>
  <c r="R451" i="35"/>
  <c r="R450" i="35" s="1"/>
  <c r="AT203" i="58" s="1"/>
  <c r="R365" i="35"/>
  <c r="R364" i="35" s="1"/>
  <c r="AT202" i="58" s="1"/>
  <c r="R105" i="35"/>
  <c r="R104" i="35" s="1"/>
  <c r="AT201" i="58" s="1"/>
  <c r="H191" i="35"/>
  <c r="H190" i="35" s="1"/>
  <c r="AZ17" i="15"/>
  <c r="H277" i="35"/>
  <c r="H276" i="35" s="1"/>
  <c r="T205" i="58" s="1"/>
  <c r="H19" i="35"/>
  <c r="H18" i="35" s="1"/>
  <c r="T200" i="58" s="1"/>
  <c r="I676" i="35"/>
  <c r="I675" i="35" s="1"/>
  <c r="I591" i="35"/>
  <c r="I590" i="35" s="1"/>
  <c r="V119" i="58" s="1"/>
  <c r="I419" i="35"/>
  <c r="BA16" i="24"/>
  <c r="I505" i="35"/>
  <c r="I504" i="35" s="1"/>
  <c r="V102" i="58" s="1"/>
  <c r="I159" i="35"/>
  <c r="I158" i="35" s="1"/>
  <c r="V114" i="58" s="1"/>
  <c r="H224" i="35"/>
  <c r="H223" i="35" s="1"/>
  <c r="H484" i="35"/>
  <c r="H483" i="35" s="1"/>
  <c r="H310" i="35"/>
  <c r="H309" i="35" s="1"/>
  <c r="H398" i="35"/>
  <c r="H397" i="35" s="1"/>
  <c r="AH162" i="23"/>
  <c r="AJ162" i="23" s="1"/>
  <c r="AI162" i="23"/>
  <c r="T102" i="23"/>
  <c r="AJ102" i="23" s="1"/>
  <c r="AI102" i="23"/>
  <c r="T98" i="23"/>
  <c r="AJ98" i="23" s="1"/>
  <c r="AI98" i="23"/>
  <c r="AH94" i="23"/>
  <c r="AJ94" i="23" s="1"/>
  <c r="AI94" i="23"/>
  <c r="T163" i="23"/>
  <c r="AJ163" i="23" s="1"/>
  <c r="AI163" i="23"/>
  <c r="AH71" i="23"/>
  <c r="AJ71" i="23" s="1"/>
  <c r="AI71" i="23"/>
  <c r="Z134" i="22"/>
  <c r="AI134" i="22" s="1"/>
  <c r="AH134" i="22"/>
  <c r="AH117" i="15"/>
  <c r="AJ117" i="15" s="1"/>
  <c r="AI117" i="15"/>
  <c r="AH113" i="15"/>
  <c r="AJ113" i="15" s="1"/>
  <c r="AI113" i="15"/>
  <c r="AA112" i="15"/>
  <c r="AJ112" i="15" s="1"/>
  <c r="AI112" i="15"/>
  <c r="AH68" i="24"/>
  <c r="AJ68" i="24" s="1"/>
  <c r="AI68" i="24"/>
  <c r="AA60" i="24"/>
  <c r="AI60" i="24"/>
  <c r="AH57" i="24"/>
  <c r="AJ57" i="24" s="1"/>
  <c r="AI57" i="24"/>
  <c r="T55" i="24"/>
  <c r="AJ55" i="24" s="1"/>
  <c r="AI55" i="24"/>
  <c r="AA52" i="24"/>
  <c r="AJ52" i="24" s="1"/>
  <c r="AI52" i="24"/>
  <c r="T39" i="24"/>
  <c r="AJ39" i="24" s="1"/>
  <c r="AI39" i="24"/>
  <c r="AH33" i="24"/>
  <c r="AJ33" i="24" s="1"/>
  <c r="AI33" i="24"/>
  <c r="T31" i="24"/>
  <c r="AJ31" i="24" s="1"/>
  <c r="AI31" i="24"/>
  <c r="AH29" i="24"/>
  <c r="AJ29" i="24" s="1"/>
  <c r="AI29" i="24"/>
  <c r="AA28" i="24"/>
  <c r="AJ28" i="24" s="1"/>
  <c r="AI28" i="24"/>
  <c r="AH25" i="24"/>
  <c r="AJ25" i="24" s="1"/>
  <c r="AI25" i="24"/>
  <c r="T23" i="24"/>
  <c r="AJ23" i="24" s="1"/>
  <c r="AI23" i="24"/>
  <c r="AA20" i="24"/>
  <c r="AJ20" i="24" s="1"/>
  <c r="AI20" i="24"/>
  <c r="AH17" i="24"/>
  <c r="AJ17" i="24" s="1"/>
  <c r="AI17" i="24"/>
  <c r="AA16" i="24"/>
  <c r="AJ16" i="24" s="1"/>
  <c r="AI16" i="24"/>
  <c r="Z93" i="22"/>
  <c r="AI93" i="22" s="1"/>
  <c r="AH93" i="22"/>
  <c r="AG43" i="22"/>
  <c r="AI43" i="22" s="1"/>
  <c r="AH43" i="22"/>
  <c r="S41" i="22"/>
  <c r="AI41" i="22" s="1"/>
  <c r="AH41" i="22"/>
  <c r="Z19" i="22"/>
  <c r="AI19" i="22" s="1"/>
  <c r="AH19" i="22"/>
  <c r="Z15" i="22"/>
  <c r="AI15" i="22" s="1"/>
  <c r="AH15" i="22"/>
  <c r="AA53" i="21"/>
  <c r="AC53" i="21" s="1"/>
  <c r="AB53" i="21"/>
  <c r="M14" i="21"/>
  <c r="AC14" i="21" s="1"/>
  <c r="AB14" i="21"/>
  <c r="AV46" i="58"/>
  <c r="AI29" i="58"/>
  <c r="R277" i="35"/>
  <c r="R276" i="35" s="1"/>
  <c r="AT205" i="58" s="1"/>
  <c r="L108" i="35"/>
  <c r="L107" i="35" s="1"/>
  <c r="AE543" i="58" s="1"/>
  <c r="Q625" i="35"/>
  <c r="Q624" i="35" s="1"/>
  <c r="AR548" i="58" s="1"/>
  <c r="K310" i="35"/>
  <c r="K309" i="35" s="1"/>
  <c r="N22" i="35"/>
  <c r="M277" i="35"/>
  <c r="M276" i="35" s="1"/>
  <c r="AG205" i="58" s="1"/>
  <c r="N331" i="35"/>
  <c r="N330" i="35" s="1"/>
  <c r="AI104" i="58" s="1"/>
  <c r="AI146" i="23"/>
  <c r="P484" i="35"/>
  <c r="P483" i="35" s="1"/>
  <c r="AP165" i="58" s="1"/>
  <c r="L419" i="35"/>
  <c r="L418" i="35" s="1"/>
  <c r="AE93" i="58" s="1"/>
  <c r="AI36" i="24"/>
  <c r="AI44" i="24"/>
  <c r="AI27" i="24"/>
  <c r="AH54" i="22"/>
  <c r="AG260" i="58"/>
  <c r="L147" i="35"/>
  <c r="L146" i="35" s="1"/>
  <c r="L233" i="35"/>
  <c r="L232" i="35" s="1"/>
  <c r="AR80" i="58"/>
  <c r="Q670" i="35"/>
  <c r="Q669" i="35" s="1"/>
  <c r="G15" i="11"/>
  <c r="AG27" i="58"/>
  <c r="O49" i="35"/>
  <c r="Q325" i="35"/>
  <c r="Q324" i="35" s="1"/>
  <c r="S316" i="35"/>
  <c r="S315" i="35" s="1"/>
  <c r="AC83" i="58"/>
  <c r="J486" i="35"/>
  <c r="AV89" i="58"/>
  <c r="AZ15" i="23"/>
  <c r="H147" i="35" s="1"/>
  <c r="H146" i="35" s="1"/>
  <c r="AX15" i="23"/>
  <c r="F407" i="35" s="1"/>
  <c r="F406" i="35" s="1"/>
  <c r="AY15" i="23"/>
  <c r="G319" i="35" s="1"/>
  <c r="G318" i="35" s="1"/>
  <c r="BD16" i="23"/>
  <c r="M410" i="35" s="1"/>
  <c r="M409" i="35" s="1"/>
  <c r="AX16" i="23"/>
  <c r="AY16" i="23"/>
  <c r="BH28" i="23"/>
  <c r="BG28" i="23"/>
  <c r="BF28" i="23"/>
  <c r="BH31" i="23"/>
  <c r="BF32" i="23"/>
  <c r="BF44" i="23" s="1"/>
  <c r="BC31" i="23"/>
  <c r="AZ30" i="23"/>
  <c r="AY32" i="23"/>
  <c r="BA32" i="23"/>
  <c r="BG30" i="23"/>
  <c r="BD29" i="23"/>
  <c r="BE30" i="23"/>
  <c r="BD32" i="23"/>
  <c r="BA31" i="23"/>
  <c r="BD41" i="23"/>
  <c r="BH37" i="23"/>
  <c r="BG41" i="23"/>
  <c r="BD40" i="23"/>
  <c r="BA39" i="23"/>
  <c r="BG37" i="23"/>
  <c r="BH41" i="23"/>
  <c r="AZ37" i="23"/>
  <c r="BB41" i="23"/>
  <c r="BD39" i="23"/>
  <c r="BF37" i="23"/>
  <c r="BA40" i="23"/>
  <c r="AZ42" i="23"/>
  <c r="BB40" i="23"/>
  <c r="BH38" i="23"/>
  <c r="AZ35" i="23"/>
  <c r="BG35" i="23"/>
  <c r="AZ34" i="23"/>
  <c r="AZ36" i="23"/>
  <c r="AX35" i="23"/>
  <c r="BD33" i="23"/>
  <c r="BE34" i="23"/>
  <c r="BE35" i="23"/>
  <c r="AI53" i="17"/>
  <c r="AH83" i="17"/>
  <c r="AH123" i="17"/>
  <c r="BI28" i="22"/>
  <c r="BA23" i="24"/>
  <c r="AI25" i="17"/>
  <c r="BF42" i="17"/>
  <c r="AI38" i="17"/>
  <c r="BF43" i="17"/>
  <c r="AI39" i="17"/>
  <c r="AH107" i="17"/>
  <c r="AH219" i="17"/>
  <c r="AH182" i="17"/>
  <c r="AH210" i="17"/>
  <c r="AH194" i="17"/>
  <c r="AH131" i="17"/>
  <c r="AH199" i="17"/>
  <c r="BI29" i="34"/>
  <c r="AY29" i="34"/>
  <c r="AX28" i="15"/>
  <c r="AZ26" i="15"/>
  <c r="AZ29" i="15" s="1"/>
  <c r="BB27" i="15"/>
  <c r="BI25" i="15"/>
  <c r="BF27" i="15"/>
  <c r="BH25" i="15"/>
  <c r="BB26" i="23"/>
  <c r="BF27" i="23"/>
  <c r="BC26" i="23"/>
  <c r="AX22" i="24"/>
  <c r="BH29" i="34"/>
  <c r="BC26" i="15"/>
  <c r="BF26" i="15"/>
  <c r="AI73" i="17"/>
  <c r="AH103" i="17"/>
  <c r="AH181" i="17"/>
  <c r="AH105" i="17"/>
  <c r="AH175" i="17"/>
  <c r="AH203" i="17"/>
  <c r="AH201" i="17"/>
  <c r="AH141" i="17"/>
  <c r="AH169" i="17"/>
  <c r="AH99" i="17"/>
  <c r="AI55" i="17"/>
  <c r="AH94" i="17"/>
  <c r="BE29" i="22"/>
  <c r="BA28" i="22"/>
  <c r="AG223" i="17"/>
  <c r="AI223" i="17" s="1"/>
  <c r="AH223" i="17"/>
  <c r="Z222" i="17"/>
  <c r="AI222" i="17" s="1"/>
  <c r="AH222" i="17"/>
  <c r="S221" i="17"/>
  <c r="AI221" i="17" s="1"/>
  <c r="AH221" i="17"/>
  <c r="S213" i="17"/>
  <c r="AI213" i="17" s="1"/>
  <c r="AH213" i="17"/>
  <c r="AG207" i="17"/>
  <c r="AI207" i="17" s="1"/>
  <c r="AH207" i="17"/>
  <c r="S205" i="17"/>
  <c r="AI205" i="17" s="1"/>
  <c r="AH205" i="17"/>
  <c r="S189" i="17"/>
  <c r="AI189" i="17" s="1"/>
  <c r="AH189" i="17"/>
  <c r="AG187" i="17"/>
  <c r="AI187" i="17" s="1"/>
  <c r="AH187" i="17"/>
  <c r="S177" i="17"/>
  <c r="AI177" i="17" s="1"/>
  <c r="AH177" i="17"/>
  <c r="AG159" i="17"/>
  <c r="AI159" i="17" s="1"/>
  <c r="AH159" i="17"/>
  <c r="Z146" i="17"/>
  <c r="AI146" i="17" s="1"/>
  <c r="AH146" i="17"/>
  <c r="S137" i="17"/>
  <c r="AI137" i="17" s="1"/>
  <c r="AH137" i="17"/>
  <c r="AG135" i="17"/>
  <c r="AI135" i="17" s="1"/>
  <c r="AH135" i="17"/>
  <c r="S129" i="17"/>
  <c r="AI129" i="17" s="1"/>
  <c r="AH129" i="17"/>
  <c r="Z114" i="17"/>
  <c r="AI114" i="17" s="1"/>
  <c r="AH114" i="17"/>
  <c r="AG111" i="17"/>
  <c r="AI111" i="17" s="1"/>
  <c r="AH111" i="17"/>
  <c r="Z102" i="17"/>
  <c r="AI102" i="17" s="1"/>
  <c r="AH102" i="17"/>
  <c r="S97" i="17"/>
  <c r="AI97" i="17" s="1"/>
  <c r="AH97" i="17"/>
  <c r="AG87" i="17"/>
  <c r="AI87" i="17" s="1"/>
  <c r="AH87" i="17"/>
  <c r="Z86" i="17"/>
  <c r="AI86" i="17" s="1"/>
  <c r="AH86" i="17"/>
  <c r="AH67" i="17"/>
  <c r="AJ67" i="17" s="1"/>
  <c r="AI67" i="17"/>
  <c r="AH51" i="17"/>
  <c r="AJ51" i="17" s="1"/>
  <c r="AI51" i="17"/>
  <c r="T49" i="17"/>
  <c r="AJ49" i="17" s="1"/>
  <c r="AI49" i="17"/>
  <c r="AH35" i="17"/>
  <c r="AJ35" i="17" s="1"/>
  <c r="AI35" i="17"/>
  <c r="AA34" i="17"/>
  <c r="AJ34" i="17" s="1"/>
  <c r="AI34" i="17"/>
  <c r="T33" i="17"/>
  <c r="AJ33" i="17" s="1"/>
  <c r="AI33" i="17"/>
  <c r="T29" i="17"/>
  <c r="AJ29" i="17" s="1"/>
  <c r="AI29" i="17"/>
  <c r="AA18" i="17"/>
  <c r="AJ18" i="17" s="1"/>
  <c r="AI18" i="17"/>
  <c r="AA14" i="17"/>
  <c r="AJ14" i="17" s="1"/>
  <c r="AI14" i="17"/>
  <c r="AG13" i="24"/>
  <c r="AG67" i="24" s="1"/>
  <c r="L12" i="24"/>
  <c r="L66" i="24" s="1"/>
  <c r="BB24" i="22"/>
  <c r="BD24" i="22"/>
  <c r="AY24" i="22"/>
  <c r="AX28" i="22"/>
  <c r="BF28" i="22"/>
  <c r="BC28" i="22"/>
  <c r="BD29" i="22"/>
  <c r="AY29" i="22"/>
  <c r="BI29" i="22"/>
  <c r="AX27" i="23"/>
  <c r="AY26" i="23"/>
  <c r="BE26" i="23"/>
  <c r="BH26" i="23"/>
  <c r="BB27" i="23"/>
  <c r="BH27" i="23"/>
  <c r="AX26" i="23"/>
  <c r="AX36" i="23"/>
  <c r="BC33" i="23"/>
  <c r="BF34" i="23"/>
  <c r="BB35" i="23"/>
  <c r="BD35" i="23"/>
  <c r="AZ33" i="23"/>
  <c r="BC34" i="23"/>
  <c r="AX33" i="23"/>
  <c r="BD36" i="23"/>
  <c r="BI33" i="23"/>
  <c r="AY35" i="23"/>
  <c r="BI36" i="23"/>
  <c r="BA17" i="23"/>
  <c r="I325" i="35" s="1"/>
  <c r="I324" i="35" s="1"/>
  <c r="AX17" i="23"/>
  <c r="BF17" i="23"/>
  <c r="BA37" i="23"/>
  <c r="BD38" i="23"/>
  <c r="BG39" i="23"/>
  <c r="BG44" i="23" s="1"/>
  <c r="BA41" i="23"/>
  <c r="BD42" i="23"/>
  <c r="BB39" i="23"/>
  <c r="AX37" i="23"/>
  <c r="BJ37" i="23" s="1"/>
  <c r="BE38" i="23"/>
  <c r="BH39" i="23"/>
  <c r="AX41" i="23"/>
  <c r="BE42" i="23"/>
  <c r="BJ42" i="23" s="1"/>
  <c r="AZ22" i="24"/>
  <c r="BC22" i="24"/>
  <c r="AY23" i="24"/>
  <c r="BI23" i="24"/>
  <c r="BF23" i="24"/>
  <c r="BB32" i="34"/>
  <c r="BI32" i="34"/>
  <c r="BH32" i="34"/>
  <c r="BJ32" i="34" s="1"/>
  <c r="BC32" i="34"/>
  <c r="BC25" i="15"/>
  <c r="BD25" i="15"/>
  <c r="AY28" i="15"/>
  <c r="BD27" i="15"/>
  <c r="BH27" i="15"/>
  <c r="BE28" i="15"/>
  <c r="BB26" i="15"/>
  <c r="BE27" i="15"/>
  <c r="AY27" i="15"/>
  <c r="AY26" i="15"/>
  <c r="BB28" i="15"/>
  <c r="BH28" i="15"/>
  <c r="AY42" i="17"/>
  <c r="BC41" i="17"/>
  <c r="AH50" i="22"/>
  <c r="AC16" i="21"/>
  <c r="AL44" i="22"/>
  <c r="AJ14" i="23"/>
  <c r="AX43" i="17"/>
  <c r="AM50" i="22"/>
  <c r="AL43" i="22"/>
  <c r="AL45" i="22"/>
  <c r="J302" i="35"/>
  <c r="H292" i="35"/>
  <c r="H291" i="35" s="1"/>
  <c r="L643" i="35"/>
  <c r="F469" i="35"/>
  <c r="F468" i="35" s="1"/>
  <c r="Q209" i="35"/>
  <c r="Q208" i="35" s="1"/>
  <c r="L37" i="35"/>
  <c r="L36" i="35" s="1"/>
  <c r="P555" i="35"/>
  <c r="P554" i="35" s="1"/>
  <c r="P552" i="35"/>
  <c r="P551" i="35" s="1"/>
  <c r="F643" i="35"/>
  <c r="P637" i="35"/>
  <c r="P636" i="35" s="1"/>
  <c r="P469" i="35"/>
  <c r="P468" i="35" s="1"/>
  <c r="Q37" i="35"/>
  <c r="Q36" i="35" s="1"/>
  <c r="G120" i="35"/>
  <c r="G119" i="35" s="1"/>
  <c r="L292" i="35"/>
  <c r="L291" i="35" s="1"/>
  <c r="AE514" i="58" s="1"/>
  <c r="Q637" i="35"/>
  <c r="Q636" i="35" s="1"/>
  <c r="Q292" i="35"/>
  <c r="H123" i="35"/>
  <c r="H122" i="35" s="1"/>
  <c r="Q472" i="35"/>
  <c r="Q471" i="35" s="1"/>
  <c r="G643" i="35"/>
  <c r="G642" i="35" s="1"/>
  <c r="G380" i="35"/>
  <c r="G379" i="35" s="1"/>
  <c r="G292" i="35"/>
  <c r="G291" i="35" s="1"/>
  <c r="Q123" i="35"/>
  <c r="Q122" i="35" s="1"/>
  <c r="G126" i="35"/>
  <c r="G125" i="35" s="1"/>
  <c r="R380" i="58" s="1"/>
  <c r="G295" i="35"/>
  <c r="G294" i="35" s="1"/>
  <c r="Q126" i="35"/>
  <c r="Q125" i="35" s="1"/>
  <c r="L120" i="35"/>
  <c r="L119" i="35" s="1"/>
  <c r="L40" i="35"/>
  <c r="L39" i="35" s="1"/>
  <c r="Q380" i="35"/>
  <c r="Q379" i="35" s="1"/>
  <c r="G466" i="35"/>
  <c r="G465" i="35" s="1"/>
  <c r="L552" i="35"/>
  <c r="L551" i="35" s="1"/>
  <c r="R472" i="35"/>
  <c r="R471" i="35" s="1"/>
  <c r="F292" i="35"/>
  <c r="F291" i="35" s="1"/>
  <c r="K209" i="35"/>
  <c r="K208" i="35" s="1"/>
  <c r="F209" i="35"/>
  <c r="F208" i="35" s="1"/>
  <c r="P126" i="35"/>
  <c r="P125" i="35" s="1"/>
  <c r="F380" i="35"/>
  <c r="F379" i="35" s="1"/>
  <c r="F472" i="35"/>
  <c r="F471" i="35" s="1"/>
  <c r="P466" i="35"/>
  <c r="P465" i="35" s="1"/>
  <c r="K466" i="35"/>
  <c r="K465" i="35" s="1"/>
  <c r="K206" i="35"/>
  <c r="K205" i="35" s="1"/>
  <c r="K555" i="35"/>
  <c r="K554" i="35" s="1"/>
  <c r="K469" i="35"/>
  <c r="K468" i="35" s="1"/>
  <c r="BG21" i="17"/>
  <c r="L132" i="35"/>
  <c r="L131" i="35" s="1"/>
  <c r="G46" i="35"/>
  <c r="G45" i="35" s="1"/>
  <c r="P304" i="35"/>
  <c r="P303" i="35" s="1"/>
  <c r="Q478" i="35"/>
  <c r="Q477" i="35" s="1"/>
  <c r="Q649" i="35"/>
  <c r="G392" i="35"/>
  <c r="P218" i="35"/>
  <c r="P217" i="35" s="1"/>
  <c r="F478" i="35"/>
  <c r="F477" i="35" s="1"/>
  <c r="P132" i="35"/>
  <c r="P564" i="35"/>
  <c r="P563" i="35" s="1"/>
  <c r="F132" i="35"/>
  <c r="AX21" i="17"/>
  <c r="P392" i="35"/>
  <c r="P391" i="35" s="1"/>
  <c r="K46" i="35"/>
  <c r="K45" i="35" s="1"/>
  <c r="F649" i="35"/>
  <c r="F648" i="35" s="1"/>
  <c r="K478" i="35"/>
  <c r="K477" i="35" s="1"/>
  <c r="K304" i="35"/>
  <c r="K303" i="35" s="1"/>
  <c r="K218" i="35"/>
  <c r="K217" i="35" s="1"/>
  <c r="F564" i="35"/>
  <c r="F563" i="35" s="1"/>
  <c r="G40" i="35"/>
  <c r="G39" i="35" s="1"/>
  <c r="R493" i="58" s="1"/>
  <c r="Q386" i="35"/>
  <c r="G383" i="35"/>
  <c r="G382" i="35" s="1"/>
  <c r="G469" i="35"/>
  <c r="G468" i="35" s="1"/>
  <c r="J467" i="35"/>
  <c r="H643" i="35"/>
  <c r="H642" i="35" s="1"/>
  <c r="G209" i="35"/>
  <c r="G208" i="35" s="1"/>
  <c r="H469" i="35"/>
  <c r="H468" i="35" s="1"/>
  <c r="L469" i="35"/>
  <c r="L468" i="35" s="1"/>
  <c r="G555" i="35"/>
  <c r="J562" i="35"/>
  <c r="T647" i="35"/>
  <c r="O647" i="35"/>
  <c r="J635" i="35"/>
  <c r="J632" i="35"/>
  <c r="O562" i="35"/>
  <c r="O550" i="35"/>
  <c r="O547" i="35"/>
  <c r="J461" i="35"/>
  <c r="O390" i="35"/>
  <c r="J378" i="35"/>
  <c r="O375" i="35"/>
  <c r="T302" i="35"/>
  <c r="T290" i="35"/>
  <c r="T287" i="35"/>
  <c r="O201" i="35"/>
  <c r="O44" i="35"/>
  <c r="O32" i="35"/>
  <c r="T29" i="35"/>
  <c r="J29" i="35"/>
  <c r="O115" i="35"/>
  <c r="J547" i="35"/>
  <c r="J476" i="35"/>
  <c r="J290" i="35"/>
  <c r="J647" i="35"/>
  <c r="O635" i="35"/>
  <c r="O632" i="35"/>
  <c r="T562" i="35"/>
  <c r="T547" i="35"/>
  <c r="T476" i="35"/>
  <c r="T464" i="35"/>
  <c r="T461" i="35"/>
  <c r="T390" i="35"/>
  <c r="T375" i="35"/>
  <c r="O290" i="35"/>
  <c r="O287" i="35"/>
  <c r="T216" i="35"/>
  <c r="T204" i="35"/>
  <c r="T201" i="35"/>
  <c r="U201" i="35" s="1"/>
  <c r="J201" i="35"/>
  <c r="T44" i="35"/>
  <c r="J44" i="35"/>
  <c r="J32" i="35"/>
  <c r="T130" i="35"/>
  <c r="O130" i="35"/>
  <c r="J130" i="35"/>
  <c r="O118" i="35"/>
  <c r="T115" i="35"/>
  <c r="AT225" i="58"/>
  <c r="T223" i="58"/>
  <c r="AV236" i="58"/>
  <c r="AV216" i="58"/>
  <c r="AE233" i="58"/>
  <c r="AI196" i="58"/>
  <c r="AV197" i="58"/>
  <c r="AV265" i="58"/>
  <c r="AE265" i="58"/>
  <c r="J550" i="35"/>
  <c r="O476" i="35"/>
  <c r="J390" i="35"/>
  <c r="O302" i="35"/>
  <c r="U302" i="35" s="1"/>
  <c r="O216" i="35"/>
  <c r="J216" i="35"/>
  <c r="J213" i="35"/>
  <c r="J133" i="35"/>
  <c r="Q304" i="35"/>
  <c r="L649" i="35"/>
  <c r="L648" i="35" s="1"/>
  <c r="S46" i="35"/>
  <c r="S45" i="35" s="1"/>
  <c r="I46" i="35"/>
  <c r="I45" i="35" s="1"/>
  <c r="K132" i="35"/>
  <c r="F46" i="35"/>
  <c r="F45" i="35" s="1"/>
  <c r="F218" i="35"/>
  <c r="F217" i="35" s="1"/>
  <c r="K649" i="35"/>
  <c r="K648" i="35" s="1"/>
  <c r="F392" i="35"/>
  <c r="BB21" i="17"/>
  <c r="N218" i="35"/>
  <c r="N217" i="35" s="1"/>
  <c r="S478" i="35"/>
  <c r="S477" i="35" s="1"/>
  <c r="N132" i="35"/>
  <c r="N131" i="35" s="1"/>
  <c r="S392" i="35"/>
  <c r="S391" i="35" s="1"/>
  <c r="S564" i="35"/>
  <c r="S563" i="35" s="1"/>
  <c r="N304" i="35"/>
  <c r="N303" i="35" s="1"/>
  <c r="S218" i="35"/>
  <c r="S217" i="35" s="1"/>
  <c r="I218" i="35"/>
  <c r="I217" i="35" s="1"/>
  <c r="N478" i="35"/>
  <c r="N477" i="35" s="1"/>
  <c r="N649" i="35"/>
  <c r="N648" i="35" s="1"/>
  <c r="S132" i="35"/>
  <c r="S131" i="35" s="1"/>
  <c r="I392" i="35"/>
  <c r="I391" i="35" s="1"/>
  <c r="I649" i="35"/>
  <c r="I648" i="35" s="1"/>
  <c r="I564" i="35"/>
  <c r="I563" i="35" s="1"/>
  <c r="J479" i="35"/>
  <c r="J305" i="35"/>
  <c r="J47" i="35"/>
  <c r="T133" i="35"/>
  <c r="O133" i="35"/>
  <c r="H132" i="35"/>
  <c r="H131" i="35" s="1"/>
  <c r="G218" i="35"/>
  <c r="G217" i="35" s="1"/>
  <c r="Q46" i="35"/>
  <c r="Q45" i="35" s="1"/>
  <c r="L218" i="35"/>
  <c r="L217" i="35" s="1"/>
  <c r="M392" i="35"/>
  <c r="M391" i="35" s="1"/>
  <c r="AX48" i="17"/>
  <c r="H392" i="35"/>
  <c r="H391" i="35" s="1"/>
  <c r="G649" i="35"/>
  <c r="G648" i="35" s="1"/>
  <c r="G478" i="35"/>
  <c r="G477" i="35" s="1"/>
  <c r="N46" i="35"/>
  <c r="N45" i="35" s="1"/>
  <c r="J650" i="35"/>
  <c r="T219" i="35"/>
  <c r="BA47" i="17"/>
  <c r="BD46" i="17"/>
  <c r="AY46" i="17"/>
  <c r="BC46" i="17"/>
  <c r="BD47" i="17"/>
  <c r="BE46" i="17"/>
  <c r="BB46" i="17"/>
  <c r="AX46" i="17"/>
  <c r="AY48" i="17"/>
  <c r="AZ46" i="17"/>
  <c r="AX47" i="17"/>
  <c r="BF47" i="17"/>
  <c r="J565" i="35"/>
  <c r="T479" i="35"/>
  <c r="O479" i="35"/>
  <c r="J393" i="35"/>
  <c r="T305" i="35"/>
  <c r="O305" i="35"/>
  <c r="J219" i="35"/>
  <c r="T47" i="35"/>
  <c r="O47" i="35"/>
  <c r="L564" i="35"/>
  <c r="L563" i="35" s="1"/>
  <c r="M132" i="35"/>
  <c r="M131" i="35" s="1"/>
  <c r="G132" i="35"/>
  <c r="G131" i="35" s="1"/>
  <c r="R564" i="35"/>
  <c r="R563" i="35" s="1"/>
  <c r="L392" i="35"/>
  <c r="L391" i="35" s="1"/>
  <c r="L478" i="35"/>
  <c r="L477" i="35" s="1"/>
  <c r="Q564" i="35"/>
  <c r="Q132" i="35"/>
  <c r="Q131" i="35" s="1"/>
  <c r="R218" i="35"/>
  <c r="R217" i="35" s="1"/>
  <c r="L304" i="35"/>
  <c r="L303" i="35" s="1"/>
  <c r="Q218" i="35"/>
  <c r="Q217" i="35" s="1"/>
  <c r="BG46" i="17"/>
  <c r="AY47" i="17"/>
  <c r="BH48" i="17"/>
  <c r="BC48" i="17"/>
  <c r="T650" i="35"/>
  <c r="O650" i="35"/>
  <c r="T565" i="35"/>
  <c r="O565" i="35"/>
  <c r="T393" i="35"/>
  <c r="O393" i="35"/>
  <c r="O219" i="35"/>
  <c r="I478" i="35"/>
  <c r="I477" i="35" s="1"/>
  <c r="BA46" i="17"/>
  <c r="BF46" i="17"/>
  <c r="BI47" i="17"/>
  <c r="AZ47" i="17"/>
  <c r="BE48" i="17"/>
  <c r="BH46" i="17"/>
  <c r="BI46" i="17"/>
  <c r="BG48" i="17"/>
  <c r="BI48" i="17"/>
  <c r="BC47" i="17"/>
  <c r="BD48" i="17"/>
  <c r="BB47" i="17"/>
  <c r="AZ48" i="17"/>
  <c r="BF48" i="17"/>
  <c r="BA48" i="17"/>
  <c r="BH47" i="17"/>
  <c r="BG47" i="17"/>
  <c r="BB48" i="17"/>
  <c r="BE47" i="17"/>
  <c r="M649" i="35"/>
  <c r="M648" i="35" s="1"/>
  <c r="R46" i="35"/>
  <c r="R45" i="35" s="1"/>
  <c r="R649" i="35"/>
  <c r="R648" i="35" s="1"/>
  <c r="M478" i="35"/>
  <c r="M477" i="35" s="1"/>
  <c r="H649" i="35"/>
  <c r="H648" i="35" s="1"/>
  <c r="H46" i="35"/>
  <c r="H45" i="35" s="1"/>
  <c r="M304" i="35"/>
  <c r="M303" i="35" s="1"/>
  <c r="H564" i="35"/>
  <c r="H563" i="35" s="1"/>
  <c r="H218" i="35"/>
  <c r="H217" i="35" s="1"/>
  <c r="I304" i="35"/>
  <c r="I303" i="35" s="1"/>
  <c r="M564" i="35"/>
  <c r="M563" i="35" s="1"/>
  <c r="M218" i="35"/>
  <c r="M217" i="35" s="1"/>
  <c r="R478" i="35"/>
  <c r="R477" i="35" s="1"/>
  <c r="R132" i="35"/>
  <c r="R131" i="35" s="1"/>
  <c r="N564" i="35"/>
  <c r="N563" i="35" s="1"/>
  <c r="R392" i="35"/>
  <c r="R391" i="35" s="1"/>
  <c r="H478" i="35"/>
  <c r="N301" i="35"/>
  <c r="I215" i="35"/>
  <c r="S301" i="35"/>
  <c r="S300" i="35" s="1"/>
  <c r="S646" i="35"/>
  <c r="N646" i="35"/>
  <c r="N645" i="35" s="1"/>
  <c r="T35" i="35"/>
  <c r="M123" i="35"/>
  <c r="M122" i="35" s="1"/>
  <c r="M37" i="35"/>
  <c r="M36" i="35" s="1"/>
  <c r="O36" i="35" s="1"/>
  <c r="R209" i="35"/>
  <c r="R208" i="35" s="1"/>
  <c r="S472" i="35"/>
  <c r="S471" i="35" s="1"/>
  <c r="M386" i="35"/>
  <c r="M385" i="35" s="1"/>
  <c r="M380" i="35"/>
  <c r="M379" i="35" s="1"/>
  <c r="I472" i="35"/>
  <c r="I471" i="35" s="1"/>
  <c r="R383" i="35"/>
  <c r="R382" i="35" s="1"/>
  <c r="M298" i="35"/>
  <c r="R40" i="35"/>
  <c r="R39" i="35" s="1"/>
  <c r="M126" i="35"/>
  <c r="M125" i="35" s="1"/>
  <c r="M206" i="35"/>
  <c r="M205" i="35" s="1"/>
  <c r="BD21" i="17"/>
  <c r="L555" i="35"/>
  <c r="L554" i="35" s="1"/>
  <c r="J121" i="35"/>
  <c r="K292" i="35"/>
  <c r="K291" i="35" s="1"/>
  <c r="K212" i="35"/>
  <c r="K211" i="35" s="1"/>
  <c r="F206" i="35"/>
  <c r="F37" i="35"/>
  <c r="F36" i="35" s="1"/>
  <c r="P120" i="35"/>
  <c r="P119" i="35" s="1"/>
  <c r="F298" i="35"/>
  <c r="F297" i="35" s="1"/>
  <c r="P295" i="35"/>
  <c r="P294" i="35" s="1"/>
  <c r="P206" i="35"/>
  <c r="P205" i="35" s="1"/>
  <c r="K380" i="35"/>
  <c r="K552" i="35"/>
  <c r="K551" i="35" s="1"/>
  <c r="K640" i="35"/>
  <c r="P640" i="35"/>
  <c r="P639" i="35" s="1"/>
  <c r="T644" i="35"/>
  <c r="O644" i="35"/>
  <c r="T638" i="35"/>
  <c r="O638" i="35"/>
  <c r="T553" i="35"/>
  <c r="T473" i="35"/>
  <c r="J473" i="35"/>
  <c r="T467" i="35"/>
  <c r="O467" i="35"/>
  <c r="T387" i="35"/>
  <c r="J299" i="35"/>
  <c r="O293" i="35"/>
  <c r="J293" i="35"/>
  <c r="O41" i="35"/>
  <c r="O35" i="35"/>
  <c r="T127" i="35"/>
  <c r="Q555" i="35"/>
  <c r="Q554" i="35" s="1"/>
  <c r="G640" i="35"/>
  <c r="G639" i="35" s="1"/>
  <c r="J638" i="35"/>
  <c r="I126" i="35"/>
  <c r="I125" i="35" s="1"/>
  <c r="S206" i="35"/>
  <c r="S205" i="35" s="1"/>
  <c r="S386" i="35"/>
  <c r="S385" i="35" s="1"/>
  <c r="N558" i="35"/>
  <c r="N557" i="35" s="1"/>
  <c r="I386" i="35"/>
  <c r="I385" i="35" s="1"/>
  <c r="N555" i="35"/>
  <c r="S555" i="35"/>
  <c r="O387" i="35"/>
  <c r="T299" i="35"/>
  <c r="T293" i="35"/>
  <c r="O213" i="35"/>
  <c r="O127" i="35"/>
  <c r="N126" i="35"/>
  <c r="N125" i="35" s="1"/>
  <c r="S123" i="35"/>
  <c r="S122" i="35" s="1"/>
  <c r="N292" i="35"/>
  <c r="N291" i="35" s="1"/>
  <c r="I295" i="35"/>
  <c r="I294" i="35" s="1"/>
  <c r="N209" i="35"/>
  <c r="N208" i="35" s="1"/>
  <c r="N295" i="35"/>
  <c r="N294" i="35" s="1"/>
  <c r="N212" i="35"/>
  <c r="I555" i="35"/>
  <c r="I554" i="35" s="1"/>
  <c r="O553" i="35"/>
  <c r="S212" i="35"/>
  <c r="S211" i="35" s="1"/>
  <c r="N123" i="35"/>
  <c r="N122" i="35" s="1"/>
  <c r="S383" i="35"/>
  <c r="S382" i="35" s="1"/>
  <c r="S120" i="35"/>
  <c r="S119" i="35" s="1"/>
  <c r="S126" i="35"/>
  <c r="S125" i="35" s="1"/>
  <c r="N472" i="35"/>
  <c r="N471" i="35" s="1"/>
  <c r="I643" i="35"/>
  <c r="I642" i="35" s="1"/>
  <c r="S640" i="35"/>
  <c r="S639" i="35" s="1"/>
  <c r="M292" i="35"/>
  <c r="M291" i="35" s="1"/>
  <c r="I298" i="35"/>
  <c r="I297" i="35" s="1"/>
  <c r="I292" i="35"/>
  <c r="I291" i="35" s="1"/>
  <c r="R295" i="35"/>
  <c r="R294" i="35" s="1"/>
  <c r="R298" i="35"/>
  <c r="R297" i="35" s="1"/>
  <c r="M40" i="35"/>
  <c r="S643" i="35"/>
  <c r="S642" i="35" s="1"/>
  <c r="S298" i="35"/>
  <c r="P37" i="35"/>
  <c r="P36" i="35" s="1"/>
  <c r="R206" i="35"/>
  <c r="R205" i="35" s="1"/>
  <c r="P40" i="35"/>
  <c r="P39" i="35" s="1"/>
  <c r="F386" i="35"/>
  <c r="R643" i="35"/>
  <c r="R642" i="35" s="1"/>
  <c r="S37" i="35"/>
  <c r="S36" i="35" s="1"/>
  <c r="P209" i="35"/>
  <c r="P208" i="35" s="1"/>
  <c r="H34" i="35"/>
  <c r="K472" i="35"/>
  <c r="K471" i="35" s="1"/>
  <c r="I552" i="35"/>
  <c r="M558" i="35"/>
  <c r="M557" i="35" s="1"/>
  <c r="H206" i="35"/>
  <c r="H205" i="35" s="1"/>
  <c r="S380" i="35"/>
  <c r="S379" i="35" s="1"/>
  <c r="P292" i="35"/>
  <c r="P291" i="35" s="1"/>
  <c r="N298" i="35"/>
  <c r="N297" i="35" s="1"/>
  <c r="I558" i="35"/>
  <c r="I557" i="35" s="1"/>
  <c r="N643" i="35"/>
  <c r="N642" i="35" s="1"/>
  <c r="P558" i="35"/>
  <c r="P557" i="35" s="1"/>
  <c r="F640" i="35"/>
  <c r="F639" i="35" s="1"/>
  <c r="F555" i="35"/>
  <c r="K383" i="35"/>
  <c r="K382" i="35" s="1"/>
  <c r="M469" i="35"/>
  <c r="N383" i="35"/>
  <c r="N382" i="35" s="1"/>
  <c r="AI319" i="58" s="1"/>
  <c r="N640" i="35"/>
  <c r="N639" i="35" s="1"/>
  <c r="M120" i="35"/>
  <c r="M119" i="35" s="1"/>
  <c r="I40" i="35"/>
  <c r="R126" i="35"/>
  <c r="R125" i="35" s="1"/>
  <c r="M209" i="35"/>
  <c r="M208" i="35" s="1"/>
  <c r="M212" i="35"/>
  <c r="M211" i="35" s="1"/>
  <c r="S558" i="35"/>
  <c r="S557" i="35" s="1"/>
  <c r="R34" i="35"/>
  <c r="R33" i="35" s="1"/>
  <c r="M552" i="35"/>
  <c r="R386" i="35"/>
  <c r="R385" i="35" s="1"/>
  <c r="N40" i="35"/>
  <c r="N39" i="35" s="1"/>
  <c r="S295" i="35"/>
  <c r="S294" i="35" s="1"/>
  <c r="S209" i="35"/>
  <c r="S208" i="35" s="1"/>
  <c r="R466" i="35"/>
  <c r="R465" i="35" s="1"/>
  <c r="M472" i="35"/>
  <c r="M471" i="35" s="1"/>
  <c r="H120" i="35"/>
  <c r="H119" i="35" s="1"/>
  <c r="H637" i="35"/>
  <c r="M555" i="35"/>
  <c r="M554" i="35" s="1"/>
  <c r="AZ21" i="17"/>
  <c r="N469" i="35"/>
  <c r="N468" i="35" s="1"/>
  <c r="H640" i="35"/>
  <c r="H639" i="35" s="1"/>
  <c r="T112" i="35"/>
  <c r="T181" i="58"/>
  <c r="R210" i="58"/>
  <c r="AP174" i="58"/>
  <c r="J375" i="35"/>
  <c r="O204" i="35"/>
  <c r="O29" i="35"/>
  <c r="AV187" i="58"/>
  <c r="V261" i="58"/>
  <c r="AT249" i="58"/>
  <c r="T632" i="35"/>
  <c r="J464" i="35"/>
  <c r="AE191" i="58"/>
  <c r="R242" i="58"/>
  <c r="T635" i="35"/>
  <c r="T550" i="35"/>
  <c r="O464" i="35"/>
  <c r="O461" i="35"/>
  <c r="T378" i="35"/>
  <c r="O378" i="35"/>
  <c r="J287" i="35"/>
  <c r="J204" i="35"/>
  <c r="T118" i="35"/>
  <c r="J115" i="35"/>
  <c r="BH41" i="17"/>
  <c r="BB42" i="17"/>
  <c r="BH43" i="17"/>
  <c r="BH42" i="17"/>
  <c r="BD42" i="17"/>
  <c r="AY43" i="17"/>
  <c r="BA43" i="17"/>
  <c r="BD41" i="17"/>
  <c r="BG42" i="17"/>
  <c r="BG43" i="17"/>
  <c r="BI43" i="17"/>
  <c r="AY41" i="17"/>
  <c r="AZ41" i="17"/>
  <c r="AG175" i="58"/>
  <c r="T32" i="35"/>
  <c r="P549" i="35"/>
  <c r="P548" i="35" s="1"/>
  <c r="P203" i="35"/>
  <c r="P202" i="35" s="1"/>
  <c r="P31" i="35"/>
  <c r="P30" i="35" s="1"/>
  <c r="K377" i="35"/>
  <c r="K376" i="35" s="1"/>
  <c r="K203" i="35"/>
  <c r="K202" i="35" s="1"/>
  <c r="K117" i="35"/>
  <c r="K116" i="35" s="1"/>
  <c r="K634" i="35"/>
  <c r="K633" i="35" s="1"/>
  <c r="K463" i="35"/>
  <c r="K462" i="35" s="1"/>
  <c r="F463" i="35"/>
  <c r="F462" i="35" s="1"/>
  <c r="F203" i="35"/>
  <c r="F202" i="35" s="1"/>
  <c r="F377" i="35"/>
  <c r="F376" i="35" s="1"/>
  <c r="F289" i="35"/>
  <c r="F634" i="35"/>
  <c r="F633" i="35" s="1"/>
  <c r="P114" i="35"/>
  <c r="P113" i="35" s="1"/>
  <c r="AP241" i="58" s="1"/>
  <c r="P631" i="35"/>
  <c r="P630" i="35" s="1"/>
  <c r="P200" i="35"/>
  <c r="T200" i="35" s="1"/>
  <c r="P374" i="35"/>
  <c r="P373" i="35" s="1"/>
  <c r="AP193" i="58" s="1"/>
  <c r="P546" i="35"/>
  <c r="P545" i="35" s="1"/>
  <c r="P286" i="35"/>
  <c r="P285" i="35" s="1"/>
  <c r="P28" i="35"/>
  <c r="P27" i="35" s="1"/>
  <c r="K286" i="35"/>
  <c r="K285" i="35" s="1"/>
  <c r="K631" i="35"/>
  <c r="K630" i="35" s="1"/>
  <c r="K546" i="35"/>
  <c r="K28" i="35"/>
  <c r="K27" i="35" s="1"/>
  <c r="AC259" i="58" s="1"/>
  <c r="K374" i="35"/>
  <c r="K373" i="35" s="1"/>
  <c r="K460" i="35"/>
  <c r="K459" i="35" s="1"/>
  <c r="F114" i="35"/>
  <c r="F113" i="35" s="1"/>
  <c r="P241" i="58" s="1"/>
  <c r="F546" i="35"/>
  <c r="F545" i="35" s="1"/>
  <c r="L286" i="35"/>
  <c r="L285" i="35" s="1"/>
  <c r="Q289" i="35"/>
  <c r="I114" i="35"/>
  <c r="I113" i="35" s="1"/>
  <c r="V250" i="58" s="1"/>
  <c r="G203" i="35"/>
  <c r="G202" i="35" s="1"/>
  <c r="S549" i="35"/>
  <c r="S548" i="35" s="1"/>
  <c r="S31" i="35"/>
  <c r="S30" i="35" s="1"/>
  <c r="L377" i="35"/>
  <c r="L376" i="35" s="1"/>
  <c r="AE232" i="58" s="1"/>
  <c r="N31" i="35"/>
  <c r="O31" i="35" s="1"/>
  <c r="S286" i="35"/>
  <c r="S285" i="35" s="1"/>
  <c r="AV186" i="58" s="1"/>
  <c r="G546" i="35"/>
  <c r="G545" i="35" s="1"/>
  <c r="I286" i="35"/>
  <c r="I285" i="35" s="1"/>
  <c r="V274" i="58" s="1"/>
  <c r="G289" i="35"/>
  <c r="G288" i="35" s="1"/>
  <c r="R196" i="58" s="1"/>
  <c r="N374" i="35"/>
  <c r="N373" i="35" s="1"/>
  <c r="I463" i="35"/>
  <c r="I462" i="35" s="1"/>
  <c r="V184" i="58" s="1"/>
  <c r="N117" i="35"/>
  <c r="N116" i="35" s="1"/>
  <c r="AI182" i="58" s="1"/>
  <c r="Q460" i="35"/>
  <c r="Q459" i="35" s="1"/>
  <c r="AR184" i="58" s="1"/>
  <c r="G634" i="35"/>
  <c r="G633" i="35" s="1"/>
  <c r="S546" i="35"/>
  <c r="S545" i="35" s="1"/>
  <c r="I549" i="35"/>
  <c r="I548" i="35" s="1"/>
  <c r="I634" i="35"/>
  <c r="I633" i="35" s="1"/>
  <c r="V226" i="58" s="1"/>
  <c r="N549" i="35"/>
  <c r="N548" i="35" s="1"/>
  <c r="O548" i="35" s="1"/>
  <c r="N463" i="35"/>
  <c r="N462" i="35" s="1"/>
  <c r="AI262" i="58" s="1"/>
  <c r="I203" i="35"/>
  <c r="I202" i="35" s="1"/>
  <c r="V214" i="58" s="1"/>
  <c r="N631" i="35"/>
  <c r="N630" i="35" s="1"/>
  <c r="AI275" i="58" s="1"/>
  <c r="AZ42" i="17"/>
  <c r="BC42" i="17"/>
  <c r="BE41" i="17"/>
  <c r="BE42" i="17"/>
  <c r="BD43" i="17"/>
  <c r="BE43" i="17"/>
  <c r="BA42" i="17"/>
  <c r="AZ43" i="17"/>
  <c r="AB16" i="21"/>
  <c r="BA25" i="21"/>
  <c r="J284" i="35"/>
  <c r="BG26" i="21"/>
  <c r="AZ26" i="21"/>
  <c r="AX25" i="21"/>
  <c r="AW23" i="21"/>
  <c r="T544" i="35"/>
  <c r="AW18" i="21"/>
  <c r="AW14" i="21" s="1"/>
  <c r="F25" i="35" s="1"/>
  <c r="F24" i="35" s="1"/>
  <c r="BF24" i="21"/>
  <c r="BB26" i="21"/>
  <c r="BE27" i="21"/>
  <c r="BG27" i="21"/>
  <c r="BA18" i="21"/>
  <c r="BA14" i="21" s="1"/>
  <c r="K111" i="35" s="1"/>
  <c r="K110" i="35" s="1"/>
  <c r="BC24" i="21"/>
  <c r="BH23" i="21"/>
  <c r="BH26" i="21"/>
  <c r="BC18" i="21"/>
  <c r="BC14" i="21" s="1"/>
  <c r="M457" i="35" s="1"/>
  <c r="M456" i="35" s="1"/>
  <c r="BD27" i="21"/>
  <c r="AX26" i="21"/>
  <c r="AZ23" i="21"/>
  <c r="BF25" i="21"/>
  <c r="BC23" i="21"/>
  <c r="BB27" i="21"/>
  <c r="AX27" i="21"/>
  <c r="J629" i="35"/>
  <c r="J372" i="35"/>
  <c r="J112" i="35"/>
  <c r="BB23" i="21"/>
  <c r="AZ18" i="21"/>
  <c r="AZ14" i="21" s="1"/>
  <c r="I457" i="35" s="1"/>
  <c r="I456" i="35" s="1"/>
  <c r="AW24" i="21"/>
  <c r="AY26" i="21"/>
  <c r="BG25" i="21"/>
  <c r="BF26" i="21"/>
  <c r="J544" i="35"/>
  <c r="T284" i="35"/>
  <c r="T198" i="35"/>
  <c r="O198" i="35"/>
  <c r="J198" i="35"/>
  <c r="O26" i="35"/>
  <c r="O112" i="35"/>
  <c r="J458" i="35"/>
  <c r="BF23" i="21"/>
  <c r="T458" i="35"/>
  <c r="O458" i="35"/>
  <c r="T629" i="35"/>
  <c r="O629" i="35"/>
  <c r="T372" i="35"/>
  <c r="O372" i="35"/>
  <c r="BH25" i="21"/>
  <c r="AY24" i="21"/>
  <c r="BE24" i="21"/>
  <c r="AZ24" i="21"/>
  <c r="AZ25" i="21"/>
  <c r="BA27" i="21"/>
  <c r="BE26" i="21"/>
  <c r="BC27" i="21"/>
  <c r="O544" i="35"/>
  <c r="T26" i="35"/>
  <c r="O284" i="35"/>
  <c r="J26" i="35"/>
  <c r="AX18" i="21"/>
  <c r="AX14" i="21" s="1"/>
  <c r="G197" i="35" s="1"/>
  <c r="G196" i="35" s="1"/>
  <c r="BF18" i="21"/>
  <c r="BF14" i="21" s="1"/>
  <c r="Q543" i="35" s="1"/>
  <c r="Q542" i="35" s="1"/>
  <c r="AY18" i="21"/>
  <c r="AY14" i="21" s="1"/>
  <c r="H197" i="35" s="1"/>
  <c r="H196" i="35" s="1"/>
  <c r="BD18" i="21"/>
  <c r="BD14" i="21" s="1"/>
  <c r="N25" i="35" s="1"/>
  <c r="N24" i="35" s="1"/>
  <c r="AW25" i="21"/>
  <c r="BG23" i="21"/>
  <c r="BH27" i="21"/>
  <c r="BD23" i="21"/>
  <c r="BA26" i="21"/>
  <c r="AX24" i="21"/>
  <c r="BB24" i="21"/>
  <c r="AY23" i="21"/>
  <c r="AY25" i="21"/>
  <c r="BD25" i="21"/>
  <c r="AZ27" i="21"/>
  <c r="AX23" i="21"/>
  <c r="M628" i="35"/>
  <c r="M627" i="35" s="1"/>
  <c r="BH18" i="21"/>
  <c r="BH14" i="21" s="1"/>
  <c r="S25" i="35" s="1"/>
  <c r="S24" i="35" s="1"/>
  <c r="BE18" i="21"/>
  <c r="BE14" i="21" s="1"/>
  <c r="P371" i="35" s="1"/>
  <c r="P370" i="35" s="1"/>
  <c r="BB18" i="21"/>
  <c r="BB14" i="21" s="1"/>
  <c r="L543" i="35" s="1"/>
  <c r="L542" i="35" s="1"/>
  <c r="BG18" i="21"/>
  <c r="BG14" i="21" s="1"/>
  <c r="R197" i="35" s="1"/>
  <c r="R196" i="35" s="1"/>
  <c r="BE23" i="21"/>
  <c r="BB25" i="21"/>
  <c r="BC25" i="21"/>
  <c r="AW26" i="21"/>
  <c r="BA23" i="21"/>
  <c r="BC26" i="21"/>
  <c r="BA24" i="21"/>
  <c r="BD24" i="21"/>
  <c r="BH24" i="21"/>
  <c r="BD26" i="21"/>
  <c r="BG24" i="21"/>
  <c r="BF27" i="21"/>
  <c r="AY27" i="21"/>
  <c r="AW27" i="21"/>
  <c r="BE25" i="21"/>
  <c r="AP108" i="58"/>
  <c r="AE59" i="58"/>
  <c r="AT162" i="58"/>
  <c r="U80" i="35"/>
  <c r="AG167" i="58"/>
  <c r="AJ107" i="34"/>
  <c r="AE13" i="24"/>
  <c r="AE67" i="24" s="1"/>
  <c r="V17" i="58"/>
  <c r="AG261" i="58"/>
  <c r="AR76" i="58"/>
  <c r="T39" i="58"/>
  <c r="AT76" i="58"/>
  <c r="P89" i="58"/>
  <c r="AJ55" i="23"/>
  <c r="H13" i="9"/>
  <c r="AJ140" i="34"/>
  <c r="S84" i="85"/>
  <c r="AA13" i="21"/>
  <c r="AB13" i="24"/>
  <c r="AB67" i="24" s="1"/>
  <c r="AJ13" i="15"/>
  <c r="AJ106" i="15" s="1"/>
  <c r="AE177" i="58"/>
  <c r="AT97" i="58"/>
  <c r="AT121" i="58"/>
  <c r="AT105" i="58"/>
  <c r="G67" i="35"/>
  <c r="G66" i="35" s="1"/>
  <c r="G413" i="35"/>
  <c r="G412" i="35" s="1"/>
  <c r="P612" i="35"/>
  <c r="P611" i="35" s="1"/>
  <c r="P526" i="35"/>
  <c r="P525" i="35" s="1"/>
  <c r="P94" i="35"/>
  <c r="P93" i="35" s="1"/>
  <c r="AG111" i="58"/>
  <c r="G670" i="35"/>
  <c r="G669" i="35" s="1"/>
  <c r="AE7" i="58"/>
  <c r="R413" i="35"/>
  <c r="R412" i="35" s="1"/>
  <c r="AV42" i="58"/>
  <c r="R499" i="35"/>
  <c r="R498" i="35" s="1"/>
  <c r="V94" i="58"/>
  <c r="AR108" i="58"/>
  <c r="AR116" i="58"/>
  <c r="AR195" i="58"/>
  <c r="T112" i="58"/>
  <c r="T96" i="58"/>
  <c r="V112" i="58"/>
  <c r="V120" i="58"/>
  <c r="BJ30" i="23"/>
  <c r="R30" i="58"/>
  <c r="R46" i="58"/>
  <c r="AV49" i="58"/>
  <c r="AV33" i="58"/>
  <c r="AC84" i="58"/>
  <c r="AR92" i="58"/>
  <c r="P108" i="58"/>
  <c r="R266" i="35"/>
  <c r="R265" i="35" s="1"/>
  <c r="P27" i="58"/>
  <c r="G266" i="35"/>
  <c r="G265" i="35" s="1"/>
  <c r="P352" i="35"/>
  <c r="P351" i="35" s="1"/>
  <c r="T351" i="35" s="1"/>
  <c r="Q266" i="35"/>
  <c r="Q265" i="35" s="1"/>
  <c r="R38" i="58"/>
  <c r="AG115" i="58"/>
  <c r="G499" i="35"/>
  <c r="G498" i="35" s="1"/>
  <c r="P97" i="58"/>
  <c r="AT59" i="58"/>
  <c r="AI39" i="58"/>
  <c r="AT85" i="58"/>
  <c r="T49" i="58"/>
  <c r="T13" i="58"/>
  <c r="R13" i="58"/>
  <c r="AG121" i="58"/>
  <c r="H346" i="35"/>
  <c r="H345" i="35" s="1"/>
  <c r="T57" i="58" s="1"/>
  <c r="AV76" i="58"/>
  <c r="AG164" i="58"/>
  <c r="AI99" i="58"/>
  <c r="AI107" i="58"/>
  <c r="U53" i="35"/>
  <c r="AG116" i="58"/>
  <c r="AG98" i="58"/>
  <c r="U677" i="35"/>
  <c r="R10" i="58"/>
  <c r="R4" i="58"/>
  <c r="AI79" i="58"/>
  <c r="AI88" i="58"/>
  <c r="T11" i="58"/>
  <c r="T3" i="58"/>
  <c r="R80" i="58"/>
  <c r="AV168" i="58"/>
  <c r="AI119" i="22"/>
  <c r="L67" i="35"/>
  <c r="L66" i="35" s="1"/>
  <c r="L585" i="35"/>
  <c r="L584" i="35" s="1"/>
  <c r="H325" i="35"/>
  <c r="H324" i="35" s="1"/>
  <c r="H239" i="35"/>
  <c r="H238" i="35" s="1"/>
  <c r="H153" i="35"/>
  <c r="H152" i="35" s="1"/>
  <c r="H670" i="35"/>
  <c r="H669" i="35" s="1"/>
  <c r="N413" i="35"/>
  <c r="N412" i="35" s="1"/>
  <c r="N67" i="35"/>
  <c r="N66" i="35" s="1"/>
  <c r="H697" i="35"/>
  <c r="H696" i="35" s="1"/>
  <c r="H94" i="35"/>
  <c r="H93" i="35" s="1"/>
  <c r="AT41" i="58"/>
  <c r="AT25" i="58"/>
  <c r="Y82" i="64"/>
  <c r="AV110" i="58"/>
  <c r="AV94" i="58"/>
  <c r="P37" i="58"/>
  <c r="P21" i="58"/>
  <c r="G352" i="35"/>
  <c r="G351" i="35" s="1"/>
  <c r="P266" i="35"/>
  <c r="P265" i="35" s="1"/>
  <c r="BC44" i="23"/>
  <c r="K190" i="35"/>
  <c r="O191" i="35"/>
  <c r="L697" i="35"/>
  <c r="L696" i="35" s="1"/>
  <c r="L526" i="35"/>
  <c r="L525" i="35" s="1"/>
  <c r="L94" i="35"/>
  <c r="AE37" i="58"/>
  <c r="AE21" i="58"/>
  <c r="AE45" i="58"/>
  <c r="AE103" i="58"/>
  <c r="R40" i="58"/>
  <c r="AR98" i="58"/>
  <c r="L266" i="35"/>
  <c r="L265" i="35" s="1"/>
  <c r="P4" i="58"/>
  <c r="F352" i="35"/>
  <c r="F351" i="35" s="1"/>
  <c r="G180" i="35"/>
  <c r="G179" i="35" s="1"/>
  <c r="J179" i="35" s="1"/>
  <c r="AP105" i="58"/>
  <c r="P180" i="35"/>
  <c r="P179" i="35" s="1"/>
  <c r="AR22" i="58"/>
  <c r="Q352" i="35"/>
  <c r="Q351" i="35" s="1"/>
  <c r="AR183" i="58"/>
  <c r="H499" i="35"/>
  <c r="H498" i="35" s="1"/>
  <c r="G325" i="35"/>
  <c r="G324" i="35" s="1"/>
  <c r="P121" i="58"/>
  <c r="L239" i="35"/>
  <c r="L238" i="35" s="1"/>
  <c r="AT81" i="58"/>
  <c r="R107" i="58"/>
  <c r="AV77" i="58"/>
  <c r="AV101" i="58"/>
  <c r="T33" i="58"/>
  <c r="AG17" i="58"/>
  <c r="V82" i="58"/>
  <c r="AP6" i="58"/>
  <c r="AV118" i="58"/>
  <c r="AI34" i="58"/>
  <c r="AE94" i="58"/>
  <c r="H606" i="35"/>
  <c r="H605" i="35" s="1"/>
  <c r="G346" i="35"/>
  <c r="G345" i="35" s="1"/>
  <c r="R57" i="58" s="1"/>
  <c r="G88" i="35"/>
  <c r="G87" i="35" s="1"/>
  <c r="R52" i="58" s="1"/>
  <c r="F697" i="35"/>
  <c r="F696" i="35" s="1"/>
  <c r="R164" i="58"/>
  <c r="AR249" i="58"/>
  <c r="V84" i="58"/>
  <c r="F107" i="35"/>
  <c r="P543" i="58" s="1"/>
  <c r="X543" i="58" s="1"/>
  <c r="J108" i="35"/>
  <c r="P210" i="58"/>
  <c r="AG253" i="58"/>
  <c r="O129" i="35"/>
  <c r="U366" i="35"/>
  <c r="P166" i="58"/>
  <c r="AX544" i="58"/>
  <c r="K239" i="35"/>
  <c r="K238" i="35" s="1"/>
  <c r="K325" i="35"/>
  <c r="K324" i="35" s="1"/>
  <c r="K413" i="35"/>
  <c r="G440" i="35"/>
  <c r="G439" i="35" s="1"/>
  <c r="G94" i="35"/>
  <c r="AT37" i="58"/>
  <c r="AT29" i="58"/>
  <c r="R93" i="58"/>
  <c r="R109" i="58"/>
  <c r="R325" i="35"/>
  <c r="R324" i="35" s="1"/>
  <c r="R239" i="35"/>
  <c r="R238" i="35" s="1"/>
  <c r="R670" i="35"/>
  <c r="R669" i="35" s="1"/>
  <c r="AG29" i="58"/>
  <c r="AG37" i="58"/>
  <c r="AG21" i="58"/>
  <c r="AG99" i="58"/>
  <c r="AG107" i="58"/>
  <c r="AT11" i="58"/>
  <c r="AT3" i="58"/>
  <c r="T73" i="58"/>
  <c r="T84" i="58"/>
  <c r="V24" i="58"/>
  <c r="V40" i="58"/>
  <c r="U589" i="35"/>
  <c r="AZ24" i="24"/>
  <c r="M407" i="35"/>
  <c r="M406" i="35" s="1"/>
  <c r="M664" i="35"/>
  <c r="M663" i="35" s="1"/>
  <c r="AJ72" i="17"/>
  <c r="AJ101" i="34"/>
  <c r="AJ73" i="34"/>
  <c r="AE12" i="21"/>
  <c r="C12" i="21"/>
  <c r="B3" i="24"/>
  <c r="A10" i="24"/>
  <c r="BD44" i="17"/>
  <c r="J127" i="35"/>
  <c r="T121" i="35"/>
  <c r="O121" i="35"/>
  <c r="R79" i="58"/>
  <c r="T163" i="58"/>
  <c r="U369" i="35"/>
  <c r="AC75" i="58"/>
  <c r="U363" i="35"/>
  <c r="U332" i="35"/>
  <c r="AP162" i="58"/>
  <c r="AI105" i="22"/>
  <c r="P80" i="58"/>
  <c r="P15" i="58"/>
  <c r="J560" i="35"/>
  <c r="AZ21" i="34"/>
  <c r="AE85" i="58"/>
  <c r="Y18" i="64"/>
  <c r="Y42" i="64"/>
  <c r="Y73" i="64"/>
  <c r="F12" i="21"/>
  <c r="AM81" i="17"/>
  <c r="AK13" i="17"/>
  <c r="AK48" i="17" s="1"/>
  <c r="AJ82" i="17" s="1"/>
  <c r="AJ122" i="17" s="1"/>
  <c r="AB13" i="34"/>
  <c r="AB41" i="34" s="1"/>
  <c r="AB63" i="34" s="1"/>
  <c r="AB129" i="34" s="1"/>
  <c r="B5" i="24"/>
  <c r="T103" i="58"/>
  <c r="T95" i="58"/>
  <c r="T111" i="58"/>
  <c r="I434" i="35"/>
  <c r="I433" i="35" s="1"/>
  <c r="V54" i="58" s="1"/>
  <c r="I520" i="35"/>
  <c r="I519" i="35" s="1"/>
  <c r="V55" i="58" s="1"/>
  <c r="I606" i="35"/>
  <c r="I605" i="35" s="1"/>
  <c r="I691" i="35"/>
  <c r="I690" i="35" s="1"/>
  <c r="V58" i="58" s="1"/>
  <c r="Q679" i="35"/>
  <c r="Q678" i="35" s="1"/>
  <c r="Q76" i="35"/>
  <c r="Q75" i="35" s="1"/>
  <c r="Q508" i="35"/>
  <c r="Q507" i="35" s="1"/>
  <c r="S233" i="35"/>
  <c r="S232" i="35" s="1"/>
  <c r="S407" i="35"/>
  <c r="S406" i="35" s="1"/>
  <c r="S579" i="35"/>
  <c r="S578" i="35" s="1"/>
  <c r="S664" i="35"/>
  <c r="S663" i="35" s="1"/>
  <c r="R64" i="35"/>
  <c r="R63" i="35" s="1"/>
  <c r="R410" i="35"/>
  <c r="R409" i="35" s="1"/>
  <c r="R322" i="35"/>
  <c r="R150" i="35"/>
  <c r="R149" i="35" s="1"/>
  <c r="AE240" i="58"/>
  <c r="AG244" i="58"/>
  <c r="AG195" i="58"/>
  <c r="R582" i="35"/>
  <c r="R581" i="35" s="1"/>
  <c r="R61" i="35"/>
  <c r="R60" i="35" s="1"/>
  <c r="Q334" i="35"/>
  <c r="Q333" i="35" s="1"/>
  <c r="Q661" i="35"/>
  <c r="Q660" i="35" s="1"/>
  <c r="Q144" i="35"/>
  <c r="Q143" i="35" s="1"/>
  <c r="N407" i="35"/>
  <c r="N406" i="35" s="1"/>
  <c r="N319" i="35"/>
  <c r="N318" i="35" s="1"/>
  <c r="P319" i="35"/>
  <c r="P318" i="35" s="1"/>
  <c r="P493" i="35"/>
  <c r="P492" i="35" s="1"/>
  <c r="P233" i="35"/>
  <c r="P232" i="35" s="1"/>
  <c r="P664" i="35"/>
  <c r="P663" i="35" s="1"/>
  <c r="P61" i="35"/>
  <c r="P60" i="35" s="1"/>
  <c r="P407" i="35"/>
  <c r="P406" i="35" s="1"/>
  <c r="P147" i="35"/>
  <c r="Q233" i="35"/>
  <c r="Q232" i="35" s="1"/>
  <c r="Q493" i="35"/>
  <c r="Q492" i="35" s="1"/>
  <c r="Q147" i="35"/>
  <c r="Q146" i="35" s="1"/>
  <c r="Q61" i="35"/>
  <c r="Q60" i="35" s="1"/>
  <c r="N667" i="35"/>
  <c r="N666" i="35" s="1"/>
  <c r="N64" i="35"/>
  <c r="N63" i="35" s="1"/>
  <c r="N236" i="35"/>
  <c r="N235" i="35" s="1"/>
  <c r="N582" i="35"/>
  <c r="N581" i="35" s="1"/>
  <c r="N150" i="35"/>
  <c r="N149" i="35" s="1"/>
  <c r="N496" i="35"/>
  <c r="N495" i="35" s="1"/>
  <c r="P236" i="35"/>
  <c r="P235" i="35" s="1"/>
  <c r="P150" i="35"/>
  <c r="P149" i="35" s="1"/>
  <c r="Q150" i="35"/>
  <c r="Q149" i="35" s="1"/>
  <c r="Q64" i="35"/>
  <c r="Q63" i="35" s="1"/>
  <c r="AP104" i="58"/>
  <c r="AP120" i="58"/>
  <c r="AI120" i="58"/>
  <c r="AI112" i="58"/>
  <c r="AI96" i="58"/>
  <c r="AV104" i="58"/>
  <c r="AV112" i="58"/>
  <c r="AG82" i="58"/>
  <c r="AG60" i="58"/>
  <c r="BJ41" i="23"/>
  <c r="R440" i="35"/>
  <c r="R439" i="35" s="1"/>
  <c r="R352" i="35"/>
  <c r="R351" i="35" s="1"/>
  <c r="R180" i="35"/>
  <c r="R179" i="35" s="1"/>
  <c r="I526" i="35"/>
  <c r="I525" i="35" s="1"/>
  <c r="I266" i="35"/>
  <c r="I265" i="35" s="1"/>
  <c r="I440" i="35"/>
  <c r="I439" i="35" s="1"/>
  <c r="I352" i="35"/>
  <c r="I351" i="35" s="1"/>
  <c r="S612" i="35"/>
  <c r="S611" i="35" s="1"/>
  <c r="S526" i="35"/>
  <c r="S525" i="35" s="1"/>
  <c r="S440" i="35"/>
  <c r="S439" i="35" s="1"/>
  <c r="S180" i="35"/>
  <c r="S179" i="35" s="1"/>
  <c r="S697" i="35"/>
  <c r="S696" i="35" s="1"/>
  <c r="S352" i="35"/>
  <c r="S351" i="35" s="1"/>
  <c r="Q504" i="35"/>
  <c r="AR110" i="58" s="1"/>
  <c r="T505" i="35"/>
  <c r="AI27" i="58"/>
  <c r="AI19" i="58"/>
  <c r="I596" i="35"/>
  <c r="J597" i="35"/>
  <c r="AP29" i="58"/>
  <c r="AP37" i="58"/>
  <c r="P510" i="35"/>
  <c r="AP77" i="58" s="1"/>
  <c r="T511" i="35"/>
  <c r="P118" i="58"/>
  <c r="P94" i="58"/>
  <c r="Q276" i="35"/>
  <c r="AR205" i="58" s="1"/>
  <c r="AX205" i="58" s="1"/>
  <c r="T277" i="35"/>
  <c r="AI100" i="58"/>
  <c r="AI98" i="58"/>
  <c r="AI108" i="58"/>
  <c r="K520" i="35"/>
  <c r="K519" i="35" s="1"/>
  <c r="AC55" i="58" s="1"/>
  <c r="K691" i="35"/>
  <c r="K690" i="35" s="1"/>
  <c r="AC58" i="58" s="1"/>
  <c r="K174" i="35"/>
  <c r="K173" i="35" s="1"/>
  <c r="AC53" i="58" s="1"/>
  <c r="K346" i="35"/>
  <c r="K345" i="35" s="1"/>
  <c r="AC57" i="58" s="1"/>
  <c r="S58" i="35"/>
  <c r="S57" i="35" s="1"/>
  <c r="S576" i="35"/>
  <c r="S575" i="35" s="1"/>
  <c r="S661" i="35"/>
  <c r="S660" i="35" s="1"/>
  <c r="BI19" i="23"/>
  <c r="S490" i="35"/>
  <c r="S489" i="35" s="1"/>
  <c r="S230" i="35"/>
  <c r="S229" i="35" s="1"/>
  <c r="R493" i="35"/>
  <c r="R492" i="35" s="1"/>
  <c r="R319" i="35"/>
  <c r="R318" i="35" s="1"/>
  <c r="R407" i="35"/>
  <c r="R406" i="35" s="1"/>
  <c r="R147" i="35"/>
  <c r="R146" i="35" s="1"/>
  <c r="P115" i="58"/>
  <c r="P91" i="58"/>
  <c r="P99" i="58"/>
  <c r="K279" i="35"/>
  <c r="AC547" i="58" s="1"/>
  <c r="AK547" i="58" s="1"/>
  <c r="O280" i="35"/>
  <c r="AT254" i="58"/>
  <c r="AT186" i="58"/>
  <c r="AT245" i="58"/>
  <c r="AT235" i="58"/>
  <c r="S248" i="35"/>
  <c r="S247" i="35" s="1"/>
  <c r="S162" i="35"/>
  <c r="S161" i="35" s="1"/>
  <c r="S594" i="35"/>
  <c r="S593" i="35" s="1"/>
  <c r="S508" i="35"/>
  <c r="S507" i="35" s="1"/>
  <c r="AV68" i="58" s="1"/>
  <c r="S679" i="35"/>
  <c r="S678" i="35" s="1"/>
  <c r="BI21" i="34"/>
  <c r="S422" i="35"/>
  <c r="S421" i="35" s="1"/>
  <c r="S64" i="35"/>
  <c r="S63" i="35" s="1"/>
  <c r="S496" i="35"/>
  <c r="S495" i="35" s="1"/>
  <c r="S582" i="35"/>
  <c r="S581" i="35" s="1"/>
  <c r="AE171" i="58"/>
  <c r="AG224" i="58"/>
  <c r="AT176" i="58"/>
  <c r="T22" i="35"/>
  <c r="S147" i="35"/>
  <c r="S146" i="35" s="1"/>
  <c r="AR91" i="58"/>
  <c r="AR115" i="58"/>
  <c r="AR107" i="58"/>
  <c r="AG211" i="58"/>
  <c r="AG231" i="58"/>
  <c r="U275" i="35"/>
  <c r="AV192" i="58"/>
  <c r="AV182" i="58"/>
  <c r="T361" i="35"/>
  <c r="AG212" i="58"/>
  <c r="AR15" i="58"/>
  <c r="AE220" i="58"/>
  <c r="G303" i="35"/>
  <c r="AT26" i="58"/>
  <c r="AT20" i="58"/>
  <c r="AT42" i="58"/>
  <c r="T26" i="58"/>
  <c r="T28" i="58"/>
  <c r="T20" i="58"/>
  <c r="T18" i="58"/>
  <c r="AT171" i="58"/>
  <c r="AP48" i="58"/>
  <c r="AP32" i="58"/>
  <c r="AP40" i="58"/>
  <c r="AP24" i="58"/>
  <c r="AC48" i="58"/>
  <c r="AC32" i="58"/>
  <c r="AP243" i="58"/>
  <c r="AP184" i="58"/>
  <c r="R9" i="58"/>
  <c r="R17" i="58"/>
  <c r="AR40" i="58"/>
  <c r="AR48" i="58"/>
  <c r="R112" i="58"/>
  <c r="R104" i="58"/>
  <c r="R120" i="58"/>
  <c r="R2" i="58"/>
  <c r="R12" i="58"/>
  <c r="G599" i="35"/>
  <c r="J600" i="35"/>
  <c r="P679" i="35"/>
  <c r="P678" i="35" s="1"/>
  <c r="P422" i="35"/>
  <c r="P421" i="35" s="1"/>
  <c r="P334" i="35"/>
  <c r="P333" i="35" s="1"/>
  <c r="P508" i="35"/>
  <c r="P248" i="35"/>
  <c r="P76" i="35"/>
  <c r="P75" i="35" s="1"/>
  <c r="P661" i="35"/>
  <c r="P660" i="35" s="1"/>
  <c r="P230" i="35"/>
  <c r="P229" i="35" s="1"/>
  <c r="P404" i="35"/>
  <c r="P403" i="35" s="1"/>
  <c r="P316" i="35"/>
  <c r="P315" i="35" s="1"/>
  <c r="P144" i="35"/>
  <c r="P143" i="35" s="1"/>
  <c r="P576" i="35"/>
  <c r="P575" i="35" s="1"/>
  <c r="H410" i="35"/>
  <c r="H409" i="35" s="1"/>
  <c r="H64" i="35"/>
  <c r="H63" i="35" s="1"/>
  <c r="H496" i="35"/>
  <c r="H495" i="35" s="1"/>
  <c r="K128" i="35"/>
  <c r="O128" i="35" s="1"/>
  <c r="P107" i="58"/>
  <c r="O591" i="35"/>
  <c r="P58" i="35"/>
  <c r="P57" i="35" s="1"/>
  <c r="S404" i="35"/>
  <c r="S403" i="35" s="1"/>
  <c r="K434" i="35"/>
  <c r="K433" i="35" s="1"/>
  <c r="AC54" i="58" s="1"/>
  <c r="J658" i="35"/>
  <c r="S76" i="35"/>
  <c r="S75" i="35" s="1"/>
  <c r="P594" i="35"/>
  <c r="P593" i="35" s="1"/>
  <c r="U264" i="35"/>
  <c r="AV75" i="58"/>
  <c r="AV81" i="58"/>
  <c r="AI245" i="58"/>
  <c r="AI215" i="58"/>
  <c r="AI225" i="58"/>
  <c r="R28" i="58"/>
  <c r="R36" i="58"/>
  <c r="U195" i="35"/>
  <c r="G513" i="35"/>
  <c r="J513" i="35" s="1"/>
  <c r="J514" i="35"/>
  <c r="AC96" i="58"/>
  <c r="AC104" i="58"/>
  <c r="P539" i="35"/>
  <c r="AP546" i="58" s="1"/>
  <c r="T540" i="35"/>
  <c r="AT117" i="58"/>
  <c r="AT101" i="58"/>
  <c r="AT109" i="58"/>
  <c r="AT93" i="58"/>
  <c r="AC81" i="58"/>
  <c r="AE259" i="58"/>
  <c r="AE210" i="58"/>
  <c r="AG234" i="58"/>
  <c r="AT259" i="58"/>
  <c r="AV270" i="58"/>
  <c r="AT274" i="58"/>
  <c r="O16" i="35"/>
  <c r="AR99" i="58"/>
  <c r="O609" i="35"/>
  <c r="AI114" i="58"/>
  <c r="AG250" i="58"/>
  <c r="S94" i="35"/>
  <c r="S93" i="35" s="1"/>
  <c r="AR16" i="58"/>
  <c r="AC120" i="58"/>
  <c r="V59" i="58"/>
  <c r="AG232" i="58"/>
  <c r="AV59" i="58"/>
  <c r="J82" i="35"/>
  <c r="V103" i="58"/>
  <c r="AT9" i="58"/>
  <c r="AC24" i="58"/>
  <c r="AG73" i="58"/>
  <c r="Q664" i="35"/>
  <c r="Q663" i="35" s="1"/>
  <c r="K88" i="35"/>
  <c r="K87" i="35" s="1"/>
  <c r="AC52" i="58" s="1"/>
  <c r="P162" i="35"/>
  <c r="P161" i="35" s="1"/>
  <c r="R612" i="35"/>
  <c r="R611" i="35" s="1"/>
  <c r="N493" i="35"/>
  <c r="N492" i="35" s="1"/>
  <c r="Q602" i="35"/>
  <c r="T603" i="35"/>
  <c r="O15" i="35"/>
  <c r="J140" i="35"/>
  <c r="V86" i="58"/>
  <c r="V77" i="58"/>
  <c r="Q94" i="35"/>
  <c r="Q612" i="35"/>
  <c r="Q611" i="35" s="1"/>
  <c r="P29" i="58"/>
  <c r="P45" i="58"/>
  <c r="AI55" i="23"/>
  <c r="T436" i="35"/>
  <c r="AP17" i="58"/>
  <c r="G462" i="35"/>
  <c r="AI168" i="58"/>
  <c r="T86" i="58"/>
  <c r="AI111" i="58"/>
  <c r="AI119" i="58"/>
  <c r="M67" i="35"/>
  <c r="M66" i="35" s="1"/>
  <c r="M153" i="35"/>
  <c r="M152" i="35" s="1"/>
  <c r="M239" i="35"/>
  <c r="M238" i="35" s="1"/>
  <c r="R117" i="58"/>
  <c r="R101" i="58"/>
  <c r="V110" i="58"/>
  <c r="V118" i="58"/>
  <c r="AV37" i="58"/>
  <c r="AV29" i="58"/>
  <c r="AG94" i="58"/>
  <c r="AG118" i="58"/>
  <c r="AG110" i="58"/>
  <c r="T40" i="15"/>
  <c r="AI40" i="15"/>
  <c r="AV15" i="58"/>
  <c r="T43" i="35"/>
  <c r="J200" i="35"/>
  <c r="O215" i="35"/>
  <c r="J313" i="35"/>
  <c r="J128" i="35"/>
  <c r="U341" i="35"/>
  <c r="U435" i="35"/>
  <c r="R230" i="58"/>
  <c r="AE88" i="58"/>
  <c r="K11" i="9"/>
  <c r="I11" i="9"/>
  <c r="G14" i="14"/>
  <c r="AJ60" i="24"/>
  <c r="AJ224" i="34"/>
  <c r="AJ118" i="34"/>
  <c r="AK12" i="34"/>
  <c r="AK40" i="34" s="1"/>
  <c r="AK62" i="34" s="1"/>
  <c r="AK128" i="34" s="1"/>
  <c r="A12" i="24"/>
  <c r="A66" i="24" s="1"/>
  <c r="AH13" i="24"/>
  <c r="AH67" i="24" s="1"/>
  <c r="R83" i="58"/>
  <c r="J18" i="35"/>
  <c r="V74" i="58"/>
  <c r="T101" i="35"/>
  <c r="U281" i="35"/>
  <c r="AE204" i="58"/>
  <c r="AV80" i="58"/>
  <c r="Y15" i="64"/>
  <c r="Y31" i="64"/>
  <c r="J13" i="9"/>
  <c r="J553" i="35"/>
  <c r="T213" i="35"/>
  <c r="AI183" i="17"/>
  <c r="AJ54" i="17"/>
  <c r="AJ191" i="34"/>
  <c r="D12" i="21"/>
  <c r="S13" i="21"/>
  <c r="Z13" i="34"/>
  <c r="Z41" i="34" s="1"/>
  <c r="Z63" i="34" s="1"/>
  <c r="Z129" i="34" s="1"/>
  <c r="M12" i="24"/>
  <c r="M66" i="24" s="1"/>
  <c r="U13" i="24"/>
  <c r="U67" i="24" s="1"/>
  <c r="AY44" i="17"/>
  <c r="BB44" i="17"/>
  <c r="AX44" i="17"/>
  <c r="BE44" i="17"/>
  <c r="BF44" i="17"/>
  <c r="BA44" i="17"/>
  <c r="I640" i="35"/>
  <c r="I639" i="35" s="1"/>
  <c r="I123" i="35"/>
  <c r="I122" i="35" s="1"/>
  <c r="I37" i="35"/>
  <c r="I36" i="35" s="1"/>
  <c r="S637" i="35"/>
  <c r="S636" i="35" s="1"/>
  <c r="S466" i="35"/>
  <c r="S465" i="35" s="1"/>
  <c r="S552" i="35"/>
  <c r="S551" i="35" s="1"/>
  <c r="S34" i="35"/>
  <c r="S33" i="35" s="1"/>
  <c r="BI21" i="17"/>
  <c r="N637" i="35"/>
  <c r="N206" i="35"/>
  <c r="N205" i="35" s="1"/>
  <c r="N120" i="35"/>
  <c r="N119" i="35" s="1"/>
  <c r="N552" i="35"/>
  <c r="N551" i="35" s="1"/>
  <c r="BE21" i="17"/>
  <c r="N466" i="35"/>
  <c r="N465" i="35" s="1"/>
  <c r="N34" i="35"/>
  <c r="I637" i="35"/>
  <c r="I636" i="35" s="1"/>
  <c r="BA21" i="17"/>
  <c r="I466" i="35"/>
  <c r="I465" i="35" s="1"/>
  <c r="I120" i="35"/>
  <c r="I119" i="35" s="1"/>
  <c r="I206" i="35"/>
  <c r="I205" i="35" s="1"/>
  <c r="I34" i="35"/>
  <c r="I33" i="35" s="1"/>
  <c r="H386" i="35"/>
  <c r="H385" i="35" s="1"/>
  <c r="H126" i="35"/>
  <c r="H125" i="35" s="1"/>
  <c r="H472" i="35"/>
  <c r="H212" i="35"/>
  <c r="H211" i="35" s="1"/>
  <c r="H558" i="35"/>
  <c r="H557" i="35" s="1"/>
  <c r="R37" i="35"/>
  <c r="R36" i="35" s="1"/>
  <c r="R640" i="35"/>
  <c r="R555" i="35"/>
  <c r="R554" i="35" s="1"/>
  <c r="R123" i="35"/>
  <c r="R122" i="35" s="1"/>
  <c r="M295" i="35"/>
  <c r="M294" i="35" s="1"/>
  <c r="M640" i="35"/>
  <c r="M639" i="35" s="1"/>
  <c r="J35" i="35"/>
  <c r="I469" i="35"/>
  <c r="Q643" i="35"/>
  <c r="Q558" i="35"/>
  <c r="Q557" i="35" s="1"/>
  <c r="Q40" i="35"/>
  <c r="Q39" i="35" s="1"/>
  <c r="Q212" i="35"/>
  <c r="Q211" i="35" s="1"/>
  <c r="L558" i="35"/>
  <c r="L557" i="35" s="1"/>
  <c r="L472" i="35"/>
  <c r="L471" i="35" s="1"/>
  <c r="L126" i="35"/>
  <c r="L125" i="35" s="1"/>
  <c r="L212" i="35"/>
  <c r="L211" i="35" s="1"/>
  <c r="I383" i="35"/>
  <c r="I382" i="35" s="1"/>
  <c r="J644" i="35"/>
  <c r="T559" i="35"/>
  <c r="O559" i="35"/>
  <c r="J559" i="35"/>
  <c r="O473" i="35"/>
  <c r="J387" i="35"/>
  <c r="T381" i="35"/>
  <c r="O381" i="35"/>
  <c r="J381" i="35"/>
  <c r="O299" i="35"/>
  <c r="T207" i="35"/>
  <c r="O207" i="35"/>
  <c r="J207" i="35"/>
  <c r="T41" i="35"/>
  <c r="J41" i="35"/>
  <c r="K40" i="35"/>
  <c r="K39" i="35" s="1"/>
  <c r="AC277" i="58" s="1"/>
  <c r="R120" i="35"/>
  <c r="M34" i="35"/>
  <c r="M33" i="35" s="1"/>
  <c r="H295" i="35"/>
  <c r="H294" i="35" s="1"/>
  <c r="P472" i="35"/>
  <c r="P471" i="35" s="1"/>
  <c r="Q295" i="35"/>
  <c r="Q294" i="35" s="1"/>
  <c r="L209" i="35"/>
  <c r="L208" i="35" s="1"/>
  <c r="R380" i="35"/>
  <c r="P643" i="35"/>
  <c r="P642" i="35" s="1"/>
  <c r="K386" i="35"/>
  <c r="G558" i="35"/>
  <c r="G557" i="35" s="1"/>
  <c r="P386" i="35"/>
  <c r="P385" i="35" s="1"/>
  <c r="R637" i="35"/>
  <c r="R636" i="35" s="1"/>
  <c r="BH21" i="17"/>
  <c r="AY21" i="17"/>
  <c r="H383" i="35"/>
  <c r="BC44" i="17"/>
  <c r="BG44" i="17"/>
  <c r="BI44" i="17"/>
  <c r="BH44" i="17"/>
  <c r="BF21" i="17"/>
  <c r="L383" i="35"/>
  <c r="L382" i="35" s="1"/>
  <c r="L640" i="35"/>
  <c r="L639" i="35" s="1"/>
  <c r="G298" i="35"/>
  <c r="G297" i="35" s="1"/>
  <c r="K126" i="35"/>
  <c r="K125" i="35" s="1"/>
  <c r="R292" i="35"/>
  <c r="M637" i="35"/>
  <c r="M636" i="35" s="1"/>
  <c r="H37" i="35"/>
  <c r="H36" i="35" s="1"/>
  <c r="P298" i="35"/>
  <c r="P297" i="35" s="1"/>
  <c r="G386" i="35"/>
  <c r="G385" i="35" s="1"/>
  <c r="H466" i="35"/>
  <c r="H465" i="35" s="1"/>
  <c r="K558" i="35"/>
  <c r="K557" i="35" s="1"/>
  <c r="K643" i="35"/>
  <c r="K642" i="35" s="1"/>
  <c r="H380" i="35"/>
  <c r="G212" i="35"/>
  <c r="G211" i="35" s="1"/>
  <c r="H555" i="35"/>
  <c r="H554" i="35" s="1"/>
  <c r="AZ44" i="17"/>
  <c r="BC21" i="17"/>
  <c r="Q383" i="35"/>
  <c r="Q469" i="35"/>
  <c r="H404" i="35"/>
  <c r="H403" i="35" s="1"/>
  <c r="H58" i="35"/>
  <c r="H57" i="35" s="1"/>
  <c r="H661" i="35"/>
  <c r="H660" i="35" s="1"/>
  <c r="H490" i="35"/>
  <c r="H489" i="35" s="1"/>
  <c r="F150" i="35"/>
  <c r="F149" i="35" s="1"/>
  <c r="F496" i="35"/>
  <c r="F495" i="35" s="1"/>
  <c r="F322" i="35"/>
  <c r="F321" i="35" s="1"/>
  <c r="AR94" i="58"/>
  <c r="F241" i="35"/>
  <c r="P78" i="58" s="1"/>
  <c r="J242" i="35"/>
  <c r="BA44" i="23"/>
  <c r="F346" i="35"/>
  <c r="F345" i="35" s="1"/>
  <c r="P57" i="58" s="1"/>
  <c r="F606" i="35"/>
  <c r="F605" i="35" s="1"/>
  <c r="I153" i="35"/>
  <c r="I152" i="35" s="1"/>
  <c r="I239" i="35"/>
  <c r="I238" i="35" s="1"/>
  <c r="I67" i="35"/>
  <c r="I66" i="35" s="1"/>
  <c r="I670" i="35"/>
  <c r="I669" i="35" s="1"/>
  <c r="BF21" i="34"/>
  <c r="K180" i="35"/>
  <c r="K179" i="35" s="1"/>
  <c r="T534" i="35"/>
  <c r="I585" i="35"/>
  <c r="I584" i="35" s="1"/>
  <c r="P346" i="35"/>
  <c r="P345" i="35" s="1"/>
  <c r="AP57" i="58" s="1"/>
  <c r="F410" i="35"/>
  <c r="F409" i="35" s="1"/>
  <c r="R490" i="35"/>
  <c r="R489" i="35" s="1"/>
  <c r="G147" i="35"/>
  <c r="G146" i="35" s="1"/>
  <c r="J475" i="35"/>
  <c r="F474" i="35"/>
  <c r="J474" i="35" s="1"/>
  <c r="AC167" i="58"/>
  <c r="AG216" i="58"/>
  <c r="AG226" i="58"/>
  <c r="AG95" i="58"/>
  <c r="AV20" i="34"/>
  <c r="AE79" i="58"/>
  <c r="K266" i="35"/>
  <c r="K265" i="35" s="1"/>
  <c r="I499" i="35"/>
  <c r="I498" i="35" s="1"/>
  <c r="P260" i="35"/>
  <c r="P259" i="35" s="1"/>
  <c r="H230" i="35"/>
  <c r="H229" i="35" s="1"/>
  <c r="F64" i="35"/>
  <c r="F63" i="35" s="1"/>
  <c r="F88" i="35"/>
  <c r="F87" i="35" s="1"/>
  <c r="P52" i="58" s="1"/>
  <c r="F434" i="35"/>
  <c r="F433" i="35" s="1"/>
  <c r="P54" i="58" s="1"/>
  <c r="K440" i="35"/>
  <c r="K439" i="35" s="1"/>
  <c r="G407" i="35"/>
  <c r="G406" i="35" s="1"/>
  <c r="S197" i="35"/>
  <c r="S196" i="35" s="1"/>
  <c r="R486" i="35"/>
  <c r="T487" i="35"/>
  <c r="O187" i="35"/>
  <c r="P131" i="35"/>
  <c r="T187" i="35"/>
  <c r="P480" i="35"/>
  <c r="AP140" i="58" s="1"/>
  <c r="AX140" i="58" s="1"/>
  <c r="T481" i="35"/>
  <c r="J361" i="35"/>
  <c r="N434" i="35"/>
  <c r="N433" i="35" s="1"/>
  <c r="AI54" i="58" s="1"/>
  <c r="N691" i="35"/>
  <c r="N690" i="35" s="1"/>
  <c r="AI58" i="58" s="1"/>
  <c r="R422" i="35"/>
  <c r="R421" i="35" s="1"/>
  <c r="AT67" i="58" s="1"/>
  <c r="R594" i="35"/>
  <c r="R593" i="35" s="1"/>
  <c r="R144" i="35"/>
  <c r="R143" i="35" s="1"/>
  <c r="BH19" i="23"/>
  <c r="R404" i="35"/>
  <c r="R403" i="35" s="1"/>
  <c r="M582" i="35"/>
  <c r="M496" i="35"/>
  <c r="M495" i="35" s="1"/>
  <c r="AG119" i="58"/>
  <c r="K94" i="35"/>
  <c r="K93" i="35" s="1"/>
  <c r="I413" i="35"/>
  <c r="I412" i="35" s="1"/>
  <c r="H316" i="35"/>
  <c r="H315" i="35" s="1"/>
  <c r="F691" i="35"/>
  <c r="F690" i="35" s="1"/>
  <c r="F174" i="35"/>
  <c r="F173" i="35" s="1"/>
  <c r="P53" i="58" s="1"/>
  <c r="AZ19" i="23"/>
  <c r="F520" i="35"/>
  <c r="F519" i="35" s="1"/>
  <c r="P55" i="58" s="1"/>
  <c r="M334" i="35"/>
  <c r="M333" i="35" s="1"/>
  <c r="R316" i="35"/>
  <c r="R315" i="35" s="1"/>
  <c r="AG274" i="58"/>
  <c r="P434" i="35"/>
  <c r="P433" i="35" s="1"/>
  <c r="AP54" i="58" s="1"/>
  <c r="P691" i="35"/>
  <c r="P690" i="35" s="1"/>
  <c r="AP58" i="58" s="1"/>
  <c r="P606" i="35"/>
  <c r="P605" i="35" s="1"/>
  <c r="H162" i="35"/>
  <c r="H161" i="35" s="1"/>
  <c r="H508" i="35"/>
  <c r="H507" i="35" s="1"/>
  <c r="K526" i="35"/>
  <c r="K525" i="35" s="1"/>
  <c r="K697" i="35"/>
  <c r="K696" i="35" s="1"/>
  <c r="N612" i="35"/>
  <c r="N611" i="35" s="1"/>
  <c r="N697" i="35"/>
  <c r="N696" i="35" s="1"/>
  <c r="N352" i="35"/>
  <c r="N351" i="35" s="1"/>
  <c r="P164" i="58"/>
  <c r="T688" i="35"/>
  <c r="O676" i="35"/>
  <c r="AC164" i="58"/>
  <c r="H342" i="35"/>
  <c r="J343" i="35"/>
  <c r="R111" i="35"/>
  <c r="R110" i="35" s="1"/>
  <c r="U323" i="35"/>
  <c r="T73" i="35"/>
  <c r="T190" i="35"/>
  <c r="U225" i="35"/>
  <c r="AV204" i="58"/>
  <c r="V23" i="58"/>
  <c r="P7" i="58"/>
  <c r="T95" i="15"/>
  <c r="AJ95" i="15" s="1"/>
  <c r="AI95" i="15"/>
  <c r="V79" i="58"/>
  <c r="AP88" i="58"/>
  <c r="AP79" i="58"/>
  <c r="AV109" i="58"/>
  <c r="AV117" i="58"/>
  <c r="AI43" i="58"/>
  <c r="AI35" i="58"/>
  <c r="AR85" i="58"/>
  <c r="T85" i="58"/>
  <c r="T162" i="58"/>
  <c r="T16" i="35"/>
  <c r="U411" i="35"/>
  <c r="U574" i="35"/>
  <c r="T165" i="58"/>
  <c r="AT232" i="58"/>
  <c r="AP223" i="58"/>
  <c r="H14" i="14"/>
  <c r="T384" i="35"/>
  <c r="J641" i="35"/>
  <c r="AY24" i="24"/>
  <c r="Z3" i="83"/>
  <c r="AC14" i="85"/>
  <c r="S64" i="85"/>
  <c r="AB25" i="85"/>
  <c r="AB30" i="85"/>
  <c r="AI109" i="58"/>
  <c r="AI117" i="58"/>
  <c r="T537" i="35"/>
  <c r="K214" i="35"/>
  <c r="O214" i="35" s="1"/>
  <c r="AG275" i="58"/>
  <c r="T91" i="35"/>
  <c r="AV98" i="58"/>
  <c r="AG222" i="58"/>
  <c r="I379" i="35"/>
  <c r="I76" i="35"/>
  <c r="I75" i="35" s="1"/>
  <c r="V65" i="58" s="1"/>
  <c r="I508" i="35"/>
  <c r="I507" i="35" s="1"/>
  <c r="I162" i="35"/>
  <c r="I161" i="35" s="1"/>
  <c r="V66" i="58" s="1"/>
  <c r="BA21" i="34"/>
  <c r="N554" i="35"/>
  <c r="T45" i="15"/>
  <c r="AJ45" i="15" s="1"/>
  <c r="AI45" i="15"/>
  <c r="AA59" i="23"/>
  <c r="AI59" i="23"/>
  <c r="AA29" i="23"/>
  <c r="AI29" i="23"/>
  <c r="AA178" i="15"/>
  <c r="AI178" i="15"/>
  <c r="S58" i="22"/>
  <c r="AH58" i="22"/>
  <c r="S64" i="22"/>
  <c r="AH64" i="22"/>
  <c r="J104" i="35"/>
  <c r="AR204" i="58"/>
  <c r="AP115" i="58"/>
  <c r="AT113" i="58"/>
  <c r="P100" i="58"/>
  <c r="R89" i="58"/>
  <c r="P106" i="58"/>
  <c r="T159" i="35"/>
  <c r="P114" i="58"/>
  <c r="J373" i="35"/>
  <c r="T191" i="35"/>
  <c r="AG187" i="58"/>
  <c r="J19" i="35"/>
  <c r="J43" i="35"/>
  <c r="AV92" i="58"/>
  <c r="K16" i="11"/>
  <c r="L16" i="11" s="1"/>
  <c r="V242" i="58"/>
  <c r="J257" i="35"/>
  <c r="J374" i="35"/>
  <c r="L64" i="35"/>
  <c r="L63" i="35" s="1"/>
  <c r="AT196" i="58"/>
  <c r="AT215" i="58"/>
  <c r="AT264" i="58"/>
  <c r="O447" i="35"/>
  <c r="R400" i="35"/>
  <c r="T400" i="35" s="1"/>
  <c r="T401" i="35"/>
  <c r="AI92" i="58"/>
  <c r="AI106" i="58"/>
  <c r="AI90" i="58"/>
  <c r="AI116" i="58"/>
  <c r="AR141" i="58"/>
  <c r="T368" i="35"/>
  <c r="AC108" i="58"/>
  <c r="AC98" i="58"/>
  <c r="H533" i="35"/>
  <c r="O534" i="35"/>
  <c r="M223" i="35"/>
  <c r="O223" i="35" s="1"/>
  <c r="O224" i="35"/>
  <c r="U326" i="35"/>
  <c r="F450" i="35"/>
  <c r="P203" i="58" s="1"/>
  <c r="X203" i="58" s="1"/>
  <c r="J451" i="35"/>
  <c r="F394" i="35"/>
  <c r="P139" i="58" s="1"/>
  <c r="J395" i="35"/>
  <c r="AR109" i="58"/>
  <c r="AR101" i="58"/>
  <c r="AI37" i="58"/>
  <c r="AI21" i="58"/>
  <c r="AV38" i="58"/>
  <c r="AV22" i="58"/>
  <c r="F687" i="35"/>
  <c r="J687" i="35" s="1"/>
  <c r="J688" i="35"/>
  <c r="AC49" i="58"/>
  <c r="AC25" i="58"/>
  <c r="T102" i="58"/>
  <c r="T94" i="58"/>
  <c r="T118" i="58"/>
  <c r="K244" i="35"/>
  <c r="AC119" i="58" s="1"/>
  <c r="O245" i="35"/>
  <c r="AG113" i="58"/>
  <c r="AG105" i="58"/>
  <c r="AG186" i="58"/>
  <c r="AG264" i="58"/>
  <c r="AG215" i="58"/>
  <c r="AR139" i="58"/>
  <c r="AX139" i="58" s="1"/>
  <c r="T394" i="35"/>
  <c r="Q291" i="35"/>
  <c r="O273" i="35"/>
  <c r="AG183" i="58"/>
  <c r="AG271" i="58"/>
  <c r="AG177" i="58"/>
  <c r="T233" i="58"/>
  <c r="T252" i="58"/>
  <c r="K170" i="35"/>
  <c r="O170" i="35" s="1"/>
  <c r="O171" i="35"/>
  <c r="V85" i="58"/>
  <c r="V76" i="58"/>
  <c r="L346" i="35"/>
  <c r="L345" i="35" s="1"/>
  <c r="AE57" i="58" s="1"/>
  <c r="BC21" i="34"/>
  <c r="G679" i="35"/>
  <c r="G678" i="35" s="1"/>
  <c r="AY21" i="34"/>
  <c r="L667" i="35"/>
  <c r="L666" i="35" s="1"/>
  <c r="L496" i="35"/>
  <c r="L495" i="35" s="1"/>
  <c r="L236" i="35"/>
  <c r="L235" i="35" s="1"/>
  <c r="L582" i="35"/>
  <c r="L581" i="35" s="1"/>
  <c r="AP121" i="58"/>
  <c r="AP97" i="58"/>
  <c r="T25" i="23"/>
  <c r="AI25" i="23"/>
  <c r="T136" i="15"/>
  <c r="AI136" i="15"/>
  <c r="G554" i="35"/>
  <c r="AR171" i="58"/>
  <c r="AP99" i="58"/>
  <c r="O289" i="35"/>
  <c r="AR7" i="58"/>
  <c r="AT88" i="58"/>
  <c r="O540" i="35"/>
  <c r="F199" i="35"/>
  <c r="J129" i="35"/>
  <c r="T395" i="35"/>
  <c r="AG176" i="58"/>
  <c r="AG242" i="58"/>
  <c r="O105" i="35"/>
  <c r="P8" i="58"/>
  <c r="V96" i="58"/>
  <c r="G76" i="35"/>
  <c r="G75" i="35" s="1"/>
  <c r="L410" i="35"/>
  <c r="L409" i="35" s="1"/>
  <c r="K107" i="35"/>
  <c r="AC543" i="58" s="1"/>
  <c r="O108" i="35"/>
  <c r="AT181" i="58"/>
  <c r="AT191" i="58"/>
  <c r="AV91" i="58"/>
  <c r="AV99" i="58"/>
  <c r="AG172" i="58"/>
  <c r="AG241" i="58"/>
  <c r="AG221" i="58"/>
  <c r="AG192" i="58"/>
  <c r="AR201" i="58"/>
  <c r="AX201" i="58" s="1"/>
  <c r="T104" i="35"/>
  <c r="L150" i="35"/>
  <c r="L149" i="35" s="1"/>
  <c r="F134" i="35"/>
  <c r="J135" i="35"/>
  <c r="F336" i="35"/>
  <c r="J337" i="35"/>
  <c r="U249" i="35"/>
  <c r="AT14" i="58"/>
  <c r="AT6" i="58"/>
  <c r="AT18" i="58"/>
  <c r="AT36" i="58"/>
  <c r="AT44" i="58"/>
  <c r="AT28" i="58"/>
  <c r="T14" i="58"/>
  <c r="T6" i="58"/>
  <c r="AG18" i="58"/>
  <c r="AG36" i="58"/>
  <c r="AG42" i="58"/>
  <c r="AI13" i="58"/>
  <c r="AI5" i="58"/>
  <c r="AI72" i="58"/>
  <c r="AI81" i="58"/>
  <c r="S279" i="35"/>
  <c r="AV547" i="58" s="1"/>
  <c r="AX547" i="58" s="1"/>
  <c r="T280" i="35"/>
  <c r="O561" i="35"/>
  <c r="L560" i="35"/>
  <c r="O560" i="35" s="1"/>
  <c r="P220" i="35"/>
  <c r="T220" i="35" s="1"/>
  <c r="T221" i="35"/>
  <c r="T254" i="58"/>
  <c r="T245" i="58"/>
  <c r="AE16" i="58"/>
  <c r="AE8" i="58"/>
  <c r="AG197" i="58"/>
  <c r="AG265" i="58"/>
  <c r="AG236" i="58"/>
  <c r="AG246" i="58"/>
  <c r="AG255" i="58"/>
  <c r="Z65" i="22"/>
  <c r="AI65" i="22" s="1"/>
  <c r="AH65" i="22"/>
  <c r="AE76" i="58"/>
  <c r="AC74" i="58"/>
  <c r="J227" i="35"/>
  <c r="T398" i="35"/>
  <c r="J42" i="35"/>
  <c r="P92" i="58"/>
  <c r="P116" i="58"/>
  <c r="H480" i="35"/>
  <c r="J481" i="35"/>
  <c r="F131" i="35"/>
  <c r="S520" i="35"/>
  <c r="S519" i="35" s="1"/>
  <c r="AV55" i="58" s="1"/>
  <c r="S691" i="35"/>
  <c r="S690" i="35" s="1"/>
  <c r="AV58" i="58" s="1"/>
  <c r="F576" i="35"/>
  <c r="F58" i="35"/>
  <c r="F57" i="35" s="1"/>
  <c r="F661" i="35"/>
  <c r="F660" i="35" s="1"/>
  <c r="F404" i="35"/>
  <c r="F403" i="35" s="1"/>
  <c r="J403" i="35" s="1"/>
  <c r="V111" i="58"/>
  <c r="V95" i="58"/>
  <c r="S116" i="22"/>
  <c r="AI116" i="22" s="1"/>
  <c r="AH116" i="22"/>
  <c r="AH83" i="24"/>
  <c r="AI83" i="24"/>
  <c r="AA130" i="15"/>
  <c r="AJ130" i="15" s="1"/>
  <c r="AI130" i="15"/>
  <c r="BB24" i="24"/>
  <c r="R27" i="58"/>
  <c r="R35" i="58"/>
  <c r="Q111" i="35"/>
  <c r="Q110" i="35" s="1"/>
  <c r="U620" i="35"/>
  <c r="G569" i="35"/>
  <c r="J569" i="35" s="1"/>
  <c r="J570" i="35"/>
  <c r="U414" i="35"/>
  <c r="G262" i="35"/>
  <c r="J262" i="35" s="1"/>
  <c r="J263" i="35"/>
  <c r="AG4" i="58"/>
  <c r="AG10" i="58"/>
  <c r="AR24" i="58"/>
  <c r="AR32" i="58"/>
  <c r="T220" i="58"/>
  <c r="T269" i="58"/>
  <c r="AE111" i="58"/>
  <c r="AI95" i="58"/>
  <c r="O590" i="35"/>
  <c r="BH41" i="34"/>
  <c r="BJ33" i="34"/>
  <c r="J348" i="35"/>
  <c r="U598" i="35"/>
  <c r="U338" i="35"/>
  <c r="U429" i="35"/>
  <c r="U423" i="35"/>
  <c r="J251" i="35"/>
  <c r="AG225" i="58"/>
  <c r="AE174" i="58"/>
  <c r="T260" i="58"/>
  <c r="T516" i="35"/>
  <c r="S61" i="35"/>
  <c r="S60" i="35" s="1"/>
  <c r="S319" i="35"/>
  <c r="S318" i="35" s="1"/>
  <c r="S493" i="35"/>
  <c r="S492" i="35" s="1"/>
  <c r="H667" i="35"/>
  <c r="H666" i="35" s="1"/>
  <c r="H236" i="35"/>
  <c r="H235" i="35" s="1"/>
  <c r="I612" i="35"/>
  <c r="I611" i="35" s="1"/>
  <c r="I697" i="35"/>
  <c r="I696" i="35" s="1"/>
  <c r="V71" i="58" s="1"/>
  <c r="AR224" i="58"/>
  <c r="AR275" i="58"/>
  <c r="G579" i="35"/>
  <c r="G578" i="35" s="1"/>
  <c r="G493" i="35"/>
  <c r="G492" i="35" s="1"/>
  <c r="H440" i="35"/>
  <c r="H612" i="35"/>
  <c r="H611" i="35" s="1"/>
  <c r="F612" i="35"/>
  <c r="F611" i="35" s="1"/>
  <c r="F526" i="35"/>
  <c r="F525" i="35" s="1"/>
  <c r="AI89" i="15"/>
  <c r="T89" i="15"/>
  <c r="AJ89" i="15" s="1"/>
  <c r="BJ29" i="34"/>
  <c r="S117" i="22"/>
  <c r="AI117" i="22" s="1"/>
  <c r="AH117" i="22"/>
  <c r="S96" i="22"/>
  <c r="AI96" i="22" s="1"/>
  <c r="AH96" i="22"/>
  <c r="J12" i="11"/>
  <c r="J32" i="11" s="1"/>
  <c r="K43" i="11" s="1"/>
  <c r="H12" i="11"/>
  <c r="H32" i="11" s="1"/>
  <c r="I43" i="11" s="1"/>
  <c r="F32" i="11"/>
  <c r="G43" i="11" s="1"/>
  <c r="T153" i="15"/>
  <c r="AJ153" i="15" s="1"/>
  <c r="AI153" i="15"/>
  <c r="V167" i="58"/>
  <c r="U278" i="35"/>
  <c r="T533" i="35"/>
  <c r="BJ26" i="22"/>
  <c r="AI162" i="58"/>
  <c r="U503" i="35"/>
  <c r="R249" i="58"/>
  <c r="U626" i="35"/>
  <c r="T447" i="35"/>
  <c r="R546" i="58"/>
  <c r="AC546" i="58"/>
  <c r="U172" i="35"/>
  <c r="O522" i="35"/>
  <c r="U698" i="35"/>
  <c r="P74" i="58"/>
  <c r="U50" i="35"/>
  <c r="U438" i="35"/>
  <c r="U659" i="35"/>
  <c r="AP87" i="58"/>
  <c r="U20" i="35"/>
  <c r="J69" i="35"/>
  <c r="U329" i="35"/>
  <c r="AH105" i="22"/>
  <c r="BE24" i="24"/>
  <c r="BJ24" i="15"/>
  <c r="AI35" i="15"/>
  <c r="AI157" i="15"/>
  <c r="AI110" i="23"/>
  <c r="AJ76" i="15"/>
  <c r="S125" i="22"/>
  <c r="AI125" i="22" s="1"/>
  <c r="AH125" i="22"/>
  <c r="Y22" i="64"/>
  <c r="T77" i="58"/>
  <c r="AI47" i="58"/>
  <c r="BE21" i="34"/>
  <c r="T590" i="35"/>
  <c r="BD44" i="23"/>
  <c r="BI44" i="23"/>
  <c r="AZ44" i="23"/>
  <c r="AP86" i="58"/>
  <c r="K14" i="14"/>
  <c r="I14" i="14"/>
  <c r="T641" i="35"/>
  <c r="M30" i="85"/>
  <c r="AC30" i="85" s="1"/>
  <c r="B3" i="21"/>
  <c r="W13" i="21"/>
  <c r="H13" i="21"/>
  <c r="AB12" i="21"/>
  <c r="V13" i="24"/>
  <c r="V67" i="24" s="1"/>
  <c r="A1" i="24"/>
  <c r="P13" i="24"/>
  <c r="P67" i="24" s="1"/>
  <c r="X13" i="24"/>
  <c r="X67" i="24" s="1"/>
  <c r="F98" i="35"/>
  <c r="M25" i="85"/>
  <c r="AC25" i="85" s="1"/>
  <c r="AC38" i="85"/>
  <c r="T73" i="85"/>
  <c r="X13" i="21"/>
  <c r="J13" i="21"/>
  <c r="G13" i="21"/>
  <c r="Y13" i="24"/>
  <c r="Y67" i="24" s="1"/>
  <c r="AM12" i="24"/>
  <c r="AM66" i="24" s="1"/>
  <c r="AI13" i="24"/>
  <c r="AI67" i="24" s="1"/>
  <c r="I12" i="24"/>
  <c r="I66" i="24" s="1"/>
  <c r="AI12" i="24"/>
  <c r="AI66" i="24" s="1"/>
  <c r="AC36" i="85"/>
  <c r="AC40" i="85"/>
  <c r="AC42" i="85"/>
  <c r="AC53" i="85"/>
  <c r="L67" i="85"/>
  <c r="E12" i="21"/>
  <c r="Z13" i="21"/>
  <c r="L13" i="21"/>
  <c r="G3" i="15"/>
  <c r="B5" i="22"/>
  <c r="A12" i="22"/>
  <c r="A39" i="22" s="1"/>
  <c r="A88" i="22" s="1"/>
  <c r="A131" i="22" s="1"/>
  <c r="R13" i="22"/>
  <c r="R40" i="22" s="1"/>
  <c r="R89" i="22" s="1"/>
  <c r="R132" i="22" s="1"/>
  <c r="AK12" i="23"/>
  <c r="AK67" i="23" s="1"/>
  <c r="AK89" i="23" s="1"/>
  <c r="AK136" i="23" s="1"/>
  <c r="P14" i="35"/>
  <c r="P100" i="35" s="1"/>
  <c r="P186" i="35" s="1"/>
  <c r="P272" i="35" s="1"/>
  <c r="N12" i="24"/>
  <c r="I13" i="21"/>
  <c r="A12" i="21"/>
  <c r="AB13" i="21"/>
  <c r="I12" i="15"/>
  <c r="I105" i="15" s="1"/>
  <c r="G3" i="22"/>
  <c r="D12" i="22"/>
  <c r="D39" i="22" s="1"/>
  <c r="D88" i="22" s="1"/>
  <c r="D131" i="22" s="1"/>
  <c r="AH12" i="22"/>
  <c r="AH39" i="22" s="1"/>
  <c r="AH88" i="22" s="1"/>
  <c r="AH131" i="22" s="1"/>
  <c r="O13" i="22"/>
  <c r="O40" i="22" s="1"/>
  <c r="O89" i="22" s="1"/>
  <c r="O132" i="22" s="1"/>
  <c r="O13" i="24"/>
  <c r="O67" i="24" s="1"/>
  <c r="Z13" i="24"/>
  <c r="Z67" i="24" s="1"/>
  <c r="A64" i="24"/>
  <c r="P359" i="35"/>
  <c r="AK13" i="15"/>
  <c r="AK106" i="15" s="1"/>
  <c r="A1" i="22"/>
  <c r="Q13" i="22"/>
  <c r="Q40" i="22" s="1"/>
  <c r="Q89" i="22" s="1"/>
  <c r="Q132" i="22" s="1"/>
  <c r="X13" i="22"/>
  <c r="X40" i="22" s="1"/>
  <c r="X89" i="22" s="1"/>
  <c r="X132" i="22" s="1"/>
  <c r="AC13" i="22"/>
  <c r="AC40" i="22" s="1"/>
  <c r="AC89" i="22" s="1"/>
  <c r="AC132" i="22" s="1"/>
  <c r="A37" i="22"/>
  <c r="A1" i="21"/>
  <c r="T13" i="21"/>
  <c r="R13" i="21"/>
  <c r="K13" i="21"/>
  <c r="AL12" i="15"/>
  <c r="AL105" i="15" s="1"/>
  <c r="G5" i="22"/>
  <c r="T13" i="22"/>
  <c r="T40" i="22" s="1"/>
  <c r="T89" i="22" s="1"/>
  <c r="T132" i="22" s="1"/>
  <c r="U13" i="22"/>
  <c r="U40" i="22" s="1"/>
  <c r="U89" i="22" s="1"/>
  <c r="U132" i="22" s="1"/>
  <c r="AB13" i="22"/>
  <c r="AB40" i="22" s="1"/>
  <c r="AB89" i="22" s="1"/>
  <c r="AB132" i="22" s="1"/>
  <c r="Y13" i="22"/>
  <c r="Y40" i="22" s="1"/>
  <c r="Y89" i="22" s="1"/>
  <c r="Y132" i="22" s="1"/>
  <c r="A86" i="22"/>
  <c r="AK12" i="22"/>
  <c r="AK39" i="22" s="1"/>
  <c r="AK88" i="22" s="1"/>
  <c r="AK131" i="22" s="1"/>
  <c r="P13" i="21"/>
  <c r="AC13" i="21"/>
  <c r="Y13" i="21"/>
  <c r="V13" i="21"/>
  <c r="A62" i="9"/>
  <c r="K12" i="22"/>
  <c r="K39" i="22" s="1"/>
  <c r="K88" i="22" s="1"/>
  <c r="K131" i="22" s="1"/>
  <c r="P13" i="22"/>
  <c r="P40" i="22" s="1"/>
  <c r="P89" i="22" s="1"/>
  <c r="P132" i="22" s="1"/>
  <c r="AE13" i="22"/>
  <c r="AE40" i="22" s="1"/>
  <c r="AE89" i="22" s="1"/>
  <c r="AE132" i="22" s="1"/>
  <c r="AF13" i="22"/>
  <c r="AF40" i="22" s="1"/>
  <c r="AF89" i="22" s="1"/>
  <c r="AF132" i="22" s="1"/>
  <c r="AG13" i="22"/>
  <c r="AG40" i="22" s="1"/>
  <c r="AG89" i="22" s="1"/>
  <c r="AG132" i="22" s="1"/>
  <c r="A129" i="22"/>
  <c r="B63" i="9"/>
  <c r="L12" i="22"/>
  <c r="L39" i="22" s="1"/>
  <c r="L88" i="22" s="1"/>
  <c r="L131" i="22" s="1"/>
  <c r="V13" i="22"/>
  <c r="V40" i="22" s="1"/>
  <c r="V89" i="22" s="1"/>
  <c r="V132" i="22" s="1"/>
  <c r="S13" i="22"/>
  <c r="S40" i="22" s="1"/>
  <c r="S89" i="22" s="1"/>
  <c r="S132" i="22" s="1"/>
  <c r="Z13" i="22"/>
  <c r="Z40" i="22" s="1"/>
  <c r="Z89" i="22" s="1"/>
  <c r="Z132" i="22" s="1"/>
  <c r="A10" i="22"/>
  <c r="R174" i="35"/>
  <c r="R173" i="35" s="1"/>
  <c r="AT53" i="58" s="1"/>
  <c r="R260" i="35"/>
  <c r="R88" i="35"/>
  <c r="R87" i="35" s="1"/>
  <c r="AT52" i="58" s="1"/>
  <c r="BH21" i="34"/>
  <c r="Q520" i="35"/>
  <c r="Q519" i="35" s="1"/>
  <c r="AR55" i="58" s="1"/>
  <c r="Q691" i="35"/>
  <c r="Q690" i="35" s="1"/>
  <c r="AR58" i="58" s="1"/>
  <c r="Q260" i="35"/>
  <c r="Q259" i="35" s="1"/>
  <c r="Q174" i="35"/>
  <c r="Q173" i="35" s="1"/>
  <c r="AR53" i="58" s="1"/>
  <c r="Q346" i="35"/>
  <c r="Q345" i="35" s="1"/>
  <c r="AR57" i="58" s="1"/>
  <c r="Q606" i="35"/>
  <c r="BG21" i="34"/>
  <c r="K76" i="35"/>
  <c r="K75" i="35" s="1"/>
  <c r="K334" i="35"/>
  <c r="K333" i="35" s="1"/>
  <c r="BB21" i="34"/>
  <c r="K248" i="35"/>
  <c r="K247" i="35" s="1"/>
  <c r="K508" i="35"/>
  <c r="K507" i="35" s="1"/>
  <c r="K594" i="35"/>
  <c r="K593" i="35" s="1"/>
  <c r="N490" i="35"/>
  <c r="N489" i="35" s="1"/>
  <c r="BE19" i="23"/>
  <c r="N230" i="35"/>
  <c r="N229" i="35" s="1"/>
  <c r="N661" i="35"/>
  <c r="N660" i="35" s="1"/>
  <c r="N316" i="35"/>
  <c r="N315" i="35" s="1"/>
  <c r="N58" i="35"/>
  <c r="N57" i="35" s="1"/>
  <c r="N144" i="35"/>
  <c r="N143" i="35" s="1"/>
  <c r="G490" i="35"/>
  <c r="G489" i="35" s="1"/>
  <c r="G661" i="35"/>
  <c r="G660" i="35" s="1"/>
  <c r="G404" i="35"/>
  <c r="G403" i="35" s="1"/>
  <c r="G576" i="35"/>
  <c r="G575" i="35" s="1"/>
  <c r="G58" i="35"/>
  <c r="G57" i="35" s="1"/>
  <c r="G144" i="35"/>
  <c r="G143" i="35" s="1"/>
  <c r="G316" i="35"/>
  <c r="G315" i="35" s="1"/>
  <c r="K407" i="35"/>
  <c r="K406" i="35" s="1"/>
  <c r="K61" i="35"/>
  <c r="K60" i="35" s="1"/>
  <c r="K319" i="35"/>
  <c r="K493" i="35"/>
  <c r="K492" i="35" s="1"/>
  <c r="K664" i="35"/>
  <c r="K663" i="35" s="1"/>
  <c r="K233" i="35"/>
  <c r="K232" i="35" s="1"/>
  <c r="K579" i="35"/>
  <c r="K578" i="35" s="1"/>
  <c r="I236" i="35"/>
  <c r="I235" i="35" s="1"/>
  <c r="I150" i="35"/>
  <c r="I149" i="35" s="1"/>
  <c r="I64" i="35"/>
  <c r="I63" i="35" s="1"/>
  <c r="I322" i="35"/>
  <c r="I321" i="35" s="1"/>
  <c r="I667" i="35"/>
  <c r="I496" i="35"/>
  <c r="I495" i="35" s="1"/>
  <c r="I410" i="35"/>
  <c r="I409" i="35" s="1"/>
  <c r="I582" i="35"/>
  <c r="I581" i="35" s="1"/>
  <c r="P60" i="58"/>
  <c r="P73" i="58"/>
  <c r="P82" i="58"/>
  <c r="AE39" i="58"/>
  <c r="AE47" i="58"/>
  <c r="AE23" i="58"/>
  <c r="AZ41" i="34"/>
  <c r="N339" i="35"/>
  <c r="O340" i="35"/>
  <c r="U106" i="35"/>
  <c r="AP49" i="58"/>
  <c r="T687" i="35"/>
  <c r="AP41" i="58"/>
  <c r="AP33" i="58"/>
  <c r="P249" i="58"/>
  <c r="P171" i="58"/>
  <c r="AC542" i="58"/>
  <c r="AE91" i="58"/>
  <c r="K147" i="35"/>
  <c r="K146" i="35" s="1"/>
  <c r="R606" i="35"/>
  <c r="R605" i="35" s="1"/>
  <c r="AP116" i="58"/>
  <c r="T158" i="35"/>
  <c r="AP98" i="58"/>
  <c r="AP114" i="58"/>
  <c r="J78" i="35"/>
  <c r="R74" i="58"/>
  <c r="G230" i="35"/>
  <c r="G229" i="35" s="1"/>
  <c r="N576" i="35"/>
  <c r="N575" i="35" s="1"/>
  <c r="AP102" i="58"/>
  <c r="AP94" i="58"/>
  <c r="P72" i="58"/>
  <c r="P81" i="58"/>
  <c r="S18" i="35"/>
  <c r="T19" i="35"/>
  <c r="K572" i="35"/>
  <c r="AC166" i="58" s="1"/>
  <c r="O573" i="35"/>
  <c r="F465" i="35"/>
  <c r="P392" i="58" s="1"/>
  <c r="S54" i="35"/>
  <c r="T54" i="35" s="1"/>
  <c r="T55" i="35"/>
  <c r="V100" i="58"/>
  <c r="V116" i="58"/>
  <c r="V90" i="58"/>
  <c r="AP74" i="58"/>
  <c r="AP83" i="58"/>
  <c r="G253" i="35"/>
  <c r="J254" i="35"/>
  <c r="J342" i="35"/>
  <c r="R32" i="58"/>
  <c r="AR19" i="58"/>
  <c r="AR35" i="58"/>
  <c r="AR27" i="58"/>
  <c r="T106" i="58"/>
  <c r="T98" i="58"/>
  <c r="T108" i="58"/>
  <c r="S453" i="35"/>
  <c r="T454" i="35"/>
  <c r="AV14" i="58"/>
  <c r="J31" i="35"/>
  <c r="T536" i="35"/>
  <c r="AT210" i="58"/>
  <c r="O251" i="35"/>
  <c r="P10" i="58"/>
  <c r="AP233" i="58"/>
  <c r="J168" i="35"/>
  <c r="R413" i="58"/>
  <c r="AP221" i="58"/>
  <c r="AI274" i="58"/>
  <c r="AR242" i="58"/>
  <c r="T270" i="58"/>
  <c r="T377" i="35"/>
  <c r="AC23" i="58"/>
  <c r="AC31" i="58"/>
  <c r="AC39" i="58"/>
  <c r="F510" i="35"/>
  <c r="J511" i="35"/>
  <c r="P418" i="35"/>
  <c r="T419" i="35"/>
  <c r="S459" i="35"/>
  <c r="N202" i="35"/>
  <c r="R388" i="35"/>
  <c r="T388" i="35" s="1"/>
  <c r="T389" i="35"/>
  <c r="P14" i="58"/>
  <c r="V80" i="58"/>
  <c r="V89" i="58"/>
  <c r="N21" i="35"/>
  <c r="AI542" i="58" s="1"/>
  <c r="AP73" i="58"/>
  <c r="AP82" i="58"/>
  <c r="AI129" i="15"/>
  <c r="AA129" i="15"/>
  <c r="AJ129" i="15" s="1"/>
  <c r="AC118" i="58"/>
  <c r="AT230" i="58"/>
  <c r="AT269" i="58"/>
  <c r="J52" i="35"/>
  <c r="AP252" i="58"/>
  <c r="J79" i="35"/>
  <c r="AE27" i="58"/>
  <c r="J398" i="35"/>
  <c r="J117" i="35"/>
  <c r="S283" i="35"/>
  <c r="S282" i="35" s="1"/>
  <c r="AV537" i="58" s="1"/>
  <c r="AI264" i="58"/>
  <c r="AP60" i="58"/>
  <c r="J573" i="35"/>
  <c r="K140" i="35"/>
  <c r="O140" i="35" s="1"/>
  <c r="O141" i="35"/>
  <c r="T72" i="58"/>
  <c r="T59" i="58"/>
  <c r="T75" i="58"/>
  <c r="T81" i="58"/>
  <c r="K72" i="35"/>
  <c r="O73" i="35"/>
  <c r="M621" i="35"/>
  <c r="AG206" i="58" s="1"/>
  <c r="O622" i="35"/>
  <c r="AR261" i="58"/>
  <c r="AR173" i="58"/>
  <c r="R240" i="58"/>
  <c r="R181" i="58"/>
  <c r="AV23" i="58"/>
  <c r="AV39" i="58"/>
  <c r="AV31" i="58"/>
  <c r="AV47" i="58"/>
  <c r="G223" i="35"/>
  <c r="J224" i="35"/>
  <c r="M174" i="35"/>
  <c r="M173" i="35" s="1"/>
  <c r="AG53" i="58" s="1"/>
  <c r="M691" i="35"/>
  <c r="M690" i="35" s="1"/>
  <c r="AG58" i="58" s="1"/>
  <c r="L162" i="35"/>
  <c r="L161" i="35" s="1"/>
  <c r="AE66" i="58" s="1"/>
  <c r="L422" i="35"/>
  <c r="L421" i="35" s="1"/>
  <c r="L508" i="35"/>
  <c r="L507" i="35" s="1"/>
  <c r="L679" i="35"/>
  <c r="L678" i="35" s="1"/>
  <c r="L594" i="35"/>
  <c r="L593" i="35" s="1"/>
  <c r="I233" i="35"/>
  <c r="I232" i="35" s="1"/>
  <c r="I664" i="35"/>
  <c r="I663" i="35" s="1"/>
  <c r="I147" i="35"/>
  <c r="I146" i="35" s="1"/>
  <c r="I319" i="35"/>
  <c r="I318" i="35" s="1"/>
  <c r="I493" i="35"/>
  <c r="I492" i="35" s="1"/>
  <c r="K496" i="35"/>
  <c r="K495" i="35" s="1"/>
  <c r="K582" i="35"/>
  <c r="K581" i="35" s="1"/>
  <c r="K236" i="35"/>
  <c r="K235" i="35" s="1"/>
  <c r="K322" i="35"/>
  <c r="K410" i="35"/>
  <c r="K409" i="35" s="1"/>
  <c r="O6" i="83"/>
  <c r="O7" i="83" s="1"/>
  <c r="M7" i="83" s="1"/>
  <c r="J70" i="35"/>
  <c r="P42" i="35"/>
  <c r="N5" i="83"/>
  <c r="O54" i="35"/>
  <c r="AR191" i="58"/>
  <c r="AR185" i="58"/>
  <c r="P6" i="58"/>
  <c r="J672" i="35"/>
  <c r="I407" i="35"/>
  <c r="I406" i="35" s="1"/>
  <c r="U169" i="35"/>
  <c r="O608" i="35"/>
  <c r="U527" i="35"/>
  <c r="U148" i="35"/>
  <c r="K64" i="35"/>
  <c r="L116" i="35"/>
  <c r="AE231" i="58" s="1"/>
  <c r="U653" i="35"/>
  <c r="AG83" i="58"/>
  <c r="S223" i="35"/>
  <c r="T223" i="35" s="1"/>
  <c r="T224" i="35"/>
  <c r="AV167" i="58"/>
  <c r="AE26" i="58"/>
  <c r="AE18" i="58"/>
  <c r="T362" i="35"/>
  <c r="J362" i="35"/>
  <c r="J502" i="35"/>
  <c r="G501" i="35"/>
  <c r="R77" i="58" s="1"/>
  <c r="BJ28" i="23"/>
  <c r="BJ40" i="23"/>
  <c r="L670" i="35"/>
  <c r="L669" i="35" s="1"/>
  <c r="L499" i="35"/>
  <c r="L498" i="35" s="1"/>
  <c r="R453" i="58"/>
  <c r="AI254" i="58"/>
  <c r="AI176" i="58"/>
  <c r="AI235" i="58"/>
  <c r="AI186" i="58"/>
  <c r="AV5" i="58"/>
  <c r="AV13" i="58"/>
  <c r="N162" i="35"/>
  <c r="N161" i="35" s="1"/>
  <c r="N508" i="35"/>
  <c r="N507" i="35" s="1"/>
  <c r="N76" i="35"/>
  <c r="N75" i="35" s="1"/>
  <c r="L407" i="35"/>
  <c r="L406" i="35" s="1"/>
  <c r="L664" i="35"/>
  <c r="L663" i="35" s="1"/>
  <c r="L579" i="35"/>
  <c r="L578" i="35" s="1"/>
  <c r="AT240" i="58"/>
  <c r="AP194" i="58"/>
  <c r="AT220" i="58"/>
  <c r="V83" i="58"/>
  <c r="P12" i="58"/>
  <c r="AP213" i="58"/>
  <c r="AE213" i="58"/>
  <c r="J105" i="35"/>
  <c r="AP84" i="58"/>
  <c r="R277" i="58"/>
  <c r="AP260" i="58"/>
  <c r="AR263" i="58"/>
  <c r="R220" i="58"/>
  <c r="T105" i="35"/>
  <c r="AE20" i="58"/>
  <c r="N248" i="35"/>
  <c r="N247" i="35" s="1"/>
  <c r="I61" i="35"/>
  <c r="I60" i="35" s="1"/>
  <c r="I579" i="35"/>
  <c r="I578" i="35" s="1"/>
  <c r="M346" i="35"/>
  <c r="M345" i="35" s="1"/>
  <c r="AG57" i="58" s="1"/>
  <c r="O658" i="35"/>
  <c r="L657" i="35"/>
  <c r="O657" i="35" s="1"/>
  <c r="P107" i="35"/>
  <c r="T108" i="35"/>
  <c r="P633" i="35"/>
  <c r="T634" i="35"/>
  <c r="AI60" i="58"/>
  <c r="AI82" i="58"/>
  <c r="AI75" i="58"/>
  <c r="K327" i="35"/>
  <c r="O327" i="35" s="1"/>
  <c r="O328" i="35"/>
  <c r="P672" i="35"/>
  <c r="T672" i="35" s="1"/>
  <c r="T673" i="35"/>
  <c r="L427" i="35"/>
  <c r="O428" i="35"/>
  <c r="X201" i="58"/>
  <c r="O55" i="35"/>
  <c r="R285" i="58"/>
  <c r="R269" i="58"/>
  <c r="O362" i="35"/>
  <c r="L248" i="35"/>
  <c r="L247" i="35" s="1"/>
  <c r="N422" i="35"/>
  <c r="N421" i="35" s="1"/>
  <c r="L226" i="35"/>
  <c r="O226" i="35" s="1"/>
  <c r="O227" i="35"/>
  <c r="F636" i="35"/>
  <c r="I72" i="35"/>
  <c r="V99" i="58" s="1"/>
  <c r="J73" i="35"/>
  <c r="AR44" i="58"/>
  <c r="AR20" i="58"/>
  <c r="U74" i="35"/>
  <c r="G101" i="35"/>
  <c r="J101" i="35" s="1"/>
  <c r="T102" i="35"/>
  <c r="U102" i="35" s="1"/>
  <c r="AC73" i="58"/>
  <c r="AK73" i="58" s="1"/>
  <c r="AC82" i="58"/>
  <c r="AG196" i="58"/>
  <c r="AP166" i="58"/>
  <c r="AP31" i="58"/>
  <c r="AP23" i="58"/>
  <c r="AP47" i="58"/>
  <c r="L18" i="35"/>
  <c r="AE200" i="58" s="1"/>
  <c r="O19" i="35"/>
  <c r="U19" i="35" s="1"/>
  <c r="S260" i="35"/>
  <c r="S259" i="35" s="1"/>
  <c r="AV56" i="58" s="1"/>
  <c r="S88" i="35"/>
  <c r="S87" i="35" s="1"/>
  <c r="AV52" i="58" s="1"/>
  <c r="S346" i="35"/>
  <c r="S345" i="35" s="1"/>
  <c r="AV57" i="58" s="1"/>
  <c r="N153" i="35"/>
  <c r="N152" i="35" s="1"/>
  <c r="N585" i="35"/>
  <c r="N584" i="35" s="1"/>
  <c r="N325" i="35"/>
  <c r="N324" i="35" s="1"/>
  <c r="P440" i="35"/>
  <c r="P697" i="35"/>
  <c r="P696" i="35" s="1"/>
  <c r="AV41" i="58"/>
  <c r="AV25" i="58"/>
  <c r="U189" i="35"/>
  <c r="AR542" i="58"/>
  <c r="AX542" i="58" s="1"/>
  <c r="T21" i="35"/>
  <c r="U671" i="35"/>
  <c r="AG173" i="58"/>
  <c r="AG193" i="58"/>
  <c r="AG251" i="58"/>
  <c r="M645" i="35"/>
  <c r="AT272" i="58"/>
  <c r="AT243" i="58"/>
  <c r="AT223" i="58"/>
  <c r="T676" i="35"/>
  <c r="S675" i="35"/>
  <c r="AV113" i="58" s="1"/>
  <c r="U234" i="35"/>
  <c r="AV73" i="58"/>
  <c r="AV60" i="58"/>
  <c r="F436" i="35"/>
  <c r="J436" i="35" s="1"/>
  <c r="J437" i="35"/>
  <c r="AV78" i="58"/>
  <c r="AY44" i="23"/>
  <c r="G153" i="35"/>
  <c r="G152" i="35" s="1"/>
  <c r="G239" i="35"/>
  <c r="G238" i="35" s="1"/>
  <c r="G585" i="35"/>
  <c r="G584" i="35" s="1"/>
  <c r="AG22" i="58"/>
  <c r="AG46" i="58"/>
  <c r="AT33" i="58"/>
  <c r="AT49" i="58"/>
  <c r="I422" i="35"/>
  <c r="I421" i="35" s="1"/>
  <c r="I334" i="35"/>
  <c r="I333" i="35" s="1"/>
  <c r="G594" i="35"/>
  <c r="G593" i="35" s="1"/>
  <c r="G162" i="35"/>
  <c r="G161" i="35" s="1"/>
  <c r="AV14" i="34"/>
  <c r="H319" i="35"/>
  <c r="H318" i="35" s="1"/>
  <c r="H664" i="35"/>
  <c r="H663" i="35" s="1"/>
  <c r="H407" i="35"/>
  <c r="F236" i="35"/>
  <c r="F235" i="35" s="1"/>
  <c r="F582" i="35"/>
  <c r="F581" i="35" s="1"/>
  <c r="F667" i="35"/>
  <c r="F666" i="35" s="1"/>
  <c r="AE118" i="58"/>
  <c r="AE102" i="58"/>
  <c r="T106" i="23"/>
  <c r="AJ106" i="23" s="1"/>
  <c r="AI106" i="23"/>
  <c r="T85" i="15"/>
  <c r="AJ85" i="15" s="1"/>
  <c r="AI85" i="15"/>
  <c r="T93" i="15"/>
  <c r="AJ93" i="15" s="1"/>
  <c r="AI93" i="15"/>
  <c r="S160" i="22"/>
  <c r="AI160" i="22" s="1"/>
  <c r="AH160" i="22"/>
  <c r="T124" i="15"/>
  <c r="AJ124" i="15" s="1"/>
  <c r="AI124" i="15"/>
  <c r="T140" i="15"/>
  <c r="AJ140" i="15" s="1"/>
  <c r="AI140" i="15"/>
  <c r="AI188" i="15"/>
  <c r="T188" i="15"/>
  <c r="AJ188" i="15" s="1"/>
  <c r="AI63" i="22"/>
  <c r="F316" i="35"/>
  <c r="G664" i="35"/>
  <c r="G663" i="35" s="1"/>
  <c r="T365" i="35"/>
  <c r="O52" i="35"/>
  <c r="K51" i="35"/>
  <c r="U396" i="35"/>
  <c r="J588" i="35"/>
  <c r="H587" i="35"/>
  <c r="T78" i="58" s="1"/>
  <c r="U656" i="35"/>
  <c r="AV120" i="58"/>
  <c r="AV96" i="58"/>
  <c r="AI73" i="15"/>
  <c r="AH73" i="15"/>
  <c r="AJ73" i="15" s="1"/>
  <c r="Q440" i="35"/>
  <c r="Q439" i="35" s="1"/>
  <c r="Q526" i="35"/>
  <c r="Q525" i="35" s="1"/>
  <c r="F230" i="35"/>
  <c r="F229" i="35" s="1"/>
  <c r="H233" i="35"/>
  <c r="H232" i="35" s="1"/>
  <c r="Q697" i="35"/>
  <c r="Q696" i="35" s="1"/>
  <c r="J138" i="35"/>
  <c r="F144" i="35"/>
  <c r="F143" i="35" s="1"/>
  <c r="U228" i="35"/>
  <c r="F447" i="35"/>
  <c r="T448" i="35"/>
  <c r="AI93" i="58"/>
  <c r="AI101" i="58"/>
  <c r="M596" i="35"/>
  <c r="O596" i="35" s="1"/>
  <c r="O597" i="35"/>
  <c r="G590" i="35"/>
  <c r="J591" i="35"/>
  <c r="T517" i="35"/>
  <c r="AA20" i="23"/>
  <c r="AJ20" i="23" s="1"/>
  <c r="AI20" i="23"/>
  <c r="AA82" i="24"/>
  <c r="AJ82" i="24" s="1"/>
  <c r="AI82" i="24"/>
  <c r="BJ22" i="24"/>
  <c r="BJ26" i="23"/>
  <c r="AI48" i="15"/>
  <c r="AA52" i="23"/>
  <c r="AJ52" i="23" s="1"/>
  <c r="AI52" i="23"/>
  <c r="AH70" i="15"/>
  <c r="AJ70" i="15" s="1"/>
  <c r="AI70" i="15"/>
  <c r="T170" i="15"/>
  <c r="AJ170" i="15" s="1"/>
  <c r="AI170" i="15"/>
  <c r="U308" i="35"/>
  <c r="U62" i="35"/>
  <c r="U623" i="35"/>
  <c r="V165" i="58"/>
  <c r="AH54" i="15"/>
  <c r="AJ54" i="15" s="1"/>
  <c r="AI54" i="15"/>
  <c r="AH98" i="15"/>
  <c r="AJ98" i="15" s="1"/>
  <c r="AI98" i="15"/>
  <c r="U136" i="35"/>
  <c r="O114" i="35"/>
  <c r="U68" i="35"/>
  <c r="AX138" i="58"/>
  <c r="T486" i="35"/>
  <c r="AV165" i="58"/>
  <c r="T46" i="23"/>
  <c r="AJ46" i="23" s="1"/>
  <c r="AI46" i="23"/>
  <c r="S22" i="22"/>
  <c r="AI22" i="22" s="1"/>
  <c r="AH22" i="22"/>
  <c r="AI150" i="15"/>
  <c r="AA150" i="15"/>
  <c r="AJ150" i="15" s="1"/>
  <c r="AV74" i="58"/>
  <c r="U56" i="35"/>
  <c r="U408" i="35"/>
  <c r="U506" i="35"/>
  <c r="O533" i="35"/>
  <c r="BD24" i="24"/>
  <c r="T39" i="23"/>
  <c r="AJ39" i="23" s="1"/>
  <c r="AI39" i="23"/>
  <c r="AI138" i="22"/>
  <c r="S82" i="22"/>
  <c r="AI82" i="22" s="1"/>
  <c r="AH82" i="22"/>
  <c r="Y33" i="64"/>
  <c r="Y43" i="64"/>
  <c r="Y66" i="64"/>
  <c r="Y77" i="64"/>
  <c r="AJ136" i="15"/>
  <c r="AV275" i="58"/>
  <c r="AV246" i="58"/>
  <c r="AR163" i="58"/>
  <c r="U142" i="35"/>
  <c r="U500" i="35"/>
  <c r="T168" i="58"/>
  <c r="BH24" i="24"/>
  <c r="AJ77" i="23"/>
  <c r="BJ39" i="23"/>
  <c r="AI80" i="23"/>
  <c r="S104" i="22"/>
  <c r="AI104" i="22" s="1"/>
  <c r="AH104" i="22"/>
  <c r="AI64" i="22"/>
  <c r="AJ145" i="15"/>
  <c r="AG78" i="22"/>
  <c r="AI78" i="22" s="1"/>
  <c r="AH78" i="22"/>
  <c r="Y32" i="64"/>
  <c r="Y37" i="64"/>
  <c r="AA133" i="15"/>
  <c r="AJ133" i="15" s="1"/>
  <c r="AI133" i="15"/>
  <c r="T167" i="58"/>
  <c r="T618" i="35"/>
  <c r="BJ27" i="22"/>
  <c r="G13" i="9"/>
  <c r="AB52" i="85"/>
  <c r="M12" i="15"/>
  <c r="M105" i="15" s="1"/>
  <c r="A10" i="15"/>
  <c r="Z13" i="15"/>
  <c r="Z106" i="15" s="1"/>
  <c r="AA13" i="15"/>
  <c r="AA106" i="15" s="1"/>
  <c r="AB13" i="15"/>
  <c r="AB106" i="15" s="1"/>
  <c r="W12" i="35"/>
  <c r="W98" i="35" s="1"/>
  <c r="W184" i="35" s="1"/>
  <c r="W270" i="35" s="1"/>
  <c r="W359" i="35" s="1"/>
  <c r="W445" i="35" s="1"/>
  <c r="W531" i="35" s="1"/>
  <c r="W616" i="35" s="1"/>
  <c r="V47" i="58"/>
  <c r="J673" i="35"/>
  <c r="AY19" i="23"/>
  <c r="BE44" i="23"/>
  <c r="BD21" i="34"/>
  <c r="J14" i="14"/>
  <c r="AB38" i="85"/>
  <c r="AC27" i="85"/>
  <c r="AB49" i="85"/>
  <c r="T86" i="85"/>
  <c r="A10" i="21"/>
  <c r="AF12" i="21"/>
  <c r="N13" i="21"/>
  <c r="E3" i="21"/>
  <c r="AD13" i="21"/>
  <c r="A1" i="15"/>
  <c r="L12" i="15"/>
  <c r="L105" i="15" s="1"/>
  <c r="AD13" i="15"/>
  <c r="AD106" i="15" s="1"/>
  <c r="AE13" i="15"/>
  <c r="AE106" i="15" s="1"/>
  <c r="AF13" i="15"/>
  <c r="AF106" i="15" s="1"/>
  <c r="E184" i="35"/>
  <c r="P270" i="35"/>
  <c r="G79" i="85"/>
  <c r="T76" i="85"/>
  <c r="Q13" i="15"/>
  <c r="Q106" i="15" s="1"/>
  <c r="G5" i="15"/>
  <c r="P13" i="15"/>
  <c r="P106" i="15" s="1"/>
  <c r="AH13" i="15"/>
  <c r="AH106" i="15" s="1"/>
  <c r="AI12" i="15"/>
  <c r="AI105" i="15" s="1"/>
  <c r="AK12" i="15"/>
  <c r="K14" i="35"/>
  <c r="K100" i="35" s="1"/>
  <c r="K186" i="35" s="1"/>
  <c r="K272" i="35" s="1"/>
  <c r="E12" i="23"/>
  <c r="E67" i="23" s="1"/>
  <c r="E89" i="23" s="1"/>
  <c r="E136" i="23" s="1"/>
  <c r="BF17" i="85"/>
  <c r="BF22" i="85" s="1"/>
  <c r="AY25" i="22"/>
  <c r="AY34" i="22" s="1"/>
  <c r="AJ83" i="24"/>
  <c r="K13" i="9"/>
  <c r="F13" i="9"/>
  <c r="AJ186" i="15"/>
  <c r="AH141" i="22"/>
  <c r="E12" i="15"/>
  <c r="E105" i="15" s="1"/>
  <c r="O13" i="15"/>
  <c r="O106" i="15" s="1"/>
  <c r="T13" i="15"/>
  <c r="T106" i="15" s="1"/>
  <c r="Y13" i="15"/>
  <c r="Y106" i="15" s="1"/>
  <c r="AL12" i="17"/>
  <c r="AL47" i="17" s="1"/>
  <c r="AK81" i="17" s="1"/>
  <c r="AK121" i="17" s="1"/>
  <c r="U14" i="35"/>
  <c r="U100" i="35" s="1"/>
  <c r="U186" i="35" s="1"/>
  <c r="U272" i="35" s="1"/>
  <c r="U360" i="35" s="1"/>
  <c r="U446" i="35" s="1"/>
  <c r="U532" i="35" s="1"/>
  <c r="U617" i="35" s="1"/>
  <c r="AC50" i="85"/>
  <c r="AC55" i="85"/>
  <c r="S70" i="85"/>
  <c r="E5" i="21"/>
  <c r="Q13" i="21"/>
  <c r="B5" i="21"/>
  <c r="AD12" i="21"/>
  <c r="N13" i="15"/>
  <c r="N106" i="15" s="1"/>
  <c r="S13" i="15"/>
  <c r="S106" i="15" s="1"/>
  <c r="AC13" i="15"/>
  <c r="AC106" i="15" s="1"/>
  <c r="U13" i="15"/>
  <c r="U106" i="15" s="1"/>
  <c r="A76" i="9"/>
  <c r="AJ13" i="23"/>
  <c r="AJ68" i="23" s="1"/>
  <c r="AJ90" i="23" s="1"/>
  <c r="AJ137" i="23" s="1"/>
  <c r="E98" i="35"/>
  <c r="B5" i="23"/>
  <c r="AB31" i="85"/>
  <c r="R13" i="15"/>
  <c r="R106" i="15" s="1"/>
  <c r="A12" i="15"/>
  <c r="A105" i="15" s="1"/>
  <c r="AG13" i="15"/>
  <c r="AG106" i="15" s="1"/>
  <c r="AI13" i="15"/>
  <c r="AI106" i="15" s="1"/>
  <c r="AM12" i="15"/>
  <c r="AM105" i="15" s="1"/>
  <c r="T14" i="35"/>
  <c r="T100" i="35" s="1"/>
  <c r="T186" i="35" s="1"/>
  <c r="T272" i="35" s="1"/>
  <c r="E445" i="35"/>
  <c r="F75" i="85"/>
  <c r="B5" i="15"/>
  <c r="B3" i="15"/>
  <c r="V13" i="15"/>
  <c r="V106" i="15" s="1"/>
  <c r="W13" i="15"/>
  <c r="W106" i="15" s="1"/>
  <c r="S14" i="35"/>
  <c r="S100" i="35" s="1"/>
  <c r="S186" i="35" s="1"/>
  <c r="S272" i="35" s="1"/>
  <c r="U601" i="35"/>
  <c r="R75" i="58"/>
  <c r="S167" i="35"/>
  <c r="AV4" i="58" s="1"/>
  <c r="T168" i="35"/>
  <c r="F187" i="35"/>
  <c r="J188" i="35"/>
  <c r="O188" i="35"/>
  <c r="R468" i="35"/>
  <c r="BJ45" i="17"/>
  <c r="AH159" i="15"/>
  <c r="AJ159" i="15" s="1"/>
  <c r="AI159" i="15"/>
  <c r="AH71" i="22"/>
  <c r="S71" i="22"/>
  <c r="AI71" i="22" s="1"/>
  <c r="Z61" i="22"/>
  <c r="AH61" i="22"/>
  <c r="Z67" i="22"/>
  <c r="AI67" i="22" s="1"/>
  <c r="AH67" i="22"/>
  <c r="AE78" i="58"/>
  <c r="O250" i="35"/>
  <c r="AE87" i="58"/>
  <c r="O78" i="35"/>
  <c r="AE74" i="58"/>
  <c r="AE83" i="58"/>
  <c r="O167" i="35"/>
  <c r="AE246" i="58"/>
  <c r="AE236" i="58"/>
  <c r="AE275" i="58"/>
  <c r="AE187" i="58"/>
  <c r="AE226" i="58"/>
  <c r="AE216" i="58"/>
  <c r="K321" i="35"/>
  <c r="AI138" i="58"/>
  <c r="AK138" i="58" s="1"/>
  <c r="O134" i="35"/>
  <c r="T188" i="35"/>
  <c r="I187" i="35"/>
  <c r="H545" i="35"/>
  <c r="T234" i="58" s="1"/>
  <c r="M581" i="35"/>
  <c r="AR181" i="58"/>
  <c r="AP110" i="58"/>
  <c r="L691" i="35"/>
  <c r="L88" i="35"/>
  <c r="L87" i="35" s="1"/>
  <c r="AE52" i="58" s="1"/>
  <c r="L260" i="35"/>
  <c r="L259" i="35" s="1"/>
  <c r="L434" i="35"/>
  <c r="F319" i="35"/>
  <c r="F233" i="35"/>
  <c r="F232" i="35" s="1"/>
  <c r="F664" i="35"/>
  <c r="AE99" i="58"/>
  <c r="AR269" i="58"/>
  <c r="AC94" i="58"/>
  <c r="AC102" i="58"/>
  <c r="J156" i="35"/>
  <c r="T129" i="35"/>
  <c r="AP72" i="58"/>
  <c r="J194" i="35"/>
  <c r="AG74" i="58"/>
  <c r="T265" i="35"/>
  <c r="J487" i="35"/>
  <c r="AP119" i="58"/>
  <c r="G582" i="35"/>
  <c r="G581" i="35" s="1"/>
  <c r="L174" i="35"/>
  <c r="L173" i="35" s="1"/>
  <c r="AE53" i="58" s="1"/>
  <c r="F422" i="35"/>
  <c r="M440" i="35"/>
  <c r="M439" i="35" s="1"/>
  <c r="U399" i="35"/>
  <c r="AI36" i="58"/>
  <c r="AI28" i="58"/>
  <c r="AI18" i="58"/>
  <c r="AI42" i="58"/>
  <c r="AP46" i="58"/>
  <c r="AP38" i="58"/>
  <c r="T242" i="58"/>
  <c r="T251" i="58"/>
  <c r="T261" i="58"/>
  <c r="J51" i="35"/>
  <c r="J155" i="35"/>
  <c r="AP81" i="58"/>
  <c r="R494" i="58"/>
  <c r="F76" i="35"/>
  <c r="F75" i="35" s="1"/>
  <c r="P65" i="58" s="1"/>
  <c r="F679" i="35"/>
  <c r="F508" i="35"/>
  <c r="F594" i="35"/>
  <c r="F593" i="35" s="1"/>
  <c r="AX21" i="34"/>
  <c r="M576" i="35"/>
  <c r="M575" i="35" s="1"/>
  <c r="M404" i="35"/>
  <c r="M403" i="35" s="1"/>
  <c r="BD19" i="23"/>
  <c r="AP90" i="58"/>
  <c r="P84" i="58"/>
  <c r="AR230" i="58"/>
  <c r="AR220" i="58"/>
  <c r="P230" i="58"/>
  <c r="AG19" i="58"/>
  <c r="K113" i="35"/>
  <c r="O113" i="35" s="1"/>
  <c r="T128" i="35"/>
  <c r="M266" i="35"/>
  <c r="M265" i="35" s="1"/>
  <c r="AP95" i="58"/>
  <c r="AI44" i="58"/>
  <c r="G667" i="35"/>
  <c r="G666" i="35" s="1"/>
  <c r="L606" i="35"/>
  <c r="L605" i="35" s="1"/>
  <c r="M697" i="35"/>
  <c r="AI69" i="22"/>
  <c r="AE42" i="58"/>
  <c r="AE34" i="58"/>
  <c r="J416" i="35"/>
  <c r="G415" i="35"/>
  <c r="AT32" i="58"/>
  <c r="AT24" i="58"/>
  <c r="S373" i="35"/>
  <c r="K486" i="35"/>
  <c r="O487" i="35"/>
  <c r="AR265" i="58"/>
  <c r="AR216" i="58"/>
  <c r="AR226" i="58"/>
  <c r="F654" i="35"/>
  <c r="P168" i="58" s="1"/>
  <c r="J655" i="35"/>
  <c r="AP92" i="58"/>
  <c r="P75" i="58"/>
  <c r="AR259" i="58"/>
  <c r="AR210" i="58"/>
  <c r="P191" i="58"/>
  <c r="AE31" i="58"/>
  <c r="O367" i="35"/>
  <c r="M180" i="35"/>
  <c r="M179" i="35" s="1"/>
  <c r="O168" i="35"/>
  <c r="AE19" i="58"/>
  <c r="O368" i="35"/>
  <c r="J141" i="35"/>
  <c r="AI84" i="58"/>
  <c r="J16" i="35"/>
  <c r="AG35" i="58"/>
  <c r="AP111" i="58"/>
  <c r="AI26" i="58"/>
  <c r="G150" i="35"/>
  <c r="F248" i="35"/>
  <c r="F247" i="35" s="1"/>
  <c r="M144" i="35"/>
  <c r="M143" i="35" s="1"/>
  <c r="AG254" i="58"/>
  <c r="AG245" i="58"/>
  <c r="AG235" i="58"/>
  <c r="F621" i="35"/>
  <c r="J622" i="35"/>
  <c r="H84" i="35"/>
  <c r="J85" i="35"/>
  <c r="R256" i="35"/>
  <c r="AT39" i="58" s="1"/>
  <c r="T257" i="35"/>
  <c r="M459" i="35"/>
  <c r="AG243" i="58" s="1"/>
  <c r="H447" i="35"/>
  <c r="J448" i="35"/>
  <c r="AC4" i="58"/>
  <c r="AC12" i="58"/>
  <c r="AC2" i="58"/>
  <c r="I618" i="35"/>
  <c r="J618" i="35" s="1"/>
  <c r="T619" i="35"/>
  <c r="R41" i="58"/>
  <c r="R33" i="58"/>
  <c r="R49" i="58"/>
  <c r="Q430" i="35"/>
  <c r="T431" i="35"/>
  <c r="T155" i="15"/>
  <c r="AJ155" i="15" s="1"/>
  <c r="AI155" i="15"/>
  <c r="S60" i="22"/>
  <c r="AI60" i="22" s="1"/>
  <c r="AH60" i="22"/>
  <c r="S68" i="22"/>
  <c r="AI68" i="22" s="1"/>
  <c r="AH68" i="22"/>
  <c r="R398" i="58"/>
  <c r="F137" i="35"/>
  <c r="J137" i="35" s="1"/>
  <c r="AP75" i="58"/>
  <c r="AP25" i="58"/>
  <c r="J349" i="35"/>
  <c r="O619" i="35"/>
  <c r="AC10" i="58"/>
  <c r="F162" i="35"/>
  <c r="M661" i="35"/>
  <c r="M660" i="35" s="1"/>
  <c r="P109" i="58"/>
  <c r="P101" i="58"/>
  <c r="AV34" i="58"/>
  <c r="AV28" i="58"/>
  <c r="AV18" i="58"/>
  <c r="AV36" i="58"/>
  <c r="AV20" i="58"/>
  <c r="AC90" i="58"/>
  <c r="AC114" i="58"/>
  <c r="R587" i="35"/>
  <c r="T587" i="35" s="1"/>
  <c r="T588" i="35"/>
  <c r="AP106" i="58"/>
  <c r="AR240" i="58"/>
  <c r="P162" i="58"/>
  <c r="T611" i="35"/>
  <c r="T579" i="35"/>
  <c r="L520" i="35"/>
  <c r="L519" i="35" s="1"/>
  <c r="AE55" i="58" s="1"/>
  <c r="F493" i="35"/>
  <c r="F492" i="35" s="1"/>
  <c r="AV90" i="58"/>
  <c r="AV116" i="58"/>
  <c r="AV100" i="58"/>
  <c r="AH69" i="22"/>
  <c r="P560" i="35"/>
  <c r="T560" i="35" s="1"/>
  <c r="T561" i="35"/>
  <c r="I661" i="35"/>
  <c r="I660" i="35" s="1"/>
  <c r="I58" i="35"/>
  <c r="I57" i="35" s="1"/>
  <c r="I576" i="35"/>
  <c r="I575" i="35" s="1"/>
  <c r="I490" i="35"/>
  <c r="I489" i="35" s="1"/>
  <c r="BA19" i="23"/>
  <c r="I316" i="35"/>
  <c r="I315" i="35" s="1"/>
  <c r="M322" i="35"/>
  <c r="M321" i="35" s="1"/>
  <c r="M667" i="35"/>
  <c r="M666" i="35" s="1"/>
  <c r="M150" i="35"/>
  <c r="M149" i="35" s="1"/>
  <c r="M64" i="35"/>
  <c r="M63" i="35" s="1"/>
  <c r="M236" i="35"/>
  <c r="G236" i="35"/>
  <c r="G496" i="35"/>
  <c r="G322" i="35"/>
  <c r="G410" i="35"/>
  <c r="G409" i="35" s="1"/>
  <c r="G64" i="35"/>
  <c r="M526" i="35"/>
  <c r="M612" i="35"/>
  <c r="M611" i="35" s="1"/>
  <c r="AI211" i="58"/>
  <c r="U311" i="35"/>
  <c r="T567" i="35"/>
  <c r="S566" i="35"/>
  <c r="T566" i="35" s="1"/>
  <c r="K599" i="35"/>
  <c r="AC7" i="58" s="1"/>
  <c r="O600" i="35"/>
  <c r="AE17" i="58"/>
  <c r="AE9" i="58"/>
  <c r="T167" i="15"/>
  <c r="AJ167" i="15" s="1"/>
  <c r="AI167" i="15"/>
  <c r="T175" i="15"/>
  <c r="AJ175" i="15" s="1"/>
  <c r="AI175" i="15"/>
  <c r="S70" i="22"/>
  <c r="AI70" i="22" s="1"/>
  <c r="AH70" i="22"/>
  <c r="Q116" i="35"/>
  <c r="T117" i="35"/>
  <c r="F176" i="35"/>
  <c r="J176" i="35" s="1"/>
  <c r="J177" i="35"/>
  <c r="J81" i="35"/>
  <c r="R11" i="58"/>
  <c r="X11" i="58" s="1"/>
  <c r="S693" i="35"/>
  <c r="T694" i="35"/>
  <c r="BJ29" i="23"/>
  <c r="BB44" i="23"/>
  <c r="BJ38" i="23"/>
  <c r="K430" i="35"/>
  <c r="O430" i="35" s="1"/>
  <c r="O431" i="35"/>
  <c r="P170" i="35"/>
  <c r="AP20" i="58" s="1"/>
  <c r="T171" i="35"/>
  <c r="AC93" i="58"/>
  <c r="AC101" i="58"/>
  <c r="AA125" i="23"/>
  <c r="AJ125" i="23" s="1"/>
  <c r="AI125" i="23"/>
  <c r="AA174" i="23"/>
  <c r="AJ174" i="23" s="1"/>
  <c r="AI174" i="23"/>
  <c r="T117" i="23"/>
  <c r="AJ117" i="23" s="1"/>
  <c r="AI117" i="23"/>
  <c r="AA22" i="23"/>
  <c r="AJ22" i="23" s="1"/>
  <c r="AI22" i="23"/>
  <c r="T17" i="23"/>
  <c r="AJ17" i="23" s="1"/>
  <c r="AI17" i="23"/>
  <c r="T51" i="23"/>
  <c r="AJ51" i="23" s="1"/>
  <c r="AI51" i="23"/>
  <c r="U252" i="35"/>
  <c r="U686" i="35"/>
  <c r="AT233" i="58"/>
  <c r="AT252" i="58"/>
  <c r="Q385" i="35"/>
  <c r="H594" i="35"/>
  <c r="H593" i="35" s="1"/>
  <c r="H679" i="35"/>
  <c r="H678" i="35" s="1"/>
  <c r="M233" i="35"/>
  <c r="M232" i="35" s="1"/>
  <c r="M147" i="35"/>
  <c r="M146" i="35" s="1"/>
  <c r="R664" i="35"/>
  <c r="R663" i="35" s="1"/>
  <c r="R233" i="35"/>
  <c r="S667" i="35"/>
  <c r="S666" i="35" s="1"/>
  <c r="S150" i="35"/>
  <c r="S149" i="35" s="1"/>
  <c r="S236" i="35"/>
  <c r="S235" i="35" s="1"/>
  <c r="S322" i="35"/>
  <c r="S321" i="35" s="1"/>
  <c r="Q582" i="35"/>
  <c r="Q581" i="35" s="1"/>
  <c r="Q496" i="35"/>
  <c r="Q495" i="35" s="1"/>
  <c r="Q322" i="35"/>
  <c r="Q321" i="35" s="1"/>
  <c r="Q236" i="35"/>
  <c r="Q235" i="35" s="1"/>
  <c r="T123" i="23"/>
  <c r="AJ123" i="23" s="1"/>
  <c r="AI123" i="23"/>
  <c r="AA116" i="23"/>
  <c r="AJ116" i="23" s="1"/>
  <c r="AI116" i="23"/>
  <c r="R526" i="35"/>
  <c r="R697" i="35"/>
  <c r="T166" i="23"/>
  <c r="AJ166" i="23" s="1"/>
  <c r="AI166" i="23"/>
  <c r="AA92" i="15"/>
  <c r="AJ92" i="15" s="1"/>
  <c r="AI92" i="15"/>
  <c r="U192" i="35"/>
  <c r="AI141" i="22"/>
  <c r="M197" i="35"/>
  <c r="M196" i="35" s="1"/>
  <c r="U240" i="35"/>
  <c r="T230" i="58"/>
  <c r="T249" i="58"/>
  <c r="AT112" i="58"/>
  <c r="AT96" i="58"/>
  <c r="AT120" i="58"/>
  <c r="AE2" i="58"/>
  <c r="AE4" i="58"/>
  <c r="BJ25" i="15"/>
  <c r="AH61" i="23"/>
  <c r="AJ61" i="23" s="1"/>
  <c r="AI61" i="23"/>
  <c r="AH126" i="23"/>
  <c r="AJ126" i="23" s="1"/>
  <c r="AI126" i="23"/>
  <c r="U157" i="35"/>
  <c r="U151" i="35"/>
  <c r="AR164" i="58"/>
  <c r="R202" i="35"/>
  <c r="T203" i="35"/>
  <c r="AG546" i="58"/>
  <c r="U320" i="35"/>
  <c r="U175" i="35"/>
  <c r="M81" i="35"/>
  <c r="O82" i="35"/>
  <c r="AI166" i="58"/>
  <c r="G220" i="35"/>
  <c r="R141" i="58" s="1"/>
  <c r="J221" i="35"/>
  <c r="I174" i="35"/>
  <c r="I173" i="35" s="1"/>
  <c r="V53" i="58" s="1"/>
  <c r="I88" i="35"/>
  <c r="I87" i="35" s="1"/>
  <c r="V52" i="58" s="1"/>
  <c r="I260" i="35"/>
  <c r="I259" i="35" s="1"/>
  <c r="T90" i="15"/>
  <c r="AJ90" i="15" s="1"/>
  <c r="AI90" i="15"/>
  <c r="T38" i="23"/>
  <c r="AJ38" i="23" s="1"/>
  <c r="AI38" i="23"/>
  <c r="AI35" i="23"/>
  <c r="AA35" i="23"/>
  <c r="AJ35" i="23" s="1"/>
  <c r="Z154" i="22"/>
  <c r="AI154" i="22" s="1"/>
  <c r="AH154" i="22"/>
  <c r="AA185" i="15"/>
  <c r="AJ185" i="15" s="1"/>
  <c r="AI185" i="15"/>
  <c r="AG62" i="22"/>
  <c r="AI62" i="22" s="1"/>
  <c r="AH62" i="22"/>
  <c r="Z59" i="22"/>
  <c r="AI59" i="22" s="1"/>
  <c r="AH59" i="22"/>
  <c r="AI49" i="23"/>
  <c r="T49" i="23"/>
  <c r="AJ49" i="23" s="1"/>
  <c r="AH71" i="15"/>
  <c r="AJ71" i="15" s="1"/>
  <c r="AI71" i="15"/>
  <c r="T74" i="15"/>
  <c r="AJ74" i="15" s="1"/>
  <c r="AI74" i="15"/>
  <c r="AG137" i="22"/>
  <c r="AI137" i="22" s="1"/>
  <c r="AH137" i="22"/>
  <c r="S79" i="22"/>
  <c r="AI79" i="22" s="1"/>
  <c r="AH79" i="22"/>
  <c r="AI165" i="58"/>
  <c r="K306" i="35"/>
  <c r="O307" i="35"/>
  <c r="G300" i="35"/>
  <c r="J300" i="35" s="1"/>
  <c r="J301" i="35"/>
  <c r="P46" i="58"/>
  <c r="P30" i="58"/>
  <c r="P40" i="58"/>
  <c r="P48" i="58"/>
  <c r="K606" i="35"/>
  <c r="K605" i="35" s="1"/>
  <c r="K260" i="35"/>
  <c r="K259" i="35" s="1"/>
  <c r="Q248" i="35"/>
  <c r="Q247" i="35" s="1"/>
  <c r="Q422" i="35"/>
  <c r="Q421" i="35" s="1"/>
  <c r="Q162" i="35"/>
  <c r="Q161" i="35" s="1"/>
  <c r="AR66" i="58" s="1"/>
  <c r="Q319" i="35"/>
  <c r="Q407" i="35"/>
  <c r="P496" i="35"/>
  <c r="P495" i="35" s="1"/>
  <c r="P64" i="35"/>
  <c r="P410" i="35"/>
  <c r="P409" i="35" s="1"/>
  <c r="P322" i="35"/>
  <c r="P321" i="35" s="1"/>
  <c r="P667" i="35"/>
  <c r="P666" i="35" s="1"/>
  <c r="AR118" i="58"/>
  <c r="AR102" i="58"/>
  <c r="AT165" i="58"/>
  <c r="R596" i="35"/>
  <c r="T596" i="35" s="1"/>
  <c r="T597" i="35"/>
  <c r="T45" i="23"/>
  <c r="AJ45" i="23" s="1"/>
  <c r="AI45" i="23"/>
  <c r="Z97" i="22"/>
  <c r="AI97" i="22" s="1"/>
  <c r="AH97" i="22"/>
  <c r="T84" i="24"/>
  <c r="AJ84" i="24" s="1"/>
  <c r="AI84" i="24"/>
  <c r="AA86" i="24"/>
  <c r="AJ86" i="24" s="1"/>
  <c r="AI86" i="24"/>
  <c r="S80" i="22"/>
  <c r="AI80" i="22" s="1"/>
  <c r="AH80" i="22"/>
  <c r="AG88" i="58"/>
  <c r="U586" i="35"/>
  <c r="T2" i="58"/>
  <c r="T12" i="58"/>
  <c r="AP10" i="58"/>
  <c r="AP4" i="58"/>
  <c r="T104" i="58"/>
  <c r="T120" i="58"/>
  <c r="R334" i="35"/>
  <c r="R333" i="35" s="1"/>
  <c r="R508" i="35"/>
  <c r="R507" i="35" s="1"/>
  <c r="R679" i="35"/>
  <c r="Q330" i="35"/>
  <c r="T331" i="35"/>
  <c r="J596" i="35"/>
  <c r="AA36" i="23"/>
  <c r="AJ36" i="23" s="1"/>
  <c r="AI36" i="23"/>
  <c r="Z118" i="22"/>
  <c r="AI118" i="22" s="1"/>
  <c r="AH118" i="22"/>
  <c r="Z108" i="22"/>
  <c r="AI108" i="22" s="1"/>
  <c r="AH108" i="22"/>
  <c r="AA87" i="24"/>
  <c r="AJ87" i="24" s="1"/>
  <c r="AI87" i="24"/>
  <c r="S23" i="22"/>
  <c r="AI23" i="22" s="1"/>
  <c r="AH23" i="22"/>
  <c r="S31" i="22"/>
  <c r="AI31" i="22" s="1"/>
  <c r="AH31" i="22"/>
  <c r="R543" i="35"/>
  <c r="R542" i="35" s="1"/>
  <c r="BJ37" i="34"/>
  <c r="U163" i="35"/>
  <c r="U512" i="35"/>
  <c r="U521" i="35"/>
  <c r="U518" i="35"/>
  <c r="AT167" i="58"/>
  <c r="U314" i="35"/>
  <c r="U258" i="35"/>
  <c r="U417" i="35"/>
  <c r="T652" i="35"/>
  <c r="S651" i="35"/>
  <c r="AV143" i="58" s="1"/>
  <c r="AX143" i="58" s="1"/>
  <c r="AP103" i="58"/>
  <c r="AJ139" i="15"/>
  <c r="Q88" i="35"/>
  <c r="Q434" i="35"/>
  <c r="Q433" i="35" s="1"/>
  <c r="BA24" i="24"/>
  <c r="T131" i="15"/>
  <c r="AJ131" i="15" s="1"/>
  <c r="AI131" i="15"/>
  <c r="T147" i="15"/>
  <c r="AJ147" i="15" s="1"/>
  <c r="AI147" i="15"/>
  <c r="U139" i="35"/>
  <c r="J165" i="35"/>
  <c r="U103" i="35"/>
  <c r="U95" i="35"/>
  <c r="AR162" i="58"/>
  <c r="J619" i="35"/>
  <c r="O135" i="35"/>
  <c r="U497" i="35"/>
  <c r="U488" i="35"/>
  <c r="R168" i="58"/>
  <c r="J657" i="35"/>
  <c r="J599" i="35"/>
  <c r="I594" i="35"/>
  <c r="I593" i="35" s="1"/>
  <c r="I248" i="35"/>
  <c r="I247" i="35" s="1"/>
  <c r="G422" i="35"/>
  <c r="G421" i="35" s="1"/>
  <c r="G248" i="35"/>
  <c r="G247" i="35" s="1"/>
  <c r="G334" i="35"/>
  <c r="G333" i="35" s="1"/>
  <c r="G508" i="35"/>
  <c r="G507" i="35" s="1"/>
  <c r="BJ31" i="23"/>
  <c r="AJ40" i="15"/>
  <c r="AA72" i="15"/>
  <c r="AI72" i="15"/>
  <c r="AH122" i="15"/>
  <c r="AJ122" i="15" s="1"/>
  <c r="AI122" i="15"/>
  <c r="AP78" i="58"/>
  <c r="AG162" i="58"/>
  <c r="J523" i="35"/>
  <c r="N594" i="35"/>
  <c r="N593" i="35" s="1"/>
  <c r="N334" i="35"/>
  <c r="N333" i="35" s="1"/>
  <c r="L612" i="35"/>
  <c r="L440" i="35"/>
  <c r="AI162" i="22"/>
  <c r="Y81" i="64"/>
  <c r="O339" i="35"/>
  <c r="BC24" i="24"/>
  <c r="AI23" i="58"/>
  <c r="AJ161" i="15"/>
  <c r="T124" i="23"/>
  <c r="AJ124" i="23" s="1"/>
  <c r="AI124" i="23"/>
  <c r="S99" i="22"/>
  <c r="AI99" i="22" s="1"/>
  <c r="AH99" i="22"/>
  <c r="AH153" i="22"/>
  <c r="S153" i="22"/>
  <c r="AI153" i="22" s="1"/>
  <c r="Y19" i="64"/>
  <c r="Y58" i="64"/>
  <c r="Y61" i="64"/>
  <c r="T181" i="15"/>
  <c r="AJ181" i="15" s="1"/>
  <c r="AI181" i="15"/>
  <c r="O384" i="35"/>
  <c r="T470" i="35"/>
  <c r="J556" i="35"/>
  <c r="O556" i="35"/>
  <c r="O641" i="35"/>
  <c r="AH63" i="22"/>
  <c r="U166" i="35"/>
  <c r="U86" i="35"/>
  <c r="U109" i="35"/>
  <c r="U178" i="35"/>
  <c r="O165" i="35"/>
  <c r="AE165" i="58"/>
  <c r="AT204" i="58"/>
  <c r="AI140" i="22"/>
  <c r="AR47" i="58"/>
  <c r="T49" i="15"/>
  <c r="AJ49" i="15" s="1"/>
  <c r="AI49" i="15"/>
  <c r="T169" i="23"/>
  <c r="AJ169" i="23" s="1"/>
  <c r="AI169" i="23"/>
  <c r="AJ81" i="15"/>
  <c r="AA75" i="15"/>
  <c r="AJ75" i="15" s="1"/>
  <c r="AI75" i="15"/>
  <c r="AH67" i="15"/>
  <c r="AJ67" i="15" s="1"/>
  <c r="AI67" i="15"/>
  <c r="T184" i="15"/>
  <c r="AJ184" i="15" s="1"/>
  <c r="AI184" i="15"/>
  <c r="T119" i="58"/>
  <c r="U674" i="35"/>
  <c r="U402" i="35"/>
  <c r="AC168" i="58"/>
  <c r="J328" i="35"/>
  <c r="AH83" i="23"/>
  <c r="AJ83" i="23" s="1"/>
  <c r="AI83" i="23"/>
  <c r="AA62" i="15"/>
  <c r="AJ62" i="15" s="1"/>
  <c r="AI62" i="15"/>
  <c r="J384" i="35"/>
  <c r="T556" i="35"/>
  <c r="AH57" i="22"/>
  <c r="U455" i="35"/>
  <c r="P87" i="58"/>
  <c r="AH119" i="22"/>
  <c r="AI186" i="15"/>
  <c r="AJ167" i="23"/>
  <c r="Y27" i="64"/>
  <c r="Y35" i="64"/>
  <c r="Y63" i="64"/>
  <c r="Y71" i="64"/>
  <c r="Y74" i="64"/>
  <c r="U77" i="35"/>
  <c r="U595" i="35"/>
  <c r="U680" i="35"/>
  <c r="U535" i="35"/>
  <c r="P88" i="58"/>
  <c r="U426" i="35"/>
  <c r="U261" i="35"/>
  <c r="AC47" i="58"/>
  <c r="AG89" i="58"/>
  <c r="AI103" i="58"/>
  <c r="AJ29" i="23"/>
  <c r="AI161" i="15"/>
  <c r="AI173" i="23"/>
  <c r="AI145" i="15"/>
  <c r="AJ178" i="15"/>
  <c r="Y23" i="64"/>
  <c r="Y28" i="64"/>
  <c r="Y39" i="64"/>
  <c r="Y47" i="64"/>
  <c r="Y62" i="64"/>
  <c r="Y70" i="64"/>
  <c r="Y78" i="64"/>
  <c r="Y86" i="64"/>
  <c r="AI149" i="15"/>
  <c r="AB27" i="85"/>
  <c r="AV18" i="85"/>
  <c r="T31" i="85"/>
  <c r="AC31" i="85" s="1"/>
  <c r="BJ28" i="22"/>
  <c r="AI167" i="23"/>
  <c r="AH111" i="22"/>
  <c r="AH140" i="22"/>
  <c r="P254" i="35"/>
  <c r="P253" i="35" s="1"/>
  <c r="T253" i="35" s="1"/>
  <c r="P82" i="35"/>
  <c r="P81" i="35" s="1"/>
  <c r="M49" i="85"/>
  <c r="AC49" i="85" s="1"/>
  <c r="AW17" i="85"/>
  <c r="AW22" i="85" s="1"/>
  <c r="AC51" i="85"/>
  <c r="AB24" i="85"/>
  <c r="AB43" i="85"/>
  <c r="AC22" i="85"/>
  <c r="AB40" i="85"/>
  <c r="AC47" i="85"/>
  <c r="M91" i="85"/>
  <c r="AB22" i="85"/>
  <c r="AB14" i="85"/>
  <c r="AC32" i="85"/>
  <c r="AC43" i="85"/>
  <c r="U12" i="17"/>
  <c r="U47" i="17" s="1"/>
  <c r="T81" i="17" s="1"/>
  <c r="T121" i="17" s="1"/>
  <c r="AB12" i="17"/>
  <c r="AB47" i="17" s="1"/>
  <c r="AA81" i="17" s="1"/>
  <c r="AA121" i="17" s="1"/>
  <c r="AC35" i="85"/>
  <c r="AB41" i="85"/>
  <c r="AC52" i="85"/>
  <c r="L87" i="85"/>
  <c r="J87" i="85"/>
  <c r="AY14" i="85"/>
  <c r="AB56" i="85"/>
  <c r="H17" i="11"/>
  <c r="H14" i="11" s="1"/>
  <c r="AM12" i="17"/>
  <c r="V13" i="17"/>
  <c r="V48" i="17" s="1"/>
  <c r="U82" i="17" s="1"/>
  <c r="U122" i="17" s="1"/>
  <c r="R13" i="23"/>
  <c r="R68" i="23" s="1"/>
  <c r="R90" i="23" s="1"/>
  <c r="R137" i="23" s="1"/>
  <c r="Y13" i="34"/>
  <c r="Y41" i="34" s="1"/>
  <c r="Y63" i="34" s="1"/>
  <c r="Y129" i="34" s="1"/>
  <c r="T13" i="24"/>
  <c r="T67" i="24" s="1"/>
  <c r="AC13" i="24"/>
  <c r="AC67" i="24" s="1"/>
  <c r="R13" i="24"/>
  <c r="R67" i="24" s="1"/>
  <c r="W13" i="24"/>
  <c r="W67" i="24" s="1"/>
  <c r="Q13" i="24"/>
  <c r="Q67" i="24" s="1"/>
  <c r="AK12" i="24"/>
  <c r="U12" i="35"/>
  <c r="U98" i="35" s="1"/>
  <c r="U184" i="35" s="1"/>
  <c r="U270" i="35" s="1"/>
  <c r="U359" i="35" s="1"/>
  <c r="U445" i="35" s="1"/>
  <c r="U531" i="35" s="1"/>
  <c r="U616" i="35" s="1"/>
  <c r="J14" i="35"/>
  <c r="J100" i="35" s="1"/>
  <c r="J186" i="35" s="1"/>
  <c r="J272" i="35" s="1"/>
  <c r="A79" i="17"/>
  <c r="P531" i="35"/>
  <c r="F270" i="35"/>
  <c r="F531" i="35"/>
  <c r="N12" i="23"/>
  <c r="U12" i="23" s="1"/>
  <c r="U67" i="23" s="1"/>
  <c r="A7" i="35"/>
  <c r="S78" i="85"/>
  <c r="R90" i="85"/>
  <c r="I12" i="17"/>
  <c r="I47" i="17" s="1"/>
  <c r="G81" i="17" s="1"/>
  <c r="G121" i="17" s="1"/>
  <c r="AC13" i="17"/>
  <c r="AC48" i="17" s="1"/>
  <c r="AB82" i="17" s="1"/>
  <c r="AB122" i="17" s="1"/>
  <c r="S13" i="23"/>
  <c r="S68" i="23" s="1"/>
  <c r="S90" i="23" s="1"/>
  <c r="S137" i="23" s="1"/>
  <c r="M12" i="34"/>
  <c r="M40" i="34" s="1"/>
  <c r="M62" i="34" s="1"/>
  <c r="M128" i="34" s="1"/>
  <c r="AL12" i="24"/>
  <c r="AL66" i="24" s="1"/>
  <c r="AA13" i="24"/>
  <c r="AA67" i="24" s="1"/>
  <c r="AF13" i="24"/>
  <c r="AF67" i="24" s="1"/>
  <c r="AD13" i="24"/>
  <c r="AD67" i="24" s="1"/>
  <c r="A126" i="34"/>
  <c r="G12" i="21"/>
  <c r="P445" i="35"/>
  <c r="K616" i="35"/>
  <c r="P98" i="35"/>
  <c r="R64" i="85"/>
  <c r="T64" i="85"/>
  <c r="S65" i="85"/>
  <c r="R66" i="85"/>
  <c r="T66" i="85"/>
  <c r="S68" i="85"/>
  <c r="R69" i="85"/>
  <c r="T69" i="85"/>
  <c r="R72" i="85"/>
  <c r="T72" i="85"/>
  <c r="S73" i="85"/>
  <c r="T74" i="85"/>
  <c r="S76" i="85"/>
  <c r="R77" i="85"/>
  <c r="T77" i="85"/>
  <c r="R80" i="85"/>
  <c r="T80" i="85"/>
  <c r="S81" i="85"/>
  <c r="R82" i="85"/>
  <c r="T82" i="85"/>
  <c r="R85" i="85"/>
  <c r="T85" i="85"/>
  <c r="S86" i="85"/>
  <c r="R88" i="85"/>
  <c r="T88" i="85"/>
  <c r="S89" i="85"/>
  <c r="T90" i="85"/>
  <c r="AM47" i="17"/>
  <c r="AJ13" i="17"/>
  <c r="AJ48" i="17" s="1"/>
  <c r="AI82" i="17" s="1"/>
  <c r="AI122" i="17" s="1"/>
  <c r="P184" i="35"/>
  <c r="M12" i="22"/>
  <c r="F12" i="35"/>
  <c r="J13" i="64" s="1"/>
  <c r="J53" i="64" s="1"/>
  <c r="K184" i="35"/>
  <c r="B5" i="17"/>
  <c r="AB13" i="17"/>
  <c r="AB48" i="17" s="1"/>
  <c r="AA82" i="17" s="1"/>
  <c r="AA122" i="17" s="1"/>
  <c r="S13" i="17"/>
  <c r="S48" i="17" s="1"/>
  <c r="R82" i="17" s="1"/>
  <c r="R122" i="17" s="1"/>
  <c r="AG13" i="23"/>
  <c r="AG68" i="23" s="1"/>
  <c r="AG90" i="23" s="1"/>
  <c r="AG137" i="23" s="1"/>
  <c r="AK13" i="34"/>
  <c r="G5" i="24"/>
  <c r="E12" i="24"/>
  <c r="E66" i="24" s="1"/>
  <c r="AK13" i="24"/>
  <c r="AK67" i="24" s="1"/>
  <c r="V14" i="35"/>
  <c r="V100" i="35" s="1"/>
  <c r="V186" i="35" s="1"/>
  <c r="V272" i="35" s="1"/>
  <c r="V360" i="35" s="1"/>
  <c r="V446" i="35" s="1"/>
  <c r="V532" i="35" s="1"/>
  <c r="V617" i="35" s="1"/>
  <c r="A12" i="35"/>
  <c r="A98" i="35" s="1"/>
  <c r="A184" i="35" s="1"/>
  <c r="A270" i="35" s="1"/>
  <c r="A531" i="35"/>
  <c r="F616" i="35"/>
  <c r="P12" i="35"/>
  <c r="T13" i="64" s="1"/>
  <c r="T53" i="64" s="1"/>
  <c r="N12" i="15"/>
  <c r="N105" i="15" s="1"/>
  <c r="F445" i="35"/>
  <c r="T145" i="35"/>
  <c r="AC17" i="85"/>
  <c r="AB35" i="85"/>
  <c r="AB47" i="85"/>
  <c r="T65" i="85"/>
  <c r="T68" i="85"/>
  <c r="R81" i="85"/>
  <c r="S88" i="85"/>
  <c r="G3" i="17"/>
  <c r="AI13" i="17"/>
  <c r="AI48" i="17" s="1"/>
  <c r="AH82" i="17" s="1"/>
  <c r="AH122" i="17" s="1"/>
  <c r="N13" i="17"/>
  <c r="N48" i="17" s="1"/>
  <c r="M82" i="17" s="1"/>
  <c r="M122" i="17" s="1"/>
  <c r="AK13" i="23"/>
  <c r="AJ13" i="24"/>
  <c r="AJ67" i="24" s="1"/>
  <c r="S13" i="24"/>
  <c r="S67" i="24" s="1"/>
  <c r="N13" i="24"/>
  <c r="N67" i="24" s="1"/>
  <c r="G3" i="24"/>
  <c r="A10" i="23"/>
  <c r="K98" i="35"/>
  <c r="F184" i="35"/>
  <c r="K12" i="35"/>
  <c r="O13" i="64" s="1"/>
  <c r="O53" i="64" s="1"/>
  <c r="K531" i="35"/>
  <c r="R65" i="85"/>
  <c r="S66" i="85"/>
  <c r="R68" i="85"/>
  <c r="S69" i="85"/>
  <c r="R70" i="85"/>
  <c r="T70" i="85"/>
  <c r="S72" i="85"/>
  <c r="R73" i="85"/>
  <c r="S74" i="85"/>
  <c r="R76" i="85"/>
  <c r="S77" i="85"/>
  <c r="R78" i="85"/>
  <c r="T78" i="85"/>
  <c r="S80" i="85"/>
  <c r="T81" i="85"/>
  <c r="S82" i="85"/>
  <c r="R84" i="85"/>
  <c r="T84" i="85"/>
  <c r="S85" i="85"/>
  <c r="R86" i="85"/>
  <c r="R89" i="85"/>
  <c r="T89" i="85"/>
  <c r="S90" i="85"/>
  <c r="AB12" i="24"/>
  <c r="AB66" i="24" s="1"/>
  <c r="M12" i="17"/>
  <c r="M47" i="17" s="1"/>
  <c r="L81" i="17" s="1"/>
  <c r="L121" i="17" s="1"/>
  <c r="AA8" i="17"/>
  <c r="AD13" i="17"/>
  <c r="AD48" i="17" s="1"/>
  <c r="AC82" i="17" s="1"/>
  <c r="AC122" i="17" s="1"/>
  <c r="K445" i="35"/>
  <c r="K270" i="35"/>
  <c r="K359" i="35"/>
  <c r="P616" i="35"/>
  <c r="X13" i="17"/>
  <c r="X48" i="17" s="1"/>
  <c r="W82" i="17" s="1"/>
  <c r="W122" i="17" s="1"/>
  <c r="Z13" i="17"/>
  <c r="Z48" i="17" s="1"/>
  <c r="Y82" i="17" s="1"/>
  <c r="Y122" i="17" s="1"/>
  <c r="N12" i="34"/>
  <c r="F359" i="35"/>
  <c r="BC25" i="22"/>
  <c r="BC34" i="22" s="1"/>
  <c r="AE80" i="58"/>
  <c r="AE71" i="58"/>
  <c r="AE89" i="58"/>
  <c r="AV27" i="58"/>
  <c r="AV43" i="58"/>
  <c r="AV19" i="58"/>
  <c r="AV35" i="58"/>
  <c r="P522" i="35"/>
  <c r="T522" i="35" s="1"/>
  <c r="T523" i="35"/>
  <c r="Q483" i="35"/>
  <c r="T484" i="35"/>
  <c r="R681" i="35"/>
  <c r="T682" i="35"/>
  <c r="AI130" i="23"/>
  <c r="AA130" i="23"/>
  <c r="P356" i="58"/>
  <c r="O419" i="35"/>
  <c r="AG54" i="58"/>
  <c r="BJ34" i="34"/>
  <c r="AX41" i="34"/>
  <c r="BJ35" i="34"/>
  <c r="BJ38" i="34"/>
  <c r="BG41" i="34"/>
  <c r="BJ31" i="34"/>
  <c r="BB41" i="34"/>
  <c r="T251" i="35"/>
  <c r="R250" i="35"/>
  <c r="T250" i="35" s="1"/>
  <c r="L90" i="35"/>
  <c r="O90" i="35" s="1"/>
  <c r="O91" i="35"/>
  <c r="U689" i="35"/>
  <c r="V15" i="58"/>
  <c r="V7" i="58"/>
  <c r="V2" i="58"/>
  <c r="J167" i="35"/>
  <c r="V12" i="58"/>
  <c r="V4" i="58"/>
  <c r="X4" i="58" s="1"/>
  <c r="R348" i="35"/>
  <c r="T348" i="35" s="1"/>
  <c r="T349" i="35"/>
  <c r="R82" i="58"/>
  <c r="X82" i="58" s="1"/>
  <c r="J164" i="35"/>
  <c r="R60" i="58"/>
  <c r="L137" i="35"/>
  <c r="AE163" i="58" s="1"/>
  <c r="O138" i="35"/>
  <c r="G48" i="35"/>
  <c r="J49" i="35"/>
  <c r="S137" i="35"/>
  <c r="T138" i="35"/>
  <c r="G309" i="35"/>
  <c r="J310" i="35"/>
  <c r="G483" i="35"/>
  <c r="J484" i="35"/>
  <c r="V164" i="58"/>
  <c r="J397" i="35"/>
  <c r="N69" i="35"/>
  <c r="O70" i="35"/>
  <c r="J277" i="35"/>
  <c r="F276" i="35"/>
  <c r="J116" i="35"/>
  <c r="R214" i="35"/>
  <c r="T215" i="35"/>
  <c r="K63" i="35"/>
  <c r="F39" i="35"/>
  <c r="M388" i="35"/>
  <c r="O389" i="35"/>
  <c r="I306" i="35"/>
  <c r="V142" i="58" s="1"/>
  <c r="X142" i="58" s="1"/>
  <c r="J307" i="35"/>
  <c r="AI56" i="23"/>
  <c r="P396" i="58"/>
  <c r="J312" i="35"/>
  <c r="P167" i="58"/>
  <c r="AV12" i="85"/>
  <c r="P200" i="58"/>
  <c r="X200" i="58" s="1"/>
  <c r="P316" i="58"/>
  <c r="P240" i="58"/>
  <c r="P220" i="58"/>
  <c r="P181" i="58"/>
  <c r="P269" i="58"/>
  <c r="P259" i="58"/>
  <c r="O351" i="35"/>
  <c r="AI4" i="58"/>
  <c r="AI12" i="58"/>
  <c r="AI10" i="58"/>
  <c r="AE107" i="58"/>
  <c r="AE115" i="58"/>
  <c r="T415" i="35"/>
  <c r="R321" i="35"/>
  <c r="AY41" i="34"/>
  <c r="BI41" i="34"/>
  <c r="T514" i="35"/>
  <c r="Q513" i="35"/>
  <c r="T513" i="35" s="1"/>
  <c r="BJ30" i="34"/>
  <c r="O288" i="35"/>
  <c r="AI17" i="58"/>
  <c r="AP163" i="58"/>
  <c r="L93" i="35"/>
  <c r="O93" i="35" s="1"/>
  <c r="BF41" i="34"/>
  <c r="P378" i="58"/>
  <c r="O265" i="35"/>
  <c r="X3" i="58"/>
  <c r="K412" i="35"/>
  <c r="AT183" i="58"/>
  <c r="AT242" i="58"/>
  <c r="AT173" i="58"/>
  <c r="AT271" i="58"/>
  <c r="AT261" i="58"/>
  <c r="AT222" i="58"/>
  <c r="AT193" i="58"/>
  <c r="AT212" i="58"/>
  <c r="AT251" i="58"/>
  <c r="N536" i="35"/>
  <c r="O536" i="35" s="1"/>
  <c r="O537" i="35"/>
  <c r="V44" i="58"/>
  <c r="V42" i="58"/>
  <c r="V26" i="58"/>
  <c r="V36" i="58"/>
  <c r="V34" i="58"/>
  <c r="V20" i="58"/>
  <c r="V28" i="58"/>
  <c r="F427" i="35"/>
  <c r="J428" i="35"/>
  <c r="U12" i="85"/>
  <c r="N12" i="85"/>
  <c r="I62" i="85" s="1"/>
  <c r="P460" i="58"/>
  <c r="P324" i="58"/>
  <c r="P500" i="58"/>
  <c r="I190" i="35"/>
  <c r="J191" i="35"/>
  <c r="F453" i="35"/>
  <c r="J454" i="35"/>
  <c r="O569" i="35"/>
  <c r="G430" i="35"/>
  <c r="J431" i="35"/>
  <c r="O517" i="35"/>
  <c r="L516" i="35"/>
  <c r="L342" i="35"/>
  <c r="O343" i="35"/>
  <c r="T602" i="35"/>
  <c r="AR23" i="58"/>
  <c r="AE77" i="58"/>
  <c r="AE86" i="58"/>
  <c r="AR87" i="58"/>
  <c r="AR78" i="58"/>
  <c r="T37" i="58"/>
  <c r="T29" i="58"/>
  <c r="T21" i="58"/>
  <c r="T30" i="58"/>
  <c r="T38" i="58"/>
  <c r="T22" i="58"/>
  <c r="T46" i="58"/>
  <c r="M602" i="35"/>
  <c r="O602" i="35" s="1"/>
  <c r="O603" i="35"/>
  <c r="I418" i="35"/>
  <c r="J419" i="35"/>
  <c r="AE117" i="58"/>
  <c r="AE101" i="58"/>
  <c r="AE109" i="58"/>
  <c r="N504" i="35"/>
  <c r="O505" i="35"/>
  <c r="AI97" i="58"/>
  <c r="AI121" i="58"/>
  <c r="AI105" i="58"/>
  <c r="AR105" i="58"/>
  <c r="AR113" i="58"/>
  <c r="AR97" i="58"/>
  <c r="V29" i="58"/>
  <c r="V37" i="58"/>
  <c r="V45" i="58"/>
  <c r="AI30" i="58"/>
  <c r="AI22" i="58"/>
  <c r="AI38" i="58"/>
  <c r="AI46" i="58"/>
  <c r="AI25" i="58"/>
  <c r="AI41" i="58"/>
  <c r="AI33" i="58"/>
  <c r="T51" i="15"/>
  <c r="AJ51" i="15" s="1"/>
  <c r="AI51" i="15"/>
  <c r="AA42" i="15"/>
  <c r="AJ42" i="15" s="1"/>
  <c r="AI42" i="15"/>
  <c r="AH46" i="15"/>
  <c r="AJ46" i="15" s="1"/>
  <c r="AI46" i="15"/>
  <c r="AH36" i="15"/>
  <c r="AJ36" i="15" s="1"/>
  <c r="AI36" i="15"/>
  <c r="AA128" i="23"/>
  <c r="AJ128" i="23" s="1"/>
  <c r="AI128" i="23"/>
  <c r="AH165" i="23"/>
  <c r="AJ165" i="23" s="1"/>
  <c r="AI165" i="23"/>
  <c r="AI168" i="23"/>
  <c r="T168" i="23"/>
  <c r="AJ168" i="23" s="1"/>
  <c r="AH122" i="23"/>
  <c r="AJ122" i="23" s="1"/>
  <c r="AI122" i="23"/>
  <c r="O48" i="35"/>
  <c r="AC137" i="58"/>
  <c r="AK137" i="58" s="1"/>
  <c r="AP55" i="58"/>
  <c r="F575" i="35"/>
  <c r="BA41" i="34"/>
  <c r="BJ39" i="34"/>
  <c r="BD41" i="34"/>
  <c r="AI15" i="58"/>
  <c r="AI7" i="58"/>
  <c r="AV7" i="58"/>
  <c r="R176" i="35"/>
  <c r="T176" i="35" s="1"/>
  <c r="T177" i="35"/>
  <c r="R140" i="35"/>
  <c r="T140" i="35" s="1"/>
  <c r="T141" i="35"/>
  <c r="AG263" i="58"/>
  <c r="AG214" i="58"/>
  <c r="R306" i="35"/>
  <c r="AT142" i="58" s="1"/>
  <c r="T307" i="35"/>
  <c r="K220" i="35"/>
  <c r="AC141" i="58" s="1"/>
  <c r="O221" i="35"/>
  <c r="Q155" i="35"/>
  <c r="T156" i="35"/>
  <c r="P112" i="58"/>
  <c r="P104" i="58"/>
  <c r="J330" i="35"/>
  <c r="F367" i="35"/>
  <c r="J368" i="35"/>
  <c r="R572" i="35"/>
  <c r="T572" i="35" s="1"/>
  <c r="T573" i="35"/>
  <c r="Q327" i="35"/>
  <c r="T328" i="35"/>
  <c r="F457" i="35"/>
  <c r="F456" i="35" s="1"/>
  <c r="L276" i="35"/>
  <c r="O277" i="35"/>
  <c r="V212" i="58"/>
  <c r="V251" i="58"/>
  <c r="V193" i="58"/>
  <c r="V232" i="58"/>
  <c r="V173" i="58"/>
  <c r="V222" i="58"/>
  <c r="N33" i="35"/>
  <c r="K684" i="35"/>
  <c r="O685" i="35"/>
  <c r="F539" i="35"/>
  <c r="J540" i="35"/>
  <c r="U540" i="35" s="1"/>
  <c r="T39" i="15"/>
  <c r="AJ39" i="15" s="1"/>
  <c r="AI39" i="15"/>
  <c r="AA41" i="15"/>
  <c r="AJ41" i="15" s="1"/>
  <c r="AI41" i="15"/>
  <c r="AA37" i="15"/>
  <c r="AJ37" i="15" s="1"/>
  <c r="AI37" i="15"/>
  <c r="AA34" i="15"/>
  <c r="AJ34" i="15" s="1"/>
  <c r="AI34" i="15"/>
  <c r="AA172" i="15"/>
  <c r="AJ172" i="15" s="1"/>
  <c r="AI172" i="15"/>
  <c r="AH121" i="15"/>
  <c r="AJ121" i="15" s="1"/>
  <c r="AI121" i="15"/>
  <c r="AH143" i="22"/>
  <c r="S143" i="22"/>
  <c r="AI143" i="22" s="1"/>
  <c r="Z149" i="22"/>
  <c r="AH149" i="22"/>
  <c r="Z150" i="22"/>
  <c r="AI150" i="22" s="1"/>
  <c r="AH150" i="22"/>
  <c r="AT99" i="58"/>
  <c r="AX99" i="58" s="1"/>
  <c r="S376" i="35"/>
  <c r="T134" i="35"/>
  <c r="T135" i="35"/>
  <c r="J331" i="35"/>
  <c r="R70" i="58"/>
  <c r="T313" i="35"/>
  <c r="V271" i="58"/>
  <c r="R259" i="35"/>
  <c r="J241" i="35"/>
  <c r="V87" i="58"/>
  <c r="V78" i="58"/>
  <c r="R624" i="35"/>
  <c r="AT548" i="58" s="1"/>
  <c r="T625" i="35"/>
  <c r="R193" i="35"/>
  <c r="AT546" i="58" s="1"/>
  <c r="T194" i="35"/>
  <c r="T213" i="58"/>
  <c r="T272" i="58"/>
  <c r="T262" i="58"/>
  <c r="T243" i="58"/>
  <c r="T174" i="58"/>
  <c r="T194" i="58"/>
  <c r="T184" i="58"/>
  <c r="T211" i="58"/>
  <c r="T192" i="58"/>
  <c r="T231" i="58"/>
  <c r="V108" i="58"/>
  <c r="V106" i="58"/>
  <c r="V92" i="58"/>
  <c r="V98" i="58"/>
  <c r="V196" i="58"/>
  <c r="M253" i="35"/>
  <c r="O254" i="35"/>
  <c r="AG8" i="58"/>
  <c r="AG16" i="58"/>
  <c r="R339" i="35"/>
  <c r="T339" i="35" s="1"/>
  <c r="T340" i="35"/>
  <c r="T23" i="58"/>
  <c r="T31" i="58"/>
  <c r="T47" i="58"/>
  <c r="M256" i="35"/>
  <c r="O257" i="35"/>
  <c r="AT46" i="58"/>
  <c r="AT30" i="58"/>
  <c r="G391" i="35"/>
  <c r="V174" i="58"/>
  <c r="AR234" i="58"/>
  <c r="AR175" i="58"/>
  <c r="AR273" i="58"/>
  <c r="AR253" i="58"/>
  <c r="AR244" i="58"/>
  <c r="AR214" i="58"/>
  <c r="AR177" i="58"/>
  <c r="AR187" i="58"/>
  <c r="AR236" i="58"/>
  <c r="AR255" i="58"/>
  <c r="AR197" i="58"/>
  <c r="AR246" i="58"/>
  <c r="Q648" i="35"/>
  <c r="T74" i="58"/>
  <c r="T83" i="58"/>
  <c r="P450" i="35"/>
  <c r="T451" i="35"/>
  <c r="AP262" i="58"/>
  <c r="AP272" i="58"/>
  <c r="AE95" i="58"/>
  <c r="AE119" i="58"/>
  <c r="AI40" i="58"/>
  <c r="AI24" i="58"/>
  <c r="F642" i="35"/>
  <c r="G459" i="35"/>
  <c r="J460" i="35"/>
  <c r="P59" i="58"/>
  <c r="AE255" i="58"/>
  <c r="AE197" i="58"/>
  <c r="T72" i="35"/>
  <c r="P120" i="58"/>
  <c r="T661" i="35"/>
  <c r="AG185" i="58"/>
  <c r="AG273" i="58"/>
  <c r="AV115" i="58"/>
  <c r="G250" i="35"/>
  <c r="AT107" i="58"/>
  <c r="T66" i="58"/>
  <c r="Q364" i="35"/>
  <c r="J55" i="35"/>
  <c r="X10" i="58"/>
  <c r="V183" i="58"/>
  <c r="AG80" i="58"/>
  <c r="O673" i="35"/>
  <c r="I345" i="35"/>
  <c r="P581" i="35"/>
  <c r="Q593" i="35"/>
  <c r="T594" i="35"/>
  <c r="N397" i="35"/>
  <c r="O398" i="35"/>
  <c r="S543" i="35"/>
  <c r="S111" i="35"/>
  <c r="S110" i="35" s="1"/>
  <c r="S371" i="35"/>
  <c r="S370" i="35" s="1"/>
  <c r="S628" i="35"/>
  <c r="S627" i="35" s="1"/>
  <c r="S457" i="35"/>
  <c r="S456" i="35" s="1"/>
  <c r="V72" i="58"/>
  <c r="V75" i="58"/>
  <c r="V81" i="58"/>
  <c r="Q465" i="35"/>
  <c r="U568" i="35"/>
  <c r="R59" i="58"/>
  <c r="R81" i="58"/>
  <c r="R72" i="58"/>
  <c r="R84" i="58"/>
  <c r="AE269" i="58"/>
  <c r="AE249" i="58"/>
  <c r="AE230" i="58"/>
  <c r="T114" i="58"/>
  <c r="T116" i="58"/>
  <c r="T92" i="58"/>
  <c r="T100" i="58"/>
  <c r="T90" i="58"/>
  <c r="Q309" i="35"/>
  <c r="T310" i="35"/>
  <c r="H400" i="35"/>
  <c r="J400" i="35" s="1"/>
  <c r="J401" i="35"/>
  <c r="R241" i="35"/>
  <c r="T241" i="35" s="1"/>
  <c r="T242" i="35"/>
  <c r="G608" i="35"/>
  <c r="J608" i="35" s="1"/>
  <c r="J609" i="35"/>
  <c r="L436" i="35"/>
  <c r="O436" i="35" s="1"/>
  <c r="O437" i="35"/>
  <c r="Q608" i="35"/>
  <c r="T608" i="35" s="1"/>
  <c r="T609" i="35"/>
  <c r="AG48" i="58"/>
  <c r="AG24" i="58"/>
  <c r="AG40" i="58"/>
  <c r="T17" i="58"/>
  <c r="J684" i="35"/>
  <c r="T9" i="58"/>
  <c r="T16" i="58"/>
  <c r="J339" i="35"/>
  <c r="T8" i="58"/>
  <c r="R548" i="35"/>
  <c r="AC85" i="58"/>
  <c r="AC76" i="58"/>
  <c r="P84" i="35"/>
  <c r="T84" i="35" s="1"/>
  <c r="T85" i="35"/>
  <c r="Q336" i="35"/>
  <c r="T337" i="35"/>
  <c r="BE41" i="34"/>
  <c r="AE12" i="58"/>
  <c r="AE10" i="58"/>
  <c r="AI14" i="58"/>
  <c r="AI6" i="58"/>
  <c r="M27" i="35"/>
  <c r="AG259" i="58" s="1"/>
  <c r="L654" i="35"/>
  <c r="O655" i="35"/>
  <c r="AT103" i="58"/>
  <c r="AT119" i="58"/>
  <c r="AT95" i="58"/>
  <c r="AT111" i="58"/>
  <c r="H297" i="35"/>
  <c r="AJ60" i="23"/>
  <c r="J226" i="35"/>
  <c r="J107" i="35"/>
  <c r="J54" i="35"/>
  <c r="T474" i="35"/>
  <c r="BJ40" i="34"/>
  <c r="BJ36" i="34"/>
  <c r="O101" i="35"/>
  <c r="AV546" i="58"/>
  <c r="U255" i="35"/>
  <c r="U335" i="35"/>
  <c r="Q78" i="35"/>
  <c r="T78" i="35" s="1"/>
  <c r="T79" i="35"/>
  <c r="U17" i="35"/>
  <c r="AG108" i="58"/>
  <c r="AG100" i="58"/>
  <c r="AR34" i="58"/>
  <c r="AR26" i="58"/>
  <c r="S226" i="35"/>
  <c r="T227" i="35"/>
  <c r="AC106" i="58"/>
  <c r="AC100" i="58"/>
  <c r="I566" i="35"/>
  <c r="J567" i="35"/>
  <c r="T90" i="35"/>
  <c r="P427" i="35"/>
  <c r="T428" i="35"/>
  <c r="H522" i="35"/>
  <c r="J522" i="35" s="1"/>
  <c r="U580" i="35"/>
  <c r="H327" i="35"/>
  <c r="T79" i="58" s="1"/>
  <c r="O672" i="35"/>
  <c r="M241" i="35"/>
  <c r="O241" i="35" s="1"/>
  <c r="O242" i="35"/>
  <c r="V39" i="58"/>
  <c r="J572" i="35"/>
  <c r="O244" i="35"/>
  <c r="F170" i="35"/>
  <c r="J170" i="35" s="1"/>
  <c r="J171" i="35"/>
  <c r="T97" i="15"/>
  <c r="AJ97" i="15" s="1"/>
  <c r="AI97" i="15"/>
  <c r="AA65" i="15"/>
  <c r="AJ65" i="15" s="1"/>
  <c r="AI65" i="15"/>
  <c r="AA68" i="15"/>
  <c r="AJ68" i="15" s="1"/>
  <c r="AI68" i="15"/>
  <c r="Z113" i="22"/>
  <c r="AI113" i="22" s="1"/>
  <c r="AH113" i="22"/>
  <c r="S106" i="22"/>
  <c r="AI106" i="22" s="1"/>
  <c r="AH106" i="22"/>
  <c r="T171" i="15"/>
  <c r="AJ171" i="15" s="1"/>
  <c r="AI171" i="15"/>
  <c r="AA137" i="15"/>
  <c r="AJ137" i="15" s="1"/>
  <c r="AI137" i="15"/>
  <c r="AA154" i="15"/>
  <c r="AJ154" i="15" s="1"/>
  <c r="AI154" i="15"/>
  <c r="P56" i="58"/>
  <c r="O361" i="35"/>
  <c r="U361" i="35" s="1"/>
  <c r="U92" i="35"/>
  <c r="L309" i="35"/>
  <c r="O310" i="35"/>
  <c r="AK544" i="58"/>
  <c r="F536" i="35"/>
  <c r="J536" i="35" s="1"/>
  <c r="J537" i="35"/>
  <c r="AE28" i="58"/>
  <c r="AE44" i="58"/>
  <c r="L199" i="35"/>
  <c r="O199" i="35" s="1"/>
  <c r="O200" i="35"/>
  <c r="U482" i="35"/>
  <c r="U452" i="35"/>
  <c r="T570" i="35"/>
  <c r="Q501" i="35"/>
  <c r="T501" i="35" s="1"/>
  <c r="T502" i="35"/>
  <c r="H279" i="35"/>
  <c r="J279" i="35" s="1"/>
  <c r="J280" i="35"/>
  <c r="U280" i="35" s="1"/>
  <c r="K394" i="35"/>
  <c r="O395" i="35"/>
  <c r="U395" i="35" s="1"/>
  <c r="G651" i="35"/>
  <c r="R143" i="58" s="1"/>
  <c r="J652" i="35"/>
  <c r="P621" i="35"/>
  <c r="T622" i="35"/>
  <c r="R691" i="35"/>
  <c r="R520" i="35"/>
  <c r="R519" i="35" s="1"/>
  <c r="AT55" i="58" s="1"/>
  <c r="R434" i="35"/>
  <c r="R433" i="35" s="1"/>
  <c r="AT54" i="58" s="1"/>
  <c r="R346" i="35"/>
  <c r="M260" i="35"/>
  <c r="M259" i="35" s="1"/>
  <c r="M606" i="35"/>
  <c r="M605" i="35" s="1"/>
  <c r="M520" i="35"/>
  <c r="M519" i="35" s="1"/>
  <c r="AG55" i="58" s="1"/>
  <c r="M88" i="35"/>
  <c r="M87" i="35" s="1"/>
  <c r="R230" i="35"/>
  <c r="R229" i="35" s="1"/>
  <c r="R58" i="35"/>
  <c r="R576" i="35"/>
  <c r="R575" i="35" s="1"/>
  <c r="R667" i="35"/>
  <c r="R666" i="35" s="1"/>
  <c r="R496" i="35"/>
  <c r="R236" i="35"/>
  <c r="AC206" i="58"/>
  <c r="O621" i="35"/>
  <c r="I516" i="35"/>
  <c r="J517" i="35"/>
  <c r="V43" i="58"/>
  <c r="V19" i="58"/>
  <c r="V35" i="58"/>
  <c r="T18" i="23"/>
  <c r="AJ18" i="23" s="1"/>
  <c r="AI18" i="23"/>
  <c r="AI48" i="23"/>
  <c r="T48" i="23"/>
  <c r="AJ48" i="23" s="1"/>
  <c r="T112" i="23"/>
  <c r="AJ112" i="23" s="1"/>
  <c r="AI112" i="23"/>
  <c r="T63" i="15"/>
  <c r="AJ63" i="15" s="1"/>
  <c r="AI63" i="15"/>
  <c r="AI60" i="15"/>
  <c r="T60" i="15"/>
  <c r="AJ60" i="15" s="1"/>
  <c r="AH56" i="15"/>
  <c r="AJ56" i="15" s="1"/>
  <c r="AI56" i="15"/>
  <c r="AA77" i="15"/>
  <c r="AJ77" i="15" s="1"/>
  <c r="AI77" i="15"/>
  <c r="T91" i="15"/>
  <c r="AJ91" i="15" s="1"/>
  <c r="AI91" i="15"/>
  <c r="T43" i="23"/>
  <c r="AJ43" i="23" s="1"/>
  <c r="AI43" i="23"/>
  <c r="Z121" i="22"/>
  <c r="AI121" i="22" s="1"/>
  <c r="AH121" i="22"/>
  <c r="U350" i="35"/>
  <c r="U432" i="35"/>
  <c r="U515" i="35"/>
  <c r="U89" i="35"/>
  <c r="U610" i="35"/>
  <c r="U683" i="35"/>
  <c r="U665" i="35"/>
  <c r="T416" i="35"/>
  <c r="M230" i="35"/>
  <c r="M229" i="35" s="1"/>
  <c r="M490" i="35"/>
  <c r="M489" i="35" s="1"/>
  <c r="M58" i="35"/>
  <c r="M57" i="35" s="1"/>
  <c r="H61" i="35"/>
  <c r="H60" i="35" s="1"/>
  <c r="H579" i="35"/>
  <c r="H578" i="35" s="1"/>
  <c r="H493" i="35"/>
  <c r="F147" i="35"/>
  <c r="F579" i="35"/>
  <c r="F61" i="35"/>
  <c r="F60" i="35" s="1"/>
  <c r="G61" i="35"/>
  <c r="G60" i="35" s="1"/>
  <c r="G233" i="35"/>
  <c r="G232" i="35" s="1"/>
  <c r="T50" i="15"/>
  <c r="AJ50" i="15" s="1"/>
  <c r="AI50" i="15"/>
  <c r="T47" i="15"/>
  <c r="AJ47" i="15" s="1"/>
  <c r="AI47" i="15"/>
  <c r="AI44" i="15"/>
  <c r="T44" i="15"/>
  <c r="AJ44" i="15" s="1"/>
  <c r="AI40" i="23"/>
  <c r="T40" i="23"/>
  <c r="AJ40" i="23" s="1"/>
  <c r="AH34" i="23"/>
  <c r="AJ34" i="23" s="1"/>
  <c r="AI34" i="23"/>
  <c r="AH79" i="23"/>
  <c r="AJ79" i="23" s="1"/>
  <c r="AI79" i="23"/>
  <c r="AA78" i="23"/>
  <c r="AJ78" i="23" s="1"/>
  <c r="AI78" i="23"/>
  <c r="S25" i="22"/>
  <c r="AI25" i="22" s="1"/>
  <c r="AH25" i="22"/>
  <c r="AI74" i="22"/>
  <c r="AG156" i="22"/>
  <c r="AI156" i="22" s="1"/>
  <c r="AH156" i="22"/>
  <c r="S158" i="22"/>
  <c r="AI158" i="22" s="1"/>
  <c r="AH158" i="22"/>
  <c r="T138" i="15"/>
  <c r="AJ138" i="15" s="1"/>
  <c r="AI138" i="15"/>
  <c r="T142" i="15"/>
  <c r="AJ142" i="15" s="1"/>
  <c r="AI142" i="15"/>
  <c r="T165" i="15"/>
  <c r="AJ165" i="15" s="1"/>
  <c r="AI165" i="15"/>
  <c r="T176" i="15"/>
  <c r="AJ176" i="15" s="1"/>
  <c r="AI176" i="15"/>
  <c r="AI179" i="15"/>
  <c r="T179" i="15"/>
  <c r="AJ179" i="15" s="1"/>
  <c r="J561" i="35"/>
  <c r="J340" i="35"/>
  <c r="I144" i="35"/>
  <c r="R163" i="58"/>
  <c r="U441" i="35"/>
  <c r="U509" i="35"/>
  <c r="U347" i="35"/>
  <c r="U692" i="35"/>
  <c r="U353" i="35"/>
  <c r="U524" i="35"/>
  <c r="U613" i="35"/>
  <c r="U154" i="35"/>
  <c r="U160" i="35"/>
  <c r="U246" i="35"/>
  <c r="G158" i="35"/>
  <c r="J159" i="35"/>
  <c r="R76" i="35"/>
  <c r="R75" i="35" s="1"/>
  <c r="R162" i="35"/>
  <c r="H334" i="35"/>
  <c r="H76" i="35"/>
  <c r="H248" i="35"/>
  <c r="K670" i="35"/>
  <c r="K67" i="35"/>
  <c r="P424" i="35"/>
  <c r="T425" i="35"/>
  <c r="T170" i="23"/>
  <c r="AJ170" i="23" s="1"/>
  <c r="AI170" i="23"/>
  <c r="AA171" i="23"/>
  <c r="AJ171" i="23" s="1"/>
  <c r="AI171" i="23"/>
  <c r="AA172" i="23"/>
  <c r="AJ172" i="23" s="1"/>
  <c r="AI172" i="23"/>
  <c r="T121" i="23"/>
  <c r="AJ121" i="23" s="1"/>
  <c r="AI121" i="23"/>
  <c r="AJ44" i="23"/>
  <c r="AG102" i="22"/>
  <c r="AI102" i="22" s="1"/>
  <c r="AH102" i="22"/>
  <c r="S139" i="22"/>
  <c r="AI139" i="22" s="1"/>
  <c r="AH139" i="22"/>
  <c r="S155" i="22"/>
  <c r="AI155" i="22" s="1"/>
  <c r="AH155" i="22"/>
  <c r="S157" i="22"/>
  <c r="AI157" i="22" s="1"/>
  <c r="AH157" i="22"/>
  <c r="T127" i="15"/>
  <c r="AJ127" i="15" s="1"/>
  <c r="AI127" i="15"/>
  <c r="AI135" i="15"/>
  <c r="T135" i="15"/>
  <c r="AJ135" i="15" s="1"/>
  <c r="T166" i="15"/>
  <c r="AJ166" i="15" s="1"/>
  <c r="AI166" i="15"/>
  <c r="AA183" i="15"/>
  <c r="AJ183" i="15" s="1"/>
  <c r="AI183" i="15"/>
  <c r="T578" i="35"/>
  <c r="BC41" i="34"/>
  <c r="U83" i="35"/>
  <c r="U607" i="35"/>
  <c r="U695" i="35"/>
  <c r="U237" i="35"/>
  <c r="T166" i="58"/>
  <c r="T273" i="35"/>
  <c r="U65" i="35"/>
  <c r="U583" i="35"/>
  <c r="AV83" i="58"/>
  <c r="U449" i="35"/>
  <c r="U571" i="35"/>
  <c r="U668" i="35"/>
  <c r="U420" i="35"/>
  <c r="U243" i="35"/>
  <c r="U541" i="35"/>
  <c r="V88" i="58"/>
  <c r="U485" i="35"/>
  <c r="AR166" i="58"/>
  <c r="U222" i="35"/>
  <c r="T245" i="35"/>
  <c r="BI29" i="15"/>
  <c r="AJ56" i="23"/>
  <c r="T175" i="23"/>
  <c r="AJ175" i="23" s="1"/>
  <c r="AI175" i="23"/>
  <c r="T54" i="23"/>
  <c r="AJ54" i="23" s="1"/>
  <c r="AI54" i="23"/>
  <c r="AA82" i="15"/>
  <c r="AJ82" i="15" s="1"/>
  <c r="AI82" i="15"/>
  <c r="Z161" i="22"/>
  <c r="AI161" i="22" s="1"/>
  <c r="AH161" i="22"/>
  <c r="AI120" i="15"/>
  <c r="T120" i="15"/>
  <c r="AJ120" i="15" s="1"/>
  <c r="AI144" i="15"/>
  <c r="T144" i="15"/>
  <c r="AJ144" i="15" s="1"/>
  <c r="T173" i="15"/>
  <c r="AJ173" i="15" s="1"/>
  <c r="AI173" i="15"/>
  <c r="T191" i="15"/>
  <c r="AJ191" i="15" s="1"/>
  <c r="AI191" i="15"/>
  <c r="AA160" i="15"/>
  <c r="AJ160" i="15" s="1"/>
  <c r="AI160" i="15"/>
  <c r="F14" i="14"/>
  <c r="AI61" i="22"/>
  <c r="AI111" i="22"/>
  <c r="AJ149" i="15"/>
  <c r="BG29" i="15"/>
  <c r="AI53" i="23"/>
  <c r="AI115" i="23"/>
  <c r="T115" i="23"/>
  <c r="AJ115" i="23" s="1"/>
  <c r="AI21" i="23"/>
  <c r="AA21" i="23"/>
  <c r="AJ21" i="23" s="1"/>
  <c r="AJ79" i="15"/>
  <c r="AI86" i="15"/>
  <c r="AH27" i="23"/>
  <c r="AJ27" i="23" s="1"/>
  <c r="AI27" i="23"/>
  <c r="AJ157" i="15"/>
  <c r="AI143" i="15"/>
  <c r="AA143" i="15"/>
  <c r="AJ143" i="15" s="1"/>
  <c r="AA158" i="15"/>
  <c r="AJ158" i="15" s="1"/>
  <c r="AI158" i="15"/>
  <c r="AV177" i="58"/>
  <c r="AV226" i="58"/>
  <c r="AV255" i="58"/>
  <c r="AJ105" i="23"/>
  <c r="AJ43" i="15"/>
  <c r="AJ26" i="23"/>
  <c r="AJ59" i="23"/>
  <c r="AX44" i="23"/>
  <c r="BJ32" i="23"/>
  <c r="BJ35" i="23"/>
  <c r="BJ36" i="23"/>
  <c r="BG24" i="24"/>
  <c r="BA29" i="15"/>
  <c r="AA48" i="15"/>
  <c r="AJ48" i="15" s="1"/>
  <c r="T23" i="23"/>
  <c r="AJ23" i="23" s="1"/>
  <c r="AI23" i="23"/>
  <c r="AI26" i="23"/>
  <c r="AJ80" i="23"/>
  <c r="AI77" i="23"/>
  <c r="AI28" i="22"/>
  <c r="T146" i="15"/>
  <c r="AJ146" i="15" s="1"/>
  <c r="AI146" i="15"/>
  <c r="AJ125" i="15"/>
  <c r="BJ30" i="22"/>
  <c r="AI58" i="22"/>
  <c r="AJ35" i="15"/>
  <c r="AJ82" i="23"/>
  <c r="AI44" i="23"/>
  <c r="AJ110" i="23"/>
  <c r="T96" i="15"/>
  <c r="AJ96" i="15" s="1"/>
  <c r="AI96" i="15"/>
  <c r="Y17" i="64"/>
  <c r="Y64" i="64"/>
  <c r="L13" i="9"/>
  <c r="AJ168" i="15"/>
  <c r="O470" i="35"/>
  <c r="R251" i="58"/>
  <c r="R232" i="58"/>
  <c r="AC18" i="85"/>
  <c r="AJ132" i="15"/>
  <c r="BI24" i="24"/>
  <c r="AI43" i="15"/>
  <c r="AJ173" i="23"/>
  <c r="AI107" i="23"/>
  <c r="AI81" i="15"/>
  <c r="AI79" i="15"/>
  <c r="AI76" i="15"/>
  <c r="AI31" i="23"/>
  <c r="AH123" i="22"/>
  <c r="Y16" i="64"/>
  <c r="Y20" i="64"/>
  <c r="Y21" i="64"/>
  <c r="Y24" i="64"/>
  <c r="Y25" i="64"/>
  <c r="Y26" i="64"/>
  <c r="Y29" i="64"/>
  <c r="Y30" i="64"/>
  <c r="Y34" i="64"/>
  <c r="Y36" i="64"/>
  <c r="Y38" i="64"/>
  <c r="Y40" i="64"/>
  <c r="Y41" i="64"/>
  <c r="Y44" i="64"/>
  <c r="Y45" i="64"/>
  <c r="Y46" i="64"/>
  <c r="Y55" i="64"/>
  <c r="Y56" i="64"/>
  <c r="Y57" i="64"/>
  <c r="Y59" i="64"/>
  <c r="Y60" i="64"/>
  <c r="Y65" i="64"/>
  <c r="Y67" i="64"/>
  <c r="Y68" i="64"/>
  <c r="Y69" i="64"/>
  <c r="Y72" i="64"/>
  <c r="Y75" i="64"/>
  <c r="Y76" i="64"/>
  <c r="Y79" i="64"/>
  <c r="Y80" i="64"/>
  <c r="Y83" i="64"/>
  <c r="Y84" i="64"/>
  <c r="Y85" i="64"/>
  <c r="Y87" i="64"/>
  <c r="E13" i="9"/>
  <c r="I13" i="9"/>
  <c r="AI132" i="15"/>
  <c r="O662" i="35"/>
  <c r="U662" i="35" s="1"/>
  <c r="O577" i="35"/>
  <c r="U577" i="35" s="1"/>
  <c r="T491" i="35"/>
  <c r="U491" i="35" s="1"/>
  <c r="O405" i="35"/>
  <c r="U405" i="35" s="1"/>
  <c r="O317" i="35"/>
  <c r="U317" i="35" s="1"/>
  <c r="T231" i="35"/>
  <c r="U231" i="35" s="1"/>
  <c r="O59" i="35"/>
  <c r="U59" i="35" s="1"/>
  <c r="M15" i="85"/>
  <c r="AC15" i="85" s="1"/>
  <c r="AB15" i="85"/>
  <c r="AB16" i="85"/>
  <c r="M16" i="85"/>
  <c r="AC16" i="85" s="1"/>
  <c r="T45" i="85"/>
  <c r="AC45" i="85" s="1"/>
  <c r="AB45" i="85"/>
  <c r="T46" i="85"/>
  <c r="AC46" i="85" s="1"/>
  <c r="AB46" i="85"/>
  <c r="T48" i="85"/>
  <c r="AC48" i="85" s="1"/>
  <c r="AB48" i="85"/>
  <c r="M57" i="85"/>
  <c r="AC57" i="85" s="1"/>
  <c r="AB57" i="85"/>
  <c r="AB18" i="85"/>
  <c r="AB21" i="85"/>
  <c r="AX14" i="85"/>
  <c r="AY16" i="85"/>
  <c r="BF16" i="85"/>
  <c r="AZ15" i="85"/>
  <c r="BA15" i="85"/>
  <c r="N67" i="85"/>
  <c r="E91" i="85"/>
  <c r="M83" i="85"/>
  <c r="G87" i="85"/>
  <c r="P83" i="85"/>
  <c r="T20" i="85"/>
  <c r="AC20" i="85" s="1"/>
  <c r="AB20" i="85"/>
  <c r="AC21" i="85"/>
  <c r="M23" i="85"/>
  <c r="AC23" i="85" s="1"/>
  <c r="AB23" i="85"/>
  <c r="AC24" i="85"/>
  <c r="T34" i="85"/>
  <c r="AC34" i="85" s="1"/>
  <c r="AB34" i="85"/>
  <c r="T37" i="85"/>
  <c r="AC37" i="85" s="1"/>
  <c r="AB37" i="85"/>
  <c r="T39" i="85"/>
  <c r="AC39" i="85" s="1"/>
  <c r="AB39" i="85"/>
  <c r="M56" i="85"/>
  <c r="AC56" i="85" s="1"/>
  <c r="AC44" i="85"/>
  <c r="AB32" i="85"/>
  <c r="AB51" i="85"/>
  <c r="BB14" i="85"/>
  <c r="BD17" i="85"/>
  <c r="BD22" i="85" s="1"/>
  <c r="BG15" i="85"/>
  <c r="AX16" i="85"/>
  <c r="AY18" i="85"/>
  <c r="AT14" i="85"/>
  <c r="G67" i="85"/>
  <c r="N75" i="85"/>
  <c r="F71" i="85"/>
  <c r="O87" i="85"/>
  <c r="T19" i="85"/>
  <c r="AC19" i="85" s="1"/>
  <c r="AB19" i="85"/>
  <c r="T28" i="85"/>
  <c r="AC28" i="85" s="1"/>
  <c r="AB28" i="85"/>
  <c r="T29" i="85"/>
  <c r="AC29" i="85" s="1"/>
  <c r="AB29" i="85"/>
  <c r="AB42" i="85"/>
  <c r="AB44" i="85"/>
  <c r="AB55" i="85"/>
  <c r="AB50" i="85"/>
  <c r="AW14" i="85"/>
  <c r="AV15" i="85"/>
  <c r="BB18" i="85"/>
  <c r="BD18" i="85"/>
  <c r="BE17" i="85"/>
  <c r="BE22" i="85" s="1"/>
  <c r="AT22" i="85"/>
  <c r="N83" i="85"/>
  <c r="K75" i="85"/>
  <c r="AB58" i="85"/>
  <c r="M58" i="85"/>
  <c r="AC58" i="85" s="1"/>
  <c r="H79" i="85"/>
  <c r="I75" i="85"/>
  <c r="K83" i="85"/>
  <c r="O71" i="85"/>
  <c r="N91" i="85"/>
  <c r="F83" i="85"/>
  <c r="E79" i="85"/>
  <c r="E60" i="85"/>
  <c r="AT16" i="85"/>
  <c r="BE15" i="85"/>
  <c r="BA18" i="85"/>
  <c r="AV16" i="85"/>
  <c r="BB15" i="85"/>
  <c r="AX17" i="85"/>
  <c r="AX22" i="85" s="1"/>
  <c r="BF18" i="85"/>
  <c r="BC16" i="85"/>
  <c r="BD15" i="85"/>
  <c r="BG14" i="85"/>
  <c r="AZ14" i="85"/>
  <c r="BE14" i="85"/>
  <c r="L71" i="85"/>
  <c r="K91" i="85"/>
  <c r="O79" i="85"/>
  <c r="G71" i="85"/>
  <c r="F91" i="85"/>
  <c r="J79" i="85"/>
  <c r="E75" i="85"/>
  <c r="O67" i="85"/>
  <c r="F67" i="85"/>
  <c r="AT17" i="85"/>
  <c r="BE16" i="85"/>
  <c r="BE18" i="85"/>
  <c r="BD16" i="85"/>
  <c r="BF15" i="85"/>
  <c r="AY15" i="85"/>
  <c r="BC17" i="85"/>
  <c r="BC22" i="85" s="1"/>
  <c r="AZ16" i="85"/>
  <c r="BC14" i="85"/>
  <c r="AV14" i="85"/>
  <c r="AC41" i="85"/>
  <c r="AB36" i="85"/>
  <c r="A60" i="34"/>
  <c r="AI12" i="34"/>
  <c r="AI40" i="34" s="1"/>
  <c r="AI62" i="34" s="1"/>
  <c r="AI128" i="34" s="1"/>
  <c r="W13" i="34"/>
  <c r="W41" i="34" s="1"/>
  <c r="W63" i="34" s="1"/>
  <c r="W129" i="34" s="1"/>
  <c r="AC13" i="34"/>
  <c r="AC41" i="34" s="1"/>
  <c r="O13" i="34"/>
  <c r="O41" i="34" s="1"/>
  <c r="O63" i="34" s="1"/>
  <c r="O129" i="34" s="1"/>
  <c r="AI13" i="34"/>
  <c r="AI41" i="34" s="1"/>
  <c r="AI63" i="34" s="1"/>
  <c r="AI129" i="34" s="1"/>
  <c r="I12" i="34"/>
  <c r="I40" i="34" s="1"/>
  <c r="I62" i="34" s="1"/>
  <c r="H128" i="34" s="1"/>
  <c r="A1" i="34"/>
  <c r="AA13" i="34"/>
  <c r="AA41" i="34" s="1"/>
  <c r="AA63" i="34" s="1"/>
  <c r="AA129" i="34" s="1"/>
  <c r="L12" i="34"/>
  <c r="L40" i="34" s="1"/>
  <c r="L62" i="34" s="1"/>
  <c r="L128" i="34" s="1"/>
  <c r="X13" i="34"/>
  <c r="X41" i="34" s="1"/>
  <c r="X63" i="34" s="1"/>
  <c r="X129" i="34" s="1"/>
  <c r="AJ13" i="34"/>
  <c r="AJ41" i="34" s="1"/>
  <c r="AJ63" i="34" s="1"/>
  <c r="AJ129" i="34" s="1"/>
  <c r="A38" i="34"/>
  <c r="AD13" i="34"/>
  <c r="AD41" i="34" s="1"/>
  <c r="N13" i="34"/>
  <c r="N41" i="34" s="1"/>
  <c r="N63" i="34" s="1"/>
  <c r="N129" i="34" s="1"/>
  <c r="AH13" i="34"/>
  <c r="AH41" i="34" s="1"/>
  <c r="AH63" i="34" s="1"/>
  <c r="AH129" i="34" s="1"/>
  <c r="B3" i="34"/>
  <c r="AE13" i="34"/>
  <c r="AE41" i="34" s="1"/>
  <c r="AM12" i="34"/>
  <c r="AM40" i="34" s="1"/>
  <c r="AM62" i="34" s="1"/>
  <c r="AM128" i="34" s="1"/>
  <c r="G5" i="34"/>
  <c r="AL12" i="34"/>
  <c r="AL40" i="34" s="1"/>
  <c r="AL62" i="34" s="1"/>
  <c r="AL128" i="34" s="1"/>
  <c r="L12" i="23"/>
  <c r="L67" i="23" s="1"/>
  <c r="L89" i="23" s="1"/>
  <c r="L136" i="23" s="1"/>
  <c r="I12" i="23"/>
  <c r="I67" i="23" s="1"/>
  <c r="I89" i="23" s="1"/>
  <c r="I136" i="23" s="1"/>
  <c r="A87" i="23"/>
  <c r="AM12" i="23"/>
  <c r="AM67" i="23" s="1"/>
  <c r="AM89" i="23" s="1"/>
  <c r="AM136" i="23" s="1"/>
  <c r="O13" i="23"/>
  <c r="O68" i="23" s="1"/>
  <c r="O90" i="23" s="1"/>
  <c r="O137" i="23" s="1"/>
  <c r="AF13" i="23"/>
  <c r="AF68" i="23" s="1"/>
  <c r="AF90" i="23" s="1"/>
  <c r="AF137" i="23" s="1"/>
  <c r="M12" i="23"/>
  <c r="M67" i="23" s="1"/>
  <c r="M89" i="23" s="1"/>
  <c r="M136" i="23" s="1"/>
  <c r="A65" i="23"/>
  <c r="AI12" i="23"/>
  <c r="AI67" i="23" s="1"/>
  <c r="AI89" i="23" s="1"/>
  <c r="AI136" i="23" s="1"/>
  <c r="AE13" i="23"/>
  <c r="AE68" i="23" s="1"/>
  <c r="AE90" i="23" s="1"/>
  <c r="AE137" i="23" s="1"/>
  <c r="AH13" i="23"/>
  <c r="AH68" i="23" s="1"/>
  <c r="AH90" i="23" s="1"/>
  <c r="AH137" i="23" s="1"/>
  <c r="T13" i="23"/>
  <c r="T68" i="23" s="1"/>
  <c r="T90" i="23" s="1"/>
  <c r="T137" i="23" s="1"/>
  <c r="V13" i="23"/>
  <c r="V68" i="23" s="1"/>
  <c r="V90" i="23" s="1"/>
  <c r="V137" i="23" s="1"/>
  <c r="P13" i="23"/>
  <c r="P68" i="23" s="1"/>
  <c r="P90" i="23" s="1"/>
  <c r="P137" i="23" s="1"/>
  <c r="Y13" i="23"/>
  <c r="Y68" i="23" s="1"/>
  <c r="Y90" i="23" s="1"/>
  <c r="Y137" i="23" s="1"/>
  <c r="AB13" i="23"/>
  <c r="AB68" i="23" s="1"/>
  <c r="AB90" i="23" s="1"/>
  <c r="AB137" i="23" s="1"/>
  <c r="U13" i="23"/>
  <c r="U68" i="23" s="1"/>
  <c r="U90" i="23" s="1"/>
  <c r="U137" i="23" s="1"/>
  <c r="AI13" i="23"/>
  <c r="AI68" i="23" s="1"/>
  <c r="AI90" i="23" s="1"/>
  <c r="AI137" i="23" s="1"/>
  <c r="W13" i="23"/>
  <c r="W68" i="23" s="1"/>
  <c r="W90" i="23" s="1"/>
  <c r="W137" i="23" s="1"/>
  <c r="A1" i="17"/>
  <c r="B3" i="17"/>
  <c r="A12" i="17"/>
  <c r="A47" i="17" s="1"/>
  <c r="A81" i="17" s="1"/>
  <c r="A121" i="17" s="1"/>
  <c r="E12" i="17"/>
  <c r="E47" i="17" s="1"/>
  <c r="D81" i="17" s="1"/>
  <c r="D121" i="17" s="1"/>
  <c r="R13" i="17"/>
  <c r="R48" i="17" s="1"/>
  <c r="Q82" i="17" s="1"/>
  <c r="Q122" i="17" s="1"/>
  <c r="T13" i="17"/>
  <c r="T48" i="17" s="1"/>
  <c r="S82" i="17" s="1"/>
  <c r="S122" i="17" s="1"/>
  <c r="O13" i="17"/>
  <c r="O48" i="17" s="1"/>
  <c r="N82" i="17" s="1"/>
  <c r="N122" i="17" s="1"/>
  <c r="AA13" i="17"/>
  <c r="AA48" i="17" s="1"/>
  <c r="Z82" i="17" s="1"/>
  <c r="Z122" i="17" s="1"/>
  <c r="AE13" i="17"/>
  <c r="AE48" i="17" s="1"/>
  <c r="AD82" i="17" s="1"/>
  <c r="AD122" i="17" s="1"/>
  <c r="W13" i="17"/>
  <c r="W48" i="17" s="1"/>
  <c r="V82" i="17" s="1"/>
  <c r="V122" i="17" s="1"/>
  <c r="N13" i="23"/>
  <c r="N68" i="23" s="1"/>
  <c r="N90" i="23" s="1"/>
  <c r="N137" i="23" s="1"/>
  <c r="AL12" i="23"/>
  <c r="AL67" i="23" s="1"/>
  <c r="AL89" i="23" s="1"/>
  <c r="AL136" i="23" s="1"/>
  <c r="U13" i="34"/>
  <c r="U41" i="34" s="1"/>
  <c r="R13" i="34"/>
  <c r="R41" i="34" s="1"/>
  <c r="R63" i="34" s="1"/>
  <c r="R129" i="34" s="1"/>
  <c r="AF13" i="34"/>
  <c r="AF41" i="34" s="1"/>
  <c r="AF63" i="34" s="1"/>
  <c r="AF129" i="34" s="1"/>
  <c r="AG13" i="34"/>
  <c r="AG41" i="34" s="1"/>
  <c r="AG63" i="34" s="1"/>
  <c r="AG129" i="34" s="1"/>
  <c r="V13" i="34"/>
  <c r="V41" i="34" s="1"/>
  <c r="V63" i="34" s="1"/>
  <c r="V129" i="34" s="1"/>
  <c r="B5" i="34"/>
  <c r="P13" i="34"/>
  <c r="P41" i="34" s="1"/>
  <c r="P63" i="34" s="1"/>
  <c r="P129" i="34" s="1"/>
  <c r="A10" i="34"/>
  <c r="G5" i="23"/>
  <c r="A40" i="14"/>
  <c r="BF25" i="22"/>
  <c r="BF34" i="22" s="1"/>
  <c r="F17" i="11"/>
  <c r="F14" i="11" s="1"/>
  <c r="J17" i="11"/>
  <c r="J14" i="11" s="1"/>
  <c r="G5" i="17"/>
  <c r="L12" i="17"/>
  <c r="L47" i="17" s="1"/>
  <c r="K81" i="17" s="1"/>
  <c r="K121" i="17" s="1"/>
  <c r="AM121" i="17"/>
  <c r="Q13" i="17"/>
  <c r="Q48" i="17" s="1"/>
  <c r="P82" i="17" s="1"/>
  <c r="P122" i="17" s="1"/>
  <c r="Y13" i="17"/>
  <c r="Y48" i="17" s="1"/>
  <c r="X82" i="17" s="1"/>
  <c r="X122" i="17" s="1"/>
  <c r="AI12" i="17"/>
  <c r="AI47" i="17" s="1"/>
  <c r="AH81" i="17" s="1"/>
  <c r="AH121" i="17" s="1"/>
  <c r="AG13" i="17"/>
  <c r="AG48" i="17" s="1"/>
  <c r="AF82" i="17" s="1"/>
  <c r="AF122" i="17" s="1"/>
  <c r="U13" i="17"/>
  <c r="U48" i="17" s="1"/>
  <c r="T82" i="17" s="1"/>
  <c r="T122" i="17" s="1"/>
  <c r="P13" i="17"/>
  <c r="P48" i="17" s="1"/>
  <c r="O82" i="17" s="1"/>
  <c r="O122" i="17" s="1"/>
  <c r="AH13" i="17"/>
  <c r="AH48" i="17" s="1"/>
  <c r="AG82" i="17" s="1"/>
  <c r="AG122" i="17" s="1"/>
  <c r="Q13" i="23"/>
  <c r="Q68" i="23" s="1"/>
  <c r="Q90" i="23" s="1"/>
  <c r="Q137" i="23" s="1"/>
  <c r="AD13" i="23"/>
  <c r="AD68" i="23" s="1"/>
  <c r="AD90" i="23" s="1"/>
  <c r="AD137" i="23" s="1"/>
  <c r="AA13" i="23"/>
  <c r="AA68" i="23" s="1"/>
  <c r="AA90" i="23" s="1"/>
  <c r="AA137" i="23" s="1"/>
  <c r="AC13" i="23"/>
  <c r="AC68" i="23" s="1"/>
  <c r="AC90" i="23" s="1"/>
  <c r="AC137" i="23" s="1"/>
  <c r="Z13" i="23"/>
  <c r="Z68" i="23" s="1"/>
  <c r="Z90" i="23" s="1"/>
  <c r="Z137" i="23" s="1"/>
  <c r="T13" i="34"/>
  <c r="T41" i="34" s="1"/>
  <c r="T63" i="34" s="1"/>
  <c r="T129" i="34" s="1"/>
  <c r="Q13" i="34"/>
  <c r="Q41" i="34" s="1"/>
  <c r="Q63" i="34" s="1"/>
  <c r="Q129" i="34" s="1"/>
  <c r="A12" i="34"/>
  <c r="A40" i="34" s="1"/>
  <c r="A62" i="34" s="1"/>
  <c r="A128" i="34" s="1"/>
  <c r="S13" i="34"/>
  <c r="S41" i="34" s="1"/>
  <c r="S63" i="34" s="1"/>
  <c r="S129" i="34" s="1"/>
  <c r="E12" i="34"/>
  <c r="E40" i="34" s="1"/>
  <c r="E62" i="34" s="1"/>
  <c r="E128" i="34" s="1"/>
  <c r="A134" i="23"/>
  <c r="A1" i="23"/>
  <c r="G3" i="23"/>
  <c r="A10" i="17"/>
  <c r="AF13" i="17"/>
  <c r="AF48" i="17" s="1"/>
  <c r="AE82" i="17" s="1"/>
  <c r="AE122" i="17" s="1"/>
  <c r="A119" i="17"/>
  <c r="AK12" i="17"/>
  <c r="A12" i="23"/>
  <c r="A67" i="23" s="1"/>
  <c r="A89" i="23" s="1"/>
  <c r="A136" i="23" s="1"/>
  <c r="BA25" i="22"/>
  <c r="BA34" i="22" s="1"/>
  <c r="BH25" i="22"/>
  <c r="BH34" i="22" s="1"/>
  <c r="BE25" i="22"/>
  <c r="BE34" i="22" s="1"/>
  <c r="AI64" i="34"/>
  <c r="BD25" i="22"/>
  <c r="BD34" i="22" s="1"/>
  <c r="AX25" i="22"/>
  <c r="AX34" i="22" s="1"/>
  <c r="AJ64" i="34"/>
  <c r="AL12" i="22"/>
  <c r="AL39" i="22" s="1"/>
  <c r="AL88" i="22" s="1"/>
  <c r="AL131" i="22" s="1"/>
  <c r="AJ13" i="22"/>
  <c r="U145" i="35"/>
  <c r="O5" i="90"/>
  <c r="Q7" i="90"/>
  <c r="P67" i="35"/>
  <c r="BF19" i="23"/>
  <c r="P413" i="35"/>
  <c r="P153" i="35"/>
  <c r="P239" i="35"/>
  <c r="P499" i="35"/>
  <c r="P325" i="35"/>
  <c r="P585" i="35"/>
  <c r="P670" i="35"/>
  <c r="F67" i="35"/>
  <c r="F670" i="35"/>
  <c r="F239" i="35"/>
  <c r="F499" i="35"/>
  <c r="AX19" i="23"/>
  <c r="F153" i="35"/>
  <c r="F585" i="35"/>
  <c r="F325" i="35"/>
  <c r="F413" i="35"/>
  <c r="M483" i="35"/>
  <c r="O484" i="35"/>
  <c r="M687" i="35"/>
  <c r="O687" i="35" s="1"/>
  <c r="O688" i="35"/>
  <c r="U688" i="35" s="1"/>
  <c r="H681" i="35"/>
  <c r="J682" i="35"/>
  <c r="M424" i="35"/>
  <c r="O425" i="35"/>
  <c r="T510" i="35"/>
  <c r="AT86" i="58"/>
  <c r="G504" i="35"/>
  <c r="J505" i="35"/>
  <c r="R113" i="58"/>
  <c r="R97" i="58"/>
  <c r="R105" i="58"/>
  <c r="R121" i="58"/>
  <c r="AV119" i="58"/>
  <c r="AV95" i="58"/>
  <c r="AV111" i="58"/>
  <c r="AV103" i="58"/>
  <c r="S342" i="35"/>
  <c r="T342" i="35" s="1"/>
  <c r="T343" i="35"/>
  <c r="N681" i="35"/>
  <c r="O681" i="35" s="1"/>
  <c r="O682" i="35"/>
  <c r="K84" i="35"/>
  <c r="O85" i="35"/>
  <c r="F424" i="35"/>
  <c r="J425" i="35"/>
  <c r="O511" i="35"/>
  <c r="U511" i="35" s="1"/>
  <c r="K510" i="35"/>
  <c r="AC80" i="58"/>
  <c r="AC89" i="58"/>
  <c r="F244" i="35"/>
  <c r="J245" i="35"/>
  <c r="H675" i="35"/>
  <c r="J676" i="35"/>
  <c r="U676" i="35" s="1"/>
  <c r="AC105" i="58"/>
  <c r="AC113" i="58"/>
  <c r="O675" i="35"/>
  <c r="AC121" i="58"/>
  <c r="AC97" i="58"/>
  <c r="AG109" i="58"/>
  <c r="AG117" i="58"/>
  <c r="O418" i="35"/>
  <c r="AG101" i="58"/>
  <c r="AG93" i="58"/>
  <c r="AT94" i="58"/>
  <c r="AT118" i="58"/>
  <c r="AT102" i="58"/>
  <c r="AX102" i="58" s="1"/>
  <c r="T504" i="35"/>
  <c r="AT110" i="58"/>
  <c r="AH109" i="22"/>
  <c r="Z109" i="22"/>
  <c r="AI109" i="22" s="1"/>
  <c r="AH145" i="22"/>
  <c r="Z145" i="22"/>
  <c r="AI145" i="22" s="1"/>
  <c r="AG148" i="22"/>
  <c r="AI148" i="22" s="1"/>
  <c r="AH148" i="22"/>
  <c r="Z151" i="22"/>
  <c r="AI151" i="22" s="1"/>
  <c r="AH151" i="22"/>
  <c r="AE84" i="58"/>
  <c r="AE75" i="58"/>
  <c r="AE60" i="58"/>
  <c r="AK60" i="58" s="1"/>
  <c r="O164" i="35"/>
  <c r="Q93" i="35"/>
  <c r="T94" i="35"/>
  <c r="AE121" i="58"/>
  <c r="AE105" i="58"/>
  <c r="AE97" i="58"/>
  <c r="AE113" i="58"/>
  <c r="P414" i="58"/>
  <c r="P438" i="58"/>
  <c r="P404" i="58"/>
  <c r="P300" i="58"/>
  <c r="P502" i="58"/>
  <c r="P478" i="58"/>
  <c r="P276" i="58"/>
  <c r="P332" i="58"/>
  <c r="T397" i="35"/>
  <c r="AP164" i="58"/>
  <c r="G93" i="35"/>
  <c r="J94" i="35"/>
  <c r="J510" i="35"/>
  <c r="R86" i="58"/>
  <c r="P507" i="35"/>
  <c r="T508" i="35"/>
  <c r="P247" i="35"/>
  <c r="I666" i="35"/>
  <c r="R164" i="35"/>
  <c r="T165" i="35"/>
  <c r="T263" i="35"/>
  <c r="R262" i="35"/>
  <c r="J30" i="35"/>
  <c r="V191" i="58"/>
  <c r="M155" i="35"/>
  <c r="O156" i="35"/>
  <c r="M453" i="35"/>
  <c r="O454" i="35"/>
  <c r="N300" i="35"/>
  <c r="O300" i="35" s="1"/>
  <c r="O301" i="35"/>
  <c r="AG166" i="58"/>
  <c r="H364" i="35"/>
  <c r="J365" i="35"/>
  <c r="S462" i="35"/>
  <c r="T463" i="35"/>
  <c r="O475" i="35"/>
  <c r="L474" i="35"/>
  <c r="AT98" i="58"/>
  <c r="AT114" i="58"/>
  <c r="AX114" i="58" s="1"/>
  <c r="AT108" i="58"/>
  <c r="AT100" i="58"/>
  <c r="AT106" i="58"/>
  <c r="AT90" i="58"/>
  <c r="AV200" i="58"/>
  <c r="AX200" i="58" s="1"/>
  <c r="T18" i="35"/>
  <c r="AG104" i="58"/>
  <c r="AG120" i="58"/>
  <c r="AG96" i="58"/>
  <c r="AG112" i="58"/>
  <c r="AC203" i="58"/>
  <c r="Q81" i="35"/>
  <c r="T82" i="35"/>
  <c r="R34" i="58"/>
  <c r="R26" i="58"/>
  <c r="R18" i="58"/>
  <c r="R42" i="58"/>
  <c r="R20" i="58"/>
  <c r="R44" i="58"/>
  <c r="AE49" i="58"/>
  <c r="AE41" i="58"/>
  <c r="AE25" i="58"/>
  <c r="AR41" i="58"/>
  <c r="AR33" i="58"/>
  <c r="AR49" i="58"/>
  <c r="AR25" i="58"/>
  <c r="N176" i="35"/>
  <c r="O176" i="35" s="1"/>
  <c r="O177" i="35"/>
  <c r="N193" i="35"/>
  <c r="AI546" i="58" s="1"/>
  <c r="O194" i="35"/>
  <c r="V175" i="58"/>
  <c r="AE546" i="58"/>
  <c r="L642" i="35"/>
  <c r="L400" i="35"/>
  <c r="O400" i="35" s="1"/>
  <c r="O401" i="35"/>
  <c r="M513" i="35"/>
  <c r="O513" i="35" s="1"/>
  <c r="O514" i="35"/>
  <c r="U514" i="35" s="1"/>
  <c r="AT4" i="58"/>
  <c r="AT12" i="58"/>
  <c r="AT2" i="58"/>
  <c r="T167" i="35"/>
  <c r="R599" i="35"/>
  <c r="T600" i="35"/>
  <c r="AT43" i="58"/>
  <c r="AT27" i="58"/>
  <c r="AT19" i="58"/>
  <c r="AT35" i="58"/>
  <c r="O502" i="35"/>
  <c r="N501" i="35"/>
  <c r="AI78" i="58"/>
  <c r="AI87" i="58"/>
  <c r="J256" i="35"/>
  <c r="AP167" i="58"/>
  <c r="T312" i="35"/>
  <c r="AE262" i="58"/>
  <c r="AE252" i="58"/>
  <c r="AE194" i="58"/>
  <c r="AE184" i="58"/>
  <c r="AE272" i="58"/>
  <c r="AE243" i="58"/>
  <c r="AE223" i="58"/>
  <c r="AG200" i="58"/>
  <c r="AV87" i="58"/>
  <c r="R47" i="58"/>
  <c r="R23" i="58"/>
  <c r="R31" i="58"/>
  <c r="R39" i="58"/>
  <c r="P146" i="35"/>
  <c r="P58" i="58"/>
  <c r="K318" i="35"/>
  <c r="M348" i="35"/>
  <c r="O348" i="35" s="1"/>
  <c r="O349" i="35"/>
  <c r="AV88" i="58"/>
  <c r="AV79" i="58"/>
  <c r="AV70" i="58"/>
  <c r="L262" i="35"/>
  <c r="O263" i="35"/>
  <c r="S51" i="35"/>
  <c r="T52" i="35"/>
  <c r="AE201" i="58"/>
  <c r="AK201" i="58" s="1"/>
  <c r="O104" i="35"/>
  <c r="U104" i="35" s="1"/>
  <c r="AV231" i="58"/>
  <c r="AV260" i="58"/>
  <c r="AV250" i="58"/>
  <c r="AV221" i="58"/>
  <c r="AV211" i="58"/>
  <c r="AV241" i="58"/>
  <c r="AV172" i="58"/>
  <c r="F388" i="35"/>
  <c r="J388" i="35" s="1"/>
  <c r="J389" i="35"/>
  <c r="J15" i="35"/>
  <c r="U15" i="35" s="1"/>
  <c r="F273" i="35"/>
  <c r="J274" i="35"/>
  <c r="O274" i="35"/>
  <c r="T274" i="35"/>
  <c r="T274" i="58"/>
  <c r="T176" i="58"/>
  <c r="T196" i="58"/>
  <c r="T215" i="58"/>
  <c r="T225" i="58"/>
  <c r="T186" i="58"/>
  <c r="T264" i="58"/>
  <c r="T235" i="58"/>
  <c r="N450" i="35"/>
  <c r="AI203" i="58" s="1"/>
  <c r="O451" i="35"/>
  <c r="AT141" i="58"/>
  <c r="H630" i="35"/>
  <c r="J631" i="35"/>
  <c r="AR89" i="58"/>
  <c r="P143" i="58"/>
  <c r="X143" i="58" s="1"/>
  <c r="P141" i="58"/>
  <c r="K651" i="35"/>
  <c r="O652" i="35"/>
  <c r="M42" i="35"/>
  <c r="O43" i="35"/>
  <c r="T569" i="35"/>
  <c r="S48" i="35"/>
  <c r="T49" i="35"/>
  <c r="G113" i="35"/>
  <c r="AG182" i="58"/>
  <c r="AG270" i="58"/>
  <c r="I21" i="35"/>
  <c r="J22" i="35"/>
  <c r="AV106" i="58"/>
  <c r="AV108" i="58"/>
  <c r="T91" i="58"/>
  <c r="T99" i="58"/>
  <c r="P111" i="35"/>
  <c r="AE162" i="58"/>
  <c r="T221" i="58"/>
  <c r="T172" i="58"/>
  <c r="T250" i="58"/>
  <c r="T241" i="58"/>
  <c r="T182" i="58"/>
  <c r="T139" i="58"/>
  <c r="P657" i="35"/>
  <c r="T658" i="35"/>
  <c r="Q628" i="35"/>
  <c r="Q25" i="35"/>
  <c r="Q371" i="35"/>
  <c r="Q457" i="35"/>
  <c r="Q456" i="35" s="1"/>
  <c r="Q283" i="35"/>
  <c r="Q282" i="35" s="1"/>
  <c r="Q197" i="35"/>
  <c r="Q196" i="35" s="1"/>
  <c r="AG26" i="58"/>
  <c r="AG20" i="58"/>
  <c r="AG34" i="58"/>
  <c r="AG28" i="58"/>
  <c r="AX142" i="58"/>
  <c r="O448" i="35"/>
  <c r="G447" i="35"/>
  <c r="P77" i="58"/>
  <c r="J501" i="35"/>
  <c r="P86" i="58"/>
  <c r="Q684" i="35"/>
  <c r="T685" i="35"/>
  <c r="T193" i="58"/>
  <c r="T271" i="58"/>
  <c r="T173" i="58"/>
  <c r="T183" i="58"/>
  <c r="T212" i="58"/>
  <c r="T222" i="58"/>
  <c r="T232" i="58"/>
  <c r="K576" i="35"/>
  <c r="BB19" i="23"/>
  <c r="K661" i="35"/>
  <c r="K404" i="35"/>
  <c r="K490" i="35"/>
  <c r="K144" i="35"/>
  <c r="K316" i="35"/>
  <c r="Q490" i="35"/>
  <c r="Q230" i="35"/>
  <c r="Q576" i="35"/>
  <c r="BG19" i="23"/>
  <c r="Q316" i="35"/>
  <c r="Q404" i="35"/>
  <c r="N579" i="35"/>
  <c r="N578" i="35" s="1"/>
  <c r="N664" i="35"/>
  <c r="N233" i="35"/>
  <c r="N147" i="35"/>
  <c r="AH110" i="22"/>
  <c r="S110" i="22"/>
  <c r="AI110" i="22" s="1"/>
  <c r="AG55" i="22"/>
  <c r="AI55" i="22" s="1"/>
  <c r="AH55" i="22"/>
  <c r="Z56" i="22"/>
  <c r="AI56" i="22" s="1"/>
  <c r="AH56" i="22"/>
  <c r="Z66" i="22"/>
  <c r="AI66" i="22" s="1"/>
  <c r="AH66" i="22"/>
  <c r="Z142" i="22"/>
  <c r="AI142" i="22" s="1"/>
  <c r="AH142" i="22"/>
  <c r="AH147" i="22"/>
  <c r="Z147" i="22"/>
  <c r="AI147" i="22" s="1"/>
  <c r="AT163" i="58"/>
  <c r="R113" i="35"/>
  <c r="R191" i="58"/>
  <c r="R171" i="58"/>
  <c r="R259" i="58"/>
  <c r="T210" i="58"/>
  <c r="T171" i="58"/>
  <c r="T259" i="58"/>
  <c r="T240" i="58"/>
  <c r="T191" i="58"/>
  <c r="AR60" i="58"/>
  <c r="AR84" i="58"/>
  <c r="O539" i="35"/>
  <c r="T32" i="58"/>
  <c r="T48" i="58"/>
  <c r="T42" i="58"/>
  <c r="T34" i="58"/>
  <c r="T36" i="58"/>
  <c r="T44" i="58"/>
  <c r="I645" i="35"/>
  <c r="J645" i="35" s="1"/>
  <c r="J646" i="35"/>
  <c r="AR31" i="58"/>
  <c r="AR39" i="58"/>
  <c r="N480" i="35"/>
  <c r="O481" i="35"/>
  <c r="AI243" i="58"/>
  <c r="AV8" i="58"/>
  <c r="AV16" i="58"/>
  <c r="AP30" i="58"/>
  <c r="AP22" i="58"/>
  <c r="AX22" i="58" s="1"/>
  <c r="N520" i="35"/>
  <c r="N88" i="35"/>
  <c r="N87" i="35" s="1"/>
  <c r="AI52" i="58" s="1"/>
  <c r="N606" i="35"/>
  <c r="N174" i="35"/>
  <c r="N260" i="35"/>
  <c r="AV18" i="34"/>
  <c r="N346" i="35"/>
  <c r="M248" i="35"/>
  <c r="M162" i="35"/>
  <c r="M161" i="35" s="1"/>
  <c r="M422" i="35"/>
  <c r="M421" i="35" s="1"/>
  <c r="M594" i="35"/>
  <c r="M76" i="35"/>
  <c r="M679" i="35"/>
  <c r="M678" i="35" s="1"/>
  <c r="S146" i="22"/>
  <c r="AI146" i="22" s="1"/>
  <c r="AH146" i="22"/>
  <c r="L158" i="35"/>
  <c r="O159" i="35"/>
  <c r="R69" i="35"/>
  <c r="T70" i="35"/>
  <c r="AR193" i="58"/>
  <c r="AR271" i="58"/>
  <c r="AR222" i="58"/>
  <c r="AR232" i="58"/>
  <c r="AR251" i="58"/>
  <c r="AG92" i="58"/>
  <c r="AG114" i="58"/>
  <c r="K364" i="35"/>
  <c r="O365" i="35"/>
  <c r="K693" i="35"/>
  <c r="O693" i="35" s="1"/>
  <c r="O694" i="35"/>
  <c r="G693" i="35"/>
  <c r="R71" i="58" s="1"/>
  <c r="J694" i="35"/>
  <c r="T15" i="58"/>
  <c r="T7" i="58"/>
  <c r="U494" i="35"/>
  <c r="T655" i="35"/>
  <c r="Q654" i="35"/>
  <c r="AR168" i="58" s="1"/>
  <c r="L330" i="35"/>
  <c r="O331" i="35"/>
  <c r="O337" i="35"/>
  <c r="K336" i="35"/>
  <c r="AC14" i="58"/>
  <c r="AC6" i="58"/>
  <c r="AT213" i="58"/>
  <c r="AT174" i="58"/>
  <c r="AT262" i="58"/>
  <c r="AT184" i="58"/>
  <c r="AT194" i="58"/>
  <c r="AC99" i="58"/>
  <c r="AC107" i="58"/>
  <c r="AX24" i="24"/>
  <c r="BJ23" i="24"/>
  <c r="AT77" i="58"/>
  <c r="R630" i="35"/>
  <c r="Z120" i="22"/>
  <c r="AI120" i="22" s="1"/>
  <c r="AH120" i="22"/>
  <c r="Z115" i="22"/>
  <c r="AI115" i="22" s="1"/>
  <c r="AH115" i="22"/>
  <c r="Z114" i="22"/>
  <c r="AI114" i="22" s="1"/>
  <c r="AH114" i="22"/>
  <c r="Z112" i="22"/>
  <c r="AI112" i="22" s="1"/>
  <c r="AH112" i="22"/>
  <c r="S24" i="22"/>
  <c r="AI24" i="22" s="1"/>
  <c r="AH24" i="22"/>
  <c r="AG30" i="22"/>
  <c r="AI30" i="22" s="1"/>
  <c r="AH30" i="22"/>
  <c r="T134" i="15"/>
  <c r="AJ134" i="15" s="1"/>
  <c r="AI134" i="15"/>
  <c r="T141" i="15"/>
  <c r="AJ141" i="15" s="1"/>
  <c r="AI141" i="15"/>
  <c r="T156" i="15"/>
  <c r="AJ156" i="15" s="1"/>
  <c r="AI156" i="15"/>
  <c r="AA123" i="15"/>
  <c r="AJ123" i="15" s="1"/>
  <c r="AI123" i="15"/>
  <c r="AA126" i="15"/>
  <c r="AJ126" i="15" s="1"/>
  <c r="AI126" i="15"/>
  <c r="AH163" i="15"/>
  <c r="AJ163" i="15" s="1"/>
  <c r="AI163" i="15"/>
  <c r="AH177" i="15"/>
  <c r="AJ177" i="15" s="1"/>
  <c r="AI177" i="15"/>
  <c r="AH180" i="15"/>
  <c r="AJ180" i="15" s="1"/>
  <c r="AI180" i="15"/>
  <c r="AH189" i="15"/>
  <c r="AJ189" i="15" s="1"/>
  <c r="AI189" i="15"/>
  <c r="AH192" i="15"/>
  <c r="AJ192" i="15" s="1"/>
  <c r="AI192" i="15"/>
  <c r="J470" i="35"/>
  <c r="O523" i="35"/>
  <c r="T693" i="35"/>
  <c r="K587" i="35"/>
  <c r="O588" i="35"/>
  <c r="H624" i="35"/>
  <c r="J625" i="35"/>
  <c r="N415" i="35"/>
  <c r="O416" i="35"/>
  <c r="U592" i="35"/>
  <c r="AH74" i="22"/>
  <c r="AI168" i="15"/>
  <c r="S174" i="35"/>
  <c r="S434" i="35"/>
  <c r="S433" i="35" s="1"/>
  <c r="AV54" i="58" s="1"/>
  <c r="M493" i="35"/>
  <c r="M492" i="35" s="1"/>
  <c r="M579" i="35"/>
  <c r="M61" i="35"/>
  <c r="BH44" i="23"/>
  <c r="BJ33" i="23"/>
  <c r="BJ34" i="23"/>
  <c r="G520" i="35"/>
  <c r="G174" i="35"/>
  <c r="G434" i="35"/>
  <c r="G606" i="35"/>
  <c r="F602" i="35"/>
  <c r="J603" i="35"/>
  <c r="AH104" i="23"/>
  <c r="AJ104" i="23" s="1"/>
  <c r="AI104" i="23"/>
  <c r="AI105" i="23"/>
  <c r="T108" i="23"/>
  <c r="AJ108" i="23" s="1"/>
  <c r="AI108" i="23"/>
  <c r="T109" i="23"/>
  <c r="AJ109" i="23" s="1"/>
  <c r="AI109" i="23"/>
  <c r="AH61" i="15"/>
  <c r="AJ61" i="15" s="1"/>
  <c r="AI61" i="15"/>
  <c r="AH55" i="15"/>
  <c r="AJ55" i="15" s="1"/>
  <c r="AI55" i="15"/>
  <c r="AH80" i="15"/>
  <c r="AJ80" i="15" s="1"/>
  <c r="AI80" i="15"/>
  <c r="AJ72" i="15"/>
  <c r="T87" i="15"/>
  <c r="AJ87" i="15" s="1"/>
  <c r="AI87" i="15"/>
  <c r="AA64" i="15"/>
  <c r="AJ64" i="15" s="1"/>
  <c r="AI64" i="15"/>
  <c r="AH94" i="15"/>
  <c r="AJ94" i="15" s="1"/>
  <c r="AI94" i="15"/>
  <c r="T41" i="23"/>
  <c r="AJ41" i="23" s="1"/>
  <c r="AI41" i="23"/>
  <c r="AA32" i="23"/>
  <c r="AJ32" i="23" s="1"/>
  <c r="AI32" i="23"/>
  <c r="AA30" i="23"/>
  <c r="AJ30" i="23" s="1"/>
  <c r="AI30" i="23"/>
  <c r="I15" i="11"/>
  <c r="L15" i="11" s="1"/>
  <c r="O570" i="35"/>
  <c r="L493" i="35"/>
  <c r="L319" i="35"/>
  <c r="L318" i="35" s="1"/>
  <c r="AI57" i="22"/>
  <c r="J533" i="35"/>
  <c r="T204" i="58"/>
  <c r="G548" i="35"/>
  <c r="Q244" i="35"/>
  <c r="AH28" i="22"/>
  <c r="AI125" i="15"/>
  <c r="J534" i="35"/>
  <c r="K679" i="35"/>
  <c r="K422" i="35"/>
  <c r="K162" i="35"/>
  <c r="K667" i="35"/>
  <c r="K150" i="35"/>
  <c r="Q667" i="35"/>
  <c r="Q410" i="35"/>
  <c r="G612" i="35"/>
  <c r="G526" i="35"/>
  <c r="AA81" i="23"/>
  <c r="AJ81" i="23" s="1"/>
  <c r="AI81" i="23"/>
  <c r="T24" i="23"/>
  <c r="AJ24" i="23" s="1"/>
  <c r="AI24" i="23"/>
  <c r="AH50" i="23"/>
  <c r="AJ50" i="23" s="1"/>
  <c r="AI50" i="23"/>
  <c r="AJ47" i="23"/>
  <c r="T111" i="23"/>
  <c r="AJ111" i="23" s="1"/>
  <c r="AI111" i="23"/>
  <c r="AA59" i="15"/>
  <c r="AJ59" i="15" s="1"/>
  <c r="AI59" i="15"/>
  <c r="AA58" i="15"/>
  <c r="AJ58" i="15" s="1"/>
  <c r="AI58" i="15"/>
  <c r="AA57" i="15"/>
  <c r="AJ57" i="15" s="1"/>
  <c r="AI57" i="15"/>
  <c r="AH53" i="15"/>
  <c r="AJ53" i="15" s="1"/>
  <c r="AI53" i="15"/>
  <c r="AA52" i="15"/>
  <c r="AJ52" i="15" s="1"/>
  <c r="AI52" i="15"/>
  <c r="T84" i="15"/>
  <c r="AJ84" i="15" s="1"/>
  <c r="AI84" i="15"/>
  <c r="AI149" i="22"/>
  <c r="V168" i="58"/>
  <c r="G90" i="35"/>
  <c r="J90" i="35" s="1"/>
  <c r="J91" i="35"/>
  <c r="AI26" i="22"/>
  <c r="H260" i="35"/>
  <c r="H434" i="35"/>
  <c r="H433" i="35" s="1"/>
  <c r="T54" i="58" s="1"/>
  <c r="H691" i="35"/>
  <c r="H520" i="35"/>
  <c r="H519" i="35" s="1"/>
  <c r="T55" i="58" s="1"/>
  <c r="H88" i="35"/>
  <c r="BJ27" i="23"/>
  <c r="BF24" i="24"/>
  <c r="T58" i="23"/>
  <c r="AJ58" i="23" s="1"/>
  <c r="AI58" i="23"/>
  <c r="AI113" i="23"/>
  <c r="T113" i="23"/>
  <c r="AJ113" i="23" s="1"/>
  <c r="AI114" i="23"/>
  <c r="T114" i="23"/>
  <c r="AJ114" i="23" s="1"/>
  <c r="AH127" i="23"/>
  <c r="AJ127" i="23" s="1"/>
  <c r="AI127" i="23"/>
  <c r="AH129" i="23"/>
  <c r="AJ129" i="23" s="1"/>
  <c r="AI129" i="23"/>
  <c r="AI164" i="23"/>
  <c r="T164" i="23"/>
  <c r="AJ164" i="23" s="1"/>
  <c r="Z107" i="22"/>
  <c r="AI107" i="22" s="1"/>
  <c r="AH107" i="22"/>
  <c r="AH100" i="22"/>
  <c r="AG100" i="22"/>
  <c r="AI100" i="22" s="1"/>
  <c r="Z27" i="22"/>
  <c r="AI27" i="22" s="1"/>
  <c r="AH27" i="22"/>
  <c r="AG32" i="22"/>
  <c r="AI32" i="22" s="1"/>
  <c r="AH32" i="22"/>
  <c r="H12" i="14"/>
  <c r="J12" i="14"/>
  <c r="AA119" i="15"/>
  <c r="AJ119" i="15" s="1"/>
  <c r="AI119" i="15"/>
  <c r="AA151" i="15"/>
  <c r="AJ151" i="15" s="1"/>
  <c r="AI151" i="15"/>
  <c r="AI162" i="15"/>
  <c r="AA162" i="15"/>
  <c r="AJ162" i="15" s="1"/>
  <c r="AH169" i="15"/>
  <c r="AJ169" i="15" s="1"/>
  <c r="AI169" i="15"/>
  <c r="Z72" i="22"/>
  <c r="AI72" i="22" s="1"/>
  <c r="AH72" i="22"/>
  <c r="S144" i="22"/>
  <c r="AI144" i="22" s="1"/>
  <c r="AH144" i="22"/>
  <c r="AG152" i="22"/>
  <c r="AI152" i="22" s="1"/>
  <c r="AH152" i="22"/>
  <c r="S410" i="35"/>
  <c r="S409" i="35" s="1"/>
  <c r="AA38" i="15"/>
  <c r="AJ38" i="15" s="1"/>
  <c r="AI38" i="15"/>
  <c r="AI60" i="23"/>
  <c r="T118" i="23"/>
  <c r="AJ118" i="23" s="1"/>
  <c r="AI118" i="23"/>
  <c r="AJ25" i="23"/>
  <c r="T78" i="15"/>
  <c r="AJ78" i="15" s="1"/>
  <c r="AI78" i="15"/>
  <c r="AH83" i="15"/>
  <c r="AJ83" i="15" s="1"/>
  <c r="AI83" i="15"/>
  <c r="AH86" i="15"/>
  <c r="AJ86" i="15" s="1"/>
  <c r="AH42" i="23"/>
  <c r="AJ42" i="23" s="1"/>
  <c r="AI42" i="23"/>
  <c r="AJ37" i="23"/>
  <c r="AI33" i="23"/>
  <c r="T33" i="23"/>
  <c r="AJ33" i="23" s="1"/>
  <c r="T76" i="23"/>
  <c r="AJ76" i="23" s="1"/>
  <c r="AI76" i="23"/>
  <c r="S124" i="22"/>
  <c r="AI124" i="22" s="1"/>
  <c r="AH124" i="22"/>
  <c r="S123" i="22"/>
  <c r="AI123" i="22" s="1"/>
  <c r="S122" i="22"/>
  <c r="AI122" i="22" s="1"/>
  <c r="AH122" i="22"/>
  <c r="S98" i="22"/>
  <c r="AI98" i="22" s="1"/>
  <c r="AH98" i="22"/>
  <c r="AA85" i="24"/>
  <c r="AJ85" i="24" s="1"/>
  <c r="AI85" i="24"/>
  <c r="AH138" i="22"/>
  <c r="AH73" i="22"/>
  <c r="S73" i="22"/>
  <c r="AI73" i="22" s="1"/>
  <c r="S76" i="22"/>
  <c r="AI76" i="22" s="1"/>
  <c r="AH76" i="22"/>
  <c r="Z77" i="22"/>
  <c r="AI77" i="22" s="1"/>
  <c r="AH77" i="22"/>
  <c r="Z159" i="22"/>
  <c r="AI159" i="22" s="1"/>
  <c r="AH159" i="22"/>
  <c r="AH152" i="15"/>
  <c r="AJ152" i="15" s="1"/>
  <c r="AI152" i="15"/>
  <c r="AJ130" i="23"/>
  <c r="BJ29" i="22"/>
  <c r="AH120" i="23"/>
  <c r="AJ120" i="23" s="1"/>
  <c r="AI120" i="23"/>
  <c r="AA119" i="23"/>
  <c r="AJ119" i="23" s="1"/>
  <c r="AI119" i="23"/>
  <c r="AA69" i="15"/>
  <c r="AJ69" i="15" s="1"/>
  <c r="AI69" i="15"/>
  <c r="AA99" i="15"/>
  <c r="AJ99" i="15" s="1"/>
  <c r="AI99" i="15"/>
  <c r="T28" i="23"/>
  <c r="AJ28" i="23" s="1"/>
  <c r="AI28" i="23"/>
  <c r="AG103" i="22"/>
  <c r="AI103" i="22" s="1"/>
  <c r="AH103" i="22"/>
  <c r="S101" i="22"/>
  <c r="AI101" i="22" s="1"/>
  <c r="AH101" i="22"/>
  <c r="S95" i="22"/>
  <c r="AI95" i="22" s="1"/>
  <c r="AH95" i="22"/>
  <c r="S29" i="22"/>
  <c r="AI29" i="22" s="1"/>
  <c r="AH29" i="22"/>
  <c r="Z33" i="22"/>
  <c r="AI33" i="22" s="1"/>
  <c r="AH33" i="22"/>
  <c r="AH75" i="22"/>
  <c r="S75" i="22"/>
  <c r="AI75" i="22" s="1"/>
  <c r="AA187" i="15"/>
  <c r="AJ187" i="15" s="1"/>
  <c r="AI187" i="15"/>
  <c r="AH128" i="15"/>
  <c r="AJ128" i="15" s="1"/>
  <c r="AI128" i="15"/>
  <c r="T53" i="23"/>
  <c r="AJ53" i="23" s="1"/>
  <c r="T19" i="23"/>
  <c r="AJ19" i="23" s="1"/>
  <c r="AI19" i="23"/>
  <c r="AA66" i="15"/>
  <c r="AJ66" i="15" s="1"/>
  <c r="AI66" i="15"/>
  <c r="Z81" i="22"/>
  <c r="AI81" i="22" s="1"/>
  <c r="AH81" i="22"/>
  <c r="AA182" i="15"/>
  <c r="AJ182" i="15" s="1"/>
  <c r="AI182" i="15"/>
  <c r="AH148" i="15"/>
  <c r="AJ148" i="15" s="1"/>
  <c r="AI148" i="15"/>
  <c r="AI82" i="23"/>
  <c r="AJ107" i="23"/>
  <c r="T88" i="15"/>
  <c r="AJ88" i="15" s="1"/>
  <c r="AI88" i="15"/>
  <c r="AI37" i="23"/>
  <c r="AJ31" i="23"/>
  <c r="AI139" i="15"/>
  <c r="AA174" i="15"/>
  <c r="AJ174" i="15" s="1"/>
  <c r="AI174" i="15"/>
  <c r="AH164" i="15"/>
  <c r="AJ164" i="15" s="1"/>
  <c r="AI164" i="15"/>
  <c r="T57" i="23"/>
  <c r="AJ57" i="23" s="1"/>
  <c r="AI57" i="23"/>
  <c r="AI47" i="23"/>
  <c r="AH26" i="22"/>
  <c r="AH162" i="22"/>
  <c r="T190" i="15"/>
  <c r="AJ190" i="15" s="1"/>
  <c r="AI190" i="15"/>
  <c r="H91" i="85"/>
  <c r="AB17" i="85"/>
  <c r="AB53" i="85"/>
  <c r="M33" i="85"/>
  <c r="AC33" i="85" s="1"/>
  <c r="AB33" i="85"/>
  <c r="I79" i="85"/>
  <c r="E87" i="85"/>
  <c r="E71" i="85"/>
  <c r="H67" i="85"/>
  <c r="J67" i="85"/>
  <c r="M67" i="85"/>
  <c r="AT15" i="85"/>
  <c r="AT18" i="85"/>
  <c r="AW16" i="85"/>
  <c r="BG16" i="85"/>
  <c r="BG18" i="85"/>
  <c r="AZ17" i="85"/>
  <c r="AX15" i="85"/>
  <c r="BB16" i="85"/>
  <c r="BB17" i="85"/>
  <c r="AX18" i="85"/>
  <c r="BC15" i="85"/>
  <c r="AY17" i="85"/>
  <c r="BC18" i="85"/>
  <c r="AV17" i="85"/>
  <c r="AZ18" i="85"/>
  <c r="BA14" i="85"/>
  <c r="BF14" i="85"/>
  <c r="BD14" i="85"/>
  <c r="H71" i="85"/>
  <c r="J71" i="85"/>
  <c r="I83" i="85"/>
  <c r="O91" i="85"/>
  <c r="G91" i="85"/>
  <c r="K87" i="85"/>
  <c r="O83" i="85"/>
  <c r="G83" i="85"/>
  <c r="K79" i="85"/>
  <c r="O75" i="85"/>
  <c r="G75" i="85"/>
  <c r="K71" i="85"/>
  <c r="J75" i="85"/>
  <c r="I91" i="85"/>
  <c r="M75" i="85"/>
  <c r="J91" i="85"/>
  <c r="N87" i="85"/>
  <c r="F87" i="85"/>
  <c r="J83" i="85"/>
  <c r="N79" i="85"/>
  <c r="F79" i="85"/>
  <c r="N71" i="85"/>
  <c r="E83" i="85"/>
  <c r="P67" i="85"/>
  <c r="K67" i="85"/>
  <c r="I67" i="85"/>
  <c r="E67" i="85"/>
  <c r="AT19" i="85"/>
  <c r="AW15" i="85"/>
  <c r="BA16" i="85"/>
  <c r="BA17" i="85"/>
  <c r="AW18" i="85"/>
  <c r="BG17" i="85"/>
  <c r="BG22" i="85" s="1"/>
  <c r="L91" i="85"/>
  <c r="P87" i="85"/>
  <c r="H83" i="85"/>
  <c r="L75" i="85"/>
  <c r="P71" i="85"/>
  <c r="M79" i="85"/>
  <c r="M87" i="85"/>
  <c r="I71" i="85"/>
  <c r="T26" i="85"/>
  <c r="AC26" i="85" s="1"/>
  <c r="AB26" i="85"/>
  <c r="T54" i="85"/>
  <c r="AC54" i="85" s="1"/>
  <c r="AB54" i="85"/>
  <c r="P91" i="85"/>
  <c r="P75" i="85"/>
  <c r="L79" i="85"/>
  <c r="H87" i="85"/>
  <c r="R74" i="85"/>
  <c r="M71" i="85"/>
  <c r="I87" i="85"/>
  <c r="H75" i="85"/>
  <c r="P79" i="85"/>
  <c r="L83" i="85"/>
  <c r="A445" i="35"/>
  <c r="V12" i="35"/>
  <c r="V98" i="35" s="1"/>
  <c r="V184" i="35" s="1"/>
  <c r="V270" i="35" s="1"/>
  <c r="V359" i="35" s="1"/>
  <c r="V445" i="35" s="1"/>
  <c r="V531" i="35" s="1"/>
  <c r="V616" i="35" s="1"/>
  <c r="O14" i="35"/>
  <c r="O100" i="35" s="1"/>
  <c r="O186" i="35" s="1"/>
  <c r="O272" i="35" s="1"/>
  <c r="Q14" i="35"/>
  <c r="Q100" i="35" s="1"/>
  <c r="Q186" i="35" s="1"/>
  <c r="Q272" i="35" s="1"/>
  <c r="L14" i="35"/>
  <c r="L100" i="35" s="1"/>
  <c r="L186" i="35" s="1"/>
  <c r="L272" i="35" s="1"/>
  <c r="G14" i="35"/>
  <c r="G100" i="35" s="1"/>
  <c r="G186" i="35" s="1"/>
  <c r="G272" i="35" s="1"/>
  <c r="I14" i="35"/>
  <c r="I100" i="35" s="1"/>
  <c r="I186" i="35" s="1"/>
  <c r="I272" i="35" s="1"/>
  <c r="E531" i="35"/>
  <c r="M14" i="35"/>
  <c r="M100" i="35" s="1"/>
  <c r="M186" i="35" s="1"/>
  <c r="M272" i="35" s="1"/>
  <c r="E616" i="35"/>
  <c r="A359" i="35"/>
  <c r="R14" i="35"/>
  <c r="R100" i="35" s="1"/>
  <c r="R186" i="35" s="1"/>
  <c r="R272" i="35" s="1"/>
  <c r="E359" i="35"/>
  <c r="E270" i="35"/>
  <c r="H14" i="35"/>
  <c r="H100" i="35" s="1"/>
  <c r="H186" i="35" s="1"/>
  <c r="H272" i="35" s="1"/>
  <c r="N14" i="35"/>
  <c r="N100" i="35" s="1"/>
  <c r="N186" i="35" s="1"/>
  <c r="N272" i="35" s="1"/>
  <c r="E12" i="35"/>
  <c r="A616" i="35"/>
  <c r="A52" i="14"/>
  <c r="A28" i="14"/>
  <c r="BI25" i="22"/>
  <c r="BI34" i="22" s="1"/>
  <c r="BG25" i="22"/>
  <c r="AZ25" i="22"/>
  <c r="BB25" i="22"/>
  <c r="BB34" i="22" s="1"/>
  <c r="U534" i="35" l="1"/>
  <c r="AV12" i="58"/>
  <c r="X17" i="58"/>
  <c r="U328" i="35"/>
  <c r="O508" i="35"/>
  <c r="P429" i="58"/>
  <c r="AI70" i="58"/>
  <c r="R428" i="58"/>
  <c r="J697" i="35"/>
  <c r="U16" i="35"/>
  <c r="O179" i="35"/>
  <c r="R308" i="58"/>
  <c r="R518" i="58"/>
  <c r="R420" i="58"/>
  <c r="T612" i="35"/>
  <c r="AT164" i="58"/>
  <c r="O646" i="35"/>
  <c r="R484" i="58"/>
  <c r="R15" i="58"/>
  <c r="R429" i="58"/>
  <c r="R283" i="35"/>
  <c r="R282" i="35" s="1"/>
  <c r="AT537" i="58" s="1"/>
  <c r="K283" i="35"/>
  <c r="K282" i="35" s="1"/>
  <c r="K543" i="35"/>
  <c r="K542" i="35" s="1"/>
  <c r="AI91" i="58"/>
  <c r="AL47" i="22"/>
  <c r="AM45" i="22"/>
  <c r="AL46" i="22"/>
  <c r="AC41" i="58"/>
  <c r="AK119" i="58"/>
  <c r="X77" i="58"/>
  <c r="T144" i="35"/>
  <c r="AV10" i="58"/>
  <c r="AX94" i="58"/>
  <c r="T663" i="35"/>
  <c r="J409" i="35"/>
  <c r="R388" i="58"/>
  <c r="R372" i="58"/>
  <c r="R500" i="58"/>
  <c r="O581" i="35"/>
  <c r="AP141" i="58"/>
  <c r="J450" i="35"/>
  <c r="AE68" i="58"/>
  <c r="R373" i="58"/>
  <c r="R356" i="58"/>
  <c r="R477" i="58"/>
  <c r="R421" i="58"/>
  <c r="R452" i="58"/>
  <c r="R509" i="58"/>
  <c r="AP274" i="58"/>
  <c r="AL50" i="22"/>
  <c r="AM47" i="22"/>
  <c r="AL48" i="22"/>
  <c r="AC16" i="58"/>
  <c r="AC8" i="58"/>
  <c r="U398" i="35"/>
  <c r="X74" i="58"/>
  <c r="T480" i="35"/>
  <c r="F543" i="35"/>
  <c r="F542" i="35" s="1"/>
  <c r="V56" i="58"/>
  <c r="J57" i="35"/>
  <c r="R470" i="58"/>
  <c r="R502" i="58"/>
  <c r="R469" i="58"/>
  <c r="R317" i="58"/>
  <c r="R325" i="58"/>
  <c r="R485" i="58"/>
  <c r="R293" i="58"/>
  <c r="AM42" i="22"/>
  <c r="AL41" i="22"/>
  <c r="AL49" i="22"/>
  <c r="AV21" i="58"/>
  <c r="AT40" i="58"/>
  <c r="T546" i="58"/>
  <c r="O313" i="35"/>
  <c r="U313" i="35" s="1"/>
  <c r="P90" i="58"/>
  <c r="P98" i="58"/>
  <c r="V68" i="58"/>
  <c r="R365" i="58"/>
  <c r="R406" i="58"/>
  <c r="AT13" i="58"/>
  <c r="AT5" i="58"/>
  <c r="AG13" i="58"/>
  <c r="AG5" i="58"/>
  <c r="AV2" i="58"/>
  <c r="U54" i="35"/>
  <c r="U437" i="35"/>
  <c r="V67" i="58"/>
  <c r="T41" i="58"/>
  <c r="T25" i="58"/>
  <c r="T93" i="58"/>
  <c r="T117" i="58"/>
  <c r="P105" i="58"/>
  <c r="P113" i="58"/>
  <c r="AG30" i="58"/>
  <c r="AG38" i="58"/>
  <c r="P110" i="58"/>
  <c r="P102" i="58"/>
  <c r="AC109" i="58"/>
  <c r="AC117" i="58"/>
  <c r="AN54" i="17"/>
  <c r="AM54" i="17"/>
  <c r="P117" i="58"/>
  <c r="P93" i="58"/>
  <c r="R510" i="58"/>
  <c r="R508" i="58"/>
  <c r="R278" i="58"/>
  <c r="R382" i="58"/>
  <c r="R462" i="58"/>
  <c r="R334" i="58"/>
  <c r="R324" i="58"/>
  <c r="R332" i="58"/>
  <c r="R326" i="58"/>
  <c r="R294" i="58"/>
  <c r="R397" i="58"/>
  <c r="R276" i="58"/>
  <c r="R461" i="58"/>
  <c r="R374" i="58"/>
  <c r="R309" i="58"/>
  <c r="R341" i="58"/>
  <c r="R357" i="58"/>
  <c r="R284" i="58"/>
  <c r="R517" i="58"/>
  <c r="R478" i="58"/>
  <c r="R381" i="58"/>
  <c r="R349" i="58"/>
  <c r="R300" i="58"/>
  <c r="R454" i="58"/>
  <c r="R316" i="58"/>
  <c r="R412" i="58"/>
  <c r="R444" i="58"/>
  <c r="R460" i="58"/>
  <c r="R390" i="58"/>
  <c r="R318" i="58"/>
  <c r="R436" i="58"/>
  <c r="R492" i="58"/>
  <c r="R476" i="58"/>
  <c r="R516" i="58"/>
  <c r="R340" i="58"/>
  <c r="R468" i="58"/>
  <c r="R404" i="58"/>
  <c r="R364" i="58"/>
  <c r="R438" i="58"/>
  <c r="R292" i="58"/>
  <c r="R422" i="58"/>
  <c r="R446" i="58"/>
  <c r="R286" i="58"/>
  <c r="R366" i="58"/>
  <c r="R430" i="58"/>
  <c r="R310" i="58"/>
  <c r="R486" i="58"/>
  <c r="R350" i="58"/>
  <c r="R501" i="58"/>
  <c r="R333" i="58"/>
  <c r="R342" i="58"/>
  <c r="R405" i="58"/>
  <c r="R445" i="58"/>
  <c r="R301" i="58"/>
  <c r="R414" i="58"/>
  <c r="R437" i="58"/>
  <c r="AE311" i="58"/>
  <c r="V210" i="58"/>
  <c r="V220" i="58"/>
  <c r="V240" i="58"/>
  <c r="J28" i="35"/>
  <c r="V249" i="58"/>
  <c r="X249" i="58" s="1"/>
  <c r="V259" i="58"/>
  <c r="V171" i="58"/>
  <c r="V230" i="58"/>
  <c r="V269" i="58"/>
  <c r="X269" i="58" s="1"/>
  <c r="V181" i="58"/>
  <c r="AI134" i="17"/>
  <c r="AJ56" i="17"/>
  <c r="AE287" i="58"/>
  <c r="AP534" i="58"/>
  <c r="T279" i="35"/>
  <c r="O279" i="35"/>
  <c r="AR546" i="58"/>
  <c r="U23" i="35"/>
  <c r="AK543" i="58"/>
  <c r="O22" i="35"/>
  <c r="O625" i="35"/>
  <c r="O107" i="35"/>
  <c r="T367" i="35"/>
  <c r="U22" i="35"/>
  <c r="BD29" i="15"/>
  <c r="T539" i="35"/>
  <c r="BF29" i="15"/>
  <c r="BH29" i="15"/>
  <c r="BE29" i="15"/>
  <c r="AX29" i="15"/>
  <c r="BB29" i="15"/>
  <c r="BJ26" i="15"/>
  <c r="AY29" i="15"/>
  <c r="BJ27" i="15"/>
  <c r="BC29" i="15"/>
  <c r="BJ28" i="15"/>
  <c r="V359" i="58"/>
  <c r="AP21" i="58"/>
  <c r="AP45" i="58"/>
  <c r="O572" i="35"/>
  <c r="J229" i="35"/>
  <c r="AC65" i="58"/>
  <c r="R25" i="35"/>
  <c r="R24" i="35" s="1"/>
  <c r="AP70" i="58"/>
  <c r="P306" i="58"/>
  <c r="T60" i="35"/>
  <c r="AV69" i="58"/>
  <c r="V31" i="58"/>
  <c r="T391" i="35"/>
  <c r="U224" i="35"/>
  <c r="AV65" i="58"/>
  <c r="AV67" i="58"/>
  <c r="AP16" i="58"/>
  <c r="H585" i="35"/>
  <c r="H584" i="35" s="1"/>
  <c r="H413" i="35"/>
  <c r="H412" i="35" s="1"/>
  <c r="H67" i="35"/>
  <c r="H66" i="35" s="1"/>
  <c r="N322" i="35"/>
  <c r="N321" i="35" s="1"/>
  <c r="N410" i="35"/>
  <c r="N409" i="35" s="1"/>
  <c r="AI3" i="58"/>
  <c r="AI11" i="58"/>
  <c r="V60" i="58"/>
  <c r="X60" i="58" s="1"/>
  <c r="V73" i="58"/>
  <c r="AI48" i="58"/>
  <c r="AI32" i="58"/>
  <c r="U312" i="35"/>
  <c r="AX46" i="58"/>
  <c r="O582" i="35"/>
  <c r="O495" i="35"/>
  <c r="M543" i="35"/>
  <c r="M542" i="35" s="1"/>
  <c r="J265" i="35"/>
  <c r="U284" i="35"/>
  <c r="AC223" i="58"/>
  <c r="U118" i="35"/>
  <c r="U29" i="35"/>
  <c r="R496" i="58"/>
  <c r="P430" i="58"/>
  <c r="S325" i="35"/>
  <c r="S324" i="35" s="1"/>
  <c r="S67" i="35"/>
  <c r="S66" i="35" s="1"/>
  <c r="S499" i="35"/>
  <c r="S498" i="35" s="1"/>
  <c r="Q239" i="35"/>
  <c r="Q238" i="35" s="1"/>
  <c r="Q585" i="35"/>
  <c r="Q584" i="35" s="1"/>
  <c r="Q153" i="35"/>
  <c r="Q152" i="35" s="1"/>
  <c r="L325" i="35"/>
  <c r="L153" i="35"/>
  <c r="L152" i="35" s="1"/>
  <c r="L413" i="35"/>
  <c r="L412" i="35" s="1"/>
  <c r="K58" i="35"/>
  <c r="K57" i="35" s="1"/>
  <c r="K230" i="35"/>
  <c r="K229" i="35" s="1"/>
  <c r="H576" i="35"/>
  <c r="H575" i="35" s="1"/>
  <c r="J575" i="35" s="1"/>
  <c r="H144" i="35"/>
  <c r="H143" i="35" s="1"/>
  <c r="V8" i="58"/>
  <c r="X8" i="58" s="1"/>
  <c r="V16" i="58"/>
  <c r="X16" i="58" s="1"/>
  <c r="L566" i="35"/>
  <c r="O566" i="35" s="1"/>
  <c r="O567" i="35"/>
  <c r="X73" i="58"/>
  <c r="M73" i="58" s="1"/>
  <c r="AC46" i="58"/>
  <c r="AC22" i="58"/>
  <c r="R67" i="35"/>
  <c r="R66" i="35" s="1"/>
  <c r="R585" i="35"/>
  <c r="R584" i="35" s="1"/>
  <c r="R153" i="35"/>
  <c r="R152" i="35" s="1"/>
  <c r="K499" i="35"/>
  <c r="K498" i="35" s="1"/>
  <c r="K585" i="35"/>
  <c r="K584" i="35" s="1"/>
  <c r="K153" i="35"/>
  <c r="K152" i="35" s="1"/>
  <c r="AC59" i="58"/>
  <c r="AC72" i="58"/>
  <c r="V6" i="58"/>
  <c r="V14" i="58"/>
  <c r="O618" i="35"/>
  <c r="U618" i="35" s="1"/>
  <c r="AE141" i="58"/>
  <c r="AK141" i="58" s="1"/>
  <c r="L76" i="35"/>
  <c r="L75" i="35" s="1"/>
  <c r="L334" i="35"/>
  <c r="M670" i="35"/>
  <c r="M669" i="35" s="1"/>
  <c r="M585" i="35"/>
  <c r="M584" i="35" s="1"/>
  <c r="M325" i="35"/>
  <c r="M324" i="35" s="1"/>
  <c r="M413" i="35"/>
  <c r="M412" i="35" s="1"/>
  <c r="M499" i="35"/>
  <c r="M498" i="35" s="1"/>
  <c r="H582" i="35"/>
  <c r="H581" i="35" s="1"/>
  <c r="H150" i="35"/>
  <c r="H149" i="35" s="1"/>
  <c r="H322" i="35"/>
  <c r="H321" i="35" s="1"/>
  <c r="AV9" i="58"/>
  <c r="AV17" i="58"/>
  <c r="V48" i="58"/>
  <c r="V32" i="58"/>
  <c r="V49" i="58"/>
  <c r="V25" i="58"/>
  <c r="T475" i="35"/>
  <c r="AI415" i="58"/>
  <c r="AV501" i="58"/>
  <c r="AE394" i="58"/>
  <c r="AC357" i="58"/>
  <c r="AI495" i="58"/>
  <c r="P420" i="58"/>
  <c r="P340" i="58"/>
  <c r="P286" i="58"/>
  <c r="P398" i="58"/>
  <c r="P516" i="58"/>
  <c r="P308" i="58"/>
  <c r="P462" i="58"/>
  <c r="P302" i="58"/>
  <c r="P284" i="58"/>
  <c r="P444" i="58"/>
  <c r="P334" i="58"/>
  <c r="P380" i="58"/>
  <c r="P452" i="58"/>
  <c r="P318" i="58"/>
  <c r="J120" i="35"/>
  <c r="P468" i="58"/>
  <c r="P374" i="58"/>
  <c r="P382" i="58"/>
  <c r="P428" i="58"/>
  <c r="P476" i="58"/>
  <c r="P388" i="58"/>
  <c r="P294" i="58"/>
  <c r="P310" i="58"/>
  <c r="P364" i="58"/>
  <c r="P436" i="58"/>
  <c r="P454" i="58"/>
  <c r="AI295" i="58"/>
  <c r="P358" i="58"/>
  <c r="P510" i="58"/>
  <c r="P326" i="58"/>
  <c r="P348" i="58"/>
  <c r="P390" i="58"/>
  <c r="P446" i="58"/>
  <c r="P484" i="58"/>
  <c r="P492" i="58"/>
  <c r="P342" i="58"/>
  <c r="P486" i="58"/>
  <c r="P412" i="58"/>
  <c r="P494" i="58"/>
  <c r="P406" i="58"/>
  <c r="AI487" i="58"/>
  <c r="P292" i="58"/>
  <c r="P372" i="58"/>
  <c r="P366" i="58"/>
  <c r="P470" i="58"/>
  <c r="P422" i="58"/>
  <c r="P350" i="58"/>
  <c r="P518" i="58"/>
  <c r="P278" i="58"/>
  <c r="AI503" i="58"/>
  <c r="AI391" i="58"/>
  <c r="AR342" i="58"/>
  <c r="AI439" i="58"/>
  <c r="AI375" i="58"/>
  <c r="AP494" i="58"/>
  <c r="T126" i="35"/>
  <c r="AR349" i="58"/>
  <c r="AC394" i="58"/>
  <c r="AR398" i="58"/>
  <c r="AR388" i="58"/>
  <c r="T551" i="35"/>
  <c r="AP295" i="58"/>
  <c r="AR446" i="58"/>
  <c r="AC402" i="58"/>
  <c r="AC338" i="58"/>
  <c r="AC378" i="58"/>
  <c r="AC458" i="58"/>
  <c r="AC498" i="58"/>
  <c r="AC346" i="58"/>
  <c r="AC282" i="58"/>
  <c r="AV141" i="58"/>
  <c r="U257" i="35"/>
  <c r="U573" i="35"/>
  <c r="AV71" i="58"/>
  <c r="AX92" i="58"/>
  <c r="U108" i="35"/>
  <c r="R363" i="58"/>
  <c r="P474" i="58"/>
  <c r="T342" i="58"/>
  <c r="AC29" i="58"/>
  <c r="AK29" i="58" s="1"/>
  <c r="T276" i="35"/>
  <c r="AR535" i="58"/>
  <c r="X96" i="58"/>
  <c r="BE28" i="21"/>
  <c r="P532" i="58"/>
  <c r="R389" i="58"/>
  <c r="AP334" i="58"/>
  <c r="AR326" i="58"/>
  <c r="U362" i="35"/>
  <c r="T88" i="58"/>
  <c r="T306" i="35"/>
  <c r="AX91" i="58"/>
  <c r="T492" i="35"/>
  <c r="J696" i="35"/>
  <c r="BJ24" i="22"/>
  <c r="J587" i="35"/>
  <c r="T254" i="35"/>
  <c r="O409" i="35"/>
  <c r="T660" i="35"/>
  <c r="AJ12" i="22"/>
  <c r="AJ39" i="22" s="1"/>
  <c r="AJ88" i="22" s="1"/>
  <c r="AJ131" i="22" s="1"/>
  <c r="N13" i="22"/>
  <c r="N40" i="22" s="1"/>
  <c r="N89" i="22" s="1"/>
  <c r="N132" i="22" s="1"/>
  <c r="M13" i="22"/>
  <c r="M40" i="22" s="1"/>
  <c r="M89" i="22" s="1"/>
  <c r="M132" i="22" s="1"/>
  <c r="AA13" i="22"/>
  <c r="AA40" i="22" s="1"/>
  <c r="AA89" i="22" s="1"/>
  <c r="AA132" i="22" s="1"/>
  <c r="AI13" i="22"/>
  <c r="AI40" i="22" s="1"/>
  <c r="AI89" i="22" s="1"/>
  <c r="AI132" i="22" s="1"/>
  <c r="G12" i="22"/>
  <c r="G39" i="22" s="1"/>
  <c r="G88" i="22" s="1"/>
  <c r="AH13" i="22"/>
  <c r="AH40" i="22" s="1"/>
  <c r="AH89" i="22" s="1"/>
  <c r="AH132" i="22" s="1"/>
  <c r="B3" i="22"/>
  <c r="W13" i="22"/>
  <c r="W40" i="22" s="1"/>
  <c r="W89" i="22" s="1"/>
  <c r="W132" i="22" s="1"/>
  <c r="AD13" i="22"/>
  <c r="AD40" i="22" s="1"/>
  <c r="AD89" i="22" s="1"/>
  <c r="AD132" i="22" s="1"/>
  <c r="N670" i="35"/>
  <c r="N669" i="35" s="1"/>
  <c r="N239" i="35"/>
  <c r="N238" i="35" s="1"/>
  <c r="O238" i="35" s="1"/>
  <c r="N499" i="35"/>
  <c r="N498" i="35" s="1"/>
  <c r="U658" i="35"/>
  <c r="Q73" i="85"/>
  <c r="AI69" i="58"/>
  <c r="J489" i="35"/>
  <c r="AX116" i="58"/>
  <c r="AP71" i="58"/>
  <c r="O507" i="35"/>
  <c r="AX38" i="58"/>
  <c r="O152" i="35"/>
  <c r="AP66" i="58"/>
  <c r="J351" i="35"/>
  <c r="BJ41" i="17"/>
  <c r="U287" i="35"/>
  <c r="AM43" i="22"/>
  <c r="AL42" i="22"/>
  <c r="AL51" i="22"/>
  <c r="AM52" i="22"/>
  <c r="AL55" i="22"/>
  <c r="AM56" i="22"/>
  <c r="AL59" i="22"/>
  <c r="AM60" i="22"/>
  <c r="AL63" i="22"/>
  <c r="AM64" i="22"/>
  <c r="AL67" i="22"/>
  <c r="AM68" i="22"/>
  <c r="AL71" i="22"/>
  <c r="AM72" i="22"/>
  <c r="AL75" i="22"/>
  <c r="AM76" i="22"/>
  <c r="AL79" i="22"/>
  <c r="AM80" i="22"/>
  <c r="AM44" i="22"/>
  <c r="AM49" i="22"/>
  <c r="AM51" i="22"/>
  <c r="AL54" i="22"/>
  <c r="AM55" i="22"/>
  <c r="AL58" i="22"/>
  <c r="AM59" i="22"/>
  <c r="AL62" i="22"/>
  <c r="AM63" i="22"/>
  <c r="AL66" i="22"/>
  <c r="AM67" i="22"/>
  <c r="AL70" i="22"/>
  <c r="AM71" i="22"/>
  <c r="AL74" i="22"/>
  <c r="AM75" i="22"/>
  <c r="AL78" i="22"/>
  <c r="AM79" i="22"/>
  <c r="AL82" i="22"/>
  <c r="AM46" i="22"/>
  <c r="AL53" i="22"/>
  <c r="AM54" i="22"/>
  <c r="AL57" i="22"/>
  <c r="AM58" i="22"/>
  <c r="AL61" i="22"/>
  <c r="AM62" i="22"/>
  <c r="AL65" i="22"/>
  <c r="AM66" i="22"/>
  <c r="AL69" i="22"/>
  <c r="AM70" i="22"/>
  <c r="AL73" i="22"/>
  <c r="AM74" i="22"/>
  <c r="AL77" i="22"/>
  <c r="AM78" i="22"/>
  <c r="AL81" i="22"/>
  <c r="AM82" i="22"/>
  <c r="AM48" i="22"/>
  <c r="AL52" i="22"/>
  <c r="AM53" i="22"/>
  <c r="AL56" i="22"/>
  <c r="AM57" i="22"/>
  <c r="AL60" i="22"/>
  <c r="AM61" i="22"/>
  <c r="AL64" i="22"/>
  <c r="AM65" i="22"/>
  <c r="AL68" i="22"/>
  <c r="AM69" i="22"/>
  <c r="AL72" i="22"/>
  <c r="AM73" i="22"/>
  <c r="AL76" i="22"/>
  <c r="AM77" i="22"/>
  <c r="AL80" i="22"/>
  <c r="AM81" i="22"/>
  <c r="U66" i="85"/>
  <c r="U70" i="85"/>
  <c r="U74" i="85"/>
  <c r="U78" i="85"/>
  <c r="U82" i="85"/>
  <c r="U86" i="85"/>
  <c r="U90" i="85"/>
  <c r="AG58" i="85"/>
  <c r="AG54" i="85"/>
  <c r="AG50" i="85"/>
  <c r="AG46" i="85"/>
  <c r="AG42" i="85"/>
  <c r="AG38" i="85"/>
  <c r="AG34" i="85"/>
  <c r="AG30" i="85"/>
  <c r="AG26" i="85"/>
  <c r="AG22" i="85"/>
  <c r="AG18" i="85"/>
  <c r="AG14" i="85"/>
  <c r="AF55" i="85"/>
  <c r="AF51" i="85"/>
  <c r="AF47" i="85"/>
  <c r="AF43" i="85"/>
  <c r="AF39" i="85"/>
  <c r="AF35" i="85"/>
  <c r="AF31" i="85"/>
  <c r="AF27" i="85"/>
  <c r="AF23" i="85"/>
  <c r="AF19" i="85"/>
  <c r="AF15" i="85"/>
  <c r="AN131" i="34"/>
  <c r="AN15" i="23"/>
  <c r="AN17" i="23"/>
  <c r="AN19" i="23"/>
  <c r="AN21" i="23"/>
  <c r="AN23" i="23"/>
  <c r="AN25" i="23"/>
  <c r="AN27" i="23"/>
  <c r="AN29" i="23"/>
  <c r="AN31" i="23"/>
  <c r="AN33" i="23"/>
  <c r="AN35" i="23"/>
  <c r="AN37" i="23"/>
  <c r="AN39" i="23"/>
  <c r="AN41" i="23"/>
  <c r="AN43" i="23"/>
  <c r="AN45" i="23"/>
  <c r="AN47" i="23"/>
  <c r="AN49" i="23"/>
  <c r="AN51" i="23"/>
  <c r="AN53" i="23"/>
  <c r="AN55" i="23"/>
  <c r="AN57" i="23"/>
  <c r="AN59" i="23"/>
  <c r="AN61" i="23"/>
  <c r="AN14" i="34"/>
  <c r="AM230" i="34"/>
  <c r="AM226" i="34"/>
  <c r="AM222" i="34"/>
  <c r="AM218" i="34"/>
  <c r="U65" i="85"/>
  <c r="U71" i="85"/>
  <c r="U76" i="85"/>
  <c r="U81" i="85"/>
  <c r="U87" i="85"/>
  <c r="U64" i="85"/>
  <c r="AG55" i="85"/>
  <c r="AG49" i="85"/>
  <c r="AG44" i="85"/>
  <c r="AG39" i="85"/>
  <c r="AG33" i="85"/>
  <c r="AG28" i="85"/>
  <c r="AG23" i="85"/>
  <c r="AG17" i="85"/>
  <c r="AF57" i="85"/>
  <c r="AF52" i="85"/>
  <c r="AF46" i="85"/>
  <c r="AF41" i="85"/>
  <c r="AF36" i="85"/>
  <c r="AF30" i="85"/>
  <c r="AF25" i="85"/>
  <c r="AF20" i="85"/>
  <c r="AF14" i="85"/>
  <c r="AN132" i="34"/>
  <c r="AN65" i="34"/>
  <c r="AN14" i="23"/>
  <c r="AM17" i="23"/>
  <c r="AM20" i="23"/>
  <c r="AN22" i="23"/>
  <c r="AM25" i="23"/>
  <c r="AM28" i="23"/>
  <c r="AN30" i="23"/>
  <c r="AM33" i="23"/>
  <c r="AM36" i="23"/>
  <c r="AN38" i="23"/>
  <c r="AM41" i="23"/>
  <c r="AM44" i="23"/>
  <c r="AN46" i="23"/>
  <c r="AM49" i="23"/>
  <c r="AM52" i="23"/>
  <c r="AN54" i="23"/>
  <c r="AM57" i="23"/>
  <c r="AM60" i="23"/>
  <c r="AN16" i="34"/>
  <c r="AM225" i="34"/>
  <c r="AM220" i="34"/>
  <c r="AM215" i="34"/>
  <c r="AM211" i="34"/>
  <c r="AM207" i="34"/>
  <c r="AM203" i="34"/>
  <c r="AM199" i="34"/>
  <c r="AM195" i="34"/>
  <c r="AM191" i="34"/>
  <c r="AM187" i="34"/>
  <c r="AM183" i="34"/>
  <c r="AM179" i="34"/>
  <c r="AM175" i="34"/>
  <c r="AM171" i="34"/>
  <c r="AM167" i="34"/>
  <c r="AM163" i="34"/>
  <c r="AM159" i="34"/>
  <c r="AM155" i="34"/>
  <c r="AM151" i="34"/>
  <c r="AM147" i="34"/>
  <c r="AM143" i="34"/>
  <c r="AM139" i="34"/>
  <c r="AM135" i="34"/>
  <c r="AM131" i="34"/>
  <c r="AN228" i="34"/>
  <c r="AN224" i="34"/>
  <c r="AN220" i="34"/>
  <c r="AN216" i="34"/>
  <c r="AN212" i="34"/>
  <c r="AN208" i="34"/>
  <c r="AN204" i="34"/>
  <c r="AN200" i="34"/>
  <c r="AN196" i="34"/>
  <c r="AN192" i="34"/>
  <c r="AN188" i="34"/>
  <c r="AN184" i="34"/>
  <c r="AN180" i="34"/>
  <c r="U68" i="85"/>
  <c r="U73" i="85"/>
  <c r="U79" i="85"/>
  <c r="U84" i="85"/>
  <c r="U89" i="85"/>
  <c r="AG57" i="85"/>
  <c r="AG52" i="85"/>
  <c r="AG47" i="85"/>
  <c r="AG41" i="85"/>
  <c r="AG36" i="85"/>
  <c r="AG31" i="85"/>
  <c r="AG25" i="85"/>
  <c r="AG20" i="85"/>
  <c r="AG15" i="85"/>
  <c r="AF54" i="85"/>
  <c r="AF49" i="85"/>
  <c r="AF44" i="85"/>
  <c r="AF38" i="85"/>
  <c r="AF33" i="85"/>
  <c r="AF28" i="85"/>
  <c r="AF22" i="85"/>
  <c r="AF17" i="85"/>
  <c r="AN133" i="34"/>
  <c r="AM16" i="23"/>
  <c r="AN18" i="23"/>
  <c r="AM21" i="23"/>
  <c r="AM24" i="23"/>
  <c r="AN26" i="23"/>
  <c r="AM29" i="23"/>
  <c r="AM32" i="23"/>
  <c r="AN34" i="23"/>
  <c r="AM37" i="23"/>
  <c r="AM40" i="23"/>
  <c r="AN42" i="23"/>
  <c r="AM45" i="23"/>
  <c r="AM48" i="23"/>
  <c r="AN50" i="23"/>
  <c r="AM53" i="23"/>
  <c r="AM56" i="23"/>
  <c r="AN58" i="23"/>
  <c r="AM61" i="23"/>
  <c r="AN68" i="24"/>
  <c r="AM228" i="34"/>
  <c r="AM223" i="34"/>
  <c r="AM217" i="34"/>
  <c r="AM213" i="34"/>
  <c r="AM209" i="34"/>
  <c r="AM205" i="34"/>
  <c r="AM201" i="34"/>
  <c r="AM197" i="34"/>
  <c r="AM193" i="34"/>
  <c r="AM189" i="34"/>
  <c r="AM185" i="34"/>
  <c r="AM181" i="34"/>
  <c r="AM177" i="34"/>
  <c r="AM173" i="34"/>
  <c r="AM169" i="34"/>
  <c r="U69" i="85"/>
  <c r="U75" i="85"/>
  <c r="U80" i="85"/>
  <c r="U85" i="85"/>
  <c r="U91" i="85"/>
  <c r="AG56" i="85"/>
  <c r="AG51" i="85"/>
  <c r="AG45" i="85"/>
  <c r="AG40" i="85"/>
  <c r="AG35" i="85"/>
  <c r="AG29" i="85"/>
  <c r="AG24" i="85"/>
  <c r="AG19" i="85"/>
  <c r="AF58" i="85"/>
  <c r="AF53" i="85"/>
  <c r="AF48" i="85"/>
  <c r="AF42" i="85"/>
  <c r="AF37" i="85"/>
  <c r="AF32" i="85"/>
  <c r="AF26" i="85"/>
  <c r="AF21" i="85"/>
  <c r="AF16" i="85"/>
  <c r="AN64" i="34"/>
  <c r="AM14" i="23"/>
  <c r="AN16" i="23"/>
  <c r="AM19" i="23"/>
  <c r="AM22" i="23"/>
  <c r="AN24" i="23"/>
  <c r="AM27" i="23"/>
  <c r="AM30" i="23"/>
  <c r="AN32" i="23"/>
  <c r="AM35" i="23"/>
  <c r="AM38" i="23"/>
  <c r="AN40" i="23"/>
  <c r="AM43" i="23"/>
  <c r="AM46" i="23"/>
  <c r="AN48" i="23"/>
  <c r="AM51" i="23"/>
  <c r="AM54" i="23"/>
  <c r="AN56" i="23"/>
  <c r="AM59" i="23"/>
  <c r="AN14" i="24"/>
  <c r="AM227" i="34"/>
  <c r="AM221" i="34"/>
  <c r="AM216" i="34"/>
  <c r="AM212" i="34"/>
  <c r="AM208" i="34"/>
  <c r="AM204" i="34"/>
  <c r="AM200" i="34"/>
  <c r="AM196" i="34"/>
  <c r="AM192" i="34"/>
  <c r="AM188" i="34"/>
  <c r="AM184" i="34"/>
  <c r="AM180" i="34"/>
  <c r="AM176" i="34"/>
  <c r="AM172" i="34"/>
  <c r="AM168" i="34"/>
  <c r="AM164" i="34"/>
  <c r="AM160" i="34"/>
  <c r="AM156" i="34"/>
  <c r="AM152" i="34"/>
  <c r="AM148" i="34"/>
  <c r="AM144" i="34"/>
  <c r="AM140" i="34"/>
  <c r="AM136" i="34"/>
  <c r="AM132" i="34"/>
  <c r="AN229" i="34"/>
  <c r="AN225" i="34"/>
  <c r="AN221" i="34"/>
  <c r="AN217" i="34"/>
  <c r="AN213" i="34"/>
  <c r="AN209" i="34"/>
  <c r="AN205" i="34"/>
  <c r="AN201" i="34"/>
  <c r="AN197" i="34"/>
  <c r="AN193" i="34"/>
  <c r="AN189" i="34"/>
  <c r="AN185" i="34"/>
  <c r="AN181" i="34"/>
  <c r="AN177" i="34"/>
  <c r="AN173" i="34"/>
  <c r="AN169" i="34"/>
  <c r="AN165" i="34"/>
  <c r="AN161" i="34"/>
  <c r="AN157" i="34"/>
  <c r="AN153" i="34"/>
  <c r="AN149" i="34"/>
  <c r="AN145" i="34"/>
  <c r="AN141" i="34"/>
  <c r="AN137" i="34"/>
  <c r="AM65" i="34"/>
  <c r="AM68" i="34"/>
  <c r="AM70" i="34"/>
  <c r="AM72" i="34"/>
  <c r="AM74" i="34"/>
  <c r="AM76" i="34"/>
  <c r="AM78" i="34"/>
  <c r="U77" i="85"/>
  <c r="AG53" i="85"/>
  <c r="AG32" i="85"/>
  <c r="AF56" i="85"/>
  <c r="AF34" i="85"/>
  <c r="AN67" i="34"/>
  <c r="AN20" i="23"/>
  <c r="AM31" i="23"/>
  <c r="AM42" i="23"/>
  <c r="AN52" i="23"/>
  <c r="AM224" i="34"/>
  <c r="AM206" i="34"/>
  <c r="AM190" i="34"/>
  <c r="AM174" i="34"/>
  <c r="AM162" i="34"/>
  <c r="AM154" i="34"/>
  <c r="AM146" i="34"/>
  <c r="AM138" i="34"/>
  <c r="AM130" i="34"/>
  <c r="AN223" i="34"/>
  <c r="AN215" i="34"/>
  <c r="AN207" i="34"/>
  <c r="AN199" i="34"/>
  <c r="AN191" i="34"/>
  <c r="AN183" i="34"/>
  <c r="AN176" i="34"/>
  <c r="AN171" i="34"/>
  <c r="AN166" i="34"/>
  <c r="AN160" i="34"/>
  <c r="AN155" i="34"/>
  <c r="AN150" i="34"/>
  <c r="AN144" i="34"/>
  <c r="AN139" i="34"/>
  <c r="AN134" i="34"/>
  <c r="AM64" i="34"/>
  <c r="AN68" i="34"/>
  <c r="AM71" i="34"/>
  <c r="AN73" i="34"/>
  <c r="AN76" i="34"/>
  <c r="AM79" i="34"/>
  <c r="AM81" i="34"/>
  <c r="AM83" i="34"/>
  <c r="AM85" i="34"/>
  <c r="AM87" i="34"/>
  <c r="AM89" i="34"/>
  <c r="AM91" i="34"/>
  <c r="AM93" i="34"/>
  <c r="AM95" i="34"/>
  <c r="AM97" i="34"/>
  <c r="AM99" i="34"/>
  <c r="AM101" i="34"/>
  <c r="AM103" i="34"/>
  <c r="AM105" i="34"/>
  <c r="AM107" i="34"/>
  <c r="AM109" i="34"/>
  <c r="AM111" i="34"/>
  <c r="AM113" i="34"/>
  <c r="AM115" i="34"/>
  <c r="AM117" i="34"/>
  <c r="AM119" i="34"/>
  <c r="AM121" i="34"/>
  <c r="AN78" i="23"/>
  <c r="AN70" i="23"/>
  <c r="AN72" i="23"/>
  <c r="AN74" i="23"/>
  <c r="AN76" i="23"/>
  <c r="AM79" i="23"/>
  <c r="AM81" i="23"/>
  <c r="AM83" i="23"/>
  <c r="AM139" i="23"/>
  <c r="AM141" i="23"/>
  <c r="AM143" i="23"/>
  <c r="AM145" i="23"/>
  <c r="AM147" i="23"/>
  <c r="AM149" i="23"/>
  <c r="AM151" i="23"/>
  <c r="AM153" i="23"/>
  <c r="AM155" i="23"/>
  <c r="AM157" i="23"/>
  <c r="AM159" i="23"/>
  <c r="AM161" i="23"/>
  <c r="AM163" i="23"/>
  <c r="U67" i="85"/>
  <c r="U88" i="85"/>
  <c r="AP561" i="58" s="1"/>
  <c r="AG43" i="85"/>
  <c r="AG21" i="85"/>
  <c r="AF45" i="85"/>
  <c r="AF24" i="85"/>
  <c r="AM15" i="23"/>
  <c r="AM26" i="23"/>
  <c r="AN36" i="23"/>
  <c r="AM47" i="23"/>
  <c r="AM58" i="23"/>
  <c r="AM214" i="34"/>
  <c r="AM198" i="34"/>
  <c r="AM182" i="34"/>
  <c r="AM166" i="34"/>
  <c r="AM158" i="34"/>
  <c r="AM150" i="34"/>
  <c r="AM142" i="34"/>
  <c r="AM134" i="34"/>
  <c r="AN227" i="34"/>
  <c r="AN219" i="34"/>
  <c r="AN211" i="34"/>
  <c r="AN203" i="34"/>
  <c r="AN195" i="34"/>
  <c r="AN187" i="34"/>
  <c r="AN179" i="34"/>
  <c r="AN174" i="34"/>
  <c r="AN168" i="34"/>
  <c r="AN163" i="34"/>
  <c r="AN158" i="34"/>
  <c r="AN152" i="34"/>
  <c r="AN147" i="34"/>
  <c r="AN142" i="34"/>
  <c r="AN136" i="34"/>
  <c r="AM128" i="17"/>
  <c r="AN66" i="34"/>
  <c r="AN69" i="34"/>
  <c r="AN72" i="34"/>
  <c r="AM75" i="34"/>
  <c r="AN77" i="34"/>
  <c r="AM80" i="34"/>
  <c r="AM82" i="34"/>
  <c r="AM84" i="34"/>
  <c r="AM86" i="34"/>
  <c r="AM88" i="34"/>
  <c r="AM90" i="34"/>
  <c r="AM92" i="34"/>
  <c r="AM94" i="34"/>
  <c r="AM96" i="34"/>
  <c r="AM98" i="34"/>
  <c r="AM100" i="34"/>
  <c r="AM102" i="34"/>
  <c r="AM104" i="34"/>
  <c r="AM106" i="34"/>
  <c r="AM108" i="34"/>
  <c r="AM110" i="34"/>
  <c r="AM112" i="34"/>
  <c r="AM114" i="34"/>
  <c r="AM116" i="34"/>
  <c r="AM118" i="34"/>
  <c r="AM120" i="34"/>
  <c r="AM122" i="34"/>
  <c r="AN69" i="23"/>
  <c r="AN71" i="23"/>
  <c r="AN73" i="23"/>
  <c r="AN75" i="23"/>
  <c r="AN77" i="23"/>
  <c r="AM80" i="23"/>
  <c r="AM82" i="23"/>
  <c r="AM138" i="23"/>
  <c r="AM140" i="23"/>
  <c r="AM142" i="23"/>
  <c r="AM144" i="23"/>
  <c r="AM146" i="23"/>
  <c r="AM148" i="23"/>
  <c r="AM150" i="23"/>
  <c r="AM152" i="23"/>
  <c r="AM154" i="23"/>
  <c r="AM156" i="23"/>
  <c r="AM158" i="23"/>
  <c r="AM160" i="23"/>
  <c r="AM162" i="23"/>
  <c r="AM164" i="23"/>
  <c r="AM166" i="23"/>
  <c r="AM168" i="23"/>
  <c r="U72" i="85"/>
  <c r="AG557" i="58" s="1"/>
  <c r="AG37" i="85"/>
  <c r="AG16" i="85"/>
  <c r="AF40" i="85"/>
  <c r="AF18" i="85"/>
  <c r="AN130" i="34"/>
  <c r="AM18" i="23"/>
  <c r="AN28" i="23"/>
  <c r="AM39" i="23"/>
  <c r="AM50" i="23"/>
  <c r="AN60" i="23"/>
  <c r="AM229" i="34"/>
  <c r="AM210" i="34"/>
  <c r="AM194" i="34"/>
  <c r="AM178" i="34"/>
  <c r="AM165" i="34"/>
  <c r="AM157" i="34"/>
  <c r="AM149" i="34"/>
  <c r="AM141" i="34"/>
  <c r="AM133" i="34"/>
  <c r="AN226" i="34"/>
  <c r="AN218" i="34"/>
  <c r="AN210" i="34"/>
  <c r="AN202" i="34"/>
  <c r="AN194" i="34"/>
  <c r="AN186" i="34"/>
  <c r="AN178" i="34"/>
  <c r="AN172" i="34"/>
  <c r="AN167" i="34"/>
  <c r="AN162" i="34"/>
  <c r="AN156" i="34"/>
  <c r="AN151" i="34"/>
  <c r="AN146" i="34"/>
  <c r="AN140" i="34"/>
  <c r="AN135" i="34"/>
  <c r="AM67" i="34"/>
  <c r="AN70" i="34"/>
  <c r="AM73" i="34"/>
  <c r="AN75" i="34"/>
  <c r="AN78" i="34"/>
  <c r="AN80" i="34"/>
  <c r="AN82" i="34"/>
  <c r="AN84" i="34"/>
  <c r="AN86" i="34"/>
  <c r="AN88" i="34"/>
  <c r="AN90" i="34"/>
  <c r="AN92" i="34"/>
  <c r="AN94" i="34"/>
  <c r="AN96" i="34"/>
  <c r="AN98" i="34"/>
  <c r="AN100" i="34"/>
  <c r="AN102" i="34"/>
  <c r="AN104" i="34"/>
  <c r="AN106" i="34"/>
  <c r="AN108" i="34"/>
  <c r="AN110" i="34"/>
  <c r="AN112" i="34"/>
  <c r="AN114" i="34"/>
  <c r="AN116" i="34"/>
  <c r="AN118" i="34"/>
  <c r="AN120" i="34"/>
  <c r="AN122" i="34"/>
  <c r="AM70" i="23"/>
  <c r="AM72" i="23"/>
  <c r="AM74" i="23"/>
  <c r="AM76" i="23"/>
  <c r="AM78" i="23"/>
  <c r="AG27" i="85"/>
  <c r="AM34" i="23"/>
  <c r="AN42" i="34"/>
  <c r="AM186" i="34"/>
  <c r="AM145" i="34"/>
  <c r="AN214" i="34"/>
  <c r="AN182" i="34"/>
  <c r="AN159" i="34"/>
  <c r="AN138" i="34"/>
  <c r="AM69" i="34"/>
  <c r="AN79" i="34"/>
  <c r="AN87" i="34"/>
  <c r="AN95" i="34"/>
  <c r="AN103" i="34"/>
  <c r="AN111" i="34"/>
  <c r="AN119" i="34"/>
  <c r="AM73" i="23"/>
  <c r="AN80" i="23"/>
  <c r="AN138" i="23"/>
  <c r="AN142" i="23"/>
  <c r="AN146" i="23"/>
  <c r="AN150" i="23"/>
  <c r="AN154" i="23"/>
  <c r="AN158" i="23"/>
  <c r="AN162" i="23"/>
  <c r="AN165" i="23"/>
  <c r="AN168" i="23"/>
  <c r="AN170" i="23"/>
  <c r="AN172" i="23"/>
  <c r="AN174" i="23"/>
  <c r="AM15" i="15"/>
  <c r="AM17" i="15"/>
  <c r="AM19" i="15"/>
  <c r="AM21" i="15"/>
  <c r="AM23" i="15"/>
  <c r="AM25" i="15"/>
  <c r="AM27" i="15"/>
  <c r="AM29" i="15"/>
  <c r="AM31" i="15"/>
  <c r="AM33" i="15"/>
  <c r="AM35" i="15"/>
  <c r="AM37" i="15"/>
  <c r="AM39" i="15"/>
  <c r="AM41" i="15"/>
  <c r="AM43" i="15"/>
  <c r="AM45" i="15"/>
  <c r="AM47" i="15"/>
  <c r="AM49" i="15"/>
  <c r="AM51" i="15"/>
  <c r="AM53" i="15"/>
  <c r="AM55" i="15"/>
  <c r="AM57" i="15"/>
  <c r="AM59" i="15"/>
  <c r="AM61" i="15"/>
  <c r="AM63" i="15"/>
  <c r="AM65" i="15"/>
  <c r="AM67" i="15"/>
  <c r="AM69" i="15"/>
  <c r="AM71" i="15"/>
  <c r="AM73" i="15"/>
  <c r="AM75" i="15"/>
  <c r="AM77" i="15"/>
  <c r="AM79" i="15"/>
  <c r="AM81" i="15"/>
  <c r="AM83" i="15"/>
  <c r="AM85" i="15"/>
  <c r="AM87" i="15"/>
  <c r="AM89" i="15"/>
  <c r="AM91" i="15"/>
  <c r="AM93" i="15"/>
  <c r="AM95" i="15"/>
  <c r="AM97" i="15"/>
  <c r="AM99" i="15"/>
  <c r="AM108" i="15"/>
  <c r="AM110" i="15"/>
  <c r="AM112" i="15"/>
  <c r="AM114" i="15"/>
  <c r="AM116" i="15"/>
  <c r="AM118" i="15"/>
  <c r="AM120" i="15"/>
  <c r="AM122" i="15"/>
  <c r="AM124" i="15"/>
  <c r="AM126" i="15"/>
  <c r="AM128" i="15"/>
  <c r="AM130" i="15"/>
  <c r="AM132" i="15"/>
  <c r="AM134" i="15"/>
  <c r="AM136" i="15"/>
  <c r="AM138" i="15"/>
  <c r="AM140" i="15"/>
  <c r="AM142" i="15"/>
  <c r="AM144" i="15"/>
  <c r="AM146" i="15"/>
  <c r="AM148" i="15"/>
  <c r="AM150" i="15"/>
  <c r="AM152" i="15"/>
  <c r="AM154" i="15"/>
  <c r="AM156" i="15"/>
  <c r="AM158" i="15"/>
  <c r="AM160" i="15"/>
  <c r="AM162" i="15"/>
  <c r="AM164" i="15"/>
  <c r="AM166" i="15"/>
  <c r="AM168" i="15"/>
  <c r="AM170" i="15"/>
  <c r="AM172" i="15"/>
  <c r="AM174" i="15"/>
  <c r="AM176" i="15"/>
  <c r="AM178" i="15"/>
  <c r="AM180" i="15"/>
  <c r="AM182" i="15"/>
  <c r="AM184" i="15"/>
  <c r="AM186" i="15"/>
  <c r="AM188" i="15"/>
  <c r="AM190" i="15"/>
  <c r="AM192" i="15"/>
  <c r="U83" i="85"/>
  <c r="AF50" i="85"/>
  <c r="AN44" i="23"/>
  <c r="AM170" i="34"/>
  <c r="AM137" i="34"/>
  <c r="AN206" i="34"/>
  <c r="AN175" i="34"/>
  <c r="AN154" i="34"/>
  <c r="AN71" i="34"/>
  <c r="AN81" i="34"/>
  <c r="AN89" i="34"/>
  <c r="AN97" i="34"/>
  <c r="AN105" i="34"/>
  <c r="AN113" i="34"/>
  <c r="AN121" i="34"/>
  <c r="AM75" i="23"/>
  <c r="AN81" i="23"/>
  <c r="AN139" i="23"/>
  <c r="AN143" i="23"/>
  <c r="AN147" i="23"/>
  <c r="AN151" i="23"/>
  <c r="AN155" i="23"/>
  <c r="AN159" i="23"/>
  <c r="AN163" i="23"/>
  <c r="AN166" i="23"/>
  <c r="AM169" i="23"/>
  <c r="AM171" i="23"/>
  <c r="AM173" i="23"/>
  <c r="AM175" i="23"/>
  <c r="AN15" i="15"/>
  <c r="AN17" i="15"/>
  <c r="AN19" i="15"/>
  <c r="AN21" i="15"/>
  <c r="AN23" i="15"/>
  <c r="AN25" i="15"/>
  <c r="AN27" i="15"/>
  <c r="AN29" i="15"/>
  <c r="AN31" i="15"/>
  <c r="AN33" i="15"/>
  <c r="AN35" i="15"/>
  <c r="AN37" i="15"/>
  <c r="AN39" i="15"/>
  <c r="AN41" i="15"/>
  <c r="AN43" i="15"/>
  <c r="AN45" i="15"/>
  <c r="AN47" i="15"/>
  <c r="AN49" i="15"/>
  <c r="AN51" i="15"/>
  <c r="AN53" i="15"/>
  <c r="AN55" i="15"/>
  <c r="AN57" i="15"/>
  <c r="AN59" i="15"/>
  <c r="AN61" i="15"/>
  <c r="AN63" i="15"/>
  <c r="AN65" i="15"/>
  <c r="AN67" i="15"/>
  <c r="AN69" i="15"/>
  <c r="AN71" i="15"/>
  <c r="AN73" i="15"/>
  <c r="AN75" i="15"/>
  <c r="AN77" i="15"/>
  <c r="AN79" i="15"/>
  <c r="AN81" i="15"/>
  <c r="AN83" i="15"/>
  <c r="AN85" i="15"/>
  <c r="AN87" i="15"/>
  <c r="AN89" i="15"/>
  <c r="AN91" i="15"/>
  <c r="AN93" i="15"/>
  <c r="AN95" i="15"/>
  <c r="AN97" i="15"/>
  <c r="AN99" i="15"/>
  <c r="AN108" i="15"/>
  <c r="AN110" i="15"/>
  <c r="AN112" i="15"/>
  <c r="AN114" i="15"/>
  <c r="AN116" i="15"/>
  <c r="AN118" i="15"/>
  <c r="AN120" i="15"/>
  <c r="AN122" i="15"/>
  <c r="AN124" i="15"/>
  <c r="AN126" i="15"/>
  <c r="AN128" i="15"/>
  <c r="AF29" i="85"/>
  <c r="AM55" i="23"/>
  <c r="AM219" i="34"/>
  <c r="AM161" i="34"/>
  <c r="AN230" i="34"/>
  <c r="AN198" i="34"/>
  <c r="AN170" i="34"/>
  <c r="AN148" i="34"/>
  <c r="AN74" i="34"/>
  <c r="AN83" i="34"/>
  <c r="AN91" i="34"/>
  <c r="AN99" i="34"/>
  <c r="AN107" i="34"/>
  <c r="AN115" i="34"/>
  <c r="AM69" i="23"/>
  <c r="AM77" i="23"/>
  <c r="AN82" i="23"/>
  <c r="AN140" i="23"/>
  <c r="AN144" i="23"/>
  <c r="AN148" i="23"/>
  <c r="AN152" i="23"/>
  <c r="AN156" i="23"/>
  <c r="AN160" i="23"/>
  <c r="AN164" i="23"/>
  <c r="AM167" i="23"/>
  <c r="AN169" i="23"/>
  <c r="AN171" i="23"/>
  <c r="AN173" i="23"/>
  <c r="AN175" i="23"/>
  <c r="AM14" i="15"/>
  <c r="AM16" i="15"/>
  <c r="AM18" i="15"/>
  <c r="AM20" i="15"/>
  <c r="AM22" i="15"/>
  <c r="AM24" i="15"/>
  <c r="AM26" i="15"/>
  <c r="AM28" i="15"/>
  <c r="AM30" i="15"/>
  <c r="AM32" i="15"/>
  <c r="AM34" i="15"/>
  <c r="AM36" i="15"/>
  <c r="AM38" i="15"/>
  <c r="AM40" i="15"/>
  <c r="AM42" i="15"/>
  <c r="AM44" i="15"/>
  <c r="AM46" i="15"/>
  <c r="AM48" i="15"/>
  <c r="AM50" i="15"/>
  <c r="AM52" i="15"/>
  <c r="AM54" i="15"/>
  <c r="AM56" i="15"/>
  <c r="AM58" i="15"/>
  <c r="AM60" i="15"/>
  <c r="AM62" i="15"/>
  <c r="AM64" i="15"/>
  <c r="AM66" i="15"/>
  <c r="AM68" i="15"/>
  <c r="AM70" i="15"/>
  <c r="AM72" i="15"/>
  <c r="AM74" i="15"/>
  <c r="AM76" i="15"/>
  <c r="AM78" i="15"/>
  <c r="AM80" i="15"/>
  <c r="AM82" i="15"/>
  <c r="AM84" i="15"/>
  <c r="AM86" i="15"/>
  <c r="AM88" i="15"/>
  <c r="AM90" i="15"/>
  <c r="AM92" i="15"/>
  <c r="AM94" i="15"/>
  <c r="AM96" i="15"/>
  <c r="AM98" i="15"/>
  <c r="AM107" i="15"/>
  <c r="AM109" i="15"/>
  <c r="AM111" i="15"/>
  <c r="AM113" i="15"/>
  <c r="AM115" i="15"/>
  <c r="AM117" i="15"/>
  <c r="AM119" i="15"/>
  <c r="AM121" i="15"/>
  <c r="AM123" i="15"/>
  <c r="AM125" i="15"/>
  <c r="AM127" i="15"/>
  <c r="AM129" i="15"/>
  <c r="AM131" i="15"/>
  <c r="AM133" i="15"/>
  <c r="AM135" i="15"/>
  <c r="AM137" i="15"/>
  <c r="AM139" i="15"/>
  <c r="AM141" i="15"/>
  <c r="AM143" i="15"/>
  <c r="AM145" i="15"/>
  <c r="AM147" i="15"/>
  <c r="AM149" i="15"/>
  <c r="AM151" i="15"/>
  <c r="AM153" i="15"/>
  <c r="AM155" i="15"/>
  <c r="AM157" i="15"/>
  <c r="AM159" i="15"/>
  <c r="AM161" i="15"/>
  <c r="AM163" i="15"/>
  <c r="AM165" i="15"/>
  <c r="AM167" i="15"/>
  <c r="AM169" i="15"/>
  <c r="AM171" i="15"/>
  <c r="AM173" i="15"/>
  <c r="AM175" i="15"/>
  <c r="AM177" i="15"/>
  <c r="AM179" i="15"/>
  <c r="AM181" i="15"/>
  <c r="AM183" i="15"/>
  <c r="AM185" i="15"/>
  <c r="AM187" i="15"/>
  <c r="AM189" i="15"/>
  <c r="AM191" i="15"/>
  <c r="AG48" i="85"/>
  <c r="AM23" i="23"/>
  <c r="AM202" i="34"/>
  <c r="AM153" i="34"/>
  <c r="AN222" i="34"/>
  <c r="AN190" i="34"/>
  <c r="AN164" i="34"/>
  <c r="AN143" i="34"/>
  <c r="AM66" i="34"/>
  <c r="AM77" i="34"/>
  <c r="AN85" i="34"/>
  <c r="AN93" i="34"/>
  <c r="AN101" i="34"/>
  <c r="AN109" i="34"/>
  <c r="AN117" i="34"/>
  <c r="AM71" i="23"/>
  <c r="AN79" i="23"/>
  <c r="AN83" i="23"/>
  <c r="AN141" i="23"/>
  <c r="AN145" i="23"/>
  <c r="AN149" i="23"/>
  <c r="AN153" i="23"/>
  <c r="AN157" i="23"/>
  <c r="AN161" i="23"/>
  <c r="AM165" i="23"/>
  <c r="AN167" i="23"/>
  <c r="AM170" i="23"/>
  <c r="AM172" i="23"/>
  <c r="AM174" i="23"/>
  <c r="AN14" i="15"/>
  <c r="AN16" i="15"/>
  <c r="AN18" i="15"/>
  <c r="AN20" i="15"/>
  <c r="AN22" i="15"/>
  <c r="AN24" i="15"/>
  <c r="AN26" i="15"/>
  <c r="AN28" i="15"/>
  <c r="AN30" i="15"/>
  <c r="AN32" i="15"/>
  <c r="AN34" i="15"/>
  <c r="AN36" i="15"/>
  <c r="AN38" i="15"/>
  <c r="AN40" i="15"/>
  <c r="AN42" i="15"/>
  <c r="AN44" i="15"/>
  <c r="AN46" i="15"/>
  <c r="AN48" i="15"/>
  <c r="AN50" i="15"/>
  <c r="AN52" i="15"/>
  <c r="AN54" i="15"/>
  <c r="AN56" i="15"/>
  <c r="AN58" i="15"/>
  <c r="AN60" i="15"/>
  <c r="AN62" i="15"/>
  <c r="AN64" i="15"/>
  <c r="AN66" i="15"/>
  <c r="AN68" i="15"/>
  <c r="AN70" i="15"/>
  <c r="AN72" i="15"/>
  <c r="AN74" i="15"/>
  <c r="AN76" i="15"/>
  <c r="AN78" i="15"/>
  <c r="AN80" i="15"/>
  <c r="AN82" i="15"/>
  <c r="AN84" i="15"/>
  <c r="AN86" i="15"/>
  <c r="AN88" i="15"/>
  <c r="AN90" i="15"/>
  <c r="AN92" i="15"/>
  <c r="AN94" i="15"/>
  <c r="AN96" i="15"/>
  <c r="AN98" i="15"/>
  <c r="AN107" i="15"/>
  <c r="AN109" i="15"/>
  <c r="AN111" i="15"/>
  <c r="AN113" i="15"/>
  <c r="AN115" i="15"/>
  <c r="AN117" i="15"/>
  <c r="AN119" i="15"/>
  <c r="AN121" i="15"/>
  <c r="AN123" i="15"/>
  <c r="AN125" i="15"/>
  <c r="AN127" i="15"/>
  <c r="AN129" i="15"/>
  <c r="AN131" i="15"/>
  <c r="AN133" i="15"/>
  <c r="AN135" i="15"/>
  <c r="AN137" i="15"/>
  <c r="AN139" i="15"/>
  <c r="AN141" i="15"/>
  <c r="AN143" i="15"/>
  <c r="AN145" i="15"/>
  <c r="AN147" i="15"/>
  <c r="AN149" i="15"/>
  <c r="AN151" i="15"/>
  <c r="AN153" i="15"/>
  <c r="AN155" i="15"/>
  <c r="AN157" i="15"/>
  <c r="AN159" i="15"/>
  <c r="AN161" i="15"/>
  <c r="AN163" i="15"/>
  <c r="AN165" i="15"/>
  <c r="AN167" i="15"/>
  <c r="AN169" i="15"/>
  <c r="AN171" i="15"/>
  <c r="AN136" i="15"/>
  <c r="AN144" i="15"/>
  <c r="AN152" i="15"/>
  <c r="AN160" i="15"/>
  <c r="AN168" i="15"/>
  <c r="AN174" i="15"/>
  <c r="AN178" i="15"/>
  <c r="AN182" i="15"/>
  <c r="AN186" i="15"/>
  <c r="AN190" i="15"/>
  <c r="AM56" i="34"/>
  <c r="AM52" i="34"/>
  <c r="AM48" i="34"/>
  <c r="AM44" i="34"/>
  <c r="AM32" i="34"/>
  <c r="AM28" i="34"/>
  <c r="AM24" i="34"/>
  <c r="AM20" i="34"/>
  <c r="AM16" i="34"/>
  <c r="AN55" i="34"/>
  <c r="AN51" i="34"/>
  <c r="AN47" i="34"/>
  <c r="AN43" i="34"/>
  <c r="AN30" i="34"/>
  <c r="AN26" i="34"/>
  <c r="AN22" i="34"/>
  <c r="AN18" i="34"/>
  <c r="AN86" i="24"/>
  <c r="AN82" i="24"/>
  <c r="AN78" i="24"/>
  <c r="AN74" i="24"/>
  <c r="AN70" i="24"/>
  <c r="AN58" i="24"/>
  <c r="AN54" i="24"/>
  <c r="AN50" i="24"/>
  <c r="AN46" i="24"/>
  <c r="AN42" i="24"/>
  <c r="AN38" i="24"/>
  <c r="AN34" i="24"/>
  <c r="AN30" i="24"/>
  <c r="AN26" i="24"/>
  <c r="AN22" i="24"/>
  <c r="AN18" i="24"/>
  <c r="AM87" i="24"/>
  <c r="AM83" i="24"/>
  <c r="AM79" i="24"/>
  <c r="AM75" i="24"/>
  <c r="AM71" i="24"/>
  <c r="AM60" i="24"/>
  <c r="AM56" i="24"/>
  <c r="AM52" i="24"/>
  <c r="AM48" i="24"/>
  <c r="AM44" i="24"/>
  <c r="AM40" i="24"/>
  <c r="AM36" i="24"/>
  <c r="AM32" i="24"/>
  <c r="AM28" i="24"/>
  <c r="AM24" i="24"/>
  <c r="AM20" i="24"/>
  <c r="AM16" i="24"/>
  <c r="AM150" i="22"/>
  <c r="AM135" i="22"/>
  <c r="AM137" i="22"/>
  <c r="AM139" i="22"/>
  <c r="AM141" i="22"/>
  <c r="AM143" i="22"/>
  <c r="AM145" i="22"/>
  <c r="AM147" i="22"/>
  <c r="AL150" i="22"/>
  <c r="AM152" i="22"/>
  <c r="AM154" i="22"/>
  <c r="AM156" i="22"/>
  <c r="AM158" i="22"/>
  <c r="AM160" i="22"/>
  <c r="AM162" i="22"/>
  <c r="AM127" i="23"/>
  <c r="AM123" i="23"/>
  <c r="AM119" i="23"/>
  <c r="AM115" i="23"/>
  <c r="AM111" i="23"/>
  <c r="AM107" i="23"/>
  <c r="AM103" i="23"/>
  <c r="AM99" i="23"/>
  <c r="AM95" i="23"/>
  <c r="AM91" i="23"/>
  <c r="AN127" i="23"/>
  <c r="AN123" i="23"/>
  <c r="AN119" i="23"/>
  <c r="AN115" i="23"/>
  <c r="AN111" i="23"/>
  <c r="AN107" i="23"/>
  <c r="AN103" i="23"/>
  <c r="AN99" i="23"/>
  <c r="AN95" i="23"/>
  <c r="AN91" i="23"/>
  <c r="AL122" i="22"/>
  <c r="AL118" i="22"/>
  <c r="AL114" i="22"/>
  <c r="AL110" i="22"/>
  <c r="AL106" i="22"/>
  <c r="AL102" i="22"/>
  <c r="AL98" i="22"/>
  <c r="AL94" i="22"/>
  <c r="AL90" i="22"/>
  <c r="AL30" i="22"/>
  <c r="AL26" i="22"/>
  <c r="AL22" i="22"/>
  <c r="AL18" i="22"/>
  <c r="AL14" i="22"/>
  <c r="AM90" i="22"/>
  <c r="AM94" i="22"/>
  <c r="AM98" i="22"/>
  <c r="AM102" i="22"/>
  <c r="AM106" i="22"/>
  <c r="AM110" i="22"/>
  <c r="AM114" i="22"/>
  <c r="AM118" i="22"/>
  <c r="AM122" i="22"/>
  <c r="AM26" i="22"/>
  <c r="AM18" i="22"/>
  <c r="AM22" i="22"/>
  <c r="AM27" i="22"/>
  <c r="AM31" i="22"/>
  <c r="AN123" i="17"/>
  <c r="AN125" i="17"/>
  <c r="AN127" i="17"/>
  <c r="AM130" i="17"/>
  <c r="AM132" i="17"/>
  <c r="AM134" i="17"/>
  <c r="AM136" i="17"/>
  <c r="AM138" i="17"/>
  <c r="AM140" i="17"/>
  <c r="AM142" i="17"/>
  <c r="AM144" i="17"/>
  <c r="AM146" i="17"/>
  <c r="AM148" i="17"/>
  <c r="AM150" i="17"/>
  <c r="AM152" i="17"/>
  <c r="AM154" i="17"/>
  <c r="AM156" i="17"/>
  <c r="AM158" i="17"/>
  <c r="AM160" i="17"/>
  <c r="AM162" i="17"/>
  <c r="AM164" i="17"/>
  <c r="AM166" i="17"/>
  <c r="AM168" i="17"/>
  <c r="AM170" i="17"/>
  <c r="AM172" i="17"/>
  <c r="AM174" i="17"/>
  <c r="AM176" i="17"/>
  <c r="AM178" i="17"/>
  <c r="AM180" i="17"/>
  <c r="AM182" i="17"/>
  <c r="AM184" i="17"/>
  <c r="AM186" i="17"/>
  <c r="AM188" i="17"/>
  <c r="AM190" i="17"/>
  <c r="AM192" i="17"/>
  <c r="AM194" i="17"/>
  <c r="AM196" i="17"/>
  <c r="AM198" i="17"/>
  <c r="AM200" i="17"/>
  <c r="AM202" i="17"/>
  <c r="AM204" i="17"/>
  <c r="AM206" i="17"/>
  <c r="AM208" i="17"/>
  <c r="AM210" i="17"/>
  <c r="AM212" i="17"/>
  <c r="AM214" i="17"/>
  <c r="AM216" i="17"/>
  <c r="AN130" i="15"/>
  <c r="AN138" i="15"/>
  <c r="AN146" i="15"/>
  <c r="AN154" i="15"/>
  <c r="AN162" i="15"/>
  <c r="AN170" i="15"/>
  <c r="AN175" i="15"/>
  <c r="AN179" i="15"/>
  <c r="AN183" i="15"/>
  <c r="AN187" i="15"/>
  <c r="AN191" i="15"/>
  <c r="AM55" i="34"/>
  <c r="AM51" i="34"/>
  <c r="AM47" i="34"/>
  <c r="AM43" i="34"/>
  <c r="AM31" i="34"/>
  <c r="AM27" i="34"/>
  <c r="AM23" i="34"/>
  <c r="AM19" i="34"/>
  <c r="AM15" i="34"/>
  <c r="AN54" i="34"/>
  <c r="AN50" i="34"/>
  <c r="AN46" i="34"/>
  <c r="AN33" i="34"/>
  <c r="AN29" i="34"/>
  <c r="AN25" i="34"/>
  <c r="AN21" i="34"/>
  <c r="AN17" i="34"/>
  <c r="AN85" i="24"/>
  <c r="AN81" i="24"/>
  <c r="AN77" i="24"/>
  <c r="AN73" i="24"/>
  <c r="AN69" i="24"/>
  <c r="AN57" i="24"/>
  <c r="AN53" i="24"/>
  <c r="AN49" i="24"/>
  <c r="AN45" i="24"/>
  <c r="AN41" i="24"/>
  <c r="AN37" i="24"/>
  <c r="AN33" i="24"/>
  <c r="AN29" i="24"/>
  <c r="AN25" i="24"/>
  <c r="AN21" i="24"/>
  <c r="AN17" i="24"/>
  <c r="AM86" i="24"/>
  <c r="AM82" i="24"/>
  <c r="AM78" i="24"/>
  <c r="AM74" i="24"/>
  <c r="AM70" i="24"/>
  <c r="AM59" i="24"/>
  <c r="AM55" i="24"/>
  <c r="AM51" i="24"/>
  <c r="AM47" i="24"/>
  <c r="AM43" i="24"/>
  <c r="AM39" i="24"/>
  <c r="AM35" i="24"/>
  <c r="AM31" i="24"/>
  <c r="AM27" i="24"/>
  <c r="AM23" i="24"/>
  <c r="AM19" i="24"/>
  <c r="AM15" i="24"/>
  <c r="AL133" i="22"/>
  <c r="AL134" i="22"/>
  <c r="AL136" i="22"/>
  <c r="AL138" i="22"/>
  <c r="AL140" i="22"/>
  <c r="AL142" i="22"/>
  <c r="AL144" i="22"/>
  <c r="AL146" i="22"/>
  <c r="AL148" i="22"/>
  <c r="AL151" i="22"/>
  <c r="AL153" i="22"/>
  <c r="AL155" i="22"/>
  <c r="AL157" i="22"/>
  <c r="AL159" i="22"/>
  <c r="AL161" i="22"/>
  <c r="AM130" i="23"/>
  <c r="AM126" i="23"/>
  <c r="AM122" i="23"/>
  <c r="AM118" i="23"/>
  <c r="AM114" i="23"/>
  <c r="AM110" i="23"/>
  <c r="AM106" i="23"/>
  <c r="AM102" i="23"/>
  <c r="AM98" i="23"/>
  <c r="AM94" i="23"/>
  <c r="AN130" i="23"/>
  <c r="AN126" i="23"/>
  <c r="AN122" i="23"/>
  <c r="AN118" i="23"/>
  <c r="AN114" i="23"/>
  <c r="AN110" i="23"/>
  <c r="AN106" i="23"/>
  <c r="AN102" i="23"/>
  <c r="AN98" i="23"/>
  <c r="AN94" i="23"/>
  <c r="AL125" i="22"/>
  <c r="AL121" i="22"/>
  <c r="AL117" i="22"/>
  <c r="AL113" i="22"/>
  <c r="AL109" i="22"/>
  <c r="AL105" i="22"/>
  <c r="AL101" i="22"/>
  <c r="AL97" i="22"/>
  <c r="AL93" i="22"/>
  <c r="AL33" i="22"/>
  <c r="AL29" i="22"/>
  <c r="AL25" i="22"/>
  <c r="AL21" i="22"/>
  <c r="AL17" i="22"/>
  <c r="AM14" i="22"/>
  <c r="AM91" i="22"/>
  <c r="AM95" i="22"/>
  <c r="AM99" i="22"/>
  <c r="AM103" i="22"/>
  <c r="AM107" i="22"/>
  <c r="AM111" i="22"/>
  <c r="AM115" i="22"/>
  <c r="AM119" i="22"/>
  <c r="AM123" i="22"/>
  <c r="AM15" i="22"/>
  <c r="AM19" i="22"/>
  <c r="AM23" i="22"/>
  <c r="AM28" i="22"/>
  <c r="AM32" i="22"/>
  <c r="AM124" i="17"/>
  <c r="AM126" i="17"/>
  <c r="AN128" i="17"/>
  <c r="AN130" i="17"/>
  <c r="AN132" i="17"/>
  <c r="AN134" i="17"/>
  <c r="AN136" i="17"/>
  <c r="AN138" i="17"/>
  <c r="AN140" i="17"/>
  <c r="AN142" i="17"/>
  <c r="AN144" i="17"/>
  <c r="AN146" i="17"/>
  <c r="AN148" i="17"/>
  <c r="AN150" i="17"/>
  <c r="AN152" i="17"/>
  <c r="AN154" i="17"/>
  <c r="AN156" i="17"/>
  <c r="AN158" i="17"/>
  <c r="AN160" i="17"/>
  <c r="AN162" i="17"/>
  <c r="AN164" i="17"/>
  <c r="AN132" i="15"/>
  <c r="AN140" i="15"/>
  <c r="AN148" i="15"/>
  <c r="AN156" i="15"/>
  <c r="AN164" i="15"/>
  <c r="AN172" i="15"/>
  <c r="AN176" i="15"/>
  <c r="AN180" i="15"/>
  <c r="AN184" i="15"/>
  <c r="AN188" i="15"/>
  <c r="AN192" i="15"/>
  <c r="AM54" i="34"/>
  <c r="AM50" i="34"/>
  <c r="AM46" i="34"/>
  <c r="AM42" i="34"/>
  <c r="AM30" i="34"/>
  <c r="AM26" i="34"/>
  <c r="AM22" i="34"/>
  <c r="AM18" i="34"/>
  <c r="AM14" i="34"/>
  <c r="AN53" i="34"/>
  <c r="AN49" i="34"/>
  <c r="AN45" i="34"/>
  <c r="AN32" i="34"/>
  <c r="AN28" i="34"/>
  <c r="AN24" i="34"/>
  <c r="AN20" i="34"/>
  <c r="AN15" i="34"/>
  <c r="AN84" i="24"/>
  <c r="AN80" i="24"/>
  <c r="AN76" i="24"/>
  <c r="AN72" i="24"/>
  <c r="AN60" i="24"/>
  <c r="AN56" i="24"/>
  <c r="AN52" i="24"/>
  <c r="AN48" i="24"/>
  <c r="AN44" i="24"/>
  <c r="AN40" i="24"/>
  <c r="AN36" i="24"/>
  <c r="AN32" i="24"/>
  <c r="AN28" i="24"/>
  <c r="AN24" i="24"/>
  <c r="AN20" i="24"/>
  <c r="AN16" i="24"/>
  <c r="AM85" i="24"/>
  <c r="AM81" i="24"/>
  <c r="AM77" i="24"/>
  <c r="AM73" i="24"/>
  <c r="AM69" i="24"/>
  <c r="AM58" i="24"/>
  <c r="AM54" i="24"/>
  <c r="AM50" i="24"/>
  <c r="AM46" i="24"/>
  <c r="AM42" i="24"/>
  <c r="AM38" i="24"/>
  <c r="AM34" i="24"/>
  <c r="AM30" i="24"/>
  <c r="AM26" i="24"/>
  <c r="AM22" i="24"/>
  <c r="AM18" i="24"/>
  <c r="AM14" i="24"/>
  <c r="AM133" i="22"/>
  <c r="AM134" i="22"/>
  <c r="AM136" i="22"/>
  <c r="AM138" i="22"/>
  <c r="AM140" i="22"/>
  <c r="AM142" i="22"/>
  <c r="AM144" i="22"/>
  <c r="AM146" i="22"/>
  <c r="AM148" i="22"/>
  <c r="AM151" i="22"/>
  <c r="AM153" i="22"/>
  <c r="AM155" i="22"/>
  <c r="AM157" i="22"/>
  <c r="AM159" i="22"/>
  <c r="AM161" i="22"/>
  <c r="AM129" i="23"/>
  <c r="AM125" i="23"/>
  <c r="AM121" i="23"/>
  <c r="AM117" i="23"/>
  <c r="AM113" i="23"/>
  <c r="AM109" i="23"/>
  <c r="AM105" i="23"/>
  <c r="AM101" i="23"/>
  <c r="AM97" i="23"/>
  <c r="AM93" i="23"/>
  <c r="AN129" i="23"/>
  <c r="AN125" i="23"/>
  <c r="AN121" i="23"/>
  <c r="AN117" i="23"/>
  <c r="AN113" i="23"/>
  <c r="AN109" i="23"/>
  <c r="AN105" i="23"/>
  <c r="AN101" i="23"/>
  <c r="AN97" i="23"/>
  <c r="AN93" i="23"/>
  <c r="AL124" i="22"/>
  <c r="AL120" i="22"/>
  <c r="AL116" i="22"/>
  <c r="AL112" i="22"/>
  <c r="AL108" i="22"/>
  <c r="AL104" i="22"/>
  <c r="AL100" i="22"/>
  <c r="AL96" i="22"/>
  <c r="AL92" i="22"/>
  <c r="AL32" i="22"/>
  <c r="AL28" i="22"/>
  <c r="AL24" i="22"/>
  <c r="AL20" i="22"/>
  <c r="AL16" i="22"/>
  <c r="AM92" i="22"/>
  <c r="AM96" i="22"/>
  <c r="AM100" i="22"/>
  <c r="AM104" i="22"/>
  <c r="AM108" i="22"/>
  <c r="AM112" i="22"/>
  <c r="AM116" i="22"/>
  <c r="AM120" i="22"/>
  <c r="AM124" i="22"/>
  <c r="AM16" i="22"/>
  <c r="AM20" i="22"/>
  <c r="AM24" i="22"/>
  <c r="AM29" i="22"/>
  <c r="AM33" i="22"/>
  <c r="AN124" i="17"/>
  <c r="AN126" i="17"/>
  <c r="AM129" i="17"/>
  <c r="AM131" i="17"/>
  <c r="AM133" i="17"/>
  <c r="AM135" i="17"/>
  <c r="AM137" i="17"/>
  <c r="AM139" i="17"/>
  <c r="AM141" i="17"/>
  <c r="AM143" i="17"/>
  <c r="AM145" i="17"/>
  <c r="AM147" i="17"/>
  <c r="AM149" i="17"/>
  <c r="AM151" i="17"/>
  <c r="AM153" i="17"/>
  <c r="AM155" i="17"/>
  <c r="AM157" i="17"/>
  <c r="AM159" i="17"/>
  <c r="AM161" i="17"/>
  <c r="AM163" i="17"/>
  <c r="AM165" i="17"/>
  <c r="AM167" i="17"/>
  <c r="AM169" i="17"/>
  <c r="AM171" i="17"/>
  <c r="AM173" i="17"/>
  <c r="AM175" i="17"/>
  <c r="AM177" i="17"/>
  <c r="AM179" i="17"/>
  <c r="AM181" i="17"/>
  <c r="AM183" i="17"/>
  <c r="AM185" i="17"/>
  <c r="AM187" i="17"/>
  <c r="AM189" i="17"/>
  <c r="AM191" i="17"/>
  <c r="AM193" i="17"/>
  <c r="AM195" i="17"/>
  <c r="AM197" i="17"/>
  <c r="AM199" i="17"/>
  <c r="AM201" i="17"/>
  <c r="AN134" i="15"/>
  <c r="AN142" i="15"/>
  <c r="AN150" i="15"/>
  <c r="AN158" i="15"/>
  <c r="AN166" i="15"/>
  <c r="AN173" i="15"/>
  <c r="AN177" i="15"/>
  <c r="AN181" i="15"/>
  <c r="AN185" i="15"/>
  <c r="AN189" i="15"/>
  <c r="AM53" i="34"/>
  <c r="AM49" i="34"/>
  <c r="AM45" i="34"/>
  <c r="AM33" i="34"/>
  <c r="AM29" i="34"/>
  <c r="AM25" i="34"/>
  <c r="AM21" i="34"/>
  <c r="AM17" i="34"/>
  <c r="AN56" i="34"/>
  <c r="AN52" i="34"/>
  <c r="AN48" i="34"/>
  <c r="AN44" i="34"/>
  <c r="AN31" i="34"/>
  <c r="AN27" i="34"/>
  <c r="AN23" i="34"/>
  <c r="AN19" i="34"/>
  <c r="AN87" i="24"/>
  <c r="AN83" i="24"/>
  <c r="AN79" i="24"/>
  <c r="AN75" i="24"/>
  <c r="AN71" i="24"/>
  <c r="AN59" i="24"/>
  <c r="AN55" i="24"/>
  <c r="AN51" i="24"/>
  <c r="AN47" i="24"/>
  <c r="AN43" i="24"/>
  <c r="AN39" i="24"/>
  <c r="AN35" i="24"/>
  <c r="AN31" i="24"/>
  <c r="AN27" i="24"/>
  <c r="AN23" i="24"/>
  <c r="AN19" i="24"/>
  <c r="AN15" i="24"/>
  <c r="AM84" i="24"/>
  <c r="AM80" i="24"/>
  <c r="AM76" i="24"/>
  <c r="AM72" i="24"/>
  <c r="AM68" i="24"/>
  <c r="AM57" i="24"/>
  <c r="AM53" i="24"/>
  <c r="AM49" i="24"/>
  <c r="AM45" i="24"/>
  <c r="AM41" i="24"/>
  <c r="AM37" i="24"/>
  <c r="AM33" i="24"/>
  <c r="AM29" i="24"/>
  <c r="AM25" i="24"/>
  <c r="AM21" i="24"/>
  <c r="AM17" i="24"/>
  <c r="AM149" i="22"/>
  <c r="AL135" i="22"/>
  <c r="AL137" i="22"/>
  <c r="AL139" i="22"/>
  <c r="AL141" i="22"/>
  <c r="AL143" i="22"/>
  <c r="AL145" i="22"/>
  <c r="AL147" i="22"/>
  <c r="AL149" i="22"/>
  <c r="AL152" i="22"/>
  <c r="AL154" i="22"/>
  <c r="AL156" i="22"/>
  <c r="AL158" i="22"/>
  <c r="AL160" i="22"/>
  <c r="AL162" i="22"/>
  <c r="AM128" i="23"/>
  <c r="AM124" i="23"/>
  <c r="AM120" i="23"/>
  <c r="AM116" i="23"/>
  <c r="AM112" i="23"/>
  <c r="AM108" i="23"/>
  <c r="AM104" i="23"/>
  <c r="AM100" i="23"/>
  <c r="AM96" i="23"/>
  <c r="AM92" i="23"/>
  <c r="AN128" i="23"/>
  <c r="AN124" i="23"/>
  <c r="AN120" i="23"/>
  <c r="AN116" i="23"/>
  <c r="AN112" i="23"/>
  <c r="AN108" i="23"/>
  <c r="AN104" i="23"/>
  <c r="AN100" i="23"/>
  <c r="AN96" i="23"/>
  <c r="AN92" i="23"/>
  <c r="AL123" i="22"/>
  <c r="AL119" i="22"/>
  <c r="AL115" i="22"/>
  <c r="AL111" i="22"/>
  <c r="AL107" i="22"/>
  <c r="AL103" i="22"/>
  <c r="AL99" i="22"/>
  <c r="AL95" i="22"/>
  <c r="AL91" i="22"/>
  <c r="AL31" i="22"/>
  <c r="AL27" i="22"/>
  <c r="AL23" i="22"/>
  <c r="AL19" i="22"/>
  <c r="AL15" i="22"/>
  <c r="AM93" i="22"/>
  <c r="AM97" i="22"/>
  <c r="AM101" i="22"/>
  <c r="AM105" i="22"/>
  <c r="AM109" i="22"/>
  <c r="AM113" i="22"/>
  <c r="AM117" i="22"/>
  <c r="AM121" i="22"/>
  <c r="AM125" i="22"/>
  <c r="AM17" i="22"/>
  <c r="AM21" i="22"/>
  <c r="AM25" i="22"/>
  <c r="AM30" i="22"/>
  <c r="AM123" i="17"/>
  <c r="AM125" i="17"/>
  <c r="AM127" i="17"/>
  <c r="AN129" i="17"/>
  <c r="AN131" i="17"/>
  <c r="AN133" i="17"/>
  <c r="AN135" i="17"/>
  <c r="AN137" i="17"/>
  <c r="AN139" i="17"/>
  <c r="AN141" i="17"/>
  <c r="AN143" i="17"/>
  <c r="AN145" i="17"/>
  <c r="AN147" i="17"/>
  <c r="AN149" i="17"/>
  <c r="AN151" i="17"/>
  <c r="AN153" i="17"/>
  <c r="AN155" i="17"/>
  <c r="AN157" i="17"/>
  <c r="AN159" i="17"/>
  <c r="AN161" i="17"/>
  <c r="AN163" i="17"/>
  <c r="AN165" i="17"/>
  <c r="AN167" i="17"/>
  <c r="AN169" i="17"/>
  <c r="AN170" i="17"/>
  <c r="AN174" i="17"/>
  <c r="AN178" i="17"/>
  <c r="AN182" i="17"/>
  <c r="AN186" i="17"/>
  <c r="AN190" i="17"/>
  <c r="AN194" i="17"/>
  <c r="AN198" i="17"/>
  <c r="AN202" i="17"/>
  <c r="AM205" i="17"/>
  <c r="AN207" i="17"/>
  <c r="AN210" i="17"/>
  <c r="AM213" i="17"/>
  <c r="AN215" i="17"/>
  <c r="AM218" i="17"/>
  <c r="AM220" i="17"/>
  <c r="AM222" i="17"/>
  <c r="AM14" i="17"/>
  <c r="AM16" i="17"/>
  <c r="AM18" i="17"/>
  <c r="AM20" i="17"/>
  <c r="AM22" i="17"/>
  <c r="AM24" i="17"/>
  <c r="AM26" i="17"/>
  <c r="AM28" i="17"/>
  <c r="AM30" i="17"/>
  <c r="AM32" i="17"/>
  <c r="AM34" i="17"/>
  <c r="AM36" i="17"/>
  <c r="AM38" i="17"/>
  <c r="AM40" i="17"/>
  <c r="AM50" i="17"/>
  <c r="AM52" i="17"/>
  <c r="AM56" i="17"/>
  <c r="AM58" i="17"/>
  <c r="AM60" i="17"/>
  <c r="AM62" i="17"/>
  <c r="AM64" i="17"/>
  <c r="AM66" i="17"/>
  <c r="AM68" i="17"/>
  <c r="AM70" i="17"/>
  <c r="AM72" i="17"/>
  <c r="AM74" i="17"/>
  <c r="AM84" i="17"/>
  <c r="AM86" i="17"/>
  <c r="AM88" i="17"/>
  <c r="AM90" i="17"/>
  <c r="AM92" i="17"/>
  <c r="AM94" i="17"/>
  <c r="AM96" i="17"/>
  <c r="AM98" i="17"/>
  <c r="AM100" i="17"/>
  <c r="AM102" i="17"/>
  <c r="AM104" i="17"/>
  <c r="AM106" i="17"/>
  <c r="AM108" i="17"/>
  <c r="AM110" i="17"/>
  <c r="AM112" i="17"/>
  <c r="AM114" i="17"/>
  <c r="AF15" i="21"/>
  <c r="AF17" i="21"/>
  <c r="AF19" i="21"/>
  <c r="AF21" i="21"/>
  <c r="AF23" i="21"/>
  <c r="AF25" i="21"/>
  <c r="AF27" i="21"/>
  <c r="AF29" i="21"/>
  <c r="AF31" i="21"/>
  <c r="AF33" i="21"/>
  <c r="AF35" i="21"/>
  <c r="AF37" i="21"/>
  <c r="AF39" i="21"/>
  <c r="AF41" i="21"/>
  <c r="AF43" i="21"/>
  <c r="AF45" i="21"/>
  <c r="AF47" i="21"/>
  <c r="AF49" i="21"/>
  <c r="AF51" i="21"/>
  <c r="AF53" i="21"/>
  <c r="AF55" i="21"/>
  <c r="AF57" i="21"/>
  <c r="AN171" i="17"/>
  <c r="AN175" i="17"/>
  <c r="AN179" i="17"/>
  <c r="AN183" i="17"/>
  <c r="AN187" i="17"/>
  <c r="AN191" i="17"/>
  <c r="AN195" i="17"/>
  <c r="AN199" i="17"/>
  <c r="AM203" i="17"/>
  <c r="AN205" i="17"/>
  <c r="AN208" i="17"/>
  <c r="AM211" i="17"/>
  <c r="AN213" i="17"/>
  <c r="AN216" i="17"/>
  <c r="AN218" i="17"/>
  <c r="AN220" i="17"/>
  <c r="AN222" i="17"/>
  <c r="AN14" i="17"/>
  <c r="AN16" i="17"/>
  <c r="AN18" i="17"/>
  <c r="AN20" i="17"/>
  <c r="AN22" i="17"/>
  <c r="AN24" i="17"/>
  <c r="AN26" i="17"/>
  <c r="AN28" i="17"/>
  <c r="AN30" i="17"/>
  <c r="AN32" i="17"/>
  <c r="AN34" i="17"/>
  <c r="AN36" i="17"/>
  <c r="AN38" i="17"/>
  <c r="AN40" i="17"/>
  <c r="AN50" i="17"/>
  <c r="AN52" i="17"/>
  <c r="AN56" i="17"/>
  <c r="AN58" i="17"/>
  <c r="AN60" i="17"/>
  <c r="AN62" i="17"/>
  <c r="AN64" i="17"/>
  <c r="AN66" i="17"/>
  <c r="AN68" i="17"/>
  <c r="AN70" i="17"/>
  <c r="AN72" i="17"/>
  <c r="AN74" i="17"/>
  <c r="AN84" i="17"/>
  <c r="AN86" i="17"/>
  <c r="AN88" i="17"/>
  <c r="AN90" i="17"/>
  <c r="AN92" i="17"/>
  <c r="AN94" i="17"/>
  <c r="AN96" i="17"/>
  <c r="AN98" i="17"/>
  <c r="AN100" i="17"/>
  <c r="AN102" i="17"/>
  <c r="AN104" i="17"/>
  <c r="AN106" i="17"/>
  <c r="AN108" i="17"/>
  <c r="AN110" i="17"/>
  <c r="AN112" i="17"/>
  <c r="AN114" i="17"/>
  <c r="AG15" i="21"/>
  <c r="AG17" i="21"/>
  <c r="AG19" i="21"/>
  <c r="AG21" i="21"/>
  <c r="AG23" i="21"/>
  <c r="AG25" i="21"/>
  <c r="AG27" i="21"/>
  <c r="AG29" i="21"/>
  <c r="AG31" i="21"/>
  <c r="AG33" i="21"/>
  <c r="AG35" i="21"/>
  <c r="AG37" i="21"/>
  <c r="AG39" i="21"/>
  <c r="AG41" i="21"/>
  <c r="AG43" i="21"/>
  <c r="AG45" i="21"/>
  <c r="AG47" i="21"/>
  <c r="AG49" i="21"/>
  <c r="AG51" i="21"/>
  <c r="AG53" i="21"/>
  <c r="AG55" i="21"/>
  <c r="AG57" i="21"/>
  <c r="AN166" i="17"/>
  <c r="AN172" i="17"/>
  <c r="AN176" i="17"/>
  <c r="AN180" i="17"/>
  <c r="AN184" i="17"/>
  <c r="AN188" i="17"/>
  <c r="AN192" i="17"/>
  <c r="AN196" i="17"/>
  <c r="AN200" i="17"/>
  <c r="AN203" i="17"/>
  <c r="AN206" i="17"/>
  <c r="AM209" i="17"/>
  <c r="AN211" i="17"/>
  <c r="AN214" i="17"/>
  <c r="AM217" i="17"/>
  <c r="AM219" i="17"/>
  <c r="AM221" i="17"/>
  <c r="AM223" i="17"/>
  <c r="AM15" i="17"/>
  <c r="AM17" i="17"/>
  <c r="AM19" i="17"/>
  <c r="AM21" i="17"/>
  <c r="AM23" i="17"/>
  <c r="AM25" i="17"/>
  <c r="AM27" i="17"/>
  <c r="AM29" i="17"/>
  <c r="AM31" i="17"/>
  <c r="AM33" i="17"/>
  <c r="AM35" i="17"/>
  <c r="AM37" i="17"/>
  <c r="AM39" i="17"/>
  <c r="AM49" i="17"/>
  <c r="AM51" i="17"/>
  <c r="AM53" i="17"/>
  <c r="AM55" i="17"/>
  <c r="AM57" i="17"/>
  <c r="AM59" i="17"/>
  <c r="AM61" i="17"/>
  <c r="AM63" i="17"/>
  <c r="AM65" i="17"/>
  <c r="AM67" i="17"/>
  <c r="AM69" i="17"/>
  <c r="AM71" i="17"/>
  <c r="AM73" i="17"/>
  <c r="AM83" i="17"/>
  <c r="AM85" i="17"/>
  <c r="AM87" i="17"/>
  <c r="AM89" i="17"/>
  <c r="AM91" i="17"/>
  <c r="AM93" i="17"/>
  <c r="AM95" i="17"/>
  <c r="AM97" i="17"/>
  <c r="AM99" i="17"/>
  <c r="AM101" i="17"/>
  <c r="AM103" i="17"/>
  <c r="AM105" i="17"/>
  <c r="AM107" i="17"/>
  <c r="AM109" i="17"/>
  <c r="AM111" i="17"/>
  <c r="AM113" i="17"/>
  <c r="AF14" i="21"/>
  <c r="AF16" i="21"/>
  <c r="AF18" i="21"/>
  <c r="AF20" i="21"/>
  <c r="AF22" i="21"/>
  <c r="AF24" i="21"/>
  <c r="AF26" i="21"/>
  <c r="AF28" i="21"/>
  <c r="AF30" i="21"/>
  <c r="AF32" i="21"/>
  <c r="AF34" i="21"/>
  <c r="AF36" i="21"/>
  <c r="AF38" i="21"/>
  <c r="AF40" i="21"/>
  <c r="AF42" i="21"/>
  <c r="AF44" i="21"/>
  <c r="AF46" i="21"/>
  <c r="AF48" i="21"/>
  <c r="AF50" i="21"/>
  <c r="AF52" i="21"/>
  <c r="AF54" i="21"/>
  <c r="AF56" i="21"/>
  <c r="AF58" i="21"/>
  <c r="AN168" i="17"/>
  <c r="AN173" i="17"/>
  <c r="AN177" i="17"/>
  <c r="AN181" i="17"/>
  <c r="AN185" i="17"/>
  <c r="AN189" i="17"/>
  <c r="AN193" i="17"/>
  <c r="AN197" i="17"/>
  <c r="AN201" i="17"/>
  <c r="AN204" i="17"/>
  <c r="AM207" i="17"/>
  <c r="AN209" i="17"/>
  <c r="AN212" i="17"/>
  <c r="AM215" i="17"/>
  <c r="AN217" i="17"/>
  <c r="AN219" i="17"/>
  <c r="AN221" i="17"/>
  <c r="AN223" i="17"/>
  <c r="AN15" i="17"/>
  <c r="AN17" i="17"/>
  <c r="AN19" i="17"/>
  <c r="AN21" i="17"/>
  <c r="AN23" i="17"/>
  <c r="AN25" i="17"/>
  <c r="AN27" i="17"/>
  <c r="AN29" i="17"/>
  <c r="AN31" i="17"/>
  <c r="AN33" i="17"/>
  <c r="AN35" i="17"/>
  <c r="AN37" i="17"/>
  <c r="AN39" i="17"/>
  <c r="AN49" i="17"/>
  <c r="AN51" i="17"/>
  <c r="AN53" i="17"/>
  <c r="AN55" i="17"/>
  <c r="AN57" i="17"/>
  <c r="AN59" i="17"/>
  <c r="AN61" i="17"/>
  <c r="AN63" i="17"/>
  <c r="AN65" i="17"/>
  <c r="AN67" i="17"/>
  <c r="AN69" i="17"/>
  <c r="AN71" i="17"/>
  <c r="AN73" i="17"/>
  <c r="AN83" i="17"/>
  <c r="AN85" i="17"/>
  <c r="AN87" i="17"/>
  <c r="AN89" i="17"/>
  <c r="AN91" i="17"/>
  <c r="AN93" i="17"/>
  <c r="AN95" i="17"/>
  <c r="AN97" i="17"/>
  <c r="AN99" i="17"/>
  <c r="AN101" i="17"/>
  <c r="AN103" i="17"/>
  <c r="AN105" i="17"/>
  <c r="AN107" i="17"/>
  <c r="AN109" i="17"/>
  <c r="AN111" i="17"/>
  <c r="AN113" i="17"/>
  <c r="AG14" i="21"/>
  <c r="AU27" i="21" s="1"/>
  <c r="AG16" i="21"/>
  <c r="AG18" i="21"/>
  <c r="AG20" i="21"/>
  <c r="AG22" i="21"/>
  <c r="AG24" i="21"/>
  <c r="AG26" i="21"/>
  <c r="AG28" i="21"/>
  <c r="AG30" i="21"/>
  <c r="AG32" i="21"/>
  <c r="AG34" i="21"/>
  <c r="AG36" i="21"/>
  <c r="AG38" i="21"/>
  <c r="AG40" i="21"/>
  <c r="AG42" i="21"/>
  <c r="AG44" i="21"/>
  <c r="AG46" i="21"/>
  <c r="AG48" i="21"/>
  <c r="AG50" i="21"/>
  <c r="AG52" i="21"/>
  <c r="AG54" i="21"/>
  <c r="AG56" i="21"/>
  <c r="AG58" i="21"/>
  <c r="AR476" i="58"/>
  <c r="AR420" i="58"/>
  <c r="AP476" i="58"/>
  <c r="AP332" i="58"/>
  <c r="AR348" i="58"/>
  <c r="AR302" i="58"/>
  <c r="AR412" i="58"/>
  <c r="AR422" i="58"/>
  <c r="AP452" i="58"/>
  <c r="AP484" i="58"/>
  <c r="AR438" i="58"/>
  <c r="AP462" i="58"/>
  <c r="AC485" i="58"/>
  <c r="AR516" i="58"/>
  <c r="AR350" i="58"/>
  <c r="AR454" i="58"/>
  <c r="AE426" i="58"/>
  <c r="AE498" i="58"/>
  <c r="AE450" i="58"/>
  <c r="AE466" i="58"/>
  <c r="AE410" i="58"/>
  <c r="AE402" i="58"/>
  <c r="AE282" i="58"/>
  <c r="AI192" i="58"/>
  <c r="U290" i="35"/>
  <c r="U562" i="35"/>
  <c r="J45" i="35"/>
  <c r="AC240" i="58"/>
  <c r="N30" i="35"/>
  <c r="AI230" i="58" s="1"/>
  <c r="O28" i="35"/>
  <c r="AC220" i="58"/>
  <c r="AI197" i="58"/>
  <c r="V255" i="58"/>
  <c r="AC181" i="58"/>
  <c r="V177" i="58"/>
  <c r="AC210" i="58"/>
  <c r="AR308" i="58"/>
  <c r="R396" i="58"/>
  <c r="AT532" i="58"/>
  <c r="AR533" i="58"/>
  <c r="O45" i="35"/>
  <c r="AR321" i="58"/>
  <c r="AC301" i="58"/>
  <c r="P320" i="58"/>
  <c r="R447" i="58"/>
  <c r="R302" i="58"/>
  <c r="R448" i="58"/>
  <c r="R348" i="58"/>
  <c r="R358" i="58"/>
  <c r="J291" i="35"/>
  <c r="P426" i="58"/>
  <c r="P418" i="58"/>
  <c r="R360" i="58"/>
  <c r="R512" i="58"/>
  <c r="R504" i="58"/>
  <c r="P402" i="58"/>
  <c r="P314" i="58"/>
  <c r="R456" i="58"/>
  <c r="R464" i="58"/>
  <c r="R368" i="58"/>
  <c r="AC332" i="58"/>
  <c r="P482" i="58"/>
  <c r="P354" i="58"/>
  <c r="P346" i="58"/>
  <c r="R296" i="58"/>
  <c r="J294" i="35"/>
  <c r="AI155" i="58"/>
  <c r="AV152" i="58"/>
  <c r="AG154" i="58"/>
  <c r="R154" i="58"/>
  <c r="AR152" i="58"/>
  <c r="AI152" i="58"/>
  <c r="AI154" i="58"/>
  <c r="AI157" i="58"/>
  <c r="V155" i="58"/>
  <c r="T153" i="58"/>
  <c r="AT157" i="58"/>
  <c r="AV156" i="58"/>
  <c r="V156" i="58"/>
  <c r="AT154" i="58"/>
  <c r="AV155" i="58"/>
  <c r="T157" i="58"/>
  <c r="AT153" i="58"/>
  <c r="AV154" i="58"/>
  <c r="U533" i="35"/>
  <c r="O120" i="35"/>
  <c r="AI184" i="58"/>
  <c r="AR460" i="58"/>
  <c r="U227" i="35"/>
  <c r="U79" i="35"/>
  <c r="X9" i="58"/>
  <c r="AX107" i="58"/>
  <c r="AE346" i="58"/>
  <c r="AE386" i="58"/>
  <c r="O239" i="35"/>
  <c r="X112" i="58"/>
  <c r="O413" i="35"/>
  <c r="P386" i="58"/>
  <c r="P442" i="58"/>
  <c r="P338" i="58"/>
  <c r="P410" i="58"/>
  <c r="U251" i="35"/>
  <c r="R480" i="58"/>
  <c r="R328" i="58"/>
  <c r="T260" i="35"/>
  <c r="AV158" i="58"/>
  <c r="T179" i="35"/>
  <c r="U179" i="35" s="1"/>
  <c r="AE522" i="58"/>
  <c r="AE378" i="58"/>
  <c r="AE290" i="58"/>
  <c r="AE330" i="58"/>
  <c r="AE458" i="58"/>
  <c r="AE298" i="58"/>
  <c r="AE338" i="58"/>
  <c r="AR71" i="58"/>
  <c r="T158" i="58"/>
  <c r="AR366" i="58"/>
  <c r="AR374" i="58"/>
  <c r="AR278" i="58"/>
  <c r="V154" i="58"/>
  <c r="AC392" i="58"/>
  <c r="R304" i="58"/>
  <c r="R472" i="58"/>
  <c r="R280" i="58"/>
  <c r="AR510" i="58"/>
  <c r="AP250" i="58"/>
  <c r="AR470" i="58"/>
  <c r="P362" i="58"/>
  <c r="P330" i="58"/>
  <c r="P290" i="58"/>
  <c r="AE306" i="58"/>
  <c r="AE434" i="58"/>
  <c r="AR318" i="58"/>
  <c r="AR372" i="58"/>
  <c r="AP192" i="58"/>
  <c r="AR380" i="58"/>
  <c r="AR518" i="58"/>
  <c r="R344" i="58"/>
  <c r="AE285" i="58"/>
  <c r="AR284" i="58"/>
  <c r="P466" i="58"/>
  <c r="R520" i="58"/>
  <c r="AR452" i="58"/>
  <c r="P514" i="58"/>
  <c r="O294" i="35"/>
  <c r="M283" i="35"/>
  <c r="M282" i="35" s="1"/>
  <c r="AG537" i="58" s="1"/>
  <c r="K457" i="35"/>
  <c r="K456" i="35" s="1"/>
  <c r="AC535" i="58" s="1"/>
  <c r="AC252" i="58"/>
  <c r="V113" i="58"/>
  <c r="V97" i="58"/>
  <c r="V105" i="58"/>
  <c r="V121" i="58"/>
  <c r="AG204" i="58"/>
  <c r="V157" i="58"/>
  <c r="J394" i="35"/>
  <c r="AR286" i="58"/>
  <c r="AR492" i="58"/>
  <c r="AR340" i="58"/>
  <c r="I197" i="35"/>
  <c r="I196" i="35" s="1"/>
  <c r="T146" i="35"/>
  <c r="U687" i="35"/>
  <c r="AI213" i="58"/>
  <c r="T114" i="35"/>
  <c r="X139" i="58"/>
  <c r="AR324" i="58"/>
  <c r="AR414" i="58"/>
  <c r="AR356" i="58"/>
  <c r="AR508" i="58"/>
  <c r="AX41" i="58"/>
  <c r="AX98" i="58"/>
  <c r="T152" i="58"/>
  <c r="U279" i="35"/>
  <c r="J346" i="35"/>
  <c r="AE442" i="58"/>
  <c r="U191" i="35"/>
  <c r="O412" i="35"/>
  <c r="P394" i="58"/>
  <c r="P370" i="58"/>
  <c r="P522" i="58"/>
  <c r="P282" i="58"/>
  <c r="O94" i="35"/>
  <c r="U94" i="35" s="1"/>
  <c r="O153" i="35"/>
  <c r="T333" i="35"/>
  <c r="R352" i="58"/>
  <c r="R312" i="58"/>
  <c r="M111" i="35"/>
  <c r="M110" i="35" s="1"/>
  <c r="AG533" i="58" s="1"/>
  <c r="AV157" i="58"/>
  <c r="AG157" i="58"/>
  <c r="O496" i="35"/>
  <c r="AE418" i="58"/>
  <c r="O460" i="35"/>
  <c r="AE322" i="58"/>
  <c r="AE362" i="58"/>
  <c r="U487" i="35"/>
  <c r="AC358" i="58"/>
  <c r="U591" i="35"/>
  <c r="V70" i="58"/>
  <c r="AR502" i="58"/>
  <c r="AR310" i="58"/>
  <c r="AR364" i="58"/>
  <c r="R376" i="58"/>
  <c r="R416" i="58"/>
  <c r="R432" i="58"/>
  <c r="AR404" i="58"/>
  <c r="AR316" i="58"/>
  <c r="AR486" i="58"/>
  <c r="P450" i="58"/>
  <c r="P490" i="58"/>
  <c r="P434" i="58"/>
  <c r="AE354" i="58"/>
  <c r="AE474" i="58"/>
  <c r="AR494" i="58"/>
  <c r="AP270" i="58"/>
  <c r="AR484" i="58"/>
  <c r="AR444" i="58"/>
  <c r="R384" i="58"/>
  <c r="AR358" i="58"/>
  <c r="R288" i="58"/>
  <c r="R488" i="58"/>
  <c r="AR428" i="58"/>
  <c r="AR276" i="58"/>
  <c r="M371" i="35"/>
  <c r="M370" i="35" s="1"/>
  <c r="AG534" i="58" s="1"/>
  <c r="K197" i="35"/>
  <c r="K196" i="35" s="1"/>
  <c r="AC536" i="58" s="1"/>
  <c r="P506" i="58"/>
  <c r="K628" i="35"/>
  <c r="K627" i="35" s="1"/>
  <c r="AC538" i="58" s="1"/>
  <c r="T30" i="35"/>
  <c r="U71" i="35"/>
  <c r="AP204" i="58"/>
  <c r="AX204" i="58" s="1"/>
  <c r="U481" i="35"/>
  <c r="AR6" i="58"/>
  <c r="AX6" i="58" s="1"/>
  <c r="X32" i="58"/>
  <c r="AR334" i="58"/>
  <c r="AR430" i="58"/>
  <c r="AR294" i="58"/>
  <c r="AR300" i="58"/>
  <c r="T147" i="35"/>
  <c r="U167" i="35"/>
  <c r="AE459" i="58"/>
  <c r="AK206" i="58"/>
  <c r="T582" i="35"/>
  <c r="T61" i="35"/>
  <c r="AX115" i="58"/>
  <c r="AE370" i="58"/>
  <c r="AE314" i="58"/>
  <c r="V272" i="58"/>
  <c r="O34" i="35"/>
  <c r="U140" i="35"/>
  <c r="AT47" i="58"/>
  <c r="AX47" i="58" s="1"/>
  <c r="P298" i="58"/>
  <c r="P458" i="58"/>
  <c r="P322" i="58"/>
  <c r="AC163" i="58"/>
  <c r="AK163" i="58" s="1"/>
  <c r="J581" i="35"/>
  <c r="R440" i="58"/>
  <c r="T202" i="35"/>
  <c r="T493" i="35"/>
  <c r="T149" i="35"/>
  <c r="J660" i="35"/>
  <c r="AE482" i="58"/>
  <c r="X162" i="58"/>
  <c r="AE490" i="58"/>
  <c r="J404" i="35"/>
  <c r="AT296" i="58"/>
  <c r="R66" i="58"/>
  <c r="AR396" i="58"/>
  <c r="AR436" i="58"/>
  <c r="R424" i="58"/>
  <c r="R400" i="58"/>
  <c r="R408" i="58"/>
  <c r="AR478" i="58"/>
  <c r="AR390" i="58"/>
  <c r="P498" i="58"/>
  <c r="AE506" i="58"/>
  <c r="AR462" i="58"/>
  <c r="AR406" i="58"/>
  <c r="AR292" i="58"/>
  <c r="AR468" i="58"/>
  <c r="M25" i="35"/>
  <c r="M24" i="35" s="1"/>
  <c r="AG532" i="58" s="1"/>
  <c r="K25" i="35"/>
  <c r="K24" i="35" s="1"/>
  <c r="AC532" i="58" s="1"/>
  <c r="K371" i="35"/>
  <c r="K370" i="35" s="1"/>
  <c r="AC534" i="58" s="1"/>
  <c r="J563" i="35"/>
  <c r="U647" i="35"/>
  <c r="R91" i="58"/>
  <c r="R115" i="58"/>
  <c r="R99" i="58"/>
  <c r="X99" i="58" s="1"/>
  <c r="U44" i="35"/>
  <c r="U476" i="35"/>
  <c r="T398" i="58"/>
  <c r="AC473" i="58"/>
  <c r="O554" i="35"/>
  <c r="AR500" i="58"/>
  <c r="R392" i="58"/>
  <c r="J208" i="35"/>
  <c r="U305" i="35"/>
  <c r="AP451" i="58"/>
  <c r="AR332" i="58"/>
  <c r="AR382" i="58"/>
  <c r="R320" i="58"/>
  <c r="R336" i="58"/>
  <c r="AE381" i="58"/>
  <c r="AP437" i="58"/>
  <c r="AX49" i="17"/>
  <c r="AC537" i="58"/>
  <c r="AT533" i="58"/>
  <c r="J304" i="35"/>
  <c r="J303" i="35"/>
  <c r="AT413" i="58"/>
  <c r="AI438" i="58"/>
  <c r="T404" i="58"/>
  <c r="AC469" i="58"/>
  <c r="AC333" i="58"/>
  <c r="AP411" i="58"/>
  <c r="AC421" i="58"/>
  <c r="U204" i="35"/>
  <c r="AP282" i="58"/>
  <c r="AV517" i="58"/>
  <c r="AT425" i="58"/>
  <c r="AI286" i="58"/>
  <c r="AT301" i="58"/>
  <c r="AC454" i="58"/>
  <c r="AC348" i="58"/>
  <c r="T484" i="58"/>
  <c r="AP286" i="58"/>
  <c r="AP420" i="58"/>
  <c r="AP422" i="58"/>
  <c r="AT509" i="58"/>
  <c r="AP300" i="58"/>
  <c r="AC518" i="58"/>
  <c r="AC502" i="58"/>
  <c r="AC276" i="58"/>
  <c r="AP299" i="58"/>
  <c r="V491" i="58"/>
  <c r="T636" i="35"/>
  <c r="AP276" i="58"/>
  <c r="AP374" i="58"/>
  <c r="AP454" i="58"/>
  <c r="AP371" i="58"/>
  <c r="AC293" i="58"/>
  <c r="AV245" i="58"/>
  <c r="AC461" i="58"/>
  <c r="AC509" i="58"/>
  <c r="AC446" i="58"/>
  <c r="U32" i="35"/>
  <c r="U378" i="35"/>
  <c r="U635" i="35"/>
  <c r="AI416" i="58"/>
  <c r="T428" i="58"/>
  <c r="AT445" i="58"/>
  <c r="AI394" i="58"/>
  <c r="AP491" i="58"/>
  <c r="P389" i="58"/>
  <c r="T300" i="35"/>
  <c r="U300" i="35" s="1"/>
  <c r="U130" i="35"/>
  <c r="U216" i="35"/>
  <c r="U547" i="35"/>
  <c r="U632" i="35"/>
  <c r="AT461" i="58"/>
  <c r="AT389" i="58"/>
  <c r="AT333" i="58"/>
  <c r="AI330" i="58"/>
  <c r="AI399" i="58"/>
  <c r="AI343" i="58"/>
  <c r="AI463" i="58"/>
  <c r="AI327" i="58"/>
  <c r="AI455" i="58"/>
  <c r="AI447" i="58"/>
  <c r="AI303" i="58"/>
  <c r="T366" i="58"/>
  <c r="J643" i="35"/>
  <c r="T125" i="35"/>
  <c r="AC191" i="58"/>
  <c r="AC306" i="58"/>
  <c r="AC322" i="58"/>
  <c r="AC362" i="58"/>
  <c r="AC370" i="58"/>
  <c r="T28" i="35"/>
  <c r="AC434" i="58"/>
  <c r="AC314" i="58"/>
  <c r="O631" i="35"/>
  <c r="J46" i="35"/>
  <c r="AR469" i="58"/>
  <c r="AR285" i="58"/>
  <c r="T459" i="35"/>
  <c r="AC522" i="58"/>
  <c r="J292" i="35"/>
  <c r="AI226" i="58"/>
  <c r="T422" i="58"/>
  <c r="AP405" i="58"/>
  <c r="AT325" i="58"/>
  <c r="T508" i="58"/>
  <c r="J564" i="35"/>
  <c r="U461" i="35"/>
  <c r="V474" i="58"/>
  <c r="AI450" i="58"/>
  <c r="U479" i="35"/>
  <c r="U390" i="35"/>
  <c r="AT309" i="58"/>
  <c r="AI431" i="58"/>
  <c r="AT440" i="58"/>
  <c r="AC450" i="58"/>
  <c r="AC426" i="58"/>
  <c r="AC330" i="58"/>
  <c r="AC386" i="58"/>
  <c r="AC466" i="58"/>
  <c r="AC269" i="58"/>
  <c r="AR389" i="58"/>
  <c r="T460" i="35"/>
  <c r="AR365" i="58"/>
  <c r="AC354" i="58"/>
  <c r="T444" i="58"/>
  <c r="AR194" i="58"/>
  <c r="AR213" i="58"/>
  <c r="U375" i="35"/>
  <c r="AP381" i="58"/>
  <c r="AI383" i="58"/>
  <c r="AT437" i="58"/>
  <c r="AT397" i="58"/>
  <c r="J119" i="35"/>
  <c r="AI407" i="58"/>
  <c r="AI479" i="58"/>
  <c r="AI335" i="58"/>
  <c r="AI287" i="58"/>
  <c r="AI519" i="58"/>
  <c r="AI511" i="58"/>
  <c r="AI367" i="58"/>
  <c r="T406" i="58"/>
  <c r="J642" i="35"/>
  <c r="V275" i="58"/>
  <c r="AC482" i="58"/>
  <c r="AC418" i="58"/>
  <c r="AI246" i="58"/>
  <c r="AT357" i="58"/>
  <c r="AT341" i="58"/>
  <c r="AI311" i="58"/>
  <c r="AI351" i="58"/>
  <c r="AI471" i="58"/>
  <c r="AI423" i="58"/>
  <c r="AI359" i="58"/>
  <c r="AI279" i="58"/>
  <c r="T300" i="58"/>
  <c r="O377" i="35"/>
  <c r="V197" i="58"/>
  <c r="T392" i="35"/>
  <c r="AC410" i="58"/>
  <c r="AC514" i="58"/>
  <c r="AC474" i="58"/>
  <c r="AC442" i="58"/>
  <c r="AC490" i="58"/>
  <c r="AC298" i="58"/>
  <c r="AC506" i="58"/>
  <c r="T308" i="58"/>
  <c r="AR509" i="58"/>
  <c r="R254" i="58"/>
  <c r="AC290" i="58"/>
  <c r="P199" i="35"/>
  <c r="T199" i="35" s="1"/>
  <c r="AE313" i="58"/>
  <c r="V284" i="58"/>
  <c r="AC173" i="58"/>
  <c r="U115" i="35"/>
  <c r="O383" i="35"/>
  <c r="AT373" i="58"/>
  <c r="AT493" i="58"/>
  <c r="AT429" i="58"/>
  <c r="AT349" i="58"/>
  <c r="AT477" i="58"/>
  <c r="AI370" i="58"/>
  <c r="J377" i="35"/>
  <c r="AE279" i="58"/>
  <c r="AE455" i="58"/>
  <c r="J465" i="35"/>
  <c r="T446" i="58"/>
  <c r="T494" i="58"/>
  <c r="T420" i="58"/>
  <c r="T492" i="58"/>
  <c r="T396" i="58"/>
  <c r="T468" i="58"/>
  <c r="AP255" i="58"/>
  <c r="T470" i="58"/>
  <c r="T454" i="58"/>
  <c r="T414" i="58"/>
  <c r="T452" i="58"/>
  <c r="U560" i="35"/>
  <c r="T326" i="58"/>
  <c r="T318" i="58"/>
  <c r="T460" i="58"/>
  <c r="T390" i="58"/>
  <c r="AR354" i="58"/>
  <c r="T462" i="58"/>
  <c r="AI408" i="58"/>
  <c r="AE383" i="58"/>
  <c r="T374" i="58"/>
  <c r="T436" i="58"/>
  <c r="T476" i="58"/>
  <c r="AE222" i="58"/>
  <c r="T284" i="58"/>
  <c r="T500" i="58"/>
  <c r="J203" i="35"/>
  <c r="T302" i="58"/>
  <c r="J549" i="35"/>
  <c r="AT453" i="58"/>
  <c r="AT469" i="58"/>
  <c r="AT285" i="58"/>
  <c r="AT517" i="58"/>
  <c r="AT421" i="58"/>
  <c r="AI434" i="58"/>
  <c r="AI516" i="58"/>
  <c r="AI241" i="58"/>
  <c r="T518" i="58"/>
  <c r="T430" i="58"/>
  <c r="T412" i="58"/>
  <c r="T276" i="58"/>
  <c r="P328" i="58"/>
  <c r="T340" i="58"/>
  <c r="T502" i="58"/>
  <c r="T382" i="58"/>
  <c r="AE173" i="58"/>
  <c r="T372" i="58"/>
  <c r="T324" i="58"/>
  <c r="T486" i="58"/>
  <c r="V260" i="58"/>
  <c r="J212" i="35"/>
  <c r="AE393" i="58"/>
  <c r="AC385" i="58"/>
  <c r="O206" i="35"/>
  <c r="AP439" i="58"/>
  <c r="AI338" i="58"/>
  <c r="V253" i="58"/>
  <c r="AI334" i="58"/>
  <c r="R331" i="58"/>
  <c r="P416" i="58"/>
  <c r="V186" i="58"/>
  <c r="P488" i="58"/>
  <c r="AE242" i="58"/>
  <c r="O478" i="35"/>
  <c r="AI231" i="58"/>
  <c r="AI172" i="58"/>
  <c r="T36" i="35"/>
  <c r="V276" i="58"/>
  <c r="R499" i="58"/>
  <c r="AI482" i="58"/>
  <c r="AI410" i="58"/>
  <c r="AI386" i="58"/>
  <c r="AE413" i="58"/>
  <c r="AE509" i="58"/>
  <c r="V263" i="58"/>
  <c r="V195" i="58"/>
  <c r="AI486" i="58"/>
  <c r="AE361" i="58"/>
  <c r="AE497" i="58"/>
  <c r="AI344" i="58"/>
  <c r="AI270" i="58"/>
  <c r="AG233" i="58"/>
  <c r="P520" i="58"/>
  <c r="V245" i="58"/>
  <c r="P496" i="58"/>
  <c r="AE212" i="58"/>
  <c r="AV389" i="58"/>
  <c r="U128" i="35"/>
  <c r="AE193" i="58"/>
  <c r="V215" i="58"/>
  <c r="AP211" i="58"/>
  <c r="AC174" i="58"/>
  <c r="T294" i="58"/>
  <c r="AP277" i="58"/>
  <c r="J285" i="35"/>
  <c r="AI418" i="58"/>
  <c r="AI346" i="58"/>
  <c r="AE373" i="58"/>
  <c r="V244" i="58"/>
  <c r="AI358" i="58"/>
  <c r="T212" i="35"/>
  <c r="AI496" i="58"/>
  <c r="T354" i="58"/>
  <c r="P288" i="58"/>
  <c r="V235" i="58"/>
  <c r="P400" i="58"/>
  <c r="AE261" i="58"/>
  <c r="AV493" i="58"/>
  <c r="AI304" i="58"/>
  <c r="T46" i="35"/>
  <c r="J202" i="35"/>
  <c r="J122" i="35"/>
  <c r="AE251" i="58"/>
  <c r="V172" i="58"/>
  <c r="R371" i="58"/>
  <c r="AI466" i="58"/>
  <c r="AI474" i="58"/>
  <c r="AE309" i="58"/>
  <c r="AE341" i="58"/>
  <c r="V234" i="58"/>
  <c r="V224" i="58"/>
  <c r="AI250" i="58"/>
  <c r="AC449" i="58"/>
  <c r="P376" i="58"/>
  <c r="P344" i="58"/>
  <c r="V264" i="58"/>
  <c r="V176" i="58"/>
  <c r="P304" i="58"/>
  <c r="O376" i="35"/>
  <c r="AE357" i="58"/>
  <c r="J286" i="35"/>
  <c r="O117" i="35"/>
  <c r="U117" i="35" s="1"/>
  <c r="O466" i="35"/>
  <c r="T552" i="35"/>
  <c r="AR453" i="58"/>
  <c r="AE183" i="58"/>
  <c r="V254" i="58"/>
  <c r="AI260" i="58"/>
  <c r="V221" i="58"/>
  <c r="V185" i="58"/>
  <c r="U121" i="35"/>
  <c r="AP489" i="58"/>
  <c r="U293" i="35"/>
  <c r="U467" i="35"/>
  <c r="U393" i="35"/>
  <c r="O217" i="35"/>
  <c r="U133" i="35"/>
  <c r="AR409" i="58"/>
  <c r="T557" i="35"/>
  <c r="R265" i="58"/>
  <c r="R187" i="58"/>
  <c r="R177" i="58"/>
  <c r="R226" i="58"/>
  <c r="R255" i="58"/>
  <c r="R197" i="58"/>
  <c r="AE245" i="58"/>
  <c r="AE254" i="58"/>
  <c r="AE264" i="58"/>
  <c r="AE215" i="58"/>
  <c r="AE274" i="58"/>
  <c r="AE196" i="58"/>
  <c r="AE225" i="58"/>
  <c r="AC215" i="58"/>
  <c r="AC245" i="58"/>
  <c r="AC196" i="58"/>
  <c r="AC274" i="58"/>
  <c r="AP271" i="58"/>
  <c r="AP261" i="58"/>
  <c r="AP173" i="58"/>
  <c r="P174" i="58"/>
  <c r="P223" i="58"/>
  <c r="AI476" i="58"/>
  <c r="AI470" i="58"/>
  <c r="AI406" i="58"/>
  <c r="AI454" i="58"/>
  <c r="AI430" i="58"/>
  <c r="AI518" i="58"/>
  <c r="AI460" i="58"/>
  <c r="AI316" i="58"/>
  <c r="AI310" i="58"/>
  <c r="AI294" i="58"/>
  <c r="AI412" i="58"/>
  <c r="AI372" i="58"/>
  <c r="AI292" i="58"/>
  <c r="AI398" i="58"/>
  <c r="AI468" i="58"/>
  <c r="V295" i="58"/>
  <c r="V375" i="58"/>
  <c r="V414" i="58"/>
  <c r="V302" i="58"/>
  <c r="V326" i="58"/>
  <c r="V380" i="58"/>
  <c r="V502" i="58"/>
  <c r="V430" i="58"/>
  <c r="V462" i="58"/>
  <c r="V510" i="58"/>
  <c r="V460" i="58"/>
  <c r="V518" i="58"/>
  <c r="AP428" i="58"/>
  <c r="AP446" i="58"/>
  <c r="AP486" i="58"/>
  <c r="AP396" i="58"/>
  <c r="AP510" i="58"/>
  <c r="AP478" i="58"/>
  <c r="AP414" i="58"/>
  <c r="AP318" i="58"/>
  <c r="AP404" i="58"/>
  <c r="AP390" i="58"/>
  <c r="AP342" i="58"/>
  <c r="AP500" i="58"/>
  <c r="AP278" i="58"/>
  <c r="AP294" i="58"/>
  <c r="AP340" i="58"/>
  <c r="AP436" i="58"/>
  <c r="AP516" i="58"/>
  <c r="AP326" i="58"/>
  <c r="AP388" i="58"/>
  <c r="AP492" i="58"/>
  <c r="AP308" i="58"/>
  <c r="AP468" i="58"/>
  <c r="AP316" i="58"/>
  <c r="AP406" i="58"/>
  <c r="AP470" i="58"/>
  <c r="AP284" i="58"/>
  <c r="AP292" i="58"/>
  <c r="AP366" i="58"/>
  <c r="AP380" i="58"/>
  <c r="AP502" i="58"/>
  <c r="AG343" i="58"/>
  <c r="AG367" i="58"/>
  <c r="AG383" i="58"/>
  <c r="V388" i="58"/>
  <c r="AP460" i="58"/>
  <c r="AP438" i="58"/>
  <c r="AP412" i="58"/>
  <c r="AP348" i="58"/>
  <c r="AP302" i="58"/>
  <c r="AP430" i="58"/>
  <c r="AI342" i="58"/>
  <c r="AI366" i="58"/>
  <c r="AI452" i="58"/>
  <c r="AP518" i="58"/>
  <c r="AR353" i="58"/>
  <c r="R246" i="58"/>
  <c r="AC235" i="58"/>
  <c r="AC176" i="58"/>
  <c r="AC448" i="58"/>
  <c r="AC312" i="58"/>
  <c r="Q382" i="35"/>
  <c r="AR367" i="58" s="1"/>
  <c r="T383" i="35"/>
  <c r="AP463" i="58"/>
  <c r="AP391" i="58"/>
  <c r="AP383" i="58"/>
  <c r="AP508" i="58"/>
  <c r="V351" i="58"/>
  <c r="R275" i="58"/>
  <c r="T374" i="35"/>
  <c r="T558" i="35"/>
  <c r="V348" i="58"/>
  <c r="AP310" i="58"/>
  <c r="AP398" i="58"/>
  <c r="AP364" i="58"/>
  <c r="AP350" i="58"/>
  <c r="AP372" i="58"/>
  <c r="AP324" i="58"/>
  <c r="AP242" i="58"/>
  <c r="O218" i="35"/>
  <c r="AI326" i="58"/>
  <c r="AI508" i="58"/>
  <c r="AI380" i="58"/>
  <c r="AI500" i="58"/>
  <c r="AP457" i="58"/>
  <c r="R236" i="58"/>
  <c r="J125" i="35"/>
  <c r="J199" i="35"/>
  <c r="P195" i="58"/>
  <c r="N636" i="35"/>
  <c r="AI283" i="58" s="1"/>
  <c r="O637" i="35"/>
  <c r="V307" i="58"/>
  <c r="V467" i="58"/>
  <c r="U200" i="35"/>
  <c r="AV533" i="58"/>
  <c r="T373" i="35"/>
  <c r="AC212" i="58"/>
  <c r="T316" i="58"/>
  <c r="T348" i="58"/>
  <c r="T332" i="58"/>
  <c r="T278" i="58"/>
  <c r="T478" i="58"/>
  <c r="V216" i="58"/>
  <c r="T350" i="58"/>
  <c r="T310" i="58"/>
  <c r="T364" i="58"/>
  <c r="T356" i="58"/>
  <c r="AC249" i="58"/>
  <c r="T516" i="58"/>
  <c r="T34" i="35"/>
  <c r="R235" i="58"/>
  <c r="AP517" i="58"/>
  <c r="AP461" i="58"/>
  <c r="T301" i="35"/>
  <c r="U301" i="35" s="1"/>
  <c r="AP409" i="58"/>
  <c r="AP426" i="58"/>
  <c r="AT377" i="58"/>
  <c r="AI376" i="58"/>
  <c r="AI404" i="58"/>
  <c r="O291" i="35"/>
  <c r="O303" i="35"/>
  <c r="U650" i="35"/>
  <c r="T45" i="35"/>
  <c r="T438" i="58"/>
  <c r="T292" i="58"/>
  <c r="T457" i="58"/>
  <c r="AI504" i="58"/>
  <c r="V422" i="58"/>
  <c r="J462" i="35"/>
  <c r="AI234" i="58"/>
  <c r="AI263" i="58"/>
  <c r="Q468" i="35"/>
  <c r="AR408" i="58" s="1"/>
  <c r="T469" i="35"/>
  <c r="AC292" i="58"/>
  <c r="AC374" i="58"/>
  <c r="AC284" i="58"/>
  <c r="AC404" i="58"/>
  <c r="AC326" i="58"/>
  <c r="AC516" i="58"/>
  <c r="AC430" i="58"/>
  <c r="AC406" i="58"/>
  <c r="AC308" i="58"/>
  <c r="AC510" i="58"/>
  <c r="AC468" i="58"/>
  <c r="AC398" i="58"/>
  <c r="AC302" i="58"/>
  <c r="AC318" i="58"/>
  <c r="AC334" i="58"/>
  <c r="AC486" i="58"/>
  <c r="AC462" i="58"/>
  <c r="AC420" i="58"/>
  <c r="AC478" i="58"/>
  <c r="AC508" i="58"/>
  <c r="AC350" i="58"/>
  <c r="AC340" i="58"/>
  <c r="AC494" i="58"/>
  <c r="AC452" i="58"/>
  <c r="AC382" i="58"/>
  <c r="AC414" i="58"/>
  <c r="AC324" i="58"/>
  <c r="AC278" i="58"/>
  <c r="AP483" i="58"/>
  <c r="AP283" i="58"/>
  <c r="AP523" i="58"/>
  <c r="AP467" i="58"/>
  <c r="AP339" i="58"/>
  <c r="AP435" i="58"/>
  <c r="AP315" i="58"/>
  <c r="AP363" i="58"/>
  <c r="AP387" i="58"/>
  <c r="AP475" i="58"/>
  <c r="AP331" i="58"/>
  <c r="AP459" i="58"/>
  <c r="AP507" i="58"/>
  <c r="AP291" i="58"/>
  <c r="AP443" i="58"/>
  <c r="AP307" i="58"/>
  <c r="V519" i="58"/>
  <c r="V407" i="58"/>
  <c r="V463" i="58"/>
  <c r="V327" i="58"/>
  <c r="V367" i="58"/>
  <c r="V319" i="58"/>
  <c r="V471" i="58"/>
  <c r="V423" i="58"/>
  <c r="V287" i="58"/>
  <c r="V495" i="58"/>
  <c r="AE486" i="58"/>
  <c r="AE484" i="58"/>
  <c r="AV349" i="58"/>
  <c r="AV333" i="58"/>
  <c r="AV301" i="58"/>
  <c r="AV397" i="58"/>
  <c r="AV293" i="58"/>
  <c r="AV373" i="58"/>
  <c r="AV509" i="58"/>
  <c r="AV429" i="58"/>
  <c r="V418" i="58"/>
  <c r="V298" i="58"/>
  <c r="T472" i="35"/>
  <c r="R475" i="58"/>
  <c r="AI362" i="58"/>
  <c r="AI442" i="58"/>
  <c r="AI314" i="58"/>
  <c r="AI282" i="58"/>
  <c r="AI522" i="58"/>
  <c r="AI498" i="58"/>
  <c r="AI490" i="58"/>
  <c r="AI388" i="58"/>
  <c r="AI348" i="58"/>
  <c r="AI444" i="58"/>
  <c r="AI276" i="58"/>
  <c r="AI446" i="58"/>
  <c r="AI478" i="58"/>
  <c r="AI436" i="58"/>
  <c r="AI356" i="58"/>
  <c r="AI428" i="58"/>
  <c r="AI300" i="58"/>
  <c r="AI364" i="58"/>
  <c r="AI308" i="58"/>
  <c r="AI484" i="58"/>
  <c r="AI332" i="58"/>
  <c r="AI456" i="58"/>
  <c r="AI440" i="58"/>
  <c r="AP498" i="58"/>
  <c r="AP329" i="58"/>
  <c r="AP419" i="58"/>
  <c r="AC413" i="58"/>
  <c r="T649" i="35"/>
  <c r="AP427" i="58"/>
  <c r="V335" i="58"/>
  <c r="V455" i="58"/>
  <c r="AV413" i="58"/>
  <c r="AV405" i="58"/>
  <c r="T637" i="35"/>
  <c r="AI464" i="58"/>
  <c r="AC428" i="58"/>
  <c r="AC444" i="58"/>
  <c r="AC294" i="58"/>
  <c r="AC342" i="58"/>
  <c r="AC422" i="58"/>
  <c r="AC470" i="58"/>
  <c r="O122" i="35"/>
  <c r="V370" i="58"/>
  <c r="AP323" i="58"/>
  <c r="AP347" i="58"/>
  <c r="AE422" i="58"/>
  <c r="AP515" i="58"/>
  <c r="AC364" i="58"/>
  <c r="AC388" i="58"/>
  <c r="R514" i="58"/>
  <c r="R362" i="58"/>
  <c r="R306" i="58"/>
  <c r="R434" i="58"/>
  <c r="O471" i="35"/>
  <c r="T206" i="35"/>
  <c r="AV175" i="58"/>
  <c r="AV195" i="58"/>
  <c r="AV244" i="58"/>
  <c r="AV249" i="58"/>
  <c r="AV181" i="58"/>
  <c r="AC285" i="58"/>
  <c r="AC405" i="58"/>
  <c r="AC349" i="58"/>
  <c r="AC373" i="58"/>
  <c r="AC493" i="58"/>
  <c r="AC477" i="58"/>
  <c r="AC317" i="58"/>
  <c r="AC501" i="58"/>
  <c r="AC445" i="58"/>
  <c r="AC517" i="58"/>
  <c r="AC325" i="58"/>
  <c r="AC437" i="58"/>
  <c r="AC429" i="58"/>
  <c r="AC341" i="58"/>
  <c r="AC365" i="58"/>
  <c r="AC381" i="58"/>
  <c r="I39" i="35"/>
  <c r="V437" i="58" s="1"/>
  <c r="J40" i="35"/>
  <c r="AP377" i="58"/>
  <c r="AP353" i="58"/>
  <c r="AP425" i="58"/>
  <c r="AP521" i="58"/>
  <c r="AP393" i="58"/>
  <c r="I214" i="35"/>
  <c r="J214" i="35" s="1"/>
  <c r="J215" i="35"/>
  <c r="U215" i="35" s="1"/>
  <c r="O563" i="35"/>
  <c r="T631" i="35"/>
  <c r="R483" i="58"/>
  <c r="AI402" i="58"/>
  <c r="AI306" i="58"/>
  <c r="AI458" i="58"/>
  <c r="AI322" i="58"/>
  <c r="AI514" i="58"/>
  <c r="AI378" i="58"/>
  <c r="AI290" i="58"/>
  <c r="O643" i="35"/>
  <c r="AI422" i="58"/>
  <c r="AI318" i="58"/>
  <c r="AI374" i="58"/>
  <c r="AI284" i="58"/>
  <c r="AI324" i="58"/>
  <c r="AI492" i="58"/>
  <c r="AI396" i="58"/>
  <c r="AI414" i="58"/>
  <c r="AI502" i="58"/>
  <c r="AI278" i="58"/>
  <c r="AI390" i="58"/>
  <c r="AI302" i="58"/>
  <c r="AI510" i="58"/>
  <c r="AI400" i="58"/>
  <c r="AI296" i="58"/>
  <c r="AI340" i="58"/>
  <c r="AP361" i="58"/>
  <c r="O472" i="35"/>
  <c r="AI185" i="58"/>
  <c r="V383" i="58"/>
  <c r="V415" i="58"/>
  <c r="AC397" i="58"/>
  <c r="AP403" i="58"/>
  <c r="V399" i="58"/>
  <c r="V487" i="58"/>
  <c r="T321" i="58"/>
  <c r="P437" i="58"/>
  <c r="P365" i="58"/>
  <c r="P397" i="58"/>
  <c r="AV381" i="58"/>
  <c r="AC453" i="58"/>
  <c r="O292" i="35"/>
  <c r="AC310" i="58"/>
  <c r="AC300" i="58"/>
  <c r="AC492" i="58"/>
  <c r="AC436" i="58"/>
  <c r="AC500" i="58"/>
  <c r="AC316" i="58"/>
  <c r="AC389" i="58"/>
  <c r="V394" i="58"/>
  <c r="AP395" i="58"/>
  <c r="AP379" i="58"/>
  <c r="AE412" i="58"/>
  <c r="AP355" i="58"/>
  <c r="AI472" i="58"/>
  <c r="O392" i="35"/>
  <c r="AV437" i="58"/>
  <c r="AI368" i="58"/>
  <c r="AC380" i="58"/>
  <c r="AC309" i="58"/>
  <c r="O564" i="35"/>
  <c r="AC438" i="58"/>
  <c r="AC396" i="58"/>
  <c r="AC412" i="58"/>
  <c r="AC356" i="58"/>
  <c r="AC390" i="58"/>
  <c r="AC372" i="58"/>
  <c r="O116" i="35"/>
  <c r="AE260" i="58"/>
  <c r="AC366" i="58"/>
  <c r="AP499" i="58"/>
  <c r="P244" i="58"/>
  <c r="P175" i="58"/>
  <c r="O46" i="35"/>
  <c r="O391" i="35"/>
  <c r="T648" i="35"/>
  <c r="P535" i="58"/>
  <c r="AT536" i="58"/>
  <c r="AI360" i="58"/>
  <c r="AR413" i="58"/>
  <c r="AR493" i="58"/>
  <c r="AI480" i="58"/>
  <c r="AI221" i="58"/>
  <c r="V241" i="58"/>
  <c r="AV532" i="58"/>
  <c r="T510" i="58"/>
  <c r="V225" i="58"/>
  <c r="AC262" i="58"/>
  <c r="V211" i="58"/>
  <c r="AC213" i="58"/>
  <c r="V273" i="58"/>
  <c r="AC230" i="58"/>
  <c r="AI532" i="58"/>
  <c r="V342" i="58"/>
  <c r="U129" i="35"/>
  <c r="AR277" i="58"/>
  <c r="AR297" i="58"/>
  <c r="V231" i="58"/>
  <c r="AC171" i="58"/>
  <c r="AC194" i="58"/>
  <c r="AE271" i="58"/>
  <c r="AC272" i="58"/>
  <c r="AC184" i="58"/>
  <c r="AC261" i="58"/>
  <c r="T208" i="35"/>
  <c r="J217" i="35"/>
  <c r="T564" i="35"/>
  <c r="U219" i="35"/>
  <c r="U550" i="35"/>
  <c r="AI384" i="58"/>
  <c r="V343" i="58"/>
  <c r="V503" i="58"/>
  <c r="V439" i="58"/>
  <c r="V279" i="58"/>
  <c r="V311" i="58"/>
  <c r="V479" i="58"/>
  <c r="V447" i="58"/>
  <c r="V390" i="58"/>
  <c r="V428" i="58"/>
  <c r="V484" i="58"/>
  <c r="V516" i="58"/>
  <c r="V470" i="58"/>
  <c r="V356" i="58"/>
  <c r="V492" i="58"/>
  <c r="V446" i="58"/>
  <c r="V278" i="58"/>
  <c r="V382" i="58"/>
  <c r="V454" i="58"/>
  <c r="V438" i="58"/>
  <c r="V396" i="58"/>
  <c r="V500" i="58"/>
  <c r="V332" i="58"/>
  <c r="V404" i="58"/>
  <c r="V350" i="58"/>
  <c r="V300" i="58"/>
  <c r="V420" i="58"/>
  <c r="V324" i="58"/>
  <c r="K379" i="35"/>
  <c r="O380" i="35"/>
  <c r="AP356" i="58"/>
  <c r="AP358" i="58"/>
  <c r="AP444" i="58"/>
  <c r="M297" i="35"/>
  <c r="AG490" i="58" s="1"/>
  <c r="O298" i="35"/>
  <c r="AG351" i="58"/>
  <c r="AG295" i="58"/>
  <c r="AG463" i="58"/>
  <c r="AG455" i="58"/>
  <c r="AG487" i="58"/>
  <c r="AG415" i="58"/>
  <c r="AG335" i="58"/>
  <c r="AG287" i="58"/>
  <c r="AG359" i="58"/>
  <c r="AG303" i="58"/>
  <c r="AG479" i="58"/>
  <c r="AG431" i="58"/>
  <c r="AG471" i="58"/>
  <c r="AG407" i="58"/>
  <c r="AG503" i="58"/>
  <c r="AG311" i="58"/>
  <c r="AG439" i="58"/>
  <c r="AG423" i="58"/>
  <c r="AG399" i="58"/>
  <c r="AG391" i="58"/>
  <c r="AG447" i="58"/>
  <c r="AG519" i="58"/>
  <c r="AG511" i="58"/>
  <c r="AG327" i="58"/>
  <c r="S645" i="35"/>
  <c r="T645" i="35" s="1"/>
  <c r="T646" i="35"/>
  <c r="U646" i="35" s="1"/>
  <c r="H477" i="35"/>
  <c r="J478" i="35"/>
  <c r="F391" i="35"/>
  <c r="J391" i="35" s="1"/>
  <c r="J392" i="35"/>
  <c r="K131" i="35"/>
  <c r="O132" i="35"/>
  <c r="Q303" i="35"/>
  <c r="T303" i="35" s="1"/>
  <c r="T304" i="35"/>
  <c r="AC384" i="58"/>
  <c r="V444" i="58"/>
  <c r="V398" i="58"/>
  <c r="AP382" i="58"/>
  <c r="AG495" i="58"/>
  <c r="V374" i="58"/>
  <c r="T132" i="35"/>
  <c r="V362" i="58"/>
  <c r="V506" i="58"/>
  <c r="V402" i="58"/>
  <c r="V490" i="58"/>
  <c r="V466" i="58"/>
  <c r="V378" i="58"/>
  <c r="V346" i="58"/>
  <c r="V330" i="58"/>
  <c r="V514" i="58"/>
  <c r="V386" i="58"/>
  <c r="V426" i="58"/>
  <c r="V314" i="58"/>
  <c r="V290" i="58"/>
  <c r="V522" i="58"/>
  <c r="V434" i="58"/>
  <c r="V498" i="58"/>
  <c r="V338" i="58"/>
  <c r="V410" i="58"/>
  <c r="V322" i="58"/>
  <c r="V306" i="58"/>
  <c r="V458" i="58"/>
  <c r="V442" i="58"/>
  <c r="V450" i="58"/>
  <c r="AC432" i="58"/>
  <c r="V366" i="58"/>
  <c r="AG375" i="58"/>
  <c r="V535" i="58"/>
  <c r="AI174" i="58"/>
  <c r="AI272" i="58"/>
  <c r="O462" i="35"/>
  <c r="Q288" i="35"/>
  <c r="AR215" i="58" s="1"/>
  <c r="T289" i="35"/>
  <c r="P250" i="58"/>
  <c r="P260" i="58"/>
  <c r="P211" i="58"/>
  <c r="K545" i="35"/>
  <c r="O545" i="35" s="1"/>
  <c r="O546" i="35"/>
  <c r="M468" i="35"/>
  <c r="AG472" i="58" s="1"/>
  <c r="O469" i="35"/>
  <c r="AP465" i="58"/>
  <c r="AP385" i="58"/>
  <c r="AP497" i="58"/>
  <c r="AP369" i="58"/>
  <c r="AP481" i="58"/>
  <c r="AP441" i="58"/>
  <c r="AP337" i="58"/>
  <c r="I551" i="35"/>
  <c r="J551" i="35" s="1"/>
  <c r="J552" i="35"/>
  <c r="AV453" i="58"/>
  <c r="AV469" i="58"/>
  <c r="AV485" i="58"/>
  <c r="AV445" i="58"/>
  <c r="AV317" i="58"/>
  <c r="AV461" i="58"/>
  <c r="AV421" i="58"/>
  <c r="AV325" i="58"/>
  <c r="AT297" i="58"/>
  <c r="AT305" i="58"/>
  <c r="AT473" i="58"/>
  <c r="AT449" i="58"/>
  <c r="AT513" i="58"/>
  <c r="AT497" i="58"/>
  <c r="AT353" i="58"/>
  <c r="AT361" i="58"/>
  <c r="AT385" i="58"/>
  <c r="T205" i="35"/>
  <c r="M39" i="35"/>
  <c r="AG277" i="58" s="1"/>
  <c r="O40" i="35"/>
  <c r="AI520" i="58"/>
  <c r="AI336" i="58"/>
  <c r="AI320" i="58"/>
  <c r="AI448" i="58"/>
  <c r="AI352" i="58"/>
  <c r="AI432" i="58"/>
  <c r="AI280" i="58"/>
  <c r="AI488" i="58"/>
  <c r="AI424" i="58"/>
  <c r="AI328" i="58"/>
  <c r="AI494" i="58"/>
  <c r="AI382" i="58"/>
  <c r="AI462" i="58"/>
  <c r="AI420" i="58"/>
  <c r="N211" i="35"/>
  <c r="AI473" i="58" s="1"/>
  <c r="O212" i="35"/>
  <c r="V372" i="58"/>
  <c r="V308" i="58"/>
  <c r="V476" i="58"/>
  <c r="V412" i="58"/>
  <c r="V508" i="58"/>
  <c r="V468" i="58"/>
  <c r="J126" i="35"/>
  <c r="AG319" i="58"/>
  <c r="V282" i="58"/>
  <c r="AI223" i="58"/>
  <c r="AG279" i="58"/>
  <c r="AV225" i="58"/>
  <c r="AV176" i="58"/>
  <c r="AV254" i="58"/>
  <c r="U644" i="35"/>
  <c r="U127" i="35"/>
  <c r="J466" i="35"/>
  <c r="T131" i="35"/>
  <c r="AI224" i="58"/>
  <c r="AC233" i="58"/>
  <c r="O630" i="35"/>
  <c r="U464" i="35"/>
  <c r="O477" i="35"/>
  <c r="AI350" i="58"/>
  <c r="AV309" i="58"/>
  <c r="O648" i="35"/>
  <c r="U565" i="35"/>
  <c r="U47" i="35"/>
  <c r="Q563" i="35"/>
  <c r="T563" i="35" s="1"/>
  <c r="T477" i="35"/>
  <c r="O649" i="35"/>
  <c r="J132" i="35"/>
  <c r="J648" i="35"/>
  <c r="T218" i="35"/>
  <c r="T478" i="35"/>
  <c r="J218" i="35"/>
  <c r="J131" i="35"/>
  <c r="J649" i="35"/>
  <c r="BB49" i="17"/>
  <c r="O304" i="35"/>
  <c r="BA49" i="17"/>
  <c r="BF49" i="17"/>
  <c r="BJ46" i="17"/>
  <c r="BJ47" i="17"/>
  <c r="BI49" i="17"/>
  <c r="AG535" i="58"/>
  <c r="BJ48" i="17"/>
  <c r="U43" i="35"/>
  <c r="V486" i="58"/>
  <c r="AP349" i="58"/>
  <c r="AR474" i="58"/>
  <c r="AE369" i="58"/>
  <c r="O208" i="35"/>
  <c r="T298" i="35"/>
  <c r="U553" i="35"/>
  <c r="T385" i="35"/>
  <c r="U299" i="35"/>
  <c r="U638" i="35"/>
  <c r="O125" i="35"/>
  <c r="R119" i="35"/>
  <c r="AT438" i="58" s="1"/>
  <c r="T120" i="35"/>
  <c r="Q642" i="35"/>
  <c r="T642" i="35" s="1"/>
  <c r="T643" i="35"/>
  <c r="R639" i="35"/>
  <c r="AT331" i="58" s="1"/>
  <c r="T640" i="35"/>
  <c r="AV352" i="58"/>
  <c r="AV464" i="58"/>
  <c r="AV488" i="58"/>
  <c r="AV456" i="58"/>
  <c r="AV288" i="58"/>
  <c r="AV368" i="58"/>
  <c r="AV512" i="58"/>
  <c r="V403" i="58"/>
  <c r="V459" i="58"/>
  <c r="V379" i="58"/>
  <c r="V483" i="58"/>
  <c r="V299" i="58"/>
  <c r="V283" i="58"/>
  <c r="V363" i="58"/>
  <c r="V355" i="58"/>
  <c r="J639" i="35"/>
  <c r="H636" i="35"/>
  <c r="J636" i="35" s="1"/>
  <c r="J637" i="35"/>
  <c r="M551" i="35"/>
  <c r="AG281" i="58" s="1"/>
  <c r="O552" i="35"/>
  <c r="F554" i="35"/>
  <c r="J555" i="35"/>
  <c r="J557" i="35"/>
  <c r="T385" i="58"/>
  <c r="T441" i="58"/>
  <c r="T513" i="58"/>
  <c r="T361" i="58"/>
  <c r="T425" i="58"/>
  <c r="T497" i="58"/>
  <c r="T369" i="58"/>
  <c r="T473" i="58"/>
  <c r="T393" i="58"/>
  <c r="T449" i="58"/>
  <c r="T289" i="58"/>
  <c r="T377" i="58"/>
  <c r="T417" i="58"/>
  <c r="T281" i="58"/>
  <c r="T433" i="58"/>
  <c r="H33" i="35"/>
  <c r="T405" i="58" s="1"/>
  <c r="J34" i="35"/>
  <c r="F385" i="35"/>
  <c r="J385" i="35" s="1"/>
  <c r="J386" i="35"/>
  <c r="S554" i="35"/>
  <c r="AV505" i="58" s="1"/>
  <c r="T555" i="35"/>
  <c r="R467" i="58"/>
  <c r="R307" i="58"/>
  <c r="R523" i="58"/>
  <c r="R435" i="58"/>
  <c r="R323" i="58"/>
  <c r="R451" i="58"/>
  <c r="R387" i="58"/>
  <c r="R443" i="58"/>
  <c r="R507" i="58"/>
  <c r="R291" i="58"/>
  <c r="R403" i="58"/>
  <c r="R395" i="58"/>
  <c r="R355" i="58"/>
  <c r="R515" i="58"/>
  <c r="R339" i="58"/>
  <c r="U473" i="35"/>
  <c r="K639" i="35"/>
  <c r="AC331" i="58" s="1"/>
  <c r="O640" i="35"/>
  <c r="AP378" i="58"/>
  <c r="AP402" i="58"/>
  <c r="AP290" i="58"/>
  <c r="AP354" i="58"/>
  <c r="AP410" i="58"/>
  <c r="AP330" i="58"/>
  <c r="AP506" i="58"/>
  <c r="AP450" i="58"/>
  <c r="F205" i="35"/>
  <c r="J206" i="35"/>
  <c r="V419" i="58"/>
  <c r="V347" i="58"/>
  <c r="AP514" i="58"/>
  <c r="AP490" i="58"/>
  <c r="AP466" i="58"/>
  <c r="AE376" i="58"/>
  <c r="R315" i="58"/>
  <c r="R427" i="58"/>
  <c r="R411" i="58"/>
  <c r="R283" i="58"/>
  <c r="AE401" i="58"/>
  <c r="AE521" i="58"/>
  <c r="AE465" i="58"/>
  <c r="AE281" i="58"/>
  <c r="AE399" i="58"/>
  <c r="AE303" i="58"/>
  <c r="AE391" i="58"/>
  <c r="AP306" i="58"/>
  <c r="T353" i="58"/>
  <c r="T465" i="58"/>
  <c r="T305" i="58"/>
  <c r="AV360" i="58"/>
  <c r="K385" i="35"/>
  <c r="O386" i="35"/>
  <c r="O382" i="35"/>
  <c r="J558" i="35"/>
  <c r="AP362" i="58"/>
  <c r="R419" i="58"/>
  <c r="S297" i="35"/>
  <c r="AV402" i="58" s="1"/>
  <c r="T505" i="58"/>
  <c r="T401" i="58"/>
  <c r="T409" i="58"/>
  <c r="T345" i="58"/>
  <c r="T329" i="58"/>
  <c r="V371" i="58"/>
  <c r="O126" i="35"/>
  <c r="H379" i="35"/>
  <c r="J380" i="35"/>
  <c r="R291" i="35"/>
  <c r="T292" i="35"/>
  <c r="AE359" i="58"/>
  <c r="AE503" i="58"/>
  <c r="AE479" i="58"/>
  <c r="AE351" i="58"/>
  <c r="AE487" i="58"/>
  <c r="AE319" i="58"/>
  <c r="AE447" i="58"/>
  <c r="AE375" i="58"/>
  <c r="AE335" i="58"/>
  <c r="AE367" i="58"/>
  <c r="AE295" i="58"/>
  <c r="AE519" i="58"/>
  <c r="AE471" i="58"/>
  <c r="AE495" i="58"/>
  <c r="AE463" i="58"/>
  <c r="AE415" i="58"/>
  <c r="T294" i="35"/>
  <c r="AR506" i="58"/>
  <c r="AR418" i="58"/>
  <c r="AR306" i="58"/>
  <c r="AR450" i="58"/>
  <c r="AR522" i="58"/>
  <c r="AE353" i="58"/>
  <c r="AE505" i="58"/>
  <c r="AE297" i="58"/>
  <c r="AE481" i="58"/>
  <c r="AE513" i="58"/>
  <c r="AE473" i="58"/>
  <c r="AE417" i="58"/>
  <c r="AE329" i="58"/>
  <c r="AE457" i="58"/>
  <c r="AE377" i="58"/>
  <c r="AE409" i="58"/>
  <c r="AE433" i="58"/>
  <c r="AE345" i="58"/>
  <c r="AE305" i="58"/>
  <c r="AE425" i="58"/>
  <c r="AE449" i="58"/>
  <c r="V507" i="58"/>
  <c r="V395" i="58"/>
  <c r="AP386" i="58"/>
  <c r="AP346" i="58"/>
  <c r="R491" i="58"/>
  <c r="R347" i="58"/>
  <c r="AE289" i="58"/>
  <c r="AE385" i="58"/>
  <c r="AE321" i="58"/>
  <c r="AE343" i="58"/>
  <c r="AE423" i="58"/>
  <c r="AE327" i="58"/>
  <c r="V443" i="58"/>
  <c r="V323" i="58"/>
  <c r="O557" i="35"/>
  <c r="AP298" i="58"/>
  <c r="AP474" i="58"/>
  <c r="AP322" i="58"/>
  <c r="J640" i="35"/>
  <c r="R299" i="58"/>
  <c r="R459" i="58"/>
  <c r="R379" i="58"/>
  <c r="AE441" i="58"/>
  <c r="AE337" i="58"/>
  <c r="AE511" i="58"/>
  <c r="AE407" i="58"/>
  <c r="AE439" i="58"/>
  <c r="AE431" i="58"/>
  <c r="T466" i="35"/>
  <c r="T337" i="58"/>
  <c r="T521" i="58"/>
  <c r="AR433" i="58"/>
  <c r="AR394" i="58"/>
  <c r="AR298" i="58"/>
  <c r="AR402" i="58"/>
  <c r="AR322" i="58"/>
  <c r="AR514" i="58"/>
  <c r="AC297" i="58"/>
  <c r="AC353" i="58"/>
  <c r="AC369" i="58"/>
  <c r="R402" i="58"/>
  <c r="R450" i="58"/>
  <c r="AP343" i="58"/>
  <c r="AP431" i="58"/>
  <c r="AE334" i="58"/>
  <c r="AE478" i="58"/>
  <c r="AE444" i="58"/>
  <c r="AE348" i="58"/>
  <c r="AE340" i="58"/>
  <c r="AR397" i="58"/>
  <c r="AR501" i="58"/>
  <c r="AR405" i="58"/>
  <c r="AR445" i="58"/>
  <c r="AR357" i="58"/>
  <c r="AR325" i="58"/>
  <c r="AR301" i="58"/>
  <c r="AR373" i="58"/>
  <c r="AR381" i="58"/>
  <c r="AR461" i="58"/>
  <c r="T122" i="35"/>
  <c r="V431" i="58"/>
  <c r="U384" i="35"/>
  <c r="T40" i="35"/>
  <c r="V310" i="58"/>
  <c r="V286" i="58"/>
  <c r="V340" i="58"/>
  <c r="V334" i="58"/>
  <c r="V478" i="58"/>
  <c r="V494" i="58"/>
  <c r="V406" i="58"/>
  <c r="AV357" i="58"/>
  <c r="AP314" i="58"/>
  <c r="U213" i="35"/>
  <c r="V364" i="58"/>
  <c r="V452" i="58"/>
  <c r="V292" i="58"/>
  <c r="V436" i="58"/>
  <c r="V316" i="58"/>
  <c r="V358" i="58"/>
  <c r="AV341" i="58"/>
  <c r="AV277" i="58"/>
  <c r="U35" i="35"/>
  <c r="AP417" i="58"/>
  <c r="AE429" i="58"/>
  <c r="AE453" i="58"/>
  <c r="AE333" i="58"/>
  <c r="AE477" i="58"/>
  <c r="AE325" i="58"/>
  <c r="AE349" i="58"/>
  <c r="AC416" i="58"/>
  <c r="AC296" i="58"/>
  <c r="AC344" i="58"/>
  <c r="AR505" i="58"/>
  <c r="AR377" i="58"/>
  <c r="AC488" i="58"/>
  <c r="AR521" i="58"/>
  <c r="AR489" i="58"/>
  <c r="AR457" i="58"/>
  <c r="AE437" i="58"/>
  <c r="AE445" i="58"/>
  <c r="AC304" i="58"/>
  <c r="AC464" i="58"/>
  <c r="AC504" i="58"/>
  <c r="AR449" i="58"/>
  <c r="AC400" i="58"/>
  <c r="AR513" i="58"/>
  <c r="AR281" i="58"/>
  <c r="AE301" i="58"/>
  <c r="AR425" i="58"/>
  <c r="AE493" i="58"/>
  <c r="AE489" i="58"/>
  <c r="AE517" i="58"/>
  <c r="AE469" i="58"/>
  <c r="AE317" i="58"/>
  <c r="AE365" i="58"/>
  <c r="AE397" i="58"/>
  <c r="AE461" i="58"/>
  <c r="AE501" i="58"/>
  <c r="AE389" i="58"/>
  <c r="AE405" i="58"/>
  <c r="AE293" i="58"/>
  <c r="AE485" i="58"/>
  <c r="AC424" i="58"/>
  <c r="AC376" i="58"/>
  <c r="O465" i="35"/>
  <c r="AR385" i="58"/>
  <c r="AR305" i="58"/>
  <c r="AE421" i="58"/>
  <c r="U41" i="35"/>
  <c r="U381" i="35"/>
  <c r="V294" i="58"/>
  <c r="AI354" i="58"/>
  <c r="AP495" i="58"/>
  <c r="AC361" i="58"/>
  <c r="R498" i="58"/>
  <c r="AR378" i="58"/>
  <c r="AR442" i="58"/>
  <c r="AR458" i="58"/>
  <c r="AR498" i="58"/>
  <c r="AR362" i="58"/>
  <c r="AR482" i="58"/>
  <c r="AC481" i="58"/>
  <c r="R290" i="58"/>
  <c r="AT369" i="58"/>
  <c r="AT281" i="58"/>
  <c r="AT401" i="58"/>
  <c r="AT313" i="58"/>
  <c r="AT457" i="58"/>
  <c r="AT393" i="58"/>
  <c r="AT433" i="58"/>
  <c r="AT441" i="58"/>
  <c r="AT489" i="58"/>
  <c r="AT481" i="58"/>
  <c r="AT409" i="58"/>
  <c r="AT321" i="58"/>
  <c r="AT337" i="58"/>
  <c r="AT465" i="58"/>
  <c r="AT329" i="58"/>
  <c r="T489" i="58"/>
  <c r="T313" i="58"/>
  <c r="T297" i="58"/>
  <c r="AP487" i="58"/>
  <c r="AP519" i="58"/>
  <c r="AP351" i="58"/>
  <c r="AP359" i="58"/>
  <c r="AP511" i="58"/>
  <c r="AP311" i="58"/>
  <c r="AP447" i="58"/>
  <c r="AP303" i="58"/>
  <c r="AP455" i="58"/>
  <c r="R379" i="35"/>
  <c r="AT391" i="58" s="1"/>
  <c r="T380" i="35"/>
  <c r="AP415" i="58"/>
  <c r="AP399" i="58"/>
  <c r="AC337" i="58"/>
  <c r="R322" i="58"/>
  <c r="R442" i="58"/>
  <c r="AP367" i="58"/>
  <c r="AP335" i="58"/>
  <c r="AP407" i="58"/>
  <c r="AP503" i="58"/>
  <c r="AE392" i="58"/>
  <c r="AC513" i="58"/>
  <c r="R522" i="58"/>
  <c r="R338" i="58"/>
  <c r="R378" i="58"/>
  <c r="T386" i="35"/>
  <c r="AP471" i="58"/>
  <c r="J36" i="35"/>
  <c r="AC441" i="58"/>
  <c r="AP479" i="58"/>
  <c r="AT417" i="58"/>
  <c r="AC321" i="58"/>
  <c r="AC489" i="58"/>
  <c r="AC393" i="58"/>
  <c r="AC465" i="58"/>
  <c r="AC401" i="58"/>
  <c r="AC417" i="58"/>
  <c r="AC313" i="58"/>
  <c r="AC345" i="58"/>
  <c r="AC457" i="58"/>
  <c r="AC409" i="58"/>
  <c r="AC433" i="58"/>
  <c r="AC377" i="58"/>
  <c r="AC505" i="58"/>
  <c r="AC329" i="58"/>
  <c r="R330" i="58"/>
  <c r="R314" i="58"/>
  <c r="R482" i="58"/>
  <c r="R298" i="58"/>
  <c r="R506" i="58"/>
  <c r="R394" i="58"/>
  <c r="R490" i="58"/>
  <c r="R466" i="58"/>
  <c r="H382" i="35"/>
  <c r="J383" i="35"/>
  <c r="AP327" i="58"/>
  <c r="R458" i="58"/>
  <c r="R354" i="58"/>
  <c r="O558" i="35"/>
  <c r="AP319" i="58"/>
  <c r="AP423" i="58"/>
  <c r="AP279" i="58"/>
  <c r="AP375" i="58"/>
  <c r="AE296" i="58"/>
  <c r="J298" i="35"/>
  <c r="AC289" i="58"/>
  <c r="R386" i="58"/>
  <c r="R282" i="58"/>
  <c r="R370" i="58"/>
  <c r="R418" i="58"/>
  <c r="R346" i="58"/>
  <c r="U641" i="35"/>
  <c r="AP287" i="58"/>
  <c r="AC281" i="58"/>
  <c r="AC425" i="58"/>
  <c r="T481" i="58"/>
  <c r="AC497" i="58"/>
  <c r="AC521" i="58"/>
  <c r="R474" i="58"/>
  <c r="AT345" i="58"/>
  <c r="AR473" i="58"/>
  <c r="AR369" i="58"/>
  <c r="I468" i="35"/>
  <c r="V320" i="58" s="1"/>
  <c r="J469" i="35"/>
  <c r="V331" i="58"/>
  <c r="V411" i="58"/>
  <c r="V291" i="58"/>
  <c r="V387" i="58"/>
  <c r="V339" i="58"/>
  <c r="V451" i="58"/>
  <c r="V499" i="58"/>
  <c r="V435" i="58"/>
  <c r="V427" i="58"/>
  <c r="V315" i="58"/>
  <c r="V515" i="58"/>
  <c r="AP433" i="58"/>
  <c r="U387" i="35"/>
  <c r="AP453" i="58"/>
  <c r="AP501" i="58"/>
  <c r="AP341" i="58"/>
  <c r="AP293" i="58"/>
  <c r="AP373" i="58"/>
  <c r="AP397" i="58"/>
  <c r="AI426" i="58"/>
  <c r="AI506" i="58"/>
  <c r="AP473" i="58"/>
  <c r="AP321" i="58"/>
  <c r="AP289" i="58"/>
  <c r="AP313" i="58"/>
  <c r="AP305" i="58"/>
  <c r="AP505" i="58"/>
  <c r="O555" i="35"/>
  <c r="AP281" i="58"/>
  <c r="AP389" i="58"/>
  <c r="AR341" i="58"/>
  <c r="AP309" i="58"/>
  <c r="AP429" i="58"/>
  <c r="AP485" i="58"/>
  <c r="AP333" i="58"/>
  <c r="AP493" i="58"/>
  <c r="AP317" i="58"/>
  <c r="AP477" i="58"/>
  <c r="AP509" i="58"/>
  <c r="AT408" i="58"/>
  <c r="AI298" i="58"/>
  <c r="AP449" i="58"/>
  <c r="AP513" i="58"/>
  <c r="AP297" i="58"/>
  <c r="AP401" i="58"/>
  <c r="AP345" i="58"/>
  <c r="AP301" i="58"/>
  <c r="AP325" i="58"/>
  <c r="AP469" i="58"/>
  <c r="AP421" i="58"/>
  <c r="AP365" i="58"/>
  <c r="AP357" i="58"/>
  <c r="V318" i="58"/>
  <c r="AC305" i="58"/>
  <c r="AR317" i="58"/>
  <c r="AP285" i="58"/>
  <c r="BJ44" i="17"/>
  <c r="BG49" i="17"/>
  <c r="BH49" i="17"/>
  <c r="AP413" i="58"/>
  <c r="V482" i="58"/>
  <c r="V354" i="58"/>
  <c r="AP445" i="58"/>
  <c r="BF28" i="21"/>
  <c r="BF19" i="21" s="1"/>
  <c r="AZ49" i="17"/>
  <c r="BD49" i="17"/>
  <c r="P246" i="58"/>
  <c r="P216" i="58"/>
  <c r="P197" i="58"/>
  <c r="AI265" i="58"/>
  <c r="AI255" i="58"/>
  <c r="O374" i="35"/>
  <c r="AP232" i="58"/>
  <c r="AP212" i="58"/>
  <c r="T549" i="35"/>
  <c r="V265" i="58"/>
  <c r="V246" i="58"/>
  <c r="V187" i="58"/>
  <c r="P185" i="58"/>
  <c r="AC254" i="58"/>
  <c r="AC225" i="58"/>
  <c r="AP222" i="58"/>
  <c r="P253" i="58"/>
  <c r="O286" i="35"/>
  <c r="J634" i="35"/>
  <c r="O203" i="35"/>
  <c r="R215" i="58"/>
  <c r="AP172" i="58"/>
  <c r="R245" i="58"/>
  <c r="R216" i="58"/>
  <c r="R176" i="58"/>
  <c r="AR252" i="58"/>
  <c r="AP231" i="58"/>
  <c r="AR233" i="58"/>
  <c r="AC251" i="58"/>
  <c r="AC242" i="58"/>
  <c r="P262" i="58"/>
  <c r="AR174" i="58"/>
  <c r="AC243" i="58"/>
  <c r="AK243" i="58" s="1"/>
  <c r="P194" i="58"/>
  <c r="AC193" i="58"/>
  <c r="AE235" i="58"/>
  <c r="R225" i="58"/>
  <c r="AY49" i="17"/>
  <c r="AI236" i="58"/>
  <c r="AI216" i="58"/>
  <c r="AP251" i="58"/>
  <c r="AP183" i="58"/>
  <c r="T548" i="35"/>
  <c r="AV196" i="58"/>
  <c r="V236" i="58"/>
  <c r="P263" i="58"/>
  <c r="AC186" i="58"/>
  <c r="P214" i="58"/>
  <c r="R274" i="58"/>
  <c r="R264" i="58"/>
  <c r="R186" i="58"/>
  <c r="AI195" i="58"/>
  <c r="AI177" i="58"/>
  <c r="AP182" i="58"/>
  <c r="AR272" i="58"/>
  <c r="O549" i="35"/>
  <c r="AC222" i="58"/>
  <c r="AC232" i="58"/>
  <c r="AE176" i="58"/>
  <c r="P184" i="58"/>
  <c r="AC183" i="58"/>
  <c r="AE186" i="58"/>
  <c r="O285" i="35"/>
  <c r="P233" i="58"/>
  <c r="P252" i="58"/>
  <c r="AV253" i="58"/>
  <c r="AP197" i="58"/>
  <c r="AR243" i="58"/>
  <c r="AR223" i="58"/>
  <c r="AR262" i="58"/>
  <c r="P213" i="58"/>
  <c r="BE49" i="17"/>
  <c r="BJ42" i="17"/>
  <c r="AC236" i="58"/>
  <c r="AC177" i="58"/>
  <c r="AC255" i="58"/>
  <c r="AC265" i="58"/>
  <c r="AC216" i="58"/>
  <c r="AC275" i="58"/>
  <c r="AK275" i="58" s="1"/>
  <c r="AC246" i="58"/>
  <c r="AC187" i="58"/>
  <c r="O633" i="35"/>
  <c r="AC197" i="58"/>
  <c r="AC226" i="58"/>
  <c r="AP186" i="58"/>
  <c r="AP176" i="58"/>
  <c r="AP215" i="58"/>
  <c r="AP235" i="58"/>
  <c r="AP225" i="58"/>
  <c r="AP264" i="58"/>
  <c r="AE241" i="58"/>
  <c r="AI233" i="58"/>
  <c r="P187" i="58"/>
  <c r="P265" i="58"/>
  <c r="BJ43" i="17"/>
  <c r="AI214" i="58"/>
  <c r="AV171" i="58"/>
  <c r="V243" i="58"/>
  <c r="AI252" i="58"/>
  <c r="P234" i="58"/>
  <c r="AP246" i="58"/>
  <c r="AP177" i="58"/>
  <c r="AP230" i="58"/>
  <c r="P224" i="58"/>
  <c r="P192" i="58"/>
  <c r="AE270" i="58"/>
  <c r="AV224" i="58"/>
  <c r="AV263" i="58"/>
  <c r="AV234" i="58"/>
  <c r="O463" i="35"/>
  <c r="P221" i="58"/>
  <c r="AP196" i="58"/>
  <c r="AP254" i="58"/>
  <c r="P243" i="58"/>
  <c r="AC264" i="58"/>
  <c r="AV220" i="58"/>
  <c r="V233" i="58"/>
  <c r="AP226" i="58"/>
  <c r="AP187" i="58"/>
  <c r="P172" i="58"/>
  <c r="AE192" i="58"/>
  <c r="AE221" i="58"/>
  <c r="BC49" i="17"/>
  <c r="AV214" i="58"/>
  <c r="AV185" i="58"/>
  <c r="J546" i="35"/>
  <c r="V213" i="58"/>
  <c r="AE172" i="58"/>
  <c r="AV240" i="58"/>
  <c r="T286" i="35"/>
  <c r="AV259" i="58"/>
  <c r="AP245" i="58"/>
  <c r="O634" i="35"/>
  <c r="P272" i="58"/>
  <c r="P270" i="58"/>
  <c r="AE182" i="58"/>
  <c r="P177" i="58"/>
  <c r="P226" i="58"/>
  <c r="AV210" i="58"/>
  <c r="V262" i="58"/>
  <c r="T546" i="35"/>
  <c r="AI194" i="58"/>
  <c r="J114" i="35"/>
  <c r="P275" i="58"/>
  <c r="AI244" i="58"/>
  <c r="AV269" i="58"/>
  <c r="AV230" i="58"/>
  <c r="AX230" i="58" s="1"/>
  <c r="V252" i="58"/>
  <c r="V194" i="58"/>
  <c r="T285" i="35"/>
  <c r="P273" i="58"/>
  <c r="P231" i="58"/>
  <c r="AE211" i="58"/>
  <c r="AE250" i="58"/>
  <c r="AV273" i="58"/>
  <c r="T31" i="35"/>
  <c r="U31" i="35" s="1"/>
  <c r="P182" i="58"/>
  <c r="AV191" i="58"/>
  <c r="V223" i="58"/>
  <c r="J463" i="35"/>
  <c r="AI187" i="58"/>
  <c r="V182" i="58"/>
  <c r="V192" i="58"/>
  <c r="V270" i="58"/>
  <c r="J289" i="35"/>
  <c r="F288" i="35"/>
  <c r="AC271" i="58"/>
  <c r="H283" i="35"/>
  <c r="H282" i="35" s="1"/>
  <c r="H543" i="35"/>
  <c r="H542" i="35" s="1"/>
  <c r="T536" i="58" s="1"/>
  <c r="H457" i="35"/>
  <c r="H456" i="35" s="1"/>
  <c r="H111" i="35"/>
  <c r="H110" i="35" s="1"/>
  <c r="T533" i="58" s="1"/>
  <c r="U629" i="35"/>
  <c r="H628" i="35"/>
  <c r="H627" i="35" s="1"/>
  <c r="T538" i="58" s="1"/>
  <c r="H371" i="35"/>
  <c r="H370" i="35" s="1"/>
  <c r="T534" i="58" s="1"/>
  <c r="H25" i="35"/>
  <c r="H24" i="35" s="1"/>
  <c r="T532" i="58" s="1"/>
  <c r="U112" i="35"/>
  <c r="F197" i="35"/>
  <c r="F196" i="35" s="1"/>
  <c r="P536" i="58" s="1"/>
  <c r="I25" i="35"/>
  <c r="I24" i="35" s="1"/>
  <c r="F371" i="35"/>
  <c r="F370" i="35" s="1"/>
  <c r="F283" i="35"/>
  <c r="F282" i="35" s="1"/>
  <c r="P537" i="58" s="1"/>
  <c r="I111" i="35"/>
  <c r="I110" i="35" s="1"/>
  <c r="I543" i="35"/>
  <c r="I542" i="35" s="1"/>
  <c r="F111" i="35"/>
  <c r="F110" i="35" s="1"/>
  <c r="P533" i="58" s="1"/>
  <c r="I283" i="35"/>
  <c r="I282" i="35" s="1"/>
  <c r="V537" i="58" s="1"/>
  <c r="G543" i="35"/>
  <c r="G542" i="35" s="1"/>
  <c r="R536" i="58" s="1"/>
  <c r="AX28" i="21"/>
  <c r="AX19" i="21" s="1"/>
  <c r="I371" i="35"/>
  <c r="I370" i="35" s="1"/>
  <c r="I628" i="35"/>
  <c r="I627" i="35" s="1"/>
  <c r="V538" i="58" s="1"/>
  <c r="F628" i="35"/>
  <c r="F627" i="35" s="1"/>
  <c r="P538" i="58" s="1"/>
  <c r="U544" i="35"/>
  <c r="U26" i="35"/>
  <c r="U372" i="35"/>
  <c r="U458" i="35"/>
  <c r="U198" i="35"/>
  <c r="L25" i="35"/>
  <c r="L24" i="35" s="1"/>
  <c r="AE532" i="58" s="1"/>
  <c r="BC28" i="21"/>
  <c r="BC19" i="21" s="1"/>
  <c r="AY28" i="21"/>
  <c r="AY19" i="21" s="1"/>
  <c r="BD28" i="21"/>
  <c r="BD19" i="21" s="1"/>
  <c r="AZ28" i="21"/>
  <c r="AZ19" i="21" s="1"/>
  <c r="BB28" i="21"/>
  <c r="BB19" i="21" s="1"/>
  <c r="P283" i="35"/>
  <c r="P282" i="35" s="1"/>
  <c r="N628" i="35"/>
  <c r="N627" i="35" s="1"/>
  <c r="N371" i="35"/>
  <c r="N370" i="35" s="1"/>
  <c r="N111" i="35"/>
  <c r="N110" i="35" s="1"/>
  <c r="AI533" i="58" s="1"/>
  <c r="BE19" i="21"/>
  <c r="BG28" i="21"/>
  <c r="BG19" i="21" s="1"/>
  <c r="BI24" i="21"/>
  <c r="BI25" i="21"/>
  <c r="BH28" i="21"/>
  <c r="BH19" i="21" s="1"/>
  <c r="L197" i="35"/>
  <c r="L196" i="35" s="1"/>
  <c r="BA28" i="21"/>
  <c r="BA19" i="21" s="1"/>
  <c r="L111" i="35"/>
  <c r="L110" i="35" s="1"/>
  <c r="G25" i="35"/>
  <c r="G24" i="35" s="1"/>
  <c r="R532" i="58" s="1"/>
  <c r="G457" i="35"/>
  <c r="G456" i="35" s="1"/>
  <c r="G111" i="35"/>
  <c r="G110" i="35" s="1"/>
  <c r="R533" i="58" s="1"/>
  <c r="G283" i="35"/>
  <c r="G282" i="35" s="1"/>
  <c r="R537" i="58" s="1"/>
  <c r="AG538" i="58"/>
  <c r="AW28" i="21"/>
  <c r="AW19" i="21" s="1"/>
  <c r="BI26" i="21"/>
  <c r="G371" i="35"/>
  <c r="G370" i="35" s="1"/>
  <c r="R534" i="58" s="1"/>
  <c r="G628" i="35"/>
  <c r="G627" i="35" s="1"/>
  <c r="R538" i="58" s="1"/>
  <c r="P457" i="35"/>
  <c r="P456" i="35" s="1"/>
  <c r="N543" i="35"/>
  <c r="O543" i="35" s="1"/>
  <c r="N457" i="35"/>
  <c r="N456" i="35" s="1"/>
  <c r="P628" i="35"/>
  <c r="P627" i="35" s="1"/>
  <c r="AP538" i="58" s="1"/>
  <c r="BI27" i="21"/>
  <c r="P197" i="35"/>
  <c r="T197" i="35" s="1"/>
  <c r="N197" i="35"/>
  <c r="N196" i="35" s="1"/>
  <c r="N283" i="35"/>
  <c r="N282" i="35" s="1"/>
  <c r="BI23" i="21"/>
  <c r="AG536" i="58"/>
  <c r="P25" i="35"/>
  <c r="P24" i="35" s="1"/>
  <c r="AP532" i="58" s="1"/>
  <c r="P543" i="35"/>
  <c r="P542" i="35" s="1"/>
  <c r="R628" i="35"/>
  <c r="R627" i="35" s="1"/>
  <c r="AT538" i="58" s="1"/>
  <c r="R457" i="35"/>
  <c r="R456" i="35" s="1"/>
  <c r="AT535" i="58" s="1"/>
  <c r="R371" i="35"/>
  <c r="R370" i="35" s="1"/>
  <c r="AT534" i="58" s="1"/>
  <c r="L628" i="35"/>
  <c r="L627" i="35" s="1"/>
  <c r="AE538" i="58" s="1"/>
  <c r="L371" i="35"/>
  <c r="L370" i="35" s="1"/>
  <c r="AE534" i="58" s="1"/>
  <c r="L457" i="35"/>
  <c r="L456" i="35" s="1"/>
  <c r="AE535" i="58" s="1"/>
  <c r="L283" i="35"/>
  <c r="L282" i="35" s="1"/>
  <c r="AE537" i="58" s="1"/>
  <c r="X168" i="58"/>
  <c r="AK99" i="58"/>
  <c r="X48" i="58"/>
  <c r="AP259" i="58"/>
  <c r="AP210" i="58"/>
  <c r="U349" i="35"/>
  <c r="U156" i="35"/>
  <c r="AG87" i="58"/>
  <c r="AE435" i="58"/>
  <c r="AP240" i="58"/>
  <c r="AP171" i="58"/>
  <c r="U52" i="35"/>
  <c r="O459" i="35"/>
  <c r="U475" i="35"/>
  <c r="AT553" i="58"/>
  <c r="T156" i="58"/>
  <c r="AT504" i="58"/>
  <c r="AT336" i="58"/>
  <c r="AG272" i="58"/>
  <c r="U73" i="35"/>
  <c r="AP26" i="58"/>
  <c r="AX26" i="58" s="1"/>
  <c r="J654" i="35"/>
  <c r="U603" i="35"/>
  <c r="AE403" i="58"/>
  <c r="AP181" i="58"/>
  <c r="AX25" i="58"/>
  <c r="AT352" i="58"/>
  <c r="AT472" i="58"/>
  <c r="U673" i="35"/>
  <c r="U368" i="35"/>
  <c r="AK2" i="58"/>
  <c r="T466" i="58"/>
  <c r="AT304" i="58"/>
  <c r="V475" i="58"/>
  <c r="U331" i="35"/>
  <c r="AX118" i="58"/>
  <c r="U171" i="35"/>
  <c r="AV535" i="58"/>
  <c r="AV105" i="58"/>
  <c r="AX105" i="58" s="1"/>
  <c r="O63" i="35"/>
  <c r="AV66" i="58"/>
  <c r="T263" i="58"/>
  <c r="AT158" i="58"/>
  <c r="U622" i="35"/>
  <c r="P293" i="58"/>
  <c r="P445" i="58"/>
  <c r="AX548" i="58"/>
  <c r="U141" i="35"/>
  <c r="T675" i="35"/>
  <c r="T334" i="35"/>
  <c r="T175" i="58"/>
  <c r="U596" i="35"/>
  <c r="AC204" i="58"/>
  <c r="O190" i="35"/>
  <c r="O220" i="35"/>
  <c r="U82" i="35"/>
  <c r="U454" i="35"/>
  <c r="T273" i="58"/>
  <c r="AE331" i="58"/>
  <c r="AE467" i="58"/>
  <c r="P477" i="58"/>
  <c r="R14" i="58"/>
  <c r="X14" i="58" s="1"/>
  <c r="R6" i="58"/>
  <c r="X6" i="58" s="1"/>
  <c r="X88" i="58"/>
  <c r="M88" i="58" s="1"/>
  <c r="T170" i="35"/>
  <c r="U170" i="35" s="1"/>
  <c r="X83" i="58"/>
  <c r="T150" i="35"/>
  <c r="AV97" i="58"/>
  <c r="AX97" i="58" s="1"/>
  <c r="U265" i="35"/>
  <c r="O64" i="35"/>
  <c r="AG153" i="58"/>
  <c r="U105" i="35"/>
  <c r="AK107" i="58"/>
  <c r="T253" i="58"/>
  <c r="AG240" i="58"/>
  <c r="U672" i="35"/>
  <c r="O18" i="35"/>
  <c r="U18" i="35" s="1"/>
  <c r="U177" i="35"/>
  <c r="AX33" i="58"/>
  <c r="X220" i="58"/>
  <c r="AV153" i="58"/>
  <c r="U484" i="35"/>
  <c r="V152" i="58"/>
  <c r="T195" i="58"/>
  <c r="J545" i="35"/>
  <c r="J667" i="35"/>
  <c r="U351" i="35"/>
  <c r="AT166" i="58"/>
  <c r="U221" i="35"/>
  <c r="AV121" i="58"/>
  <c r="AX121" i="58" s="1"/>
  <c r="J58" i="35"/>
  <c r="X2" i="58"/>
  <c r="Q68" i="85"/>
  <c r="Q88" i="85"/>
  <c r="Q76" i="85"/>
  <c r="J316" i="35"/>
  <c r="T334" i="58"/>
  <c r="U588" i="35"/>
  <c r="X15" i="58"/>
  <c r="U70" i="35"/>
  <c r="U389" i="35"/>
  <c r="U600" i="35"/>
  <c r="J666" i="35"/>
  <c r="AK113" i="58"/>
  <c r="T164" i="58"/>
  <c r="X164" i="58" s="1"/>
  <c r="J594" i="35"/>
  <c r="X120" i="58"/>
  <c r="AR429" i="58"/>
  <c r="AR477" i="58"/>
  <c r="AR421" i="58"/>
  <c r="H471" i="35"/>
  <c r="T504" i="58" s="1"/>
  <c r="J472" i="35"/>
  <c r="AP434" i="58"/>
  <c r="AT289" i="58"/>
  <c r="V523" i="58"/>
  <c r="AP370" i="58"/>
  <c r="AP458" i="58"/>
  <c r="AP394" i="58"/>
  <c r="AP338" i="58"/>
  <c r="AC460" i="58"/>
  <c r="AC476" i="58"/>
  <c r="AC484" i="58"/>
  <c r="AC286" i="58"/>
  <c r="U559" i="35"/>
  <c r="AR485" i="58"/>
  <c r="AR309" i="58"/>
  <c r="T358" i="58"/>
  <c r="T388" i="58"/>
  <c r="T286" i="58"/>
  <c r="AP522" i="58"/>
  <c r="AV285" i="58"/>
  <c r="AV365" i="58"/>
  <c r="AV477" i="58"/>
  <c r="T33" i="35"/>
  <c r="T380" i="58"/>
  <c r="R426" i="58"/>
  <c r="R410" i="58"/>
  <c r="U207" i="35"/>
  <c r="AR293" i="58"/>
  <c r="AP482" i="58"/>
  <c r="AI512" i="58"/>
  <c r="AI392" i="58"/>
  <c r="AI312" i="58"/>
  <c r="AI288" i="58"/>
  <c r="AE312" i="58"/>
  <c r="AE356" i="58"/>
  <c r="AE390" i="58"/>
  <c r="AE420" i="58"/>
  <c r="AE396" i="58"/>
  <c r="AE438" i="58"/>
  <c r="AE364" i="58"/>
  <c r="AE284" i="58"/>
  <c r="AE294" i="58"/>
  <c r="AE476" i="58"/>
  <c r="AE468" i="58"/>
  <c r="AE516" i="58"/>
  <c r="AE278" i="58"/>
  <c r="AE382" i="58"/>
  <c r="AE358" i="58"/>
  <c r="AE494" i="58"/>
  <c r="AE436" i="58"/>
  <c r="AE326" i="58"/>
  <c r="AE406" i="58"/>
  <c r="AE404" i="58"/>
  <c r="AE332" i="58"/>
  <c r="AE310" i="58"/>
  <c r="AE454" i="58"/>
  <c r="AE460" i="58"/>
  <c r="AE374" i="58"/>
  <c r="AE318" i="58"/>
  <c r="AE350" i="58"/>
  <c r="AE428" i="58"/>
  <c r="AE324" i="58"/>
  <c r="AE500" i="58"/>
  <c r="AE492" i="58"/>
  <c r="AE502" i="58"/>
  <c r="AE302" i="58"/>
  <c r="AE372" i="58"/>
  <c r="AE510" i="58"/>
  <c r="AE316" i="58"/>
  <c r="AE470" i="58"/>
  <c r="AE398" i="58"/>
  <c r="AE388" i="58"/>
  <c r="AE276" i="58"/>
  <c r="AE366" i="58"/>
  <c r="AE342" i="58"/>
  <c r="AE380" i="58"/>
  <c r="AE462" i="58"/>
  <c r="AE414" i="58"/>
  <c r="AE300" i="58"/>
  <c r="AE446" i="58"/>
  <c r="AE430" i="58"/>
  <c r="AE308" i="58"/>
  <c r="AE508" i="58"/>
  <c r="AE292" i="58"/>
  <c r="AE452" i="58"/>
  <c r="AE286" i="58"/>
  <c r="AE518" i="58"/>
  <c r="AR517" i="58"/>
  <c r="AR437" i="58"/>
  <c r="AT521" i="58"/>
  <c r="AT505" i="58"/>
  <c r="AP418" i="58"/>
  <c r="AP442" i="58"/>
  <c r="AV376" i="58"/>
  <c r="AV408" i="58"/>
  <c r="AV400" i="58"/>
  <c r="AV320" i="58"/>
  <c r="AV472" i="58"/>
  <c r="AV440" i="58"/>
  <c r="AV304" i="58"/>
  <c r="AV424" i="58"/>
  <c r="AV480" i="58"/>
  <c r="AV312" i="58"/>
  <c r="AV504" i="58"/>
  <c r="AV448" i="58"/>
  <c r="AV392" i="58"/>
  <c r="AV296" i="58"/>
  <c r="AV496" i="58"/>
  <c r="AV432" i="58"/>
  <c r="AV344" i="58"/>
  <c r="AV416" i="58"/>
  <c r="AV336" i="58"/>
  <c r="AV520" i="58"/>
  <c r="AV280" i="58"/>
  <c r="AV384" i="58"/>
  <c r="AV328" i="58"/>
  <c r="AR333" i="58"/>
  <c r="AG155" i="58"/>
  <c r="V91" i="58"/>
  <c r="U194" i="35"/>
  <c r="X181" i="58"/>
  <c r="X104" i="58"/>
  <c r="T87" i="58"/>
  <c r="F315" i="35"/>
  <c r="J315" i="35" s="1"/>
  <c r="U522" i="35"/>
  <c r="Q89" i="85"/>
  <c r="Q70" i="85"/>
  <c r="Q65" i="85"/>
  <c r="Q81" i="85"/>
  <c r="Q72" i="85"/>
  <c r="U597" i="35"/>
  <c r="AP56" i="58"/>
  <c r="AK82" i="58"/>
  <c r="U655" i="35"/>
  <c r="T256" i="35"/>
  <c r="U448" i="35"/>
  <c r="AE499" i="58"/>
  <c r="U652" i="35"/>
  <c r="AX4" i="58"/>
  <c r="AX100" i="58"/>
  <c r="U165" i="35"/>
  <c r="T248" i="35"/>
  <c r="AV235" i="58"/>
  <c r="AV215" i="58"/>
  <c r="AV264" i="58"/>
  <c r="AV274" i="58"/>
  <c r="U470" i="35"/>
  <c r="AR14" i="58"/>
  <c r="AX14" i="58" s="1"/>
  <c r="AX141" i="58"/>
  <c r="U513" i="35"/>
  <c r="AT87" i="58"/>
  <c r="AX87" i="58" s="1"/>
  <c r="U572" i="35"/>
  <c r="X81" i="58"/>
  <c r="T581" i="35"/>
  <c r="T40" i="58"/>
  <c r="X40" i="58" s="1"/>
  <c r="T24" i="58"/>
  <c r="X24" i="58" s="1"/>
  <c r="U12" i="15"/>
  <c r="U105" i="15" s="1"/>
  <c r="AB12" i="15"/>
  <c r="AB105" i="15" s="1"/>
  <c r="Q74" i="85"/>
  <c r="J72" i="35"/>
  <c r="T547" i="58"/>
  <c r="X547" i="58" s="1"/>
  <c r="BN547" i="58" s="1"/>
  <c r="AE440" i="58"/>
  <c r="AE344" i="58"/>
  <c r="AE456" i="58"/>
  <c r="U569" i="35"/>
  <c r="BN201" i="58"/>
  <c r="AX164" i="58"/>
  <c r="AX110" i="58"/>
  <c r="AK117" i="58"/>
  <c r="O406" i="35"/>
  <c r="O585" i="35"/>
  <c r="AT23" i="58"/>
  <c r="AX23" i="58" s="1"/>
  <c r="U431" i="35"/>
  <c r="T322" i="35"/>
  <c r="X12" i="58"/>
  <c r="O645" i="35"/>
  <c r="P69" i="58"/>
  <c r="J230" i="35"/>
  <c r="Q86" i="85"/>
  <c r="AR417" i="58"/>
  <c r="AR393" i="58"/>
  <c r="AR465" i="58"/>
  <c r="H439" i="35"/>
  <c r="J440" i="35"/>
  <c r="V303" i="58"/>
  <c r="V391" i="58"/>
  <c r="V511" i="58"/>
  <c r="AE277" i="58"/>
  <c r="U570" i="35"/>
  <c r="BJ24" i="24"/>
  <c r="AE416" i="58"/>
  <c r="AE360" i="58"/>
  <c r="AE424" i="58"/>
  <c r="AK93" i="58"/>
  <c r="O599" i="35"/>
  <c r="X75" i="58"/>
  <c r="O584" i="35"/>
  <c r="AT31" i="58"/>
  <c r="AX31" i="58" s="1"/>
  <c r="J582" i="35"/>
  <c r="Q84" i="85"/>
  <c r="U168" i="35"/>
  <c r="AR289" i="58"/>
  <c r="AR497" i="58"/>
  <c r="J336" i="35"/>
  <c r="P70" i="58"/>
  <c r="P79" i="58"/>
  <c r="X79" i="58" s="1"/>
  <c r="M79" i="58" s="1"/>
  <c r="N79" i="58" s="1"/>
  <c r="AC36" i="58"/>
  <c r="AK36" i="58" s="1"/>
  <c r="AC42" i="58"/>
  <c r="AK42" i="58" s="1"/>
  <c r="AC34" i="58"/>
  <c r="AK34" i="58" s="1"/>
  <c r="AC18" i="58"/>
  <c r="AK18" i="58" s="1"/>
  <c r="AC20" i="58"/>
  <c r="AC26" i="58"/>
  <c r="AK26" i="58" s="1"/>
  <c r="AC44" i="58"/>
  <c r="AK44" i="58" s="1"/>
  <c r="AC28" i="58"/>
  <c r="AK28" i="58" s="1"/>
  <c r="AR346" i="58"/>
  <c r="AR426" i="58"/>
  <c r="AR290" i="58"/>
  <c r="AR330" i="58"/>
  <c r="AR370" i="58"/>
  <c r="AR434" i="58"/>
  <c r="AR490" i="58"/>
  <c r="AR314" i="58"/>
  <c r="AR386" i="58"/>
  <c r="AR338" i="58"/>
  <c r="AR410" i="58"/>
  <c r="AR466" i="58"/>
  <c r="AR282" i="58"/>
  <c r="P33" i="58"/>
  <c r="X33" i="58" s="1"/>
  <c r="P41" i="58"/>
  <c r="P49" i="58"/>
  <c r="X49" i="58" s="1"/>
  <c r="P25" i="58"/>
  <c r="X25" i="58" s="1"/>
  <c r="AC95" i="58"/>
  <c r="AK95" i="58" s="1"/>
  <c r="AC111" i="58"/>
  <c r="AK111" i="58" s="1"/>
  <c r="AC103" i="58"/>
  <c r="AK103" i="58" s="1"/>
  <c r="AK20" i="58"/>
  <c r="Q78" i="85"/>
  <c r="X41" i="58"/>
  <c r="U416" i="35"/>
  <c r="AE408" i="58"/>
  <c r="AE472" i="58"/>
  <c r="AE352" i="58"/>
  <c r="J651" i="35"/>
  <c r="U451" i="35"/>
  <c r="AK200" i="58"/>
  <c r="BN200" i="58" s="1"/>
  <c r="AK105" i="58"/>
  <c r="U505" i="35"/>
  <c r="T550" i="58"/>
  <c r="AE280" i="58"/>
  <c r="U400" i="35"/>
  <c r="X84" i="58"/>
  <c r="U339" i="35"/>
  <c r="O407" i="35"/>
  <c r="Q85" i="85"/>
  <c r="AC15" i="58"/>
  <c r="R67" i="58"/>
  <c r="AG158" i="58"/>
  <c r="U561" i="35"/>
  <c r="R158" i="58"/>
  <c r="T140" i="58"/>
  <c r="X140" i="58" s="1"/>
  <c r="J480" i="35"/>
  <c r="J134" i="35"/>
  <c r="U134" i="35" s="1"/>
  <c r="P138" i="58"/>
  <c r="X138" i="58" s="1"/>
  <c r="BN138" i="58" s="1"/>
  <c r="U12" i="24"/>
  <c r="U66" i="24" s="1"/>
  <c r="N66" i="24"/>
  <c r="U502" i="35"/>
  <c r="M6" i="83"/>
  <c r="U55" i="35"/>
  <c r="T422" i="35"/>
  <c r="AE166" i="58"/>
  <c r="AK166" i="58" s="1"/>
  <c r="J187" i="35"/>
  <c r="U187" i="35" s="1"/>
  <c r="AE5" i="58"/>
  <c r="AK5" i="58" s="1"/>
  <c r="O427" i="35"/>
  <c r="AE13" i="58"/>
  <c r="AK13" i="58" s="1"/>
  <c r="AR481" i="58"/>
  <c r="AR337" i="58"/>
  <c r="AR313" i="58"/>
  <c r="AR345" i="58"/>
  <c r="AR441" i="58"/>
  <c r="AR329" i="58"/>
  <c r="AR361" i="58"/>
  <c r="AV545" i="58"/>
  <c r="AX545" i="58" s="1"/>
  <c r="T453" i="35"/>
  <c r="AI16" i="58"/>
  <c r="AK16" i="58" s="1"/>
  <c r="AI8" i="58"/>
  <c r="AK8" i="58" s="1"/>
  <c r="L7" i="83"/>
  <c r="T651" i="35"/>
  <c r="AI66" i="58"/>
  <c r="AK97" i="58"/>
  <c r="Q69" i="85"/>
  <c r="U556" i="35"/>
  <c r="N6" i="83"/>
  <c r="AC496" i="58"/>
  <c r="AC472" i="58"/>
  <c r="AC368" i="58"/>
  <c r="AC408" i="58"/>
  <c r="AC440" i="58"/>
  <c r="AC320" i="58"/>
  <c r="AC280" i="58"/>
  <c r="AC336" i="58"/>
  <c r="AC480" i="58"/>
  <c r="AC512" i="58"/>
  <c r="AC360" i="58"/>
  <c r="AC288" i="58"/>
  <c r="AC456" i="58"/>
  <c r="AC352" i="58"/>
  <c r="AC328" i="58"/>
  <c r="AC520" i="58"/>
  <c r="AC115" i="58"/>
  <c r="AK115" i="58" s="1"/>
  <c r="AC91" i="58"/>
  <c r="AK91" i="58" s="1"/>
  <c r="O8" i="83"/>
  <c r="L8" i="83" s="1"/>
  <c r="X230" i="58"/>
  <c r="AE56" i="58"/>
  <c r="AK105" i="15"/>
  <c r="AV25" i="15" s="1"/>
  <c r="V107" i="58"/>
  <c r="X107" i="58" s="1"/>
  <c r="V115" i="58"/>
  <c r="AP80" i="58"/>
  <c r="AP89" i="58"/>
  <c r="J223" i="35"/>
  <c r="U223" i="35" s="1"/>
  <c r="R166" i="58"/>
  <c r="X166" i="58" s="1"/>
  <c r="AI253" i="58"/>
  <c r="AI175" i="58"/>
  <c r="AI273" i="58"/>
  <c r="R7" i="58"/>
  <c r="X7" i="58" s="1"/>
  <c r="J253" i="35"/>
  <c r="O72" i="35"/>
  <c r="AX20" i="58"/>
  <c r="U337" i="35"/>
  <c r="J220" i="35"/>
  <c r="T434" i="35"/>
  <c r="AX10" i="58"/>
  <c r="AK121" i="58"/>
  <c r="AC162" i="58"/>
  <c r="AK162" i="58" s="1"/>
  <c r="O51" i="35"/>
  <c r="T633" i="35"/>
  <c r="AP236" i="58"/>
  <c r="AP275" i="58"/>
  <c r="AP265" i="58"/>
  <c r="AP216" i="58"/>
  <c r="AK542" i="58"/>
  <c r="U49" i="35"/>
  <c r="U78" i="35"/>
  <c r="AK109" i="58"/>
  <c r="AE328" i="58"/>
  <c r="AR69" i="58"/>
  <c r="AU26" i="21"/>
  <c r="AU25" i="21"/>
  <c r="AU24" i="21"/>
  <c r="AU23" i="21"/>
  <c r="O21" i="35"/>
  <c r="U91" i="35"/>
  <c r="AX49" i="58"/>
  <c r="AX90" i="58"/>
  <c r="N7" i="83"/>
  <c r="X72" i="58"/>
  <c r="L6" i="83"/>
  <c r="T68" i="58"/>
  <c r="J593" i="35"/>
  <c r="P439" i="35"/>
  <c r="T439" i="35" s="1"/>
  <c r="T440" i="35"/>
  <c r="T107" i="35"/>
  <c r="U107" i="35" s="1"/>
  <c r="AP543" i="58"/>
  <c r="AX543" i="58" s="1"/>
  <c r="BN543" i="58" s="1"/>
  <c r="O202" i="35"/>
  <c r="Q605" i="35"/>
  <c r="T605" i="35" s="1"/>
  <c r="T606" i="35"/>
  <c r="AP93" i="58"/>
  <c r="AX93" i="58" s="1"/>
  <c r="AP117" i="58"/>
  <c r="AX117" i="58" s="1"/>
  <c r="AP101" i="58"/>
  <c r="AX101" i="58" s="1"/>
  <c r="T418" i="35"/>
  <c r="AP109" i="58"/>
  <c r="AX109" i="58" s="1"/>
  <c r="P440" i="58"/>
  <c r="P448" i="58"/>
  <c r="P336" i="58"/>
  <c r="P360" i="58"/>
  <c r="P408" i="58"/>
  <c r="P480" i="58"/>
  <c r="P280" i="58"/>
  <c r="P296" i="58"/>
  <c r="P312" i="58"/>
  <c r="P432" i="58"/>
  <c r="P456" i="58"/>
  <c r="P352" i="58"/>
  <c r="P424" i="58"/>
  <c r="P384" i="58"/>
  <c r="P512" i="58"/>
  <c r="P472" i="58"/>
  <c r="P368" i="58"/>
  <c r="P464" i="58"/>
  <c r="P504" i="58"/>
  <c r="R103" i="58"/>
  <c r="R111" i="58"/>
  <c r="R119" i="58"/>
  <c r="R95" i="58"/>
  <c r="J590" i="35"/>
  <c r="U590" i="35" s="1"/>
  <c r="H406" i="35"/>
  <c r="T131" i="58" s="1"/>
  <c r="J407" i="35"/>
  <c r="T42" i="35"/>
  <c r="T321" i="35"/>
  <c r="J633" i="35"/>
  <c r="P255" i="58"/>
  <c r="P236" i="58"/>
  <c r="O499" i="35"/>
  <c r="AR401" i="58"/>
  <c r="AE315" i="58"/>
  <c r="AE483" i="58"/>
  <c r="U348" i="35"/>
  <c r="AT78" i="58"/>
  <c r="AX78" i="58" s="1"/>
  <c r="U567" i="35"/>
  <c r="U135" i="35"/>
  <c r="AX113" i="58"/>
  <c r="U419" i="35"/>
  <c r="Q64" i="85"/>
  <c r="AK66" i="24"/>
  <c r="AV23" i="24" s="1"/>
  <c r="AV22" i="24"/>
  <c r="L611" i="35"/>
  <c r="O611" i="35" s="1"/>
  <c r="O612" i="35"/>
  <c r="U619" i="35"/>
  <c r="G321" i="35"/>
  <c r="R134" i="58" s="1"/>
  <c r="J322" i="35"/>
  <c r="AR29" i="58"/>
  <c r="AX29" i="58" s="1"/>
  <c r="AR21" i="58"/>
  <c r="AX21" i="58" s="1"/>
  <c r="AR37" i="58"/>
  <c r="AX37" i="58" s="1"/>
  <c r="T430" i="35"/>
  <c r="AR45" i="58"/>
  <c r="AX45" i="58" s="1"/>
  <c r="T76" i="35"/>
  <c r="AE552" i="58"/>
  <c r="AK546" i="58"/>
  <c r="U85" i="35"/>
  <c r="J297" i="35"/>
  <c r="T402" i="58"/>
  <c r="O388" i="35"/>
  <c r="U388" i="35" s="1"/>
  <c r="AE65" i="58"/>
  <c r="Q80" i="85"/>
  <c r="AB12" i="23"/>
  <c r="AB67" i="23" s="1"/>
  <c r="AB89" i="23" s="1"/>
  <c r="AB136" i="23" s="1"/>
  <c r="N67" i="23"/>
  <c r="N89" i="23" s="1"/>
  <c r="Q87" i="35"/>
  <c r="T88" i="35"/>
  <c r="AC56" i="58"/>
  <c r="AC21" i="58"/>
  <c r="AK21" i="58" s="1"/>
  <c r="AC37" i="58"/>
  <c r="AK37" i="58" s="1"/>
  <c r="AC45" i="58"/>
  <c r="AK45" i="58" s="1"/>
  <c r="G495" i="35"/>
  <c r="R132" i="58" s="1"/>
  <c r="J496" i="35"/>
  <c r="F161" i="35"/>
  <c r="J162" i="35"/>
  <c r="AG194" i="58"/>
  <c r="AG223" i="58"/>
  <c r="AG262" i="58"/>
  <c r="AG213" i="58"/>
  <c r="AG252" i="58"/>
  <c r="AG184" i="58"/>
  <c r="AG174" i="58"/>
  <c r="P206" i="58"/>
  <c r="X206" i="58" s="1"/>
  <c r="M206" i="58" s="1"/>
  <c r="J621" i="35"/>
  <c r="F318" i="35"/>
  <c r="J318" i="35" s="1"/>
  <c r="J319" i="35"/>
  <c r="P163" i="58"/>
  <c r="X163" i="58" s="1"/>
  <c r="U188" i="35"/>
  <c r="U242" i="35"/>
  <c r="AX546" i="58"/>
  <c r="AB12" i="34"/>
  <c r="U12" i="34"/>
  <c r="N40" i="34"/>
  <c r="N62" i="34"/>
  <c r="N128" i="34" s="1"/>
  <c r="T12" i="22"/>
  <c r="T39" i="22" s="1"/>
  <c r="T88" i="22" s="1"/>
  <c r="T131" i="22" s="1"/>
  <c r="AA12" i="22"/>
  <c r="AA39" i="22" s="1"/>
  <c r="AA88" i="22" s="1"/>
  <c r="AA131" i="22" s="1"/>
  <c r="M39" i="22"/>
  <c r="M88" i="22" s="1"/>
  <c r="M131" i="22" s="1"/>
  <c r="P63" i="35"/>
  <c r="T63" i="35" s="1"/>
  <c r="T64" i="35"/>
  <c r="AG3" i="58"/>
  <c r="AK3" i="58" s="1"/>
  <c r="AG11" i="58"/>
  <c r="AK11" i="58" s="1"/>
  <c r="O81" i="35"/>
  <c r="R232" i="35"/>
  <c r="T232" i="35" s="1"/>
  <c r="T233" i="35"/>
  <c r="G235" i="35"/>
  <c r="J235" i="35" s="1"/>
  <c r="J236" i="35"/>
  <c r="G149" i="35"/>
  <c r="R130" i="58" s="1"/>
  <c r="J150" i="35"/>
  <c r="O486" i="35"/>
  <c r="U486" i="35" s="1"/>
  <c r="AC165" i="58"/>
  <c r="L433" i="35"/>
  <c r="O434" i="35"/>
  <c r="AX39" i="58"/>
  <c r="AE164" i="58"/>
  <c r="U517" i="35"/>
  <c r="AR70" i="58"/>
  <c r="T593" i="35"/>
  <c r="AK4" i="58"/>
  <c r="AK41" i="34"/>
  <c r="AV31" i="34"/>
  <c r="AV30" i="34"/>
  <c r="AV29" i="34"/>
  <c r="Q77" i="85"/>
  <c r="AP3" i="58"/>
  <c r="AP11" i="58"/>
  <c r="AR241" i="58"/>
  <c r="AR260" i="58"/>
  <c r="AR270" i="58"/>
  <c r="AR211" i="58"/>
  <c r="AR182" i="58"/>
  <c r="AR250" i="58"/>
  <c r="AR172" i="58"/>
  <c r="AR231" i="58"/>
  <c r="AR192" i="58"/>
  <c r="T116" i="35"/>
  <c r="AR221" i="58"/>
  <c r="M235" i="35"/>
  <c r="O235" i="35" s="1"/>
  <c r="O236" i="35"/>
  <c r="F507" i="35"/>
  <c r="J508" i="35"/>
  <c r="U508" i="35" s="1"/>
  <c r="T664" i="35"/>
  <c r="O322" i="35"/>
  <c r="U12" i="21"/>
  <c r="N12" i="21"/>
  <c r="AP15" i="58"/>
  <c r="AP7" i="58"/>
  <c r="Q406" i="35"/>
  <c r="T406" i="35" s="1"/>
  <c r="T407" i="35"/>
  <c r="J490" i="35"/>
  <c r="M696" i="35"/>
  <c r="O696" i="35" s="1"/>
  <c r="O697" i="35"/>
  <c r="F678" i="35"/>
  <c r="J679" i="35"/>
  <c r="O321" i="35"/>
  <c r="AK68" i="23"/>
  <c r="AV27" i="23"/>
  <c r="R122" i="58" s="1"/>
  <c r="AV26" i="23"/>
  <c r="Q66" i="85"/>
  <c r="AR112" i="58"/>
  <c r="AX112" i="58" s="1"/>
  <c r="AR120" i="58"/>
  <c r="AX120" i="58" s="1"/>
  <c r="AR104" i="58"/>
  <c r="AX104" i="58" s="1"/>
  <c r="AR96" i="58"/>
  <c r="AX96" i="58" s="1"/>
  <c r="T330" i="35"/>
  <c r="Q318" i="35"/>
  <c r="T318" i="35" s="1"/>
  <c r="T319" i="35"/>
  <c r="M525" i="35"/>
  <c r="O526" i="35"/>
  <c r="T19" i="58"/>
  <c r="X19" i="58" s="1"/>
  <c r="T43" i="58"/>
  <c r="X43" i="58" s="1"/>
  <c r="T35" i="58"/>
  <c r="X35" i="58" s="1"/>
  <c r="J84" i="35"/>
  <c r="T27" i="58"/>
  <c r="X27" i="58" s="1"/>
  <c r="J661" i="35"/>
  <c r="L690" i="35"/>
  <c r="O691" i="35"/>
  <c r="U436" i="35"/>
  <c r="U685" i="35"/>
  <c r="AV534" i="58"/>
  <c r="J233" i="35"/>
  <c r="O137" i="35"/>
  <c r="U277" i="35"/>
  <c r="Q82" i="85"/>
  <c r="Q90" i="85"/>
  <c r="V69" i="58"/>
  <c r="R678" i="35"/>
  <c r="T678" i="35" s="1"/>
  <c r="T679" i="35"/>
  <c r="R696" i="35"/>
  <c r="T696" i="35" s="1"/>
  <c r="T697" i="35"/>
  <c r="G63" i="35"/>
  <c r="R129" i="58" s="1"/>
  <c r="J64" i="35"/>
  <c r="AT381" i="58"/>
  <c r="AT277" i="58"/>
  <c r="AT317" i="58"/>
  <c r="AT365" i="58"/>
  <c r="AT293" i="58"/>
  <c r="T39" i="35"/>
  <c r="AT485" i="58"/>
  <c r="AT405" i="58"/>
  <c r="AT501" i="58"/>
  <c r="J410" i="35"/>
  <c r="AC221" i="58"/>
  <c r="AC182" i="58"/>
  <c r="AC260" i="58"/>
  <c r="AC250" i="58"/>
  <c r="AC270" i="58"/>
  <c r="AC241" i="58"/>
  <c r="AC172" i="58"/>
  <c r="AC211" i="58"/>
  <c r="AC192" i="58"/>
  <c r="AC231" i="58"/>
  <c r="F421" i="35"/>
  <c r="J421" i="35" s="1"/>
  <c r="J422" i="35"/>
  <c r="T185" i="58"/>
  <c r="T244" i="58"/>
  <c r="T214" i="58"/>
  <c r="T224" i="58"/>
  <c r="U90" i="35"/>
  <c r="L439" i="35"/>
  <c r="O439" i="35" s="1"/>
  <c r="O440" i="35"/>
  <c r="AC142" i="58"/>
  <c r="AK142" i="58" s="1"/>
  <c r="BN142" i="58" s="1"/>
  <c r="O306" i="35"/>
  <c r="R525" i="35"/>
  <c r="T526" i="35"/>
  <c r="AP28" i="58"/>
  <c r="AX28" i="58" s="1"/>
  <c r="AP44" i="58"/>
  <c r="AX44" i="58" s="1"/>
  <c r="AP18" i="58"/>
  <c r="AX18" i="58" s="1"/>
  <c r="AP42" i="58"/>
  <c r="AX42" i="58" s="1"/>
  <c r="AP34" i="58"/>
  <c r="AX34" i="58" s="1"/>
  <c r="AP36" i="58"/>
  <c r="AX36" i="58" s="1"/>
  <c r="R76" i="58"/>
  <c r="R85" i="58"/>
  <c r="J415" i="35"/>
  <c r="F663" i="35"/>
  <c r="J663" i="35" s="1"/>
  <c r="J664" i="35"/>
  <c r="AT392" i="58"/>
  <c r="AT424" i="58"/>
  <c r="AT416" i="58"/>
  <c r="AT480" i="58"/>
  <c r="AT448" i="58"/>
  <c r="AT512" i="58"/>
  <c r="AT432" i="58"/>
  <c r="AT464" i="58"/>
  <c r="AT280" i="58"/>
  <c r="AT312" i="58"/>
  <c r="AT368" i="58"/>
  <c r="AT320" i="58"/>
  <c r="AT400" i="58"/>
  <c r="AT360" i="58"/>
  <c r="AT456" i="58"/>
  <c r="AT376" i="58"/>
  <c r="AT384" i="58"/>
  <c r="AT344" i="58"/>
  <c r="AT328" i="58"/>
  <c r="AT488" i="58"/>
  <c r="AT520" i="58"/>
  <c r="AT288" i="58"/>
  <c r="AT496" i="58"/>
  <c r="U625" i="35"/>
  <c r="X171" i="58"/>
  <c r="O42" i="35"/>
  <c r="T654" i="35"/>
  <c r="U608" i="35"/>
  <c r="O318" i="35"/>
  <c r="U425" i="35"/>
  <c r="J60" i="35"/>
  <c r="AJ40" i="22"/>
  <c r="AV24" i="22"/>
  <c r="BE20" i="85"/>
  <c r="T424" i="35"/>
  <c r="K669" i="35"/>
  <c r="O669" i="35" s="1"/>
  <c r="O670" i="35"/>
  <c r="R161" i="35"/>
  <c r="T161" i="35" s="1"/>
  <c r="T162" i="35"/>
  <c r="I143" i="35"/>
  <c r="V130" i="58" s="1"/>
  <c r="J144" i="35"/>
  <c r="F146" i="35"/>
  <c r="J146" i="35" s="1"/>
  <c r="J147" i="35"/>
  <c r="V46" i="58"/>
  <c r="X46" i="58" s="1"/>
  <c r="V30" i="58"/>
  <c r="X30" i="58" s="1"/>
  <c r="V38" i="58"/>
  <c r="X38" i="58" s="1"/>
  <c r="V22" i="58"/>
  <c r="X22" i="58" s="1"/>
  <c r="T496" i="35"/>
  <c r="R495" i="35"/>
  <c r="AT132" i="58" s="1"/>
  <c r="AG56" i="58"/>
  <c r="R690" i="35"/>
  <c r="T691" i="35"/>
  <c r="AC139" i="58"/>
  <c r="AK139" i="58" s="1"/>
  <c r="O394" i="35"/>
  <c r="U536" i="35"/>
  <c r="P204" i="58"/>
  <c r="T214" i="35"/>
  <c r="J327" i="35"/>
  <c r="AE336" i="58"/>
  <c r="AE288" i="58"/>
  <c r="AE480" i="58"/>
  <c r="AR167" i="58"/>
  <c r="AX167" i="58" s="1"/>
  <c r="T309" i="35"/>
  <c r="T465" i="35"/>
  <c r="AI164" i="58"/>
  <c r="O397" i="35"/>
  <c r="U397" i="35" s="1"/>
  <c r="J250" i="35"/>
  <c r="U250" i="35" s="1"/>
  <c r="R78" i="58"/>
  <c r="X78" i="58" s="1"/>
  <c r="R87" i="58"/>
  <c r="X59" i="58"/>
  <c r="P507" i="58"/>
  <c r="P283" i="58"/>
  <c r="P403" i="58"/>
  <c r="P331" i="58"/>
  <c r="P523" i="58"/>
  <c r="P307" i="58"/>
  <c r="P475" i="58"/>
  <c r="P355" i="58"/>
  <c r="P291" i="58"/>
  <c r="P499" i="58"/>
  <c r="P427" i="58"/>
  <c r="P387" i="58"/>
  <c r="P443" i="58"/>
  <c r="P323" i="58"/>
  <c r="P339" i="58"/>
  <c r="P451" i="58"/>
  <c r="P491" i="58"/>
  <c r="P315" i="58"/>
  <c r="P395" i="58"/>
  <c r="P299" i="58"/>
  <c r="P363" i="58"/>
  <c r="P371" i="58"/>
  <c r="P459" i="58"/>
  <c r="P483" i="58"/>
  <c r="P435" i="58"/>
  <c r="P419" i="58"/>
  <c r="P379" i="58"/>
  <c r="P467" i="58"/>
  <c r="P347" i="58"/>
  <c r="P411" i="58"/>
  <c r="P515" i="58"/>
  <c r="AG47" i="58"/>
  <c r="AK47" i="58" s="1"/>
  <c r="AG39" i="58"/>
  <c r="AK39" i="58" s="1"/>
  <c r="AG31" i="58"/>
  <c r="AK31" i="58" s="1"/>
  <c r="AG23" i="58"/>
  <c r="AK23" i="58" s="1"/>
  <c r="O256" i="35"/>
  <c r="U340" i="35"/>
  <c r="U254" i="35"/>
  <c r="AT56" i="58"/>
  <c r="T259" i="35"/>
  <c r="U101" i="35"/>
  <c r="AI349" i="58"/>
  <c r="AI389" i="58"/>
  <c r="AI429" i="58"/>
  <c r="AI397" i="58"/>
  <c r="AI341" i="58"/>
  <c r="AI381" i="58"/>
  <c r="AI517" i="58"/>
  <c r="AI453" i="58"/>
  <c r="AI413" i="58"/>
  <c r="AI365" i="58"/>
  <c r="AI405" i="58"/>
  <c r="AI309" i="58"/>
  <c r="AI301" i="58"/>
  <c r="AI437" i="58"/>
  <c r="AI461" i="58"/>
  <c r="AI445" i="58"/>
  <c r="AI333" i="58"/>
  <c r="AI325" i="58"/>
  <c r="AI509" i="58"/>
  <c r="AI293" i="58"/>
  <c r="AI317" i="58"/>
  <c r="AI493" i="58"/>
  <c r="AI373" i="58"/>
  <c r="AI357" i="58"/>
  <c r="AI485" i="58"/>
  <c r="AI501" i="58"/>
  <c r="AI469" i="58"/>
  <c r="AI285" i="58"/>
  <c r="AI277" i="58"/>
  <c r="AI421" i="58"/>
  <c r="AI477" i="58"/>
  <c r="O33" i="35"/>
  <c r="T327" i="35"/>
  <c r="AR88" i="58"/>
  <c r="AX88" i="58" s="1"/>
  <c r="AR79" i="58"/>
  <c r="AX79" i="58" s="1"/>
  <c r="P544" i="58"/>
  <c r="X544" i="58" s="1"/>
  <c r="BN544" i="58" s="1"/>
  <c r="J367" i="35"/>
  <c r="U367" i="35" s="1"/>
  <c r="AR72" i="58"/>
  <c r="AX72" i="58" s="1"/>
  <c r="AR59" i="58"/>
  <c r="AX59" i="58" s="1"/>
  <c r="T155" i="35"/>
  <c r="AR75" i="58"/>
  <c r="AR81" i="58"/>
  <c r="AX81" i="58" s="1"/>
  <c r="AG387" i="58"/>
  <c r="AG331" i="58"/>
  <c r="AG323" i="58"/>
  <c r="AG483" i="58"/>
  <c r="AG467" i="58"/>
  <c r="AG427" i="58"/>
  <c r="AG475" i="58"/>
  <c r="AG451" i="58"/>
  <c r="AG363" i="58"/>
  <c r="AG355" i="58"/>
  <c r="AG419" i="58"/>
  <c r="AG339" i="58"/>
  <c r="AG315" i="58"/>
  <c r="AG523" i="58"/>
  <c r="AG443" i="58"/>
  <c r="AG459" i="58"/>
  <c r="AG411" i="58"/>
  <c r="AG379" i="58"/>
  <c r="AG347" i="58"/>
  <c r="AG371" i="58"/>
  <c r="AG395" i="58"/>
  <c r="AG283" i="58"/>
  <c r="AG299" i="58"/>
  <c r="AG403" i="58"/>
  <c r="AG499" i="58"/>
  <c r="AG435" i="58"/>
  <c r="AG307" i="58"/>
  <c r="AG491" i="58"/>
  <c r="AG507" i="58"/>
  <c r="AG515" i="58"/>
  <c r="AG291" i="58"/>
  <c r="V93" i="58"/>
  <c r="X93" i="58" s="1"/>
  <c r="V117" i="58"/>
  <c r="X117" i="58" s="1"/>
  <c r="V101" i="58"/>
  <c r="X101" i="58" s="1"/>
  <c r="V109" i="58"/>
  <c r="X109" i="58" s="1"/>
  <c r="J418" i="35"/>
  <c r="P545" i="58"/>
  <c r="X545" i="58" s="1"/>
  <c r="J453" i="35"/>
  <c r="P5" i="58"/>
  <c r="X5" i="58" s="1"/>
  <c r="P13" i="58"/>
  <c r="X13" i="58" s="1"/>
  <c r="J427" i="35"/>
  <c r="U537" i="35"/>
  <c r="AP85" i="58"/>
  <c r="AX85" i="58" s="1"/>
  <c r="AK12" i="58"/>
  <c r="AT70" i="58"/>
  <c r="T624" i="35"/>
  <c r="U307" i="35"/>
  <c r="P205" i="58"/>
  <c r="X205" i="58" s="1"/>
  <c r="J276" i="35"/>
  <c r="U310" i="35"/>
  <c r="T193" i="35"/>
  <c r="AE63" i="34"/>
  <c r="AE129" i="34" s="1"/>
  <c r="AD63" i="34"/>
  <c r="AD129" i="34" s="1"/>
  <c r="H247" i="35"/>
  <c r="J248" i="35"/>
  <c r="H492" i="35"/>
  <c r="T132" i="58" s="1"/>
  <c r="J493" i="35"/>
  <c r="R345" i="35"/>
  <c r="T346" i="35"/>
  <c r="AR86" i="58"/>
  <c r="AX86" i="58" s="1"/>
  <c r="AR77" i="58"/>
  <c r="AX77" i="58" s="1"/>
  <c r="AR68" i="58"/>
  <c r="AP5" i="58"/>
  <c r="AX5" i="58" s="1"/>
  <c r="AP13" i="58"/>
  <c r="AX13" i="58" s="1"/>
  <c r="T427" i="35"/>
  <c r="T474" i="58"/>
  <c r="T298" i="58"/>
  <c r="T442" i="58"/>
  <c r="T498" i="58"/>
  <c r="T378" i="58"/>
  <c r="T306" i="58"/>
  <c r="T282" i="58"/>
  <c r="T410" i="58"/>
  <c r="T346" i="58"/>
  <c r="T458" i="58"/>
  <c r="T482" i="58"/>
  <c r="T314" i="58"/>
  <c r="T426" i="58"/>
  <c r="T330" i="58"/>
  <c r="T514" i="58"/>
  <c r="T434" i="58"/>
  <c r="T522" i="58"/>
  <c r="T450" i="58"/>
  <c r="T338" i="58"/>
  <c r="T362" i="58"/>
  <c r="T290" i="58"/>
  <c r="T418" i="58"/>
  <c r="T322" i="58"/>
  <c r="T490" i="58"/>
  <c r="AG181" i="58"/>
  <c r="AG210" i="58"/>
  <c r="AG230" i="58"/>
  <c r="AG191" i="58"/>
  <c r="AG269" i="58"/>
  <c r="AG249" i="58"/>
  <c r="AG220" i="58"/>
  <c r="AG171" i="58"/>
  <c r="AE520" i="58"/>
  <c r="AE320" i="58"/>
  <c r="AE464" i="58"/>
  <c r="AE496" i="58"/>
  <c r="AE304" i="58"/>
  <c r="AT16" i="58"/>
  <c r="AX16" i="58" s="1"/>
  <c r="AT8" i="58"/>
  <c r="AX8" i="58" s="1"/>
  <c r="AG7" i="58"/>
  <c r="AK7" i="58" s="1"/>
  <c r="O253" i="35"/>
  <c r="AG15" i="58"/>
  <c r="AR67" i="58"/>
  <c r="T421" i="35"/>
  <c r="J539" i="35"/>
  <c r="U539" i="35" s="1"/>
  <c r="P546" i="58"/>
  <c r="X546" i="58" s="1"/>
  <c r="R167" i="58"/>
  <c r="X167" i="58" s="1"/>
  <c r="J309" i="35"/>
  <c r="R137" i="58"/>
  <c r="X137" i="58" s="1"/>
  <c r="J48" i="35"/>
  <c r="T681" i="35"/>
  <c r="AT89" i="58"/>
  <c r="AT80" i="58"/>
  <c r="BH18" i="85"/>
  <c r="AX20" i="85"/>
  <c r="U523" i="35"/>
  <c r="U159" i="35"/>
  <c r="AX30" i="58"/>
  <c r="X240" i="58"/>
  <c r="AE432" i="58"/>
  <c r="AE400" i="58"/>
  <c r="AE504" i="58"/>
  <c r="AE384" i="58"/>
  <c r="AX106" i="58"/>
  <c r="T336" i="35"/>
  <c r="U401" i="35"/>
  <c r="AX2" i="58"/>
  <c r="U245" i="35"/>
  <c r="U343" i="35"/>
  <c r="AZ12" i="85"/>
  <c r="U63" i="34"/>
  <c r="U129" i="34" s="1"/>
  <c r="T553" i="58"/>
  <c r="AR553" i="58"/>
  <c r="AI553" i="58"/>
  <c r="AP553" i="58"/>
  <c r="R553" i="58"/>
  <c r="AI550" i="58"/>
  <c r="AR550" i="58"/>
  <c r="V550" i="58"/>
  <c r="R550" i="58"/>
  <c r="AC550" i="58"/>
  <c r="AG550" i="58"/>
  <c r="P550" i="58"/>
  <c r="H75" i="35"/>
  <c r="J76" i="35"/>
  <c r="R98" i="58"/>
  <c r="X98" i="58" s="1"/>
  <c r="M98" i="58" s="1"/>
  <c r="N98" i="58" s="1"/>
  <c r="R114" i="58"/>
  <c r="X114" i="58" s="1"/>
  <c r="R100" i="58"/>
  <c r="X100" i="58" s="1"/>
  <c r="R106" i="58"/>
  <c r="X106" i="58" s="1"/>
  <c r="R90" i="58"/>
  <c r="X90" i="58" s="1"/>
  <c r="M90" i="58" s="1"/>
  <c r="N90" i="58" s="1"/>
  <c r="R108" i="58"/>
  <c r="X108" i="58" s="1"/>
  <c r="R116" i="58"/>
  <c r="X116" i="58" s="1"/>
  <c r="J158" i="35"/>
  <c r="R92" i="58"/>
  <c r="X92" i="58" s="1"/>
  <c r="AV339" i="58"/>
  <c r="AV523" i="58"/>
  <c r="AV443" i="58"/>
  <c r="AV395" i="58"/>
  <c r="AV347" i="58"/>
  <c r="AV427" i="58"/>
  <c r="AV299" i="58"/>
  <c r="AV459" i="58"/>
  <c r="AV491" i="58"/>
  <c r="AV483" i="58"/>
  <c r="AV475" i="58"/>
  <c r="AV515" i="58"/>
  <c r="AV411" i="58"/>
  <c r="AV283" i="58"/>
  <c r="AV355" i="58"/>
  <c r="AV331" i="58"/>
  <c r="AV379" i="58"/>
  <c r="AV507" i="58"/>
  <c r="AV451" i="58"/>
  <c r="AV363" i="58"/>
  <c r="AV499" i="58"/>
  <c r="AV291" i="58"/>
  <c r="AV323" i="58"/>
  <c r="AV419" i="58"/>
  <c r="AV371" i="58"/>
  <c r="AV387" i="58"/>
  <c r="AV435" i="58"/>
  <c r="AV315" i="58"/>
  <c r="AV307" i="58"/>
  <c r="AV403" i="58"/>
  <c r="AV467" i="58"/>
  <c r="AP206" i="58"/>
  <c r="AX206" i="58" s="1"/>
  <c r="T621" i="35"/>
  <c r="AE244" i="58"/>
  <c r="AE195" i="58"/>
  <c r="AE175" i="58"/>
  <c r="AE273" i="58"/>
  <c r="AE224" i="58"/>
  <c r="AE185" i="58"/>
  <c r="AE253" i="58"/>
  <c r="AE234" i="58"/>
  <c r="AE214" i="58"/>
  <c r="AE263" i="58"/>
  <c r="T506" i="58"/>
  <c r="T386" i="58"/>
  <c r="AE167" i="58"/>
  <c r="AK167" i="58" s="1"/>
  <c r="O309" i="35"/>
  <c r="P36" i="58"/>
  <c r="X36" i="58" s="1"/>
  <c r="P26" i="58"/>
  <c r="X26" i="58" s="1"/>
  <c r="P28" i="58"/>
  <c r="X28" i="58" s="1"/>
  <c r="P42" i="58"/>
  <c r="X42" i="58" s="1"/>
  <c r="P34" i="58"/>
  <c r="X34" i="58" s="1"/>
  <c r="P44" i="58"/>
  <c r="X44" i="58" s="1"/>
  <c r="P18" i="58"/>
  <c r="X18" i="58" s="1"/>
  <c r="P20" i="58"/>
  <c r="X20" i="58" s="1"/>
  <c r="AR83" i="58"/>
  <c r="AR74" i="58"/>
  <c r="AE488" i="58"/>
  <c r="AE448" i="58"/>
  <c r="U609" i="35"/>
  <c r="S542" i="35"/>
  <c r="T520" i="35"/>
  <c r="R213" i="58"/>
  <c r="R233" i="58"/>
  <c r="R184" i="58"/>
  <c r="R174" i="58"/>
  <c r="R243" i="58"/>
  <c r="R252" i="58"/>
  <c r="J459" i="35"/>
  <c r="R194" i="58"/>
  <c r="R223" i="58"/>
  <c r="R272" i="58"/>
  <c r="R262" i="58"/>
  <c r="R343" i="58"/>
  <c r="R495" i="58"/>
  <c r="R351" i="58"/>
  <c r="R503" i="58"/>
  <c r="R295" i="58"/>
  <c r="R479" i="58"/>
  <c r="R455" i="58"/>
  <c r="R383" i="58"/>
  <c r="R471" i="58"/>
  <c r="R399" i="58"/>
  <c r="R431" i="58"/>
  <c r="R423" i="58"/>
  <c r="R415" i="58"/>
  <c r="R287" i="58"/>
  <c r="R519" i="58"/>
  <c r="R311" i="58"/>
  <c r="R375" i="58"/>
  <c r="R279" i="58"/>
  <c r="R391" i="58"/>
  <c r="R335" i="58"/>
  <c r="R511" i="58"/>
  <c r="R367" i="58"/>
  <c r="R359" i="58"/>
  <c r="R439" i="58"/>
  <c r="R407" i="58"/>
  <c r="R463" i="58"/>
  <c r="R303" i="58"/>
  <c r="R319" i="58"/>
  <c r="R327" i="58"/>
  <c r="R487" i="58"/>
  <c r="AV396" i="58"/>
  <c r="AV420" i="58"/>
  <c r="AV302" i="58"/>
  <c r="AV318" i="58"/>
  <c r="AV452" i="58"/>
  <c r="AV412" i="58"/>
  <c r="AV382" i="58"/>
  <c r="AV438" i="58"/>
  <c r="AV292" i="58"/>
  <c r="AV470" i="58"/>
  <c r="AV364" i="58"/>
  <c r="AV390" i="58"/>
  <c r="AV484" i="58"/>
  <c r="AV398" i="58"/>
  <c r="AV342" i="58"/>
  <c r="AV508" i="58"/>
  <c r="AV388" i="58"/>
  <c r="AV462" i="58"/>
  <c r="AV332" i="58"/>
  <c r="AV500" i="58"/>
  <c r="AV510" i="58"/>
  <c r="AV380" i="58"/>
  <c r="AV430" i="58"/>
  <c r="AV518" i="58"/>
  <c r="AV372" i="58"/>
  <c r="AV406" i="58"/>
  <c r="AV414" i="58"/>
  <c r="AV492" i="58"/>
  <c r="AV308" i="58"/>
  <c r="AV366" i="58"/>
  <c r="AV404" i="58"/>
  <c r="AV348" i="58"/>
  <c r="AV358" i="58"/>
  <c r="AV444" i="58"/>
  <c r="AV356" i="58"/>
  <c r="AV478" i="58"/>
  <c r="AV516" i="58"/>
  <c r="AV476" i="58"/>
  <c r="AV324" i="58"/>
  <c r="AV502" i="58"/>
  <c r="AV326" i="58"/>
  <c r="AV334" i="58"/>
  <c r="AV460" i="58"/>
  <c r="AV284" i="58"/>
  <c r="AV486" i="58"/>
  <c r="AV454" i="58"/>
  <c r="AV428" i="58"/>
  <c r="AV374" i="58"/>
  <c r="AV468" i="58"/>
  <c r="AV294" i="58"/>
  <c r="AV300" i="58"/>
  <c r="AV350" i="58"/>
  <c r="AV436" i="58"/>
  <c r="AV286" i="58"/>
  <c r="AV278" i="58"/>
  <c r="AV276" i="58"/>
  <c r="AV446" i="58"/>
  <c r="AV316" i="58"/>
  <c r="AV422" i="58"/>
  <c r="AV310" i="58"/>
  <c r="AV494" i="58"/>
  <c r="AV340" i="58"/>
  <c r="J232" i="35"/>
  <c r="T519" i="35"/>
  <c r="AE40" i="58"/>
  <c r="AK40" i="58" s="1"/>
  <c r="AE32" i="58"/>
  <c r="AK32" i="58" s="1"/>
  <c r="O342" i="35"/>
  <c r="U342" i="35" s="1"/>
  <c r="AE24" i="58"/>
  <c r="AK24" i="58" s="1"/>
  <c r="AE48" i="58"/>
  <c r="AK48" i="58" s="1"/>
  <c r="R45" i="58"/>
  <c r="X45" i="58" s="1"/>
  <c r="J430" i="35"/>
  <c r="R21" i="58"/>
  <c r="X21" i="58" s="1"/>
  <c r="R37" i="58"/>
  <c r="X37" i="58" s="1"/>
  <c r="R29" i="58"/>
  <c r="X29" i="58" s="1"/>
  <c r="J190" i="35"/>
  <c r="V204" i="58"/>
  <c r="M62" i="85"/>
  <c r="BD12" i="85"/>
  <c r="BJ41" i="34"/>
  <c r="AP76" i="58"/>
  <c r="AX76" i="58" s="1"/>
  <c r="U138" i="35"/>
  <c r="J516" i="35"/>
  <c r="AK101" i="58"/>
  <c r="J61" i="35"/>
  <c r="AK47" i="17"/>
  <c r="AJ81" i="17" s="1"/>
  <c r="AJ121" i="17" s="1"/>
  <c r="AC63" i="34"/>
  <c r="AC129" i="34" s="1"/>
  <c r="T552" i="58"/>
  <c r="V552" i="58"/>
  <c r="AP552" i="58"/>
  <c r="AC552" i="58"/>
  <c r="AT552" i="58"/>
  <c r="P552" i="58"/>
  <c r="AI552" i="58"/>
  <c r="AR552" i="58"/>
  <c r="AG78" i="58"/>
  <c r="O67" i="35"/>
  <c r="K66" i="35"/>
  <c r="AC129" i="58" s="1"/>
  <c r="H333" i="35"/>
  <c r="J333" i="35" s="1"/>
  <c r="J334" i="35"/>
  <c r="AI204" i="58"/>
  <c r="F578" i="35"/>
  <c r="J578" i="35" s="1"/>
  <c r="J579" i="35"/>
  <c r="J306" i="35"/>
  <c r="R235" i="35"/>
  <c r="T235" i="35" s="1"/>
  <c r="T236" i="35"/>
  <c r="R57" i="35"/>
  <c r="AT129" i="58" s="1"/>
  <c r="T58" i="35"/>
  <c r="T394" i="58"/>
  <c r="T370" i="58"/>
  <c r="V141" i="58"/>
  <c r="X141" i="58" s="1"/>
  <c r="J566" i="35"/>
  <c r="U566" i="35" s="1"/>
  <c r="T226" i="35"/>
  <c r="U226" i="35" s="1"/>
  <c r="AV166" i="58"/>
  <c r="AE368" i="58"/>
  <c r="AE512" i="58"/>
  <c r="AE168" i="58"/>
  <c r="AK168" i="58" s="1"/>
  <c r="O654" i="35"/>
  <c r="AP43" i="58"/>
  <c r="AX43" i="58" s="1"/>
  <c r="AP27" i="58"/>
  <c r="AX27" i="58" s="1"/>
  <c r="AP35" i="58"/>
  <c r="AX35" i="58" s="1"/>
  <c r="AP19" i="58"/>
  <c r="AX19" i="58" s="1"/>
  <c r="AT234" i="58"/>
  <c r="AT185" i="58"/>
  <c r="AT175" i="58"/>
  <c r="AT195" i="58"/>
  <c r="AT273" i="58"/>
  <c r="AT214" i="58"/>
  <c r="AT224" i="58"/>
  <c r="AT244" i="58"/>
  <c r="AT263" i="58"/>
  <c r="AT253" i="58"/>
  <c r="U241" i="35"/>
  <c r="V57" i="58"/>
  <c r="X57" i="58" s="1"/>
  <c r="J345" i="35"/>
  <c r="T364" i="35"/>
  <c r="AR202" i="58"/>
  <c r="AX202" i="58" s="1"/>
  <c r="AP203" i="58"/>
  <c r="AX203" i="58" s="1"/>
  <c r="T450" i="35"/>
  <c r="O27" i="35"/>
  <c r="AV271" i="58"/>
  <c r="AV173" i="58"/>
  <c r="AV222" i="58"/>
  <c r="AV193" i="58"/>
  <c r="AX193" i="58" s="1"/>
  <c r="AV242" i="58"/>
  <c r="AV212" i="58"/>
  <c r="AV251" i="58"/>
  <c r="AV232" i="58"/>
  <c r="AV183" i="58"/>
  <c r="T376" i="35"/>
  <c r="AV261" i="58"/>
  <c r="AC9" i="58"/>
  <c r="AK9" i="58" s="1"/>
  <c r="AC17" i="58"/>
  <c r="AK17" i="58" s="1"/>
  <c r="O684" i="35"/>
  <c r="AE205" i="58"/>
  <c r="AK205" i="58" s="1"/>
  <c r="O276" i="35"/>
  <c r="AX55" i="58"/>
  <c r="AI110" i="58"/>
  <c r="AK110" i="58" s="1"/>
  <c r="AI118" i="58"/>
  <c r="AK118" i="58" s="1"/>
  <c r="AI94" i="58"/>
  <c r="AK94" i="58" s="1"/>
  <c r="AI102" i="58"/>
  <c r="AK102" i="58" s="1"/>
  <c r="O504" i="35"/>
  <c r="AE30" i="58"/>
  <c r="AK30" i="58" s="1"/>
  <c r="AE46" i="58"/>
  <c r="AK46" i="58" s="1"/>
  <c r="AE22" i="58"/>
  <c r="AK22" i="58" s="1"/>
  <c r="O516" i="35"/>
  <c r="AE38" i="58"/>
  <c r="AK38" i="58" s="1"/>
  <c r="U428" i="35"/>
  <c r="AP191" i="58"/>
  <c r="AP220" i="58"/>
  <c r="AP269" i="58"/>
  <c r="T27" i="35"/>
  <c r="AP249" i="58"/>
  <c r="AK10" i="58"/>
  <c r="P317" i="58"/>
  <c r="P517" i="58"/>
  <c r="P301" i="58"/>
  <c r="P341" i="58"/>
  <c r="P277" i="58"/>
  <c r="P325" i="58"/>
  <c r="P461" i="58"/>
  <c r="P509" i="58"/>
  <c r="P453" i="58"/>
  <c r="P349" i="58"/>
  <c r="P501" i="58"/>
  <c r="P285" i="58"/>
  <c r="P485" i="58"/>
  <c r="P405" i="58"/>
  <c r="P333" i="58"/>
  <c r="P469" i="58"/>
  <c r="P413" i="58"/>
  <c r="P373" i="58"/>
  <c r="P493" i="58"/>
  <c r="P421" i="58"/>
  <c r="P357" i="58"/>
  <c r="P381" i="58"/>
  <c r="P309" i="58"/>
  <c r="AI83" i="58"/>
  <c r="AK83" i="58" s="1"/>
  <c r="AI74" i="58"/>
  <c r="AK74" i="58" s="1"/>
  <c r="AI65" i="58"/>
  <c r="O69" i="35"/>
  <c r="R165" i="58"/>
  <c r="X165" i="58" s="1"/>
  <c r="M165" i="58" s="1"/>
  <c r="N165" i="58" s="1"/>
  <c r="J483" i="35"/>
  <c r="AV163" i="58"/>
  <c r="AX163" i="58" s="1"/>
  <c r="T137" i="35"/>
  <c r="AR165" i="58"/>
  <c r="AX165" i="58" s="1"/>
  <c r="T483" i="35"/>
  <c r="S87" i="85"/>
  <c r="AC560" i="58"/>
  <c r="AT561" i="58"/>
  <c r="T91" i="85"/>
  <c r="BD20" i="85"/>
  <c r="AP550" i="58"/>
  <c r="P553" i="58"/>
  <c r="AV20" i="85"/>
  <c r="AV22" i="85"/>
  <c r="BH17" i="85"/>
  <c r="AC553" i="58"/>
  <c r="AZ22" i="85"/>
  <c r="AZ20" i="85"/>
  <c r="AP554" i="58"/>
  <c r="AE554" i="58"/>
  <c r="P554" i="58"/>
  <c r="AR554" i="58"/>
  <c r="R554" i="58"/>
  <c r="AG554" i="58"/>
  <c r="AI554" i="58"/>
  <c r="T554" i="58"/>
  <c r="AT554" i="58"/>
  <c r="V554" i="58"/>
  <c r="AC554" i="58"/>
  <c r="H87" i="35"/>
  <c r="J88" i="35"/>
  <c r="H259" i="35"/>
  <c r="J260" i="35"/>
  <c r="K666" i="35"/>
  <c r="O666" i="35" s="1"/>
  <c r="O667" i="35"/>
  <c r="L492" i="35"/>
  <c r="O492" i="35" s="1"/>
  <c r="O493" i="35"/>
  <c r="J602" i="35"/>
  <c r="U602" i="35" s="1"/>
  <c r="P23" i="58"/>
  <c r="X23" i="58" s="1"/>
  <c r="G605" i="35"/>
  <c r="J606" i="35"/>
  <c r="M60" i="35"/>
  <c r="AG129" i="58" s="1"/>
  <c r="O61" i="35"/>
  <c r="S173" i="35"/>
  <c r="T174" i="35"/>
  <c r="O111" i="35"/>
  <c r="O205" i="35"/>
  <c r="AT255" i="58"/>
  <c r="AT187" i="58"/>
  <c r="AT197" i="58"/>
  <c r="AT226" i="58"/>
  <c r="AT236" i="58"/>
  <c r="AT216" i="58"/>
  <c r="AT177" i="58"/>
  <c r="T630" i="35"/>
  <c r="AT265" i="58"/>
  <c r="AT246" i="58"/>
  <c r="AT275" i="58"/>
  <c r="AT74" i="58"/>
  <c r="AT83" i="58"/>
  <c r="AT65" i="58"/>
  <c r="T69" i="35"/>
  <c r="T471" i="35"/>
  <c r="AP392" i="58"/>
  <c r="AP376" i="58"/>
  <c r="AP424" i="58"/>
  <c r="AP328" i="58"/>
  <c r="AP400" i="58"/>
  <c r="AP368" i="58"/>
  <c r="AP464" i="58"/>
  <c r="AP408" i="58"/>
  <c r="AP312" i="58"/>
  <c r="AP296" i="58"/>
  <c r="AP448" i="58"/>
  <c r="AP480" i="58"/>
  <c r="AP512" i="58"/>
  <c r="AP288" i="58"/>
  <c r="AP440" i="58"/>
  <c r="AP280" i="58"/>
  <c r="AP504" i="58"/>
  <c r="AP472" i="58"/>
  <c r="AP416" i="58"/>
  <c r="AP320" i="58"/>
  <c r="AP352" i="58"/>
  <c r="AP384" i="58"/>
  <c r="AP520" i="58"/>
  <c r="AP304" i="58"/>
  <c r="AP360" i="58"/>
  <c r="AP432" i="58"/>
  <c r="AP456" i="58"/>
  <c r="AP344" i="58"/>
  <c r="AP488" i="58"/>
  <c r="AP496" i="58"/>
  <c r="AP336" i="58"/>
  <c r="X259" i="58"/>
  <c r="Q575" i="35"/>
  <c r="T575" i="35" s="1"/>
  <c r="T576" i="35"/>
  <c r="K143" i="35"/>
  <c r="AI212" i="58"/>
  <c r="AI173" i="58"/>
  <c r="AI242" i="58"/>
  <c r="AI222" i="58"/>
  <c r="AI251" i="58"/>
  <c r="AI183" i="58"/>
  <c r="AI232" i="58"/>
  <c r="AI271" i="58"/>
  <c r="O373" i="35"/>
  <c r="U373" i="35" s="1"/>
  <c r="AI193" i="58"/>
  <c r="AI261" i="58"/>
  <c r="R260" i="58"/>
  <c r="R250" i="58"/>
  <c r="R241" i="58"/>
  <c r="R182" i="58"/>
  <c r="R231" i="58"/>
  <c r="R172" i="58"/>
  <c r="R211" i="58"/>
  <c r="R270" i="58"/>
  <c r="R192" i="58"/>
  <c r="R221" i="58"/>
  <c r="J113" i="35"/>
  <c r="T265" i="58"/>
  <c r="T177" i="58"/>
  <c r="T187" i="58"/>
  <c r="T197" i="58"/>
  <c r="T246" i="58"/>
  <c r="T216" i="58"/>
  <c r="T275" i="58"/>
  <c r="T236" i="58"/>
  <c r="T255" i="58"/>
  <c r="T226" i="58"/>
  <c r="J630" i="35"/>
  <c r="AI191" i="58"/>
  <c r="AI220" i="58"/>
  <c r="P31" i="58"/>
  <c r="X31" i="58" s="1"/>
  <c r="T143" i="35"/>
  <c r="AR153" i="58"/>
  <c r="U365" i="35"/>
  <c r="T262" i="35"/>
  <c r="AT69" i="58"/>
  <c r="T247" i="35"/>
  <c r="AP69" i="58"/>
  <c r="T75" i="35"/>
  <c r="AP65" i="58"/>
  <c r="V158" i="58"/>
  <c r="T113" i="58"/>
  <c r="X113" i="58" s="1"/>
  <c r="T105" i="58"/>
  <c r="X105" i="58" s="1"/>
  <c r="T121" i="58"/>
  <c r="T97" i="58"/>
  <c r="P76" i="58"/>
  <c r="P85" i="58"/>
  <c r="J424" i="35"/>
  <c r="AI89" i="58"/>
  <c r="AK89" i="58" s="1"/>
  <c r="AI80" i="58"/>
  <c r="AK80" i="58" s="1"/>
  <c r="AI71" i="58"/>
  <c r="T89" i="58"/>
  <c r="X89" i="58" s="1"/>
  <c r="M89" i="58" s="1"/>
  <c r="T71" i="58"/>
  <c r="T80" i="58"/>
  <c r="X80" i="58" s="1"/>
  <c r="J681" i="35"/>
  <c r="AG165" i="58"/>
  <c r="O483" i="35"/>
  <c r="F152" i="35"/>
  <c r="J153" i="35"/>
  <c r="F669" i="35"/>
  <c r="J670" i="35"/>
  <c r="P324" i="35"/>
  <c r="AP134" i="58" s="1"/>
  <c r="T325" i="35"/>
  <c r="P412" i="35"/>
  <c r="AP131" i="58" s="1"/>
  <c r="T413" i="35"/>
  <c r="R7" i="90"/>
  <c r="R8" i="90" s="1"/>
  <c r="T87" i="85"/>
  <c r="AP560" i="58"/>
  <c r="BA22" i="85"/>
  <c r="AE553" i="58"/>
  <c r="P555" i="58"/>
  <c r="R67" i="85"/>
  <c r="R83" i="85"/>
  <c r="P559" i="58"/>
  <c r="T75" i="85"/>
  <c r="AP557" i="58"/>
  <c r="AT559" i="58"/>
  <c r="T83" i="85"/>
  <c r="AT550" i="58"/>
  <c r="BF20" i="85"/>
  <c r="BB22" i="85"/>
  <c r="AG553" i="58"/>
  <c r="P551" i="58"/>
  <c r="AG551" i="58"/>
  <c r="AR551" i="58"/>
  <c r="V551" i="58"/>
  <c r="T551" i="58"/>
  <c r="AE551" i="58"/>
  <c r="AP551" i="58"/>
  <c r="AI551" i="58"/>
  <c r="R551" i="58"/>
  <c r="AT551" i="58"/>
  <c r="AC551" i="58"/>
  <c r="AV383" i="58"/>
  <c r="AV511" i="58"/>
  <c r="AV359" i="58"/>
  <c r="AV391" i="58"/>
  <c r="AV495" i="58"/>
  <c r="AV487" i="58"/>
  <c r="AV471" i="58"/>
  <c r="AV327" i="58"/>
  <c r="AV399" i="58"/>
  <c r="AV423" i="58"/>
  <c r="AV479" i="58"/>
  <c r="AV519" i="58"/>
  <c r="AV367" i="58"/>
  <c r="AV295" i="58"/>
  <c r="AV415" i="58"/>
  <c r="AV439" i="58"/>
  <c r="AV503" i="58"/>
  <c r="AV455" i="58"/>
  <c r="AV375" i="58"/>
  <c r="AV407" i="58"/>
  <c r="AV279" i="58"/>
  <c r="AV447" i="58"/>
  <c r="AV351" i="58"/>
  <c r="AV287" i="58"/>
  <c r="AV463" i="58"/>
  <c r="AV431" i="58"/>
  <c r="AV343" i="58"/>
  <c r="AV319" i="58"/>
  <c r="AV311" i="58"/>
  <c r="AV303" i="58"/>
  <c r="AV335" i="58"/>
  <c r="K161" i="35"/>
  <c r="O162" i="35"/>
  <c r="BC14" i="23"/>
  <c r="AG292" i="58"/>
  <c r="AG300" i="58"/>
  <c r="AG382" i="58"/>
  <c r="AG326" i="58"/>
  <c r="AG452" i="58"/>
  <c r="AG316" i="58"/>
  <c r="AG518" i="58"/>
  <c r="AG470" i="58"/>
  <c r="AG372" i="58"/>
  <c r="AG444" i="58"/>
  <c r="AG334" i="58"/>
  <c r="AG438" i="58"/>
  <c r="AG428" i="58"/>
  <c r="AG348" i="58"/>
  <c r="AG380" i="58"/>
  <c r="AG468" i="58"/>
  <c r="AG324" i="58"/>
  <c r="AG388" i="58"/>
  <c r="AG286" i="58"/>
  <c r="AG374" i="58"/>
  <c r="AG484" i="58"/>
  <c r="AG454" i="58"/>
  <c r="AG478" i="58"/>
  <c r="AG436" i="58"/>
  <c r="AG420" i="58"/>
  <c r="AG502" i="58"/>
  <c r="AG278" i="58"/>
  <c r="AG404" i="58"/>
  <c r="AG422" i="58"/>
  <c r="AG342" i="58"/>
  <c r="AG366" i="58"/>
  <c r="AG308" i="58"/>
  <c r="AG460" i="58"/>
  <c r="AG350" i="58"/>
  <c r="AG486" i="58"/>
  <c r="AG340" i="58"/>
  <c r="AG492" i="58"/>
  <c r="AG414" i="58"/>
  <c r="AG310" i="58"/>
  <c r="AG276" i="58"/>
  <c r="AG516" i="58"/>
  <c r="AG294" i="58"/>
  <c r="AG302" i="58"/>
  <c r="AG398" i="58"/>
  <c r="AG446" i="58"/>
  <c r="AG430" i="58"/>
  <c r="AG318" i="58"/>
  <c r="AG284" i="58"/>
  <c r="AG412" i="58"/>
  <c r="AG508" i="58"/>
  <c r="AG332" i="58"/>
  <c r="AG476" i="58"/>
  <c r="AG396" i="58"/>
  <c r="AG356" i="58"/>
  <c r="AG500" i="58"/>
  <c r="AG494" i="58"/>
  <c r="AG358" i="58"/>
  <c r="AG510" i="58"/>
  <c r="AG364" i="58"/>
  <c r="AG390" i="58"/>
  <c r="AG406" i="58"/>
  <c r="O119" i="35"/>
  <c r="AG462" i="58"/>
  <c r="N259" i="35"/>
  <c r="O260" i="35"/>
  <c r="N519" i="35"/>
  <c r="O520" i="35"/>
  <c r="N146" i="35"/>
  <c r="O147" i="35"/>
  <c r="Q403" i="35"/>
  <c r="T404" i="35"/>
  <c r="Q229" i="35"/>
  <c r="T230" i="35"/>
  <c r="K489" i="35"/>
  <c r="AC132" i="58" s="1"/>
  <c r="K575" i="35"/>
  <c r="J447" i="35"/>
  <c r="U447" i="35" s="1"/>
  <c r="Q370" i="35"/>
  <c r="P110" i="35"/>
  <c r="T111" i="35"/>
  <c r="V542" i="58"/>
  <c r="X542" i="58" s="1"/>
  <c r="J21" i="35"/>
  <c r="U274" i="35"/>
  <c r="T51" i="35"/>
  <c r="AV162" i="58"/>
  <c r="AX162" i="58" s="1"/>
  <c r="AR54" i="58"/>
  <c r="AX54" i="58" s="1"/>
  <c r="T433" i="35"/>
  <c r="P47" i="58"/>
  <c r="X47" i="58" s="1"/>
  <c r="T599" i="35"/>
  <c r="AT7" i="58"/>
  <c r="AE379" i="58"/>
  <c r="AE419" i="58"/>
  <c r="AE299" i="58"/>
  <c r="AE283" i="58"/>
  <c r="AE387" i="58"/>
  <c r="AE347" i="58"/>
  <c r="AE451" i="58"/>
  <c r="AE307" i="58"/>
  <c r="AE475" i="58"/>
  <c r="AE491" i="58"/>
  <c r="AE371" i="58"/>
  <c r="AE363" i="58"/>
  <c r="AE355" i="58"/>
  <c r="AE443" i="58"/>
  <c r="AE339" i="58"/>
  <c r="O193" i="35"/>
  <c r="P222" i="58"/>
  <c r="X222" i="58" s="1"/>
  <c r="P173" i="58"/>
  <c r="X173" i="58" s="1"/>
  <c r="P251" i="58"/>
  <c r="X251" i="58" s="1"/>
  <c r="P212" i="58"/>
  <c r="X212" i="58" s="1"/>
  <c r="P261" i="58"/>
  <c r="X261" i="58" s="1"/>
  <c r="P242" i="58"/>
  <c r="X242" i="58" s="1"/>
  <c r="P193" i="58"/>
  <c r="X193" i="58" s="1"/>
  <c r="P232" i="58"/>
  <c r="X232" i="58" s="1"/>
  <c r="J376" i="35"/>
  <c r="P271" i="58"/>
  <c r="X271" i="58" s="1"/>
  <c r="P183" i="58"/>
  <c r="X183" i="58" s="1"/>
  <c r="O474" i="35"/>
  <c r="U474" i="35" s="1"/>
  <c r="T202" i="58"/>
  <c r="X202" i="58" s="1"/>
  <c r="J364" i="35"/>
  <c r="AG81" i="58"/>
  <c r="AK81" i="58" s="1"/>
  <c r="AG59" i="58"/>
  <c r="AK59" i="58" s="1"/>
  <c r="AG72" i="58"/>
  <c r="AK72" i="58" s="1"/>
  <c r="AG66" i="58"/>
  <c r="O155" i="35"/>
  <c r="AG84" i="58"/>
  <c r="AK84" i="58" s="1"/>
  <c r="AG75" i="58"/>
  <c r="AK75" i="58" s="1"/>
  <c r="U176" i="35"/>
  <c r="O88" i="35"/>
  <c r="AR65" i="58"/>
  <c r="T93" i="35"/>
  <c r="AC77" i="58"/>
  <c r="O510" i="35"/>
  <c r="U510" i="35" s="1"/>
  <c r="AC68" i="58"/>
  <c r="AC86" i="58"/>
  <c r="R118" i="58"/>
  <c r="X118" i="58" s="1"/>
  <c r="R102" i="58"/>
  <c r="X102" i="58" s="1"/>
  <c r="R110" i="58"/>
  <c r="X110" i="58" s="1"/>
  <c r="J504" i="35"/>
  <c r="R94" i="58"/>
  <c r="X94" i="58" s="1"/>
  <c r="F412" i="35"/>
  <c r="P131" i="58" s="1"/>
  <c r="J413" i="35"/>
  <c r="F66" i="35"/>
  <c r="P129" i="58" s="1"/>
  <c r="J67" i="35"/>
  <c r="P498" i="35"/>
  <c r="AP132" i="58" s="1"/>
  <c r="T499" i="35"/>
  <c r="Q8" i="90"/>
  <c r="BJ25" i="22"/>
  <c r="AZ34" i="22"/>
  <c r="T71" i="85"/>
  <c r="AP556" i="58"/>
  <c r="T79" i="85"/>
  <c r="AP558" i="58"/>
  <c r="T557" i="58"/>
  <c r="R75" i="85"/>
  <c r="S83" i="85"/>
  <c r="AC559" i="58"/>
  <c r="R71" i="85"/>
  <c r="P556" i="58"/>
  <c r="N136" i="23"/>
  <c r="T410" i="35"/>
  <c r="Q409" i="35"/>
  <c r="T409" i="35" s="1"/>
  <c r="U409" i="35" s="1"/>
  <c r="G433" i="35"/>
  <c r="J434" i="35"/>
  <c r="M578" i="35"/>
  <c r="O579" i="35"/>
  <c r="T548" i="58"/>
  <c r="X548" i="58" s="1"/>
  <c r="J624" i="35"/>
  <c r="AC87" i="58"/>
  <c r="O587" i="35"/>
  <c r="U587" i="35" s="1"/>
  <c r="AC78" i="58"/>
  <c r="AC69" i="58"/>
  <c r="T217" i="35"/>
  <c r="AC202" i="58"/>
  <c r="AK202" i="58" s="1"/>
  <c r="O364" i="35"/>
  <c r="BG34" i="22"/>
  <c r="AC555" i="58"/>
  <c r="S67" i="85"/>
  <c r="AC561" i="58"/>
  <c r="S91" i="85"/>
  <c r="BH14" i="85"/>
  <c r="AE550" i="58"/>
  <c r="BA20" i="85"/>
  <c r="AY22" i="85"/>
  <c r="AY20" i="85"/>
  <c r="V553" i="58"/>
  <c r="AG552" i="58"/>
  <c r="BB20" i="85"/>
  <c r="BG20" i="85"/>
  <c r="AP555" i="58"/>
  <c r="T67" i="85"/>
  <c r="R87" i="85"/>
  <c r="P560" i="58"/>
  <c r="BJ44" i="23"/>
  <c r="H690" i="35"/>
  <c r="J691" i="35"/>
  <c r="G525" i="35"/>
  <c r="J526" i="35"/>
  <c r="Q666" i="35"/>
  <c r="T667" i="35"/>
  <c r="K421" i="35"/>
  <c r="O422" i="35"/>
  <c r="AR95" i="58"/>
  <c r="AX95" i="58" s="1"/>
  <c r="AR119" i="58"/>
  <c r="AX119" i="58" s="1"/>
  <c r="AR103" i="58"/>
  <c r="AX103" i="58" s="1"/>
  <c r="T244" i="35"/>
  <c r="AR111" i="58"/>
  <c r="AX111" i="58" s="1"/>
  <c r="R224" i="58"/>
  <c r="R185" i="58"/>
  <c r="R263" i="58"/>
  <c r="R244" i="58"/>
  <c r="R234" i="58"/>
  <c r="R195" i="58"/>
  <c r="J548" i="35"/>
  <c r="R253" i="58"/>
  <c r="R175" i="58"/>
  <c r="R214" i="58"/>
  <c r="R273" i="58"/>
  <c r="T133" i="58"/>
  <c r="V129" i="58"/>
  <c r="AT131" i="58"/>
  <c r="AV133" i="58"/>
  <c r="AG135" i="58"/>
  <c r="V135" i="58"/>
  <c r="AG131" i="58"/>
  <c r="R131" i="58"/>
  <c r="AV131" i="58"/>
  <c r="AV130" i="58"/>
  <c r="AR129" i="58"/>
  <c r="AG132" i="58"/>
  <c r="AV132" i="58"/>
  <c r="AR130" i="58"/>
  <c r="AV135" i="58"/>
  <c r="AG130" i="58"/>
  <c r="T135" i="58"/>
  <c r="V133" i="58"/>
  <c r="AI132" i="58"/>
  <c r="V132" i="58"/>
  <c r="T129" i="58"/>
  <c r="AV134" i="58"/>
  <c r="AI129" i="58"/>
  <c r="AI131" i="58"/>
  <c r="R135" i="58"/>
  <c r="AG134" i="58"/>
  <c r="V131" i="58"/>
  <c r="T134" i="58"/>
  <c r="AT134" i="58"/>
  <c r="T130" i="58"/>
  <c r="AT135" i="58"/>
  <c r="AV129" i="58"/>
  <c r="AT130" i="58"/>
  <c r="V134" i="58"/>
  <c r="AI134" i="58"/>
  <c r="G173" i="35"/>
  <c r="J174" i="35"/>
  <c r="R337" i="58"/>
  <c r="R497" i="58"/>
  <c r="R297" i="58"/>
  <c r="R465" i="58"/>
  <c r="R457" i="58"/>
  <c r="R401" i="58"/>
  <c r="R313" i="58"/>
  <c r="R329" i="58"/>
  <c r="R521" i="58"/>
  <c r="R361" i="58"/>
  <c r="R505" i="58"/>
  <c r="R489" i="58"/>
  <c r="R321" i="58"/>
  <c r="R289" i="58"/>
  <c r="R425" i="58"/>
  <c r="R345" i="58"/>
  <c r="R433" i="58"/>
  <c r="R369" i="58"/>
  <c r="R481" i="58"/>
  <c r="R305" i="58"/>
  <c r="R281" i="58"/>
  <c r="R377" i="58"/>
  <c r="R385" i="58"/>
  <c r="R393" i="58"/>
  <c r="R441" i="58"/>
  <c r="R449" i="58"/>
  <c r="R417" i="58"/>
  <c r="J211" i="35"/>
  <c r="R513" i="58"/>
  <c r="R473" i="58"/>
  <c r="R409" i="58"/>
  <c r="R353" i="58"/>
  <c r="AE104" i="58"/>
  <c r="AK104" i="58" s="1"/>
  <c r="BN104" i="58" s="1"/>
  <c r="O330" i="35"/>
  <c r="AE96" i="58"/>
  <c r="AK96" i="58" s="1"/>
  <c r="AE120" i="58"/>
  <c r="AK120" i="58" s="1"/>
  <c r="AE112" i="58"/>
  <c r="AK112" i="58" s="1"/>
  <c r="M75" i="35"/>
  <c r="O76" i="35"/>
  <c r="M247" i="35"/>
  <c r="O248" i="35"/>
  <c r="N173" i="35"/>
  <c r="O174" i="35"/>
  <c r="AI140" i="58"/>
  <c r="AK140" i="58" s="1"/>
  <c r="O480" i="35"/>
  <c r="X210" i="58"/>
  <c r="X191" i="58"/>
  <c r="N232" i="35"/>
  <c r="AI133" i="58" s="1"/>
  <c r="O233" i="35"/>
  <c r="Q315" i="35"/>
  <c r="T316" i="35"/>
  <c r="Q489" i="35"/>
  <c r="AR132" i="58" s="1"/>
  <c r="T490" i="35"/>
  <c r="K403" i="35"/>
  <c r="AC131" i="58" s="1"/>
  <c r="AR9" i="58"/>
  <c r="AX9" i="58" s="1"/>
  <c r="AR17" i="58"/>
  <c r="AX17" i="58" s="1"/>
  <c r="T684" i="35"/>
  <c r="X86" i="58"/>
  <c r="AE395" i="58"/>
  <c r="AE515" i="58"/>
  <c r="AE291" i="58"/>
  <c r="AT15" i="58"/>
  <c r="Q24" i="35"/>
  <c r="T657" i="35"/>
  <c r="U657" i="35" s="1"/>
  <c r="AP168" i="58"/>
  <c r="AX168" i="58" s="1"/>
  <c r="AX108" i="58"/>
  <c r="AV137" i="58"/>
  <c r="AX137" i="58" s="1"/>
  <c r="T48" i="35"/>
  <c r="AK203" i="58"/>
  <c r="J273" i="35"/>
  <c r="U273" i="35" s="1"/>
  <c r="U263" i="35"/>
  <c r="AG70" i="58"/>
  <c r="O450" i="35"/>
  <c r="U450" i="35" s="1"/>
  <c r="T211" i="35"/>
  <c r="AX12" i="58"/>
  <c r="AT60" i="58"/>
  <c r="AX60" i="58" s="1"/>
  <c r="AT73" i="58"/>
  <c r="AX73" i="58" s="1"/>
  <c r="BN73" i="58" s="1"/>
  <c r="AT82" i="58"/>
  <c r="AX82" i="58" s="1"/>
  <c r="BN82" i="58" s="1"/>
  <c r="AT75" i="58"/>
  <c r="AT84" i="58"/>
  <c r="AX84" i="58" s="1"/>
  <c r="T164" i="35"/>
  <c r="U164" i="35" s="1"/>
  <c r="T507" i="35"/>
  <c r="AP68" i="58"/>
  <c r="J93" i="35"/>
  <c r="R65" i="58"/>
  <c r="AG52" i="58"/>
  <c r="AK52" i="58" s="1"/>
  <c r="O87" i="35"/>
  <c r="P103" i="58"/>
  <c r="J244" i="35"/>
  <c r="P95" i="58"/>
  <c r="P119" i="58"/>
  <c r="P111" i="58"/>
  <c r="AC43" i="58"/>
  <c r="AK43" i="58" s="1"/>
  <c r="AC19" i="58"/>
  <c r="AK19" i="58" s="1"/>
  <c r="AC27" i="58"/>
  <c r="AK27" i="58" s="1"/>
  <c r="AC35" i="58"/>
  <c r="AK35" i="58" s="1"/>
  <c r="O84" i="35"/>
  <c r="AV32" i="58"/>
  <c r="AX32" i="58" s="1"/>
  <c r="AV40" i="58"/>
  <c r="AX40" i="58" s="1"/>
  <c r="AV48" i="58"/>
  <c r="AX48" i="58" s="1"/>
  <c r="AV24" i="58"/>
  <c r="AX24" i="58" s="1"/>
  <c r="AG85" i="58"/>
  <c r="AG76" i="58"/>
  <c r="AG67" i="58"/>
  <c r="O424" i="35"/>
  <c r="AG49" i="58"/>
  <c r="AK49" i="58" s="1"/>
  <c r="AG41" i="58"/>
  <c r="AK41" i="58" s="1"/>
  <c r="AG25" i="58"/>
  <c r="AK25" i="58" s="1"/>
  <c r="AG33" i="58"/>
  <c r="AK33" i="58" s="1"/>
  <c r="J325" i="35"/>
  <c r="F324" i="35"/>
  <c r="F498" i="35"/>
  <c r="J499" i="35"/>
  <c r="T670" i="35"/>
  <c r="P669" i="35"/>
  <c r="AP135" i="58" s="1"/>
  <c r="T239" i="35"/>
  <c r="P238" i="35"/>
  <c r="P66" i="35"/>
  <c r="T67" i="35"/>
  <c r="O6" i="90"/>
  <c r="U89" i="23"/>
  <c r="U136" i="23" s="1"/>
  <c r="AC556" i="58"/>
  <c r="S71" i="85"/>
  <c r="BH15" i="85"/>
  <c r="AW20" i="85"/>
  <c r="R558" i="58"/>
  <c r="R79" i="85"/>
  <c r="AE557" i="58"/>
  <c r="S75" i="85"/>
  <c r="T561" i="58"/>
  <c r="R91" i="85"/>
  <c r="BC20" i="85"/>
  <c r="R552" i="58"/>
  <c r="BH16" i="85"/>
  <c r="AC558" i="58"/>
  <c r="S79" i="85"/>
  <c r="G611" i="35"/>
  <c r="J612" i="35"/>
  <c r="O150" i="35"/>
  <c r="K149" i="35"/>
  <c r="O149" i="35" s="1"/>
  <c r="K678" i="35"/>
  <c r="O679" i="35"/>
  <c r="T545" i="35"/>
  <c r="O642" i="35"/>
  <c r="G519" i="35"/>
  <c r="J520" i="35"/>
  <c r="AI76" i="58"/>
  <c r="AI85" i="58"/>
  <c r="AI67" i="58"/>
  <c r="O415" i="35"/>
  <c r="J693" i="35"/>
  <c r="U693" i="35" s="1"/>
  <c r="O336" i="35"/>
  <c r="AC70" i="58"/>
  <c r="AC88" i="58"/>
  <c r="AK88" i="58" s="1"/>
  <c r="AC79" i="58"/>
  <c r="AK79" i="58" s="1"/>
  <c r="U694" i="35"/>
  <c r="AE116" i="58"/>
  <c r="AK116" i="58" s="1"/>
  <c r="AE100" i="58"/>
  <c r="AK100" i="58" s="1"/>
  <c r="AE90" i="58"/>
  <c r="AK90" i="58" s="1"/>
  <c r="AE114" i="58"/>
  <c r="AK114" i="58" s="1"/>
  <c r="O158" i="35"/>
  <c r="AE92" i="58"/>
  <c r="AK92" i="58" s="1"/>
  <c r="AE108" i="58"/>
  <c r="AK108" i="58" s="1"/>
  <c r="AE106" i="58"/>
  <c r="AK106" i="58" s="1"/>
  <c r="AE98" i="58"/>
  <c r="AK98" i="58" s="1"/>
  <c r="M593" i="35"/>
  <c r="O593" i="35" s="1"/>
  <c r="O594" i="35"/>
  <c r="N345" i="35"/>
  <c r="O346" i="35"/>
  <c r="N605" i="35"/>
  <c r="O605" i="35" s="1"/>
  <c r="O606" i="35"/>
  <c r="AE548" i="58"/>
  <c r="AK548" i="58" s="1"/>
  <c r="O624" i="35"/>
  <c r="AT250" i="58"/>
  <c r="AT182" i="58"/>
  <c r="AT231" i="58"/>
  <c r="AT260" i="58"/>
  <c r="AT241" i="58"/>
  <c r="AT172" i="58"/>
  <c r="AT221" i="58"/>
  <c r="AT192" i="58"/>
  <c r="AT211" i="58"/>
  <c r="AT270" i="58"/>
  <c r="T113" i="35"/>
  <c r="N663" i="35"/>
  <c r="AI135" i="58" s="1"/>
  <c r="O664" i="35"/>
  <c r="K315" i="35"/>
  <c r="K660" i="35"/>
  <c r="AE523" i="58"/>
  <c r="AE507" i="58"/>
  <c r="AE323" i="58"/>
  <c r="AE427" i="58"/>
  <c r="AE411" i="58"/>
  <c r="Q627" i="35"/>
  <c r="O651" i="35"/>
  <c r="AC143" i="58"/>
  <c r="AK143" i="58" s="1"/>
  <c r="BN143" i="58" s="1"/>
  <c r="U631" i="35"/>
  <c r="O262" i="35"/>
  <c r="O319" i="35"/>
  <c r="P39" i="58"/>
  <c r="X39" i="58" s="1"/>
  <c r="AI86" i="58"/>
  <c r="AI68" i="58"/>
  <c r="O501" i="35"/>
  <c r="U501" i="35" s="1"/>
  <c r="AI77" i="58"/>
  <c r="AG14" i="58"/>
  <c r="AK14" i="58" s="1"/>
  <c r="AG6" i="58"/>
  <c r="AK6" i="58" s="1"/>
  <c r="AR11" i="58"/>
  <c r="T81" i="35"/>
  <c r="U81" i="35" s="1"/>
  <c r="AR3" i="58"/>
  <c r="AV174" i="58"/>
  <c r="AV184" i="58"/>
  <c r="AX184" i="58" s="1"/>
  <c r="AV233" i="58"/>
  <c r="AX233" i="58" s="1"/>
  <c r="AV262" i="58"/>
  <c r="AX262" i="58" s="1"/>
  <c r="AV243" i="58"/>
  <c r="T462" i="35"/>
  <c r="AV252" i="58"/>
  <c r="AX252" i="58" s="1"/>
  <c r="AV213" i="58"/>
  <c r="AV272" i="58"/>
  <c r="AV194" i="58"/>
  <c r="AV223" i="58"/>
  <c r="AX223" i="58" s="1"/>
  <c r="AG545" i="58"/>
  <c r="AK545" i="58" s="1"/>
  <c r="O453" i="35"/>
  <c r="J675" i="35"/>
  <c r="U682" i="35"/>
  <c r="F584" i="35"/>
  <c r="J584" i="35" s="1"/>
  <c r="J585" i="35"/>
  <c r="F238" i="35"/>
  <c r="J239" i="35"/>
  <c r="T585" i="35"/>
  <c r="P584" i="35"/>
  <c r="T584" i="35" s="1"/>
  <c r="P152" i="35"/>
  <c r="T152" i="35" s="1"/>
  <c r="T153" i="35"/>
  <c r="O410" i="35" l="1"/>
  <c r="AV538" i="58"/>
  <c r="U548" i="35"/>
  <c r="AK216" i="58"/>
  <c r="J196" i="35"/>
  <c r="J197" i="35"/>
  <c r="U684" i="35"/>
  <c r="X234" i="58"/>
  <c r="U256" i="35"/>
  <c r="AP244" i="58"/>
  <c r="U651" i="35"/>
  <c r="AP253" i="58"/>
  <c r="X111" i="58"/>
  <c r="AP175" i="58"/>
  <c r="AP214" i="58"/>
  <c r="J576" i="35"/>
  <c r="P196" i="35"/>
  <c r="U190" i="35"/>
  <c r="U394" i="35"/>
  <c r="T395" i="58"/>
  <c r="X97" i="58"/>
  <c r="U645" i="35"/>
  <c r="AC273" i="58"/>
  <c r="AC195" i="58"/>
  <c r="AC175" i="58"/>
  <c r="AC224" i="58"/>
  <c r="AC253" i="58"/>
  <c r="X484" i="58"/>
  <c r="BN99" i="58"/>
  <c r="AK78" i="58"/>
  <c r="BN32" i="58"/>
  <c r="AX166" i="58"/>
  <c r="BN166" i="58" s="1"/>
  <c r="AR186" i="58"/>
  <c r="AX186" i="58" s="1"/>
  <c r="AC244" i="58"/>
  <c r="AC263" i="58"/>
  <c r="AC214" i="58"/>
  <c r="AR196" i="58"/>
  <c r="AC185" i="58"/>
  <c r="U289" i="35"/>
  <c r="X452" i="58"/>
  <c r="U45" i="35"/>
  <c r="X103" i="58"/>
  <c r="AI240" i="58"/>
  <c r="O30" i="35"/>
  <c r="BN60" i="58"/>
  <c r="AE122" i="58"/>
  <c r="R133" i="58"/>
  <c r="X263" i="58"/>
  <c r="U21" i="35"/>
  <c r="AK165" i="58"/>
  <c r="BN165" i="58" s="1"/>
  <c r="AI269" i="58"/>
  <c r="AI181" i="58"/>
  <c r="AK181" i="58" s="1"/>
  <c r="BN141" i="58"/>
  <c r="BN2" i="58"/>
  <c r="X87" i="58"/>
  <c r="L324" i="35"/>
  <c r="O324" i="35" s="1"/>
  <c r="O325" i="35"/>
  <c r="X95" i="58"/>
  <c r="AT66" i="58"/>
  <c r="AX66" i="58" s="1"/>
  <c r="BN12" i="58"/>
  <c r="BN137" i="58"/>
  <c r="T307" i="58"/>
  <c r="AC122" i="58"/>
  <c r="AK87" i="58"/>
  <c r="BN87" i="58" s="1"/>
  <c r="U599" i="35"/>
  <c r="AI249" i="58"/>
  <c r="X221" i="58"/>
  <c r="AX255" i="58"/>
  <c r="AK15" i="58"/>
  <c r="BN4" i="58"/>
  <c r="U202" i="35"/>
  <c r="X115" i="58"/>
  <c r="BN115" i="58" s="1"/>
  <c r="L333" i="35"/>
  <c r="O334" i="35"/>
  <c r="U334" i="35" s="1"/>
  <c r="O498" i="35"/>
  <c r="BN41" i="58"/>
  <c r="T523" i="58"/>
  <c r="BN120" i="58"/>
  <c r="AI171" i="58"/>
  <c r="U582" i="35"/>
  <c r="BN107" i="58"/>
  <c r="U294" i="35"/>
  <c r="X342" i="58"/>
  <c r="AT363" i="58"/>
  <c r="AR399" i="58"/>
  <c r="AR311" i="58"/>
  <c r="T499" i="58"/>
  <c r="X499" i="58" s="1"/>
  <c r="T443" i="58"/>
  <c r="T339" i="58"/>
  <c r="T507" i="58"/>
  <c r="X507" i="58" s="1"/>
  <c r="T483" i="58"/>
  <c r="X483" i="58" s="1"/>
  <c r="T299" i="58"/>
  <c r="T451" i="58"/>
  <c r="T331" i="58"/>
  <c r="X331" i="58" s="1"/>
  <c r="T427" i="58"/>
  <c r="AR472" i="58"/>
  <c r="AX472" i="58" s="1"/>
  <c r="AG465" i="58"/>
  <c r="AK516" i="58"/>
  <c r="AT467" i="58"/>
  <c r="AV321" i="58"/>
  <c r="AX321" i="58" s="1"/>
  <c r="AT339" i="58"/>
  <c r="AT358" i="58"/>
  <c r="AV345" i="58"/>
  <c r="AX345" i="58" s="1"/>
  <c r="AT475" i="58"/>
  <c r="U40" i="35"/>
  <c r="V349" i="58"/>
  <c r="V325" i="58"/>
  <c r="X340" i="58"/>
  <c r="X430" i="58"/>
  <c r="AV513" i="58"/>
  <c r="AX513" i="58" s="1"/>
  <c r="AG489" i="58"/>
  <c r="U637" i="35"/>
  <c r="AG505" i="58"/>
  <c r="X372" i="58"/>
  <c r="X350" i="58"/>
  <c r="V301" i="58"/>
  <c r="V397" i="58"/>
  <c r="X406" i="58"/>
  <c r="X404" i="58"/>
  <c r="AC463" i="58"/>
  <c r="AK463" i="58" s="1"/>
  <c r="U125" i="35"/>
  <c r="X462" i="58"/>
  <c r="X468" i="58"/>
  <c r="X398" i="58"/>
  <c r="AI210" i="58"/>
  <c r="AI259" i="58"/>
  <c r="AK259" i="58" s="1"/>
  <c r="AG449" i="58"/>
  <c r="AR392" i="58"/>
  <c r="AX392" i="58" s="1"/>
  <c r="AX210" i="58"/>
  <c r="J456" i="35"/>
  <c r="AK236" i="58"/>
  <c r="AK176" i="58"/>
  <c r="AX493" i="58"/>
  <c r="V449" i="58"/>
  <c r="U292" i="35"/>
  <c r="V413" i="58"/>
  <c r="V309" i="58"/>
  <c r="V333" i="58"/>
  <c r="X91" i="58"/>
  <c r="BN91" i="58" s="1"/>
  <c r="V558" i="58"/>
  <c r="X518" i="58"/>
  <c r="X348" i="58"/>
  <c r="AK197" i="58"/>
  <c r="U581" i="35"/>
  <c r="AG410" i="58"/>
  <c r="AK410" i="58" s="1"/>
  <c r="U286" i="35"/>
  <c r="AK225" i="58"/>
  <c r="AG338" i="58"/>
  <c r="AK338" i="58" s="1"/>
  <c r="U36" i="35"/>
  <c r="X436" i="58"/>
  <c r="X494" i="58"/>
  <c r="V365" i="58"/>
  <c r="V317" i="58"/>
  <c r="V485" i="58"/>
  <c r="V357" i="58"/>
  <c r="X476" i="58"/>
  <c r="X420" i="58"/>
  <c r="X332" i="58"/>
  <c r="AR556" i="58"/>
  <c r="AI555" i="58"/>
  <c r="N542" i="35"/>
  <c r="O542" i="35" s="1"/>
  <c r="AX241" i="58"/>
  <c r="BN92" i="58"/>
  <c r="BN100" i="58"/>
  <c r="U545" i="35"/>
  <c r="O371" i="35"/>
  <c r="BN168" i="58"/>
  <c r="U480" i="35"/>
  <c r="U248" i="35"/>
  <c r="X121" i="58"/>
  <c r="BN121" i="58" s="1"/>
  <c r="AK173" i="58"/>
  <c r="BN173" i="58" s="1"/>
  <c r="J39" i="35"/>
  <c r="X174" i="58"/>
  <c r="AK211" i="58"/>
  <c r="AK250" i="58"/>
  <c r="AX277" i="58"/>
  <c r="U220" i="35"/>
  <c r="AC399" i="58"/>
  <c r="AK399" i="58" s="1"/>
  <c r="AX243" i="58"/>
  <c r="U48" i="35"/>
  <c r="X85" i="58"/>
  <c r="M85" i="58" s="1"/>
  <c r="AX220" i="58"/>
  <c r="AP67" i="58"/>
  <c r="X318" i="58"/>
  <c r="V517" i="58"/>
  <c r="V405" i="58"/>
  <c r="X405" i="58" s="1"/>
  <c r="V341" i="58"/>
  <c r="V461" i="58"/>
  <c r="AX349" i="58"/>
  <c r="AK215" i="58"/>
  <c r="AE559" i="58"/>
  <c r="T560" i="58"/>
  <c r="BN97" i="58"/>
  <c r="AC557" i="58"/>
  <c r="AG556" i="58"/>
  <c r="AI558" i="58"/>
  <c r="P561" i="58"/>
  <c r="AT558" i="58"/>
  <c r="V556" i="58"/>
  <c r="AI557" i="58"/>
  <c r="AR559" i="58"/>
  <c r="AI559" i="58"/>
  <c r="T556" i="58"/>
  <c r="AG560" i="58"/>
  <c r="AI561" i="58"/>
  <c r="AI556" i="58"/>
  <c r="U30" i="35"/>
  <c r="U594" i="35"/>
  <c r="AX253" i="58"/>
  <c r="BN25" i="58"/>
  <c r="BN140" i="58"/>
  <c r="AT483" i="58"/>
  <c r="AT507" i="58"/>
  <c r="AK390" i="58"/>
  <c r="AK374" i="58"/>
  <c r="BN105" i="58"/>
  <c r="AK240" i="58"/>
  <c r="X192" i="58"/>
  <c r="BN10" i="58"/>
  <c r="AR288" i="58"/>
  <c r="AX288" i="58" s="1"/>
  <c r="AV442" i="58"/>
  <c r="AK260" i="58"/>
  <c r="X402" i="58"/>
  <c r="T288" i="35"/>
  <c r="U72" i="35"/>
  <c r="V337" i="58"/>
  <c r="AX259" i="58"/>
  <c r="BN259" i="58" s="1"/>
  <c r="AK264" i="58"/>
  <c r="AR225" i="58"/>
  <c r="AR176" i="58"/>
  <c r="V493" i="58"/>
  <c r="V313" i="58"/>
  <c r="U383" i="35"/>
  <c r="V421" i="58"/>
  <c r="V509" i="58"/>
  <c r="V445" i="58"/>
  <c r="V293" i="58"/>
  <c r="V389" i="58"/>
  <c r="V373" i="58"/>
  <c r="U120" i="35"/>
  <c r="U208" i="35"/>
  <c r="X300" i="58"/>
  <c r="X500" i="58"/>
  <c r="X356" i="58"/>
  <c r="AR555" i="58"/>
  <c r="R559" i="58"/>
  <c r="V561" i="58"/>
  <c r="AE561" i="58"/>
  <c r="R555" i="58"/>
  <c r="R556" i="58"/>
  <c r="X556" i="58" s="1"/>
  <c r="P557" i="58"/>
  <c r="AG558" i="58"/>
  <c r="V560" i="58"/>
  <c r="AR561" i="58"/>
  <c r="AP559" i="58"/>
  <c r="AT555" i="58"/>
  <c r="AT557" i="58"/>
  <c r="AG317" i="58"/>
  <c r="AK317" i="58" s="1"/>
  <c r="AK226" i="58"/>
  <c r="AR264" i="58"/>
  <c r="AX389" i="58"/>
  <c r="T399" i="58"/>
  <c r="AR557" i="58"/>
  <c r="AG561" i="58"/>
  <c r="V555" i="58"/>
  <c r="AR558" i="58"/>
  <c r="AE560" i="58"/>
  <c r="AG559" i="58"/>
  <c r="AR560" i="58"/>
  <c r="V557" i="58"/>
  <c r="R561" i="58"/>
  <c r="X561" i="58" s="1"/>
  <c r="T558" i="58"/>
  <c r="AT560" i="58"/>
  <c r="R560" i="58"/>
  <c r="X560" i="58" s="1"/>
  <c r="T555" i="58"/>
  <c r="X246" i="58"/>
  <c r="BN246" i="58" s="1"/>
  <c r="AK271" i="58"/>
  <c r="AK222" i="58"/>
  <c r="AX212" i="58"/>
  <c r="X370" i="58"/>
  <c r="U236" i="35"/>
  <c r="X418" i="58"/>
  <c r="AR304" i="58"/>
  <c r="AX304" i="58" s="1"/>
  <c r="AR280" i="58"/>
  <c r="AX280" i="58" s="1"/>
  <c r="BN139" i="58"/>
  <c r="AK174" i="58"/>
  <c r="AK262" i="58"/>
  <c r="AR235" i="58"/>
  <c r="V401" i="58"/>
  <c r="AR245" i="58"/>
  <c r="AX245" i="58" s="1"/>
  <c r="V353" i="58"/>
  <c r="U675" i="35"/>
  <c r="AX213" i="58"/>
  <c r="BN6" i="58"/>
  <c r="AX192" i="58"/>
  <c r="U612" i="35"/>
  <c r="AX15" i="58"/>
  <c r="BN15" i="58" s="1"/>
  <c r="T355" i="58"/>
  <c r="X355" i="58" s="1"/>
  <c r="T283" i="58"/>
  <c r="X283" i="58" s="1"/>
  <c r="T363" i="58"/>
  <c r="X363" i="58" s="1"/>
  <c r="T491" i="58"/>
  <c r="X491" i="58" s="1"/>
  <c r="U691" i="35"/>
  <c r="AT435" i="58"/>
  <c r="AT371" i="58"/>
  <c r="U155" i="35"/>
  <c r="AK414" i="58"/>
  <c r="AK444" i="58"/>
  <c r="X197" i="58"/>
  <c r="M197" i="58" s="1"/>
  <c r="X211" i="58"/>
  <c r="X241" i="58"/>
  <c r="AK261" i="58"/>
  <c r="AK242" i="58"/>
  <c r="AX187" i="58"/>
  <c r="AV490" i="58"/>
  <c r="AX183" i="58"/>
  <c r="AX242" i="58"/>
  <c r="BN242" i="58" s="1"/>
  <c r="AX271" i="58"/>
  <c r="X394" i="58"/>
  <c r="AK204" i="58"/>
  <c r="X184" i="58"/>
  <c r="BN109" i="58"/>
  <c r="AR448" i="58"/>
  <c r="AX448" i="58" s="1"/>
  <c r="AR416" i="58"/>
  <c r="AX416" i="58" s="1"/>
  <c r="AV314" i="58"/>
  <c r="U116" i="35"/>
  <c r="AK223" i="58"/>
  <c r="AR274" i="58"/>
  <c r="AG309" i="58"/>
  <c r="AK309" i="58" s="1"/>
  <c r="V433" i="58"/>
  <c r="U114" i="35"/>
  <c r="AR254" i="58"/>
  <c r="U203" i="35"/>
  <c r="AX325" i="58"/>
  <c r="V393" i="58"/>
  <c r="V277" i="58"/>
  <c r="V381" i="58"/>
  <c r="V285" i="58"/>
  <c r="V477" i="58"/>
  <c r="V429" i="58"/>
  <c r="V453" i="58"/>
  <c r="V501" i="58"/>
  <c r="V469" i="58"/>
  <c r="U643" i="35"/>
  <c r="X460" i="58"/>
  <c r="U377" i="35"/>
  <c r="U460" i="35"/>
  <c r="U28" i="35"/>
  <c r="R557" i="58"/>
  <c r="AI560" i="58"/>
  <c r="AE558" i="58"/>
  <c r="AK558" i="58" s="1"/>
  <c r="T559" i="58"/>
  <c r="V559" i="58"/>
  <c r="P558" i="58"/>
  <c r="AE555" i="58"/>
  <c r="AG555" i="58"/>
  <c r="AT556" i="58"/>
  <c r="AE556" i="58"/>
  <c r="AK556" i="58" s="1"/>
  <c r="AT307" i="58"/>
  <c r="AT403" i="58"/>
  <c r="AT395" i="58"/>
  <c r="AT510" i="58"/>
  <c r="AX510" i="58" s="1"/>
  <c r="AT459" i="58"/>
  <c r="AT451" i="58"/>
  <c r="AT491" i="58"/>
  <c r="AT291" i="58"/>
  <c r="AT299" i="58"/>
  <c r="AT419" i="58"/>
  <c r="AT411" i="58"/>
  <c r="AT523" i="58"/>
  <c r="AT355" i="58"/>
  <c r="AT499" i="58"/>
  <c r="AT323" i="58"/>
  <c r="AT379" i="58"/>
  <c r="AT283" i="58"/>
  <c r="T639" i="35"/>
  <c r="AT356" i="58"/>
  <c r="AX356" i="58" s="1"/>
  <c r="AT387" i="58"/>
  <c r="AT515" i="58"/>
  <c r="AT443" i="58"/>
  <c r="AT315" i="58"/>
  <c r="AT347" i="58"/>
  <c r="AT427" i="58"/>
  <c r="AX357" i="58"/>
  <c r="X492" i="58"/>
  <c r="X444" i="58"/>
  <c r="X450" i="58"/>
  <c r="AG357" i="58"/>
  <c r="AK357" i="58" s="1"/>
  <c r="V513" i="58"/>
  <c r="V345" i="58"/>
  <c r="V473" i="58"/>
  <c r="AG341" i="58"/>
  <c r="AK341" i="58" s="1"/>
  <c r="AG461" i="58"/>
  <c r="V481" i="58"/>
  <c r="V409" i="58"/>
  <c r="V329" i="58"/>
  <c r="V441" i="58"/>
  <c r="O39" i="35"/>
  <c r="U39" i="35" s="1"/>
  <c r="U126" i="35"/>
  <c r="X428" i="58"/>
  <c r="AK461" i="58"/>
  <c r="AG429" i="58"/>
  <c r="AK429" i="58" s="1"/>
  <c r="V361" i="58"/>
  <c r="V457" i="58"/>
  <c r="V377" i="58"/>
  <c r="AG333" i="58"/>
  <c r="AK333" i="58" s="1"/>
  <c r="V417" i="58"/>
  <c r="V369" i="58"/>
  <c r="V505" i="58"/>
  <c r="X508" i="58"/>
  <c r="X470" i="58"/>
  <c r="X390" i="58"/>
  <c r="X510" i="58"/>
  <c r="AK476" i="58"/>
  <c r="AK398" i="58"/>
  <c r="AK340" i="58"/>
  <c r="AK468" i="58"/>
  <c r="AK438" i="58"/>
  <c r="AK326" i="58"/>
  <c r="X434" i="58"/>
  <c r="AG453" i="58"/>
  <c r="AK453" i="58" s="1"/>
  <c r="AG421" i="58"/>
  <c r="AK421" i="58" s="1"/>
  <c r="V297" i="58"/>
  <c r="V521" i="58"/>
  <c r="V425" i="58"/>
  <c r="V321" i="58"/>
  <c r="V465" i="58"/>
  <c r="V281" i="58"/>
  <c r="V489" i="58"/>
  <c r="X412" i="58"/>
  <c r="X502" i="58"/>
  <c r="AC234" i="58"/>
  <c r="AK274" i="58"/>
  <c r="V497" i="58"/>
  <c r="U552" i="35"/>
  <c r="AK255" i="58"/>
  <c r="V289" i="58"/>
  <c r="U199" i="35"/>
  <c r="AK246" i="58"/>
  <c r="BN39" i="58"/>
  <c r="U193" i="35"/>
  <c r="AX89" i="58"/>
  <c r="BN89" i="58" s="1"/>
  <c r="AX270" i="58"/>
  <c r="AX172" i="58"/>
  <c r="AK187" i="58"/>
  <c r="X216" i="58"/>
  <c r="V385" i="58"/>
  <c r="V305" i="58"/>
  <c r="P489" i="58"/>
  <c r="U640" i="35"/>
  <c r="T475" i="58"/>
  <c r="X475" i="58" s="1"/>
  <c r="T379" i="58"/>
  <c r="X379" i="58" s="1"/>
  <c r="T387" i="58"/>
  <c r="X387" i="58" s="1"/>
  <c r="T411" i="58"/>
  <c r="X411" i="58" s="1"/>
  <c r="T323" i="58"/>
  <c r="X323" i="58" s="1"/>
  <c r="T435" i="58"/>
  <c r="X435" i="58" s="1"/>
  <c r="T515" i="58"/>
  <c r="X515" i="58" s="1"/>
  <c r="T315" i="58"/>
  <c r="X315" i="58" s="1"/>
  <c r="AX421" i="58"/>
  <c r="T467" i="58"/>
  <c r="X467" i="58" s="1"/>
  <c r="T459" i="58"/>
  <c r="X459" i="58" s="1"/>
  <c r="T347" i="58"/>
  <c r="X347" i="58" s="1"/>
  <c r="T371" i="58"/>
  <c r="X371" i="58" s="1"/>
  <c r="T419" i="58"/>
  <c r="X419" i="58" s="1"/>
  <c r="T291" i="58"/>
  <c r="X291" i="58" s="1"/>
  <c r="T403" i="58"/>
  <c r="X403" i="58" s="1"/>
  <c r="X298" i="58"/>
  <c r="AR536" i="58"/>
  <c r="U563" i="35"/>
  <c r="AG373" i="58"/>
  <c r="AK373" i="58" s="1"/>
  <c r="AG517" i="58"/>
  <c r="AK517" i="58" s="1"/>
  <c r="AG349" i="58"/>
  <c r="AK349" i="58" s="1"/>
  <c r="AG381" i="58"/>
  <c r="AK381" i="58" s="1"/>
  <c r="X414" i="58"/>
  <c r="X284" i="58"/>
  <c r="U648" i="35"/>
  <c r="U303" i="35"/>
  <c r="P534" i="58"/>
  <c r="U218" i="35"/>
  <c r="U132" i="35"/>
  <c r="U564" i="35"/>
  <c r="AR537" i="58"/>
  <c r="U46" i="35"/>
  <c r="AX373" i="58"/>
  <c r="AC487" i="58"/>
  <c r="AK487" i="58" s="1"/>
  <c r="P417" i="58"/>
  <c r="U212" i="35"/>
  <c r="X326" i="58"/>
  <c r="X446" i="58"/>
  <c r="X308" i="58"/>
  <c r="AX445" i="58"/>
  <c r="X265" i="58"/>
  <c r="AP263" i="58"/>
  <c r="X366" i="58"/>
  <c r="U392" i="35"/>
  <c r="AP273" i="58"/>
  <c r="X422" i="58"/>
  <c r="AP195" i="58"/>
  <c r="X182" i="58"/>
  <c r="AX177" i="58"/>
  <c r="AX194" i="58"/>
  <c r="BN194" i="58" s="1"/>
  <c r="X175" i="58"/>
  <c r="X224" i="58"/>
  <c r="AK348" i="58"/>
  <c r="AK232" i="58"/>
  <c r="AX246" i="58"/>
  <c r="AV362" i="58"/>
  <c r="AV426" i="58"/>
  <c r="AK195" i="58"/>
  <c r="X322" i="58"/>
  <c r="X482" i="58"/>
  <c r="AV306" i="58"/>
  <c r="AK182" i="58"/>
  <c r="BN182" i="58" s="1"/>
  <c r="AK194" i="58"/>
  <c r="T297" i="35"/>
  <c r="AX264" i="58"/>
  <c r="AC435" i="58"/>
  <c r="AP234" i="58"/>
  <c r="AP224" i="58"/>
  <c r="X270" i="58"/>
  <c r="AX197" i="58"/>
  <c r="BN197" i="58" s="1"/>
  <c r="AV466" i="58"/>
  <c r="AX272" i="58"/>
  <c r="AX174" i="58"/>
  <c r="BN174" i="58" s="1"/>
  <c r="AP185" i="58"/>
  <c r="AX185" i="58" s="1"/>
  <c r="AK358" i="58"/>
  <c r="AK292" i="58"/>
  <c r="X172" i="58"/>
  <c r="AK193" i="58"/>
  <c r="BN193" i="58" s="1"/>
  <c r="AV498" i="58"/>
  <c r="AX173" i="58"/>
  <c r="AX244" i="58"/>
  <c r="AV322" i="58"/>
  <c r="X243" i="58"/>
  <c r="X213" i="58"/>
  <c r="AV386" i="58"/>
  <c r="X458" i="58"/>
  <c r="AV298" i="58"/>
  <c r="U42" i="35"/>
  <c r="AR463" i="58"/>
  <c r="AX215" i="58"/>
  <c r="U298" i="35"/>
  <c r="X282" i="58"/>
  <c r="AX181" i="58"/>
  <c r="AX413" i="58"/>
  <c r="AX397" i="58"/>
  <c r="X292" i="58"/>
  <c r="AK235" i="58"/>
  <c r="AK254" i="58"/>
  <c r="X486" i="58"/>
  <c r="X374" i="58"/>
  <c r="X454" i="58"/>
  <c r="AK272" i="58"/>
  <c r="AC351" i="58"/>
  <c r="AK351" i="58" s="1"/>
  <c r="X438" i="58"/>
  <c r="X516" i="58"/>
  <c r="X324" i="58"/>
  <c r="X302" i="58"/>
  <c r="U285" i="35"/>
  <c r="P377" i="58"/>
  <c r="P473" i="58"/>
  <c r="P481" i="58"/>
  <c r="AV361" i="58"/>
  <c r="AX361" i="58" s="1"/>
  <c r="AV289" i="58"/>
  <c r="AX289" i="58" s="1"/>
  <c r="AV385" i="58"/>
  <c r="AX385" i="58" s="1"/>
  <c r="AV305" i="58"/>
  <c r="AX305" i="58" s="1"/>
  <c r="AV465" i="58"/>
  <c r="AX465" i="58" s="1"/>
  <c r="AG496" i="58"/>
  <c r="AK496" i="58" s="1"/>
  <c r="O468" i="35"/>
  <c r="AG488" i="58"/>
  <c r="AK488" i="58" s="1"/>
  <c r="AG520" i="58"/>
  <c r="AK520" i="58" s="1"/>
  <c r="J477" i="35"/>
  <c r="U477" i="35" s="1"/>
  <c r="T535" i="58"/>
  <c r="AI411" i="58"/>
  <c r="AI315" i="58"/>
  <c r="AI427" i="58"/>
  <c r="AI331" i="58"/>
  <c r="AK331" i="58" s="1"/>
  <c r="AI435" i="58"/>
  <c r="AI387" i="58"/>
  <c r="AI339" i="58"/>
  <c r="AI507" i="58"/>
  <c r="AI291" i="58"/>
  <c r="AI451" i="58"/>
  <c r="AI515" i="58"/>
  <c r="AI419" i="58"/>
  <c r="AI443" i="58"/>
  <c r="AI323" i="58"/>
  <c r="AI483" i="58"/>
  <c r="AI355" i="58"/>
  <c r="O636" i="35"/>
  <c r="U636" i="35" s="1"/>
  <c r="AI475" i="58"/>
  <c r="AI371" i="58"/>
  <c r="AI379" i="58"/>
  <c r="AI499" i="58"/>
  <c r="AI363" i="58"/>
  <c r="AR519" i="58"/>
  <c r="AR383" i="58"/>
  <c r="AR375" i="58"/>
  <c r="AR511" i="58"/>
  <c r="AR407" i="58"/>
  <c r="AR487" i="58"/>
  <c r="AR351" i="58"/>
  <c r="AR359" i="58"/>
  <c r="AR447" i="58"/>
  <c r="AR335" i="58"/>
  <c r="AR391" i="58"/>
  <c r="AX391" i="58" s="1"/>
  <c r="AR327" i="58"/>
  <c r="AR279" i="58"/>
  <c r="AR503" i="58"/>
  <c r="AR495" i="58"/>
  <c r="AK196" i="58"/>
  <c r="X382" i="58"/>
  <c r="AV393" i="58"/>
  <c r="AX393" i="58" s="1"/>
  <c r="AK294" i="58"/>
  <c r="AG289" i="58"/>
  <c r="AG425" i="58"/>
  <c r="AG353" i="58"/>
  <c r="AV417" i="58"/>
  <c r="AX417" i="58" s="1"/>
  <c r="AV369" i="58"/>
  <c r="AX369" i="58" s="1"/>
  <c r="P385" i="58"/>
  <c r="AR431" i="58"/>
  <c r="AR471" i="58"/>
  <c r="AR343" i="58"/>
  <c r="AR295" i="58"/>
  <c r="AR455" i="58"/>
  <c r="AI467" i="58"/>
  <c r="AI491" i="58"/>
  <c r="J382" i="35"/>
  <c r="T503" i="58"/>
  <c r="AG497" i="58"/>
  <c r="AG393" i="58"/>
  <c r="AG321" i="58"/>
  <c r="AG385" i="58"/>
  <c r="AG457" i="58"/>
  <c r="AG473" i="58"/>
  <c r="AK473" i="58" s="1"/>
  <c r="AG409" i="58"/>
  <c r="AG481" i="58"/>
  <c r="AG345" i="58"/>
  <c r="AG337" i="58"/>
  <c r="O131" i="35"/>
  <c r="U131" i="35" s="1"/>
  <c r="AC533" i="58"/>
  <c r="AG378" i="58"/>
  <c r="AK378" i="58" s="1"/>
  <c r="AG370" i="58"/>
  <c r="AK370" i="58" s="1"/>
  <c r="AG426" i="58"/>
  <c r="AK426" i="58" s="1"/>
  <c r="AG282" i="58"/>
  <c r="AK282" i="58" s="1"/>
  <c r="AG402" i="58"/>
  <c r="AK402" i="58" s="1"/>
  <c r="AG306" i="58"/>
  <c r="AK306" i="58" s="1"/>
  <c r="AG522" i="58"/>
  <c r="AK522" i="58" s="1"/>
  <c r="AG346" i="58"/>
  <c r="AK346" i="58" s="1"/>
  <c r="AG474" i="58"/>
  <c r="AK474" i="58" s="1"/>
  <c r="U462" i="35"/>
  <c r="AV353" i="58"/>
  <c r="AX353" i="58" s="1"/>
  <c r="T382" i="35"/>
  <c r="AK406" i="58"/>
  <c r="AK412" i="58"/>
  <c r="AK446" i="58"/>
  <c r="AK492" i="58"/>
  <c r="AK422" i="58"/>
  <c r="AK420" i="58"/>
  <c r="AK484" i="58"/>
  <c r="AK428" i="58"/>
  <c r="AK372" i="58"/>
  <c r="AK452" i="58"/>
  <c r="X236" i="58"/>
  <c r="AG417" i="58"/>
  <c r="AG313" i="58"/>
  <c r="AG361" i="58"/>
  <c r="X506" i="58"/>
  <c r="X442" i="58"/>
  <c r="AV449" i="58"/>
  <c r="AX449" i="58" s="1"/>
  <c r="AR423" i="58"/>
  <c r="AR415" i="58"/>
  <c r="AV409" i="58"/>
  <c r="AX409" i="58" s="1"/>
  <c r="AV329" i="58"/>
  <c r="AX329" i="58" s="1"/>
  <c r="AR479" i="58"/>
  <c r="AX517" i="58"/>
  <c r="AG514" i="58"/>
  <c r="AK514" i="58" s="1"/>
  <c r="AG466" i="58"/>
  <c r="AK466" i="58" s="1"/>
  <c r="AI523" i="58"/>
  <c r="AG513" i="58"/>
  <c r="AG305" i="58"/>
  <c r="AK185" i="58"/>
  <c r="X330" i="58"/>
  <c r="X306" i="58"/>
  <c r="AR303" i="58"/>
  <c r="AR439" i="58"/>
  <c r="AR287" i="58"/>
  <c r="AR319" i="58"/>
  <c r="AG450" i="58"/>
  <c r="AK450" i="58" s="1"/>
  <c r="AG442" i="58"/>
  <c r="AK442" i="58" s="1"/>
  <c r="AI395" i="58"/>
  <c r="T295" i="58"/>
  <c r="AI299" i="58"/>
  <c r="U634" i="35"/>
  <c r="AK265" i="58"/>
  <c r="X354" i="58"/>
  <c r="U469" i="35"/>
  <c r="X478" i="58"/>
  <c r="X396" i="58"/>
  <c r="X310" i="58"/>
  <c r="X276" i="58"/>
  <c r="X223" i="58"/>
  <c r="BN223" i="58" s="1"/>
  <c r="U391" i="35"/>
  <c r="AK231" i="58"/>
  <c r="AK184" i="58"/>
  <c r="BN184" i="58" s="1"/>
  <c r="T487" i="58"/>
  <c r="U549" i="35"/>
  <c r="U374" i="35"/>
  <c r="X294" i="58"/>
  <c r="U466" i="35"/>
  <c r="AX182" i="58"/>
  <c r="X253" i="58"/>
  <c r="X226" i="58"/>
  <c r="BN226" i="58" s="1"/>
  <c r="X177" i="58"/>
  <c r="X260" i="58"/>
  <c r="AK251" i="58"/>
  <c r="AX191" i="58"/>
  <c r="AX232" i="58"/>
  <c r="X194" i="58"/>
  <c r="AK234" i="58"/>
  <c r="AK273" i="58"/>
  <c r="U214" i="35"/>
  <c r="AK270" i="58"/>
  <c r="AK221" i="58"/>
  <c r="AX405" i="58"/>
  <c r="AK252" i="58"/>
  <c r="AX437" i="58"/>
  <c r="AX285" i="58"/>
  <c r="AX240" i="58"/>
  <c r="BN240" i="58" s="1"/>
  <c r="AK177" i="58"/>
  <c r="U558" i="35"/>
  <c r="X316" i="58"/>
  <c r="X364" i="58"/>
  <c r="U34" i="35"/>
  <c r="U557" i="35"/>
  <c r="O379" i="35"/>
  <c r="AC295" i="58"/>
  <c r="AK295" i="58" s="1"/>
  <c r="AC311" i="58"/>
  <c r="AK311" i="58" s="1"/>
  <c r="AC327" i="58"/>
  <c r="AK327" i="58" s="1"/>
  <c r="AC375" i="58"/>
  <c r="AK375" i="58" s="1"/>
  <c r="AC439" i="58"/>
  <c r="AK439" i="58" s="1"/>
  <c r="AC423" i="58"/>
  <c r="AK423" i="58" s="1"/>
  <c r="AC519" i="58"/>
  <c r="AK519" i="58" s="1"/>
  <c r="AC471" i="58"/>
  <c r="AK471" i="58" s="1"/>
  <c r="AC279" i="58"/>
  <c r="AK279" i="58" s="1"/>
  <c r="AC383" i="58"/>
  <c r="AK383" i="58" s="1"/>
  <c r="AC511" i="58"/>
  <c r="AK511" i="58" s="1"/>
  <c r="AC431" i="58"/>
  <c r="AK431" i="58" s="1"/>
  <c r="AC343" i="58"/>
  <c r="AK343" i="58" s="1"/>
  <c r="AC479" i="58"/>
  <c r="AK479" i="58" s="1"/>
  <c r="AC319" i="58"/>
  <c r="AK319" i="58" s="1"/>
  <c r="AR496" i="58"/>
  <c r="AX496" i="58" s="1"/>
  <c r="AR328" i="58"/>
  <c r="AR384" i="58"/>
  <c r="AX384" i="58" s="1"/>
  <c r="AR312" i="58"/>
  <c r="AX312" i="58" s="1"/>
  <c r="AR464" i="58"/>
  <c r="AX464" i="58" s="1"/>
  <c r="AR520" i="58"/>
  <c r="AX520" i="58" s="1"/>
  <c r="AR432" i="58"/>
  <c r="AX432" i="58" s="1"/>
  <c r="AR344" i="58"/>
  <c r="AX344" i="58" s="1"/>
  <c r="AR480" i="58"/>
  <c r="AX480" i="58" s="1"/>
  <c r="AR360" i="58"/>
  <c r="AX360" i="58" s="1"/>
  <c r="AR336" i="58"/>
  <c r="AX336" i="58" s="1"/>
  <c r="AR320" i="58"/>
  <c r="AX320" i="58" s="1"/>
  <c r="AR504" i="58"/>
  <c r="AX504" i="58" s="1"/>
  <c r="AR440" i="58"/>
  <c r="AX440" i="58" s="1"/>
  <c r="AR456" i="58"/>
  <c r="AX456" i="58" s="1"/>
  <c r="AR512" i="58"/>
  <c r="AX512" i="58" s="1"/>
  <c r="X278" i="58"/>
  <c r="AK245" i="58"/>
  <c r="AK486" i="58"/>
  <c r="AK478" i="58"/>
  <c r="AK334" i="58"/>
  <c r="X275" i="58"/>
  <c r="BN275" i="58" s="1"/>
  <c r="X250" i="58"/>
  <c r="AK183" i="58"/>
  <c r="AR424" i="58"/>
  <c r="AX424" i="58" s="1"/>
  <c r="AR376" i="58"/>
  <c r="AX376" i="58" s="1"/>
  <c r="AR296" i="58"/>
  <c r="AX296" i="58" s="1"/>
  <c r="AR400" i="58"/>
  <c r="AX400" i="58" s="1"/>
  <c r="T468" i="35"/>
  <c r="AC407" i="58"/>
  <c r="AK407" i="58" s="1"/>
  <c r="AC415" i="58"/>
  <c r="AK415" i="58" s="1"/>
  <c r="AC495" i="58"/>
  <c r="AK495" i="58" s="1"/>
  <c r="AX309" i="58"/>
  <c r="AK490" i="58"/>
  <c r="AC419" i="58"/>
  <c r="AC315" i="58"/>
  <c r="J554" i="35"/>
  <c r="P361" i="58"/>
  <c r="P441" i="58"/>
  <c r="P337" i="58"/>
  <c r="P281" i="58"/>
  <c r="P313" i="58"/>
  <c r="P401" i="58"/>
  <c r="P521" i="58"/>
  <c r="U217" i="35"/>
  <c r="AK356" i="58"/>
  <c r="X231" i="58"/>
  <c r="AK212" i="58"/>
  <c r="AX249" i="58"/>
  <c r="AR488" i="58"/>
  <c r="AX488" i="58" s="1"/>
  <c r="AR352" i="58"/>
  <c r="AX352" i="58" s="1"/>
  <c r="AR368" i="58"/>
  <c r="AX368" i="58" s="1"/>
  <c r="AC359" i="58"/>
  <c r="AK359" i="58" s="1"/>
  <c r="AC447" i="58"/>
  <c r="AK447" i="58" s="1"/>
  <c r="AC391" i="58"/>
  <c r="AK391" i="58" s="1"/>
  <c r="X388" i="58"/>
  <c r="U546" i="35"/>
  <c r="AC503" i="58"/>
  <c r="AK503" i="58" s="1"/>
  <c r="AC303" i="58"/>
  <c r="AK303" i="58" s="1"/>
  <c r="AT362" i="58"/>
  <c r="T291" i="35"/>
  <c r="U291" i="35" s="1"/>
  <c r="AV418" i="58"/>
  <c r="AV370" i="58"/>
  <c r="AV394" i="58"/>
  <c r="AV346" i="58"/>
  <c r="AV506" i="58"/>
  <c r="AV482" i="58"/>
  <c r="AV378" i="58"/>
  <c r="AV282" i="58"/>
  <c r="AV290" i="58"/>
  <c r="AV330" i="58"/>
  <c r="AV450" i="58"/>
  <c r="AV354" i="58"/>
  <c r="AV410" i="58"/>
  <c r="AV514" i="58"/>
  <c r="AV434" i="58"/>
  <c r="AV474" i="58"/>
  <c r="AV338" i="58"/>
  <c r="AV458" i="58"/>
  <c r="AV522" i="58"/>
  <c r="AC287" i="58"/>
  <c r="AK287" i="58" s="1"/>
  <c r="O385" i="35"/>
  <c r="U385" i="35" s="1"/>
  <c r="U206" i="35"/>
  <c r="U304" i="35"/>
  <c r="AX358" i="58"/>
  <c r="AK175" i="58"/>
  <c r="X338" i="58"/>
  <c r="X514" i="58"/>
  <c r="AX317" i="58"/>
  <c r="AC455" i="58"/>
  <c r="AK455" i="58" s="1"/>
  <c r="AC335" i="58"/>
  <c r="AK335" i="58" s="1"/>
  <c r="AC367" i="58"/>
  <c r="AK367" i="58" s="1"/>
  <c r="U472" i="35"/>
  <c r="AX509" i="58"/>
  <c r="AC323" i="58"/>
  <c r="AX461" i="58"/>
  <c r="AX269" i="58"/>
  <c r="X262" i="58"/>
  <c r="BN262" i="58" s="1"/>
  <c r="U459" i="35"/>
  <c r="X522" i="58"/>
  <c r="X426" i="58"/>
  <c r="X346" i="58"/>
  <c r="AG336" i="58"/>
  <c r="AK336" i="58" s="1"/>
  <c r="AT310" i="58"/>
  <c r="AX310" i="58" s="1"/>
  <c r="AT364" i="58"/>
  <c r="AX364" i="58" s="1"/>
  <c r="AT324" i="58"/>
  <c r="AX324" i="58" s="1"/>
  <c r="X380" i="58"/>
  <c r="X358" i="58"/>
  <c r="AG386" i="58"/>
  <c r="AK386" i="58" s="1"/>
  <c r="AG458" i="58"/>
  <c r="AK458" i="58" s="1"/>
  <c r="AG322" i="58"/>
  <c r="AK322" i="58" s="1"/>
  <c r="AG506" i="58"/>
  <c r="AK506" i="58" s="1"/>
  <c r="X334" i="58"/>
  <c r="U555" i="35"/>
  <c r="AX453" i="58"/>
  <c r="AG330" i="58"/>
  <c r="AK330" i="58" s="1"/>
  <c r="U386" i="35"/>
  <c r="U380" i="35"/>
  <c r="U122" i="35"/>
  <c r="AX226" i="58"/>
  <c r="AX261" i="58"/>
  <c r="AX251" i="58"/>
  <c r="BN251" i="58" s="1"/>
  <c r="AX222" i="58"/>
  <c r="X272" i="58"/>
  <c r="AK214" i="58"/>
  <c r="AK224" i="58"/>
  <c r="X490" i="58"/>
  <c r="X362" i="58"/>
  <c r="X410" i="58"/>
  <c r="X498" i="58"/>
  <c r="AK241" i="58"/>
  <c r="BN241" i="58" s="1"/>
  <c r="AX501" i="58"/>
  <c r="AX381" i="58"/>
  <c r="AK213" i="58"/>
  <c r="AT486" i="58"/>
  <c r="AX486" i="58" s="1"/>
  <c r="AG434" i="58"/>
  <c r="AK434" i="58" s="1"/>
  <c r="AG362" i="58"/>
  <c r="AK362" i="58" s="1"/>
  <c r="AG290" i="58"/>
  <c r="AK290" i="58" s="1"/>
  <c r="AG298" i="58"/>
  <c r="AK298" i="58" s="1"/>
  <c r="AG314" i="58"/>
  <c r="AK314" i="58" s="1"/>
  <c r="AX254" i="58"/>
  <c r="AK233" i="58"/>
  <c r="AX469" i="58"/>
  <c r="AG354" i="58"/>
  <c r="AK354" i="58" s="1"/>
  <c r="AG418" i="58"/>
  <c r="AK418" i="58" s="1"/>
  <c r="U478" i="35"/>
  <c r="AI459" i="58"/>
  <c r="AI347" i="58"/>
  <c r="AI403" i="58"/>
  <c r="AI307" i="58"/>
  <c r="U649" i="35"/>
  <c r="AX196" i="58"/>
  <c r="AK186" i="58"/>
  <c r="AG365" i="58"/>
  <c r="AK365" i="58" s="1"/>
  <c r="AG445" i="58"/>
  <c r="AK445" i="58" s="1"/>
  <c r="AG352" i="58"/>
  <c r="AK352" i="58" s="1"/>
  <c r="AG320" i="58"/>
  <c r="AK320" i="58" s="1"/>
  <c r="AG424" i="58"/>
  <c r="AK424" i="58" s="1"/>
  <c r="AG296" i="58"/>
  <c r="AK296" i="58" s="1"/>
  <c r="AG392" i="58"/>
  <c r="AK392" i="58" s="1"/>
  <c r="AG416" i="58"/>
  <c r="AK416" i="58" s="1"/>
  <c r="AG344" i="58"/>
  <c r="AK344" i="58" s="1"/>
  <c r="AG312" i="58"/>
  <c r="AK312" i="58" s="1"/>
  <c r="AG456" i="58"/>
  <c r="AK456" i="58" s="1"/>
  <c r="AG328" i="58"/>
  <c r="AK328" i="58" s="1"/>
  <c r="AG400" i="58"/>
  <c r="AK400" i="58" s="1"/>
  <c r="AG504" i="58"/>
  <c r="AG464" i="58"/>
  <c r="AK464" i="58" s="1"/>
  <c r="AG360" i="58"/>
  <c r="AK360" i="58" s="1"/>
  <c r="AG384" i="58"/>
  <c r="AK384" i="58" s="1"/>
  <c r="AG448" i="58"/>
  <c r="AK448" i="58" s="1"/>
  <c r="AG432" i="58"/>
  <c r="AK432" i="58" s="1"/>
  <c r="AG368" i="58"/>
  <c r="AK368" i="58" s="1"/>
  <c r="AG408" i="58"/>
  <c r="AK408" i="58" s="1"/>
  <c r="AG480" i="58"/>
  <c r="AK480" i="58" s="1"/>
  <c r="AG376" i="58"/>
  <c r="AK376" i="58" s="1"/>
  <c r="AG512" i="58"/>
  <c r="AK512" i="58" s="1"/>
  <c r="AG288" i="58"/>
  <c r="AK288" i="58" s="1"/>
  <c r="AG440" i="58"/>
  <c r="AK440" i="58" s="1"/>
  <c r="AG280" i="58"/>
  <c r="AK280" i="58" s="1"/>
  <c r="AG304" i="58"/>
  <c r="AK304" i="58" s="1"/>
  <c r="AG485" i="58"/>
  <c r="AK485" i="58" s="1"/>
  <c r="AK504" i="58"/>
  <c r="AG301" i="58"/>
  <c r="AK301" i="58" s="1"/>
  <c r="AG405" i="58"/>
  <c r="AK405" i="58" s="1"/>
  <c r="AG293" i="58"/>
  <c r="AK293" i="58" s="1"/>
  <c r="U463" i="35"/>
  <c r="AG501" i="58"/>
  <c r="AK501" i="58" s="1"/>
  <c r="AG389" i="58"/>
  <c r="AK389" i="58" s="1"/>
  <c r="AI457" i="58"/>
  <c r="AI361" i="58"/>
  <c r="AI481" i="58"/>
  <c r="AI441" i="58"/>
  <c r="AI417" i="58"/>
  <c r="AI369" i="58"/>
  <c r="AI329" i="58"/>
  <c r="AI305" i="58"/>
  <c r="AI513" i="58"/>
  <c r="AI281" i="58"/>
  <c r="AK281" i="58" s="1"/>
  <c r="AI409" i="58"/>
  <c r="AI425" i="58"/>
  <c r="AI497" i="58"/>
  <c r="O211" i="35"/>
  <c r="U211" i="35" s="1"/>
  <c r="AI337" i="58"/>
  <c r="AI313" i="58"/>
  <c r="AI521" i="58"/>
  <c r="AI321" i="58"/>
  <c r="AI297" i="58"/>
  <c r="AI489" i="58"/>
  <c r="AI385" i="58"/>
  <c r="AI345" i="58"/>
  <c r="AI353" i="58"/>
  <c r="AI401" i="58"/>
  <c r="AI505" i="58"/>
  <c r="AI433" i="58"/>
  <c r="AI289" i="58"/>
  <c r="AI393" i="58"/>
  <c r="AI377" i="58"/>
  <c r="AI449" i="58"/>
  <c r="AI465" i="58"/>
  <c r="AG413" i="58"/>
  <c r="AK413" i="58" s="1"/>
  <c r="AG325" i="58"/>
  <c r="AK325" i="58" s="1"/>
  <c r="AG397" i="58"/>
  <c r="AK397" i="58" s="1"/>
  <c r="AG437" i="58"/>
  <c r="AK437" i="58" s="1"/>
  <c r="AG509" i="58"/>
  <c r="AK509" i="58" s="1"/>
  <c r="AG285" i="58"/>
  <c r="AK285" i="58" s="1"/>
  <c r="AG477" i="58"/>
  <c r="AK477" i="58" s="1"/>
  <c r="AG469" i="58"/>
  <c r="AK469" i="58" s="1"/>
  <c r="AG493" i="58"/>
  <c r="AK493" i="58" s="1"/>
  <c r="AG498" i="58"/>
  <c r="AK498" i="58" s="1"/>
  <c r="AG482" i="58"/>
  <c r="AK482" i="58" s="1"/>
  <c r="O297" i="35"/>
  <c r="AG394" i="58"/>
  <c r="AK394" i="58" s="1"/>
  <c r="T311" i="58"/>
  <c r="T343" i="58"/>
  <c r="T479" i="58"/>
  <c r="T359" i="58"/>
  <c r="T327" i="58"/>
  <c r="T367" i="58"/>
  <c r="T423" i="58"/>
  <c r="J379" i="35"/>
  <c r="T383" i="58"/>
  <c r="T455" i="58"/>
  <c r="T431" i="58"/>
  <c r="T439" i="58"/>
  <c r="T471" i="58"/>
  <c r="T519" i="58"/>
  <c r="T319" i="58"/>
  <c r="T463" i="58"/>
  <c r="T511" i="58"/>
  <c r="T415" i="58"/>
  <c r="T447" i="58"/>
  <c r="T391" i="58"/>
  <c r="T351" i="58"/>
  <c r="T279" i="58"/>
  <c r="T335" i="58"/>
  <c r="T287" i="58"/>
  <c r="P409" i="58"/>
  <c r="P305" i="58"/>
  <c r="P449" i="58"/>
  <c r="P289" i="58"/>
  <c r="P297" i="58"/>
  <c r="P497" i="58"/>
  <c r="P425" i="58"/>
  <c r="P329" i="58"/>
  <c r="J205" i="35"/>
  <c r="U205" i="35" s="1"/>
  <c r="P513" i="58"/>
  <c r="P321" i="58"/>
  <c r="P345" i="58"/>
  <c r="P457" i="58"/>
  <c r="P393" i="58"/>
  <c r="P505" i="58"/>
  <c r="P369" i="58"/>
  <c r="X369" i="58" s="1"/>
  <c r="P465" i="58"/>
  <c r="P353" i="58"/>
  <c r="P433" i="58"/>
  <c r="AV489" i="58"/>
  <c r="AX489" i="58" s="1"/>
  <c r="AV425" i="58"/>
  <c r="AX425" i="58" s="1"/>
  <c r="AV433" i="58"/>
  <c r="AX433" i="58" s="1"/>
  <c r="AV401" i="58"/>
  <c r="AX401" i="58" s="1"/>
  <c r="AV521" i="58"/>
  <c r="AX521" i="58" s="1"/>
  <c r="AV281" i="58"/>
  <c r="AX281" i="58" s="1"/>
  <c r="AV457" i="58"/>
  <c r="AX457" i="58" s="1"/>
  <c r="AV481" i="58"/>
  <c r="AX481" i="58" s="1"/>
  <c r="AV497" i="58"/>
  <c r="AX497" i="58" s="1"/>
  <c r="AV313" i="58"/>
  <c r="AX313" i="58" s="1"/>
  <c r="AV337" i="58"/>
  <c r="AX337" i="58" s="1"/>
  <c r="AV377" i="58"/>
  <c r="AX377" i="58" s="1"/>
  <c r="AV297" i="58"/>
  <c r="AX297" i="58" s="1"/>
  <c r="AV441" i="58"/>
  <c r="AX441" i="58" s="1"/>
  <c r="T554" i="35"/>
  <c r="AV473" i="58"/>
  <c r="AX473" i="58" s="1"/>
  <c r="T461" i="58"/>
  <c r="X461" i="58" s="1"/>
  <c r="T493" i="58"/>
  <c r="J33" i="35"/>
  <c r="U33" i="35" s="1"/>
  <c r="T381" i="58"/>
  <c r="T501" i="58"/>
  <c r="X501" i="58" s="1"/>
  <c r="T301" i="58"/>
  <c r="T477" i="58"/>
  <c r="T349" i="58"/>
  <c r="T453" i="58"/>
  <c r="T485" i="58"/>
  <c r="T357" i="58"/>
  <c r="X357" i="58" s="1"/>
  <c r="T373" i="58"/>
  <c r="T317" i="58"/>
  <c r="T309" i="58"/>
  <c r="T365" i="58"/>
  <c r="T325" i="58"/>
  <c r="T333" i="58"/>
  <c r="T445" i="58"/>
  <c r="T413" i="58"/>
  <c r="T517" i="58"/>
  <c r="T437" i="58"/>
  <c r="X437" i="58" s="1"/>
  <c r="T389" i="58"/>
  <c r="T277" i="58"/>
  <c r="T341" i="58"/>
  <c r="T397" i="58"/>
  <c r="T429" i="58"/>
  <c r="O551" i="35"/>
  <c r="U551" i="35" s="1"/>
  <c r="AG369" i="58"/>
  <c r="AG521" i="58"/>
  <c r="AG433" i="58"/>
  <c r="AK433" i="58" s="1"/>
  <c r="AG297" i="58"/>
  <c r="AG329" i="58"/>
  <c r="AG377" i="58"/>
  <c r="AG401" i="58"/>
  <c r="AG441" i="58"/>
  <c r="AR387" i="58"/>
  <c r="AR307" i="58"/>
  <c r="AR483" i="58"/>
  <c r="AR435" i="58"/>
  <c r="AR323" i="58"/>
  <c r="AR443" i="58"/>
  <c r="AR291" i="58"/>
  <c r="AR419" i="58"/>
  <c r="AR331" i="58"/>
  <c r="AX331" i="58" s="1"/>
  <c r="AR379" i="58"/>
  <c r="AR403" i="58"/>
  <c r="AR363" i="58"/>
  <c r="AR283" i="58"/>
  <c r="AR299" i="58"/>
  <c r="AR451" i="58"/>
  <c r="AR355" i="58"/>
  <c r="AR523" i="58"/>
  <c r="AR515" i="58"/>
  <c r="AR371" i="58"/>
  <c r="AR507" i="58"/>
  <c r="AR427" i="58"/>
  <c r="AR475" i="58"/>
  <c r="AR347" i="58"/>
  <c r="AR459" i="58"/>
  <c r="AR339" i="58"/>
  <c r="AR315" i="58"/>
  <c r="AR499" i="58"/>
  <c r="AR467" i="58"/>
  <c r="AR411" i="58"/>
  <c r="AR491" i="58"/>
  <c r="AR395" i="58"/>
  <c r="T303" i="58"/>
  <c r="T495" i="58"/>
  <c r="T285" i="58"/>
  <c r="X285" i="58" s="1"/>
  <c r="T293" i="58"/>
  <c r="T375" i="58"/>
  <c r="T407" i="58"/>
  <c r="T469" i="58"/>
  <c r="T509" i="58"/>
  <c r="T421" i="58"/>
  <c r="AX333" i="58"/>
  <c r="AX301" i="58"/>
  <c r="X286" i="58"/>
  <c r="AT442" i="58"/>
  <c r="AT402" i="58"/>
  <c r="AX402" i="58" s="1"/>
  <c r="AT450" i="58"/>
  <c r="AT346" i="58"/>
  <c r="AT458" i="58"/>
  <c r="AT506" i="58"/>
  <c r="AT514" i="58"/>
  <c r="AT418" i="58"/>
  <c r="AT394" i="58"/>
  <c r="AT322" i="58"/>
  <c r="AT370" i="58"/>
  <c r="AT386" i="58"/>
  <c r="AT474" i="58"/>
  <c r="AT490" i="58"/>
  <c r="AX490" i="58" s="1"/>
  <c r="AT522" i="58"/>
  <c r="AT498" i="58"/>
  <c r="AT426" i="58"/>
  <c r="AT298" i="58"/>
  <c r="AT466" i="58"/>
  <c r="AT354" i="58"/>
  <c r="AT338" i="58"/>
  <c r="AT306" i="58"/>
  <c r="AT330" i="58"/>
  <c r="AT482" i="58"/>
  <c r="AT410" i="58"/>
  <c r="AT378" i="58"/>
  <c r="AT290" i="58"/>
  <c r="AT282" i="58"/>
  <c r="AT434" i="58"/>
  <c r="AT314" i="58"/>
  <c r="AC291" i="58"/>
  <c r="AC355" i="58"/>
  <c r="AC523" i="58"/>
  <c r="AC475" i="58"/>
  <c r="AC515" i="58"/>
  <c r="AK515" i="58" s="1"/>
  <c r="AC339" i="58"/>
  <c r="AC387" i="58"/>
  <c r="AC467" i="58"/>
  <c r="AC403" i="58"/>
  <c r="AC347" i="58"/>
  <c r="AC299" i="58"/>
  <c r="AC443" i="58"/>
  <c r="AC363" i="58"/>
  <c r="AC451" i="58"/>
  <c r="AC483" i="58"/>
  <c r="AC379" i="58"/>
  <c r="AC283" i="58"/>
  <c r="AK283" i="58" s="1"/>
  <c r="AC395" i="58"/>
  <c r="AC507" i="58"/>
  <c r="AC371" i="58"/>
  <c r="AC499" i="58"/>
  <c r="AC491" i="58"/>
  <c r="AC307" i="58"/>
  <c r="AC411" i="58"/>
  <c r="AC427" i="58"/>
  <c r="AK427" i="58" s="1"/>
  <c r="AC459" i="58"/>
  <c r="P303" i="58"/>
  <c r="P495" i="58"/>
  <c r="P471" i="58"/>
  <c r="P455" i="58"/>
  <c r="P343" i="58"/>
  <c r="P511" i="58"/>
  <c r="P415" i="58"/>
  <c r="P351" i="58"/>
  <c r="P447" i="58"/>
  <c r="P375" i="58"/>
  <c r="P391" i="58"/>
  <c r="P383" i="58"/>
  <c r="P503" i="58"/>
  <c r="P439" i="58"/>
  <c r="P311" i="58"/>
  <c r="P287" i="58"/>
  <c r="P463" i="58"/>
  <c r="P319" i="58"/>
  <c r="P367" i="58"/>
  <c r="P335" i="58"/>
  <c r="P279" i="58"/>
  <c r="P327" i="58"/>
  <c r="P487" i="58"/>
  <c r="P407" i="58"/>
  <c r="P479" i="58"/>
  <c r="P399" i="58"/>
  <c r="P519" i="58"/>
  <c r="P423" i="58"/>
  <c r="P431" i="58"/>
  <c r="P359" i="58"/>
  <c r="P295" i="58"/>
  <c r="AT318" i="58"/>
  <c r="AX318" i="58" s="1"/>
  <c r="AT500" i="58"/>
  <c r="AX500" i="58" s="1"/>
  <c r="AT348" i="58"/>
  <c r="AX348" i="58" s="1"/>
  <c r="AT366" i="58"/>
  <c r="AX366" i="58" s="1"/>
  <c r="AT396" i="58"/>
  <c r="AX396" i="58" s="1"/>
  <c r="AT342" i="58"/>
  <c r="AX342" i="58" s="1"/>
  <c r="AT406" i="58"/>
  <c r="AX406" i="58" s="1"/>
  <c r="AT428" i="58"/>
  <c r="AX428" i="58" s="1"/>
  <c r="AT478" i="58"/>
  <c r="AX478" i="58" s="1"/>
  <c r="AT484" i="58"/>
  <c r="AX484" i="58" s="1"/>
  <c r="AT382" i="58"/>
  <c r="AX382" i="58" s="1"/>
  <c r="AT302" i="58"/>
  <c r="AX302" i="58" s="1"/>
  <c r="AT404" i="58"/>
  <c r="AX404" i="58" s="1"/>
  <c r="AT372" i="58"/>
  <c r="AX372" i="58" s="1"/>
  <c r="AT286" i="58"/>
  <c r="AX286" i="58" s="1"/>
  <c r="AT492" i="58"/>
  <c r="AX492" i="58" s="1"/>
  <c r="AT374" i="58"/>
  <c r="AX374" i="58" s="1"/>
  <c r="AT284" i="58"/>
  <c r="AX284" i="58" s="1"/>
  <c r="AT334" i="58"/>
  <c r="AX334" i="58" s="1"/>
  <c r="AT436" i="58"/>
  <c r="AX436" i="58" s="1"/>
  <c r="AT390" i="58"/>
  <c r="AX390" i="58" s="1"/>
  <c r="AT316" i="58"/>
  <c r="AX316" i="58" s="1"/>
  <c r="AT398" i="58"/>
  <c r="AX398" i="58" s="1"/>
  <c r="AT462" i="58"/>
  <c r="AX462" i="58" s="1"/>
  <c r="AT388" i="58"/>
  <c r="AX388" i="58" s="1"/>
  <c r="AT470" i="58"/>
  <c r="AX470" i="58" s="1"/>
  <c r="AT516" i="58"/>
  <c r="AX516" i="58" s="1"/>
  <c r="AT422" i="58"/>
  <c r="AX422" i="58" s="1"/>
  <c r="AT452" i="58"/>
  <c r="AX452" i="58" s="1"/>
  <c r="AT332" i="58"/>
  <c r="AX332" i="58" s="1"/>
  <c r="AT326" i="58"/>
  <c r="AX326" i="58" s="1"/>
  <c r="AT446" i="58"/>
  <c r="AX446" i="58" s="1"/>
  <c r="AT276" i="58"/>
  <c r="AX276" i="58" s="1"/>
  <c r="AT460" i="58"/>
  <c r="AX460" i="58" s="1"/>
  <c r="AT350" i="58"/>
  <c r="AX350" i="58" s="1"/>
  <c r="AT292" i="58"/>
  <c r="AX292" i="58" s="1"/>
  <c r="AT476" i="58"/>
  <c r="AX476" i="58" s="1"/>
  <c r="AT414" i="58"/>
  <c r="AX414" i="58" s="1"/>
  <c r="AT294" i="58"/>
  <c r="AX294" i="58" s="1"/>
  <c r="AT278" i="58"/>
  <c r="AX278" i="58" s="1"/>
  <c r="AT412" i="58"/>
  <c r="AX412" i="58" s="1"/>
  <c r="AT420" i="58"/>
  <c r="AX420" i="58" s="1"/>
  <c r="AT494" i="58"/>
  <c r="AX494" i="58" s="1"/>
  <c r="AT430" i="58"/>
  <c r="AX430" i="58" s="1"/>
  <c r="AT518" i="58"/>
  <c r="AX518" i="58" s="1"/>
  <c r="AT340" i="58"/>
  <c r="AX340" i="58" s="1"/>
  <c r="AT380" i="58"/>
  <c r="AX380" i="58" s="1"/>
  <c r="T119" i="35"/>
  <c r="U119" i="35" s="1"/>
  <c r="AT468" i="58"/>
  <c r="AX468" i="58" s="1"/>
  <c r="AT308" i="58"/>
  <c r="AX308" i="58" s="1"/>
  <c r="AT502" i="58"/>
  <c r="AX502" i="58" s="1"/>
  <c r="AT508" i="58"/>
  <c r="AX508" i="58" s="1"/>
  <c r="AT300" i="58"/>
  <c r="AX300" i="58" s="1"/>
  <c r="AT444" i="58"/>
  <c r="AX444" i="58" s="1"/>
  <c r="AT454" i="58"/>
  <c r="AX454" i="58" s="1"/>
  <c r="AX429" i="58"/>
  <c r="O639" i="35"/>
  <c r="X443" i="58"/>
  <c r="AT295" i="58"/>
  <c r="AX341" i="58"/>
  <c r="X523" i="58"/>
  <c r="AK494" i="58"/>
  <c r="AK284" i="58"/>
  <c r="AK276" i="58"/>
  <c r="AK404" i="58"/>
  <c r="AX438" i="58"/>
  <c r="AK462" i="58"/>
  <c r="U465" i="35"/>
  <c r="AK430" i="58"/>
  <c r="AK502" i="58"/>
  <c r="AK316" i="58"/>
  <c r="X386" i="58"/>
  <c r="X314" i="58"/>
  <c r="T432" i="58"/>
  <c r="X466" i="58"/>
  <c r="AK364" i="58"/>
  <c r="AK380" i="58"/>
  <c r="AX485" i="58"/>
  <c r="BJ49" i="17"/>
  <c r="V480" i="58"/>
  <c r="V424" i="58"/>
  <c r="V312" i="58"/>
  <c r="V328" i="58"/>
  <c r="V512" i="58"/>
  <c r="V488" i="58"/>
  <c r="V496" i="58"/>
  <c r="V416" i="58"/>
  <c r="V376" i="58"/>
  <c r="V472" i="58"/>
  <c r="V280" i="58"/>
  <c r="V296" i="58"/>
  <c r="V360" i="58"/>
  <c r="V408" i="58"/>
  <c r="V336" i="58"/>
  <c r="V520" i="58"/>
  <c r="V504" i="58"/>
  <c r="X504" i="58" s="1"/>
  <c r="V304" i="58"/>
  <c r="V368" i="58"/>
  <c r="V464" i="58"/>
  <c r="V440" i="58"/>
  <c r="V456" i="58"/>
  <c r="V432" i="58"/>
  <c r="V344" i="58"/>
  <c r="J468" i="35"/>
  <c r="V288" i="58"/>
  <c r="V400" i="58"/>
  <c r="V352" i="58"/>
  <c r="V392" i="58"/>
  <c r="V384" i="58"/>
  <c r="V448" i="58"/>
  <c r="AK510" i="58"/>
  <c r="AK350" i="58"/>
  <c r="AK454" i="58"/>
  <c r="AK388" i="58"/>
  <c r="X290" i="58"/>
  <c r="X378" i="58"/>
  <c r="X474" i="58"/>
  <c r="AK277" i="58"/>
  <c r="AT311" i="58"/>
  <c r="AX311" i="58" s="1"/>
  <c r="AT407" i="58"/>
  <c r="AT335" i="58"/>
  <c r="AT447" i="58"/>
  <c r="AX447" i="58" s="1"/>
  <c r="AT375" i="58"/>
  <c r="AT303" i="58"/>
  <c r="AT463" i="58"/>
  <c r="AT351" i="58"/>
  <c r="AT415" i="58"/>
  <c r="AT455" i="58"/>
  <c r="AT399" i="58"/>
  <c r="AT511" i="58"/>
  <c r="AT439" i="58"/>
  <c r="AT279" i="58"/>
  <c r="AT479" i="58"/>
  <c r="AT359" i="58"/>
  <c r="AT343" i="58"/>
  <c r="T379" i="35"/>
  <c r="AT383" i="58"/>
  <c r="AT503" i="58"/>
  <c r="AT431" i="58"/>
  <c r="AT423" i="58"/>
  <c r="AT319" i="58"/>
  <c r="AT487" i="58"/>
  <c r="AT471" i="58"/>
  <c r="AT327" i="58"/>
  <c r="AT367" i="58"/>
  <c r="AX367" i="58" s="1"/>
  <c r="AT287" i="58"/>
  <c r="AT519" i="58"/>
  <c r="AT495" i="58"/>
  <c r="AX293" i="58"/>
  <c r="AX477" i="58"/>
  <c r="U633" i="35"/>
  <c r="AX274" i="58"/>
  <c r="AX225" i="58"/>
  <c r="AX176" i="58"/>
  <c r="AX171" i="58"/>
  <c r="AK172" i="58"/>
  <c r="BN172" i="58" s="1"/>
  <c r="X273" i="58"/>
  <c r="X187" i="58"/>
  <c r="AX273" i="58"/>
  <c r="AK263" i="58"/>
  <c r="P254" i="58"/>
  <c r="X254" i="58" s="1"/>
  <c r="P274" i="58"/>
  <c r="X274" i="58" s="1"/>
  <c r="P264" i="58"/>
  <c r="X264" i="58" s="1"/>
  <c r="P215" i="58"/>
  <c r="X215" i="58" s="1"/>
  <c r="P196" i="58"/>
  <c r="X196" i="58" s="1"/>
  <c r="P235" i="58"/>
  <c r="X235" i="58" s="1"/>
  <c r="P176" i="58"/>
  <c r="X176" i="58" s="1"/>
  <c r="P225" i="58"/>
  <c r="X225" i="58" s="1"/>
  <c r="J288" i="35"/>
  <c r="U288" i="35" s="1"/>
  <c r="P186" i="58"/>
  <c r="X186" i="58" s="1"/>
  <c r="P245" i="58"/>
  <c r="X245" i="58" s="1"/>
  <c r="X195" i="58"/>
  <c r="X252" i="58"/>
  <c r="X233" i="58"/>
  <c r="AK244" i="58"/>
  <c r="AK192" i="58"/>
  <c r="BN192" i="58" s="1"/>
  <c r="AX235" i="58"/>
  <c r="J542" i="35"/>
  <c r="O24" i="35"/>
  <c r="O457" i="35"/>
  <c r="J543" i="35"/>
  <c r="J25" i="35"/>
  <c r="O25" i="35"/>
  <c r="J457" i="35"/>
  <c r="J371" i="35"/>
  <c r="AK532" i="58"/>
  <c r="J627" i="35"/>
  <c r="T283" i="35"/>
  <c r="J283" i="35"/>
  <c r="O197" i="35"/>
  <c r="U197" i="35" s="1"/>
  <c r="J111" i="35"/>
  <c r="U111" i="35" s="1"/>
  <c r="J628" i="35"/>
  <c r="T25" i="35"/>
  <c r="T371" i="35"/>
  <c r="T628" i="35"/>
  <c r="BI28" i="21"/>
  <c r="T457" i="35"/>
  <c r="O283" i="35"/>
  <c r="T542" i="35"/>
  <c r="O628" i="35"/>
  <c r="T543" i="35"/>
  <c r="U543" i="35" s="1"/>
  <c r="BN118" i="58"/>
  <c r="AK164" i="58"/>
  <c r="BN164" i="58" s="1"/>
  <c r="U593" i="35"/>
  <c r="U642" i="35"/>
  <c r="AX83" i="58"/>
  <c r="BN94" i="58"/>
  <c r="BN44" i="58"/>
  <c r="U319" i="35"/>
  <c r="U93" i="35"/>
  <c r="AK77" i="58"/>
  <c r="BN548" i="58"/>
  <c r="BN114" i="58"/>
  <c r="AX328" i="58"/>
  <c r="U318" i="35"/>
  <c r="BN106" i="58"/>
  <c r="U150" i="35"/>
  <c r="BN9" i="58"/>
  <c r="U422" i="35"/>
  <c r="AK220" i="58"/>
  <c r="BN220" i="58" s="1"/>
  <c r="BN22" i="58"/>
  <c r="U253" i="35"/>
  <c r="BN545" i="58"/>
  <c r="AX260" i="58"/>
  <c r="X214" i="58"/>
  <c r="U147" i="35"/>
  <c r="AK230" i="58"/>
  <c r="BN230" i="58" s="1"/>
  <c r="BN20" i="58"/>
  <c r="AX11" i="58"/>
  <c r="BN11" i="58" s="1"/>
  <c r="U664" i="35"/>
  <c r="AX211" i="58"/>
  <c r="BN90" i="58"/>
  <c r="U415" i="35"/>
  <c r="T122" i="58"/>
  <c r="AP122" i="58"/>
  <c r="P122" i="58"/>
  <c r="X185" i="58"/>
  <c r="AX265" i="58"/>
  <c r="U235" i="35"/>
  <c r="U64" i="35"/>
  <c r="BN113" i="58"/>
  <c r="AX408" i="58"/>
  <c r="U61" i="35"/>
  <c r="AX214" i="58"/>
  <c r="BN26" i="58"/>
  <c r="T480" i="58"/>
  <c r="AX75" i="58"/>
  <c r="BN75" i="58" s="1"/>
  <c r="AR134" i="58"/>
  <c r="X425" i="58"/>
  <c r="V122" i="58"/>
  <c r="AI122" i="58"/>
  <c r="AT122" i="58"/>
  <c r="AR122" i="58"/>
  <c r="AG122" i="58"/>
  <c r="AR133" i="58"/>
  <c r="AK500" i="58"/>
  <c r="AK318" i="58"/>
  <c r="AK310" i="58"/>
  <c r="AK518" i="58"/>
  <c r="AK382" i="58"/>
  <c r="AK553" i="58"/>
  <c r="U239" i="35"/>
  <c r="AX3" i="58"/>
  <c r="BN3" i="58" s="1"/>
  <c r="BN14" i="58"/>
  <c r="AX221" i="58"/>
  <c r="AX231" i="58"/>
  <c r="AX224" i="58"/>
  <c r="AP129" i="58"/>
  <c r="U325" i="35"/>
  <c r="U233" i="35"/>
  <c r="X395" i="58"/>
  <c r="X427" i="58"/>
  <c r="U330" i="35"/>
  <c r="U504" i="35"/>
  <c r="AK508" i="58"/>
  <c r="AK342" i="58"/>
  <c r="AK300" i="58"/>
  <c r="AX275" i="58"/>
  <c r="BN101" i="58"/>
  <c r="BN29" i="58"/>
  <c r="BN45" i="58"/>
  <c r="AK253" i="58"/>
  <c r="AX80" i="58"/>
  <c r="AX505" i="58"/>
  <c r="T424" i="58"/>
  <c r="AK396" i="58"/>
  <c r="AX365" i="58"/>
  <c r="T456" i="58"/>
  <c r="T472" i="58"/>
  <c r="J471" i="35"/>
  <c r="U471" i="35" s="1"/>
  <c r="T336" i="58"/>
  <c r="T440" i="58"/>
  <c r="T368" i="58"/>
  <c r="T328" i="58"/>
  <c r="T520" i="58"/>
  <c r="T304" i="58"/>
  <c r="T320" i="58"/>
  <c r="X320" i="58" s="1"/>
  <c r="T408" i="58"/>
  <c r="T488" i="58"/>
  <c r="T384" i="58"/>
  <c r="T312" i="58"/>
  <c r="T352" i="58"/>
  <c r="T288" i="58"/>
  <c r="T400" i="58"/>
  <c r="T376" i="58"/>
  <c r="T280" i="58"/>
  <c r="T464" i="58"/>
  <c r="T496" i="58"/>
  <c r="T416" i="58"/>
  <c r="T344" i="58"/>
  <c r="T448" i="58"/>
  <c r="T512" i="58"/>
  <c r="T392" i="58"/>
  <c r="T296" i="58"/>
  <c r="T360" i="58"/>
  <c r="AK460" i="58"/>
  <c r="AK308" i="58"/>
  <c r="AK436" i="58"/>
  <c r="AK470" i="58"/>
  <c r="AK324" i="58"/>
  <c r="X339" i="58"/>
  <c r="AK332" i="58"/>
  <c r="AK302" i="58"/>
  <c r="AK366" i="58"/>
  <c r="AK278" i="58"/>
  <c r="AK286" i="58"/>
  <c r="AK472" i="58"/>
  <c r="AE69" i="58"/>
  <c r="X119" i="58"/>
  <c r="BN119" i="58" s="1"/>
  <c r="BN84" i="58"/>
  <c r="U434" i="35"/>
  <c r="U681" i="35"/>
  <c r="AX175" i="58"/>
  <c r="U162" i="35"/>
  <c r="AX250" i="58"/>
  <c r="U336" i="35"/>
  <c r="U84" i="35"/>
  <c r="AX195" i="58"/>
  <c r="U579" i="35"/>
  <c r="AX7" i="58"/>
  <c r="BN7" i="58" s="1"/>
  <c r="BN47" i="58"/>
  <c r="U51" i="35"/>
  <c r="BN546" i="58"/>
  <c r="BN5" i="58"/>
  <c r="U418" i="35"/>
  <c r="AV26" i="15"/>
  <c r="AI540" i="58" s="1"/>
  <c r="AK191" i="58"/>
  <c r="BN21" i="58"/>
  <c r="BN206" i="58"/>
  <c r="BN117" i="58"/>
  <c r="U440" i="35"/>
  <c r="U407" i="35"/>
  <c r="AV27" i="15"/>
  <c r="R539" i="58" s="1"/>
  <c r="T67" i="58"/>
  <c r="J439" i="35"/>
  <c r="U439" i="35" s="1"/>
  <c r="BN542" i="58"/>
  <c r="BN31" i="58"/>
  <c r="AX236" i="58"/>
  <c r="U276" i="35"/>
  <c r="BN16" i="58"/>
  <c r="U430" i="35"/>
  <c r="U654" i="35"/>
  <c r="AV24" i="15"/>
  <c r="AE524" i="58" s="1"/>
  <c r="AV28" i="15"/>
  <c r="AT541" i="58" s="1"/>
  <c r="BN33" i="58"/>
  <c r="U158" i="35"/>
  <c r="BN49" i="58"/>
  <c r="X451" i="58"/>
  <c r="U76" i="35"/>
  <c r="U526" i="35"/>
  <c r="BN110" i="58"/>
  <c r="BN59" i="58"/>
  <c r="U137" i="35"/>
  <c r="BN102" i="58"/>
  <c r="U306" i="35"/>
  <c r="U496" i="35"/>
  <c r="BN93" i="58"/>
  <c r="O9" i="83"/>
  <c r="N9" i="83" s="1"/>
  <c r="AR529" i="58"/>
  <c r="AT529" i="58"/>
  <c r="AI529" i="58"/>
  <c r="AC529" i="58"/>
  <c r="AP529" i="58"/>
  <c r="AG529" i="58"/>
  <c r="AE529" i="58"/>
  <c r="T529" i="58"/>
  <c r="R529" i="58"/>
  <c r="V529" i="58"/>
  <c r="P529" i="58"/>
  <c r="AR56" i="58"/>
  <c r="AX56" i="58" s="1"/>
  <c r="AP133" i="58"/>
  <c r="BN18" i="58"/>
  <c r="U453" i="35"/>
  <c r="X377" i="58"/>
  <c r="BN78" i="58"/>
  <c r="U376" i="35"/>
  <c r="BN162" i="58"/>
  <c r="BN271" i="58"/>
  <c r="T70" i="58"/>
  <c r="X70" i="58" s="1"/>
  <c r="V526" i="58"/>
  <c r="AE526" i="58"/>
  <c r="R526" i="58"/>
  <c r="AG526" i="58"/>
  <c r="AI526" i="58"/>
  <c r="AP526" i="58"/>
  <c r="P526" i="58"/>
  <c r="AR526" i="58"/>
  <c r="AT526" i="58"/>
  <c r="T526" i="58"/>
  <c r="AC526" i="58"/>
  <c r="AG527" i="58"/>
  <c r="AP527" i="58"/>
  <c r="AC527" i="58"/>
  <c r="AE527" i="58"/>
  <c r="V527" i="58"/>
  <c r="AI527" i="58"/>
  <c r="P527" i="58"/>
  <c r="AR527" i="58"/>
  <c r="R527" i="58"/>
  <c r="AT527" i="58"/>
  <c r="T527" i="58"/>
  <c r="AC135" i="58"/>
  <c r="BN98" i="58"/>
  <c r="U520" i="35"/>
  <c r="U679" i="35"/>
  <c r="X307" i="58"/>
  <c r="X299" i="58"/>
  <c r="P135" i="58"/>
  <c r="X135" i="58" s="1"/>
  <c r="P130" i="58"/>
  <c r="X130" i="58" s="1"/>
  <c r="U483" i="35"/>
  <c r="U630" i="35"/>
  <c r="AX216" i="58"/>
  <c r="AT71" i="58"/>
  <c r="AX71" i="58" s="1"/>
  <c r="BN8" i="58"/>
  <c r="T528" i="58"/>
  <c r="AT528" i="58"/>
  <c r="V528" i="58"/>
  <c r="AP528" i="58"/>
  <c r="AC528" i="58"/>
  <c r="AG528" i="58"/>
  <c r="AI528" i="58"/>
  <c r="AE528" i="58"/>
  <c r="R528" i="58"/>
  <c r="AR528" i="58"/>
  <c r="P528" i="58"/>
  <c r="R199" i="58"/>
  <c r="AI199" i="58"/>
  <c r="V199" i="58"/>
  <c r="AR199" i="58"/>
  <c r="AP199" i="58"/>
  <c r="P199" i="58"/>
  <c r="AC199" i="58"/>
  <c r="T199" i="58"/>
  <c r="AE199" i="58"/>
  <c r="AT199" i="58"/>
  <c r="AG199" i="58"/>
  <c r="X505" i="58"/>
  <c r="X244" i="58"/>
  <c r="U410" i="35"/>
  <c r="T154" i="58"/>
  <c r="J406" i="35"/>
  <c r="U406" i="35" s="1"/>
  <c r="X255" i="58"/>
  <c r="AV42" i="17"/>
  <c r="V218" i="58" s="1"/>
  <c r="M8" i="83"/>
  <c r="U584" i="35"/>
  <c r="AV536" i="58"/>
  <c r="BN37" i="58"/>
  <c r="U621" i="35"/>
  <c r="AE67" i="58"/>
  <c r="U696" i="35"/>
  <c r="R156" i="58"/>
  <c r="U262" i="35"/>
  <c r="U346" i="35"/>
  <c r="BN203" i="58"/>
  <c r="AT133" i="58"/>
  <c r="AK552" i="58"/>
  <c r="BN163" i="58"/>
  <c r="N8" i="83"/>
  <c r="AX70" i="58"/>
  <c r="AG525" i="58"/>
  <c r="V525" i="58"/>
  <c r="AR525" i="58"/>
  <c r="AT525" i="58"/>
  <c r="AP525" i="58"/>
  <c r="AC525" i="58"/>
  <c r="AE525" i="58"/>
  <c r="R525" i="58"/>
  <c r="AI525" i="58"/>
  <c r="P525" i="58"/>
  <c r="T525" i="58"/>
  <c r="BN40" i="58"/>
  <c r="BN17" i="58"/>
  <c r="P67" i="58"/>
  <c r="BN46" i="58"/>
  <c r="U27" i="35"/>
  <c r="BN42" i="58"/>
  <c r="X550" i="58"/>
  <c r="BN13" i="58"/>
  <c r="BN96" i="58"/>
  <c r="BN112" i="58"/>
  <c r="BN34" i="58"/>
  <c r="T525" i="35"/>
  <c r="AT68" i="58"/>
  <c r="AX68" i="58" s="1"/>
  <c r="P133" i="58"/>
  <c r="X133" i="58" s="1"/>
  <c r="M133" i="58" s="1"/>
  <c r="N133" i="58" s="1"/>
  <c r="X552" i="58"/>
  <c r="BN116" i="58"/>
  <c r="U364" i="35"/>
  <c r="BN35" i="58"/>
  <c r="BN36" i="58"/>
  <c r="BN28" i="58"/>
  <c r="AT156" i="58"/>
  <c r="AK63" i="34"/>
  <c r="AV32" i="34"/>
  <c r="P71" i="58"/>
  <c r="X71" i="58" s="1"/>
  <c r="J678" i="35"/>
  <c r="J161" i="35"/>
  <c r="P66" i="58"/>
  <c r="X66" i="58" s="1"/>
  <c r="X76" i="58"/>
  <c r="BN43" i="58"/>
  <c r="AE58" i="58"/>
  <c r="AK58" i="58" s="1"/>
  <c r="O690" i="35"/>
  <c r="J149" i="35"/>
  <c r="U149" i="35" s="1"/>
  <c r="R153" i="58"/>
  <c r="U40" i="34"/>
  <c r="U62" i="34"/>
  <c r="U128" i="34" s="1"/>
  <c r="AR52" i="58"/>
  <c r="AX52" i="58" s="1"/>
  <c r="T87" i="35"/>
  <c r="AX67" i="58"/>
  <c r="AG68" i="58"/>
  <c r="AK68" i="58" s="1"/>
  <c r="O525" i="35"/>
  <c r="U697" i="35"/>
  <c r="J507" i="35"/>
  <c r="P68" i="58"/>
  <c r="AB62" i="34"/>
  <c r="AB128" i="34" s="1"/>
  <c r="AB40" i="34"/>
  <c r="AG71" i="58"/>
  <c r="U413" i="35"/>
  <c r="BN79" i="58"/>
  <c r="BN19" i="58"/>
  <c r="AK550" i="58"/>
  <c r="AK171" i="58"/>
  <c r="BN38" i="58"/>
  <c r="BN261" i="58"/>
  <c r="BN77" i="58"/>
  <c r="X204" i="58"/>
  <c r="AI145" i="58"/>
  <c r="AC145" i="58"/>
  <c r="AP145" i="58"/>
  <c r="AT145" i="58"/>
  <c r="AG145" i="58"/>
  <c r="R145" i="58"/>
  <c r="V145" i="58"/>
  <c r="AR145" i="58"/>
  <c r="P145" i="58"/>
  <c r="T145" i="58"/>
  <c r="AE145" i="58"/>
  <c r="R155" i="58"/>
  <c r="J495" i="35"/>
  <c r="U322" i="35"/>
  <c r="BN103" i="58"/>
  <c r="AX234" i="58"/>
  <c r="BN270" i="58"/>
  <c r="AK85" i="58"/>
  <c r="BN85" i="58" s="1"/>
  <c r="U507" i="35"/>
  <c r="BN202" i="58"/>
  <c r="AK269" i="58"/>
  <c r="BN269" i="58" s="1"/>
  <c r="BN83" i="58"/>
  <c r="U493" i="35"/>
  <c r="U427" i="35"/>
  <c r="BN167" i="58"/>
  <c r="R152" i="58"/>
  <c r="J63" i="35"/>
  <c r="U63" i="35" s="1"/>
  <c r="AK90" i="23"/>
  <c r="AV28" i="23"/>
  <c r="AV32" i="23"/>
  <c r="AV31" i="23"/>
  <c r="AV29" i="23"/>
  <c r="AV30" i="23"/>
  <c r="J321" i="35"/>
  <c r="U321" i="35" s="1"/>
  <c r="R157" i="58"/>
  <c r="AP61" i="58"/>
  <c r="T61" i="58"/>
  <c r="R61" i="58"/>
  <c r="V61" i="58"/>
  <c r="AR61" i="58"/>
  <c r="P61" i="58"/>
  <c r="AG61" i="58"/>
  <c r="AT61" i="58"/>
  <c r="AC61" i="58"/>
  <c r="AE61" i="58"/>
  <c r="AI61" i="58"/>
  <c r="AE54" i="58"/>
  <c r="AK54" i="58" s="1"/>
  <c r="O433" i="35"/>
  <c r="BN24" i="58"/>
  <c r="BN183" i="58"/>
  <c r="AV47" i="17"/>
  <c r="AV48" i="17"/>
  <c r="AV46" i="17"/>
  <c r="BN30" i="58"/>
  <c r="T155" i="58"/>
  <c r="J492" i="35"/>
  <c r="U492" i="35" s="1"/>
  <c r="AT58" i="58"/>
  <c r="AX58" i="58" s="1"/>
  <c r="T690" i="35"/>
  <c r="R136" i="58"/>
  <c r="AG136" i="58"/>
  <c r="T136" i="58"/>
  <c r="AC136" i="58"/>
  <c r="AI136" i="58"/>
  <c r="AE136" i="58"/>
  <c r="AT136" i="58"/>
  <c r="AR136" i="58"/>
  <c r="V136" i="58"/>
  <c r="AP136" i="58"/>
  <c r="P136" i="58"/>
  <c r="AK86" i="58"/>
  <c r="BN86" i="58" s="1"/>
  <c r="BN88" i="58"/>
  <c r="BN48" i="58"/>
  <c r="X129" i="58"/>
  <c r="X122" i="58"/>
  <c r="BN81" i="58"/>
  <c r="BN80" i="58"/>
  <c r="BN222" i="58"/>
  <c r="AX74" i="58"/>
  <c r="BN74" i="58" s="1"/>
  <c r="BN23" i="58"/>
  <c r="T57" i="35"/>
  <c r="AT152" i="58"/>
  <c r="AV43" i="17"/>
  <c r="AX263" i="58"/>
  <c r="U309" i="35"/>
  <c r="AT57" i="58"/>
  <c r="AX57" i="58" s="1"/>
  <c r="T345" i="35"/>
  <c r="U327" i="35"/>
  <c r="AJ89" i="22"/>
  <c r="AV27" i="22"/>
  <c r="AV26" i="22"/>
  <c r="AV25" i="22"/>
  <c r="AK76" i="58"/>
  <c r="BN111" i="58"/>
  <c r="BN95" i="58"/>
  <c r="AK249" i="58"/>
  <c r="U69" i="35"/>
  <c r="U667" i="35"/>
  <c r="BN205" i="58"/>
  <c r="AV44" i="17"/>
  <c r="U516" i="35"/>
  <c r="J75" i="35"/>
  <c r="T65" i="58"/>
  <c r="X65" i="58" s="1"/>
  <c r="T69" i="58"/>
  <c r="J247" i="35"/>
  <c r="T495" i="35"/>
  <c r="AT155" i="58"/>
  <c r="BN27" i="58"/>
  <c r="X538" i="58"/>
  <c r="BN72" i="58"/>
  <c r="AK210" i="58"/>
  <c r="BN210" i="58" s="1"/>
  <c r="O66" i="35"/>
  <c r="AC152" i="58"/>
  <c r="AV41" i="17"/>
  <c r="V153" i="58"/>
  <c r="J143" i="35"/>
  <c r="AX129" i="58"/>
  <c r="V536" i="58"/>
  <c r="X536" i="58" s="1"/>
  <c r="R535" i="58"/>
  <c r="X535" i="58" s="1"/>
  <c r="AK551" i="58"/>
  <c r="U585" i="35"/>
  <c r="AI535" i="58"/>
  <c r="AK535" i="58" s="1"/>
  <c r="O456" i="35"/>
  <c r="AC158" i="58"/>
  <c r="J519" i="35"/>
  <c r="R55" i="58"/>
  <c r="X55" i="58" s="1"/>
  <c r="O678" i="35"/>
  <c r="AC71" i="58"/>
  <c r="AK71" i="58" s="1"/>
  <c r="R69" i="58"/>
  <c r="J611" i="35"/>
  <c r="U611" i="35" s="1"/>
  <c r="Q91" i="85"/>
  <c r="Q79" i="85"/>
  <c r="Q9" i="90"/>
  <c r="Q10" i="90" s="1"/>
  <c r="Q11" i="90" s="1"/>
  <c r="T66" i="35"/>
  <c r="AP152" i="58"/>
  <c r="V533" i="58"/>
  <c r="X533" i="58" s="1"/>
  <c r="J110" i="35"/>
  <c r="BN108" i="58"/>
  <c r="O247" i="35"/>
  <c r="AG69" i="58"/>
  <c r="AK69" i="58" s="1"/>
  <c r="R53" i="58"/>
  <c r="X53" i="58" s="1"/>
  <c r="J173" i="35"/>
  <c r="J282" i="35"/>
  <c r="T537" i="58"/>
  <c r="X537" i="58" s="1"/>
  <c r="Q87" i="85"/>
  <c r="R54" i="58"/>
  <c r="X54" i="58" s="1"/>
  <c r="J433" i="35"/>
  <c r="Q71" i="85"/>
  <c r="U67" i="35"/>
  <c r="J412" i="35"/>
  <c r="P154" i="58"/>
  <c r="AC155" i="58"/>
  <c r="T403" i="35"/>
  <c r="AR154" i="58"/>
  <c r="AI55" i="58"/>
  <c r="AK55" i="58" s="1"/>
  <c r="O519" i="35"/>
  <c r="AC66" i="58"/>
  <c r="AK66" i="58" s="1"/>
  <c r="O161" i="35"/>
  <c r="Q83" i="85"/>
  <c r="T324" i="35"/>
  <c r="AP157" i="58"/>
  <c r="J152" i="35"/>
  <c r="U152" i="35" s="1"/>
  <c r="P153" i="58"/>
  <c r="AX69" i="58"/>
  <c r="AI536" i="58"/>
  <c r="U113" i="35"/>
  <c r="AP536" i="58"/>
  <c r="T196" i="35"/>
  <c r="AC153" i="58"/>
  <c r="U260" i="35"/>
  <c r="X553" i="58"/>
  <c r="J498" i="35"/>
  <c r="P155" i="58"/>
  <c r="AI534" i="58"/>
  <c r="AK534" i="58" s="1"/>
  <c r="O370" i="35"/>
  <c r="AI53" i="58"/>
  <c r="AK53" i="58" s="1"/>
  <c r="O173" i="35"/>
  <c r="V532" i="58"/>
  <c r="X532" i="58" s="1"/>
  <c r="J24" i="35"/>
  <c r="AC156" i="58"/>
  <c r="AI153" i="58"/>
  <c r="O146" i="35"/>
  <c r="U146" i="35" s="1"/>
  <c r="BC19" i="23"/>
  <c r="L58" i="35"/>
  <c r="L490" i="35"/>
  <c r="L144" i="35"/>
  <c r="L316" i="35"/>
  <c r="L576" i="35"/>
  <c r="L404" i="35"/>
  <c r="L661" i="35"/>
  <c r="L230" i="35"/>
  <c r="X551" i="58"/>
  <c r="AP535" i="58"/>
  <c r="AX535" i="58" s="1"/>
  <c r="T456" i="35"/>
  <c r="T238" i="35"/>
  <c r="AP156" i="58"/>
  <c r="U499" i="35"/>
  <c r="T489" i="35"/>
  <c r="AR155" i="58"/>
  <c r="O232" i="35"/>
  <c r="U232" i="35" s="1"/>
  <c r="AI156" i="58"/>
  <c r="AC130" i="58"/>
  <c r="AC133" i="58"/>
  <c r="AK122" i="58"/>
  <c r="AX132" i="58"/>
  <c r="AI130" i="58"/>
  <c r="AR158" i="58"/>
  <c r="T666" i="35"/>
  <c r="U666" i="35" s="1"/>
  <c r="U624" i="35"/>
  <c r="O578" i="35"/>
  <c r="U578" i="35" s="1"/>
  <c r="AG156" i="58"/>
  <c r="J66" i="35"/>
  <c r="P152" i="58"/>
  <c r="AI538" i="58"/>
  <c r="AK538" i="58" s="1"/>
  <c r="O627" i="35"/>
  <c r="T110" i="35"/>
  <c r="AP533" i="58"/>
  <c r="AX533" i="58" s="1"/>
  <c r="AR534" i="58"/>
  <c r="AX534" i="58" s="1"/>
  <c r="T370" i="35"/>
  <c r="Q67" i="85"/>
  <c r="U670" i="35"/>
  <c r="U424" i="35"/>
  <c r="AX65" i="58"/>
  <c r="BN177" i="58"/>
  <c r="AE533" i="58"/>
  <c r="AK533" i="58" s="1"/>
  <c r="O110" i="35"/>
  <c r="O60" i="35"/>
  <c r="U60" i="35" s="1"/>
  <c r="AG152" i="58"/>
  <c r="T56" i="58"/>
  <c r="J259" i="35"/>
  <c r="BH22" i="85"/>
  <c r="AG65" i="58"/>
  <c r="AK65" i="58" s="1"/>
  <c r="O75" i="35"/>
  <c r="T412" i="35"/>
  <c r="AP154" i="58"/>
  <c r="J669" i="35"/>
  <c r="P158" i="58"/>
  <c r="X158" i="58" s="1"/>
  <c r="U606" i="35"/>
  <c r="U88" i="35"/>
  <c r="O663" i="35"/>
  <c r="U663" i="35" s="1"/>
  <c r="AI158" i="58"/>
  <c r="AI57" i="58"/>
  <c r="AK57" i="58" s="1"/>
  <c r="O345" i="35"/>
  <c r="AE536" i="58"/>
  <c r="O196" i="35"/>
  <c r="O7" i="90"/>
  <c r="AX134" i="58"/>
  <c r="P132" i="58"/>
  <c r="X132" i="58" s="1"/>
  <c r="T229" i="35"/>
  <c r="AR156" i="58"/>
  <c r="AI56" i="58"/>
  <c r="AK56" i="58" s="1"/>
  <c r="O259" i="35"/>
  <c r="J238" i="35"/>
  <c r="P156" i="58"/>
  <c r="V534" i="58"/>
  <c r="X534" i="58" s="1"/>
  <c r="J370" i="35"/>
  <c r="AR538" i="58"/>
  <c r="AX538" i="58" s="1"/>
  <c r="T627" i="35"/>
  <c r="AC157" i="58"/>
  <c r="T669" i="35"/>
  <c r="AP158" i="58"/>
  <c r="J324" i="35"/>
  <c r="P157" i="58"/>
  <c r="U244" i="35"/>
  <c r="AP153" i="58"/>
  <c r="AX153" i="58" s="1"/>
  <c r="T282" i="35"/>
  <c r="AP537" i="58"/>
  <c r="AX537" i="58" s="1"/>
  <c r="AR532" i="58"/>
  <c r="AX532" i="58" s="1"/>
  <c r="T24" i="35"/>
  <c r="AC154" i="58"/>
  <c r="T315" i="35"/>
  <c r="AR157" i="58"/>
  <c r="U174" i="35"/>
  <c r="AR135" i="58"/>
  <c r="AX135" i="58" s="1"/>
  <c r="X131" i="58"/>
  <c r="AG133" i="58"/>
  <c r="AR131" i="58"/>
  <c r="AX131" i="58" s="1"/>
  <c r="AP130" i="58"/>
  <c r="AX130" i="58" s="1"/>
  <c r="AC134" i="58"/>
  <c r="P134" i="58"/>
  <c r="X134" i="58" s="1"/>
  <c r="O421" i="35"/>
  <c r="U421" i="35" s="1"/>
  <c r="AC67" i="58"/>
  <c r="R68" i="58"/>
  <c r="J525" i="35"/>
  <c r="T58" i="58"/>
  <c r="X58" i="58" s="1"/>
  <c r="J690" i="35"/>
  <c r="BH20" i="85"/>
  <c r="Q75" i="85"/>
  <c r="BJ34" i="22"/>
  <c r="T498" i="35"/>
  <c r="AP155" i="58"/>
  <c r="U153" i="35"/>
  <c r="AI537" i="58"/>
  <c r="AK537" i="58" s="1"/>
  <c r="O282" i="35"/>
  <c r="AV53" i="58"/>
  <c r="AX53" i="58" s="1"/>
  <c r="T173" i="35"/>
  <c r="R56" i="58"/>
  <c r="J605" i="35"/>
  <c r="U605" i="35" s="1"/>
  <c r="T52" i="58"/>
  <c r="X52" i="58" s="1"/>
  <c r="J87" i="35"/>
  <c r="AK554" i="58"/>
  <c r="X554" i="58"/>
  <c r="BN212" i="58" l="1"/>
  <c r="BN185" i="58"/>
  <c r="BN216" i="58"/>
  <c r="BN204" i="58"/>
  <c r="BN236" i="58"/>
  <c r="BN186" i="58"/>
  <c r="BN243" i="58"/>
  <c r="BN255" i="58"/>
  <c r="BN187" i="58"/>
  <c r="BN232" i="58"/>
  <c r="BN263" i="58"/>
  <c r="BN250" i="58"/>
  <c r="BN215" i="58"/>
  <c r="BN234" i="58"/>
  <c r="BN253" i="58"/>
  <c r="BN231" i="58"/>
  <c r="BN211" i="58"/>
  <c r="BN195" i="58"/>
  <c r="AK559" i="58"/>
  <c r="AK557" i="58"/>
  <c r="AV553" i="58"/>
  <c r="AX553" i="58" s="1"/>
  <c r="BN553" i="58" s="1"/>
  <c r="AV552" i="58"/>
  <c r="AX552" i="58" s="1"/>
  <c r="BN552" i="58" s="1"/>
  <c r="X558" i="58"/>
  <c r="AK560" i="58"/>
  <c r="AV560" i="58" s="1"/>
  <c r="AX560" i="58" s="1"/>
  <c r="BN560" i="58" s="1"/>
  <c r="BN260" i="58"/>
  <c r="BN213" i="58"/>
  <c r="AX298" i="58"/>
  <c r="BN298" i="58" s="1"/>
  <c r="X333" i="58"/>
  <c r="BN333" i="58" s="1"/>
  <c r="BN66" i="58"/>
  <c r="BN181" i="58"/>
  <c r="R524" i="58"/>
  <c r="AP539" i="58"/>
  <c r="AT539" i="58"/>
  <c r="AR540" i="58"/>
  <c r="AG541" i="58"/>
  <c r="AE539" i="58"/>
  <c r="V539" i="58"/>
  <c r="P539" i="58"/>
  <c r="AG539" i="58"/>
  <c r="AR541" i="58"/>
  <c r="AR539" i="58"/>
  <c r="T539" i="58"/>
  <c r="V540" i="58"/>
  <c r="AI539" i="58"/>
  <c r="U87" i="35"/>
  <c r="AG524" i="58"/>
  <c r="BN252" i="58"/>
  <c r="X559" i="58"/>
  <c r="T524" i="58"/>
  <c r="X152" i="58"/>
  <c r="BN245" i="58"/>
  <c r="O333" i="35"/>
  <c r="U333" i="35" s="1"/>
  <c r="AE70" i="58"/>
  <c r="AK70" i="58" s="1"/>
  <c r="AX339" i="58"/>
  <c r="AX363" i="58"/>
  <c r="AX495" i="58"/>
  <c r="AX399" i="58"/>
  <c r="AX471" i="58"/>
  <c r="AX375" i="58"/>
  <c r="AX475" i="58"/>
  <c r="AX379" i="58"/>
  <c r="AX362" i="58"/>
  <c r="BN362" i="58" s="1"/>
  <c r="AK307" i="58"/>
  <c r="X489" i="58"/>
  <c r="X433" i="58"/>
  <c r="BN433" i="58" s="1"/>
  <c r="X449" i="58"/>
  <c r="X417" i="58"/>
  <c r="X473" i="58"/>
  <c r="BN473" i="58" s="1"/>
  <c r="X345" i="58"/>
  <c r="X313" i="58"/>
  <c r="AK419" i="58"/>
  <c r="X509" i="58"/>
  <c r="BN509" i="58" s="1"/>
  <c r="X453" i="58"/>
  <c r="BN453" i="58" s="1"/>
  <c r="X289" i="58"/>
  <c r="X493" i="58"/>
  <c r="BN493" i="58" s="1"/>
  <c r="X341" i="58"/>
  <c r="BN341" i="58" s="1"/>
  <c r="X325" i="58"/>
  <c r="BN325" i="58" s="1"/>
  <c r="X373" i="58"/>
  <c r="BN373" i="58" s="1"/>
  <c r="X381" i="58"/>
  <c r="BN381" i="58" s="1"/>
  <c r="X441" i="58"/>
  <c r="AX323" i="58"/>
  <c r="BN292" i="58"/>
  <c r="AX419" i="58"/>
  <c r="BN419" i="58" s="1"/>
  <c r="X337" i="58"/>
  <c r="X421" i="58"/>
  <c r="BN421" i="58" s="1"/>
  <c r="X277" i="58"/>
  <c r="BN277" i="58" s="1"/>
  <c r="AK465" i="58"/>
  <c r="X401" i="58"/>
  <c r="X399" i="58"/>
  <c r="X349" i="58"/>
  <c r="BN349" i="58" s="1"/>
  <c r="X423" i="58"/>
  <c r="X335" i="58"/>
  <c r="X429" i="58"/>
  <c r="BN429" i="58" s="1"/>
  <c r="X389" i="58"/>
  <c r="BN389" i="58" s="1"/>
  <c r="X485" i="58"/>
  <c r="BN485" i="58" s="1"/>
  <c r="AX290" i="58"/>
  <c r="BN290" i="58" s="1"/>
  <c r="AX491" i="58"/>
  <c r="AX506" i="58"/>
  <c r="BN506" i="58" s="1"/>
  <c r="AX410" i="58"/>
  <c r="BN410" i="58" s="1"/>
  <c r="AX338" i="58"/>
  <c r="BN338" i="58" s="1"/>
  <c r="AX426" i="58"/>
  <c r="BN426" i="58" s="1"/>
  <c r="AX411" i="58"/>
  <c r="AK489" i="58"/>
  <c r="AX467" i="58"/>
  <c r="AX463" i="58"/>
  <c r="AX295" i="58"/>
  <c r="AX519" i="58"/>
  <c r="AX439" i="58"/>
  <c r="AX415" i="58"/>
  <c r="BN468" i="58"/>
  <c r="BN374" i="58"/>
  <c r="AK339" i="58"/>
  <c r="AX395" i="58"/>
  <c r="AK449" i="58"/>
  <c r="BN449" i="58" s="1"/>
  <c r="AX387" i="58"/>
  <c r="AX523" i="58"/>
  <c r="BN438" i="58"/>
  <c r="X365" i="58"/>
  <c r="BN365" i="58" s="1"/>
  <c r="X413" i="58"/>
  <c r="BN413" i="58" s="1"/>
  <c r="X353" i="58"/>
  <c r="X445" i="58"/>
  <c r="BN445" i="58" s="1"/>
  <c r="X301" i="58"/>
  <c r="BN301" i="58" s="1"/>
  <c r="AX386" i="58"/>
  <c r="BN386" i="58" s="1"/>
  <c r="AX450" i="58"/>
  <c r="AX314" i="58"/>
  <c r="BN314" i="58" s="1"/>
  <c r="AX315" i="58"/>
  <c r="AX431" i="58"/>
  <c r="BN476" i="58"/>
  <c r="BN492" i="58"/>
  <c r="AX347" i="58"/>
  <c r="AX291" i="58"/>
  <c r="AX483" i="58"/>
  <c r="AX427" i="58"/>
  <c r="BN427" i="58" s="1"/>
  <c r="AX283" i="58"/>
  <c r="BN283" i="58" s="1"/>
  <c r="X397" i="58"/>
  <c r="BN397" i="58" s="1"/>
  <c r="X317" i="58"/>
  <c r="BN317" i="58" s="1"/>
  <c r="AK505" i="58"/>
  <c r="BN505" i="58" s="1"/>
  <c r="X487" i="58"/>
  <c r="X471" i="58"/>
  <c r="BN450" i="58"/>
  <c r="AK299" i="58"/>
  <c r="AK387" i="58"/>
  <c r="AX442" i="58"/>
  <c r="BN442" i="58" s="1"/>
  <c r="AX515" i="58"/>
  <c r="BN515" i="58" s="1"/>
  <c r="AX299" i="58"/>
  <c r="BN299" i="58" s="1"/>
  <c r="AX307" i="58"/>
  <c r="AX330" i="58"/>
  <c r="BN330" i="58" s="1"/>
  <c r="AX466" i="58"/>
  <c r="BN466" i="58" s="1"/>
  <c r="AX370" i="58"/>
  <c r="BN370" i="58" s="1"/>
  <c r="AX514" i="58"/>
  <c r="BN514" i="58" s="1"/>
  <c r="AX507" i="58"/>
  <c r="AX435" i="58"/>
  <c r="BN452" i="58"/>
  <c r="BN324" i="58"/>
  <c r="AX327" i="58"/>
  <c r="AX423" i="58"/>
  <c r="AX303" i="58"/>
  <c r="U639" i="35"/>
  <c r="AK475" i="58"/>
  <c r="AX499" i="58"/>
  <c r="AX371" i="58"/>
  <c r="AX451" i="58"/>
  <c r="AX403" i="58"/>
  <c r="AK361" i="58"/>
  <c r="AX443" i="58"/>
  <c r="BN412" i="58"/>
  <c r="BN390" i="58"/>
  <c r="AK395" i="58"/>
  <c r="AK451" i="58"/>
  <c r="AK393" i="58"/>
  <c r="X517" i="58"/>
  <c r="BN517" i="58" s="1"/>
  <c r="X361" i="58"/>
  <c r="X385" i="58"/>
  <c r="BN326" i="58"/>
  <c r="BN398" i="58"/>
  <c r="X469" i="58"/>
  <c r="BN469" i="58" s="1"/>
  <c r="X293" i="58"/>
  <c r="BN293" i="58" s="1"/>
  <c r="X309" i="58"/>
  <c r="BN309" i="58" s="1"/>
  <c r="X465" i="58"/>
  <c r="X297" i="58"/>
  <c r="X409" i="58"/>
  <c r="X557" i="58"/>
  <c r="AK305" i="58"/>
  <c r="AK555" i="58"/>
  <c r="AX434" i="58"/>
  <c r="BN434" i="58" s="1"/>
  <c r="AK523" i="58"/>
  <c r="AK507" i="58"/>
  <c r="X321" i="58"/>
  <c r="X555" i="58"/>
  <c r="X513" i="58"/>
  <c r="AK561" i="58"/>
  <c r="AV561" i="58" s="1"/>
  <c r="AX561" i="58" s="1"/>
  <c r="BN561" i="58" s="1"/>
  <c r="X439" i="58"/>
  <c r="AX322" i="58"/>
  <c r="BN322" i="58" s="1"/>
  <c r="AV556" i="58"/>
  <c r="AX556" i="58" s="1"/>
  <c r="BN556" i="58" s="1"/>
  <c r="AK67" i="58"/>
  <c r="AC539" i="58"/>
  <c r="AG540" i="58"/>
  <c r="AI524" i="58"/>
  <c r="BN265" i="58"/>
  <c r="BN264" i="58"/>
  <c r="AX279" i="58"/>
  <c r="AX455" i="58"/>
  <c r="AX407" i="58"/>
  <c r="BN444" i="58"/>
  <c r="BN414" i="58"/>
  <c r="X431" i="58"/>
  <c r="X479" i="58"/>
  <c r="AX459" i="58"/>
  <c r="AX355" i="58"/>
  <c r="X477" i="58"/>
  <c r="BN477" i="58" s="1"/>
  <c r="U554" i="35"/>
  <c r="X393" i="58"/>
  <c r="X497" i="58"/>
  <c r="X305" i="58"/>
  <c r="U297" i="35"/>
  <c r="AK353" i="58"/>
  <c r="AK409" i="58"/>
  <c r="AK481" i="58"/>
  <c r="X521" i="58"/>
  <c r="AK315" i="58"/>
  <c r="X481" i="58"/>
  <c r="AV558" i="58"/>
  <c r="AX558" i="58" s="1"/>
  <c r="BN558" i="58" s="1"/>
  <c r="BN54" i="58"/>
  <c r="BN510" i="58"/>
  <c r="U379" i="35"/>
  <c r="BN446" i="58"/>
  <c r="X391" i="58"/>
  <c r="BN391" i="58" s="1"/>
  <c r="AK443" i="58"/>
  <c r="BN422" i="58"/>
  <c r="BN428" i="58"/>
  <c r="X295" i="58"/>
  <c r="X519" i="58"/>
  <c r="X367" i="58"/>
  <c r="BN367" i="58" s="1"/>
  <c r="X415" i="58"/>
  <c r="AK499" i="58"/>
  <c r="AK403" i="58"/>
  <c r="AK291" i="58"/>
  <c r="X457" i="58"/>
  <c r="BN406" i="58"/>
  <c r="AK467" i="58"/>
  <c r="X329" i="58"/>
  <c r="BN340" i="58"/>
  <c r="X281" i="58"/>
  <c r="BN281" i="58" s="1"/>
  <c r="X336" i="58"/>
  <c r="BN336" i="58" s="1"/>
  <c r="AK435" i="58"/>
  <c r="BN58" i="58"/>
  <c r="AV122" i="58"/>
  <c r="AX122" i="58" s="1"/>
  <c r="BN122" i="58" s="1"/>
  <c r="AK369" i="58"/>
  <c r="BN369" i="58" s="1"/>
  <c r="AK313" i="58"/>
  <c r="AE541" i="58"/>
  <c r="P524" i="58"/>
  <c r="AX418" i="58"/>
  <c r="BN418" i="58" s="1"/>
  <c r="BN175" i="58"/>
  <c r="AK401" i="58"/>
  <c r="X279" i="58"/>
  <c r="AX479" i="58"/>
  <c r="BN294" i="58"/>
  <c r="BN516" i="58"/>
  <c r="BN348" i="58"/>
  <c r="X319" i="58"/>
  <c r="AK371" i="58"/>
  <c r="AX306" i="58"/>
  <c r="BN306" i="58" s="1"/>
  <c r="AK321" i="58"/>
  <c r="BN490" i="58"/>
  <c r="BN484" i="58"/>
  <c r="X343" i="58"/>
  <c r="AK483" i="58"/>
  <c r="AX458" i="58"/>
  <c r="BN458" i="58" s="1"/>
  <c r="BN486" i="58"/>
  <c r="X455" i="58"/>
  <c r="AX482" i="58"/>
  <c r="BN482" i="58" s="1"/>
  <c r="AK425" i="58"/>
  <c r="BN425" i="58" s="1"/>
  <c r="X440" i="58"/>
  <c r="BN440" i="58" s="1"/>
  <c r="BN356" i="58"/>
  <c r="X512" i="58"/>
  <c r="BN512" i="58" s="1"/>
  <c r="X496" i="58"/>
  <c r="BN496" i="58" s="1"/>
  <c r="X400" i="58"/>
  <c r="BN400" i="58" s="1"/>
  <c r="BN364" i="58"/>
  <c r="X407" i="58"/>
  <c r="BN454" i="58"/>
  <c r="AK329" i="58"/>
  <c r="BN329" i="58" s="1"/>
  <c r="BN358" i="58"/>
  <c r="AX282" i="58"/>
  <c r="BN282" i="58" s="1"/>
  <c r="AK411" i="58"/>
  <c r="X495" i="58"/>
  <c r="X383" i="58"/>
  <c r="AK379" i="58"/>
  <c r="AK441" i="58"/>
  <c r="BN191" i="58"/>
  <c r="X280" i="58"/>
  <c r="BN280" i="58" s="1"/>
  <c r="AX287" i="58"/>
  <c r="AX487" i="58"/>
  <c r="AX503" i="58"/>
  <c r="AX351" i="58"/>
  <c r="X503" i="58"/>
  <c r="X303" i="58"/>
  <c r="AK345" i="58"/>
  <c r="BN405" i="58"/>
  <c r="BN310" i="58"/>
  <c r="BN249" i="58"/>
  <c r="BN366" i="58"/>
  <c r="X312" i="58"/>
  <c r="BN312" i="58" s="1"/>
  <c r="X368" i="58"/>
  <c r="BN368" i="58" s="1"/>
  <c r="BN224" i="58"/>
  <c r="BN273" i="58"/>
  <c r="AX319" i="58"/>
  <c r="AX383" i="58"/>
  <c r="AX335" i="58"/>
  <c r="U468" i="35"/>
  <c r="BN478" i="58"/>
  <c r="X287" i="58"/>
  <c r="X351" i="58"/>
  <c r="AK459" i="58"/>
  <c r="AK347" i="58"/>
  <c r="AK355" i="58"/>
  <c r="AX354" i="58"/>
  <c r="BN354" i="58" s="1"/>
  <c r="AX498" i="58"/>
  <c r="BN498" i="58" s="1"/>
  <c r="AK297" i="58"/>
  <c r="AK385" i="58"/>
  <c r="AK497" i="58"/>
  <c r="AK513" i="58"/>
  <c r="AK417" i="58"/>
  <c r="AK457" i="58"/>
  <c r="BN272" i="58"/>
  <c r="X511" i="58"/>
  <c r="BN461" i="58"/>
  <c r="AX346" i="58"/>
  <c r="BN346" i="58" s="1"/>
  <c r="BN357" i="58"/>
  <c r="X463" i="58"/>
  <c r="AX522" i="58"/>
  <c r="BN522" i="58" s="1"/>
  <c r="AX378" i="58"/>
  <c r="BN378" i="58" s="1"/>
  <c r="U382" i="35"/>
  <c r="X384" i="58"/>
  <c r="BN384" i="58" s="1"/>
  <c r="X304" i="58"/>
  <c r="BN304" i="58" s="1"/>
  <c r="X456" i="58"/>
  <c r="BN456" i="58" s="1"/>
  <c r="X375" i="58"/>
  <c r="AK491" i="58"/>
  <c r="AK289" i="58"/>
  <c r="AK363" i="58"/>
  <c r="AK323" i="58"/>
  <c r="X311" i="58"/>
  <c r="BN311" i="58" s="1"/>
  <c r="AK377" i="58"/>
  <c r="BN377" i="58" s="1"/>
  <c r="BN171" i="58"/>
  <c r="BN233" i="58"/>
  <c r="X296" i="58"/>
  <c r="BN296" i="58" s="1"/>
  <c r="X344" i="58"/>
  <c r="BN344" i="58" s="1"/>
  <c r="X352" i="58"/>
  <c r="BN352" i="58" s="1"/>
  <c r="X328" i="58"/>
  <c r="BN328" i="58" s="1"/>
  <c r="BN221" i="58"/>
  <c r="X480" i="58"/>
  <c r="BN196" i="58"/>
  <c r="BN254" i="58"/>
  <c r="AX343" i="58"/>
  <c r="BN334" i="58"/>
  <c r="X359" i="58"/>
  <c r="X327" i="58"/>
  <c r="BN402" i="58"/>
  <c r="AK337" i="58"/>
  <c r="X360" i="58"/>
  <c r="BN360" i="58" s="1"/>
  <c r="AK521" i="58"/>
  <c r="X392" i="58"/>
  <c r="BN392" i="58" s="1"/>
  <c r="X376" i="58"/>
  <c r="BN376" i="58" s="1"/>
  <c r="AX359" i="58"/>
  <c r="AX511" i="58"/>
  <c r="BN420" i="58"/>
  <c r="BN372" i="58"/>
  <c r="AX474" i="58"/>
  <c r="BN474" i="58" s="1"/>
  <c r="AX394" i="58"/>
  <c r="BN394" i="58" s="1"/>
  <c r="BN235" i="58"/>
  <c r="BN176" i="58"/>
  <c r="BN274" i="58"/>
  <c r="BN437" i="58"/>
  <c r="BN501" i="58"/>
  <c r="BN285" i="58"/>
  <c r="BN316" i="58"/>
  <c r="BN320" i="58"/>
  <c r="X432" i="58"/>
  <c r="BN432" i="58" s="1"/>
  <c r="BN470" i="58"/>
  <c r="BN504" i="58"/>
  <c r="X448" i="58"/>
  <c r="BN448" i="58" s="1"/>
  <c r="BN276" i="58"/>
  <c r="BN404" i="58"/>
  <c r="BN396" i="58"/>
  <c r="BN318" i="58"/>
  <c r="BN508" i="58"/>
  <c r="BN430" i="58"/>
  <c r="BN462" i="58"/>
  <c r="BN302" i="58"/>
  <c r="BN380" i="58"/>
  <c r="BN494" i="58"/>
  <c r="BN286" i="58"/>
  <c r="BN308" i="58"/>
  <c r="BN460" i="58"/>
  <c r="BN332" i="58"/>
  <c r="BN284" i="58"/>
  <c r="BN500" i="58"/>
  <c r="BN436" i="58"/>
  <c r="BN388" i="58"/>
  <c r="BN502" i="58"/>
  <c r="BN382" i="58"/>
  <c r="BN278" i="58"/>
  <c r="BN300" i="58"/>
  <c r="BN518" i="58"/>
  <c r="BN350" i="58"/>
  <c r="X447" i="58"/>
  <c r="BN447" i="58" s="1"/>
  <c r="BN342" i="58"/>
  <c r="BN331" i="58"/>
  <c r="X488" i="58"/>
  <c r="BN488" i="58" s="1"/>
  <c r="X424" i="58"/>
  <c r="BN424" i="58" s="1"/>
  <c r="X408" i="58"/>
  <c r="BN408" i="58" s="1"/>
  <c r="X472" i="58"/>
  <c r="BN472" i="58" s="1"/>
  <c r="X416" i="58"/>
  <c r="BN416" i="58" s="1"/>
  <c r="X464" i="58"/>
  <c r="BN464" i="58" s="1"/>
  <c r="X288" i="58"/>
  <c r="BN288" i="58" s="1"/>
  <c r="X520" i="58"/>
  <c r="BN520" i="58" s="1"/>
  <c r="U542" i="35"/>
  <c r="BN225" i="58"/>
  <c r="BN244" i="58"/>
  <c r="BN214" i="58"/>
  <c r="U371" i="35"/>
  <c r="U457" i="35"/>
  <c r="U25" i="35"/>
  <c r="U283" i="35"/>
  <c r="U628" i="35"/>
  <c r="U456" i="35"/>
  <c r="BN70" i="58"/>
  <c r="AV550" i="58"/>
  <c r="AX550" i="58" s="1"/>
  <c r="BN550" i="58" s="1"/>
  <c r="U495" i="35"/>
  <c r="AP228" i="58"/>
  <c r="BN57" i="58"/>
  <c r="U678" i="35"/>
  <c r="AX133" i="58"/>
  <c r="AP541" i="58"/>
  <c r="AC540" i="58"/>
  <c r="T540" i="58"/>
  <c r="T541" i="58"/>
  <c r="P541" i="58"/>
  <c r="P540" i="58"/>
  <c r="X157" i="58"/>
  <c r="AX536" i="58"/>
  <c r="X67" i="58"/>
  <c r="BN67" i="58" s="1"/>
  <c r="AC541" i="58"/>
  <c r="AI541" i="58"/>
  <c r="R541" i="58"/>
  <c r="AP540" i="58"/>
  <c r="R540" i="58"/>
  <c r="AR524" i="58"/>
  <c r="V524" i="58"/>
  <c r="AP524" i="58"/>
  <c r="BN76" i="58"/>
  <c r="T189" i="58"/>
  <c r="V541" i="58"/>
  <c r="BN480" i="58"/>
  <c r="AE540" i="58"/>
  <c r="AT540" i="58"/>
  <c r="AT524" i="58"/>
  <c r="AC524" i="58"/>
  <c r="AP238" i="58"/>
  <c r="AI189" i="58"/>
  <c r="AX152" i="58"/>
  <c r="U690" i="35"/>
  <c r="BN55" i="58"/>
  <c r="U247" i="35"/>
  <c r="AR179" i="58"/>
  <c r="P218" i="58"/>
  <c r="AC267" i="58"/>
  <c r="T208" i="58"/>
  <c r="V179" i="58"/>
  <c r="AE179" i="58"/>
  <c r="V238" i="58"/>
  <c r="AT267" i="58"/>
  <c r="AP208" i="58"/>
  <c r="AT228" i="58"/>
  <c r="AP257" i="58"/>
  <c r="V257" i="58"/>
  <c r="P208" i="58"/>
  <c r="X145" i="58"/>
  <c r="BN52" i="58"/>
  <c r="BN53" i="58"/>
  <c r="U525" i="35"/>
  <c r="U238" i="35"/>
  <c r="AE257" i="58"/>
  <c r="AI179" i="58"/>
  <c r="AT218" i="58"/>
  <c r="AR189" i="58"/>
  <c r="AR267" i="58"/>
  <c r="AR257" i="58"/>
  <c r="AR238" i="58"/>
  <c r="P267" i="58"/>
  <c r="AG189" i="58"/>
  <c r="R208" i="58"/>
  <c r="AG179" i="58"/>
  <c r="AI238" i="58"/>
  <c r="AC257" i="58"/>
  <c r="AE267" i="58"/>
  <c r="AT257" i="58"/>
  <c r="AC208" i="58"/>
  <c r="P179" i="58"/>
  <c r="R189" i="58"/>
  <c r="P257" i="58"/>
  <c r="R179" i="58"/>
  <c r="AT208" i="58"/>
  <c r="R218" i="58"/>
  <c r="AT179" i="58"/>
  <c r="AC179" i="58"/>
  <c r="R267" i="58"/>
  <c r="V189" i="58"/>
  <c r="AC189" i="58"/>
  <c r="AI208" i="58"/>
  <c r="V228" i="58"/>
  <c r="AP267" i="58"/>
  <c r="AP189" i="58"/>
  <c r="AG228" i="58"/>
  <c r="V267" i="58"/>
  <c r="P238" i="58"/>
  <c r="T238" i="58"/>
  <c r="AG218" i="58"/>
  <c r="AE208" i="58"/>
  <c r="P228" i="58"/>
  <c r="AP218" i="58"/>
  <c r="T228" i="58"/>
  <c r="AG238" i="58"/>
  <c r="AG208" i="58"/>
  <c r="AG257" i="58"/>
  <c r="AI267" i="58"/>
  <c r="AI257" i="58"/>
  <c r="T179" i="58"/>
  <c r="AC228" i="58"/>
  <c r="T267" i="58"/>
  <c r="AG267" i="58"/>
  <c r="AR228" i="58"/>
  <c r="AT189" i="58"/>
  <c r="AC218" i="58"/>
  <c r="AI218" i="58"/>
  <c r="AP179" i="58"/>
  <c r="AR208" i="58"/>
  <c r="V208" i="58"/>
  <c r="AI228" i="58"/>
  <c r="R257" i="58"/>
  <c r="T218" i="58"/>
  <c r="R238" i="58"/>
  <c r="AE189" i="58"/>
  <c r="R228" i="58"/>
  <c r="AE238" i="58"/>
  <c r="AR218" i="58"/>
  <c r="AT238" i="58"/>
  <c r="P189" i="58"/>
  <c r="AC238" i="58"/>
  <c r="AE218" i="58"/>
  <c r="T257" i="58"/>
  <c r="AE228" i="58"/>
  <c r="X525" i="58"/>
  <c r="X199" i="58"/>
  <c r="M199" i="58" s="1"/>
  <c r="X526" i="58"/>
  <c r="U75" i="35"/>
  <c r="AK528" i="58"/>
  <c r="U433" i="35"/>
  <c r="M9" i="83"/>
  <c r="AV551" i="58"/>
  <c r="AX551" i="58" s="1"/>
  <c r="BN551" i="58" s="1"/>
  <c r="X68" i="58"/>
  <c r="BN68" i="58" s="1"/>
  <c r="U370" i="35"/>
  <c r="X153" i="58"/>
  <c r="X527" i="58"/>
  <c r="U161" i="35"/>
  <c r="X154" i="58"/>
  <c r="AK199" i="58"/>
  <c r="AK527" i="58"/>
  <c r="X156" i="58"/>
  <c r="U627" i="35"/>
  <c r="X529" i="58"/>
  <c r="AK529" i="58"/>
  <c r="O10" i="83"/>
  <c r="N10" i="83" s="1"/>
  <c r="L9" i="83"/>
  <c r="X528" i="58"/>
  <c r="AK526" i="58"/>
  <c r="X56" i="58"/>
  <c r="BN56" i="58" s="1"/>
  <c r="AK525" i="58"/>
  <c r="AK145" i="58"/>
  <c r="U345" i="35"/>
  <c r="BN71" i="58"/>
  <c r="U66" i="35"/>
  <c r="X61" i="58"/>
  <c r="AK129" i="34"/>
  <c r="BI24" i="34" s="1"/>
  <c r="BI25" i="34" s="1"/>
  <c r="AV33" i="34"/>
  <c r="AV35" i="34"/>
  <c r="AV34" i="34"/>
  <c r="AK137" i="23"/>
  <c r="BG20" i="23" s="1"/>
  <c r="BG21" i="23" s="1"/>
  <c r="AV33" i="23"/>
  <c r="AV34" i="23"/>
  <c r="R149" i="58" s="1"/>
  <c r="AV35" i="23"/>
  <c r="X136" i="58"/>
  <c r="BN532" i="58"/>
  <c r="U196" i="35"/>
  <c r="BN535" i="58"/>
  <c r="X155" i="58"/>
  <c r="M155" i="58" s="1"/>
  <c r="N155" i="58" s="1"/>
  <c r="AK61" i="58"/>
  <c r="AI248" i="58"/>
  <c r="T180" i="58"/>
  <c r="AP209" i="58"/>
  <c r="P268" i="58"/>
  <c r="V239" i="58"/>
  <c r="P209" i="58"/>
  <c r="AT229" i="58"/>
  <c r="T248" i="58"/>
  <c r="P229" i="58"/>
  <c r="AG209" i="58"/>
  <c r="AG219" i="58"/>
  <c r="R268" i="58"/>
  <c r="P258" i="58"/>
  <c r="T170" i="58"/>
  <c r="AE170" i="58"/>
  <c r="R229" i="58"/>
  <c r="AE258" i="58"/>
  <c r="T258" i="58"/>
  <c r="AT180" i="58"/>
  <c r="AR190" i="58"/>
  <c r="AG229" i="58"/>
  <c r="AE209" i="58"/>
  <c r="P180" i="58"/>
  <c r="V219" i="58"/>
  <c r="AP180" i="58"/>
  <c r="AI170" i="58"/>
  <c r="AG239" i="58"/>
  <c r="AP268" i="58"/>
  <c r="R180" i="58"/>
  <c r="AP170" i="58"/>
  <c r="R209" i="58"/>
  <c r="V190" i="58"/>
  <c r="V248" i="58"/>
  <c r="AE180" i="58"/>
  <c r="R170" i="58"/>
  <c r="AC229" i="58"/>
  <c r="AE219" i="58"/>
  <c r="T229" i="58"/>
  <c r="AI190" i="58"/>
  <c r="AC180" i="58"/>
  <c r="AI239" i="58"/>
  <c r="AP248" i="58"/>
  <c r="AI209" i="58"/>
  <c r="T209" i="58"/>
  <c r="T219" i="58"/>
  <c r="AT209" i="58"/>
  <c r="AC219" i="58"/>
  <c r="AG248" i="58"/>
  <c r="AE248" i="58"/>
  <c r="AI180" i="58"/>
  <c r="V170" i="58"/>
  <c r="AP229" i="58"/>
  <c r="AI229" i="58"/>
  <c r="AT219" i="58"/>
  <c r="AP239" i="58"/>
  <c r="V229" i="58"/>
  <c r="AP258" i="58"/>
  <c r="P248" i="58"/>
  <c r="AI258" i="58"/>
  <c r="AT268" i="58"/>
  <c r="R190" i="58"/>
  <c r="AE190" i="58"/>
  <c r="AG170" i="58"/>
  <c r="AE239" i="58"/>
  <c r="AC258" i="58"/>
  <c r="AR258" i="58"/>
  <c r="V268" i="58"/>
  <c r="AR268" i="58"/>
  <c r="P190" i="58"/>
  <c r="AR239" i="58"/>
  <c r="AC268" i="58"/>
  <c r="AR219" i="58"/>
  <c r="AT248" i="58"/>
  <c r="AR209" i="58"/>
  <c r="AP219" i="58"/>
  <c r="AE229" i="58"/>
  <c r="R258" i="58"/>
  <c r="R219" i="58"/>
  <c r="AG180" i="58"/>
  <c r="P170" i="58"/>
  <c r="AG258" i="58"/>
  <c r="AT170" i="58"/>
  <c r="AR248" i="58"/>
  <c r="T239" i="58"/>
  <c r="AT258" i="58"/>
  <c r="AG190" i="58"/>
  <c r="AC248" i="58"/>
  <c r="AI268" i="58"/>
  <c r="R239" i="58"/>
  <c r="AP190" i="58"/>
  <c r="AE268" i="58"/>
  <c r="AG268" i="58"/>
  <c r="P239" i="58"/>
  <c r="T190" i="58"/>
  <c r="V258" i="58"/>
  <c r="R248" i="58"/>
  <c r="AI219" i="58"/>
  <c r="AC239" i="58"/>
  <c r="V209" i="58"/>
  <c r="V180" i="58"/>
  <c r="T268" i="58"/>
  <c r="AC170" i="58"/>
  <c r="AR229" i="58"/>
  <c r="AT190" i="58"/>
  <c r="P219" i="58"/>
  <c r="AR170" i="58"/>
  <c r="AC209" i="58"/>
  <c r="AR180" i="58"/>
  <c r="AC190" i="58"/>
  <c r="AT239" i="58"/>
  <c r="AT530" i="58"/>
  <c r="AR530" i="58"/>
  <c r="AE530" i="58"/>
  <c r="AP530" i="58"/>
  <c r="AI530" i="58"/>
  <c r="AG530" i="58"/>
  <c r="T530" i="58"/>
  <c r="AC530" i="58"/>
  <c r="V530" i="58"/>
  <c r="P530" i="58"/>
  <c r="R530" i="58"/>
  <c r="U324" i="35"/>
  <c r="X69" i="58"/>
  <c r="BN69" i="58" s="1"/>
  <c r="R161" i="58"/>
  <c r="AG161" i="58"/>
  <c r="AR161" i="58"/>
  <c r="AE161" i="58"/>
  <c r="AC161" i="58"/>
  <c r="V161" i="58"/>
  <c r="P161" i="58"/>
  <c r="AI161" i="58"/>
  <c r="AP161" i="58"/>
  <c r="AT161" i="58"/>
  <c r="T161" i="58"/>
  <c r="AC531" i="58"/>
  <c r="P531" i="58"/>
  <c r="AI531" i="58"/>
  <c r="AR531" i="58"/>
  <c r="T531" i="58"/>
  <c r="R531" i="58"/>
  <c r="AG531" i="58"/>
  <c r="AE531" i="58"/>
  <c r="AP531" i="58"/>
  <c r="AT531" i="58"/>
  <c r="V531" i="58"/>
  <c r="BN65" i="58"/>
  <c r="AV554" i="58"/>
  <c r="AX554" i="58" s="1"/>
  <c r="BN554" i="58" s="1"/>
  <c r="BN538" i="58"/>
  <c r="AE266" i="58"/>
  <c r="AP178" i="58"/>
  <c r="R207" i="58"/>
  <c r="V256" i="58"/>
  <c r="V207" i="58"/>
  <c r="V247" i="58"/>
  <c r="AR178" i="58"/>
  <c r="T207" i="58"/>
  <c r="AG247" i="58"/>
  <c r="P256" i="58"/>
  <c r="AC217" i="58"/>
  <c r="AP188" i="58"/>
  <c r="V178" i="58"/>
  <c r="V169" i="58"/>
  <c r="R188" i="58"/>
  <c r="T169" i="58"/>
  <c r="R237" i="58"/>
  <c r="R169" i="58"/>
  <c r="AP266" i="58"/>
  <c r="T266" i="58"/>
  <c r="T237" i="58"/>
  <c r="T178" i="58"/>
  <c r="AT217" i="58"/>
  <c r="AR266" i="58"/>
  <c r="AR247" i="58"/>
  <c r="AG178" i="58"/>
  <c r="AC237" i="58"/>
  <c r="AG227" i="58"/>
  <c r="P178" i="58"/>
  <c r="AE247" i="58"/>
  <c r="R178" i="58"/>
  <c r="AT256" i="58"/>
  <c r="AG188" i="58"/>
  <c r="AR188" i="58"/>
  <c r="T227" i="58"/>
  <c r="AI266" i="58"/>
  <c r="R247" i="58"/>
  <c r="AI169" i="58"/>
  <c r="AG256" i="58"/>
  <c r="T188" i="58"/>
  <c r="AI178" i="58"/>
  <c r="V237" i="58"/>
  <c r="AP217" i="58"/>
  <c r="AI237" i="58"/>
  <c r="AR237" i="58"/>
  <c r="P227" i="58"/>
  <c r="AR256" i="58"/>
  <c r="AC266" i="58"/>
  <c r="AE256" i="58"/>
  <c r="AT207" i="58"/>
  <c r="AR217" i="58"/>
  <c r="AR227" i="58"/>
  <c r="P217" i="58"/>
  <c r="AC247" i="58"/>
  <c r="AT169" i="58"/>
  <c r="AT266" i="58"/>
  <c r="AG207" i="58"/>
  <c r="AI207" i="58"/>
  <c r="AE227" i="58"/>
  <c r="P169" i="58"/>
  <c r="AT237" i="58"/>
  <c r="AG169" i="58"/>
  <c r="AT227" i="58"/>
  <c r="R217" i="58"/>
  <c r="AE207" i="58"/>
  <c r="AC207" i="58"/>
  <c r="AP169" i="58"/>
  <c r="AI188" i="58"/>
  <c r="T217" i="58"/>
  <c r="AP237" i="58"/>
  <c r="AI256" i="58"/>
  <c r="P237" i="58"/>
  <c r="AE237" i="58"/>
  <c r="AP247" i="58"/>
  <c r="V227" i="58"/>
  <c r="R227" i="58"/>
  <c r="AT247" i="58"/>
  <c r="P266" i="58"/>
  <c r="AP256" i="58"/>
  <c r="AR169" i="58"/>
  <c r="AI227" i="58"/>
  <c r="P207" i="58"/>
  <c r="AT178" i="58"/>
  <c r="AR207" i="58"/>
  <c r="AC227" i="58"/>
  <c r="AI217" i="58"/>
  <c r="AG237" i="58"/>
  <c r="AC178" i="58"/>
  <c r="AC188" i="58"/>
  <c r="AP227" i="58"/>
  <c r="P188" i="58"/>
  <c r="V266" i="58"/>
  <c r="T256" i="58"/>
  <c r="AE188" i="58"/>
  <c r="AG217" i="58"/>
  <c r="R266" i="58"/>
  <c r="AI247" i="58"/>
  <c r="V188" i="58"/>
  <c r="AE178" i="58"/>
  <c r="AE169" i="58"/>
  <c r="AP207" i="58"/>
  <c r="AG266" i="58"/>
  <c r="AC256" i="58"/>
  <c r="R256" i="58"/>
  <c r="T247" i="58"/>
  <c r="AC169" i="58"/>
  <c r="AE217" i="58"/>
  <c r="P247" i="58"/>
  <c r="AT188" i="58"/>
  <c r="V217" i="58"/>
  <c r="AJ132" i="22"/>
  <c r="AV28" i="22"/>
  <c r="V198" i="58"/>
  <c r="AP198" i="58"/>
  <c r="P198" i="58"/>
  <c r="R198" i="58"/>
  <c r="AE198" i="58"/>
  <c r="AT198" i="58"/>
  <c r="AR198" i="58"/>
  <c r="AG198" i="58"/>
  <c r="AC198" i="58"/>
  <c r="AI198" i="58"/>
  <c r="T198" i="58"/>
  <c r="V159" i="58"/>
  <c r="AI159" i="58"/>
  <c r="AP159" i="58"/>
  <c r="R159" i="58"/>
  <c r="AG159" i="58"/>
  <c r="AE159" i="58"/>
  <c r="AT159" i="58"/>
  <c r="AC159" i="58"/>
  <c r="T159" i="58"/>
  <c r="AR159" i="58"/>
  <c r="P159" i="58"/>
  <c r="AK136" i="58"/>
  <c r="AX157" i="58"/>
  <c r="AX156" i="58"/>
  <c r="BN533" i="58"/>
  <c r="AX155" i="58"/>
  <c r="L575" i="35"/>
  <c r="O575" i="35" s="1"/>
  <c r="U575" i="35" s="1"/>
  <c r="O576" i="35"/>
  <c r="U576" i="35" s="1"/>
  <c r="L57" i="35"/>
  <c r="O58" i="35"/>
  <c r="U58" i="35" s="1"/>
  <c r="U110" i="35"/>
  <c r="L229" i="35"/>
  <c r="O230" i="35"/>
  <c r="U230" i="35" s="1"/>
  <c r="L315" i="35"/>
  <c r="O316" i="35"/>
  <c r="U316" i="35" s="1"/>
  <c r="AK536" i="58"/>
  <c r="AX154" i="58"/>
  <c r="U282" i="35"/>
  <c r="U519" i="35"/>
  <c r="BN537" i="58"/>
  <c r="AX158" i="58"/>
  <c r="L660" i="35"/>
  <c r="O661" i="35"/>
  <c r="U661" i="35" s="1"/>
  <c r="L143" i="35"/>
  <c r="O144" i="35"/>
  <c r="U144" i="35" s="1"/>
  <c r="U24" i="35"/>
  <c r="U498" i="35"/>
  <c r="U173" i="35"/>
  <c r="U669" i="35"/>
  <c r="U259" i="35"/>
  <c r="BN534" i="58"/>
  <c r="L403" i="35"/>
  <c r="O404" i="35"/>
  <c r="U404" i="35" s="1"/>
  <c r="L489" i="35"/>
  <c r="O490" i="35"/>
  <c r="U490" i="35" s="1"/>
  <c r="O8" i="90"/>
  <c r="U412" i="35"/>
  <c r="Q12" i="90"/>
  <c r="BN475" i="58" l="1"/>
  <c r="BN489" i="58"/>
  <c r="AV557" i="58"/>
  <c r="AX557" i="58" s="1"/>
  <c r="BN557" i="58" s="1"/>
  <c r="BN339" i="58"/>
  <c r="BN401" i="58"/>
  <c r="AV559" i="58"/>
  <c r="AX559" i="58" s="1"/>
  <c r="BN559" i="58" s="1"/>
  <c r="BN337" i="58"/>
  <c r="BN495" i="58"/>
  <c r="BN335" i="58"/>
  <c r="BN441" i="58"/>
  <c r="AV555" i="58"/>
  <c r="AX555" i="58" s="1"/>
  <c r="BN555" i="58" s="1"/>
  <c r="BN343" i="58"/>
  <c r="BN417" i="58"/>
  <c r="AV145" i="58"/>
  <c r="AX145" i="58" s="1"/>
  <c r="BN145" i="58" s="1"/>
  <c r="BN536" i="58"/>
  <c r="BN379" i="58"/>
  <c r="BN345" i="58"/>
  <c r="BN313" i="58"/>
  <c r="BN363" i="58"/>
  <c r="X524" i="58"/>
  <c r="AK539" i="58"/>
  <c r="AK540" i="58"/>
  <c r="X541" i="58"/>
  <c r="AK541" i="58"/>
  <c r="X539" i="58"/>
  <c r="AV539" i="58" s="1"/>
  <c r="AX539" i="58" s="1"/>
  <c r="BN539" i="58" s="1"/>
  <c r="AK524" i="58"/>
  <c r="BN399" i="58"/>
  <c r="X540" i="58"/>
  <c r="BN491" i="58"/>
  <c r="BN287" i="58"/>
  <c r="BN471" i="58"/>
  <c r="BN307" i="58"/>
  <c r="BN375" i="58"/>
  <c r="BN323" i="58"/>
  <c r="BN289" i="58"/>
  <c r="BN519" i="58"/>
  <c r="BN411" i="58"/>
  <c r="BN295" i="58"/>
  <c r="BN315" i="58"/>
  <c r="BN403" i="58"/>
  <c r="BN465" i="58"/>
  <c r="BN321" i="58"/>
  <c r="BN423" i="58"/>
  <c r="BN439" i="58"/>
  <c r="BN435" i="58"/>
  <c r="BN467" i="58"/>
  <c r="BN523" i="58"/>
  <c r="BN507" i="58"/>
  <c r="BN393" i="58"/>
  <c r="BN305" i="58"/>
  <c r="BN415" i="58"/>
  <c r="BN327" i="58"/>
  <c r="BN387" i="58"/>
  <c r="BN431" i="58"/>
  <c r="BN459" i="58"/>
  <c r="BN291" i="58"/>
  <c r="BN395" i="58"/>
  <c r="BN353" i="58"/>
  <c r="BN463" i="58"/>
  <c r="BN355" i="58"/>
  <c r="BN371" i="58"/>
  <c r="BN499" i="58"/>
  <c r="BN497" i="58"/>
  <c r="BN297" i="58"/>
  <c r="BN481" i="58"/>
  <c r="BN455" i="58"/>
  <c r="BN443" i="58"/>
  <c r="BN361" i="58"/>
  <c r="BN511" i="58"/>
  <c r="BN303" i="58"/>
  <c r="BN483" i="58"/>
  <c r="BN279" i="58"/>
  <c r="BN409" i="58"/>
  <c r="BN347" i="58"/>
  <c r="BN513" i="58"/>
  <c r="BN487" i="58"/>
  <c r="BN521" i="58"/>
  <c r="BN385" i="58"/>
  <c r="BN451" i="58"/>
  <c r="BN407" i="58"/>
  <c r="BN351" i="58"/>
  <c r="BN479" i="58"/>
  <c r="AV526" i="58"/>
  <c r="AX526" i="58" s="1"/>
  <c r="BN526" i="58" s="1"/>
  <c r="AV527" i="58"/>
  <c r="AX527" i="58" s="1"/>
  <c r="BN527" i="58" s="1"/>
  <c r="BN457" i="58"/>
  <c r="BN319" i="58"/>
  <c r="BN383" i="58"/>
  <c r="BN503" i="58"/>
  <c r="BN359" i="58"/>
  <c r="AK218" i="58"/>
  <c r="AK208" i="58"/>
  <c r="X267" i="58"/>
  <c r="AK179" i="58"/>
  <c r="X228" i="58"/>
  <c r="AK267" i="58"/>
  <c r="X218" i="58"/>
  <c r="AK257" i="58"/>
  <c r="X238" i="58"/>
  <c r="AK189" i="58"/>
  <c r="X208" i="58"/>
  <c r="X179" i="58"/>
  <c r="AV179" i="58" s="1"/>
  <c r="AX179" i="58" s="1"/>
  <c r="BN179" i="58" s="1"/>
  <c r="X189" i="58"/>
  <c r="AV136" i="58"/>
  <c r="AX136" i="58" s="1"/>
  <c r="BN136" i="58" s="1"/>
  <c r="AK238" i="58"/>
  <c r="X257" i="58"/>
  <c r="AV525" i="58"/>
  <c r="AX525" i="58" s="1"/>
  <c r="BN525" i="58" s="1"/>
  <c r="AV528" i="58"/>
  <c r="AX528" i="58" s="1"/>
  <c r="BN528" i="58" s="1"/>
  <c r="P126" i="58"/>
  <c r="AK247" i="58"/>
  <c r="AV199" i="58"/>
  <c r="AX199" i="58" s="1"/>
  <c r="BN199" i="58" s="1"/>
  <c r="AK228" i="58"/>
  <c r="AG126" i="58"/>
  <c r="AR126" i="58"/>
  <c r="AC149" i="58"/>
  <c r="M10" i="83"/>
  <c r="V149" i="58"/>
  <c r="BD20" i="23"/>
  <c r="BD21" i="23" s="1"/>
  <c r="BG24" i="34"/>
  <c r="BG25" i="34" s="1"/>
  <c r="L10" i="83"/>
  <c r="BI20" i="23"/>
  <c r="BI21" i="23" s="1"/>
  <c r="AV529" i="58"/>
  <c r="AX529" i="58" s="1"/>
  <c r="BN529" i="58" s="1"/>
  <c r="X169" i="58"/>
  <c r="M169" i="58" s="1"/>
  <c r="N169" i="58" s="1"/>
  <c r="X239" i="58"/>
  <c r="AI126" i="58"/>
  <c r="X531" i="58"/>
  <c r="AT126" i="58"/>
  <c r="R126" i="58"/>
  <c r="O11" i="83"/>
  <c r="O12" i="83" s="1"/>
  <c r="L12" i="83" s="1"/>
  <c r="AV36" i="34"/>
  <c r="AV38" i="34"/>
  <c r="AV39" i="34"/>
  <c r="AV40" i="34"/>
  <c r="AV37" i="34"/>
  <c r="BE24" i="34"/>
  <c r="BE25" i="34" s="1"/>
  <c r="BB24" i="34"/>
  <c r="BB25" i="34" s="1"/>
  <c r="BC24" i="34"/>
  <c r="BC25" i="34" s="1"/>
  <c r="BH24" i="34"/>
  <c r="BH25" i="34" s="1"/>
  <c r="X207" i="58"/>
  <c r="AR149" i="58"/>
  <c r="BD24" i="34"/>
  <c r="BD25" i="34" s="1"/>
  <c r="AV61" i="58"/>
  <c r="AX61" i="58" s="1"/>
  <c r="BN61" i="58" s="1"/>
  <c r="T126" i="58"/>
  <c r="AT149" i="58"/>
  <c r="AP149" i="58"/>
  <c r="BF24" i="34"/>
  <c r="BF25" i="34" s="1"/>
  <c r="X237" i="58"/>
  <c r="X219" i="58"/>
  <c r="AK219" i="58"/>
  <c r="BF20" i="23"/>
  <c r="BF21" i="23" s="1"/>
  <c r="V126" i="58"/>
  <c r="AI149" i="58"/>
  <c r="T149" i="58"/>
  <c r="AZ24" i="34"/>
  <c r="AZ25" i="34" s="1"/>
  <c r="AK256" i="58"/>
  <c r="X170" i="58"/>
  <c r="AV37" i="23"/>
  <c r="AV41" i="23"/>
  <c r="AT124" i="58" s="1"/>
  <c r="AV42" i="23"/>
  <c r="AV39" i="23"/>
  <c r="P128" i="58" s="1"/>
  <c r="AV40" i="23"/>
  <c r="AV38" i="23"/>
  <c r="AV36" i="23"/>
  <c r="BC20" i="23"/>
  <c r="BC21" i="23" s="1"/>
  <c r="AX20" i="23"/>
  <c r="AX21" i="23" s="1"/>
  <c r="AZ20" i="23"/>
  <c r="AZ21" i="23" s="1"/>
  <c r="BA20" i="23"/>
  <c r="BA21" i="23" s="1"/>
  <c r="AY20" i="23"/>
  <c r="AY21" i="23" s="1"/>
  <c r="BB20" i="23"/>
  <c r="BB21" i="23" s="1"/>
  <c r="AC126" i="58"/>
  <c r="AE149" i="58"/>
  <c r="AG149" i="58"/>
  <c r="BA24" i="34"/>
  <c r="BA25" i="34" s="1"/>
  <c r="AK217" i="58"/>
  <c r="BH20" i="23"/>
  <c r="BH21" i="23" s="1"/>
  <c r="AP126" i="58"/>
  <c r="P149" i="58"/>
  <c r="X149" i="58" s="1"/>
  <c r="AX24" i="34"/>
  <c r="AX25" i="34" s="1"/>
  <c r="AG50" i="58"/>
  <c r="AE50" i="58"/>
  <c r="AC50" i="58"/>
  <c r="T50" i="58"/>
  <c r="AI50" i="58"/>
  <c r="V50" i="58"/>
  <c r="AP50" i="58"/>
  <c r="R50" i="58"/>
  <c r="P50" i="58"/>
  <c r="AT50" i="58"/>
  <c r="AR50" i="58"/>
  <c r="X178" i="58"/>
  <c r="BE20" i="23"/>
  <c r="BE21" i="23" s="1"/>
  <c r="AE126" i="58"/>
  <c r="AY24" i="34"/>
  <c r="AY25" i="34" s="1"/>
  <c r="AE51" i="58"/>
  <c r="AT51" i="58"/>
  <c r="V51" i="58"/>
  <c r="AC51" i="58"/>
  <c r="P51" i="58"/>
  <c r="AP51" i="58"/>
  <c r="AG51" i="58"/>
  <c r="R51" i="58"/>
  <c r="T51" i="58"/>
  <c r="AI51" i="58"/>
  <c r="AR51" i="58"/>
  <c r="X159" i="58"/>
  <c r="X198" i="58"/>
  <c r="AG144" i="58"/>
  <c r="AT144" i="58"/>
  <c r="AR144" i="58"/>
  <c r="AI144" i="58"/>
  <c r="AE144" i="58"/>
  <c r="AP144" i="58"/>
  <c r="AC144" i="58"/>
  <c r="R144" i="58"/>
  <c r="T144" i="58"/>
  <c r="V144" i="58"/>
  <c r="P144" i="58"/>
  <c r="X247" i="58"/>
  <c r="AK188" i="58"/>
  <c r="AK237" i="58"/>
  <c r="AK266" i="58"/>
  <c r="AK258" i="58"/>
  <c r="AK209" i="58"/>
  <c r="AK190" i="58"/>
  <c r="X180" i="58"/>
  <c r="AK198" i="58"/>
  <c r="AV30" i="22"/>
  <c r="AV29" i="22"/>
  <c r="X188" i="58"/>
  <c r="AK161" i="58"/>
  <c r="AK530" i="58"/>
  <c r="X248" i="58"/>
  <c r="AK180" i="58"/>
  <c r="AK170" i="58"/>
  <c r="X209" i="58"/>
  <c r="X266" i="58"/>
  <c r="AK207" i="58"/>
  <c r="X227" i="58"/>
  <c r="AK169" i="58"/>
  <c r="X256" i="58"/>
  <c r="X161" i="58"/>
  <c r="X190" i="58"/>
  <c r="AK229" i="58"/>
  <c r="AK239" i="58"/>
  <c r="X258" i="58"/>
  <c r="X229" i="58"/>
  <c r="AK248" i="58"/>
  <c r="AK159" i="58"/>
  <c r="AK227" i="58"/>
  <c r="X217" i="58"/>
  <c r="AK178" i="58"/>
  <c r="AK531" i="58"/>
  <c r="X530" i="58"/>
  <c r="AK268" i="58"/>
  <c r="X268" i="58"/>
  <c r="AE158" i="58"/>
  <c r="AK158" i="58" s="1"/>
  <c r="BN158" i="58" s="1"/>
  <c r="AE135" i="58"/>
  <c r="AK135" i="58" s="1"/>
  <c r="BN135" i="58" s="1"/>
  <c r="O660" i="35"/>
  <c r="U660" i="35" s="1"/>
  <c r="AE152" i="58"/>
  <c r="AK152" i="58" s="1"/>
  <c r="BN152" i="58" s="1"/>
  <c r="O57" i="35"/>
  <c r="U57" i="35" s="1"/>
  <c r="U96" i="35" s="1"/>
  <c r="AE129" i="58"/>
  <c r="AK129" i="58" s="1"/>
  <c r="BN129" i="58" s="1"/>
  <c r="Q13" i="90"/>
  <c r="AE154" i="58"/>
  <c r="AK154" i="58" s="1"/>
  <c r="BN154" i="58" s="1"/>
  <c r="AE131" i="58"/>
  <c r="AK131" i="58" s="1"/>
  <c r="BN131" i="58" s="1"/>
  <c r="O403" i="35"/>
  <c r="U403" i="35" s="1"/>
  <c r="O229" i="35"/>
  <c r="U229" i="35" s="1"/>
  <c r="U268" i="35" s="1"/>
  <c r="AE156" i="58"/>
  <c r="AK156" i="58" s="1"/>
  <c r="BN156" i="58" s="1"/>
  <c r="AE133" i="58"/>
  <c r="AK133" i="58" s="1"/>
  <c r="BN133" i="58" s="1"/>
  <c r="AE153" i="58"/>
  <c r="AK153" i="58" s="1"/>
  <c r="BN153" i="58" s="1"/>
  <c r="AE130" i="58"/>
  <c r="AK130" i="58" s="1"/>
  <c r="BN130" i="58" s="1"/>
  <c r="O143" i="35"/>
  <c r="U143" i="35" s="1"/>
  <c r="U182" i="35" s="1"/>
  <c r="O9" i="90"/>
  <c r="AE155" i="58"/>
  <c r="AK155" i="58" s="1"/>
  <c r="BN155" i="58" s="1"/>
  <c r="AE132" i="58"/>
  <c r="AK132" i="58" s="1"/>
  <c r="BN132" i="58" s="1"/>
  <c r="O489" i="35"/>
  <c r="U489" i="35" s="1"/>
  <c r="AE157" i="58"/>
  <c r="AK157" i="58" s="1"/>
  <c r="BN157" i="58" s="1"/>
  <c r="AE134" i="58"/>
  <c r="AK134" i="58" s="1"/>
  <c r="BN134" i="58" s="1"/>
  <c r="O315" i="35"/>
  <c r="U315" i="35" s="1"/>
  <c r="AV524" i="58" l="1"/>
  <c r="AX524" i="58" s="1"/>
  <c r="BN524" i="58" s="1"/>
  <c r="AV540" i="58"/>
  <c r="AX540" i="58" s="1"/>
  <c r="BN540" i="58" s="1"/>
  <c r="AV541" i="58"/>
  <c r="AX541" i="58" s="1"/>
  <c r="BN541" i="58" s="1"/>
  <c r="AV228" i="58"/>
  <c r="AX228" i="58" s="1"/>
  <c r="BN228" i="58" s="1"/>
  <c r="AV218" i="58"/>
  <c r="AX218" i="58" s="1"/>
  <c r="BN218" i="58" s="1"/>
  <c r="AV531" i="58"/>
  <c r="AX531" i="58" s="1"/>
  <c r="BN531" i="58" s="1"/>
  <c r="AV267" i="58"/>
  <c r="AX267" i="58" s="1"/>
  <c r="BN267" i="58" s="1"/>
  <c r="AV208" i="58"/>
  <c r="AX208" i="58" s="1"/>
  <c r="BN208" i="58" s="1"/>
  <c r="AV189" i="58"/>
  <c r="AX189" i="58" s="1"/>
  <c r="BN189" i="58" s="1"/>
  <c r="AV247" i="58"/>
  <c r="AX247" i="58" s="1"/>
  <c r="BN247" i="58" s="1"/>
  <c r="AV239" i="58"/>
  <c r="AX239" i="58" s="1"/>
  <c r="BN239" i="58" s="1"/>
  <c r="AV238" i="58"/>
  <c r="AX238" i="58" s="1"/>
  <c r="BN238" i="58" s="1"/>
  <c r="AV217" i="58"/>
  <c r="AX217" i="58" s="1"/>
  <c r="BN217" i="58" s="1"/>
  <c r="AV257" i="58"/>
  <c r="AX257" i="58" s="1"/>
  <c r="BN257" i="58" s="1"/>
  <c r="AV256" i="58"/>
  <c r="AX256" i="58" s="1"/>
  <c r="BN256" i="58" s="1"/>
  <c r="AV169" i="58"/>
  <c r="AX169" i="58" s="1"/>
  <c r="BN169" i="58" s="1"/>
  <c r="AV207" i="58"/>
  <c r="AX207" i="58" s="1"/>
  <c r="BN207" i="58" s="1"/>
  <c r="AV229" i="58"/>
  <c r="AX229" i="58" s="1"/>
  <c r="BN229" i="58" s="1"/>
  <c r="AV170" i="58"/>
  <c r="AX170" i="58" s="1"/>
  <c r="BN170" i="58" s="1"/>
  <c r="AV258" i="58"/>
  <c r="AX258" i="58" s="1"/>
  <c r="BN258" i="58" s="1"/>
  <c r="AK126" i="58"/>
  <c r="R151" i="58"/>
  <c r="T147" i="58"/>
  <c r="X126" i="58"/>
  <c r="M126" i="58" s="1"/>
  <c r="N126" i="58" s="1"/>
  <c r="AV180" i="58"/>
  <c r="AX180" i="58" s="1"/>
  <c r="BN180" i="58" s="1"/>
  <c r="AV178" i="58"/>
  <c r="AX178" i="58" s="1"/>
  <c r="BN178" i="58" s="1"/>
  <c r="AG147" i="58"/>
  <c r="AE124" i="58"/>
  <c r="R147" i="58"/>
  <c r="T124" i="58"/>
  <c r="M12" i="83"/>
  <c r="AV190" i="58"/>
  <c r="AX190" i="58" s="1"/>
  <c r="BN190" i="58" s="1"/>
  <c r="AV209" i="58"/>
  <c r="AX209" i="58" s="1"/>
  <c r="BN209" i="58" s="1"/>
  <c r="X51" i="58"/>
  <c r="M11" i="83"/>
  <c r="AI124" i="58"/>
  <c r="P151" i="58"/>
  <c r="AR147" i="58"/>
  <c r="N11" i="83"/>
  <c r="AV530" i="58"/>
  <c r="AX530" i="58" s="1"/>
  <c r="BN530" i="58" s="1"/>
  <c r="L11" i="83"/>
  <c r="AI147" i="58"/>
  <c r="P147" i="58"/>
  <c r="O13" i="83"/>
  <c r="O14" i="83" s="1"/>
  <c r="M14" i="83" s="1"/>
  <c r="AV126" i="58"/>
  <c r="AX126" i="58" s="1"/>
  <c r="BN126" i="58" s="1"/>
  <c r="AG124" i="58"/>
  <c r="N12" i="83"/>
  <c r="AP151" i="58"/>
  <c r="AV237" i="58"/>
  <c r="AX237" i="58" s="1"/>
  <c r="BN237" i="58" s="1"/>
  <c r="AE151" i="58"/>
  <c r="AP128" i="58"/>
  <c r="X50" i="58"/>
  <c r="AT128" i="58"/>
  <c r="R128" i="58"/>
  <c r="V147" i="58"/>
  <c r="AC124" i="58"/>
  <c r="AP124" i="58"/>
  <c r="AC151" i="58"/>
  <c r="V128" i="58"/>
  <c r="T148" i="58"/>
  <c r="AC148" i="58"/>
  <c r="AG148" i="58"/>
  <c r="AT148" i="58"/>
  <c r="AP148" i="58"/>
  <c r="AE148" i="58"/>
  <c r="AI148" i="58"/>
  <c r="AR148" i="58"/>
  <c r="R148" i="58"/>
  <c r="V148" i="58"/>
  <c r="P148" i="58"/>
  <c r="R125" i="58"/>
  <c r="P125" i="58"/>
  <c r="AC125" i="58"/>
  <c r="AR125" i="58"/>
  <c r="AP125" i="58"/>
  <c r="AT125" i="58"/>
  <c r="AG125" i="58"/>
  <c r="AI125" i="58"/>
  <c r="V125" i="58"/>
  <c r="AE125" i="58"/>
  <c r="T125" i="58"/>
  <c r="P124" i="58"/>
  <c r="T128" i="58"/>
  <c r="AC128" i="58"/>
  <c r="AE549" i="58"/>
  <c r="T549" i="58"/>
  <c r="AP549" i="58"/>
  <c r="AG549" i="58"/>
  <c r="AI549" i="58"/>
  <c r="AR549" i="58"/>
  <c r="P549" i="58"/>
  <c r="AC549" i="58"/>
  <c r="AT549" i="58"/>
  <c r="R549" i="58"/>
  <c r="V549" i="58"/>
  <c r="AK51" i="58"/>
  <c r="AV51" i="58" s="1"/>
  <c r="AX51" i="58" s="1"/>
  <c r="BN51" i="58" s="1"/>
  <c r="AP147" i="58"/>
  <c r="AR124" i="58"/>
  <c r="R124" i="58"/>
  <c r="AI128" i="58"/>
  <c r="AT151" i="58"/>
  <c r="P64" i="58"/>
  <c r="V64" i="58"/>
  <c r="T64" i="58"/>
  <c r="AT64" i="58"/>
  <c r="AR64" i="58"/>
  <c r="AG64" i="58"/>
  <c r="AP64" i="58"/>
  <c r="R64" i="58"/>
  <c r="AC64" i="58"/>
  <c r="AI64" i="58"/>
  <c r="AE64" i="58"/>
  <c r="AT63" i="58"/>
  <c r="AI63" i="58"/>
  <c r="AE63" i="58"/>
  <c r="AC63" i="58"/>
  <c r="T63" i="58"/>
  <c r="R63" i="58"/>
  <c r="AG63" i="58"/>
  <c r="P63" i="58"/>
  <c r="AR63" i="58"/>
  <c r="V63" i="58"/>
  <c r="AP63" i="58"/>
  <c r="AR128" i="58"/>
  <c r="AI151" i="58"/>
  <c r="AG151" i="58"/>
  <c r="AP146" i="58"/>
  <c r="AP123" i="58"/>
  <c r="AI123" i="58"/>
  <c r="AG123" i="58"/>
  <c r="AG146" i="58"/>
  <c r="P123" i="58"/>
  <c r="AC123" i="58"/>
  <c r="AI146" i="58"/>
  <c r="T123" i="58"/>
  <c r="AR123" i="58"/>
  <c r="AC146" i="58"/>
  <c r="AE123" i="58"/>
  <c r="R146" i="58"/>
  <c r="V123" i="58"/>
  <c r="V146" i="58"/>
  <c r="P146" i="58"/>
  <c r="AT123" i="58"/>
  <c r="AR146" i="58"/>
  <c r="AT146" i="58"/>
  <c r="AE146" i="58"/>
  <c r="R123" i="58"/>
  <c r="T146" i="58"/>
  <c r="AK149" i="58"/>
  <c r="AV149" i="58" s="1"/>
  <c r="AX149" i="58" s="1"/>
  <c r="BN149" i="58" s="1"/>
  <c r="T151" i="58"/>
  <c r="AK50" i="58"/>
  <c r="AC147" i="58"/>
  <c r="V124" i="58"/>
  <c r="AE128" i="58"/>
  <c r="V62" i="58"/>
  <c r="AI62" i="58"/>
  <c r="P62" i="58"/>
  <c r="T62" i="58"/>
  <c r="AR62" i="58"/>
  <c r="AP62" i="58"/>
  <c r="AT62" i="58"/>
  <c r="R62" i="58"/>
  <c r="AC62" i="58"/>
  <c r="AG62" i="58"/>
  <c r="AE62" i="58"/>
  <c r="AR151" i="58"/>
  <c r="AV266" i="58"/>
  <c r="AX266" i="58" s="1"/>
  <c r="BN266" i="58" s="1"/>
  <c r="AV188" i="58"/>
  <c r="AX188" i="58" s="1"/>
  <c r="BN188" i="58" s="1"/>
  <c r="AG128" i="58"/>
  <c r="AT150" i="58"/>
  <c r="AC150" i="58"/>
  <c r="P150" i="58"/>
  <c r="AP150" i="58"/>
  <c r="AR150" i="58"/>
  <c r="R150" i="58"/>
  <c r="AG150" i="58"/>
  <c r="V150" i="58"/>
  <c r="AI150" i="58"/>
  <c r="T150" i="58"/>
  <c r="AE150" i="58"/>
  <c r="R127" i="58"/>
  <c r="AR127" i="58"/>
  <c r="AE127" i="58"/>
  <c r="V127" i="58"/>
  <c r="T127" i="58"/>
  <c r="AI127" i="58"/>
  <c r="AG127" i="58"/>
  <c r="P127" i="58"/>
  <c r="AT127" i="58"/>
  <c r="AC127" i="58"/>
  <c r="AP127" i="58"/>
  <c r="AT147" i="58"/>
  <c r="AE147" i="58"/>
  <c r="AV219" i="58"/>
  <c r="AX219" i="58" s="1"/>
  <c r="BN219" i="58" s="1"/>
  <c r="V151" i="58"/>
  <c r="AV227" i="58"/>
  <c r="AX227" i="58" s="1"/>
  <c r="BN227" i="58" s="1"/>
  <c r="AR160" i="58"/>
  <c r="V160" i="58"/>
  <c r="AT160" i="58"/>
  <c r="AE160" i="58"/>
  <c r="AC160" i="58"/>
  <c r="P160" i="58"/>
  <c r="AP160" i="58"/>
  <c r="R160" i="58"/>
  <c r="AG160" i="58"/>
  <c r="AI160" i="58"/>
  <c r="T160" i="58"/>
  <c r="AV161" i="58"/>
  <c r="AX161" i="58" s="1"/>
  <c r="BN161" i="58" s="1"/>
  <c r="AK144" i="58"/>
  <c r="AV198" i="58"/>
  <c r="AX198" i="58" s="1"/>
  <c r="BN198" i="58" s="1"/>
  <c r="AV268" i="58"/>
  <c r="AX268" i="58" s="1"/>
  <c r="BN268" i="58" s="1"/>
  <c r="AV248" i="58"/>
  <c r="AX248" i="58" s="1"/>
  <c r="BN248" i="58" s="1"/>
  <c r="X144" i="58"/>
  <c r="AV159" i="58"/>
  <c r="AX159" i="58" s="1"/>
  <c r="BN159" i="58" s="1"/>
  <c r="O10" i="90"/>
  <c r="Q14" i="90"/>
  <c r="Q15" i="90" s="1"/>
  <c r="Q16" i="90" s="1"/>
  <c r="Q17" i="90" s="1"/>
  <c r="X147" i="58" l="1"/>
  <c r="X549" i="58"/>
  <c r="X125" i="58"/>
  <c r="M125" i="58" s="1"/>
  <c r="X151" i="58"/>
  <c r="X127" i="58"/>
  <c r="M127" i="58" s="1"/>
  <c r="N127" i="58" s="1"/>
  <c r="X150" i="58"/>
  <c r="AK123" i="58"/>
  <c r="M13" i="83"/>
  <c r="N14" i="83"/>
  <c r="O15" i="83"/>
  <c r="N15" i="83" s="1"/>
  <c r="AK147" i="58"/>
  <c r="X146" i="58"/>
  <c r="AK151" i="58"/>
  <c r="AK64" i="58"/>
  <c r="L13" i="83"/>
  <c r="AK125" i="58"/>
  <c r="AV125" i="58" s="1"/>
  <c r="AX125" i="58" s="1"/>
  <c r="BN125" i="58" s="1"/>
  <c r="X148" i="58"/>
  <c r="AK124" i="58"/>
  <c r="AK160" i="58"/>
  <c r="N13" i="83"/>
  <c r="X128" i="58"/>
  <c r="M128" i="58" s="1"/>
  <c r="N128" i="58" s="1"/>
  <c r="L14" i="83"/>
  <c r="AK127" i="58"/>
  <c r="AK150" i="58"/>
  <c r="AV150" i="58" s="1"/>
  <c r="AX150" i="58" s="1"/>
  <c r="BN150" i="58" s="1"/>
  <c r="AV147" i="58"/>
  <c r="AX147" i="58" s="1"/>
  <c r="BN147" i="58" s="1"/>
  <c r="X62" i="58"/>
  <c r="X64" i="58"/>
  <c r="AK549" i="58"/>
  <c r="AV549" i="58" s="1"/>
  <c r="AX549" i="58" s="1"/>
  <c r="BN549" i="58" s="1"/>
  <c r="AV50" i="58"/>
  <c r="AX50" i="58" s="1"/>
  <c r="BN50" i="58" s="1"/>
  <c r="M150" i="58"/>
  <c r="AK146" i="58"/>
  <c r="AK62" i="58"/>
  <c r="X123" i="58"/>
  <c r="AV123" i="58" s="1"/>
  <c r="AX123" i="58" s="1"/>
  <c r="BN123" i="58" s="1"/>
  <c r="AK128" i="58"/>
  <c r="AV144" i="58"/>
  <c r="AX144" i="58" s="1"/>
  <c r="BN144" i="58" s="1"/>
  <c r="AK63" i="58"/>
  <c r="X63" i="58"/>
  <c r="X124" i="58"/>
  <c r="AV124" i="58" s="1"/>
  <c r="AX124" i="58" s="1"/>
  <c r="BN124" i="58" s="1"/>
  <c r="AK148" i="58"/>
  <c r="X160" i="58"/>
  <c r="M160" i="58" s="1"/>
  <c r="N160" i="58" s="1"/>
  <c r="O11" i="90"/>
  <c r="AV151" i="58" l="1"/>
  <c r="AX151" i="58" s="1"/>
  <c r="BN151" i="58" s="1"/>
  <c r="AV146" i="58"/>
  <c r="AX146" i="58" s="1"/>
  <c r="BN146" i="58" s="1"/>
  <c r="AV64" i="58"/>
  <c r="AX64" i="58" s="1"/>
  <c r="BN64" i="58" s="1"/>
  <c r="AV148" i="58"/>
  <c r="AX148" i="58" s="1"/>
  <c r="BN148" i="58" s="1"/>
  <c r="AV128" i="58"/>
  <c r="AX128" i="58" s="1"/>
  <c r="BN128" i="58" s="1"/>
  <c r="AV127" i="58"/>
  <c r="AX127" i="58" s="1"/>
  <c r="BN127" i="58" s="1"/>
  <c r="AV63" i="58"/>
  <c r="AX63" i="58" s="1"/>
  <c r="BN63" i="58" s="1"/>
  <c r="L15" i="83"/>
  <c r="M15" i="83"/>
  <c r="O16" i="83"/>
  <c r="L16" i="83" s="1"/>
  <c r="AV160" i="58"/>
  <c r="AX160" i="58" s="1"/>
  <c r="BN160" i="58" s="1"/>
  <c r="AV62" i="58"/>
  <c r="AX62" i="58" s="1"/>
  <c r="BN62" i="58" s="1"/>
  <c r="O12" i="90"/>
  <c r="O13" i="90" s="1"/>
  <c r="O14" i="90" s="1"/>
  <c r="O15" i="90" s="1"/>
  <c r="O16" i="90" s="1"/>
  <c r="O17" i="90" s="1"/>
  <c r="O18" i="90" s="1"/>
  <c r="O19" i="90" s="1"/>
  <c r="O20" i="90" s="1"/>
  <c r="O21" i="90" s="1"/>
  <c r="O22" i="90" s="1"/>
  <c r="O23" i="90" s="1"/>
  <c r="O24" i="90" s="1"/>
  <c r="O25" i="90" s="1"/>
  <c r="O26" i="90" s="1"/>
  <c r="O27" i="90" s="1"/>
  <c r="O28" i="90" s="1"/>
  <c r="O29" i="90" s="1"/>
  <c r="O30" i="90" s="1"/>
  <c r="O31" i="90" s="1"/>
  <c r="O32" i="90" s="1"/>
  <c r="O33" i="90" s="1"/>
  <c r="O34" i="90" s="1"/>
  <c r="O35" i="90" s="1"/>
  <c r="O36" i="90" s="1"/>
  <c r="O37" i="90" s="1"/>
  <c r="O38" i="90" s="1"/>
  <c r="O39" i="90" s="1"/>
  <c r="O40" i="90" s="1"/>
  <c r="O41" i="90" s="1"/>
  <c r="O42" i="90" s="1"/>
  <c r="O43" i="90" s="1"/>
  <c r="O44" i="90" s="1"/>
  <c r="O45" i="90" s="1"/>
  <c r="O46" i="90" s="1"/>
  <c r="O47" i="90" s="1"/>
  <c r="O48" i="90" s="1"/>
  <c r="O49" i="90" s="1"/>
  <c r="O50" i="90" s="1"/>
  <c r="O51" i="90" s="1"/>
  <c r="O52" i="90" s="1"/>
  <c r="O53" i="90" s="1"/>
  <c r="O54" i="90" s="1"/>
  <c r="O55" i="90" s="1"/>
  <c r="O56" i="90" s="1"/>
  <c r="O57" i="90" s="1"/>
  <c r="O58" i="90" s="1"/>
  <c r="O59" i="90" s="1"/>
  <c r="O60" i="90" s="1"/>
  <c r="O61" i="90" s="1"/>
  <c r="O62" i="90" s="1"/>
  <c r="O63" i="90" s="1"/>
  <c r="O64" i="90" s="1"/>
  <c r="O65" i="90" s="1"/>
  <c r="O66" i="90" s="1"/>
  <c r="O67" i="90" s="1"/>
  <c r="O68" i="90" s="1"/>
  <c r="O69" i="90" s="1"/>
  <c r="O70" i="90" s="1"/>
  <c r="O71" i="90" s="1"/>
  <c r="O72" i="90" s="1"/>
  <c r="O73" i="90" s="1"/>
  <c r="O74" i="90" s="1"/>
  <c r="O75" i="90" s="1"/>
  <c r="O76" i="90" s="1"/>
  <c r="O77" i="90" s="1"/>
  <c r="O78" i="90" s="1"/>
  <c r="O79" i="90" s="1"/>
  <c r="O80" i="90" s="1"/>
  <c r="O81" i="90" s="1"/>
  <c r="O82" i="90" s="1"/>
  <c r="O83" i="90" s="1"/>
  <c r="O84" i="90" s="1"/>
  <c r="O85" i="90" s="1"/>
  <c r="O86" i="90" s="1"/>
  <c r="O87" i="90" s="1"/>
  <c r="O88" i="90" s="1"/>
  <c r="O89" i="90" s="1"/>
  <c r="O90" i="90" s="1"/>
  <c r="O91" i="90" s="1"/>
  <c r="O92" i="90" s="1"/>
  <c r="O93" i="90" s="1"/>
  <c r="O94" i="90" s="1"/>
  <c r="O95" i="90" s="1"/>
  <c r="O96" i="90" s="1"/>
  <c r="O97" i="90" s="1"/>
  <c r="O98" i="90" s="1"/>
  <c r="O99" i="90" s="1"/>
  <c r="O100" i="90" s="1"/>
  <c r="O101" i="90" s="1"/>
  <c r="O102" i="90" s="1"/>
  <c r="O103" i="90" s="1"/>
  <c r="O104" i="90" s="1"/>
  <c r="O105" i="90" s="1"/>
  <c r="O106" i="90" s="1"/>
  <c r="O107" i="90" s="1"/>
  <c r="O108" i="90" s="1"/>
  <c r="O109" i="90" s="1"/>
  <c r="O110" i="90" s="1"/>
  <c r="O111" i="90" s="1"/>
  <c r="O112" i="90" s="1"/>
  <c r="O113" i="90" s="1"/>
  <c r="O114" i="90" s="1"/>
  <c r="O115" i="90" s="1"/>
  <c r="O116" i="90" s="1"/>
  <c r="O117" i="90" s="1"/>
  <c r="O118" i="90" s="1"/>
  <c r="O119" i="90" s="1"/>
  <c r="O120" i="90" s="1"/>
  <c r="O121" i="90" s="1"/>
  <c r="O122" i="90" s="1"/>
  <c r="O123" i="90" s="1"/>
  <c r="O124" i="90" s="1"/>
  <c r="O125" i="90" s="1"/>
  <c r="O126" i="90" s="1"/>
  <c r="O127" i="90" s="1"/>
  <c r="O128" i="90" s="1"/>
  <c r="O129" i="90" s="1"/>
  <c r="O130" i="90" s="1"/>
  <c r="O131" i="90" s="1"/>
  <c r="O132" i="90" s="1"/>
  <c r="O133" i="90" s="1"/>
  <c r="O134" i="90" s="1"/>
  <c r="O135" i="90" s="1"/>
  <c r="O136" i="90" s="1"/>
  <c r="O137" i="90" s="1"/>
  <c r="O138" i="90" s="1"/>
  <c r="O139" i="90" s="1"/>
  <c r="O140" i="90" s="1"/>
  <c r="O141" i="90" s="1"/>
  <c r="O142" i="90" s="1"/>
  <c r="O143" i="90" s="1"/>
  <c r="O144" i="90" s="1"/>
  <c r="O145" i="90" s="1"/>
  <c r="O146" i="90" s="1"/>
  <c r="O147" i="90" s="1"/>
  <c r="O148" i="90" s="1"/>
  <c r="O149" i="90" s="1"/>
  <c r="O150" i="90" s="1"/>
  <c r="O151" i="90" s="1"/>
  <c r="O152" i="90" s="1"/>
  <c r="O153" i="90" s="1"/>
  <c r="O154" i="90" s="1"/>
  <c r="O155" i="90" s="1"/>
  <c r="O156" i="90" s="1"/>
  <c r="O157" i="90" s="1"/>
  <c r="O158" i="90" s="1"/>
  <c r="O159" i="90" s="1"/>
  <c r="O160" i="90" s="1"/>
  <c r="O161" i="90" s="1"/>
  <c r="O162" i="90" s="1"/>
  <c r="O163" i="90" s="1"/>
  <c r="O164" i="90" s="1"/>
  <c r="O165" i="90" s="1"/>
  <c r="O166" i="90" s="1"/>
  <c r="O167" i="90" s="1"/>
  <c r="O168" i="90" s="1"/>
  <c r="O169" i="90" s="1"/>
  <c r="O170" i="90" s="1"/>
  <c r="O171" i="90" s="1"/>
  <c r="O172" i="90" s="1"/>
  <c r="O173" i="90" s="1"/>
  <c r="O174" i="90" s="1"/>
  <c r="O175" i="90" s="1"/>
  <c r="O176" i="90" s="1"/>
  <c r="O177" i="90" s="1"/>
  <c r="O178" i="90" s="1"/>
  <c r="O179" i="90" s="1"/>
  <c r="O180" i="90" s="1"/>
  <c r="O181" i="90" s="1"/>
  <c r="O182" i="90" s="1"/>
  <c r="O183" i="90" s="1"/>
  <c r="O184" i="90" s="1"/>
  <c r="O185" i="90" s="1"/>
  <c r="O186" i="90" s="1"/>
  <c r="O187" i="90" s="1"/>
  <c r="O188" i="90" s="1"/>
  <c r="O189" i="90" s="1"/>
  <c r="O190" i="90" s="1"/>
  <c r="O191" i="90" s="1"/>
  <c r="O192" i="90" s="1"/>
  <c r="O193" i="90" s="1"/>
  <c r="O194" i="90" s="1"/>
  <c r="O195" i="90" s="1"/>
  <c r="O196" i="90" s="1"/>
  <c r="O197" i="90" s="1"/>
  <c r="O198" i="90" s="1"/>
  <c r="O199" i="90" s="1"/>
  <c r="O200" i="90" s="1"/>
  <c r="O201" i="90" s="1"/>
  <c r="O202" i="90" s="1"/>
  <c r="O203" i="90" s="1"/>
  <c r="O204" i="90" s="1"/>
  <c r="O205" i="90" s="1"/>
  <c r="O206" i="90" s="1"/>
  <c r="O207" i="90" s="1"/>
  <c r="O208" i="90" s="1"/>
  <c r="O209" i="90" s="1"/>
  <c r="O210" i="90" s="1"/>
  <c r="O211" i="90" s="1"/>
  <c r="O212" i="90" s="1"/>
  <c r="O213" i="90" s="1"/>
  <c r="O214" i="90" s="1"/>
  <c r="O215" i="90" s="1"/>
  <c r="O216" i="90" s="1"/>
  <c r="O217" i="90" s="1"/>
  <c r="O218" i="90" s="1"/>
  <c r="O219" i="90" s="1"/>
  <c r="O220" i="90" s="1"/>
  <c r="O221" i="90" s="1"/>
  <c r="O222" i="90" s="1"/>
  <c r="O223" i="90" s="1"/>
  <c r="O224" i="90" s="1"/>
  <c r="O225" i="90" s="1"/>
  <c r="O226" i="90" s="1"/>
  <c r="O227" i="90" s="1"/>
  <c r="O228" i="90" s="1"/>
  <c r="O229" i="90" s="1"/>
  <c r="O230" i="90" s="1"/>
  <c r="O231" i="90" s="1"/>
  <c r="O232" i="90" s="1"/>
  <c r="O233" i="90" s="1"/>
  <c r="O234" i="90" s="1"/>
  <c r="O235" i="90" s="1"/>
  <c r="O236" i="90" s="1"/>
  <c r="O237" i="90" s="1"/>
  <c r="O238" i="90" s="1"/>
  <c r="O239" i="90" s="1"/>
  <c r="O240" i="90" s="1"/>
  <c r="O241" i="90" s="1"/>
  <c r="O242" i="90" s="1"/>
  <c r="O243" i="90" s="1"/>
  <c r="O244" i="90" s="1"/>
  <c r="O245" i="90" s="1"/>
  <c r="O246" i="90" s="1"/>
  <c r="O247" i="90" s="1"/>
  <c r="O248" i="90" s="1"/>
  <c r="O249" i="90" s="1"/>
  <c r="O250" i="90" s="1"/>
  <c r="O251" i="90" s="1"/>
  <c r="O252" i="90" s="1"/>
  <c r="O253" i="90" s="1"/>
  <c r="O254" i="90" s="1"/>
  <c r="O255" i="90" s="1"/>
  <c r="O256" i="90" s="1"/>
  <c r="O257" i="90" s="1"/>
  <c r="O258" i="90" s="1"/>
  <c r="O259" i="90" s="1"/>
  <c r="O260" i="90" s="1"/>
  <c r="O261" i="90" s="1"/>
  <c r="O262" i="90" s="1"/>
  <c r="O263" i="90" s="1"/>
  <c r="O264" i="90" s="1"/>
  <c r="O265" i="90" s="1"/>
  <c r="O266" i="90" s="1"/>
  <c r="O267" i="90" s="1"/>
  <c r="O268" i="90" s="1"/>
  <c r="O269" i="90" s="1"/>
  <c r="O270" i="90" s="1"/>
  <c r="O271" i="90" s="1"/>
  <c r="O272" i="90" s="1"/>
  <c r="O273" i="90" s="1"/>
  <c r="O274" i="90" s="1"/>
  <c r="O275" i="90" s="1"/>
  <c r="O276" i="90" s="1"/>
  <c r="O277" i="90" s="1"/>
  <c r="O278" i="90" s="1"/>
  <c r="O279" i="90" s="1"/>
  <c r="O280" i="90" s="1"/>
  <c r="O281" i="90" s="1"/>
  <c r="O282" i="90" s="1"/>
  <c r="O283" i="90" s="1"/>
  <c r="O284" i="90" s="1"/>
  <c r="O285" i="90" s="1"/>
  <c r="O286" i="90" s="1"/>
  <c r="O287" i="90" s="1"/>
  <c r="O288" i="90" s="1"/>
  <c r="O289" i="90" s="1"/>
  <c r="O290" i="90" s="1"/>
  <c r="O291" i="90" s="1"/>
  <c r="O292" i="90" s="1"/>
  <c r="O293" i="90" s="1"/>
  <c r="O294" i="90" s="1"/>
  <c r="O295" i="90" s="1"/>
  <c r="O296" i="90" s="1"/>
  <c r="O297" i="90" s="1"/>
  <c r="O298" i="90" s="1"/>
  <c r="O299" i="90" s="1"/>
  <c r="O300" i="90" s="1"/>
  <c r="O301" i="90" s="1"/>
  <c r="O302" i="90" s="1"/>
  <c r="O303" i="90" s="1"/>
  <c r="O304" i="90" s="1"/>
  <c r="O305" i="90" s="1"/>
  <c r="O306" i="90" s="1"/>
  <c r="O307" i="90" s="1"/>
  <c r="O17" i="83" l="1"/>
  <c r="O18" i="83" s="1"/>
  <c r="N18" i="83" s="1"/>
  <c r="N16" i="83"/>
  <c r="M16" i="83"/>
  <c r="O19" i="83" l="1"/>
  <c r="O20" i="83" s="1"/>
  <c r="L20" i="83" s="1"/>
  <c r="M18" i="83"/>
  <c r="N17" i="83"/>
  <c r="L18" i="83"/>
  <c r="M17" i="83"/>
  <c r="L17" i="83"/>
  <c r="O21" i="83" l="1"/>
  <c r="N21" i="83" s="1"/>
  <c r="N19" i="83"/>
  <c r="M20" i="83"/>
  <c r="L19" i="83"/>
  <c r="N20" i="83"/>
  <c r="M19" i="83"/>
  <c r="O22" i="83" l="1"/>
  <c r="L22" i="83" s="1"/>
  <c r="L21" i="83"/>
  <c r="M21" i="83"/>
  <c r="N22" i="83" l="1"/>
  <c r="O23" i="83"/>
  <c r="M23" i="83" s="1"/>
  <c r="M22" i="83"/>
  <c r="L23" i="83" l="1"/>
  <c r="N23" i="83"/>
  <c r="O24" i="83"/>
  <c r="N24" i="83" s="1"/>
  <c r="L24" i="83" l="1"/>
  <c r="O25" i="83"/>
  <c r="L25" i="83" s="1"/>
  <c r="M24" i="83"/>
  <c r="N25" i="83" l="1"/>
  <c r="O26" i="83"/>
  <c r="M26" i="83" s="1"/>
  <c r="M25" i="83"/>
  <c r="N26" i="83" l="1"/>
  <c r="O27" i="83"/>
  <c r="M27" i="83" s="1"/>
  <c r="L26" i="83"/>
  <c r="N27" i="83" l="1"/>
  <c r="O28" i="83"/>
  <c r="N28" i="83" s="1"/>
  <c r="L27" i="83"/>
  <c r="L28" i="83" l="1"/>
  <c r="O29" i="83"/>
  <c r="L29" i="83" s="1"/>
  <c r="M28" i="83"/>
  <c r="N29" i="83" l="1"/>
  <c r="O30" i="83"/>
  <c r="M30" i="83" s="1"/>
  <c r="M29" i="83"/>
  <c r="N30" i="83" l="1"/>
  <c r="O31" i="83"/>
  <c r="M31" i="83" s="1"/>
  <c r="L30" i="83"/>
  <c r="N31" i="83" l="1"/>
  <c r="O32" i="83"/>
  <c r="N32" i="83" s="1"/>
  <c r="L31" i="83"/>
  <c r="L32" i="83" l="1"/>
  <c r="O33" i="83"/>
  <c r="N33" i="83" s="1"/>
  <c r="M32" i="83"/>
  <c r="O34" i="83" l="1"/>
  <c r="N34" i="83" s="1"/>
  <c r="M33" i="83"/>
  <c r="L33" i="83"/>
  <c r="O35" i="83" l="1"/>
  <c r="N35" i="83" s="1"/>
  <c r="L34" i="83"/>
  <c r="M34" i="83"/>
  <c r="O36" i="83" l="1"/>
  <c r="L36" i="83" s="1"/>
  <c r="L35" i="83"/>
  <c r="M35" i="83"/>
  <c r="O37" i="83" l="1"/>
  <c r="N37" i="83" s="1"/>
  <c r="M36" i="83"/>
  <c r="N36" i="83"/>
  <c r="O38" i="83" l="1"/>
  <c r="O39" i="83" s="1"/>
  <c r="M37" i="83"/>
  <c r="L37" i="83"/>
  <c r="L38" i="83" l="1"/>
  <c r="M38" i="83"/>
  <c r="N38" i="83"/>
  <c r="N39" i="83"/>
  <c r="M39" i="83"/>
  <c r="L39" i="83"/>
  <c r="O40" i="83"/>
  <c r="L40" i="83" l="1"/>
  <c r="N40" i="83"/>
  <c r="M40" i="83"/>
  <c r="O41" i="83"/>
  <c r="N41" i="83" l="1"/>
  <c r="L41" i="83"/>
  <c r="M41" i="83"/>
  <c r="O42" i="83"/>
  <c r="N42" i="83" l="1"/>
  <c r="M42" i="83"/>
  <c r="L42" i="83"/>
  <c r="O43" i="83"/>
  <c r="N43" i="83" l="1"/>
  <c r="M43" i="83"/>
  <c r="L43" i="83"/>
  <c r="O44" i="83"/>
  <c r="L44" i="83" l="1"/>
  <c r="N44" i="83"/>
  <c r="M44" i="83"/>
  <c r="O45" i="83"/>
  <c r="N45" i="83" l="1"/>
  <c r="L45" i="83"/>
  <c r="M45" i="83"/>
  <c r="O46" i="83"/>
  <c r="N46" i="83" l="1"/>
  <c r="M46" i="83"/>
  <c r="L46" i="83"/>
  <c r="O47" i="83"/>
  <c r="N47" i="83" l="1"/>
  <c r="M47" i="83"/>
  <c r="L47" i="83"/>
  <c r="O48" i="83"/>
  <c r="L48" i="83" l="1"/>
  <c r="N48" i="83"/>
  <c r="M48" i="83"/>
  <c r="O49" i="83"/>
  <c r="N49" i="83" l="1"/>
  <c r="L49" i="83"/>
  <c r="M49" i="83"/>
  <c r="O50" i="83"/>
  <c r="N50" i="83" l="1"/>
  <c r="M50" i="83"/>
  <c r="L50" i="83"/>
  <c r="O51" i="83"/>
  <c r="N51" i="83" l="1"/>
  <c r="M51" i="83"/>
  <c r="L51" i="83"/>
  <c r="O52" i="83"/>
  <c r="L52" i="83" l="1"/>
  <c r="N52" i="83"/>
  <c r="M52" i="83"/>
  <c r="O53" i="83"/>
  <c r="N53" i="83" l="1"/>
  <c r="L53" i="83"/>
  <c r="M53" i="83"/>
  <c r="O54" i="83"/>
  <c r="N54" i="83" l="1"/>
  <c r="M54" i="83"/>
  <c r="L54" i="83"/>
  <c r="O55" i="83"/>
  <c r="N55" i="83" l="1"/>
  <c r="M55" i="83"/>
  <c r="L55" i="83"/>
  <c r="O56" i="83"/>
  <c r="L56" i="83" l="1"/>
  <c r="N56" i="83"/>
  <c r="M56" i="83"/>
  <c r="O57" i="83"/>
  <c r="N57" i="83" l="1"/>
  <c r="L57" i="83"/>
  <c r="M57" i="83"/>
  <c r="O58" i="83"/>
  <c r="N58" i="83" l="1"/>
  <c r="M58" i="83"/>
  <c r="L58" i="83"/>
  <c r="O59" i="83"/>
  <c r="N59" i="83" l="1"/>
  <c r="M59" i="83"/>
  <c r="L59" i="83"/>
  <c r="O60" i="83"/>
  <c r="L60" i="83" l="1"/>
  <c r="N60" i="83"/>
  <c r="M60" i="83"/>
  <c r="O61" i="83"/>
  <c r="N61" i="83" l="1"/>
  <c r="L61" i="83"/>
  <c r="M61" i="83"/>
  <c r="O62" i="83"/>
  <c r="N62" i="83" l="1"/>
  <c r="M62" i="83"/>
  <c r="L62" i="83"/>
  <c r="O63" i="83"/>
  <c r="N63" i="83" l="1"/>
  <c r="M63" i="83"/>
  <c r="L63"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Lisette Ruiz</author>
  </authors>
  <commentList>
    <comment ref="C16" authorId="0" shapeId="0" xr:uid="{D106E6CB-D317-4024-BC89-978EF06DCE18}">
      <text>
        <r>
          <rPr>
            <b/>
            <sz val="9"/>
            <color indexed="81"/>
            <rFont val="Tahoma"/>
            <family val="2"/>
          </rPr>
          <t>Lisette Ruiz:</t>
        </r>
        <r>
          <rPr>
            <sz val="9"/>
            <color indexed="81"/>
            <rFont val="Tahoma"/>
            <family val="2"/>
          </rPr>
          <t xml:space="preserve">
micropipetas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Chaudhari, Himali (Cognizant)</author>
  </authors>
  <commentList>
    <comment ref="AW30" authorId="0" shapeId="0" xr:uid="{00000000-0006-0000-0A00-000001000000}">
      <text>
        <r>
          <rPr>
            <b/>
            <sz val="9"/>
            <color indexed="81"/>
            <rFont val="Tahoma"/>
            <family val="2"/>
          </rPr>
          <t>4.5 + 4.7 (Sec 4)</t>
        </r>
        <r>
          <rPr>
            <sz val="9"/>
            <color indexed="81"/>
            <rFont val="Tahoma"/>
            <family val="2"/>
          </rPr>
          <t xml:space="preserve">
</t>
        </r>
      </text>
    </comment>
  </commentList>
</comments>
</file>

<file path=xl/sharedStrings.xml><?xml version="1.0" encoding="utf-8"?>
<sst xmlns="http://schemas.openxmlformats.org/spreadsheetml/2006/main" count="40620" uniqueCount="4304">
  <si>
    <t>Health Product Management Tool - Mandatory supporting documents</t>
  </si>
  <si>
    <t>COUNTRY:</t>
  </si>
  <si>
    <t>GRANT NUMBER:</t>
  </si>
  <si>
    <t>COMPONENT:</t>
  </si>
  <si>
    <t xml:space="preserve">PR: </t>
  </si>
  <si>
    <t>Please include all listed documents as attachments</t>
  </si>
  <si>
    <t>2) Diagnostic test algorithms for the relevant Disease</t>
  </si>
  <si>
    <t>3) National Quantification Report (including lab) based on which quantities in the Health Product Management Tool (HPMT) derive</t>
  </si>
  <si>
    <t>4) Entities involved in forecasting/national forecasting committee - latest meeting minutes</t>
  </si>
  <si>
    <t>7) Financial Contributions for health products (all sources of funding available to meet the targets) and the financial gap analysis for health products for the three-year grant period.</t>
  </si>
  <si>
    <t>9) Buffer stock and rationale for inclusion in the calculations</t>
  </si>
  <si>
    <t xml:space="preserve">10) Calculation worksheets with assumptions used and the formula </t>
  </si>
  <si>
    <t>In Case of reprogramming / reallocation / use of savings, the following are mandatory:</t>
  </si>
  <si>
    <t xml:space="preserve">v.       For procurements already executed during the grant period and until the submission, update retrospectively quantities already procured and actual final costs (projected at the grant signing vs. actuals at the time of the submission of the new request) </t>
  </si>
  <si>
    <t>Mozambique</t>
  </si>
  <si>
    <t>LANGUAGE:</t>
  </si>
  <si>
    <t>English</t>
  </si>
  <si>
    <t xml:space="preserve">CURRENCY: </t>
  </si>
  <si>
    <t>USD</t>
  </si>
  <si>
    <t>Malaria</t>
  </si>
  <si>
    <t>PR CONTACT:</t>
  </si>
  <si>
    <t xml:space="preserve">Full name: </t>
  </si>
  <si>
    <t xml:space="preserve">Position: </t>
  </si>
  <si>
    <t xml:space="preserve">Email: </t>
  </si>
  <si>
    <t>PROCUREMENT ENTITY:</t>
  </si>
  <si>
    <t>Year 1</t>
  </si>
  <si>
    <t>Year 2</t>
  </si>
  <si>
    <t>Year 3</t>
  </si>
  <si>
    <t>Year 4</t>
  </si>
  <si>
    <t>Q1 Start Date</t>
  </si>
  <si>
    <t>Q13 Start Date</t>
  </si>
  <si>
    <t>TYPE OF PAYMENT</t>
  </si>
  <si>
    <t>Q13 End Date</t>
  </si>
  <si>
    <t>Q14 Start Date</t>
  </si>
  <si>
    <t>M</t>
  </si>
  <si>
    <t xml:space="preserve">Antimalaria medicines </t>
  </si>
  <si>
    <t>At delivery</t>
  </si>
  <si>
    <t>Q14 End Date</t>
  </si>
  <si>
    <t>H, C, T</t>
  </si>
  <si>
    <t>Antiretroviral medicines</t>
  </si>
  <si>
    <t>Q15 Start Date</t>
  </si>
  <si>
    <t>Anti-tuberculosis medicines</t>
  </si>
  <si>
    <t>Q15 End Date</t>
  </si>
  <si>
    <t xml:space="preserve">H, C </t>
  </si>
  <si>
    <t>Opioid substitute medicines</t>
  </si>
  <si>
    <t>Q16 Start Date</t>
  </si>
  <si>
    <t>Q16 End Date</t>
  </si>
  <si>
    <t>H, C</t>
  </si>
  <si>
    <t>Condoms and lubricants</t>
  </si>
  <si>
    <t>Payment Currency</t>
  </si>
  <si>
    <t>HIV Rapid Diagnostic Test</t>
  </si>
  <si>
    <t>Malaria Rapid Diagnostic Test</t>
  </si>
  <si>
    <t>Other</t>
  </si>
  <si>
    <t>EUR</t>
  </si>
  <si>
    <t>H, C, T, M</t>
  </si>
  <si>
    <t>VMMC kits</t>
  </si>
  <si>
    <t>LLINs</t>
  </si>
  <si>
    <t>Insecticides</t>
  </si>
  <si>
    <t>T, C</t>
  </si>
  <si>
    <t>Other laboratory reagents</t>
  </si>
  <si>
    <t>Other consumables</t>
  </si>
  <si>
    <t>Health equipment</t>
  </si>
  <si>
    <t>Other health equipment</t>
  </si>
  <si>
    <t>Go to HIV-Pharmaceuticals</t>
  </si>
  <si>
    <t>Go to HIV-Equipment</t>
  </si>
  <si>
    <t>Go to HIV-Other HPs</t>
  </si>
  <si>
    <t xml:space="preserve">DATA - PATIENTS ON ANTIRETROVIRAL TREATMENT </t>
  </si>
  <si>
    <t>Grant starting</t>
  </si>
  <si>
    <t>Target - End of Y1</t>
  </si>
  <si>
    <t>Target - End of Y2</t>
  </si>
  <si>
    <t>Target - End of Y3</t>
  </si>
  <si>
    <t xml:space="preserve">Data source </t>
  </si>
  <si>
    <t xml:space="preserve">Total number of patients on ART  </t>
  </si>
  <si>
    <t xml:space="preserve">Total number of adults on ART </t>
  </si>
  <si>
    <t xml:space="preserve">Total number of adults on 1st line ART </t>
  </si>
  <si>
    <t xml:space="preserve">Total number of adults on 2nd line ART </t>
  </si>
  <si>
    <t xml:space="preserve">Total number of adults on 3rd line ART </t>
  </si>
  <si>
    <t xml:space="preserve">Total number of pediatrics on ART </t>
  </si>
  <si>
    <t xml:space="preserve">Total number of pediatrics on 1st line ART </t>
  </si>
  <si>
    <t xml:space="preserve">Total number of pediatrics on 2nd line ART </t>
  </si>
  <si>
    <t>DATA - LABORATORY</t>
  </si>
  <si>
    <t xml:space="preserve">Viral Load and EID available equipments in the country </t>
  </si>
  <si>
    <t xml:space="preserve">Brand </t>
  </si>
  <si>
    <t>Model</t>
  </si>
  <si>
    <t xml:space="preserve">Total number of equipment in country </t>
  </si>
  <si>
    <t>Number of equipment rented</t>
  </si>
  <si>
    <t>Number of equipment purchased</t>
  </si>
  <si>
    <t>DATA - PRE EXPOSURE PROPHYLAXIS</t>
  </si>
  <si>
    <t xml:space="preserve">Is the Global Fund supporting PrEP for : </t>
  </si>
  <si>
    <t>MSM</t>
  </si>
  <si>
    <t>Yes</t>
  </si>
  <si>
    <t>Sex workers and their clients</t>
  </si>
  <si>
    <t xml:space="preserve">Transgenders </t>
  </si>
  <si>
    <t>No</t>
  </si>
  <si>
    <t>PPL</t>
  </si>
  <si>
    <t>Adolescents and youth</t>
  </si>
  <si>
    <t>Expected number of Viral Load tests to perform per year, per sample type and per type of equipment</t>
  </si>
  <si>
    <t>Sample type</t>
  </si>
  <si>
    <t>Target total number for Y1</t>
  </si>
  <si>
    <t>Target total number for Y2</t>
  </si>
  <si>
    <t>Target total number for Y3</t>
  </si>
  <si>
    <t>% tests to be processed as part of rental contract</t>
  </si>
  <si>
    <t>% to be supported by the grant</t>
  </si>
  <si>
    <t>Expected number of EID tests to perform per year, per sample type and per type of equipment</t>
  </si>
  <si>
    <t>Product</t>
  </si>
  <si>
    <t>Abacavir</t>
  </si>
  <si>
    <t>Abacavir/Lamivudine</t>
  </si>
  <si>
    <t>Abacavir/Lamivudine/Zidovudine</t>
  </si>
  <si>
    <t>Atazanavir</t>
  </si>
  <si>
    <t>Atazanavir/Ritonavir</t>
  </si>
  <si>
    <t>Darunavir</t>
  </si>
  <si>
    <t>Dolutegravir</t>
  </si>
  <si>
    <t>Efavirenz</t>
  </si>
  <si>
    <t>Efavirenz/Emtricitabine/Tenofovir</t>
  </si>
  <si>
    <t>Efavirenz/Lamivudine/Tenofovir</t>
  </si>
  <si>
    <t>Emtricitabine</t>
  </si>
  <si>
    <t>Emtricitabine/Tenofovir</t>
  </si>
  <si>
    <t>Etravirine</t>
  </si>
  <si>
    <t>Lamivudine</t>
  </si>
  <si>
    <t>Lamivudine/Tenofovir</t>
  </si>
  <si>
    <t>Lamivudine/Zidovudine</t>
  </si>
  <si>
    <t>Lopinavir/Ritonavir</t>
  </si>
  <si>
    <t>Nevirapine</t>
  </si>
  <si>
    <t>Raltegravir</t>
  </si>
  <si>
    <t>Ritonavir</t>
  </si>
  <si>
    <t>Tenofovir</t>
  </si>
  <si>
    <t>Zidovudine</t>
  </si>
  <si>
    <t>Buprenorphine-opioid substitute</t>
  </si>
  <si>
    <t>Methadone-opioid substitute</t>
  </si>
  <si>
    <t>10mg/ml - Oral solution - Bottle of 170 ml</t>
  </si>
  <si>
    <t>200mg - Capsule - Bottle of 30</t>
  </si>
  <si>
    <t>2 mg - Box or bottle of 28 tab</t>
  </si>
  <si>
    <t>8mg - Box or bottle of 28 tab</t>
  </si>
  <si>
    <t>10mg - Blister - 100</t>
  </si>
  <si>
    <t>25mg - Blister - 100</t>
  </si>
  <si>
    <t>5mg - Blister - 100</t>
  </si>
  <si>
    <t>Back to HIV-Key Info</t>
  </si>
  <si>
    <t xml:space="preserve">HIV - Pharmaceuticals - Section 1 </t>
  </si>
  <si>
    <t>Go to OIs/STIs other medicines</t>
  </si>
  <si>
    <t>Opioid substitutes medicines</t>
  </si>
  <si>
    <t>Product INN</t>
  </si>
  <si>
    <t>Specification (dosage, form, packaging, pack size)</t>
  </si>
  <si>
    <t>Unit of measure</t>
  </si>
  <si>
    <t>Total grant period</t>
  </si>
  <si>
    <t>Finance</t>
  </si>
  <si>
    <t>Y1 Unit cost (payment currency)</t>
  </si>
  <si>
    <t>Y1 Q1 quantity</t>
  </si>
  <si>
    <t>Y1 Q2 quantity</t>
  </si>
  <si>
    <t>Y1 Q3 quantity</t>
  </si>
  <si>
    <t>Y1 Q4 quantity</t>
  </si>
  <si>
    <t>Y1 Total quantity</t>
  </si>
  <si>
    <t>Y1 Total cost</t>
  </si>
  <si>
    <t>Y2 Unit cost</t>
  </si>
  <si>
    <t>Y2 Q1 quantity</t>
  </si>
  <si>
    <t>Y2 Q2 quantity</t>
  </si>
  <si>
    <t>Y2 Q3 quantity</t>
  </si>
  <si>
    <t>Y2 Q4 quantity</t>
  </si>
  <si>
    <t>Y2 Total quantity</t>
  </si>
  <si>
    <t>Y2 Total cost</t>
  </si>
  <si>
    <t>Y3 Unit cost</t>
  </si>
  <si>
    <t>Y3 Q1 quantity</t>
  </si>
  <si>
    <t>Y3 Q2 quantity</t>
  </si>
  <si>
    <t>Y3 Q3 quantity</t>
  </si>
  <si>
    <t>Y3 Q4 quantity</t>
  </si>
  <si>
    <t>Y3 Total quantity</t>
  </si>
  <si>
    <t>Y3 Total cost</t>
  </si>
  <si>
    <t>Total quantity</t>
  </si>
  <si>
    <t xml:space="preserve">Total cost </t>
  </si>
  <si>
    <t>Cost input</t>
  </si>
  <si>
    <t xml:space="preserve">HIV - Pharmaceuticals - Section 2 </t>
  </si>
  <si>
    <t>Opportunistic infections and STI medicines</t>
  </si>
  <si>
    <t>Back to ARVs</t>
  </si>
  <si>
    <t>Other medicines</t>
  </si>
  <si>
    <t>Y1 Q1 cost</t>
  </si>
  <si>
    <t>Y1 Q3 cost</t>
  </si>
  <si>
    <t>Y1 Q4 cost</t>
  </si>
  <si>
    <t>Y2 Q1 cost</t>
  </si>
  <si>
    <t>Y2 Q2 cost</t>
  </si>
  <si>
    <t>Y2 Q3 cost</t>
  </si>
  <si>
    <t>Y2 Q4 cost</t>
  </si>
  <si>
    <t>Y3 Q1 cost</t>
  </si>
  <si>
    <t>Y3 Q2 cost</t>
  </si>
  <si>
    <t>Y3 Q3 cost</t>
  </si>
  <si>
    <t>Y3 Q4 cost</t>
  </si>
  <si>
    <t>Back to HIV-Pharma</t>
  </si>
  <si>
    <t xml:space="preserve">HIV - Equipment - Section 1 </t>
  </si>
  <si>
    <t>Type of equipment</t>
  </si>
  <si>
    <t>Type of product</t>
  </si>
  <si>
    <t>Specification (denomination, technical feature)</t>
  </si>
  <si>
    <t>Y1 Unit cost</t>
  </si>
  <si>
    <t>Viral load and/or EID analyzer</t>
  </si>
  <si>
    <t>Equipment</t>
  </si>
  <si>
    <t>Sections</t>
  </si>
  <si>
    <t>Female condom</t>
  </si>
  <si>
    <t>Rapid Diagnostic Test - HIV</t>
  </si>
  <si>
    <t>HIV Viral Load test</t>
  </si>
  <si>
    <t>Lubricant</t>
  </si>
  <si>
    <t>Male condom</t>
  </si>
  <si>
    <t>Rapid Diagnostic Test - Syphilis</t>
  </si>
  <si>
    <t>Rapid Diagnostic Test - Cryptococcus</t>
  </si>
  <si>
    <t>Rapid Diagnostic Test - HBV</t>
  </si>
  <si>
    <t>Rapid Diagnostic Test - HCV</t>
  </si>
  <si>
    <t>HIV Early Infant Diagnosis</t>
  </si>
  <si>
    <t>Automated blood culture system, system for incubating and processing blood cultures</t>
  </si>
  <si>
    <t>Biological Safety Cabinet</t>
  </si>
  <si>
    <t>Centrifuges</t>
  </si>
  <si>
    <t>Warranty, maintenance and service</t>
  </si>
  <si>
    <t>DNA extraction, amplification, isolation, purification, detection and sequencing analyzers</t>
  </si>
  <si>
    <t>Flow cytometry analyzer (CD4)</t>
  </si>
  <si>
    <t>Microbiology analyzers</t>
  </si>
  <si>
    <t>Spectrofluorimeters or fluorimeters</t>
  </si>
  <si>
    <t>GeneXpert</t>
  </si>
  <si>
    <t xml:space="preserve">HIV - Other health products - Section 1 </t>
  </si>
  <si>
    <t xml:space="preserve">Condoms </t>
  </si>
  <si>
    <t>Go to RDTs (Section 2)</t>
  </si>
  <si>
    <t>Go to VL/EID (Section 3)</t>
  </si>
  <si>
    <t>Go to lab reagents 
(Section 4)</t>
  </si>
  <si>
    <t>Lubricants</t>
  </si>
  <si>
    <t>Specifications (Size, feature, pack size)</t>
  </si>
  <si>
    <t>Group/population</t>
  </si>
  <si>
    <t xml:space="preserve">% of total male condoms </t>
  </si>
  <si>
    <t>% of total female condoms</t>
  </si>
  <si>
    <t>% of total lubricant</t>
  </si>
  <si>
    <t>PMTCT</t>
  </si>
  <si>
    <t>HIV - Other health products - Section 2</t>
  </si>
  <si>
    <t xml:space="preserve">Rapid Diagnosic Tests (HIV, Syphilis, Hep B, Hep C, </t>
  </si>
  <si>
    <t>Go to condoms (Section 1)</t>
  </si>
  <si>
    <t>Cryptococcus)</t>
  </si>
  <si>
    <t>Specification (type, brand/name, w or w/o accessories, # of tests per pack)</t>
  </si>
  <si>
    <t>% of total HIV tests</t>
  </si>
  <si>
    <t>HIV - Other health products - Section 3</t>
  </si>
  <si>
    <t xml:space="preserve">Laboratory reagents </t>
  </si>
  <si>
    <t>(Viral Load and EID)</t>
  </si>
  <si>
    <t>Specifications (Manufacturer, type of bundle, contract option, # of tests per pack)</t>
  </si>
  <si>
    <t>Total cost</t>
  </si>
  <si>
    <t>Go to TB-Pharma</t>
  </si>
  <si>
    <t>Go to TB-Other HPs &amp; Equipment</t>
  </si>
  <si>
    <t xml:space="preserve">DATA - EXPECTED NUMBER OF CASES TO BE TREATED </t>
  </si>
  <si>
    <t xml:space="preserve">Total number of expected sensitive TB cases </t>
  </si>
  <si>
    <t xml:space="preserve">Total number of expected ADULTS sensitive TB cases </t>
  </si>
  <si>
    <t xml:space="preserve">Number of expected ADULTS sensitive TB new cases </t>
  </si>
  <si>
    <t>Number of expected ADULTS sensitive TB retreatment</t>
  </si>
  <si>
    <t xml:space="preserve">Total number of expected PEDIATRICS sensitive TB cases </t>
  </si>
  <si>
    <t xml:space="preserve">Number of expected PEDIATRICS sensitive TB new cases </t>
  </si>
  <si>
    <t>Number of expected PEDIATRICS sensitive TB retreatment</t>
  </si>
  <si>
    <t xml:space="preserve">Total number of expected MDR TB new cases </t>
  </si>
  <si>
    <t xml:space="preserve">Total number of expected XDR TB new cases </t>
  </si>
  <si>
    <t xml:space="preserve">Is the country transitioning to injection free treatment regimen? </t>
  </si>
  <si>
    <t xml:space="preserve">If yes, please specify when </t>
  </si>
  <si>
    <t>DATA - TB PREVENTATIVE THERAPTY (TPT)</t>
  </si>
  <si>
    <t>Adults</t>
  </si>
  <si>
    <t>Children</t>
  </si>
  <si>
    <t>Techologies and equipments available in the country and expected number of tests per year</t>
  </si>
  <si>
    <t xml:space="preserve">Techologies/equipments </t>
  </si>
  <si>
    <t>Available 
(yes/no)</t>
  </si>
  <si>
    <t>Number of laboratories or facilities equiped</t>
  </si>
  <si>
    <t>Total number of machines in country</t>
  </si>
  <si>
    <t>Expected number of tests to be performed/year</t>
  </si>
  <si>
    <t xml:space="preserve">Bacilloscopy - LED microscopy </t>
  </si>
  <si>
    <t xml:space="preserve">Bacilloscopy - Light microscopy </t>
  </si>
  <si>
    <t>&gt;110</t>
  </si>
  <si>
    <t>Culture - Solid Culture</t>
  </si>
  <si>
    <t>N/A</t>
  </si>
  <si>
    <t>Culture - Liquid/BACTEC™ MGIT™</t>
  </si>
  <si>
    <t>DST 1st line - Liquid Media</t>
  </si>
  <si>
    <t>DST 1st line - Solid Media</t>
  </si>
  <si>
    <t>DST 1st line - LPA/Hain</t>
  </si>
  <si>
    <t>DST 2nd line - Solid Media</t>
  </si>
  <si>
    <t>DST 2nd line - LPA/Hain</t>
  </si>
  <si>
    <t>Xray - Conventional</t>
  </si>
  <si>
    <t>Xray - Digital</t>
  </si>
  <si>
    <t>Xray - Mobile</t>
  </si>
  <si>
    <t>Back to TB key info</t>
  </si>
  <si>
    <t xml:space="preserve">TB - Pharmaceuticals - Section 1 </t>
  </si>
  <si>
    <t xml:space="preserve">Anti-tuberculosis medicines </t>
  </si>
  <si>
    <t>Go to other medicines</t>
  </si>
  <si>
    <t>Sensitive TB</t>
  </si>
  <si>
    <t>TB Cat I+III Patient Kit A</t>
  </si>
  <si>
    <t>Isoniazid/Pyrazinamide/Rifampicin</t>
  </si>
  <si>
    <t>Isoniazid/Rifampicin</t>
  </si>
  <si>
    <t>Isoniazid</t>
  </si>
  <si>
    <t>TB - Pharmaceuticals - Section 2</t>
  </si>
  <si>
    <t>Resistant TB</t>
  </si>
  <si>
    <t>Bedaquiline</t>
  </si>
  <si>
    <t>Amikacin</t>
  </si>
  <si>
    <t>Linezolide</t>
  </si>
  <si>
    <t>Pyrazinamide</t>
  </si>
  <si>
    <t>TB - Pharmaceuticals - Section 3</t>
  </si>
  <si>
    <t>TB Prevention</t>
  </si>
  <si>
    <t>Back to anti TB medicines</t>
  </si>
  <si>
    <t>Y1 Q2 cost</t>
  </si>
  <si>
    <t xml:space="preserve">TB - Non Pharmaceuticals and equipment - Section 1 </t>
  </si>
  <si>
    <t>Microscopy - Equipment &amp; reagents</t>
  </si>
  <si>
    <t>Go GeneXpert (Section 2)</t>
  </si>
  <si>
    <t>Go Culture/DST (Section 3)</t>
  </si>
  <si>
    <t>Go to LPA (Section 4)</t>
  </si>
  <si>
    <t>(Light and LED)</t>
  </si>
  <si>
    <t>TB-Other HPs &amp; Equipment-section 1</t>
  </si>
  <si>
    <t xml:space="preserve">TB - Non Pharmaceuticals and equipment - Section 2 </t>
  </si>
  <si>
    <t>Go to microscopy (Section 1)</t>
  </si>
  <si>
    <t>TB - Non Pharmaceuticals and equipment - Section 3</t>
  </si>
  <si>
    <t>TB - Non Pharmaceuticals and equipment - Section 4</t>
  </si>
  <si>
    <t>Liquid culture and DST-Reagents kits</t>
  </si>
  <si>
    <t>Go to Malaria-Pharma</t>
  </si>
  <si>
    <t>Go to Malaria Other HPs &amp; Equipment</t>
  </si>
  <si>
    <t>DATA - EXPECTED NUMBER OF CASES TO BE TREATED (CASE MANAGEMENT)</t>
  </si>
  <si>
    <r>
      <t>% of</t>
    </r>
    <r>
      <rPr>
        <b/>
        <i/>
        <sz val="11"/>
        <color rgb="FFEAAD00"/>
        <rFont val="Calibri"/>
        <family val="2"/>
        <scheme val="minor"/>
      </rPr>
      <t xml:space="preserve"> P.f.</t>
    </r>
  </si>
  <si>
    <r>
      <t xml:space="preserve">% of </t>
    </r>
    <r>
      <rPr>
        <b/>
        <i/>
        <sz val="11"/>
        <color rgb="FFEAAD00"/>
        <rFont val="Calibri"/>
        <family val="2"/>
        <scheme val="minor"/>
      </rPr>
      <t>P.v.</t>
    </r>
  </si>
  <si>
    <r>
      <t xml:space="preserve">% of </t>
    </r>
    <r>
      <rPr>
        <b/>
        <i/>
        <sz val="11"/>
        <color rgb="FFEAAD00"/>
        <rFont val="Calibri"/>
        <family val="2"/>
        <scheme val="minor"/>
      </rPr>
      <t>P.m.</t>
    </r>
  </si>
  <si>
    <t>% of mixed infection</t>
  </si>
  <si>
    <t xml:space="preserve">Total number of malaria cases to be treated  </t>
  </si>
  <si>
    <t xml:space="preserve">Total number of ADULTS malaria cases to be treated  </t>
  </si>
  <si>
    <t>Number of adults UNCOMPLICATED malaria cases to be treated</t>
  </si>
  <si>
    <t>Number of adults SEVERE malaria cases to be treated</t>
  </si>
  <si>
    <t xml:space="preserve">Total number of PEDIATRICS malaria cases to be treated  </t>
  </si>
  <si>
    <t>Number of pediatrics UNCOMPLICATED malaria cases to be treated</t>
  </si>
  <si>
    <t>Number of pediatrics &lt; 15kg uncomplicated malaria cases to be treated</t>
  </si>
  <si>
    <t>Number of pediatrics 15kg-25kg uncomplicated malaria cases to be treated</t>
  </si>
  <si>
    <t>Number of pediatrics 25kg-35kg uncomplicated malaria cases to be treated</t>
  </si>
  <si>
    <t>Number of pediatrics SEVERE malaria cases to be treated</t>
  </si>
  <si>
    <t>Percentage of UNCOMPLICATED malaria cases to be treated in the community</t>
  </si>
  <si>
    <t>Percentage of UNCOMPLICATED malaria cases to be treated in health facilities</t>
  </si>
  <si>
    <t>Percentage of UNCOMPLICATED malaria cases to be treated in private sector</t>
  </si>
  <si>
    <t>DATA - SPECIFIC PREVENTION INTERVENTIONS (SPI)</t>
  </si>
  <si>
    <t>Total number of cases to receive chemoprevention</t>
  </si>
  <si>
    <t>Percentage of cases to receive chemoprevention (pregnancy)</t>
  </si>
  <si>
    <t>Percentage of cases to receive chemoprevention (infancy)</t>
  </si>
  <si>
    <t>Percentage of cases to receive chemoprevention (seasonal malaria chemoprevention)</t>
  </si>
  <si>
    <t>Percentage of cases to receive chemoprevention (mass drug administration)</t>
  </si>
  <si>
    <t>DATA - LABORATORY (CASE MANAGEMENT)</t>
  </si>
  <si>
    <t>Expected number of tests to be performed per method per year</t>
  </si>
  <si>
    <t>Method</t>
  </si>
  <si>
    <t>Number of lab or facilities requiring to be equiped</t>
  </si>
  <si>
    <t>Number of lab or facilities equiped</t>
  </si>
  <si>
    <t>Number of machines available</t>
  </si>
  <si>
    <t>Expected number of tests to be performed/method/year</t>
  </si>
  <si>
    <t xml:space="preserve">Microscopy </t>
  </si>
  <si>
    <t xml:space="preserve">Rapid Diagnostic Test </t>
  </si>
  <si>
    <t>% of RDTs to be used in health facility</t>
  </si>
  <si>
    <t>% of RDTs to be used in community</t>
  </si>
  <si>
    <t>% of RDTs to be used in private sector</t>
  </si>
  <si>
    <t>DATA - VECTOR CONTROL</t>
  </si>
  <si>
    <t xml:space="preserve">Is the country using LLINs as vector control measure ? </t>
  </si>
  <si>
    <t xml:space="preserve">If yes, how are the LLINs distributed?  </t>
  </si>
  <si>
    <t>ANC clinics</t>
  </si>
  <si>
    <t>EPI facilities</t>
  </si>
  <si>
    <t>Continuously in community</t>
  </si>
  <si>
    <t>Continuously in schools</t>
  </si>
  <si>
    <t>Mass campaign (universal)</t>
  </si>
  <si>
    <t>Mass campaign (targeted)</t>
  </si>
  <si>
    <t>Total number of LLINs to be distributed per year (mass campaign)</t>
  </si>
  <si>
    <t>Total number of LLINs to be distributed per year (routine distribution)</t>
  </si>
  <si>
    <t xml:space="preserve">Is the country using IRS as vector control measure ? </t>
  </si>
  <si>
    <t>Number of structures to be sprayed each year</t>
  </si>
  <si>
    <t>Back to Malaria key info</t>
  </si>
  <si>
    <t xml:space="preserve">Malaria - Pharmaceuticals - Section 1 </t>
  </si>
  <si>
    <t>For treatment</t>
  </si>
  <si>
    <t>Artemether/Lumefantrine</t>
  </si>
  <si>
    <t>All 4 lines (pack sizes) of Artemether/Lumefrantine should sum per quarter as a total US$ value. This value should be multiplied by the percentages found in Malaria-Key Info Line 52 based on the "modules and interventions" selected in the detailed budget. The quarter in which it should be reflected in the DB depends on the payment modality set in the SETUP tab.</t>
  </si>
  <si>
    <t>Primaquine</t>
  </si>
  <si>
    <t>This line (Primaquine) should sum per quarter as a total US$ value. This value should be multiplied by the percentages found in Malaria-Key Info Line 53 based on the "modules and interventions" selected in the detailed budget. The quarter in which it should be reflected in the DB depends on the payment modality set in the SETUP tab.</t>
  </si>
  <si>
    <t>Sulfadoxine/Pyrimethamine</t>
  </si>
  <si>
    <t>This line (Sulphadoxine/Pyramethamine) should sum per quarter as a total US$ value. This value should be multiplied by the percentages found in Malaria-Key Info Line 64 based on the "modules and interventions" selected in the detailed budget. The quarter in which it should be reflected in the DB depends on the payment modality set in the SETUP tab.</t>
  </si>
  <si>
    <t>Artesunate/amodiaquine</t>
  </si>
  <si>
    <t>This line (Artesunate Amodiaquine) should sum per quarter as a total US$ value. This value should be multiplied by the percentages found in Malaria-Key Info Line 55 based on the "modules and interventions" selected in the detailed budget. The quarter in which it should be reflected in the DB depends on the payment modality set in the SETUP tab.</t>
  </si>
  <si>
    <t>Artesunate</t>
  </si>
  <si>
    <t>Both Artesunate items should sum per quarter as a total US$ value. This value should be multiplied by the percentages found in Malaria-Key Info Line 56 based on the "modules and interventions" selected in the detailed budget. The quarter in which it should be reflected in the DB depends on the payment modality set in the SETUP tab.</t>
  </si>
  <si>
    <t xml:space="preserve">Malaria - Pharmaceuticals - Section 2 </t>
  </si>
  <si>
    <t>Back to antimalaria</t>
  </si>
  <si>
    <t>For prevention</t>
  </si>
  <si>
    <t>Amodiaquine+Sulfadoxine/Pyrimethamine</t>
  </si>
  <si>
    <t>Artesunate/Mefloquine</t>
  </si>
  <si>
    <t>Artesunate/Pyronaridine</t>
  </si>
  <si>
    <t>Artesunate+Sulfadoxine/Pyrimethamine</t>
  </si>
  <si>
    <t>Chloroquine</t>
  </si>
  <si>
    <t>Mefloquine</t>
  </si>
  <si>
    <t>Piperaquine/Dihydroartemisinin</t>
  </si>
  <si>
    <t>Proguanil</t>
  </si>
  <si>
    <t>Quinine</t>
  </si>
  <si>
    <t>100mg tablet 100</t>
  </si>
  <si>
    <t>300mg 100</t>
  </si>
  <si>
    <t>300mg 1000</t>
  </si>
  <si>
    <t>IRS-Insecticides</t>
  </si>
  <si>
    <t>Malaria Rapid Diagnostic Test Kit - Pf/PAN - 25 tests</t>
  </si>
  <si>
    <t>Malaria Rapid Diagnostic Test Kit - Pf/Pv - 25 tests</t>
  </si>
  <si>
    <t>Amoxicillin/Clavulanic acid</t>
  </si>
  <si>
    <t>500mg/2ml solution for injection - 10 vial</t>
  </si>
  <si>
    <t>Clofazimine</t>
  </si>
  <si>
    <t>Cycloserine</t>
  </si>
  <si>
    <t>Delamanid</t>
  </si>
  <si>
    <t>Ethambutol</t>
  </si>
  <si>
    <t>Ethambutol/Isoniazid/Pyrazinamide/Rifampicin</t>
  </si>
  <si>
    <t>Ethambutol/Isoniazid/Rifampicin</t>
  </si>
  <si>
    <t>Ethionamide</t>
  </si>
  <si>
    <t>125mg/31.25mg/5ml powder for oral solution 100ml</t>
  </si>
  <si>
    <t>Imipenem/Cilastatin</t>
  </si>
  <si>
    <t>Levofloxacin</t>
  </si>
  <si>
    <t>250mg/62.5mg/5ml powder for oral solution 100ml</t>
  </si>
  <si>
    <t>Meropenem</t>
  </si>
  <si>
    <t>Moxifloxacin</t>
  </si>
  <si>
    <t>Para-AminoSalicylate Sodium</t>
  </si>
  <si>
    <t>Prothionamide</t>
  </si>
  <si>
    <t>Rifabutin</t>
  </si>
  <si>
    <t>Rifampicin</t>
  </si>
  <si>
    <t>Streptomycin</t>
  </si>
  <si>
    <t>Water for injection</t>
  </si>
  <si>
    <t>500/500mg powder for solution for infusion 20ml - 10 vial</t>
  </si>
  <si>
    <t>1g powder for solution for injection - 10 vial</t>
  </si>
  <si>
    <t>4g granule 30</t>
  </si>
  <si>
    <t>5.52g (equiv 4g PAS) powder for oral solution - 25 sachet</t>
  </si>
  <si>
    <t>20mg/ml granules for oral suspension 100ml</t>
  </si>
  <si>
    <t>20mg/ml granules for oral suspension 120ml</t>
  </si>
  <si>
    <t>5ml - 100 ampoule</t>
  </si>
  <si>
    <t>5ml - 1 ampoule</t>
  </si>
  <si>
    <t>5ml - 20 vial</t>
  </si>
  <si>
    <t>5ml - 50 vial</t>
  </si>
  <si>
    <t>Cost Input</t>
  </si>
  <si>
    <t>Back to Malaria-Pharma</t>
  </si>
  <si>
    <t xml:space="preserve">Malaria - Non Pharmaceuticals and equipment - Section 1 </t>
  </si>
  <si>
    <t>Go to RDTs 
(Section 2)</t>
  </si>
  <si>
    <t>Go to Vector C
(Section 3)</t>
  </si>
  <si>
    <t xml:space="preserve">Malaria - Non Pharmaceuticals and equipment - Section 2 </t>
  </si>
  <si>
    <t>Rapid Diagnosic Tests</t>
  </si>
  <si>
    <t>Go to microscopy 
(Section 1)</t>
  </si>
  <si>
    <t>This line mRDT should sum per quarter as a total US$ value. This value should be multiplied by the percentages found in Malaria-Key Info Line 54 based on the "modules and interventions" selected in the detailed budget. The quarter in which it should be reflected in the DB depends on the payment modality set in the SETUP tab.</t>
  </si>
  <si>
    <t>Malaria - Non Pharmaceuticals and equipment - Section 3</t>
  </si>
  <si>
    <t xml:space="preserve">Vector control </t>
  </si>
  <si>
    <t>(LLINs, IRS, insecticides)</t>
  </si>
  <si>
    <t>Malaria - Non Pharmaceuticals and equipment - Section 4</t>
  </si>
  <si>
    <t>Consumables</t>
  </si>
  <si>
    <t>Health product management costs and investments - Costs associated to procurement</t>
  </si>
  <si>
    <t xml:space="preserve">Go to in country SC management (section 2) </t>
  </si>
  <si>
    <t>Procurement agent and handling fees (7.1)</t>
  </si>
  <si>
    <t>Type of health product</t>
  </si>
  <si>
    <t>Column1</t>
  </si>
  <si>
    <t xml:space="preserve">HIV - Pharmaceuticals </t>
  </si>
  <si>
    <t>ARVs</t>
  </si>
  <si>
    <t xml:space="preserve">OIs, STIs &amp; other medicines </t>
  </si>
  <si>
    <t xml:space="preserve">Opioid substitute medecines </t>
  </si>
  <si>
    <t xml:space="preserve">HIV - Equipment </t>
  </si>
  <si>
    <t>HIV - Other HPs</t>
  </si>
  <si>
    <t>RDTs for HIV</t>
  </si>
  <si>
    <t>RDTs for STIs, OIs &amp; hepatitis</t>
  </si>
  <si>
    <t>Reagents for VL &amp; EID</t>
  </si>
  <si>
    <t xml:space="preserve">TB - Pharmaceuticals </t>
  </si>
  <si>
    <t>Sensitive TB medicines</t>
  </si>
  <si>
    <t>MDR/XDR TB medicines</t>
  </si>
  <si>
    <t>TB - Other HPs &amp; Equipment</t>
  </si>
  <si>
    <t>GeneXpert - Equipment &amp; cartridges</t>
  </si>
  <si>
    <t>Consumables &amp; other equipment</t>
  </si>
  <si>
    <t xml:space="preserve">Malaria - Pharmaceuticals </t>
  </si>
  <si>
    <t>Antimalaria medicines - treatment</t>
  </si>
  <si>
    <t>Sum all antimalarials per quarter in Section 1 of Malaria-Pharmaceuticals.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</si>
  <si>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Antimalaria medicines -  prevention</t>
  </si>
  <si>
    <t>Malaria - Other HPs &amp; Equipment</t>
  </si>
  <si>
    <t>RDTs</t>
  </si>
  <si>
    <t>LLINs (mass campaign)</t>
  </si>
  <si>
    <t>LLINs (routine distribution)</t>
  </si>
  <si>
    <t>IRS equipment &amp; insecticides</t>
  </si>
  <si>
    <t>Other equipment for malaria</t>
  </si>
  <si>
    <t>Freight and insurance costs for health products (7.2)</t>
  </si>
  <si>
    <t>PSM Customs Clearance (7.6)</t>
  </si>
  <si>
    <t>Health product management costs and investments - Costs associated to in-country supply chain management</t>
  </si>
  <si>
    <t>Go to PSM costs 
(section 1)</t>
  </si>
  <si>
    <t>Cost description (e.g: service provider,…)</t>
  </si>
  <si>
    <t>Grant period</t>
  </si>
  <si>
    <t>Y1 total cost</t>
  </si>
  <si>
    <t>Y2 total cost</t>
  </si>
  <si>
    <t>Y3 total cost</t>
  </si>
  <si>
    <t>A % column should be added for this caluclation and the calculation should be automated. Sum all pharmaceuticals per quarter.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</si>
  <si>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In country QA and QC costs (7.5)</t>
  </si>
  <si>
    <t>HIV - Pharmaceuticals</t>
  </si>
  <si>
    <t>TB - Pharmaceuticals</t>
  </si>
  <si>
    <t>Malaria - Pharmaceuticals</t>
  </si>
  <si>
    <t>Other health products (excluding LLINs)</t>
  </si>
  <si>
    <t xml:space="preserve">LLINs </t>
  </si>
  <si>
    <t>Other procurement and supply management costs (7.7)</t>
  </si>
  <si>
    <t xml:space="preserve">Investment in RSSH for health products management systems </t>
  </si>
  <si>
    <t>Intervention of RSSH for HPM systems</t>
  </si>
  <si>
    <t>Concise description (e.g TA for the development of a supply chain master plan, TA to assess distribution system, refurbishment of regional warehouse…)</t>
  </si>
  <si>
    <t>Policy, strategy, governance</t>
  </si>
  <si>
    <t>Fiduciary agent fees</t>
  </si>
  <si>
    <t>Investment in RSSH for laboratory systems</t>
  </si>
  <si>
    <t>Intervention of RSSH for laboratory systems</t>
  </si>
  <si>
    <t>Concise description (e.g. TA to develop lab national strategic plan, refurbishment of the lab to improve biosafety…)</t>
  </si>
  <si>
    <t xml:space="preserve">National laboratory governance and management structures </t>
  </si>
  <si>
    <t>Laboratory infrastructure maintenance cost</t>
  </si>
  <si>
    <t>Module</t>
  </si>
  <si>
    <t>Intervention en</t>
  </si>
  <si>
    <t>Implementer</t>
  </si>
  <si>
    <t>Geography/Location</t>
  </si>
  <si>
    <t>Currency</t>
  </si>
  <si>
    <t>Unit of Measure</t>
  </si>
  <si>
    <t>Y1 Unit Cost (Payment Currency)</t>
  </si>
  <si>
    <t>Y1 Unit Cost (Grant Currency)</t>
  </si>
  <si>
    <t>Q1 Quantity</t>
  </si>
  <si>
    <t>Q2 Quantity</t>
  </si>
  <si>
    <t>Q3 Quantity</t>
  </si>
  <si>
    <t>Q4 Quantity</t>
  </si>
  <si>
    <t>Y1 Total Quantity</t>
  </si>
  <si>
    <t>Y1 Total Cash Outflow</t>
  </si>
  <si>
    <t>Y2 Unit Cost (Payment Currency)</t>
  </si>
  <si>
    <t>Y2 Unit Cost (Grant Currency)</t>
  </si>
  <si>
    <t>Q5 Quantity</t>
  </si>
  <si>
    <t>Q6 Quantity</t>
  </si>
  <si>
    <t>Q7 Quantity</t>
  </si>
  <si>
    <t>Q8 Quantity</t>
  </si>
  <si>
    <t>Y2 Total Quantity</t>
  </si>
  <si>
    <t>Y2 Total Cash Outflow</t>
  </si>
  <si>
    <t>Y3 Unit Cost (Payment Currency)</t>
  </si>
  <si>
    <t>Y3 Unit Cost (Grant Currency)</t>
  </si>
  <si>
    <t>Q9 Quantity</t>
  </si>
  <si>
    <t>Q10 Quantity</t>
  </si>
  <si>
    <t>Q11 Quantity</t>
  </si>
  <si>
    <t>Q12 Quantity</t>
  </si>
  <si>
    <t>Y3 Total Quantity</t>
  </si>
  <si>
    <t>Y3 Total Cash Outflow</t>
  </si>
  <si>
    <t>Y4 Unit Cost (Payment Currency)</t>
  </si>
  <si>
    <t>Y4 Unit Cost (Grant Currency)</t>
  </si>
  <si>
    <t>Y4 Total Quantity</t>
  </si>
  <si>
    <t>Y4 Total Cash Outflow</t>
  </si>
  <si>
    <t>Assumptions to Support Unit Cost</t>
  </si>
  <si>
    <t>Justification/Comments</t>
  </si>
  <si>
    <t>Vector Control</t>
  </si>
  <si>
    <t>Long-lasting insecticidal nets (LLIN) - Mass campaign- Universal</t>
  </si>
  <si>
    <t>5.1 Insecticide-treated Nets (LLINs/ITNs)</t>
  </si>
  <si>
    <t>Malaria - RDT LLIN IRS ETC - Section 3, Type of Product = LLINs (mass campaign), take the total budget per quarter and multiply by Malaria-Key Info G55, from SETUP G34 determine the payment modality and apply the figure in H34 to establish in which quarter in the DB the budget should be reflected</t>
  </si>
  <si>
    <t>PSM costs</t>
  </si>
  <si>
    <t>7.1 Procurement agent and handling fees</t>
  </si>
  <si>
    <t>HPM costs &amp; RSSH - Section 1, Procurement agent and handling fees (7.1), Type of Health Product = Malaria LLINs (mass campaign), take the total budget per quarter and multiply by Malaria-Key Info G55, from SETUP G34 determine the payment modality and apply the figure in H34 to establish in which quarter in the DB the budget should be reflected</t>
  </si>
  <si>
    <t>7.2 Freight and insurance costs (Health products)</t>
  </si>
  <si>
    <t>HPM costs &amp; RSSH - Section 1, Freight and insurance costs for health products (7.2), Type of Health Product = Malaria LLINs (mass campaign), take the total budget per quarter and multiply by Malaria-Key Info G55, from SETUP G34 determine the payment modality and apply the figure in H34 to establish in which quarter in the DB the budget should be reflected</t>
  </si>
  <si>
    <t>7.3 Warehouse and Storage Costs</t>
  </si>
  <si>
    <t>HPM costs &amp; RSSH - Section 2, LLINs warehouse and storage costs (7.3), Type of Health Product = Malaria LLINs (mass campaign), take the total budget per quarter and multiply by Malaria-Key Info G55, from SETUP G34 determine the payment modality and apply the figure in H34 to establish in which quarter in the DB the budget should be reflected</t>
  </si>
  <si>
    <t>7.4 in-country distribution costs</t>
  </si>
  <si>
    <t>HPM costs &amp; RSSH - Section 2, LLINs in country distribution costs (7.4), Type of Health Product = Malaria LLINs (mass campaign), take the total budget per quarter and multiply by Malaria-Key Info G55, from SETUP G34 determine the payment modality and apply the figure in H34 to establish in which quarter in the DB the budget should be reflected</t>
  </si>
  <si>
    <t>7.5 Quality assurance and quality control costs (QA/QC)</t>
  </si>
  <si>
    <t>HPM costs &amp; RSSH - Section 1, Quality assurance and quality control costs (QA/QC) (7.5), Type of Health Product = Malaria LLINs (mass campaign), take the total budget per quarter and multiply by Malaria-Key Info G55, from SETUP G34 determine the payment modality and apply the figure in H34 to establish in which quarter in the DB the budget should be reflected</t>
  </si>
  <si>
    <t>7.6 PSM Customs Clearance</t>
  </si>
  <si>
    <t>HPM costs &amp; RSSH - Section 1, PSM Customs Clearance (7.6), Type of Health Product = Malaria LLINs (mass campaign), take the total budget per quarter and multiply by Malaria-Key Info G55, from SETUP G34 determine the payment modality and apply the figure in H34 to establish in which quarter in the DB the budget should be reflected</t>
  </si>
  <si>
    <t>7.7 Other PSM costs</t>
  </si>
  <si>
    <t>HPM costs &amp; RSSH - Section 2, Other procurement and supply management costs (7.7), Type of Health Product = Malaria LLINs (mass campaign), take the total budget per quarter and multiply by Malaria-Key Info G55, from SETUP G34 determine the payment modality and apply the figure in H34 to establish in which quarter in the DB the budget should be reflected</t>
  </si>
  <si>
    <t>Long-lasting insecticidal nets (LLIN) - Mass campaign- Targeted</t>
  </si>
  <si>
    <t>Malaria - RDT LLIN IRS ETC - Section 3, Type of Product = LLINs (mass campaign), take the total budget per quarter and multiply by Malaria-Key Info G56, from SETUP G34 determine the payment modality and apply the figure in H34 to establish in which quarter in the DB the budget should be reflected</t>
  </si>
  <si>
    <t>HPM costs &amp; RSSH - Section 1, Procurement agent and handling fees (7.1),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</si>
  <si>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Freight and insurance costs for health products (7.2),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</si>
  <si>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warehouse and storage costs (7.3),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</si>
  <si>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in country distribution costs (7.4),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</si>
  <si>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Quality assurance and quality control costs (QA/QC) (7.5),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</si>
  <si>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PSM Customs Clearance (7.6),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</si>
  <si>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Other procurement and supply management costs (7.7), Type of Health Product = Malaria LLINs (mass campaign), take the total budget per quarter and multiply by Malaria-Key Info G56, from SETUP G34 determine the payment modality and apply the figure in H34 to establish in which quarter in the DB the budget should be reflected</t>
  </si>
  <si>
    <t>Long-lasting insecticidal nets (LLIN) - Continuous distribution - ANC</t>
  </si>
  <si>
    <t>Malaria - RDT LLIN IRS ETC - Section 3, Type of Product = LLINs (routine distribution), take the total budget per quarter and multiply by % in Malaria-Key Info G51,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</si>
  <si>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</si>
  <si>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</si>
  <si>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</si>
  <si>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</si>
  <si>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</si>
  <si>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</si>
  <si>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Long-lasting insecticidal nets (LLIN) - Continuous distribution - EPI</t>
  </si>
  <si>
    <t>Malaria - RDT LLIN IRS ETC - Section 3, Type of Product = LLINs (routine distribution), take the total budget per quarter and multiply by % in Malaria-Key Info G52,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</si>
  <si>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</si>
  <si>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</si>
  <si>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</si>
  <si>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</si>
  <si>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</si>
  <si>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</si>
  <si>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Long-lasting insecticidal nets (LLIN) - Continuous distribution - School-based</t>
  </si>
  <si>
    <t>Malaria - RDT LLIN IRS ETC - Section 3, Type of Product = LLINs (routine distribution), take the total budget per quarter and multiply by % in Malaria-Key Info G53,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</si>
  <si>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</si>
  <si>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</si>
  <si>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</si>
  <si>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</si>
  <si>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</si>
  <si>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</si>
  <si>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Long-lasting insecticidal nets (LLIN) - Continuous distribution - Community-based</t>
  </si>
  <si>
    <t>Malaria - RDT LLIN IRS ETC - Section 3, Type of Product = LLINs (routine distribution), take the total budget per quarter and multiply by % in Malaria-Key Info G54,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</si>
  <si>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</si>
  <si>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</si>
  <si>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</si>
  <si>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</si>
  <si>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</si>
  <si>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</si>
  <si>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Indoor residual spraying (IRS)</t>
  </si>
  <si>
    <t>Procurement of IRS insecticides</t>
  </si>
  <si>
    <t>5.5 Insecticides</t>
  </si>
  <si>
    <t>6.6 Other health equipment</t>
  </si>
  <si>
    <t>HPM costs &amp; RSSH - Section 1, Procurement agent and handling fees (7.1),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</si>
  <si>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Freight and insurance costs for health products (7.2), Type of Health Product = Malaria IRS equipment &amp; insecticides, take the total budget per quarter, from SETUP G35 determine the payment modality and apply the figure in H35 to establish in which quarter in the DB the budget should be reflectedo establish in which quarter in the DB the budget should be reflected</t>
  </si>
  <si>
    <t>HPM costs &amp; RSSH - Section 2, Warehouse and storage costs (excluding LLINs warehouse and storage costs) (7.3), Type of Health Product = Malaria IRS equipment &amp; insecticides, take the total budget per quarter, from SETUP G35 determine the payment modality and apply the figure in H35 to establish in which quarter in the DB the budget should be reflected</t>
  </si>
  <si>
    <t>HPM costs &amp; RSSH - Section 2, In country distribution costs (excluding LLINs distribution costs) (7.4),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</si>
  <si>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Quality assurance and quality control costs (QA/QC) (7.5),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</si>
  <si>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PSM Customs Clearance (7.6), Type of Health Product = Malaria IRS equipment &amp; insecticides, take the total budget per quarter, from SETUP G35 determine the payment modality and apply the figure in H35 to establish in which quarter in the DB the budget should be reflected</t>
  </si>
  <si>
    <t>6.5 Maintenance and service costs for health equipment</t>
  </si>
  <si>
    <t>Procurement of laboratory reagents</t>
  </si>
  <si>
    <t>5.6 Laboratory reagents</t>
  </si>
  <si>
    <t>Procurement of consumables</t>
  </si>
  <si>
    <t>5.8 Other consumables</t>
  </si>
  <si>
    <t>Case management</t>
  </si>
  <si>
    <t>Facility-based treatment</t>
  </si>
  <si>
    <t>4.3 Antimalarial medicines</t>
  </si>
  <si>
    <t>Malaria - Pharmaceuticals - Section 1, take the total budget per quarter and multiply by % located in Malaria-Key Info F23, from SETUP G17 determine the payment modality and apply the figure in H17 to establish in which quarter in the DB the budget should be reflected</t>
  </si>
  <si>
    <t>Procurement of RDTs to diagnose malaria</t>
  </si>
  <si>
    <t>5.4 Rapid Diagnostic Test</t>
  </si>
  <si>
    <t xml:space="preserve">Malaria-RDT LLIN IRS ETC - Section 2, take the total budget per quarter and multiple by % in Malaria-Key Info G46 , from SETUP G25 determine the payment modality and apply the figure in H25 </t>
  </si>
  <si>
    <t xml:space="preserve">Malaria-RDT LLIN IRS ETC - Section 1, take the total budget per quarter for cost-input "6.3 Microscopes", from SETUP G49 determine the payment modality and apply the figure in H49 to establish in which quarter in the DB the budget should be reflected </t>
  </si>
  <si>
    <t>Integrated community case management (ICCM)</t>
  </si>
  <si>
    <t>Malaria - Pharmaceuticals - Section 1, take the total budget per quarter and multiply by % located in Malaria-Key Info F24, from SETUP G17 determine the payment modality and apply the figure in H17 to establish in which quarter in the DB the budget should be reflected</t>
  </si>
  <si>
    <t xml:space="preserve">Malaria-RDT LLIN IRS ETC - Section 2, take the total budget per quarter and multiple by % in Malaria-Key Info J46 , from SETUP G25 determine the payment modality and apply the figure in H25 </t>
  </si>
  <si>
    <t xml:space="preserve">Private sector case management </t>
  </si>
  <si>
    <t>Malaria - Pharmaceuticals - Section 1, take the total budget per quarter and multiply by % located in Malaria-Key Info F25, from SETUP G17 determine the payment modality and apply the figure in H17 to establish in which quarter in the DB the budget should be reflected</t>
  </si>
  <si>
    <t xml:space="preserve">Malaria-RDT LLIN IRS ETC - Section 2, take the total budget per quarter and multiple by % in Malaria-Key Info N46 , from SETUP G25 determine the payment modality and apply the figure in H25 </t>
  </si>
  <si>
    <t>Specific prevention interventions (SPI)</t>
  </si>
  <si>
    <t>Intermittent preventive treatment (IPT) - In pregnancy</t>
  </si>
  <si>
    <t>Malaria - Pharmaceuticals - Section 2, take the total budget per quarter and multiply by % located in Malaria-Key Info F32,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</si>
  <si>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</si>
  <si>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</si>
  <si>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</si>
  <si>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</si>
  <si>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</si>
  <si>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</si>
  <si>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Intermittent preventive treatment (IPT) - In infancy</t>
  </si>
  <si>
    <t>Malaria - Pharmaceuticals - Section 2, take the total budget per quarter and multiply by % located in Malaria-Key Info F33,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</si>
  <si>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</si>
  <si>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</si>
  <si>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</si>
  <si>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</si>
  <si>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</si>
  <si>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</si>
  <si>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Seasonal malaria chemoprevention</t>
  </si>
  <si>
    <t>Malaria - Pharmaceuticals - Section 2, take the total budget per quarter and multiply by % located in Malaria-Key Info F34,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</si>
  <si>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</si>
  <si>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</si>
  <si>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</si>
  <si>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</si>
  <si>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</si>
  <si>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</si>
  <si>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Mass drug administration</t>
  </si>
  <si>
    <t>Malaria - Pharmaceuticals - Section 2, take the total budget per quarter and multiply by % located in Malaria-Key Info F35,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</si>
  <si>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</si>
  <si>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</si>
  <si>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</si>
  <si>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</si>
  <si>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</si>
  <si>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</si>
  <si>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TB care and prevention</t>
  </si>
  <si>
    <t>Case detection and diagnosis</t>
  </si>
  <si>
    <t>Treatment</t>
  </si>
  <si>
    <t>Treatment of drug-sensitive TB</t>
  </si>
  <si>
    <t>4.2 Anti-tuberculosis medicines</t>
  </si>
  <si>
    <t>TB - Pharmaceuticals - Section 1, take the total budget per quarter, from SETUP G16 determine the payment modality and apply the figure in H16 to establish in which quarter in the DB the budget should be reflected</t>
  </si>
  <si>
    <t>4.7 Other medicines</t>
  </si>
  <si>
    <t>Prevention</t>
  </si>
  <si>
    <t>5.7 Syringes and needles</t>
  </si>
  <si>
    <t>6.4 TB Molecular Test equipment</t>
  </si>
  <si>
    <t>4.1 Antiretroviral medicines</t>
  </si>
  <si>
    <t>4.5 Opportunistic infections and STI medicines</t>
  </si>
  <si>
    <t>MDR-TB</t>
  </si>
  <si>
    <t>Case detection and diagnosis: MDR-TB</t>
  </si>
  <si>
    <t>Treatment: MDR-TB</t>
  </si>
  <si>
    <t>Treatment of drug-resistant TB</t>
  </si>
  <si>
    <t>Condom and lubricant programing</t>
  </si>
  <si>
    <t>Procurement of condoms &amp; lubricants</t>
  </si>
  <si>
    <t>5.2 Condoms - Male</t>
  </si>
  <si>
    <t>4.4 Opioid substitutes medicines</t>
  </si>
  <si>
    <t>5.3 Condoms - Female</t>
  </si>
  <si>
    <t>Needle and syringe programs</t>
  </si>
  <si>
    <t>Opioid substitution therapy and other medically assisted drug dependence treatment</t>
  </si>
  <si>
    <t>National condom program management and stewardship</t>
  </si>
  <si>
    <t>Prong 1: Primary prevention of HIV infection among women of childbearing age</t>
  </si>
  <si>
    <t>Prong 3: Preventing vertical HIV transmission</t>
  </si>
  <si>
    <t>6.2 HIV Viral Load analyser/accessories</t>
  </si>
  <si>
    <t>Differentiated HIV Testing Services</t>
  </si>
  <si>
    <t>Facility-based testing</t>
  </si>
  <si>
    <t xml:space="preserve">Community-based testing </t>
  </si>
  <si>
    <t>Self-testing</t>
  </si>
  <si>
    <t>Treatment, care and support</t>
  </si>
  <si>
    <t>Differentiated ART service delivery and HIV care</t>
  </si>
  <si>
    <t>6.1 CD4 analyser/accessories</t>
  </si>
  <si>
    <t>Prevention and management of co-infections and co-morbidities</t>
  </si>
  <si>
    <t>Technical assistance &amp; consultancy fees</t>
  </si>
  <si>
    <t>Other external professional services</t>
  </si>
  <si>
    <t>Furniture</t>
  </si>
  <si>
    <t>Renovation, construction &amp; refurbishment</t>
  </si>
  <si>
    <t>Other non-health equipment for laboratory strengthening</t>
  </si>
  <si>
    <t>Other infrastructure costs</t>
  </si>
  <si>
    <t>Component</t>
  </si>
  <si>
    <t>Malaria-Pharmaceuticals</t>
  </si>
  <si>
    <t>TB</t>
  </si>
  <si>
    <t>HIV/TB</t>
  </si>
  <si>
    <t>HIV</t>
  </si>
  <si>
    <t>Opportunistic infections and STI medicines (lumpsum budget)</t>
  </si>
  <si>
    <t>Other medicines (lumpsum budget)</t>
  </si>
  <si>
    <t>Condoms</t>
  </si>
  <si>
    <t>HBV - Generic Rapid Diagnostic Test Kit - 1 test</t>
  </si>
  <si>
    <t>HCV - Generic Rapid Diagnostic Test Kit - 1 test</t>
  </si>
  <si>
    <t>HIV 1 - Generic Rapid Diagnostic Test Kit - 1 test</t>
  </si>
  <si>
    <t>HIV 1+2 - Determine Chase Buffer - 2.5ml vial - 100 tests</t>
  </si>
  <si>
    <t>HIV/Syphilis - Generic RDT - 1 test</t>
  </si>
  <si>
    <t>HIV Self Testing - Generic Rapid Diagnostic Test Kit - 1 test</t>
  </si>
  <si>
    <t>Syphilis - Generic Rapid Diagnostic Test Kit - 1 test</t>
  </si>
  <si>
    <t>Cepheid</t>
  </si>
  <si>
    <t>bioMerieux</t>
  </si>
  <si>
    <t>Hologic</t>
  </si>
  <si>
    <t>Qiagen</t>
  </si>
  <si>
    <t>Therapeutic food products</t>
  </si>
  <si>
    <t>180x160x150 Rectangular LLIN</t>
  </si>
  <si>
    <t>180x160x170 Rectangular LLIN</t>
  </si>
  <si>
    <t>180x160x180 Rectangular LLIN</t>
  </si>
  <si>
    <t>180x190x150 Rectangular LLIN</t>
  </si>
  <si>
    <t>180x190x160 Rectangular LLIN</t>
  </si>
  <si>
    <t>190x180x170 Rectangular LLIN</t>
  </si>
  <si>
    <t>190x180x180 Rectangular LLIN</t>
  </si>
  <si>
    <t>210x190x180 Rectangular LLIN</t>
  </si>
  <si>
    <t>BACTEC MGIT 960 SIRE kit - 40 tests</t>
  </si>
  <si>
    <t>BACTEC MGIT 960 Supplement Kit - 100 tests (PANTA and OADC combined)</t>
  </si>
  <si>
    <t>BACTEC MGIT PZA Kit - 50 tests</t>
  </si>
  <si>
    <t>BACTEC MGIT Tubes 7ml - 100 tubes</t>
  </si>
  <si>
    <t>Pack</t>
  </si>
  <si>
    <t>Each</t>
  </si>
  <si>
    <t>Bundle</t>
  </si>
  <si>
    <t>Unit</t>
  </si>
  <si>
    <t>Kit</t>
  </si>
  <si>
    <t xml:space="preserve">RSSH: Health products management systems </t>
  </si>
  <si>
    <t>RSSH: Laboratory systems</t>
  </si>
  <si>
    <t>HPMTypeOfProd</t>
  </si>
  <si>
    <t>HPMTypeOfInvest</t>
  </si>
  <si>
    <t>HPMTypeOfLab</t>
  </si>
  <si>
    <t>Storage and distribution capacity</t>
  </si>
  <si>
    <t>Infrastructure and equipment management systems</t>
  </si>
  <si>
    <t xml:space="preserve">Procurement capacity </t>
  </si>
  <si>
    <t>Quality management systems and accreditation</t>
  </si>
  <si>
    <t>IT for lab system (computers, IT equipment, software, applications)</t>
  </si>
  <si>
    <t>Avoidance, reduction and management of health care waste</t>
  </si>
  <si>
    <t>Information systems and integrated specimen transport networks</t>
  </si>
  <si>
    <t>IT (computers, IT equipment, software, applications)</t>
  </si>
  <si>
    <t xml:space="preserve">Regulatory/quality assurance support </t>
  </si>
  <si>
    <t>Laboratory supply chain systems</t>
  </si>
  <si>
    <t>Other non-health equipment for HPM system strengthening</t>
  </si>
  <si>
    <t>Warehouse maintenance cost</t>
  </si>
  <si>
    <t>Vehicles (e.g. for laboratory network and sample transportation)</t>
  </si>
  <si>
    <t xml:space="preserve">Vehicles (e.g for health product transportation) </t>
  </si>
  <si>
    <t>VERSION:</t>
  </si>
  <si>
    <t>Type of health product:</t>
  </si>
  <si>
    <t xml:space="preserve">VL/EID brand </t>
  </si>
  <si>
    <t>VL/EID systems</t>
  </si>
  <si>
    <t>Sample Type VL/EID</t>
  </si>
  <si>
    <t xml:space="preserve">TB techologies/equipments </t>
  </si>
  <si>
    <t>Yes/No</t>
  </si>
  <si>
    <t>Lump sum pharma</t>
  </si>
  <si>
    <t>UnitMeasure</t>
  </si>
  <si>
    <t>UnitMeasure2</t>
  </si>
  <si>
    <t>UnitMeasure3</t>
  </si>
  <si>
    <t>Afghanistan</t>
  </si>
  <si>
    <t>PPM</t>
  </si>
  <si>
    <t>HIV or HIV/TB</t>
  </si>
  <si>
    <t xml:space="preserve">Abbott </t>
  </si>
  <si>
    <t>Abbott m2000rt</t>
  </si>
  <si>
    <t>DBS</t>
  </si>
  <si>
    <t>Albania</t>
  </si>
  <si>
    <t>TB or HIV/TB</t>
  </si>
  <si>
    <t>Abbott m2000sp</t>
  </si>
  <si>
    <t>Plasma</t>
  </si>
  <si>
    <t>Algeria</t>
  </si>
  <si>
    <t>Spanish</t>
  </si>
  <si>
    <t>Abbott m24sp</t>
  </si>
  <si>
    <t>Whole blood</t>
  </si>
  <si>
    <t>Angola</t>
  </si>
  <si>
    <t>Russian</t>
  </si>
  <si>
    <t>DRW</t>
  </si>
  <si>
    <t xml:space="preserve">NucliSENS® easyMAG® </t>
  </si>
  <si>
    <t>Argentina</t>
  </si>
  <si>
    <t>NucliSENS® EasyQ®</t>
  </si>
  <si>
    <t>Armenia</t>
  </si>
  <si>
    <t>HIV or TB or Malaria or HIV/TB</t>
  </si>
  <si>
    <t xml:space="preserve">NucliSENS® miniMAG® </t>
  </si>
  <si>
    <t>Azerbaijan</t>
  </si>
  <si>
    <t>Upfront</t>
  </si>
  <si>
    <t xml:space="preserve">Roche </t>
  </si>
  <si>
    <t xml:space="preserve">Xpert </t>
  </si>
  <si>
    <t>Bangladesh</t>
  </si>
  <si>
    <t>Samba I system</t>
  </si>
  <si>
    <t>Belarus</t>
  </si>
  <si>
    <t>Samba II system</t>
  </si>
  <si>
    <t>Belize</t>
  </si>
  <si>
    <t>Aptima® HIV-1 Quant Dx Assay on the Panther® System</t>
  </si>
  <si>
    <t>Benin</t>
  </si>
  <si>
    <t>artus™</t>
  </si>
  <si>
    <t>Bhutan</t>
  </si>
  <si>
    <t xml:space="preserve">CD4 reagents </t>
  </si>
  <si>
    <t>Cobas® 4800 System</t>
  </si>
  <si>
    <t>Bolivia (Plurinational State)</t>
  </si>
  <si>
    <t>HIV Viral load and EID reagents</t>
  </si>
  <si>
    <t>Cobas® 6800/8800 System</t>
  </si>
  <si>
    <t>Bosnia and Herzegovina</t>
  </si>
  <si>
    <t xml:space="preserve">TB culture and DST reagents </t>
  </si>
  <si>
    <t>Cobas® AmpliPrep Instrument</t>
  </si>
  <si>
    <t>Botswana</t>
  </si>
  <si>
    <t>GeneXpert cartridges</t>
  </si>
  <si>
    <t>Cobas® Liat® System</t>
  </si>
  <si>
    <t>Brazil</t>
  </si>
  <si>
    <t>Cobas® TaqMan® 48 Analyzer</t>
  </si>
  <si>
    <t>Bulgaria</t>
  </si>
  <si>
    <t>Syringes and needles</t>
  </si>
  <si>
    <t>Cobas® TaqMan® 96 Analyzer</t>
  </si>
  <si>
    <t>Burkina Faso</t>
  </si>
  <si>
    <t>Burundi</t>
  </si>
  <si>
    <t>CD4 analyser/accessories</t>
  </si>
  <si>
    <t>Cambodia</t>
  </si>
  <si>
    <t>HIV Viral Load analyser/accessories</t>
  </si>
  <si>
    <t>Cameroon</t>
  </si>
  <si>
    <t>Microscopes</t>
  </si>
  <si>
    <t>TB or Malaria or HIV/TB</t>
  </si>
  <si>
    <t>Cape Verde</t>
  </si>
  <si>
    <t>GeneXpert machines</t>
  </si>
  <si>
    <t>Central African Republic</t>
  </si>
  <si>
    <t>Other TB Test equipment</t>
  </si>
  <si>
    <t>Chad</t>
  </si>
  <si>
    <t>Chile</t>
  </si>
  <si>
    <t>China</t>
  </si>
  <si>
    <t>Colombia</t>
  </si>
  <si>
    <t>Comoros</t>
  </si>
  <si>
    <t>Congo</t>
  </si>
  <si>
    <t>Congo (Democratic Republic)</t>
  </si>
  <si>
    <t>Costa Rica</t>
  </si>
  <si>
    <t>Côte d'Ivoire</t>
  </si>
  <si>
    <t>Croatia</t>
  </si>
  <si>
    <t>Cuba</t>
  </si>
  <si>
    <t>Djibouti</t>
  </si>
  <si>
    <t>Dominican Republic</t>
  </si>
  <si>
    <t>Ecuador</t>
  </si>
  <si>
    <t>Egypt</t>
  </si>
  <si>
    <t>El Salvador</t>
  </si>
  <si>
    <t>Equatorial Guinea</t>
  </si>
  <si>
    <t>Eritrea</t>
  </si>
  <si>
    <t>Estonia</t>
  </si>
  <si>
    <t>Ethiopia</t>
  </si>
  <si>
    <t>Fiji</t>
  </si>
  <si>
    <t>Gabon</t>
  </si>
  <si>
    <t>Gambia</t>
  </si>
  <si>
    <t>Georgia</t>
  </si>
  <si>
    <t>Ghana</t>
  </si>
  <si>
    <t>Guatemala</t>
  </si>
  <si>
    <t>Guinea</t>
  </si>
  <si>
    <t>Guinea-Bissau</t>
  </si>
  <si>
    <t>Guyana</t>
  </si>
  <si>
    <t>Haiti</t>
  </si>
  <si>
    <t>Honduras</t>
  </si>
  <si>
    <t>India</t>
  </si>
  <si>
    <t>Indonesia</t>
  </si>
  <si>
    <t>Iran (Islamic Republic)</t>
  </si>
  <si>
    <t>Iraq</t>
  </si>
  <si>
    <t>Jamaica</t>
  </si>
  <si>
    <t>Jordan</t>
  </si>
  <si>
    <t>Kazakhstan</t>
  </si>
  <si>
    <t>Kenya</t>
  </si>
  <si>
    <t>Korea (Democratic Peoples Republic)</t>
  </si>
  <si>
    <t>Kosovo</t>
  </si>
  <si>
    <t>Kyrgyzstan</t>
  </si>
  <si>
    <t>Lao (Peoples Democratic Republic)</t>
  </si>
  <si>
    <t>Lesotho</t>
  </si>
  <si>
    <t>Liberia</t>
  </si>
  <si>
    <t>Lutheran World Federation</t>
  </si>
  <si>
    <t>Macedonia (Former Yugoslav Republic)</t>
  </si>
  <si>
    <t>Madagascar</t>
  </si>
  <si>
    <t>Malawi</t>
  </si>
  <si>
    <t>Malaysia</t>
  </si>
  <si>
    <t>Maldives</t>
  </si>
  <si>
    <t>Mali</t>
  </si>
  <si>
    <t>Mauritania</t>
  </si>
  <si>
    <t>Mauritius</t>
  </si>
  <si>
    <t>Mexico</t>
  </si>
  <si>
    <t>Moldova</t>
  </si>
  <si>
    <t>Mongolia</t>
  </si>
  <si>
    <t>Montenegro</t>
  </si>
  <si>
    <t>Morocco</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</si>
  <si>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</si>
  <si>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</si>
  <si>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</si>
  <si>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</si>
  <si>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</si>
  <si>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</si>
  <si>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</si>
  <si>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</si>
  <si>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</si>
  <si>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</si>
  <si>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</si>
  <si>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</si>
  <si>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</si>
  <si>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</si>
  <si>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</si>
  <si>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</si>
  <si>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</si>
  <si>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</si>
  <si>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</si>
  <si>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</si>
  <si>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</si>
  <si>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</si>
  <si>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</si>
  <si>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</si>
  <si>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</si>
  <si>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</si>
  <si>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</si>
  <si>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</si>
  <si>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</si>
  <si>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</si>
  <si>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</si>
  <si>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</si>
  <si>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</si>
  <si>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</si>
  <si>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Myanmar</t>
  </si>
  <si>
    <t>Namibia</t>
  </si>
  <si>
    <t>Nepal</t>
  </si>
  <si>
    <t>Nicaragua</t>
  </si>
  <si>
    <t>Niger</t>
  </si>
  <si>
    <t>Nigeria</t>
  </si>
  <si>
    <t>Pakistan</t>
  </si>
  <si>
    <t>Palestine</t>
  </si>
  <si>
    <t>Panama</t>
  </si>
  <si>
    <t>Papua New Guinea</t>
  </si>
  <si>
    <t>Paraguay</t>
  </si>
  <si>
    <t>Peru</t>
  </si>
  <si>
    <t>Philippines</t>
  </si>
  <si>
    <t>Romania</t>
  </si>
  <si>
    <t>Russian Federation</t>
  </si>
  <si>
    <t>Rwanda</t>
  </si>
  <si>
    <t>Sao Tome and Principe</t>
  </si>
  <si>
    <t>Senegal</t>
  </si>
  <si>
    <t>Serbia</t>
  </si>
  <si>
    <t>Sierra Leone</t>
  </si>
  <si>
    <t>Solomon Islands</t>
  </si>
  <si>
    <t>Somalia</t>
  </si>
  <si>
    <t>South Africa</t>
  </si>
  <si>
    <t>South Sudan</t>
  </si>
  <si>
    <t>Sri Lanka</t>
  </si>
  <si>
    <t>Sudan</t>
  </si>
  <si>
    <t>Suriname</t>
  </si>
  <si>
    <t>Swaziland</t>
  </si>
  <si>
    <t>Switzerland</t>
  </si>
  <si>
    <t>Syrian Arab Republic</t>
  </si>
  <si>
    <t>Tajikistan</t>
  </si>
  <si>
    <t>Tanzania (United Republic)</t>
  </si>
  <si>
    <t>Thailand</t>
  </si>
  <si>
    <t>Timor-Leste</t>
  </si>
  <si>
    <t>Togo</t>
  </si>
  <si>
    <t>Tunisia</t>
  </si>
  <si>
    <t>Turkey</t>
  </si>
  <si>
    <t>Turkmenistan</t>
  </si>
  <si>
    <t>Uganda</t>
  </si>
  <si>
    <t>Ukraine</t>
  </si>
  <si>
    <t>Uruguay</t>
  </si>
  <si>
    <t>Uzbekistan</t>
  </si>
  <si>
    <t>Viet Nam</t>
  </si>
  <si>
    <t>Yemen</t>
  </si>
  <si>
    <t>Zambia</t>
  </si>
  <si>
    <t>Zanzibar</t>
  </si>
  <si>
    <t>Zimbabwe</t>
  </si>
  <si>
    <t>Artemether</t>
  </si>
  <si>
    <t>80mg/ml Solution for Injection - 1 vial</t>
  </si>
  <si>
    <t>153mg+500/25mg 3+1 tablet dispersible co-blistered 50 blister</t>
  </si>
  <si>
    <t>76.5mg+250/12.5mg 3+1 tablet dispersible co-blistered 50 blister</t>
  </si>
  <si>
    <t>20/120mg 12 tablet dispersible 30 blister</t>
  </si>
  <si>
    <t>20/120mg 6 tablet dispersible 30 blister</t>
  </si>
  <si>
    <t>40/240mg 12 tablet 30 blister</t>
  </si>
  <si>
    <t>40/240mg 6 tablet 30 blister</t>
  </si>
  <si>
    <t>60/360mg 6 tablet 30 blister</t>
  </si>
  <si>
    <t>80/480mg 6 tablet 30 blister</t>
  </si>
  <si>
    <t>120mg powder for solution for injection - 1 vial</t>
  </si>
  <si>
    <t>30mg powder for solution for injection - 1 vial</t>
  </si>
  <si>
    <t>60mg powder for solution for injection - 1 vial</t>
  </si>
  <si>
    <t>25/67.5mg 3 tablet 25 blister</t>
  </si>
  <si>
    <t>50/135mg 3 tablet 25 blister</t>
  </si>
  <si>
    <t>20/60mg granule for oral suspension 90</t>
  </si>
  <si>
    <t>60/180mg tablet 9 tablet 10 blister</t>
  </si>
  <si>
    <t>250mg as phosphate/sulfate (155mg as base) 100 tablet</t>
  </si>
  <si>
    <t>250mg as phosphate/sulfate (155mg as base) 1000 tablet</t>
  </si>
  <si>
    <t>250mg as phosphate/sulfate (155mg as base) 20 tablet</t>
  </si>
  <si>
    <t>250mg as phosphate/sulfate (155mg as base) 500 tablet</t>
  </si>
  <si>
    <t>80mg/5ml as phosphate/sulfate (50mg/5ml as base) 150ml</t>
  </si>
  <si>
    <t>15mg (as base) (equivalent to 26.4mg Primaquine Phosphate) tablet 100</t>
  </si>
  <si>
    <t>7.5mg (as base) (equivalent to 13.2mg Primaquine Phosphate) tablet 100</t>
  </si>
  <si>
    <t>7.5mg (as base) (equivalent to 13.2mg Primaquine Phosphate) tablet 1000</t>
  </si>
  <si>
    <t>300mg/ml Amp 10 * 2ml</t>
  </si>
  <si>
    <t>300mg/ml Amp 100 * 2ml</t>
  </si>
  <si>
    <t>500/25mg 3 tablet 10 blister</t>
  </si>
  <si>
    <t>500/25mg 3 tablet 100 blister</t>
  </si>
  <si>
    <t>500/25mg tablet 100</t>
  </si>
  <si>
    <t>500/25mg tablet 1000</t>
  </si>
  <si>
    <t>Microscopy: Malaria smear microscopy reagents</t>
  </si>
  <si>
    <t>Microscope: Equipment</t>
  </si>
  <si>
    <t>LED Microscope</t>
  </si>
  <si>
    <t>Light Microscope</t>
  </si>
  <si>
    <t>Rapid Diagnostic Test - Malaria</t>
  </si>
  <si>
    <t>Malaria Antigen P.f , HRP2/pLDH, Kit, 25 Tests</t>
  </si>
  <si>
    <t>Malaria Antigen P.f / P.v, HRP2, pLDH, Kit, 10 Tests</t>
  </si>
  <si>
    <t>Malaria Rapid Diagnostic Test Kit - Pf only - 25 tests</t>
  </si>
  <si>
    <t>180x160x150 Rectangular PBO LLIN</t>
  </si>
  <si>
    <t>180x160x170 Rectangular PBO LLIN</t>
  </si>
  <si>
    <t>180x160x180 Rectangular PBO LLIN</t>
  </si>
  <si>
    <t>180x190x150 Rectangular PBO LLIN</t>
  </si>
  <si>
    <t>180x190x160 Rectangular PBO LLIN</t>
  </si>
  <si>
    <t>190x180x170 Rectangular PBO LLIN</t>
  </si>
  <si>
    <t>190x180x180 Rectangular PBO LLIN</t>
  </si>
  <si>
    <t>210x190x180 Rectangular PBO LLIN</t>
  </si>
  <si>
    <t>Insecticides for purposes other than IRS</t>
  </si>
  <si>
    <t>Vector control equipment for purposes other than IRS</t>
  </si>
  <si>
    <t>Bendiocarb WP, WP-SB</t>
  </si>
  <si>
    <t>Bifenthrin WP</t>
  </si>
  <si>
    <t>DDT WP</t>
  </si>
  <si>
    <t>Etofenprox WP</t>
  </si>
  <si>
    <t>Lambda-cyhalothrin WP, CS</t>
  </si>
  <si>
    <t>Other insecticide</t>
  </si>
  <si>
    <t>Propoxur WP</t>
  </si>
  <si>
    <t>Autoclave for laboratory</t>
  </si>
  <si>
    <t>Consumables: Blood collection</t>
  </si>
  <si>
    <t>Consumables: DBS collection</t>
  </si>
  <si>
    <t>Consumables: Infection prevention and control</t>
  </si>
  <si>
    <t>Consumables: Laboratory Other</t>
  </si>
  <si>
    <t>Consumables: Other</t>
  </si>
  <si>
    <t>Consumables: Other (non-laboratory)</t>
  </si>
  <si>
    <t>Hematology or biochemistry reagents: Coulter</t>
  </si>
  <si>
    <t>Hematology or biochemistry reagents: ELITechGroup</t>
  </si>
  <si>
    <t>Hematology or biochemistry reagents: Roche - Cobas c111</t>
  </si>
  <si>
    <t>Hematology or biochemistry reagents: Sysmex</t>
  </si>
  <si>
    <t>Laboratory reagents: Other</t>
  </si>
  <si>
    <t>Microscopy: Malaria consumables</t>
  </si>
  <si>
    <t>Waste management supplies: Reagents</t>
  </si>
  <si>
    <t>Hematology or biochemistry analyzers</t>
  </si>
  <si>
    <t>Category</t>
  </si>
  <si>
    <t>Antimalaria medicines - prevention</t>
  </si>
  <si>
    <t>RDTs for Malaria</t>
  </si>
  <si>
    <t>LLINs (mass campaigns)</t>
  </si>
  <si>
    <t>LLINs (routine distributions)</t>
  </si>
  <si>
    <t>Hematology or biochemistry reagents: : Roche - Cobas c/Integra</t>
  </si>
  <si>
    <t>Equipment: other</t>
  </si>
  <si>
    <t>HPMT Cost Groupings</t>
  </si>
  <si>
    <t>HPM Costs</t>
  </si>
  <si>
    <t>HIV-Pharmaceuticals</t>
  </si>
  <si>
    <t>TB-Pharmaceuticals</t>
  </si>
  <si>
    <t>Procurement Entity</t>
  </si>
  <si>
    <t>non-PPM</t>
  </si>
  <si>
    <t>GDF</t>
  </si>
  <si>
    <t>UN-agency</t>
  </si>
  <si>
    <t>150mg tablet dispersible 100</t>
  </si>
  <si>
    <t>150mg capsule 100</t>
  </si>
  <si>
    <t>450mg 10 capsule 10 blister</t>
  </si>
  <si>
    <t>600mg 10 capsule 10 blister</t>
  </si>
  <si>
    <t>4-FDC 6x28tabs(R150/H75/Z400/E275)+2-FDC 12x28tabs (R150/H75) - Kit</t>
  </si>
  <si>
    <t>Pretomanid</t>
  </si>
  <si>
    <t>Rifapentine</t>
  </si>
  <si>
    <t>200 mg tablets 26</t>
  </si>
  <si>
    <t>100mg tablet 188</t>
  </si>
  <si>
    <t>100mg tablet 24</t>
  </si>
  <si>
    <t>50mg tablet 100</t>
  </si>
  <si>
    <t>OIs, STIs &amp; other medicines</t>
  </si>
  <si>
    <t>Aciclovir</t>
  </si>
  <si>
    <t>Amoxicillin</t>
  </si>
  <si>
    <t>50mg for injection - 1 vial</t>
  </si>
  <si>
    <t>Azithromycin</t>
  </si>
  <si>
    <t>Bleomycin</t>
  </si>
  <si>
    <t>Bleomycin 15 USP units - 15,0000 IU powder for injection - 1 vial</t>
  </si>
  <si>
    <t>Chlorphenamine maleate</t>
  </si>
  <si>
    <t>Clindamycin</t>
  </si>
  <si>
    <t>Clotrimzole</t>
  </si>
  <si>
    <t>100/20mg tablet 1000</t>
  </si>
  <si>
    <t>200/40mg per 5ml oral solution 100ml</t>
  </si>
  <si>
    <t>400/80mg tablet 1000</t>
  </si>
  <si>
    <t>480mg/5ml injection - 10 ampoule</t>
  </si>
  <si>
    <t>800/160mg tablet 1000</t>
  </si>
  <si>
    <t>800/160mg tablet 500</t>
  </si>
  <si>
    <t>Codeine (as phosphate)</t>
  </si>
  <si>
    <t>Daclatasvir</t>
  </si>
  <si>
    <t>Dapsone</t>
  </si>
  <si>
    <t> 75mg/3ml injection - 100 ampoules</t>
  </si>
  <si>
    <t> 50mg tablet coated enteric 1000</t>
  </si>
  <si>
    <t> 10mg powder for solution for injection - 1 vial</t>
  </si>
  <si>
    <t> 50mg powder for solution for injection - 1 vial</t>
  </si>
  <si>
    <t>Entecavir </t>
  </si>
  <si>
    <t>1mg tablet scored 90</t>
  </si>
  <si>
    <t>Erythromycin</t>
  </si>
  <si>
    <t> 250mg/5ml powder for oral solution 140ml - 20 bottles</t>
  </si>
  <si>
    <t> 250mg tablet 1000</t>
  </si>
  <si>
    <t> 500mg tablet 100</t>
  </si>
  <si>
    <t> 500mg tablet 500</t>
  </si>
  <si>
    <t>Fluconazole</t>
  </si>
  <si>
    <t>200mg capsule 100</t>
  </si>
  <si>
    <t>2mg/ml infusion 100ml - 10 bags</t>
  </si>
  <si>
    <t>50mg capsule 100</t>
  </si>
  <si>
    <t>50mg/5ml powder for oral solution 35ml</t>
  </si>
  <si>
    <t>Flucytosine</t>
  </si>
  <si>
    <t>Flucytosine injection</t>
  </si>
  <si>
    <t>10mg/ml 5 bottles 250ml</t>
  </si>
  <si>
    <t>Ganciclovir</t>
  </si>
  <si>
    <t> 500mg powder for solution for injection - 1 vial</t>
  </si>
  <si>
    <t>Ibuprofen</t>
  </si>
  <si>
    <t>Lactulose (as liquid)</t>
  </si>
  <si>
    <t>Nystatin</t>
  </si>
  <si>
    <t>Pantoprazole</t>
  </si>
  <si>
    <t>Pegylated liposomal doxorubicin</t>
  </si>
  <si>
    <t>Podophyllotoxin</t>
  </si>
  <si>
    <t> 0.5% oral solution 3.5ml</t>
  </si>
  <si>
    <t>Pvp iodine</t>
  </si>
  <si>
    <t> 10% solution 200ml</t>
  </si>
  <si>
    <t> 10% solution gynaecological 500ml</t>
  </si>
  <si>
    <t>Pyrimethamine</t>
  </si>
  <si>
    <t> 25mg 30 tablet</t>
  </si>
  <si>
    <t> 50mg 20 tablet</t>
  </si>
  <si>
    <t> 200mg 42 tablet 1 blister</t>
  </si>
  <si>
    <t> 4mg tablet 1000</t>
  </si>
  <si>
    <t>Sodium dichloroisocyanurate</t>
  </si>
  <si>
    <t> 1.67g tablet 200</t>
  </si>
  <si>
    <t>Sofosbuvir+Daclatasvir</t>
  </si>
  <si>
    <t> 500mg 56 tablet</t>
  </si>
  <si>
    <t>Therapeutic milk F100 powder</t>
  </si>
  <si>
    <t> 102.5g - 120 sachets</t>
  </si>
  <si>
    <t> 114g - 90 sachets</t>
  </si>
  <si>
    <t>Valganciclovir</t>
  </si>
  <si>
    <t>450mg tablet 60</t>
  </si>
  <si>
    <t>Vincristine (as sulfate)</t>
  </si>
  <si>
    <t> 1mg/ml injection - 1 vial</t>
  </si>
  <si>
    <t>Vitamin B-6 (pyridoxine as hydrochloride)</t>
  </si>
  <si>
    <t> 25mg tablet 100</t>
  </si>
  <si>
    <t>10ml - 20 ampoules</t>
  </si>
  <si>
    <t>5% cream 2g - 1 tube</t>
  </si>
  <si>
    <t>250mg/5ml oral solution 100ml - 40 bottles</t>
  </si>
  <si>
    <t>500mg capsule 1000</t>
  </si>
  <si>
    <t>500mg tablet 1000</t>
  </si>
  <si>
    <t>Ampicillin</t>
  </si>
  <si>
    <t>500mg powder for injection - 50 vial</t>
  </si>
  <si>
    <t>200mg/5ml oral solution 15ml</t>
  </si>
  <si>
    <t>250mg 6 tablet</t>
  </si>
  <si>
    <t>500mg 3 tablet</t>
  </si>
  <si>
    <t>Benzathine penicillin</t>
  </si>
  <si>
    <t>2.4 MIU powder for solution for injection - 50 vials</t>
  </si>
  <si>
    <t>Ceftriaxone</t>
  </si>
  <si>
    <t>1g powder for injection - 10 vials</t>
  </si>
  <si>
    <t>Chloramphenicol</t>
  </si>
  <si>
    <t>250mg capsule 1000</t>
  </si>
  <si>
    <t>10mg/ml solution for injection 1ml - 5 ampoule</t>
  </si>
  <si>
    <t>Ciprofloxacin</t>
  </si>
  <si>
    <t>500mg tablet 100</t>
  </si>
  <si>
    <t>600mg/4ml injection - 1 ampoule</t>
  </si>
  <si>
    <t>500mg 1 tablet vaginal</t>
  </si>
  <si>
    <t>1% cream 30g tube - 10 tubes</t>
  </si>
  <si>
    <t>30mg tablet 100</t>
  </si>
  <si>
    <t>30mg tablet 28</t>
  </si>
  <si>
    <t>60mg tablet 28</t>
  </si>
  <si>
    <t>100mg 28 tablet</t>
  </si>
  <si>
    <t>Gentamicin</t>
  </si>
  <si>
    <t>80mg/2ml injection - 100 ampoules</t>
  </si>
  <si>
    <t>100mg/5ml oral solution 100ml</t>
  </si>
  <si>
    <t>200mg film coated tablet 1000</t>
  </si>
  <si>
    <t>Itraconazole</t>
  </si>
  <si>
    <t>100mg 15 capsule</t>
  </si>
  <si>
    <t>667mg/ml 200ml</t>
  </si>
  <si>
    <t>Metronidazole</t>
  </si>
  <si>
    <t>200mg tablet 1000</t>
  </si>
  <si>
    <t>250mg tablet 1000</t>
  </si>
  <si>
    <t>5mg/ml oral solution 100ml - 20 bottles</t>
  </si>
  <si>
    <t>100,000 IU 14 tablet</t>
  </si>
  <si>
    <t>100,000 IU/ml oral solution 30ml</t>
  </si>
  <si>
    <t>Oral rehydration salt</t>
  </si>
  <si>
    <t>20.5g/l - 100 sachets</t>
  </si>
  <si>
    <t>20mg 28 tablet</t>
  </si>
  <si>
    <t>Paracetamol</t>
  </si>
  <si>
    <t>120mg/5ml oral solution 60ml - 140 bottles</t>
  </si>
  <si>
    <t>2mg/ml 20mg 1 vial</t>
  </si>
  <si>
    <t>Phenoxymethylpenicillin</t>
  </si>
  <si>
    <t>Ribavirin</t>
  </si>
  <si>
    <t>Salbutamol</t>
  </si>
  <si>
    <t>Sofosbuvir</t>
  </si>
  <si>
    <t>Sulfadiazine</t>
  </si>
  <si>
    <t>Microscopy: TB smear microscopy reagent kits</t>
  </si>
  <si>
    <t>Microscopy: TB smear microscopy reagents</t>
  </si>
  <si>
    <t>Diagnostic reagents and consumables kit - LED/AURAMINE MICROSCOPY</t>
  </si>
  <si>
    <t>Diagnostic reagents and consumables kit - ZN/LIGHT MICROSCOPY</t>
  </si>
  <si>
    <t>GeneXpert: Equipment</t>
  </si>
  <si>
    <t>GeneXpert IV-4 modules with desktop computer and barcode reader</t>
  </si>
  <si>
    <t>GeneXpert 1-module Edge with tablet, barcode reader and auxiliary batteries</t>
  </si>
  <si>
    <t>GeneXpert IV-2 modules with desktop computer and barcode reader</t>
  </si>
  <si>
    <t>GeneXpert XVI-16 modules with desktop computer and barcode reader</t>
  </si>
  <si>
    <t>Liquid culture and DST-Other reagents (not consumables)</t>
  </si>
  <si>
    <t>Solid culture and DST: Other reagents (no consumables)</t>
  </si>
  <si>
    <t>Laboratory Equipment-BACTEC MGIT 960 system</t>
  </si>
  <si>
    <t>Molecular diagnosis: LPA-Chemicals</t>
  </si>
  <si>
    <t>Molecular diagnosis: LPA-Other reagents (no consumables)</t>
  </si>
  <si>
    <t>Molecular diagnosis: LPA-Reagents kits</t>
  </si>
  <si>
    <t>GenoType MTBDRsl 2.0 (without Genolyse) 96 tests</t>
  </si>
  <si>
    <t>GenoType Mycobacterium CM Version 2 (without GenoLyse) 96 tests</t>
  </si>
  <si>
    <t>GenoType Mycobacterium AS (without GenoLyse) 96 tests</t>
  </si>
  <si>
    <t>GenoType MTBC 96 tests</t>
  </si>
  <si>
    <t>GenoLyse, Version 1.0 96 tests</t>
  </si>
  <si>
    <t>Genoscan reader (GS-001) + PC + Screen + software</t>
  </si>
  <si>
    <t>GT blot - 48</t>
  </si>
  <si>
    <t>GTQ-Cycler 96</t>
  </si>
  <si>
    <t>Consumables: TB specimen processing</t>
  </si>
  <si>
    <t>GeneXpert: Consumables</t>
  </si>
  <si>
    <t>Microscopy: TB consumables</t>
  </si>
  <si>
    <t>MTB/MPT64 identification-Rapid test - 30 tests</t>
  </si>
  <si>
    <t>TB specimen processing: Reagents</t>
  </si>
  <si>
    <t>X-ray: Equipment</t>
  </si>
  <si>
    <t>Darkroom Automatic X-ray Film processor</t>
  </si>
  <si>
    <t>Daylight Automatic X-ray Film Processor</t>
  </si>
  <si>
    <t>Mobile basic diagnostic x-ray system, analogue</t>
  </si>
  <si>
    <t>Mobile basic diagnostic x-ray system, digital</t>
  </si>
  <si>
    <t>Mobile flouroscopic x-ray system, analogue</t>
  </si>
  <si>
    <t>Mobile flouroscopic x-ray system, digital</t>
  </si>
  <si>
    <t>Radiographic film view box, non-powered</t>
  </si>
  <si>
    <t>Determine TB LAM Ag Test, 100 test/kit</t>
  </si>
  <si>
    <t>HIV 1/2 – MultiSure HIV Rapid Test – 20 tests</t>
  </si>
  <si>
    <t>HIV 1/2-O - First Response HIV 1-2.0 v.3.0 Cards Kit - 100 tests</t>
  </si>
  <si>
    <t>HIV 1/2/O – ABON Tri-Line HIV Rapid Test Kit - 40 tests</t>
  </si>
  <si>
    <t>HIV 1+2 - Determine HIV Kit - 20 tests</t>
  </si>
  <si>
    <t>Y1Q1</t>
  </si>
  <si>
    <t>Y1Q2</t>
  </si>
  <si>
    <t>Y1Q3</t>
  </si>
  <si>
    <t>Y1Q4</t>
  </si>
  <si>
    <t>Y2Q1</t>
  </si>
  <si>
    <t>Y2Q2</t>
  </si>
  <si>
    <t>Y3Q3</t>
  </si>
  <si>
    <t>Y2Q3</t>
  </si>
  <si>
    <t>Y2Q4</t>
  </si>
  <si>
    <t>Y3Q1</t>
  </si>
  <si>
    <t>Y3Q2</t>
  </si>
  <si>
    <t>Y3Q4</t>
  </si>
  <si>
    <t>Procurement Costs</t>
  </si>
  <si>
    <t>TB medicines</t>
  </si>
  <si>
    <t>Malaria Microscopy - Equipment &amp; reagents</t>
  </si>
  <si>
    <t>Malaria Laboratory equipment</t>
  </si>
  <si>
    <t>Malaria Other health equipment</t>
  </si>
  <si>
    <t>Malaria Other chemicals &amp; reagents</t>
  </si>
  <si>
    <t>Malaria consumables</t>
  </si>
  <si>
    <t>Maintenance and service costs for Malaria health equipment</t>
  </si>
  <si>
    <t>Malaria Consumables</t>
  </si>
  <si>
    <t>Malaria Laboratory reagents</t>
  </si>
  <si>
    <t>Warehouse and storage costs (7.3)</t>
  </si>
  <si>
    <t>In country distribution costs (7.4)</t>
  </si>
  <si>
    <t>-</t>
  </si>
  <si>
    <t>HPM costs &amp; RSSH - Section 2, Other procurement and supply management costs (7.7),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</si>
  <si>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</si>
  <si>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</si>
  <si>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</si>
  <si>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Other procurement and supply management costs (7.7), Type of Health Product = Malaria IRS equipment &amp; insecticides, take the total budget per quarter, from SETUP G35 determine the payment modality and apply the figure in H35 to establish in which quarter in the DB the budget should be reflectedn H34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</si>
  <si>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</si>
  <si>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</si>
  <si>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</si>
  <si>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</si>
  <si>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 xml:space="preserve">Malaria-RDT LLIN IRS ETC - Section 4, take the total budget per quarter for cost-input "6.5 Maintenance and service costs for health equipment", from SETUP G52 determine the payment modality and apply the figure in H52 to establish in which quarter in the DB the budget should be reflected </t>
  </si>
  <si>
    <t xml:space="preserve">Malaria-RDT LLIN IRS ETC - Section 4, take the total budget per quarter for cost-input "5.8 Other consumables", from SETUP G49 determine the payment modality and apply the figure in H49 to establish in which quarter in the DB the budget should be reflected </t>
  </si>
  <si>
    <t>Terizidone</t>
  </si>
  <si>
    <t>Sofosbuvir/ Ledipasvir</t>
  </si>
  <si>
    <t>TB Microscopy - Equipment &amp; reagents</t>
  </si>
  <si>
    <t>20mg/ml oral solution 240ml</t>
  </si>
  <si>
    <t>300mg tablet 60</t>
  </si>
  <si>
    <t>60mg tablet dispersible 60</t>
  </si>
  <si>
    <t>60/30mg tablet dispersible 60</t>
  </si>
  <si>
    <t>600/300mg tablet 30</t>
  </si>
  <si>
    <t>300/150/300mg tablet 60</t>
  </si>
  <si>
    <t>60/30/60mg tablet 60</t>
  </si>
  <si>
    <t>150mg capsule 60</t>
  </si>
  <si>
    <t>200mg capsule 60</t>
  </si>
  <si>
    <t>300mg capsule 30</t>
  </si>
  <si>
    <t>300/100mg tablet 30</t>
  </si>
  <si>
    <t>150mg tablet 240</t>
  </si>
  <si>
    <t>400mg tablet 60</t>
  </si>
  <si>
    <t>600mg tablet 60</t>
  </si>
  <si>
    <t>75mg tablet 480</t>
  </si>
  <si>
    <t>Darunavir/Ritonavir</t>
  </si>
  <si>
    <t>400/50mg tablet 60</t>
  </si>
  <si>
    <t>50mg tablet 30</t>
  </si>
  <si>
    <t>Dolutegravir/Lamivudine/Tenofovir</t>
  </si>
  <si>
    <t>50/300/300mg tablet 30</t>
  </si>
  <si>
    <t>50/300/300mg tablet 90 - no carton</t>
  </si>
  <si>
    <t>200mg tablet 30</t>
  </si>
  <si>
    <t>200mg tablet double scored 90</t>
  </si>
  <si>
    <t>200mg tablet single scored 90</t>
  </si>
  <si>
    <t>600mg tablet 30</t>
  </si>
  <si>
    <t>600/200/300mg tablet 30</t>
  </si>
  <si>
    <t>400/300/300mg tablet 30</t>
  </si>
  <si>
    <t>600/300/300mg tablet 30</t>
  </si>
  <si>
    <t>200/300mg tablet 30</t>
  </si>
  <si>
    <t>100mg tablet 120</t>
  </si>
  <si>
    <t>25mg tablet 120</t>
  </si>
  <si>
    <t>200mg tablet 60</t>
  </si>
  <si>
    <t>10mg/ml oral solution 100ml</t>
  </si>
  <si>
    <t>10mg/ml oral solution 240ml</t>
  </si>
  <si>
    <t>150mg tablet 60</t>
  </si>
  <si>
    <t>300/300mg tablet 30</t>
  </si>
  <si>
    <t>150/300mg tablet 60</t>
  </si>
  <si>
    <t>30/60mg tablet dispersible 60</t>
  </si>
  <si>
    <t>100/25mg tablet 120</t>
  </si>
  <si>
    <t>100/25mg tablet 60</t>
  </si>
  <si>
    <t>200/50mg tablet 120</t>
  </si>
  <si>
    <t>80/20mg/ml oral solution 60ml*5</t>
  </si>
  <si>
    <t>10mg/ml oral suspension 100ml</t>
  </si>
  <si>
    <t>100mg tablet chewable 60</t>
  </si>
  <si>
    <t>25mg tablet chewable 60</t>
  </si>
  <si>
    <t>100mg tablet 60</t>
  </si>
  <si>
    <t>25mg tablet 30</t>
  </si>
  <si>
    <t>25mg tablet 60</t>
  </si>
  <si>
    <t>300mg tablet 30</t>
  </si>
  <si>
    <t>50mg/5ml Oral solution 100ml</t>
  </si>
  <si>
    <t>50mg/5ml Oral solution 240ml</t>
  </si>
  <si>
    <t>10mg/ml oral concentrate 1 Liter</t>
  </si>
  <si>
    <t>5mg/ml oral concentrate 1 Liter</t>
  </si>
  <si>
    <t>Product Category</t>
  </si>
  <si>
    <t>49 mm - dotted - pack of 144</t>
  </si>
  <si>
    <t>49 mm - plain - pack of 144</t>
  </si>
  <si>
    <t>49 mm - ribbed - pack of 144</t>
  </si>
  <si>
    <t>49 mm - with color - pack of 144</t>
  </si>
  <si>
    <t>49 mm - with flavor/scent - pack of 144</t>
  </si>
  <si>
    <t>52 mm - contoured - pack of 144</t>
  </si>
  <si>
    <t>52 mm - dotted - contoured - pack of 144</t>
  </si>
  <si>
    <t>52 mm - ribbed - contoured - pack of 144</t>
  </si>
  <si>
    <t>53 mm - dotted - pack of 144</t>
  </si>
  <si>
    <t>53 mm - plain - pack of 144</t>
  </si>
  <si>
    <t>53 mm - ribbed - pack of 144</t>
  </si>
  <si>
    <t>53 mm - with color - pack of 144</t>
  </si>
  <si>
    <t>53 mm - with color - with flavor/scent - pack of 144</t>
  </si>
  <si>
    <t>53 mm - with flavor/scent - pack of 144</t>
  </si>
  <si>
    <t>latex - ring</t>
  </si>
  <si>
    <t>latex - sponge</t>
  </si>
  <si>
    <t>nitrile - ring</t>
  </si>
  <si>
    <t>polyurethane</t>
  </si>
  <si>
    <t>GeneXpert Cartridge 10</t>
  </si>
  <si>
    <t>SD BIOLINE HBsAg WB – 30 tests</t>
  </si>
  <si>
    <t>Cryptococcus Antigen Latex lateral flow assay, 50 test/kit</t>
  </si>
  <si>
    <t>Cryptococcus - Latex Agglutination Antigen Detection System - 120 Tests</t>
  </si>
  <si>
    <t>Abbott Early Infant Diagnosis Test Kit and Consumable Bundle - 96 tests</t>
  </si>
  <si>
    <t>Alere Early Infant Diagnosis Test Kit - 10 tests</t>
  </si>
  <si>
    <t>Alere Early Infant Diagnosis Test Kit - 50 tests</t>
  </si>
  <si>
    <t>Cepheid Early Infant Diagnosis Test Kit - 10 tests</t>
  </si>
  <si>
    <t>DRW Samba I Early Infant Diagnosis Test Kit - 12 tests</t>
  </si>
  <si>
    <t>DRW Samba II Early Infant Diagnosis Test Kit - 12 tests</t>
  </si>
  <si>
    <t>Roche Early Infant Diagnosis Test Kit and Consumable Bundle - 48 tests</t>
  </si>
  <si>
    <t>Abbott Viral Load Test Kit and Consumable Bundle - Plasma - 96 tests</t>
  </si>
  <si>
    <t>Biocentric Viral Load Test Kit and Consumable Bundle - 440 tests</t>
  </si>
  <si>
    <t>bioMerieux Viral Load Test Kit and Consumable Bundle - 48 tests</t>
  </si>
  <si>
    <t>Cepheid Viral Load Test Kit - 10 tests</t>
  </si>
  <si>
    <t>DRW Samba I Viral Load Test Kit - 12 tests</t>
  </si>
  <si>
    <t>DRW Samba II Viral Load Test Kit - 12 tests</t>
  </si>
  <si>
    <t>Hologic Viral Load Test Kit - 100 tests</t>
  </si>
  <si>
    <t>Qiagen Viral Load Test Kit and Consumable Bundle - 24 tests</t>
  </si>
  <si>
    <t>Qiagen Viral Load Test Kit and Consumable Bundle - 72 tests</t>
  </si>
  <si>
    <t>Roche Viral Load Test Kit and Consumable Bundle - 48 tests</t>
  </si>
  <si>
    <t>HIV Laboratory reagents</t>
  </si>
  <si>
    <t> 25mg tablet coated 1000</t>
  </si>
  <si>
    <t>In percentage</t>
  </si>
  <si>
    <t>RDTs for TB</t>
  </si>
  <si>
    <t>GeneXpert - Equipment &amp; cartridges for TB program</t>
  </si>
  <si>
    <t>Rapid Diagnostic Test - TB</t>
  </si>
  <si>
    <t>GeneXpert Cartridge 50</t>
  </si>
  <si>
    <t>GeneXpert ULTRA Cartridge 10</t>
  </si>
  <si>
    <t>GeneXpert ULTRA Cartridge 50</t>
  </si>
  <si>
    <t>Culture/DST/LPA - Equipment &amp; reagents</t>
  </si>
  <si>
    <t>RDTS for HIV testing in TB program</t>
  </si>
  <si>
    <t>Consumables for TB program</t>
  </si>
  <si>
    <t>Laboratory equipment for TB program</t>
  </si>
  <si>
    <t>Other health equipment for TB program</t>
  </si>
  <si>
    <t>Other chemicals &amp; reagents_TB program</t>
  </si>
  <si>
    <t>Other Laboratory reagents_TB program</t>
  </si>
  <si>
    <t>TB medicines for IPT</t>
  </si>
  <si>
    <t>Malaria - RDT LLIN IRS ETC - Section 3, Cost Input = "5.5 Insecticides", take the total budget per quarter, from SETUP G35 determine the payment modality and apply the figure in H35 to establish in which quarter in the DB the budget should be reflected</t>
  </si>
  <si>
    <t>Malaria - RDT LLIN IRS ETC - Section 3, Cost Input = "6.6 Other health equipment ", take the total budget per quarter, from SETUP G50 determine the payment modality and apply the figure in H50 to establish in which quarter in the DB the budget should be reflected</t>
  </si>
  <si>
    <t xml:space="preserve">Malaria-RDT LLIN IRS ETC - Section 4, take the total budget per quarter for Cost Input = "6.6 Other health equipment ", from SETUP G49 determine the payment modality and apply the figure in H49 to establish in which quarter in the DB the budget should be reflected </t>
  </si>
  <si>
    <t>HPM costs &amp; RSSH - Section 1, Procurement agent and handling fees (7.1),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</si>
  <si>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</si>
  <si>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</si>
  <si>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</si>
  <si>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</si>
  <si>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</si>
  <si>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</si>
  <si>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</si>
  <si>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</si>
  <si>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</si>
  <si>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</si>
  <si>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</si>
  <si>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</si>
  <si>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</si>
  <si>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F25, ADD Type of Health Product = Malaria RDTs take the total budget per quarter and multiply by % located in Malaria-Key InfoN46,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</si>
  <si>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</si>
  <si>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</si>
  <si>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</si>
  <si>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</si>
  <si>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</si>
  <si>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</si>
  <si>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Rapid Diagnostic Tests, including GeneXpert</t>
  </si>
  <si>
    <t>Culture and DST</t>
  </si>
  <si>
    <t>Equipment &amp; reagents, including Line Probe Assay</t>
  </si>
  <si>
    <t>OI, STIs &amp; Other medicines</t>
  </si>
  <si>
    <t>HIV Equipment</t>
  </si>
  <si>
    <t>RDTs for STIs, OIs, &amp; hepatitis</t>
  </si>
  <si>
    <t>Reagents &amp; Consumables</t>
  </si>
  <si>
    <t>TB- Other HPs &amp; equipment - Section 4, COST INPUT = 5.8 Consumables, take the total budget per quarter AND multiply by the % in TB-Key Info cell L14,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</si>
  <si>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L14,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</si>
  <si>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L14,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</si>
  <si>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</si>
  <si>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</si>
  <si>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</si>
  <si>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</si>
  <si>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</si>
  <si>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</si>
  <si>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</si>
  <si>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Procurement agent and handling fees (7.1), ADD together Type of Health Product = "TB medicines" PLUS "TB medicines for IPT" , take the total budget per quarter</t>
  </si>
  <si>
    <t>HPM costs &amp; RSSH - Section 1, Freight and insurance costs (Health products) (7.2), ADD together Type of Health Product = "TB medicines" PLUS "TB medicines for IPT" , take the total budget per quarter</t>
  </si>
  <si>
    <t>HPM costs &amp; RSSH - Section 2, Warehouse and storage costs (7.3), ADD together Type of Health Product = "TB medicines" PLUS "TB medicines for IPT" , take the total budget per quarter</t>
  </si>
  <si>
    <t>HPM costs &amp; RSSH - Section 2, In country distribution costs  (7.4), ADD together Type of Health Product = "TB medicines" PLUS "TB medicines for IPT" , take the total budget per quarter</t>
  </si>
  <si>
    <t>HPM costs &amp; RSSH - Section 1, Quality assurance and quality control costs (QA/QC) (7.5) AND Section 2, In-country QA/QC costs (7.5), ADD together Type of Health Product = "TB medicines" PLUS "TB medicines for IPT" , take the total budget per quarter</t>
  </si>
  <si>
    <t>HPM costs &amp; RSSH - Section 1, PSM Customs Clearance (7.6), ADD together Type of Health Product = "TB medicines" PLUS "TB medicines for IPT" , take the total budget per quarter</t>
  </si>
  <si>
    <t>HPM costs &amp; RSSH - Section 2, Other procurement and supply management costs (7.7), ADD together Type of Health Product = "TB medicines" PLUS "TB medicines for IPT" , take the total budget per quarter</t>
  </si>
  <si>
    <t>TB - Pharmaceuticals - Section 3, take the total budget per quarter, from SETUP F31 determine the payment modality and apply the figure in G31 to establish in which quarter in the DB the budget should be reflected</t>
  </si>
  <si>
    <t>TB- Other HPs &amp; equipment - Section 1, 2, 3, and 4, COST INPUT = 5.4 Rapid Diagnostic Test, take the total budget per quarter AND multiply by the % in TB-Key Info cell L15, from SETUP F34 determine the payment modality and apply the figure in G34to establish in which quarter in the DB the budget should be reflected</t>
  </si>
  <si>
    <t>TB- Other HPs &amp; equipment - Section 4, COST INPUT = 5.8 Consumables, take the total budget per quarter AND multiply by the % in TB-Key Info cell L15,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</si>
  <si>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L15,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</si>
  <si>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L15,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</si>
  <si>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</si>
  <si>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</si>
  <si>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</si>
  <si>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</si>
  <si>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</si>
  <si>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</si>
  <si>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L15</t>
  </si>
  <si>
    <t>TB - Pharmaceuticals - Section 2, take the total budget per quarter, from SETUP F30 determine the payment modality and apply the figure in G30 to establish in which quarter in the DB the budget should be reflected</t>
  </si>
  <si>
    <t>TB - Pharmaceuticals - Section 4, take the total budget per quarter, from SETUP F32 determine the payment modality and apply the figure in G32 to establish in which quarter in the DB the budget should be reflected</t>
  </si>
  <si>
    <t>TB- Other HPs &amp; equipment - Section 4, Type of Product = "Syringes and needles", take the total budget per quarter, from SETUP F40 determine the payment modality and apply the figure in G40 to establish in which quarter in the DB the budget should be reflected</t>
  </si>
  <si>
    <t>HPM costs &amp; RSSH - Section 1, Procurement agent and handling fees (7.1), ADD together Type of Health Product = "MDR/XDR TB medicines" PLUS "OIs, STIs &amp; other medicines for TB program", take the total budget per quarter</t>
  </si>
  <si>
    <t>HPM costs &amp; RSSH - Section 1, Freight and insurance costs (Health products) (7.2), ADD together Type of Health Product = "MDR/XDR TB medicines" PLUS "OIs, STIs &amp; other medicines for TB program", take the total budget per quarter</t>
  </si>
  <si>
    <t>HPM costs &amp; RSSH - Section 2, Warehouse and storage costs (7.3), ADD together Type of Health Product = "MDR/XDR TB medicines" PLUS "OIs, STIs &amp; other medicines for TB program", take the total budget per quarter</t>
  </si>
  <si>
    <t>HPM costs &amp; RSSH - Section 2, In country distribution costs  (7.4), ADD together Type of Health Product = "MDR/XDR TB medicines" PLUS "OIs, STIs &amp; other medicines for TB program", take the total budget per quarter</t>
  </si>
  <si>
    <t>HPM costs &amp; RSSH - Section 1, Quality assurance and quality control costs (QA/QC) (7.5) AND Section 2, In-country QA/QC costs (7.5), ADD together Type of Health Product = "MDR/XDR TB medicines" PLUS "OIs, STIs &amp; other medicines for TB program", take the total budget per quarter</t>
  </si>
  <si>
    <t>HPM costs &amp; RSSH - Section 1, PSM Customs Clearance (7.6), ADD together Type of Health Product = "MDR/XDR TB medicines" PLUS "OIs, STIs &amp; other medicines for TB program", take the total budget per quarter</t>
  </si>
  <si>
    <t>HPM costs &amp; RSSH - Section 2, Other procurement and supply management costs (7.7), ADD together Type of Health Product = "MDR/XDR TB medicines" PLUS "OIs, STIs &amp; other medicines for TB program", take the total budget per quarter</t>
  </si>
  <si>
    <t>TOTAL EXPECTED NUMBER OF TB CASES</t>
  </si>
  <si>
    <t xml:space="preserve">PERCENTAGE of expected sensitive TB cases </t>
  </si>
  <si>
    <t xml:space="preserve">PERCENTAGE of expected M/XDR TB cases </t>
  </si>
  <si>
    <t>TB- Other HPs &amp; equipment - Section 1, 2, 3, and 4, COST INPUT = 5.4 Rapid Diagnostic Test, take the total budget per quarter AND multiply by the % in TB-Key Info cell L14, from SETUP F34 determine the payment modality and apply the figure in G34 to establish in which quarter in the DB the budget should be reflected</t>
  </si>
  <si>
    <t>TB- Other HPs &amp; equipment - Section 3, and 4, COST INPUT = 6.6 Other health equipment, take the total budget per quarter AND multiply by the % in TB-Key Info cell L14, from SETUP F37 determine the payment modality and apply the figure in G37 to establish in which quarter in the DB the budget should be reflected</t>
  </si>
  <si>
    <t>TB- Other HPs &amp; equipment - Section 3, and 4, COST INPUT = 6.6 Other health equipment, take the total budget per quarter AND multiply by the % in TB-Key Info cell L15,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</si>
  <si>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L14,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</si>
  <si>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L15, from SETUP F37 determine the payment modality and apply the figure in G37 to establish in which quarter in the DB the budget should be reflected</t>
  </si>
  <si>
    <t>TB- Other HPs &amp; equipment - Section 1, for COST INPUT = 6.3 Microscopes  take the total budget per quarter AND multiply by the % in TB-Key Info cell L14, from SETUP F33 determine the payment modality and apply the figure in G33 to establish in which quarter in the DB the budget should be reflected</t>
  </si>
  <si>
    <t>TB- Other HPs &amp; equipment - Section 1, for COST INPUT = 6.3 Microscopes take the total budget per quarter AND multiply by the % in TB-Key Info cell L15, from SETUP F33 determine the payment modality and apply the figure in G33 to establish in which quarter in the DB the budget should be reflected</t>
  </si>
  <si>
    <t>Amitriptyline (as hydrochloride)</t>
  </si>
  <si>
    <t>Diclofenac (as sodium)</t>
  </si>
  <si>
    <t>Doxorubicin (as hydrochloride)</t>
  </si>
  <si>
    <t>Doxycycline (as hyclate)</t>
  </si>
  <si>
    <t>Erythromycin (as stearate)</t>
  </si>
  <si>
    <t>Sofosbuvir/Velpatasvir</t>
  </si>
  <si>
    <t>Laboratory equipment for HIV program</t>
  </si>
  <si>
    <t>GeneXpert - Equipment &amp; cartridges for HIV program</t>
  </si>
  <si>
    <t>Maintenance and service costs for health equipment_HIV program</t>
  </si>
  <si>
    <t>Other health equipment for HIV program</t>
  </si>
  <si>
    <t>RDTs for TB for HIV program</t>
  </si>
  <si>
    <t>Consumables for HIV program</t>
  </si>
  <si>
    <t>Other chemicals &amp; reagents_HIV program</t>
  </si>
  <si>
    <t>Other Laboratory reagents_HIV program</t>
  </si>
  <si>
    <t>Syringes and needles for HARM REDUCTION</t>
  </si>
  <si>
    <t>Reagents, consumables, and other health products</t>
  </si>
  <si>
    <t>HIV-Equipment</t>
  </si>
  <si>
    <t>HIV-Other HPs</t>
  </si>
  <si>
    <t>BD - FACS Consumables</t>
  </si>
  <si>
    <t>Alere - PIMA Consumables</t>
  </si>
  <si>
    <t>Sysmex - Partec Cyflow Consumables</t>
  </si>
  <si>
    <t>Sysmex - Partec Cyflow</t>
  </si>
  <si>
    <t>CD4 easy count kit dry - 100 tests</t>
  </si>
  <si>
    <t>CD4 easy count kit - 100 tests</t>
  </si>
  <si>
    <t>CD4% easy count kit dry - 100 tests</t>
  </si>
  <si>
    <t>CD4% easy count kit - 100 tests</t>
  </si>
  <si>
    <t>Alere - PIMA</t>
  </si>
  <si>
    <t>CD4 cartridge kit - 100 tests</t>
  </si>
  <si>
    <t>BD - FACSCount</t>
  </si>
  <si>
    <t>CD4 reagent kit - 50 tests</t>
  </si>
  <si>
    <t>CD4/CD8/CD3 reagent kit - 50 tests</t>
  </si>
  <si>
    <t>BD - Multicheck</t>
  </si>
  <si>
    <t>CD4 control (blood) low - 2.5ml - 1 vial</t>
  </si>
  <si>
    <t>BD - FACS</t>
  </si>
  <si>
    <t>CD3/CD4/CD45 reagent tritest - 50 tests</t>
  </si>
  <si>
    <t>BD - FACS Other reagents</t>
  </si>
  <si>
    <t>Alere - PIMA Other reagents</t>
  </si>
  <si>
    <t>Sysmex - Partec Cyflow Other reagents</t>
  </si>
  <si>
    <t>HIV-Other HPs Section 1, take the total budget per quarter for Type of Product = "Male condom" OR COST INPUT 5.2 CONDOMS -  MALE and multiply it by the % in HIV-Other HPs Section 1 D45), from the SETUP page determine the TYPE OF PAYMENT (F21) and quarter in which payment is made (G21)</t>
  </si>
  <si>
    <t>HIV-Other HPs Section 1, take the total budget per quarter for Type of Product = "Lubricant" OR COST INPUT 5.8 CONDOMS -  OTHER CONSUMABLES and multiply it by the % in HIV-Other HPs Section 1 F45),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</si>
  <si>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</si>
  <si>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</si>
  <si>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</si>
  <si>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</si>
  <si>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</si>
  <si>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</si>
  <si>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D45, from the SETUP page determine the TYPE OF PAYMENT (F21) and quarter in which payment is made (G21)</t>
  </si>
  <si>
    <t>HIV-Other HPs Section 1, take the total budget per quarter for Type of Product = "Male condom" OR COST INPUT 5.2 CONDOMS -  MALE and multiply it by the % in HIV-Other HPs Section 1 D47),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</si>
  <si>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E47), from the SETUP page determine the TYPE OF PAYMENT (F21) and quarter in which payment is made (G21)</t>
  </si>
  <si>
    <t>HIV-Other HPs Section 1, take the total budget per quarter for Type of Product = "Lubricant" OR COST INPUT 5.8 OTHER CONSUMABLES and multiply it by the % in HIV-Other HPs Section 1 F47),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</si>
  <si>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</si>
  <si>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</si>
  <si>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</si>
  <si>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</si>
  <si>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</si>
  <si>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</si>
  <si>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D47, from the SETUP page determine the TYPE OF PAYMENT (F21) and quarter in which payment is made (G21)</t>
  </si>
  <si>
    <t>HIV-Other HPs Section 1, take the total budget per quarter for Type of Product = "Male condom" OR COST INPUT 5.2 CONDOMS -  MALE and multiply it by the % in HIV-Other HPs Section 1 D46),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</si>
  <si>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E46), from the SETUP page determine the TYPE OF PAYMENT (F21) and quarter in which payment is made (G21)</t>
  </si>
  <si>
    <t>HIV-Other HPs Section 1, take the total budget per quarter for Type of Product = "Lubricant" OR COST INPUT 5.8 OTHER CONSUMABLES and multiply it by the % in HIV-Other HPs Section 1 F46),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</si>
  <si>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</si>
  <si>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</si>
  <si>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</si>
  <si>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</si>
  <si>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</si>
  <si>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</si>
  <si>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D46, from the SETUP page determine the TYPE OF PAYMENT (F21) and quarter in which payment is made (G21)</t>
  </si>
  <si>
    <t>HIV-Other HPs Section 4 - Take the total budget per quarter for COST INPUT = "5.7 Syringes and needles", from the SETUP page determine the TYPE OF PAYMENT (F22) and quarter in which payment is made (G22)</t>
  </si>
  <si>
    <t>HIV-Pharmaceuticals Section 1 - Take the total budget per quarter for COST INPUT = "4.4 Opioid substitutes medicines", from the SETUP page determine the TYPE OF PAYMENT (F17) and quarter in which payment is made (G17)</t>
  </si>
  <si>
    <t>HIV-Other HPs Section 1, take the total budget per quarter for Type of Product = "Male condom" OR COST INPUT 5.2 CONDOMS -  MALE and multiply it by the % in HIV-Other HPs Section 1 D48),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</si>
  <si>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E48), from the SETUP page determine the TYPE OF PAYMENT (F21) and quarter in which payment is made (G21)</t>
  </si>
  <si>
    <t>HIV-Other HPs Section 1, take the total budget per quarter for Type of Product = "Lubricant" OR COST INPUT 5.8 OTHER CONSUMABLES and multiply it by the % in HIV-Other HPs Section 1 F48),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</si>
  <si>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</si>
  <si>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</si>
  <si>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</si>
  <si>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</si>
  <si>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</si>
  <si>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</si>
  <si>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D48, from the SETUP page determine the TYPE OF PAYMENT (F21) and quarter in which payment is made (G21)</t>
  </si>
  <si>
    <t>HIV-Other HPs Section 1, take the total budget per quarter for Type of Product = "Male condom" OR COST INPUT 5.2 CONDOMS -  MALE and multiply it by the % in HIV-Other HPs Section 1 D49),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</si>
  <si>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E49), from the SETUP page determine the TYPE OF PAYMENT (F21) and quarter in which payment is made (G21)</t>
  </si>
  <si>
    <t>HIV-Other HPs Section 1, take the total budget per quarter for Type of Product = "Lubricant" OR COST INPUT 5.8 OTHER CONSUMABLES and multiply it by the % in HIV-Other HPs Section 1 F49),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</si>
  <si>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</si>
  <si>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</si>
  <si>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</si>
  <si>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</si>
  <si>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</si>
  <si>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</si>
  <si>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D49, from the SETUP page determine the TYPE OF PAYMENT (F21) and quarter in which payment is made (G21)</t>
  </si>
  <si>
    <t>HIV-Other HPs Section 1, take the total budget per quarter for Type of Product = "Male condom" OR COST INPUT 5.2 CONDOMS -  MALE and multiply it by the % in HIV-Other HPs Section 1 D51),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</si>
  <si>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E51), from the SETUP page determine the TYPE OF PAYMENT (F21) and quarter in which payment is made (G21)</t>
  </si>
  <si>
    <t>HIV-Other HPs Section 1, take the total budget per quarter for Type of Product = "Lubricant" OR COST INPUT 5.8 OTHER CONSUMABLES and multiply it by the % in HIV-Other HPs Section 1 F51),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</si>
  <si>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</si>
  <si>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</si>
  <si>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</si>
  <si>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</si>
  <si>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</si>
  <si>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</si>
  <si>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D51, from the SETUP page determine the TYPE OF PAYMENT (F21) and quarter in which payment is made (G21)</t>
  </si>
  <si>
    <t>HIV-Other HPs Section 1, take the total budget per quarter for Type of Product = "Male condom" OR COST INPUT 5.2 CONDOMS -  MALE and multiply it by the % in HIV-Other HPs Section 1 D50),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</si>
  <si>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E50), from the SETUP page determine the TYPE OF PAYMENT (F21) and quarter in which payment is made (G21)</t>
  </si>
  <si>
    <t>HIV-Other HPs Section 1, take the total budget per quarter for Type of Product = "Lubricant" OR COST INPUT 5.8 OTHER CONSUMABLES and multiply it by the % in HIV-Other HPs Section 1 F50),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</si>
  <si>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</si>
  <si>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</si>
  <si>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</si>
  <si>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</si>
  <si>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</si>
  <si>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</si>
  <si>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D50, from the SETUP page determine the TYPE OF PAYMENT (F21) and quarter in which payment is made (G21)</t>
  </si>
  <si>
    <t>HIV-Other HPs Section 1, take the total budget per quarter for Type of Product = "Male condom" OR COST INPUT 5.2 CONDOMS -  MALE and multiply it by the % in HIV-Other HPs Section 1 D52), from the SETUP page determine the TYPE OF PAYMENT (F21) and quarter in which payment is made (G21)</t>
  </si>
  <si>
    <t>HIV-Other HPs Section 1, take the total budget per quarter for Type of Product = "Lubricant" OR COST INPUT 5.8 OTHER CONSUMABLES and multiply it by the % in HIV-Other HPs Section 1 F52),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</si>
  <si>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</si>
  <si>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</si>
  <si>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</si>
  <si>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</si>
  <si>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</si>
  <si>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</si>
  <si>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D52, from the SETUP page determine the TYPE OF PAYMENT (F21) and quarter in which payment is made (G21)</t>
  </si>
  <si>
    <t>HIV-Other HPs Section 1, take the total budget per quarter for Type of Product = "Male condom" OR COST INPUT 5.2 CONDOMS -  MALE and multiply it by the % in HIV-Other HPs Section 1 D44),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</si>
  <si>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E44), from the SETUP page determine the TYPE OF PAYMENT (F21) and quarter in which payment is made (G21)</t>
  </si>
  <si>
    <t>HIV-Other HPs Section 1, take the total budget per quarter for Type of Product = "Lubricant" OR COST INPUT 5.8 OTHER CONSUMABLES and multiply it by the % in HIV-Other HPs Section 1 F44),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</si>
  <si>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</si>
  <si>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</si>
  <si>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</si>
  <si>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</si>
  <si>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</si>
  <si>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</si>
  <si>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D44, from the SETUP page determine the TYPE OF PAYMENT (F21) and quarter in which payment is made (G21)</t>
  </si>
  <si>
    <t>HIV-Other HPs Section 1, take the total budget per quarter for Type of Product = "Male condom" OR COST INPUT 5.2 CONDOMS -  MALE and multiply it by the % in HIV-Other HPs Section 1 D53),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</si>
  <si>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E53), from the SETUP page determine the TYPE OF PAYMENT (F21) and quarter in which payment is made (G21)</t>
  </si>
  <si>
    <t>HIV-Other HPs Section 1, take the total budget per quarter for Type of Product = "Lubricant" OR COST INPUT 5.8 OTHER CONSUMABLES and multiply it by the % in HIV-Other HPs Section 1 F53),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</si>
  <si>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</si>
  <si>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</si>
  <si>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</si>
  <si>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</si>
  <si>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</si>
  <si>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</si>
  <si>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D53, from the SETUP page determine the TYPE OF PAYMENT (F21) and quarter in which payment is made (G21)</t>
  </si>
  <si>
    <t>HIV-Other HPs Section 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</si>
  <si>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</si>
  <si>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</si>
  <si>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</si>
  <si>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</si>
  <si>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</si>
  <si>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</si>
  <si>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</si>
  <si>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</si>
  <si>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</si>
  <si>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</si>
  <si>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</si>
  <si>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</si>
  <si>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</si>
  <si>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</si>
  <si>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</si>
  <si>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</si>
  <si>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</si>
  <si>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</si>
  <si>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</si>
  <si>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</si>
  <si>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</si>
  <si>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</si>
  <si>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</si>
  <si>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</si>
  <si>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</si>
  <si>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</si>
  <si>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</si>
  <si>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</si>
  <si>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</si>
  <si>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</si>
  <si>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</si>
  <si>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</si>
  <si>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</si>
  <si>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</si>
  <si>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</si>
  <si>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</si>
  <si>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</si>
  <si>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</si>
  <si>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</si>
  <si>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</si>
  <si>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</si>
  <si>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</si>
  <si>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</si>
  <si>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</si>
  <si>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</si>
  <si>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</si>
  <si>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</si>
  <si>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</si>
  <si>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</si>
  <si>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</si>
  <si>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</si>
  <si>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</si>
  <si>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</si>
  <si>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</si>
  <si>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</si>
  <si>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</si>
  <si>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</si>
  <si>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</si>
  <si>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</si>
  <si>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</si>
  <si>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</si>
  <si>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</si>
  <si>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</si>
  <si>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</si>
  <si>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</si>
  <si>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</si>
  <si>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</si>
  <si>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</si>
  <si>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</si>
  <si>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</si>
  <si>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</si>
  <si>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</si>
  <si>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</si>
  <si>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</si>
  <si>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</si>
  <si>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</si>
  <si>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</si>
  <si>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</si>
  <si>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</si>
  <si>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</si>
  <si>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</si>
  <si>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</si>
  <si>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</si>
  <si>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</si>
  <si>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</si>
  <si>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</si>
  <si>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</si>
  <si>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</si>
  <si>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</si>
  <si>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</si>
  <si>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</si>
  <si>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</si>
  <si>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</si>
  <si>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</si>
  <si>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</si>
  <si>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</si>
  <si>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</si>
  <si>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</si>
  <si>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</si>
  <si>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</si>
  <si>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</si>
  <si>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</si>
  <si>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</si>
  <si>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</si>
  <si>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</si>
  <si>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</si>
  <si>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</si>
  <si>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</si>
  <si>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</si>
  <si>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</si>
  <si>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</si>
  <si>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</si>
  <si>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</si>
  <si>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</si>
  <si>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</si>
  <si>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</si>
  <si>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</si>
  <si>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</si>
  <si>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</si>
  <si>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</si>
  <si>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</si>
  <si>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</si>
  <si>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</si>
  <si>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</si>
  <si>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</si>
  <si>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</si>
  <si>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</si>
  <si>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</si>
  <si>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</si>
  <si>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</si>
  <si>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</si>
  <si>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</si>
  <si>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</si>
  <si>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</si>
  <si>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</si>
  <si>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</si>
  <si>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</si>
  <si>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</si>
  <si>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</si>
  <si>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</si>
  <si>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</si>
  <si>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</si>
  <si>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</si>
  <si>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</si>
  <si>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</si>
  <si>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</si>
  <si>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</si>
  <si>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</si>
  <si>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</si>
  <si>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</si>
  <si>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</si>
  <si>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</si>
  <si>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</si>
  <si>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</si>
  <si>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</si>
  <si>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</si>
  <si>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</si>
  <si>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</si>
  <si>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</si>
  <si>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</si>
  <si>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</si>
  <si>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</si>
  <si>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</si>
  <si>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</si>
  <si>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</si>
  <si>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</si>
  <si>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</si>
  <si>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</si>
  <si>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</si>
  <si>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</si>
  <si>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</si>
  <si>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</si>
  <si>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</si>
  <si>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</si>
  <si>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</si>
  <si>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</si>
  <si>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</si>
  <si>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</si>
  <si>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</si>
  <si>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</si>
  <si>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</si>
  <si>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</si>
  <si>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</si>
  <si>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</si>
  <si>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</si>
  <si>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</si>
  <si>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</si>
  <si>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</si>
  <si>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</si>
  <si>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</si>
  <si>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</si>
  <si>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</si>
  <si>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</si>
  <si>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</si>
  <si>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</si>
  <si>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</si>
  <si>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</si>
  <si>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</si>
  <si>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</si>
  <si>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</si>
  <si>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</si>
  <si>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</si>
  <si>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</si>
  <si>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</si>
  <si>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</si>
  <si>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</si>
  <si>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</si>
  <si>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</si>
  <si>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</si>
  <si>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</si>
  <si>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</si>
  <si>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</si>
  <si>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</si>
  <si>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</si>
  <si>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</si>
  <si>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</si>
  <si>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</si>
  <si>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</si>
  <si>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</si>
  <si>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</si>
  <si>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</si>
  <si>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</si>
  <si>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</si>
  <si>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</si>
  <si>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</si>
  <si>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</si>
  <si>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</si>
  <si>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</si>
  <si>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</si>
  <si>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</si>
  <si>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</si>
  <si>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</si>
  <si>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</si>
  <si>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</si>
  <si>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</si>
  <si>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</si>
  <si>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</si>
  <si>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</si>
  <si>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</si>
  <si>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</si>
  <si>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</si>
  <si>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</si>
  <si>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</si>
  <si>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</si>
  <si>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</si>
  <si>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</si>
  <si>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</si>
  <si>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HIV-Pharmaceuticals Section 1 - Take the total budget per quarter for COST INPUT = "4.1 Antiretroviral medicines", from the SETUP page determine the TYPE OF PAYMENT (F16) and quarter in which payment is made (G16)</t>
  </si>
  <si>
    <t>HIV-Equipment - Take the total budget per quarter for COST INPUT = "6.1 CD4 analyser/accessories", from the SETUP page determine the TYPE OF PAYMENT (F19) and quarter in which payment is made (G19)</t>
  </si>
  <si>
    <t>HIV-Equipment - Take the total budget per quarter for COST INPUT = "6.2 HIV Viral Load analyser/accessories", from the SETUP page determine the TYPE OF PAYMENT (F19) and quarter in which payment is made (G19)</t>
  </si>
  <si>
    <t>HIV-Equipment - Take the total budget per quarter for COST INPUT = "6.4 TB Molecular test equipment", from the SETUP page determine the TYPE OF PAYMENT (F19) and quarter in which payment is made (G19)</t>
  </si>
  <si>
    <t>HIV-Equipment - Take the total budget per quarter for COST INPUT = "6.5 Maintenance and service costs for health equipment", from the SETUP page determine the TYPE OF PAYMENT (F28) and quarter in which payment is made (G28)</t>
  </si>
  <si>
    <t>HIV-Equipment - Take the total budget per quarter for COST INPUT = "6.6 Other health equipment", from the SETUP page determine the TYPE OF PAYMENT (F19) and quarter in which payment is made (G19)</t>
  </si>
  <si>
    <t>HIV-Other HPs - Section 3 AND Section 4, Take the total budget per quarter for COST INPUT = "5.6 Laboratory reagents", from the SETUP page determine the TYPE OF PAYMENT (F25) and quarter in which payment is made (G25)</t>
  </si>
  <si>
    <t>HIV-Other HPs - Section 4, Take the total budget per quarter for COST INPUT = "5.8 Other consumables", from the SETUP page determine the TYPE OF PAYMENT (F27) and quarter in which payment is made (G27)</t>
  </si>
  <si>
    <t>HPM costs &amp; RSSH - Section 1, Procurement agent and handling fees (7.1), ADD together Type of Health Product = "ARVs" PLUS "HIV Equipment" PLUS "Reagents &amp; Consumables", take the total budget per quarter</t>
  </si>
  <si>
    <t>HPM costs &amp; RSSH - Section 1, Freight and insurance costs (Health products) (7.2), ADD together Type of Health Product = "ARVs" PLUS "HIV Equipment" PLUS "Reagents &amp; Consumables", take the total budget per quarter</t>
  </si>
  <si>
    <t>HPM costs &amp; RSSH - Section 2, Warehouse and storage costs (7.3), ADD together Type of Health Product = "ARVs" PLUS "HIV Equipment" PLUS "Reagents &amp; Consumables", take the total budget per quarter</t>
  </si>
  <si>
    <t>HPM costs &amp; RSSH - Section 2, In country distribution costs  (7.4), ADD together Type of Health Product = "ARVs" PLUS "HIV Equipment" PLUS "Reagents &amp; Consumables", take the total budget per quarter</t>
  </si>
  <si>
    <t>HPM costs &amp; RSSH - Section 1, Quality assurance and quality control costs (QA/QC) (7.5) AND Section 2, In-country QA/QC costs (7.5), ADD together Type of Health Product = "ARVs" PLUS "HIV Equipment" PLUS "Reagents &amp; Consumables", take the total budget per quarter</t>
  </si>
  <si>
    <t>HPM costs &amp; RSSH - Section 1, PSM Customs Clearance (7.6), ADD together Type of Health Product = "ARVs" PLUS "HIV Equipment" PLUS "Reagents &amp; Consumables", take the total budget per quarter</t>
  </si>
  <si>
    <t>HPM costs &amp; RSSH - Section 2, Other procurement and supply management costs (7.7), ADD together Type of Health Product = "ARVs" PLUS "HIV Equipment" PLUS "Reagents &amp; Consumables", take the total budget per quarter</t>
  </si>
  <si>
    <t>HIV-Pharmaceuticals - Section 2, Take the total budget per quarter for COST INPUT = "4.5 Opportunistic infections and STI medicines", from the SETUP page determine the TYPE OF PAYMENT (F18) and quarter in which payment is made (G18)</t>
  </si>
  <si>
    <t>HIV-Pharmaceuticals - Section 2, Take the total budget per quarter for COST INPUT = "4.2 Anti-tuberculosis medicines", from the SETUP page determine the TYPE OF PAYMENT (F18) and quarter in which payment is made (G18)</t>
  </si>
  <si>
    <t>HIV-Pharmaceuticals - Section 2, Take the total budget per quarter for COST INPUT = "4.7 Other medicines", from the SETUP page determine the TYPE OF PAYMENT (F18) and quarter in which payment is made (G18)</t>
  </si>
  <si>
    <t>Prevention - Non-specified population groups</t>
  </si>
  <si>
    <t>Prevention - Men who have sex with men</t>
  </si>
  <si>
    <t>Prevention - Transgender people</t>
  </si>
  <si>
    <t>Prevention - Sex workers and their clients</t>
  </si>
  <si>
    <t>Prevention - People who inject drugs and their partners</t>
  </si>
  <si>
    <t>Prevention - People in prisons and other closed settings</t>
  </si>
  <si>
    <t>Prevention - Adolescent girls and young women in high prevalence settings</t>
  </si>
  <si>
    <t>Prevention - Other vulnerable populations</t>
  </si>
  <si>
    <t>Prevention - Men in high prevalence settings</t>
  </si>
  <si>
    <t>% of total non-HIV tests</t>
  </si>
  <si>
    <t>% facility-based</t>
  </si>
  <si>
    <t>% community-based</t>
  </si>
  <si>
    <t>% self-testing</t>
  </si>
  <si>
    <t>Prevention: Partners of people living with HIV</t>
  </si>
  <si>
    <t>D-&gt;E</t>
  </si>
  <si>
    <t>E-&gt;F</t>
  </si>
  <si>
    <t>F-&gt;G</t>
  </si>
  <si>
    <t>G-&gt;H</t>
  </si>
  <si>
    <t>H-&gt;I</t>
  </si>
  <si>
    <t>Equipment and cartridges</t>
  </si>
  <si>
    <t>Other-reagents, consumables, equipment</t>
  </si>
  <si>
    <t>and Warranty, maintenance and service</t>
  </si>
  <si>
    <t>and Other equipment</t>
  </si>
  <si>
    <t>Consumables, reagents,</t>
  </si>
  <si>
    <t>HPM costs &amp; RSSH - Section 1, Procurement agent and handling fees (7.1) take the total budget per quarter for TYPE OF PRODUCT = Opioid substitutes medicines;  from the SETUP page determine the TYPE OF PAYMENT (F17) and quarter in which payment is made (G17)</t>
  </si>
  <si>
    <t>HPM costs &amp; RSSH - Section 1, Freight and insurance costs (Health products) (7.2), take the total budget per quarter for TYPE OF PRODUCT = Opioid substitutes medicines;  from the SETUP page determine the TYPE OF PAYMENT (F17) and quarter in which payment is made (G17)</t>
  </si>
  <si>
    <t>HPM costs &amp; RSSH - Section 2, Warehouse and storage costs (7.3), take the total budget per quarter for TYPE OF PRODUCT = Opioid substitutes medicines;  from the SETUP page determine the TYPE OF PAYMENT (F17) and quarter in which payment is made (G17)</t>
  </si>
  <si>
    <t>HPM costs &amp; RSSH - Section 2, In country distribution costs  (7.4), take the total budget per quarter for TYPE OF PRODUCT = Opioid substitutes medicines;  from the SETUP page determine the TYPE OF PAYMENT (F17) and quarter in which payment is made (G17)</t>
  </si>
  <si>
    <t>HPM costs &amp; RSSH - Section 1, Quality assurance and quality control costs (QA/QC) (7.5) AND Section 2, In-country QA/QC costs (7.5), take the total budget per quarter for TYPE OF PRODUCT = Opioid substitutes medicines;  from the SETUP page determine the TYPE OF PAYMENT (F17) and quarter in which payment is made (G17)</t>
  </si>
  <si>
    <t>HPM costs &amp; RSSH - Section 1, PSM Customs Clearance (7.6), take the total budget per quarter for TYPE OF PRODUCT = Opioid substitutes medicines;  from the SETUP page determine the TYPE OF PAYMENT (F17) and quarter in which payment is made (G17)</t>
  </si>
  <si>
    <t>HPM costs &amp; RSSH - Section 2, Other procurement and supply management costs (7.7), take the total budget per quarter for TYPE OF PRODUCT = Opioid substitutes medicines;  from the SETUP page determine the TYPE OF PAYMENT (F17) and quarter in which payment is made (G17)</t>
  </si>
  <si>
    <t>HPM costs &amp; RSSH - Section 1, Procurement agent and handling fees (7.1), take the total budget per quarter for TYPE OF PRODUCT "OIs, STIs &amp; other medicines "</t>
  </si>
  <si>
    <t>HPM costs &amp; RSSH - Section 1, Freight and insurance costs (Health products) (7.2), take the total budget per quarter for TYPE OF PRODUCT "OIs, STIs &amp; other medicines "</t>
  </si>
  <si>
    <t>HPM costs &amp; RSSH - Section 2, Warehouse and storage costs (7.3), take the total budget per quarter for TYPE OF PRODUCT "OIs, STIs &amp; other medicines "</t>
  </si>
  <si>
    <t>HPM costs &amp; RSSH - Section 2, In country distribution costs  (7.4), take the total budget per quarter for TYPE OF PRODUCT "OIs, STIs &amp; other medicines "</t>
  </si>
  <si>
    <t>HPM costs &amp; RSSH - Section 1, Quality assurance and quality control costs (QA/QC) (7.5) AND Section 2, In-country QA/QC costs (7.5), take the total budget per quarter for TYPE OF PRODUCT "OIs, STIs &amp; other medicines "</t>
  </si>
  <si>
    <t>HPM costs &amp; RSSH - Section 2, Other procurement and supply management costs (7.7), take the total budget per quarter for TYPE OF PRODUCT "OIs, STIs &amp; other medicines "</t>
  </si>
  <si>
    <t>Procurement of other health equipment</t>
  </si>
  <si>
    <t xml:space="preserve">Malaria-RDT LLIN IRS ETC - Section 4, take the total budget per quarter for Cost Input = "5.6 Laboratory reagents", from SETUP G52 determine the payment modality and apply the figure in H49 to establish in which quarter in the DB the budget should be reflected </t>
  </si>
  <si>
    <t>100mg tablet 500</t>
  </si>
  <si>
    <t>0.5mg tablet 30</t>
  </si>
  <si>
    <t>0.5mg tablet scored 90</t>
  </si>
  <si>
    <t>1mg tablet 30</t>
  </si>
  <si>
    <t>4mg tablet 1000</t>
  </si>
  <si>
    <t>400mg tablet 28</t>
  </si>
  <si>
    <t>400mg/90mg tablet 28</t>
  </si>
  <si>
    <t>400mg/100mg tablet 28</t>
  </si>
  <si>
    <t>400+60mg tablet co-blistered 28 blister</t>
  </si>
  <si>
    <t>25mg tablet 100</t>
  </si>
  <si>
    <t>Waste management for Malaria</t>
  </si>
  <si>
    <t>6.3 Microscope: Equipment</t>
  </si>
  <si>
    <t>Exclusion for 6.5</t>
  </si>
  <si>
    <t>6.5 exclusion</t>
  </si>
  <si>
    <t>Excluding 6.5</t>
  </si>
  <si>
    <t>Waste management for TB</t>
  </si>
  <si>
    <t xml:space="preserve">Go to In-Country SC Management (Section 2) </t>
  </si>
  <si>
    <t>The Ministry of Health and Child Care of the Republic of Zimbabwe</t>
  </si>
  <si>
    <t>ZWE-T-MOHCC</t>
  </si>
  <si>
    <t>ZWE-M-MOHCC</t>
  </si>
  <si>
    <t>United Nations Development Programme</t>
  </si>
  <si>
    <t>ZWE-H-UNDP</t>
  </si>
  <si>
    <t>Ministry of Health of the Republic of Zambia</t>
  </si>
  <si>
    <t>ZMB-M-MOH</t>
  </si>
  <si>
    <t>Churches Health Association of Zambia</t>
  </si>
  <si>
    <t>ZMB-M-CHAZ</t>
  </si>
  <si>
    <t>Multi</t>
  </si>
  <si>
    <t>ZMB-C-MOH</t>
  </si>
  <si>
    <t>ZMB-C-CHAZ</t>
  </si>
  <si>
    <t>Ministry of Health and Population of the Democratic Republic of Congo</t>
  </si>
  <si>
    <t>ZAR-S-MOH</t>
  </si>
  <si>
    <t>ZAR-M-MOH</t>
  </si>
  <si>
    <t>ZAR-911-G13-T</t>
  </si>
  <si>
    <t>ZAM-H-UNDP</t>
  </si>
  <si>
    <t>Western Cape Government: Health</t>
  </si>
  <si>
    <t>ZAF-C-WCDOH</t>
  </si>
  <si>
    <t>National Department of Health of the Republic of South Africa</t>
  </si>
  <si>
    <t>ZAF-C-NDOH</t>
  </si>
  <si>
    <t>Networking HIV, AIDS Community of South Africa NPC</t>
  </si>
  <si>
    <t>ZAF-C-NACOSA</t>
  </si>
  <si>
    <t>KwaZulu Natal Provincial Treasury</t>
  </si>
  <si>
    <t>ZAF-C-KZN</t>
  </si>
  <si>
    <t>Kheth'Impilo AIDS Free Living</t>
  </si>
  <si>
    <t>ZAF-C-KHETH</t>
  </si>
  <si>
    <t>Beyond Zero NPC</t>
  </si>
  <si>
    <t>ZAF-C-BZ</t>
  </si>
  <si>
    <t>AIDS Foundation South Africa</t>
  </si>
  <si>
    <t>ZAF-C-AFSA</t>
  </si>
  <si>
    <t>The National Tuberculosis Control Program</t>
  </si>
  <si>
    <t>YEM-911-G07-T</t>
  </si>
  <si>
    <t>Viet Nam National Lung Hospital</t>
  </si>
  <si>
    <t>VNM-T-NTP</t>
  </si>
  <si>
    <t>Viet Nam Union of Science and Technology Associations</t>
  </si>
  <si>
    <t>VNM-H-VUSTA</t>
  </si>
  <si>
    <t>Viet Nam Authority of HIV/AIDS Control</t>
  </si>
  <si>
    <t>VNM-H-VAAC</t>
  </si>
  <si>
    <t>UZB-T-RDC</t>
  </si>
  <si>
    <t>Republican Center of State Sanitary-Epidemiological Surveillance of the Republic of Uzbekistan</t>
  </si>
  <si>
    <t>UZB-M-RCSSES</t>
  </si>
  <si>
    <t>Republican Center to Fight AIDS</t>
  </si>
  <si>
    <t>UZB-H-RAC</t>
  </si>
  <si>
    <t>United Nations Children's Fund</t>
  </si>
  <si>
    <t>State Institution "Public Health Center of the Ministry of Health of Ukraine"</t>
  </si>
  <si>
    <t>UKR-C-PHC</t>
  </si>
  <si>
    <t>Charitable Organization "All-Ukrainian Network of People Living with HIV/AIDS"</t>
  </si>
  <si>
    <t>UKR-C-AUN</t>
  </si>
  <si>
    <t>International Charitable Foundation “Alliance for Public Health”</t>
  </si>
  <si>
    <t>UKR-C-AUA</t>
  </si>
  <si>
    <t>Ministry of Finance, Planning and Economic Development of the Republic of Uganda</t>
  </si>
  <si>
    <t>UGA-T-MoFPED</t>
  </si>
  <si>
    <t>The AIDS Support Organisation (Uganda) Limited</t>
  </si>
  <si>
    <t>UGA-S-TASO</t>
  </si>
  <si>
    <t>UGA-M-TASO</t>
  </si>
  <si>
    <t>UGA-M-MoFPED</t>
  </si>
  <si>
    <t>UGA-H-MoFPED</t>
  </si>
  <si>
    <t>UGA-C-TASO</t>
  </si>
  <si>
    <t>Ministry of Finance and Planning of the United Republic of Tanzania</t>
  </si>
  <si>
    <t>TZA-T-MOF</t>
  </si>
  <si>
    <t>TZA-M-MOFP</t>
  </si>
  <si>
    <t>TZA-H-MOF</t>
  </si>
  <si>
    <t>Save the Children Federation, Inc.</t>
  </si>
  <si>
    <t>TZA-C-STC</t>
  </si>
  <si>
    <t>Amref Health Africa, Tanzania</t>
  </si>
  <si>
    <t>TZA-C-Amref</t>
  </si>
  <si>
    <t>Office National de la Famille et de la Population de la République de Tunisie</t>
  </si>
  <si>
    <t>TUN-H-ONFP</t>
  </si>
  <si>
    <t>Basic Health Care Directorate</t>
  </si>
  <si>
    <t>TUN-810-G02-T</t>
  </si>
  <si>
    <t>TUN-607-G01-H</t>
  </si>
  <si>
    <t>Population Services International</t>
  </si>
  <si>
    <t>TNZ-405-G06-H</t>
  </si>
  <si>
    <t>Ministry of Health of the Democratic Republic of Timor-Leste</t>
  </si>
  <si>
    <t>TLS-T-MOH</t>
  </si>
  <si>
    <t>TLS-M-MOH</t>
  </si>
  <si>
    <t>TLS-H-MOH</t>
  </si>
  <si>
    <t>TKM-T-UNDP</t>
  </si>
  <si>
    <t>Republican Center of Tuberculosis Control - Tajikistan</t>
  </si>
  <si>
    <t>TJK-T-RCTC</t>
  </si>
  <si>
    <t>TJK-H-UNDP</t>
  </si>
  <si>
    <t>Department of Disease Control, Ministry of Public Health of the Royal Government of Thailand</t>
  </si>
  <si>
    <t>Raks Thai Foundation</t>
  </si>
  <si>
    <t>THA-C-RTF</t>
  </si>
  <si>
    <t>THA-C-DDC</t>
  </si>
  <si>
    <t>Primature de la République Togolaise</t>
  </si>
  <si>
    <t>TGO-T-PMT</t>
  </si>
  <si>
    <t>TGO-M-PMT</t>
  </si>
  <si>
    <t>TGO-H-PMT</t>
  </si>
  <si>
    <t>Plan International, Inc.</t>
  </si>
  <si>
    <t>Ministry of Public Health Chad</t>
  </si>
  <si>
    <t>TCD-T-MOH</t>
  </si>
  <si>
    <t>Fonds de soutien aux activités en matière de population et de lutte contre le Sida de la République du Tchad</t>
  </si>
  <si>
    <t>TCD-T-FOSAP</t>
  </si>
  <si>
    <t>TCD-T13-G09-M</t>
  </si>
  <si>
    <t>TCD-M-UNDP</t>
  </si>
  <si>
    <t>TCD-H-MOH</t>
  </si>
  <si>
    <t>TCD-H-FOSAP</t>
  </si>
  <si>
    <t>TCD-810-G07-T</t>
  </si>
  <si>
    <t>TCD-810-G06-H</t>
  </si>
  <si>
    <t>TCD-810-G05-H</t>
  </si>
  <si>
    <t>TCD-810-G04-H</t>
  </si>
  <si>
    <t>National Emergency Response Council on HIV and AIDS</t>
  </si>
  <si>
    <t>Eswatini</t>
  </si>
  <si>
    <t>SWZ-T-NERCHA</t>
  </si>
  <si>
    <t>SWZ-M-NERCHA</t>
  </si>
  <si>
    <t>SWZ-H-NERCHA</t>
  </si>
  <si>
    <t>Coordinating Assembly of Non Governmental Organisation</t>
  </si>
  <si>
    <t>SWZ-H-CANGO</t>
  </si>
  <si>
    <t>SWZ-C-NERCHA</t>
  </si>
  <si>
    <t>SWZ-C-CANGO</t>
  </si>
  <si>
    <t>Ministry of Health of the Republic of Suriname</t>
  </si>
  <si>
    <t>SUR-M-MoH</t>
  </si>
  <si>
    <t>SUR-C-MOH</t>
  </si>
  <si>
    <t>SUD-T-UNDP</t>
  </si>
  <si>
    <t>SUD-708-G10-M</t>
  </si>
  <si>
    <t>SUD-011-G16-M</t>
  </si>
  <si>
    <t>SUD-011-G15-H</t>
  </si>
  <si>
    <t>STP-Z-UNDP</t>
  </si>
  <si>
    <t>SSD-T-UNDP</t>
  </si>
  <si>
    <t>SSD-M-PSI</t>
  </si>
  <si>
    <t>SSD-H-UNDP</t>
  </si>
  <si>
    <t>Ministry of Health of Republic of Serbia</t>
  </si>
  <si>
    <t>SRB-H-MOH</t>
  </si>
  <si>
    <t>World Vision International</t>
  </si>
  <si>
    <t>SOM-T-WV</t>
  </si>
  <si>
    <t>SOM-M-UNICEF</t>
  </si>
  <si>
    <t>SOM-H-UNICEF</t>
  </si>
  <si>
    <t>Ministry of Health and Social Action of the Republic of Senegal</t>
  </si>
  <si>
    <t>SNG-T-PNT</t>
  </si>
  <si>
    <t>Ministry of Health, Prevention and Public Hygiene of the Republic of Senegal - AIDS Division</t>
  </si>
  <si>
    <t>SNG-H-DLSI</t>
  </si>
  <si>
    <t>Ministry of Health of the Republic of El Salvador</t>
  </si>
  <si>
    <t>SLV-T-MOH</t>
  </si>
  <si>
    <t>SLV-M-MOH</t>
  </si>
  <si>
    <t>SLV-H-MOH</t>
  </si>
  <si>
    <t>Ministry of Health and Sanitation of Sierra Leone</t>
  </si>
  <si>
    <t>SLE-Z-MOHS</t>
  </si>
  <si>
    <t>SLE-M-MOHS</t>
  </si>
  <si>
    <t>Catholic Relief Services - United States Conference of Catholic Bishops</t>
  </si>
  <si>
    <t>SLE-M-CRS</t>
  </si>
  <si>
    <t>National HIV/AIDS Secretariat</t>
  </si>
  <si>
    <t>SLE-H-NAS</t>
  </si>
  <si>
    <t>Solomon Islands Ministry of Health and Medical Services</t>
  </si>
  <si>
    <t>SLB-M-MHMS</t>
  </si>
  <si>
    <t>SLB-C-MOH</t>
  </si>
  <si>
    <t>SEN-Z-MOH</t>
  </si>
  <si>
    <t>SEN-S-MOH</t>
  </si>
  <si>
    <t>SEN-M-PNLP</t>
  </si>
  <si>
    <t>Conseil National de Lutte contre le SIDA de la République du Sénégal</t>
  </si>
  <si>
    <t>SEN-H-CNLS</t>
  </si>
  <si>
    <t>SEN-H-ANCS</t>
  </si>
  <si>
    <t>SDN-T-UNDP</t>
  </si>
  <si>
    <t>Federal Ministry of Health of the Republic of Sudan</t>
  </si>
  <si>
    <t>SDN-S-FMOH</t>
  </si>
  <si>
    <t>SDN-M-UNDP</t>
  </si>
  <si>
    <t>SDN-M-MOH</t>
  </si>
  <si>
    <t>SDN-H-UNDP</t>
  </si>
  <si>
    <t>Ministry of Health of the Republic of Rwanda</t>
  </si>
  <si>
    <t>RWA-T-MOH</t>
  </si>
  <si>
    <t>RWA-M-MOH</t>
  </si>
  <si>
    <t>RWA-H-MOH</t>
  </si>
  <si>
    <t>Ministry of Health of Romania</t>
  </si>
  <si>
    <t>ROU-T-MOH</t>
  </si>
  <si>
    <t>India HIV/AIDS Alliance</t>
  </si>
  <si>
    <t>Humanist Institute for Co-operation with Developing Countries</t>
  </si>
  <si>
    <t>Ministry of Health of the Revolutionary Government of Zanzibar</t>
  </si>
  <si>
    <t>QNB-M-MoH</t>
  </si>
  <si>
    <t>QNB-C-MOH</t>
  </si>
  <si>
    <t>Community Development Fund</t>
  </si>
  <si>
    <t>QNA-T-CDF</t>
  </si>
  <si>
    <t>QNA-H-CDF</t>
  </si>
  <si>
    <t>Programme National contre la Tuberculose de la République du Bénin</t>
  </si>
  <si>
    <t>Center for Health Policies and Studies</t>
  </si>
  <si>
    <t>Alter Vida - Centro de Estudios y Formación para el Ecodesarrollo</t>
  </si>
  <si>
    <t>PRY-T-AV</t>
  </si>
  <si>
    <t>Centro de Información y Recursos para el Desarrollo</t>
  </si>
  <si>
    <t>PRY-H-CIRD</t>
  </si>
  <si>
    <t>PRK-Z-UNICEF</t>
  </si>
  <si>
    <t>World Vision (PNG) Trust</t>
  </si>
  <si>
    <t>The Rotary Club of Port Moresby Inc.</t>
  </si>
  <si>
    <t>PNG-M-RAM</t>
  </si>
  <si>
    <t>PNG-C-WV</t>
  </si>
  <si>
    <t>PHL-T-PBSP</t>
  </si>
  <si>
    <t>Pilipinas Shell Foundation, Inc.</t>
  </si>
  <si>
    <t>PHL-M-PSFI</t>
  </si>
  <si>
    <t>PHL-H-SC</t>
  </si>
  <si>
    <t>Socios en Salud sucursal Peru</t>
  </si>
  <si>
    <t>PER-T-SES</t>
  </si>
  <si>
    <t>Pathfinder International</t>
  </si>
  <si>
    <t>PER-H-PATH</t>
  </si>
  <si>
    <t>PER-H-CARE</t>
  </si>
  <si>
    <t>PAN-C-UNDP</t>
  </si>
  <si>
    <t>The Indus Hospital</t>
  </si>
  <si>
    <t>PAK-T-TIH</t>
  </si>
  <si>
    <t>National TB Control Programme Pakistan</t>
  </si>
  <si>
    <t>PAK-T-NTP</t>
  </si>
  <si>
    <t>Mercy Corps</t>
  </si>
  <si>
    <t>PAK-T-MC</t>
  </si>
  <si>
    <t>Ministry of National Health Services, Regulations and Coordination of Pakistan</t>
  </si>
  <si>
    <t>PAK-S-HPSIU</t>
  </si>
  <si>
    <t>PAK-M-TIH</t>
  </si>
  <si>
    <t>PAK-M-DOMC</t>
  </si>
  <si>
    <t>Nai Zindagi</t>
  </si>
  <si>
    <t>PAK-H-NZT</t>
  </si>
  <si>
    <t>PAK-H-NACP</t>
  </si>
  <si>
    <t>NPL-T-SCF</t>
  </si>
  <si>
    <t>NPL-M-SCF</t>
  </si>
  <si>
    <t>NPL-H-SCF</t>
  </si>
  <si>
    <t>Ministry of Health and Social Services of Namibia</t>
  </si>
  <si>
    <t>Namibia Network of AIDS Service Organizations</t>
  </si>
  <si>
    <t>NMB-202-G07-H</t>
  </si>
  <si>
    <t>World Vision International para Nicaragua</t>
  </si>
  <si>
    <t>NIC-T-WVI</t>
  </si>
  <si>
    <t>Federación Red NICASALUD</t>
  </si>
  <si>
    <t>NIC-M-REDNICA</t>
  </si>
  <si>
    <t>NIC-H-WVI</t>
  </si>
  <si>
    <t>NGR-506-G05-T</t>
  </si>
  <si>
    <t>NGR-506-G04-M</t>
  </si>
  <si>
    <t>National Tuberculosis &amp; Leprosy Control Programme</t>
  </si>
  <si>
    <t>NGA-T-NTBLCP</t>
  </si>
  <si>
    <t>Institute of Human Virology Nigeria</t>
  </si>
  <si>
    <t>NGA-T-IHVN</t>
  </si>
  <si>
    <t>Association For Reproductive And Family Health</t>
  </si>
  <si>
    <t>NGA-T-ARFH</t>
  </si>
  <si>
    <t>Management Sciences for Health</t>
  </si>
  <si>
    <t>NGA-S-MSH</t>
  </si>
  <si>
    <t>Society For Family Health</t>
  </si>
  <si>
    <t>National Malaria Elimination Programme of the Federal Ministry of Health of the Federal Republic of Nigeria</t>
  </si>
  <si>
    <t>NGA-M-NMEP</t>
  </si>
  <si>
    <t>NGA-M-CRS</t>
  </si>
  <si>
    <t>NGA-H-SFHNG</t>
  </si>
  <si>
    <t>National Agency for the Control of AIDS</t>
  </si>
  <si>
    <t>NGA-H-NACA</t>
  </si>
  <si>
    <t>Lagos State Ministry of Health</t>
  </si>
  <si>
    <t>Family Health International (FHI360)</t>
  </si>
  <si>
    <t>NGA-H-FHI360</t>
  </si>
  <si>
    <t>NGA-C-LSMOH</t>
  </si>
  <si>
    <t>NER-T-SCF</t>
  </si>
  <si>
    <t>NER-T-MSP</t>
  </si>
  <si>
    <t>NER-M-CRS</t>
  </si>
  <si>
    <t>NER-H-CNCTRN</t>
  </si>
  <si>
    <t>The Ministry of Health and Population of Nepal</t>
  </si>
  <si>
    <t>NEP-T-NTC</t>
  </si>
  <si>
    <t>NEP-M-EDCD</t>
  </si>
  <si>
    <t>NEP-H-NCASC</t>
  </si>
  <si>
    <t>NAM-M-MOH</t>
  </si>
  <si>
    <t>NAM-C-NANASO</t>
  </si>
  <si>
    <t>NAM-C-MOH</t>
  </si>
  <si>
    <t>Malaysian AIDS Council</t>
  </si>
  <si>
    <t>MYS-H-MAC</t>
  </si>
  <si>
    <t>World Vision Malawi</t>
  </si>
  <si>
    <t>MWI-M-WVM</t>
  </si>
  <si>
    <t>Ministry of Health of the Republic of Malawi</t>
  </si>
  <si>
    <t>MWI-M-MOH</t>
  </si>
  <si>
    <t>MWI-C-MOH</t>
  </si>
  <si>
    <t>ActionAid International Malawi</t>
  </si>
  <si>
    <t>MWI-C-AA</t>
  </si>
  <si>
    <t>Prévention Information Lutte contre le Sida</t>
  </si>
  <si>
    <t>MUS-H-PILS</t>
  </si>
  <si>
    <t>Ministry of Health and Quality of Life (implementing through the National AIDS Secretariat) of the Republic of Mauritius</t>
  </si>
  <si>
    <t>MUS-H-NAS</t>
  </si>
  <si>
    <t>Secrétariat Exécutif National de Lutte contre le SIDA de la République Islamique de Mauritanie</t>
  </si>
  <si>
    <t>MRT-Z-SENLS</t>
  </si>
  <si>
    <t>MRT-T-SENLS</t>
  </si>
  <si>
    <t>MRT-M-SENLS</t>
  </si>
  <si>
    <t>MRT-H-SENLS</t>
  </si>
  <si>
    <t>Ministry of Health of Mozambique</t>
  </si>
  <si>
    <t>MOZ-T-MOH</t>
  </si>
  <si>
    <t>World Vision Mozambique</t>
  </si>
  <si>
    <t>MOZ-M-WV</t>
  </si>
  <si>
    <t>MOZ-M-MOH</t>
  </si>
  <si>
    <t>MOZ-H-MOH</t>
  </si>
  <si>
    <t>Fundação para o Desenvolvimento da Comunidade</t>
  </si>
  <si>
    <t>MOZ-H-FDC</t>
  </si>
  <si>
    <t>MOZ-C-FDC</t>
  </si>
  <si>
    <t>Centro de Colaboração em Saúde</t>
  </si>
  <si>
    <t>MOZ-C-CCS</t>
  </si>
  <si>
    <t>MOZ-809-G08-S</t>
  </si>
  <si>
    <t>MOZ-708-G07-T</t>
  </si>
  <si>
    <t>Ministry of Health of the Kingdom of Morocco</t>
  </si>
  <si>
    <t>Ministry of Health of Mongolia</t>
  </si>
  <si>
    <t>MNG-T-MOH</t>
  </si>
  <si>
    <t>MNG-H-MOH</t>
  </si>
  <si>
    <t>Ministry of Health of Montenegro</t>
  </si>
  <si>
    <t>MNE-H-MoH</t>
  </si>
  <si>
    <t>MMR-T-UNOPS</t>
  </si>
  <si>
    <t>MMR-T-SCF</t>
  </si>
  <si>
    <t>MMR-H-UNOPS</t>
  </si>
  <si>
    <t>MMR-H-SCF</t>
  </si>
  <si>
    <t>The Registered Trustees of the National AIDS Commission Trust of the Republic of Malawi</t>
  </si>
  <si>
    <t>MLW-H-NAC</t>
  </si>
  <si>
    <t>MLI-T-CRS</t>
  </si>
  <si>
    <t>MLI-M-PSI</t>
  </si>
  <si>
    <t>MLI-H-PLAN</t>
  </si>
  <si>
    <t>MLI-H-HCNLS</t>
  </si>
  <si>
    <t>Office National de Nutrition</t>
  </si>
  <si>
    <t>MDG-T-ONN</t>
  </si>
  <si>
    <t>MDG-M-PSI</t>
  </si>
  <si>
    <t>Ministry of Public Health of the Republic of Madagascar</t>
  </si>
  <si>
    <t>MDG-M-MOH</t>
  </si>
  <si>
    <t>Sécrétariat Exécutif du Comité National de Lutte Contre le VIH/SIDA de la République de Madagascar</t>
  </si>
  <si>
    <t>MDG-H-SECNLS</t>
  </si>
  <si>
    <t>MDG-H-PSI</t>
  </si>
  <si>
    <t>MDA-T-PAS</t>
  </si>
  <si>
    <t>MDA-C-PCIMU</t>
  </si>
  <si>
    <t>MAR-T-MOH</t>
  </si>
  <si>
    <t>MAR-S-MOH</t>
  </si>
  <si>
    <t>MAR-H-MOH</t>
  </si>
  <si>
    <t>MAL-809-G08-H</t>
  </si>
  <si>
    <t>The Ministry of Health of the Republic of Mali</t>
  </si>
  <si>
    <t>MAL-405-G02-H</t>
  </si>
  <si>
    <t>Pact Lesotho</t>
  </si>
  <si>
    <t>Ministry of Finance of the Kingdom of Lesotho</t>
  </si>
  <si>
    <t>LSO-C-PACT</t>
  </si>
  <si>
    <t>LSO-C-MOF</t>
  </si>
  <si>
    <t>LKA-T-MOH</t>
  </si>
  <si>
    <t>LKA-M-MOH</t>
  </si>
  <si>
    <t>LKA-H-MOH</t>
  </si>
  <si>
    <t>The Family Planning Association of Sri Lanka</t>
  </si>
  <si>
    <t>LKA-H-FPA</t>
  </si>
  <si>
    <t>Ministry of Health and Social Welfare of the Republic of Liberia</t>
  </si>
  <si>
    <t>LBR-T-MOH</t>
  </si>
  <si>
    <t>LBR-M-PII</t>
  </si>
  <si>
    <t>LBR-M-MOH</t>
  </si>
  <si>
    <t>LBR-H-PSI</t>
  </si>
  <si>
    <t>LBR-C-MOH</t>
  </si>
  <si>
    <t>LBR-810-G07-H</t>
  </si>
  <si>
    <t>Ministry of Health of the Lao People's Democratic Republic</t>
  </si>
  <si>
    <t>LAO-T-GFMOH</t>
  </si>
  <si>
    <t>LAO-M-GFMOH</t>
  </si>
  <si>
    <t>LAO-H-GFMOH</t>
  </si>
  <si>
    <t>Cambodia Ministry of Economy and Finance</t>
  </si>
  <si>
    <t>KHM-C-MEF</t>
  </si>
  <si>
    <t>KGZ-C-UNDP</t>
  </si>
  <si>
    <t>National Treasury of the Republic of Kenya</t>
  </si>
  <si>
    <t>KEN-T-TNT</t>
  </si>
  <si>
    <t>Amref Health Africa in Kenya</t>
  </si>
  <si>
    <t>KEN-T-AMREF</t>
  </si>
  <si>
    <t>KEN-M-TNT</t>
  </si>
  <si>
    <t>KEN-M-AMREF</t>
  </si>
  <si>
    <t>KEN-H-TNT</t>
  </si>
  <si>
    <t>Kenya Red Cross Society</t>
  </si>
  <si>
    <t>KEN-H-KRCS</t>
  </si>
  <si>
    <t>KAZ-T-NCTP</t>
  </si>
  <si>
    <t>Kazakh scientific center of dermatology and infectious diseases of the Ministry of Health of the Republic of Kazakhstan</t>
  </si>
  <si>
    <t>KAZ-H-RAC</t>
  </si>
  <si>
    <t>JAM-H-MOH</t>
  </si>
  <si>
    <t>IRN-H-UNDP</t>
  </si>
  <si>
    <t>International Union Against Tuberculosis and Lung Disease</t>
  </si>
  <si>
    <t>IND-T-IUATLD</t>
  </si>
  <si>
    <t>International Bank for Reconstruction and Development</t>
  </si>
  <si>
    <t>IND-T-IBRD</t>
  </si>
  <si>
    <t>IND-T-FIND</t>
  </si>
  <si>
    <t>Department of Economic Affairs, Ministry of Finance of India</t>
  </si>
  <si>
    <t>IND-T-CTD</t>
  </si>
  <si>
    <t>Centre for Health Research and Innovation</t>
  </si>
  <si>
    <t>IND-T-CHRI</t>
  </si>
  <si>
    <t>IND-M-NVBDCP</t>
  </si>
  <si>
    <t>Solidarity and Action Against The HIV Infection in India</t>
  </si>
  <si>
    <t>IND-H-SAATHII</t>
  </si>
  <si>
    <t>Plan International (India Chapter)</t>
  </si>
  <si>
    <t>IND-H-PLAN</t>
  </si>
  <si>
    <t>IND-H-NACO</t>
  </si>
  <si>
    <t>Indonesia Planned Parenthood Association</t>
  </si>
  <si>
    <t>IND-H-IPPA</t>
  </si>
  <si>
    <t>IND-H-IHAA</t>
  </si>
  <si>
    <t>William J Clinton Foundation</t>
  </si>
  <si>
    <t>IND-C-WJCF</t>
  </si>
  <si>
    <t>Directorate General of Disease Prevention and Control, Ministry of Health of The Republic of Indonesia</t>
  </si>
  <si>
    <t>IDN-T-MOH</t>
  </si>
  <si>
    <t>Central Board of ‘Aisyiyah</t>
  </si>
  <si>
    <t>IDN-T-AISYIYA</t>
  </si>
  <si>
    <t>Persatuan Karya Dharma Kesehatan Indonesia (also known as “PERDHAKI”, Association of Voluntary Health Services of Indonesia)</t>
  </si>
  <si>
    <t>IDN-M-PERDHAK</t>
  </si>
  <si>
    <t>IDN-M-MOH</t>
  </si>
  <si>
    <t>Yayasan Spiritia</t>
  </si>
  <si>
    <t>IDN-H-SPIRITI</t>
  </si>
  <si>
    <t>IDN-H-MOH</t>
  </si>
  <si>
    <t>HTI-M-PSI</t>
  </si>
  <si>
    <t>HTI-C-PSI</t>
  </si>
  <si>
    <t>Ministry of Health of the Republic of Honduras</t>
  </si>
  <si>
    <t>HND-T-UAFCE</t>
  </si>
  <si>
    <t>Cooperative Housing Foundation</t>
  </si>
  <si>
    <t>HND-M-CHF</t>
  </si>
  <si>
    <t>HND-H-CHF</t>
  </si>
  <si>
    <t>HND-C-CHF</t>
  </si>
  <si>
    <t>GYA-304-G01-H</t>
  </si>
  <si>
    <t>GUY-T-MOH</t>
  </si>
  <si>
    <t>GUY-M-MOH</t>
  </si>
  <si>
    <t>GUY-H-MOH</t>
  </si>
  <si>
    <t>Ministry of Health and Social Assistance of the Republic of Guatemala</t>
  </si>
  <si>
    <t>GTM-T-MSPAS</t>
  </si>
  <si>
    <t>GTM-M-MSPAS</t>
  </si>
  <si>
    <t>Instituto de Nutrición de Centro América y Panamá (INCAP)</t>
  </si>
  <si>
    <t>GTM-H-INCAP</t>
  </si>
  <si>
    <t>GNQ-506-G02-M</t>
  </si>
  <si>
    <t>Ministry of Health of the Republic of Guinea-Bissau</t>
  </si>
  <si>
    <t>GNB-T-MINSAP</t>
  </si>
  <si>
    <t>GNB-M-UNDP</t>
  </si>
  <si>
    <t>National Secretariat to Fight AIDS of Guinea-Bissau</t>
  </si>
  <si>
    <t>GNB-H-SNLS</t>
  </si>
  <si>
    <t>GNB-C-MOH</t>
  </si>
  <si>
    <t>GNB-708-G05-H</t>
  </si>
  <si>
    <t>Ministry of Health and Social Welfare of the Republic of Gambia</t>
  </si>
  <si>
    <t>GMB-M-MOH</t>
  </si>
  <si>
    <t>GMB-M-CRS</t>
  </si>
  <si>
    <t>The National AIDS Secretariat of the Republic of The Gambia</t>
  </si>
  <si>
    <t>GMB-H-NAS</t>
  </si>
  <si>
    <t>ActionAid International The Gambia</t>
  </si>
  <si>
    <t>GMB-H-ActionAid</t>
  </si>
  <si>
    <t>GMB-C-NAS</t>
  </si>
  <si>
    <t>GMB-C-AAITG</t>
  </si>
  <si>
    <t>The Ministry of Public Health of the Republic of Guinea</t>
  </si>
  <si>
    <t>GIN-M-CRS</t>
  </si>
  <si>
    <t>GIN-H-MOH</t>
  </si>
  <si>
    <t>Secrétariat Exécutif du Comité National de Lutte contre le Sida de la République de Guinée</t>
  </si>
  <si>
    <t>GIN-H-CNLS</t>
  </si>
  <si>
    <t>GIN-C-PLAN</t>
  </si>
  <si>
    <t>Ministry of Health of the Republic of Ghana</t>
  </si>
  <si>
    <t>GHA-T-MOH</t>
  </si>
  <si>
    <t>GHA-M-MOH</t>
  </si>
  <si>
    <t>AngloGold Ashanti (Ghana) Malaria Control Limited</t>
  </si>
  <si>
    <t>GHA-M-AGAMal</t>
  </si>
  <si>
    <t>West African Program to Combat AIDS and STI</t>
  </si>
  <si>
    <t>GHA-H-WAPCAS</t>
  </si>
  <si>
    <t>GHA-H-MOH</t>
  </si>
  <si>
    <t>Ghana AIDS Commission</t>
  </si>
  <si>
    <t>GHA-H-GAC</t>
  </si>
  <si>
    <t>GHA-C-MOH</t>
  </si>
  <si>
    <t>National Center For Disease Control and Public Health</t>
  </si>
  <si>
    <t>GEO-T-NCDC</t>
  </si>
  <si>
    <t>GEO-H-NCDC</t>
  </si>
  <si>
    <t>Ministry of Health, Social Welfare and National Solidarity of the Gabonese Republic</t>
  </si>
  <si>
    <t>GAB-T-MSPS</t>
  </si>
  <si>
    <t>Centre de Recherches Médicales de Lambaréné</t>
  </si>
  <si>
    <t>GAB-T-CERMEL</t>
  </si>
  <si>
    <t>Alliance Nationale des Communautés pour la Santé - Sénégal</t>
  </si>
  <si>
    <t>Republican Scientific and Practical Center for Medical Technologies, Informatization, Administration and Management of Health</t>
  </si>
  <si>
    <t>UNICEF Ethiopia</t>
  </si>
  <si>
    <t>Ministry of Health of the Republic of Armenia</t>
  </si>
  <si>
    <t>Ministry of Public Health of Niger</t>
  </si>
  <si>
    <t>Ministry of Health of the Republic of Albania</t>
  </si>
  <si>
    <t>Ministry of Health of the State of Eritrea</t>
  </si>
  <si>
    <t>African Comprehensive HIV/AIDS Partnerships</t>
  </si>
  <si>
    <t>Ministry of Public Health of the Republic of Ecuador</t>
  </si>
  <si>
    <t>Instituto Dermatológico y Cirugía de Piel ‘Dr. Huberto Bogaert Díaz’</t>
  </si>
  <si>
    <t>Ministry of Health of the Royal Government of Bhutan</t>
  </si>
  <si>
    <t>Ministry of Health, Population and Hospital Reform of the People's Democratic Republic of Algeria</t>
  </si>
  <si>
    <t>Ministry of Health, Solidarity and Gender Promotion of the Union of the Comoros</t>
  </si>
  <si>
    <t>Conseil National de Lutte contre le VIH/SIDA, la Tuberculose, le Paludisme, les Hépatites, les Infections sexuellement transmissibles et les Epidémies</t>
  </si>
  <si>
    <t>Programme National de Lutte contre la Tuberculose et la Lepre</t>
  </si>
  <si>
    <t>Ministry of Health of the Republic of Azerbaijan</t>
  </si>
  <si>
    <t>HIV/AIDS Prevention and Control Office</t>
  </si>
  <si>
    <t>World Vision International (CAR Branch office)</t>
  </si>
  <si>
    <t>La Croix-Rouge française</t>
  </si>
  <si>
    <t>Coordination Committee of the Fight against AIDS of Cabo Verde</t>
  </si>
  <si>
    <t>Cabo Verde</t>
  </si>
  <si>
    <t>Ministry of Public Health of the Republic of Cameroon</t>
  </si>
  <si>
    <t>Federal Ministry of Health of the Federal Democratic Republic of Ethiopia</t>
  </si>
  <si>
    <t>Ministry of Health of the Republic of Botswana</t>
  </si>
  <si>
    <t>Cameroon National Association for Family Welfare</t>
  </si>
  <si>
    <t>Catholic Relief Services, United States Conference of Catholic Bishops</t>
  </si>
  <si>
    <t>Secrétariat Permanent du Conseil National de Lutte contre le Sida et les IST du Burkina Faso</t>
  </si>
  <si>
    <t>Philippine Business for Social Progress, Inc.</t>
  </si>
  <si>
    <t>Programme National de Lutte contre le Paludisme de la République du Bénin</t>
  </si>
  <si>
    <t>World Vision Somalia</t>
  </si>
  <si>
    <t>Ministry of Public Health and Social Assistance of the Dominican Republic</t>
  </si>
  <si>
    <t>Economic Relations Division, Ministry of Finance of the People's Republic of Bangladesh</t>
  </si>
  <si>
    <t>Ministry of Health and Medical Services of the Republic of Fiji</t>
  </si>
  <si>
    <t>FJI-T-MHMS</t>
  </si>
  <si>
    <t>ETH-T-FMOH</t>
  </si>
  <si>
    <t>ETH-S-FMOH</t>
  </si>
  <si>
    <t>ETH-M-UNICEF</t>
  </si>
  <si>
    <t>ETH-M-FMOH</t>
  </si>
  <si>
    <t>ETH-H-HAPCO</t>
  </si>
  <si>
    <t>ERI-T-MOH</t>
  </si>
  <si>
    <t>ERI-M-MOH</t>
  </si>
  <si>
    <t>ERI-H-MOH</t>
  </si>
  <si>
    <t>EGY-C-UNDP</t>
  </si>
  <si>
    <t>ECU-H-MOH</t>
  </si>
  <si>
    <t>Corporación Kimirina</t>
  </si>
  <si>
    <t>ECU-H-KIMI</t>
  </si>
  <si>
    <t>DZA-H-MOH</t>
  </si>
  <si>
    <t>DOM-T-MSPAS</t>
  </si>
  <si>
    <t>DOM-H-IDCP</t>
  </si>
  <si>
    <t>Consejo Nacional para el VIH y el SIDA</t>
  </si>
  <si>
    <t>DOM-H-CONAVIH</t>
  </si>
  <si>
    <t>DJI-M-UNDP</t>
  </si>
  <si>
    <t>DJI-C-UNDP</t>
  </si>
  <si>
    <t>CUB-H-UNDP</t>
  </si>
  <si>
    <t>CRI-H-HIVOS</t>
  </si>
  <si>
    <t>CPV-Z-CCSSIDA</t>
  </si>
  <si>
    <t>COM-T-PNLT</t>
  </si>
  <si>
    <t>Association Comorienne pour le Bien-Être de la Famille</t>
  </si>
  <si>
    <t>COM-T-ASCOBEF</t>
  </si>
  <si>
    <t>COM-M-PNLP</t>
  </si>
  <si>
    <t>COM-H-DNLS</t>
  </si>
  <si>
    <t>COM-910-G04-H</t>
  </si>
  <si>
    <t>COM-810-G03-M</t>
  </si>
  <si>
    <t>COL-H-ENTerritorio</t>
  </si>
  <si>
    <t>Ministry of Health and Population of the Government of the Republic of Congo</t>
  </si>
  <si>
    <t>COG-T-MSP</t>
  </si>
  <si>
    <t>COG-M-CRS</t>
  </si>
  <si>
    <t>COG-H-CRF</t>
  </si>
  <si>
    <t>COG-C-CRF</t>
  </si>
  <si>
    <t>COD-T-MOH</t>
  </si>
  <si>
    <t>SANRU Asbl</t>
  </si>
  <si>
    <t>COD-M-SANRU</t>
  </si>
  <si>
    <t>COD-M-PSI</t>
  </si>
  <si>
    <t>COD-M-MOH</t>
  </si>
  <si>
    <t>COD-H-SANRU</t>
  </si>
  <si>
    <t>COD-H-MOH</t>
  </si>
  <si>
    <t>Stichting Cordaid</t>
  </si>
  <si>
    <t>COD-H-CORDAID</t>
  </si>
  <si>
    <t>COD-C-CORDAID</t>
  </si>
  <si>
    <t>CMR-T-MOH</t>
  </si>
  <si>
    <t>CMR-M-MOH</t>
  </si>
  <si>
    <t>CMR-H-MOH</t>
  </si>
  <si>
    <t>CMR-H-CMF</t>
  </si>
  <si>
    <t>CMR-011-G11-H</t>
  </si>
  <si>
    <t>CIV-T-MOH</t>
  </si>
  <si>
    <t>CIV-T-ACI</t>
  </si>
  <si>
    <t>CIV-M-SCI</t>
  </si>
  <si>
    <t>CIV-M-MOH</t>
  </si>
  <si>
    <t>CIV-H-MOH</t>
  </si>
  <si>
    <t>CIV-H-ACI</t>
  </si>
  <si>
    <t>CIV-910-G13-H</t>
  </si>
  <si>
    <t>CAF-M-WVI</t>
  </si>
  <si>
    <t>CAF-C-CRF</t>
  </si>
  <si>
    <t>The Ministry of Public Heath, Population and the Fight Against HIV/AIDS of the Central African Republic</t>
  </si>
  <si>
    <t>CAF-911-G09-T</t>
  </si>
  <si>
    <t>CAF-708-G05-H</t>
  </si>
  <si>
    <t>BWA-M-BMOH</t>
  </si>
  <si>
    <t>BWA-C-BMoH</t>
  </si>
  <si>
    <t>BWA-C-ACHAP</t>
  </si>
  <si>
    <t>Initiative Privée et Communautaire contre le VIH/SIDA au Burkina Faso</t>
  </si>
  <si>
    <t>BUR-809-G08-M</t>
  </si>
  <si>
    <t>BTN-T-MOH</t>
  </si>
  <si>
    <t>BTN-M-MOH</t>
  </si>
  <si>
    <t>BTN-H-MOH</t>
  </si>
  <si>
    <t>Secrétariat Exécutif Permanent du Conseil National de Lutte contre le SIDA</t>
  </si>
  <si>
    <t>BRN-813-G11-H</t>
  </si>
  <si>
    <t>BRN-809-G07-H</t>
  </si>
  <si>
    <t>National Integrated Programme Against Leprosy and Tuberculosis</t>
  </si>
  <si>
    <t>BRN-708-G06-T</t>
  </si>
  <si>
    <t>BOL-T-UNDP</t>
  </si>
  <si>
    <t>BOL-M-UNDP</t>
  </si>
  <si>
    <t>BOL-H-HIVOS</t>
  </si>
  <si>
    <t>BLZ-C-UNDP</t>
  </si>
  <si>
    <t>BLR-T-RSPCMT</t>
  </si>
  <si>
    <t>BLR-C-RSPCMT</t>
  </si>
  <si>
    <t>BGD-T-NTP</t>
  </si>
  <si>
    <t>BRAC</t>
  </si>
  <si>
    <t>BGD-T-BRAC</t>
  </si>
  <si>
    <t>BGD-M-NMCP</t>
  </si>
  <si>
    <t>BGD-M-BRAC</t>
  </si>
  <si>
    <t>BGD-H-SC</t>
  </si>
  <si>
    <t>BGD-H-NASP</t>
  </si>
  <si>
    <t>BGD-H-ICDDRB</t>
  </si>
  <si>
    <t>BFA-T-PADS</t>
  </si>
  <si>
    <t>BFA-M-PADS</t>
  </si>
  <si>
    <t>BFA-H-SPCNLS</t>
  </si>
  <si>
    <t>BFA-C-IPC</t>
  </si>
  <si>
    <t>BEN-T-PNT</t>
  </si>
  <si>
    <t>Health System Performance Program</t>
  </si>
  <si>
    <t>BEN-S-PRPSS</t>
  </si>
  <si>
    <t>BEN-S-CNLS-TP</t>
  </si>
  <si>
    <t>BEN-M-PNLP</t>
  </si>
  <si>
    <t>BEN-H-PSLS</t>
  </si>
  <si>
    <t>BEN-H-PlanBen</t>
  </si>
  <si>
    <t>Ministry of Public Health and Fight against AIDS of the Republic of Burundi</t>
  </si>
  <si>
    <t>BDI-T-PNILT</t>
  </si>
  <si>
    <t>BDI-M-UNDP</t>
  </si>
  <si>
    <t>BDI-M-SEPCNLS</t>
  </si>
  <si>
    <t>BDI-M-PNILP</t>
  </si>
  <si>
    <t>BDI-H-PNLS</t>
  </si>
  <si>
    <t>BDI-C-UNDP</t>
  </si>
  <si>
    <t>AZE-T-MOH</t>
  </si>
  <si>
    <t>AZE-H-MOH</t>
  </si>
  <si>
    <t>ARM-H-MOH</t>
  </si>
  <si>
    <t>ARM-C-MOH</t>
  </si>
  <si>
    <t>ALB-C-MOH</t>
  </si>
  <si>
    <t>Ministry of Health of the Republic of Angola</t>
  </si>
  <si>
    <t>AGO-T-MOH</t>
  </si>
  <si>
    <t>AGO-M-WVI</t>
  </si>
  <si>
    <t>AGO-M-MOH</t>
  </si>
  <si>
    <t>AGO-H-UNDP</t>
  </si>
  <si>
    <t>AGO-911-G05-T</t>
  </si>
  <si>
    <t>AFG-T-UNDP</t>
  </si>
  <si>
    <t>Ministry of Public Health of the Islamic Republic of Afghanistan</t>
  </si>
  <si>
    <t>AFG-T-MOPH</t>
  </si>
  <si>
    <t>AFG-M-UNDP</t>
  </si>
  <si>
    <t>AFG-H-UNDP</t>
  </si>
  <si>
    <t>AFG-708-G04-H</t>
  </si>
  <si>
    <t>Grand Total</t>
  </si>
  <si>
    <t>_______</t>
  </si>
  <si>
    <t>HIV - Other health products - Section 4</t>
  </si>
  <si>
    <t>TB - Pharmaceuticals - Section 4</t>
  </si>
  <si>
    <t>% test to be processed on purchased equipment</t>
  </si>
  <si>
    <t>Comments</t>
  </si>
  <si>
    <t>Comment</t>
  </si>
  <si>
    <t>Procurement of condoms &amp; lubricants for Men who have sex with men</t>
  </si>
  <si>
    <t>PSM costs for Men who have sex with men</t>
  </si>
  <si>
    <t>Procurement of condoms &amp; lubricants for Sex workers and their clients</t>
  </si>
  <si>
    <t>PSM costs for Sex workers and their clients</t>
  </si>
  <si>
    <t>Procurement of condoms &amp; lubricants for Transgender people</t>
  </si>
  <si>
    <t>PSM costs for Transgender people</t>
  </si>
  <si>
    <t>NSP for People who inject drugs and their partners</t>
  </si>
  <si>
    <t>PSM costs for People who inject drugs and their partners</t>
  </si>
  <si>
    <t>OST for People who inject drugs and their partners</t>
  </si>
  <si>
    <t>Procurement of condoms &amp; lubricants for People who inject drugs and their partners</t>
  </si>
  <si>
    <t>Procurement of condoms &amp; lubricants for People in prisons and other closed settings</t>
  </si>
  <si>
    <t>PSM costs for People in prisons and other closed settings</t>
  </si>
  <si>
    <t>Procurement of condoms &amp; lubricants for Other vulnerable populations</t>
  </si>
  <si>
    <t>PSM costs for Other vulnerable populations</t>
  </si>
  <si>
    <t>Procurement of condoms &amp; lubricants for Adolescent girls and young women in high prevalence settings</t>
  </si>
  <si>
    <t>PSM costs for Adolescent girls and young women in high prevalence settings</t>
  </si>
  <si>
    <t>Procurement of condoms &amp; lubricants for Men in high prevalence settings</t>
  </si>
  <si>
    <t>PSM costs for Men in high prevalence settings</t>
  </si>
  <si>
    <t>Procurement of condoms &amp; lubricants for Non-specified population groups</t>
  </si>
  <si>
    <t>PSM costs for Non-specified population groups</t>
  </si>
  <si>
    <t xml:space="preserve">PSM costs for People who inject drugs and their partners </t>
  </si>
  <si>
    <t>PSM costs for Partners of people living with HIV</t>
  </si>
  <si>
    <t xml:space="preserve">3-year average split between sensitive and M/XDR-TB cases </t>
  </si>
  <si>
    <t>Activity Decsription</t>
  </si>
  <si>
    <t>S.No</t>
  </si>
  <si>
    <t>Go to RSSH for lab systems
(section 2)</t>
  </si>
  <si>
    <t>Go to RSSH for HPM systems
(section 1)</t>
  </si>
  <si>
    <t xml:space="preserve">Go to Consumables
(Section 4) </t>
  </si>
  <si>
    <t>Go to GeneXpert (Section 2)</t>
  </si>
  <si>
    <t>Go to Culture/DST (Section 3)</t>
  </si>
  <si>
    <t>Y1-4 Total  Quantity</t>
  </si>
  <si>
    <t>Y1-4 Total Cash Outflow</t>
  </si>
  <si>
    <t>1. Column A: Select the Product Category from the drop-down menu
2. Column E: Select the Product name (INN) from the drop-down menu
3. Column I: Select the Specification from the drop-down menu; for Specifications which state "enter specifications manually", please use the "Comments" column AL to provide this information
4. Columns N, U, AB: Insert the unit cost per product (the price should be in the grant currency (USD or EUR)
5. Columns O, P, Q, R, V, W, X, Y, AC, AD, AE, AF: Insert the quantity per product that will be procured in the relevant quarter in which the order will be confirmed/placed with manufacturers
6. Column AL is optional and should be used if you have any relevant comments to communicate to the Country Team/LFA</t>
  </si>
  <si>
    <t>1. Column A: Select the Product Category from the drop-down menu
2. Column C: Select the Type of Equipment from the drop-down menu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
4. Columns G, N, U: Insert the unit cost per product (the price should be in the grant currency (USD or EUR)
5. Columns H, I,J, K, O, P, Q, R, V, W, X, Y: Insert the quantity per product that will be procured in the relevant quarter in which the order will be confirmed/placed with manufacturers
6. Column AE is optional and should be used if you have any relevant comments to communicate to the Country Team/LFA</t>
  </si>
  <si>
    <t>COLUMN E reflects indicative percentages (%) per product category for each of the seven (7) PSM/HPM Cost Inputs. Review the percentages and adjust them, if necessary. If the grant does not pay for these costs, indicate zero (0).</t>
  </si>
  <si>
    <t>Routine Distribution</t>
  </si>
  <si>
    <t>Mass Campaign</t>
  </si>
  <si>
    <t>HPM costs &amp; RSSH - Section 1, PSM Customs Clearance (7.6), take the total budget per quarter for TYPE OF PRODUCT "OIs, STIs &amp; other medicines "</t>
  </si>
  <si>
    <t>Sum of Y1 Total Cash Outflow</t>
  </si>
  <si>
    <t>Sum of Y2 Total Cash Outflow</t>
  </si>
  <si>
    <t>Sum of Y3 Total Cash Outflow</t>
  </si>
  <si>
    <t>Sum of Y1-4 Total Cash Outflow</t>
  </si>
  <si>
    <t>PSM Costs</t>
  </si>
  <si>
    <t>Procurement of Antiretroviral medicines</t>
  </si>
  <si>
    <t>Key Population</t>
  </si>
  <si>
    <t>Men who have sex with men</t>
  </si>
  <si>
    <t>Transgender people</t>
  </si>
  <si>
    <t>People who inject drugs and their partners</t>
  </si>
  <si>
    <t>People in prisons and other closed settings</t>
  </si>
  <si>
    <t>Other vulnerable populations</t>
  </si>
  <si>
    <t>Adolescent girls and young women in high prevalence settings</t>
  </si>
  <si>
    <t>Men in high prevalence settings</t>
  </si>
  <si>
    <t>Non-specified population groups</t>
  </si>
  <si>
    <t>Partners of people living with HIV</t>
  </si>
  <si>
    <t>Procurement of LLINs (or ITNs) for mass campaigns</t>
  </si>
  <si>
    <t>Procurement of LLINs (or ITNs) for continuous distribution</t>
  </si>
  <si>
    <t>Procurement of IRS equipment, spare parts and accessories</t>
  </si>
  <si>
    <t>Procurement of antimalaria medicines for treatment</t>
  </si>
  <si>
    <t>Procurement of microscope equipment, spare parts and accessories</t>
  </si>
  <si>
    <t>Procurement of antimalaria medicines for prevention</t>
  </si>
  <si>
    <t>Procurement of RDTs to diagnose TB</t>
  </si>
  <si>
    <t>Procurement of TB Molecular Test equipment</t>
  </si>
  <si>
    <t>Maintenance and service contracts</t>
  </si>
  <si>
    <t>Procurement of anti-TB medicines for prevention</t>
  </si>
  <si>
    <t>Management of side-effects</t>
  </si>
  <si>
    <t>Procurement of RDTs to diagnose HIV, co-infections, and co-morbidities</t>
  </si>
  <si>
    <t>Procurement of RDTs to diagnose HIV, co-infections, and co-morbidities for Men who have sex with men</t>
  </si>
  <si>
    <t>Procurement of RDTs to diagnose HIV, co-infections, and co-morbidities for Sex workers and their clients</t>
  </si>
  <si>
    <t>Procurement of RDTs to diagnose HIV, co-infections, and co-morbidities for Transgender people</t>
  </si>
  <si>
    <t xml:space="preserve">Procurement of RDTs to diagnose HIV, co-infections, and co-morbidities for People who inject drugs and their partners </t>
  </si>
  <si>
    <t>Procurement of RDTs to diagnose HIV, co-infections, and co-morbidities for People in prisons and other closed settings</t>
  </si>
  <si>
    <t>Procurement of RDTs to diagnose HIV, co-infections, and co-morbidities for Other vulnerable populations</t>
  </si>
  <si>
    <t>Procurement of RDTs to diagnose HIV, co-infections, and co-morbidities for Adolescent girls and young women in high prevalence settings</t>
  </si>
  <si>
    <t>Procurement of RDTs to diagnose HIV, co-infections, and co-morbidities for Men in high prevalence settings</t>
  </si>
  <si>
    <t>Procurement of RDTs to diagnose HIV, co-infections, and co-morbidities for Partners of people living with HIV</t>
  </si>
  <si>
    <t>Procurement of RDTs to diagnose HIV, co-infections, and co-morbidities for Non-specified population groups</t>
  </si>
  <si>
    <t>Procurement of CD4 machines and accessories</t>
  </si>
  <si>
    <t>Procurement of VL machines and accessories</t>
  </si>
  <si>
    <t>Procurement of OI and STI medicines</t>
  </si>
  <si>
    <t>Procurement of other medicines</t>
  </si>
  <si>
    <t>Worksheet</t>
  </si>
  <si>
    <t>Section</t>
  </si>
  <si>
    <t>Go to Antimalaria medicines for Prevention</t>
  </si>
  <si>
    <t>VERSION  of HPM template</t>
  </si>
  <si>
    <t>Q1 Cash Flows</t>
  </si>
  <si>
    <t>Q2 Cash Flows</t>
  </si>
  <si>
    <t>Q3 Cash Flow</t>
  </si>
  <si>
    <t>Q4 Cash Flow</t>
  </si>
  <si>
    <t>Blank</t>
  </si>
  <si>
    <t>Q5 Cash Flow</t>
  </si>
  <si>
    <t>Q6 Cash Flow</t>
  </si>
  <si>
    <t>Q7 Cash Flow</t>
  </si>
  <si>
    <t>Q8 Cash Flow</t>
  </si>
  <si>
    <t>Blank2</t>
  </si>
  <si>
    <t>Q9 Cash Flow</t>
  </si>
  <si>
    <t>Q10 Cash Flow</t>
  </si>
  <si>
    <t>Q11 Cash Flow</t>
  </si>
  <si>
    <t>Q12 Cash Flow</t>
  </si>
  <si>
    <t>Blank 3</t>
  </si>
  <si>
    <t>Q14 Quantity</t>
  </si>
  <si>
    <t>Q13 Quantity</t>
  </si>
  <si>
    <t>Q13 Cash Flow</t>
  </si>
  <si>
    <t>Q14 Cash Flow</t>
  </si>
  <si>
    <t>Q15 Quantity</t>
  </si>
  <si>
    <t>Q15 Cash Flow</t>
  </si>
  <si>
    <t>Q16 Quantity</t>
  </si>
  <si>
    <t>Q16 Cash Flow</t>
  </si>
  <si>
    <t>Blank 4</t>
  </si>
  <si>
    <t>Payment Modality</t>
  </si>
  <si>
    <t>Source of Funds</t>
  </si>
  <si>
    <t>National target</t>
  </si>
  <si>
    <t>Number supported under the grant</t>
  </si>
  <si>
    <t>Delivery Lead Time (in quarters) (Min=1 &amp; Max=4)</t>
  </si>
  <si>
    <t>Version</t>
  </si>
  <si>
    <t>PR Submission Date- Filled By PR</t>
  </si>
  <si>
    <t>HPM Approval Date- Filled by HPM</t>
  </si>
  <si>
    <t>Implementation Period Start Date (MM/DD/YYYY):</t>
  </si>
  <si>
    <t>Implementation Period End Date (MM/DD/YYYY):</t>
  </si>
  <si>
    <t>Please Fill Grant Number in box below, if NA in List</t>
  </si>
  <si>
    <t>Please Fill PR Name in Box below, if NA in List</t>
  </si>
  <si>
    <t>Please indicate PR Version in table below</t>
  </si>
  <si>
    <t>Liquid culture and DST: Media,Reagents,Antibiotics</t>
  </si>
  <si>
    <t>Solid culture and DST: Media,Reagents,Antibiotics</t>
  </si>
  <si>
    <t>1) National treatment guidelines for the relevant Disease and / or protocols of care at time of submission If the protocols are under revision, please provide a transition plan (e.g. change of regimens, introduction of new paediatric formulations, shortened regimens for MDR, roll-out plan and timeliness, supply chain preparation for the transition)</t>
  </si>
  <si>
    <t>5) Program capacity and scale up plans/targets for the three-year grant period</t>
  </si>
  <si>
    <t xml:space="preserve">6) Investments into health equipment (e.g. GeneXpert): national strategy and information on use across programs, long-term sustainability strategy for routine maintenance, repairs and services, and reagent procurement </t>
  </si>
  <si>
    <t>8)Copy of the national supply plan which reflects the negotiated schedule of Global Fund contributions to national stock requirements for the three-year grant period</t>
  </si>
  <si>
    <t xml:space="preserve">11) Sources and justification of unit costs for health products: The PR must provide all relevant information used to estimate the unit cost, such as a copy of the most recent Global Fund reference price list for core items (available on the Global Fund website), the GDF catalogue for TB program health products, the UNICEF catalogue, PQR, MSH “International Drug Price Indicator Guide”, etc. </t>
  </si>
  <si>
    <t>12) PSM / HPM costs estimation (Please separate operational costs from infrastructure / PSM system strengthening funds): The PR must provide all relevant information to support the individual percentages assigned to each product category (e.g. ARVs) and each cost input (e.g. freight and insurance 7.2). This can include the procurement agent fee structure, third-party logistics fees structure, past invoices, etc.</t>
  </si>
  <si>
    <t>13) Any assessment reports of the supply chain and/or the laboratory network, which were conducted in the last two years, irrespective of the funding source for the assessment. 
This refers to assessments of the entire system or any part/section of it. It can be focused in one category of health products or the full range of essential health products and laboratory.</t>
  </si>
  <si>
    <t xml:space="preserve">National Strategic Plan for managing health products
This includes any strategic document that is available and valid (e.g. National Medicines Policy, National Supply Chain Strategy, Strategy of Medicines Regulatory Agency, Medicines Financing Strategy (as part of the Health Financing Strategy), Laboratory Services Strategy and relevant costed implementation plans).
It should be noted that any funding request for systems strengthening should be based on a defined national strategy/vision and have an implementation plan. In the absence of a strategy document and/or an implementation plan, a request for funding to develop these documents is also possible. </t>
  </si>
  <si>
    <t>Note:
For the following worksheets, quantities per item/health product that are needed in Y1 should reflect the quarterly schedule of the Global Fund funded procurements, indicating the quarter when the orders need to be placed.
For Y2 &amp; Y3, if the details are not available, procurement quantities can be tentatively entered as a single annual order, in first quarter of that year, with the expectation that a more specific procurement schedule will be progressively incorporated as part of the annual review of demand forecast, particularly for High impact and core portfolios.</t>
  </si>
  <si>
    <t>i.     Updated financial gap for health products funding;</t>
  </si>
  <si>
    <t>ii.    Updated program targets to justify additional request for health products;</t>
  </si>
  <si>
    <t>iii.    Supporting evidence of all assumptions used to update the request for funding additional health products;</t>
  </si>
  <si>
    <t>iv.      Updated unit costs; and</t>
  </si>
  <si>
    <t xml:space="preserve">Important note:
a.	Health product estimated quantities may include buffer stock amounts within limits of national inventory management policies and according to the Global Fund budgeting, financial and grant-closure guidelines.
b.	Program activities of a Global Fund grant are implemented and completed according to an agreed timeframe called a “grant implementation period” which is usually up to three years. The grant year in the implementation period may follow a calendar year or the country’s financial year. Q1 of the HPM Template must refer to Q1 of the implementation period as agreed in the Performance Framework and Detailed Budget.  
c.	The quarterly quantities entered in the HPM Template should reflect the PR’s desired timing of placing the order with the assumption that purchase orders shall be confirmed in a timely manner taking into account the procurement methods and estimated lead-times.      </t>
  </si>
  <si>
    <t>Section 1 provides information - taken from the Grant's Detailed Budget - on interventions that will be supprted by the grant to strengthen the systems being used to manage health products.
1. COLUMN A-D: Choose the intervention from the drop-down menu
2. COLUMN E-H: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</si>
  <si>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Section 2 provides information - taken from the Grant's Detailed Budget - on interventions that will be supprted by the grant to strengthen the systems being used to provide laboratory/diagnostic services.
1. COLUMN A: Choose the intervention from the drop-down menu
2. COLUMN E: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</si>
  <si>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Activity Decsription Less Key Pops</t>
  </si>
  <si>
    <t>Sum of Q1 Cash Flows</t>
  </si>
  <si>
    <t>Sum of Q2 Cash Flows</t>
  </si>
  <si>
    <t>Sum of Q3 Cash Flow</t>
  </si>
  <si>
    <t>Sum of Q4 Cash Flow</t>
  </si>
  <si>
    <t>Sum of Q5 Cash Flow</t>
  </si>
  <si>
    <t>Sum of Q6 Cash Flow</t>
  </si>
  <si>
    <t>Sum of Q7 Cash Flow</t>
  </si>
  <si>
    <t>Sum of Q8 Cash Flow</t>
  </si>
  <si>
    <t>Sum of Q9 Cash Flow</t>
  </si>
  <si>
    <t>Sum of Q10 Cash Flow</t>
  </si>
  <si>
    <t>Sum of Q11 Cash Flow</t>
  </si>
  <si>
    <t>Sum of Q12 Cash Flow</t>
  </si>
  <si>
    <t xml:space="preserve">Health Product Management Template - Set up </t>
  </si>
  <si>
    <t>Health Product Management Template - HIV - Key information</t>
  </si>
  <si>
    <t>Health Product Management Template - HIV - List of other health products</t>
  </si>
  <si>
    <t>Health Product Management Template - Malaria - List of pharmaceuticals</t>
  </si>
  <si>
    <t>Health Product Management Template - TB - List of equipment and other health products</t>
  </si>
  <si>
    <t>Health Product Management Template - Malaria - List of equipment and other health products</t>
  </si>
  <si>
    <t>Health Product Management Template - Health product management costs and investments</t>
  </si>
  <si>
    <t>Pre-shipment quality assurance and quality control costs (QA/QC) (7.5)</t>
  </si>
  <si>
    <t>Health Product Management Template - HIV - List of pharmaceuticals</t>
  </si>
  <si>
    <t>Health Product Management Template - TB - Key information</t>
  </si>
  <si>
    <t>Health Product Management Template - TB - List of pharmaceuticals</t>
  </si>
  <si>
    <t>Health Product Management Template - Malaria - Key information</t>
  </si>
  <si>
    <t>Health Product Management Template - RSSH Health product management costs and investments</t>
  </si>
  <si>
    <t>TB-Equipment &amp; Other HPs</t>
  </si>
  <si>
    <t>Delivery Lead Time</t>
  </si>
  <si>
    <t>Sect 1</t>
  </si>
  <si>
    <t>Sect 2</t>
  </si>
  <si>
    <t>1+3</t>
  </si>
  <si>
    <t>2mg/ml 50mg 1 vial</t>
  </si>
  <si>
    <t>Logistics Cost Category</t>
  </si>
  <si>
    <t>Cost Input*</t>
  </si>
  <si>
    <t>Unit of measure*</t>
  </si>
  <si>
    <t>Remark</t>
  </si>
  <si>
    <t>COVID</t>
  </si>
  <si>
    <t>COVID Tests / Diagnotic Reagents</t>
  </si>
  <si>
    <t>Cobas SARS-CoV-2 RT-PCR Kit 96 tests</t>
  </si>
  <si>
    <t>Panther Fusion SARS-CoV-2 Kit 96 tests</t>
  </si>
  <si>
    <t>QIAstat-Dx Respiratory SARSCoV-2 Panel 6 tests</t>
  </si>
  <si>
    <t>Abbott RealTime SARS-CoV-2 RT-PCR Kit 96 tests</t>
  </si>
  <si>
    <t>Xpert® Xpress SARS-CoV-2 10 tests</t>
  </si>
  <si>
    <t>Other automated tests - please specify in the comments column</t>
  </si>
  <si>
    <t>Other manual tests - please specify in the comments column</t>
  </si>
  <si>
    <t>COVID Tests / Diagnotic Consumables</t>
  </si>
  <si>
    <t>Sample collection kit: swab and viral transport medium</t>
  </si>
  <si>
    <t>Xpert Nasopharyngeal swab collection kit 100</t>
  </si>
  <si>
    <t>COVID Equipment</t>
  </si>
  <si>
    <t>Spare parts and accessories</t>
  </si>
  <si>
    <t>COVID Pharmaceuticals</t>
  </si>
  <si>
    <t>Dexamethasone</t>
  </si>
  <si>
    <t>4mg/ml vial 1ml ampoule 50</t>
  </si>
  <si>
    <t>4mg tablet 100</t>
  </si>
  <si>
    <t>0.5mg 1000</t>
  </si>
  <si>
    <t>5mg/ml 1ml ampoule 100</t>
  </si>
  <si>
    <t>Other - Enter details in Comments</t>
  </si>
  <si>
    <t>COVID PPE &amp; consumables</t>
  </si>
  <si>
    <t>Apron Single-use, disposable 100</t>
  </si>
  <si>
    <t>Faceshield</t>
  </si>
  <si>
    <t>Faceshield, disposable</t>
  </si>
  <si>
    <t>Piece</t>
  </si>
  <si>
    <t>Gloves</t>
  </si>
  <si>
    <t>Gloves, Examination - Latex - non-sterile, single-use, disposable, powder-free 100</t>
  </si>
  <si>
    <t>Gloves, Examination - Nitrile - non-sterile, single-use, disposable, powder-free100</t>
  </si>
  <si>
    <t>Gloves, Surgical - sterile, single-use, disposable, powder-free pair</t>
  </si>
  <si>
    <t>Goggles</t>
  </si>
  <si>
    <t>Goggles, protective, indirect side-ventilation</t>
  </si>
  <si>
    <t>Gowns</t>
  </si>
  <si>
    <t>Gown, Surgical non-sterile, single-use, disposable, high perfusion</t>
  </si>
  <si>
    <t xml:space="preserve">Piece </t>
  </si>
  <si>
    <t>Gown, Surgical sterile, single-use, disposable, standard perfusion</t>
  </si>
  <si>
    <t>Gown, Surgical sterile, single-use, disposable, high perfusion</t>
  </si>
  <si>
    <t>Gown, Isolation non-sterile, single-use, disposable, blood-borne pathogens</t>
  </si>
  <si>
    <t>Masks</t>
  </si>
  <si>
    <t>Mask, Surgical, Type IIR fluid resistant, single-use, disposable 50</t>
  </si>
  <si>
    <t>Mask, Medical, Type I, single-use, disposable 50</t>
  </si>
  <si>
    <t>Other COVID consumables</t>
  </si>
  <si>
    <t>Respirator</t>
  </si>
  <si>
    <t>Respirator, High-filt, FPP2/N95, no-valve, non-sterile 20</t>
  </si>
  <si>
    <t>Respirator, High-filt, FPP2/N95, valve, non-sterile 20</t>
  </si>
  <si>
    <t>GeneXpert IV-4 modules with laptop computer and barcode reader</t>
  </si>
  <si>
    <t>GeneXpert IV-2 modules with laptop computer and barcode reader</t>
  </si>
  <si>
    <t>GeneXpert XVI-16 modules with laptop computer and barcode reader</t>
  </si>
  <si>
    <t>Incubator</t>
  </si>
  <si>
    <t>Laboratory freezer</t>
  </si>
  <si>
    <t>Laboratory refrigerator</t>
  </si>
  <si>
    <t>Microcentrifuge</t>
  </si>
  <si>
    <t>Refrigerated bench top centrifuge</t>
  </si>
  <si>
    <t>TB-LAMP Loop-Mediated Isothermal Amplification for HIV program</t>
  </si>
  <si>
    <t>HumaHeat</t>
  </si>
  <si>
    <t>Humaloop T</t>
  </si>
  <si>
    <t>HumaTurb C+ HumaTurb A</t>
  </si>
  <si>
    <t>HuMax ITA microcentrifuge</t>
  </si>
  <si>
    <t>TrueNat for HIV program</t>
  </si>
  <si>
    <t>Truelab Uno Dx</t>
  </si>
  <si>
    <t>Trueprep</t>
  </si>
  <si>
    <t>Waste management: Autoclave</t>
  </si>
  <si>
    <t>Waste management: Other equipment</t>
  </si>
  <si>
    <t>water based 20ml tube</t>
  </si>
  <si>
    <t>water based 4ml sachet 1000</t>
  </si>
  <si>
    <t>water based 4.3ml sachet 1000</t>
  </si>
  <si>
    <t>water based 5ml sachet 1000</t>
  </si>
  <si>
    <t>HIV 1/2 - Determine HIV Combo Kit - no accessories - 100 tests</t>
  </si>
  <si>
    <t>HIV 1/2 - DPP HIV 1/2 Assay - 20 tests</t>
  </si>
  <si>
    <t>HIV 1/2 - Generic Differentiated Detection Rapid Diagnostic Test Kit - 1 test</t>
  </si>
  <si>
    <t>HIV 1/2 - SD Bioline 3.0 Kit - accessories included - 25 tests</t>
  </si>
  <si>
    <t>HIV 1/2-O - First Response HIV 1-2.0 v.3.0 Cards Kit - accessories included - 25 tests</t>
  </si>
  <si>
    <t>HIV 1/2-O - First Response HIV 1-2.0 v.3.0 Cards Kit - accessories included - 30 tests</t>
  </si>
  <si>
    <t>HIV 1+2 - Determine Complete HIV Kit - accessories included - 100 tests</t>
  </si>
  <si>
    <t>HIV 1+2 - Determine HIV Kit - no accessories - 100 tests</t>
  </si>
  <si>
    <t>HIV 1+2 - Generic Combined DetectionRapid Diagnostic Test Kit - 1 test</t>
  </si>
  <si>
    <t>HIV 1+2 - INSTI HIV Antibody Test Kit - accessories included - 48 tests</t>
  </si>
  <si>
    <t>HIV 1+2 - OraQuick ADVANCE HIV Rapid Antibody Kit - accessories included - 25 Tests</t>
  </si>
  <si>
    <t>HIV 1+2 - OraQuick HIV Rapid Antibody Kit - accessories included - 100 Tests</t>
  </si>
  <si>
    <t>HIV 1+2 - OraQuick HIV Self Test - accessories included - 250 Tests</t>
  </si>
  <si>
    <t>HIV 1+2 - OraQuick HIV Self Test - accessories included - 50 Tests</t>
  </si>
  <si>
    <t>HIV 1+2 - Stat-Pak Dipstick Assay Kit - accessories included - 30 tests</t>
  </si>
  <si>
    <t>HIV 1+2 - Stat-Pak HIV Kit - accessories included - 20 tests</t>
  </si>
  <si>
    <t>HIV 1+2 - Uni-gold HIV Kit - accessories included - 20 tests</t>
  </si>
  <si>
    <t>HIV 1+2 Colloidal Gold - accessories included - 50 tests</t>
  </si>
  <si>
    <t>HIV 1/2 - SD Bioline 3.0 Kit - no accessories - 30 tests</t>
  </si>
  <si>
    <t>HIV 1/2 - Determine HIV Combo Kit - accessories included - 100 tests</t>
  </si>
  <si>
    <t>Capillary Tubes - EDTA 50uL 100 tubes</t>
  </si>
  <si>
    <t>Rapid Diagnostic Test - HIV/Syphilis</t>
  </si>
  <si>
    <t>HIV/Syphilis - SD Bioline Duo complete kit - accessories included - 25 tests</t>
  </si>
  <si>
    <t>Cryptococcus - Generic RDT - 1 test</t>
  </si>
  <si>
    <t>Xpert HCV Viral Load Kit ‚ 10 Tests</t>
  </si>
  <si>
    <t>SD BIOLINE HCV - accessories included - 25 tests</t>
  </si>
  <si>
    <t>TrueNat</t>
  </si>
  <si>
    <t>Truenat MTB 20 tests</t>
  </si>
  <si>
    <t>Truenat MTB Plus 20 tests</t>
  </si>
  <si>
    <t>Truenat MTB-RIF Dx 20 tests</t>
  </si>
  <si>
    <t>TB-LAMP Loop-Mediated Isothermal Amplification</t>
  </si>
  <si>
    <t>Loopamp MTBC Detection Kit 2 x 48 tests</t>
  </si>
  <si>
    <t>Loopamp PURE DNA Extraction Kit 90 tests</t>
  </si>
  <si>
    <t>Alere - Pima analyzer bag</t>
  </si>
  <si>
    <t>Alere - Pima printer - 1 paper roll included</t>
  </si>
  <si>
    <t>Alere - PIMA printer paper roll I non-adhesive - 10 rolls</t>
  </si>
  <si>
    <t>BD - FACS clean fluid 5L</t>
  </si>
  <si>
    <t>BD - FACSflow sheath fluid 20L</t>
  </si>
  <si>
    <t>BD - FACS lysing fluid 100ml</t>
  </si>
  <si>
    <t>BD - FACS rinse fluid 5L</t>
  </si>
  <si>
    <t>BD - FACSCount paper roll thermal - 5 rolls</t>
  </si>
  <si>
    <t>BD - FACSCount control kit - 25 tests</t>
  </si>
  <si>
    <t>BD - FACSPresto</t>
  </si>
  <si>
    <t>BD - FACSPresto printer paper roll - 5 rolls</t>
  </si>
  <si>
    <t>Consumables: Specimen processing &amp; transport supplies</t>
  </si>
  <si>
    <t>Consumables: Sputum sample collection</t>
  </si>
  <si>
    <t>Airflow test set</t>
  </si>
  <si>
    <t>Refill for airflow test set</t>
  </si>
  <si>
    <t>Sysmex - Partec Cyflow CountCheck Beads Green dry - 100 tests</t>
  </si>
  <si>
    <t>Sysmex - Partec Cyflow pipette tips 2-200ul - pack of 1000</t>
  </si>
  <si>
    <t>Sysmex - Partec Cyflow pipette tips 50-1000ul - pack of 1000</t>
  </si>
  <si>
    <t>Sysmex - Partec Cyflow CountCheck Beads Green - 50 tests</t>
  </si>
  <si>
    <t>Sysmex - Partec Cyflow cleaning solution 250ml</t>
  </si>
  <si>
    <t>Sysmex - Partec Cyflow decontamination solution 250ml</t>
  </si>
  <si>
    <t>Sysmex - Partec Cyflow hypochlorite solution 250ml</t>
  </si>
  <si>
    <t>Sysmex - Partec Cyflow sheath fluid 5L</t>
  </si>
  <si>
    <t>Sysmex - Partec Cyflow tube 3.5ml - 500</t>
  </si>
  <si>
    <t>Waste management supplies: Consumables</t>
  </si>
  <si>
    <t>Pima bead standards - 1 kit</t>
  </si>
  <si>
    <t>Trucount controls - 30 tests</t>
  </si>
  <si>
    <t>Calibrite 3-color beads kit - 25 tests</t>
  </si>
  <si>
    <t>BD - FACSPresto cartridge kit - 100 tests</t>
  </si>
  <si>
    <t>Control (blood) - 2.5ml - 1 vial</t>
  </si>
  <si>
    <t>Bag, biohazard 100</t>
  </si>
  <si>
    <t>Container, sharps</t>
  </si>
  <si>
    <t>Container, used needles &amp; syringes</t>
  </si>
  <si>
    <t>Abacavir/Dolutegravir/Lamivudine</t>
  </si>
  <si>
    <t>600/50/300mg tablet 30</t>
  </si>
  <si>
    <t>120/60mg scored tablet dispersible 30</t>
  </si>
  <si>
    <t>5mg tablet dispersible 60</t>
  </si>
  <si>
    <t>50/300/300mg tablet 180 - no carton</t>
  </si>
  <si>
    <t>50/300/300mg tablet 30 - no carton</t>
  </si>
  <si>
    <t>600/200mg/300mg tablet 30 - no carton</t>
  </si>
  <si>
    <t>400/300/300mg tablet 180 - no carton</t>
  </si>
  <si>
    <t>400/300/300mg tablet 30 - no carton</t>
  </si>
  <si>
    <t>400/300/300mg tablet 90 - no carton</t>
  </si>
  <si>
    <t>600/300/300mg tablet 180 - no carton</t>
  </si>
  <si>
    <t>600/300/300mg tablet 30 - no carton</t>
  </si>
  <si>
    <t>600/300/300mg tablet 90 - no carton</t>
  </si>
  <si>
    <t>Lamivudine/Nevirapine/Zidovudine</t>
  </si>
  <si>
    <t>30/50/60mg tablet dispersible 60</t>
  </si>
  <si>
    <t>40/10mg capsule (pellets) 120</t>
  </si>
  <si>
    <t>40/10mg oral granules - 120 sachets</t>
  </si>
  <si>
    <t>10mg/ml oral suspension 240ml</t>
  </si>
  <si>
    <t>50mg tablet dispersible 60</t>
  </si>
  <si>
    <t>Other ARV medicines</t>
  </si>
  <si>
    <t>Other-opioid substitute medicine</t>
  </si>
  <si>
    <t>OIs, STIs &amp; other medicines in HIV</t>
  </si>
  <si>
    <t>Amphotericin b deoxycholate</t>
  </si>
  <si>
    <t>Amphotericin b liposomal</t>
  </si>
  <si>
    <t>Other OI/STI medicines</t>
  </si>
  <si>
    <t>Sulfamethoxazole/Trimethoprim (Co-trimoxazole)</t>
  </si>
  <si>
    <t>Other essential medicines</t>
  </si>
  <si>
    <t>200mg tablet dispersible 500</t>
  </si>
  <si>
    <t>250/62.5mg per 5ml powder for oral solution 100ml</t>
  </si>
  <si>
    <t>500/125mg tablet 50</t>
  </si>
  <si>
    <t>Betamethasone</t>
  </si>
  <si>
    <t>0.1% cream 15g tube</t>
  </si>
  <si>
    <t>500mg powder for injection 10 vial</t>
  </si>
  <si>
    <t>Cetirizine</t>
  </si>
  <si>
    <t>10mg tablet 30</t>
  </si>
  <si>
    <t>Cimetidine</t>
  </si>
  <si>
    <t>200mg tablet 100</t>
  </si>
  <si>
    <t>Diphenhydramine</t>
  </si>
  <si>
    <t>Folic acid</t>
  </si>
  <si>
    <t>5mg tablet 1000</t>
  </si>
  <si>
    <t>Hydrocortisone</t>
  </si>
  <si>
    <t>1% cream and/or ointment 15g tube</t>
  </si>
  <si>
    <t>Loperamide</t>
  </si>
  <si>
    <t>2mg tablet 100</t>
  </si>
  <si>
    <t>Magnesium sulphate</t>
  </si>
  <si>
    <t>500mg/ml 10ml ampoule 100</t>
  </si>
  <si>
    <t>Metoclopramide</t>
  </si>
  <si>
    <t>10mg tablet 1000</t>
  </si>
  <si>
    <t>Multivitamin</t>
  </si>
  <si>
    <t>tablet 1000</t>
  </si>
  <si>
    <t>Naloxone</t>
  </si>
  <si>
    <t>0.4mg/ml 1ml ampoule 10</t>
  </si>
  <si>
    <t>Omeprazole</t>
  </si>
  <si>
    <t>20mg 10 capsule 10 blister (100)</t>
  </si>
  <si>
    <t>Potassium chloride</t>
  </si>
  <si>
    <t>10% solution 10ml ampoule 10</t>
  </si>
  <si>
    <t>Prednisolone</t>
  </si>
  <si>
    <t>5mg tablet 100</t>
  </si>
  <si>
    <t>Prednisone</t>
  </si>
  <si>
    <t>Promethazine</t>
  </si>
  <si>
    <t>Ranitidine</t>
  </si>
  <si>
    <t>50 mg tablet 50</t>
  </si>
  <si>
    <t>100mg tablet 250</t>
  </si>
  <si>
    <t>Zinc sulfate</t>
  </si>
  <si>
    <t>20mg tablet dispersible 100</t>
  </si>
  <si>
    <t>TB medicines for Prevention for HIV program</t>
  </si>
  <si>
    <t>100mg 10 tablet 10 blister (100)</t>
  </si>
  <si>
    <t>100mg 10 tablet dispersible 10 blister (100)</t>
  </si>
  <si>
    <t>300mg 10 tablet 10 blister (100)</t>
  </si>
  <si>
    <t>300mg 28 tablet 24 blister (672)</t>
  </si>
  <si>
    <t>Isoniazid/Pyridoxine hydrochloride/Sulfamethoxazole/Trimethoprim</t>
  </si>
  <si>
    <t>300/25/800/160mg tablet 30</t>
  </si>
  <si>
    <t>50/75mg 10 tablet dispersible 10 blister (100)</t>
  </si>
  <si>
    <t>50/75mg 28 tablet dispersible 3 blister (84)</t>
  </si>
  <si>
    <t>75/150mg 10 tablet 10 blister (100)</t>
  </si>
  <si>
    <t>75/150mg 28 tablet 12 blister (336)</t>
  </si>
  <si>
    <t>75/150mg 28 tablet 24 blister (672)</t>
  </si>
  <si>
    <t>250mg 10 tablet 10 blister (100)</t>
  </si>
  <si>
    <t>500mg 10 tablet 10 blister (100)</t>
  </si>
  <si>
    <t>750mg 10 tablet 10 blister (100)</t>
  </si>
  <si>
    <t>Other TB medicine for TB Prevention</t>
  </si>
  <si>
    <t>150mg 10 tablet 10 blister (100)</t>
  </si>
  <si>
    <t>150mg tablet 24 blister</t>
  </si>
  <si>
    <t>Rifapentine/Isoniazid</t>
  </si>
  <si>
    <t>300/300mg tablet 36 blister</t>
  </si>
  <si>
    <t>Giemsa solution 500ml</t>
  </si>
  <si>
    <t>Methanol (methylalcohol) 1L</t>
  </si>
  <si>
    <t>Glycerin/Glycerol 1L</t>
  </si>
  <si>
    <t>Buffer pH 7.2 tablet for 1L 100 tablets</t>
  </si>
  <si>
    <t>Giemsa powder 100g</t>
  </si>
  <si>
    <t>Other type</t>
  </si>
  <si>
    <t>Microscopy: Malaria smear microscopy - other reagents</t>
  </si>
  <si>
    <t>Malaria Rapid Diagnostic Test Kit - Antigen Pf / Pv - accessories included - 30 tests</t>
  </si>
  <si>
    <t>Alpha-cypermethrin WG-SB, WP, SC</t>
  </si>
  <si>
    <t>Deltamethrin SC-PE, WP, WG, WG-SB</t>
  </si>
  <si>
    <t>Pirimiphos-methyl CS, EC</t>
  </si>
  <si>
    <t>Clothianidin WG</t>
  </si>
  <si>
    <t>Clothianidin &amp; Deltamethrin WP-SB</t>
  </si>
  <si>
    <t>Equipment for IRS</t>
  </si>
  <si>
    <t>Consumables: Other (laboratory)</t>
  </si>
  <si>
    <t>IRS: Personal Protective Equipment (PPE)</t>
  </si>
  <si>
    <t>Protective goggles</t>
  </si>
  <si>
    <t>Face mask/respirator</t>
  </si>
  <si>
    <t>Face shield</t>
  </si>
  <si>
    <t>Rubber gloves</t>
  </si>
  <si>
    <t>Boots</t>
  </si>
  <si>
    <t>Microscope slides 1000 units</t>
  </si>
  <si>
    <t>Microscopy: Malaria other consumables</t>
  </si>
  <si>
    <t>G6PD Diagnostic Test</t>
  </si>
  <si>
    <t>Standard G6PD System - G6PD test 25 tests</t>
  </si>
  <si>
    <t>Standard G6PD System - Controls</t>
  </si>
  <si>
    <t>Other G6PD - reagents</t>
  </si>
  <si>
    <t>20/120mg 24 tablet non-dispersible 30 blister</t>
  </si>
  <si>
    <t>20/120mg 12 tablet non-dispersible 30 blister</t>
  </si>
  <si>
    <t>20/120mg 18 tablet non-dispersible 30 blister</t>
  </si>
  <si>
    <t>20/120mg 6 tablet non-dispersible 30 blister</t>
  </si>
  <si>
    <t>40/240mg 6 tablet 1 blister</t>
  </si>
  <si>
    <t>60/360mg 6 tablet 1 blister</t>
  </si>
  <si>
    <t>80/480mg 6 tablet 1 blister</t>
  </si>
  <si>
    <t>100mg 2 suppository pack</t>
  </si>
  <si>
    <t>100/270mg 3x1 (3) tablet 25 blister</t>
  </si>
  <si>
    <t>100/270mg 3x2 (6) tablet 25 blister</t>
  </si>
  <si>
    <t>100/200mg 3 tablet 30 blister</t>
  </si>
  <si>
    <t>100/200mg 6 tablet 30 blister</t>
  </si>
  <si>
    <t>25/50mg 3 tablet 30 blister</t>
  </si>
  <si>
    <t>25/50mg 6 tablet 30 blister</t>
  </si>
  <si>
    <t>20/60mg 3 sachets for granules (3x1) 30 strip</t>
  </si>
  <si>
    <t>20/60mg 3 sachets for granules (3x2) 30 strip</t>
  </si>
  <si>
    <t>20/60mg 3 sachets for granules (3x3) 30 strip</t>
  </si>
  <si>
    <t>60/180mg tablet 9 tablet (3x1)10 blister</t>
  </si>
  <si>
    <t>60/180mg tablet 9 tablet (3x2)10 blister</t>
  </si>
  <si>
    <t>60/180mg tablet 9 tablet (3x3)10 blister</t>
  </si>
  <si>
    <t>60/180mg tablet 9 tablet (3x4)10 blister</t>
  </si>
  <si>
    <t>50mg+500/25mg 1x(6+2 tablet co-blistered) 25 blister</t>
  </si>
  <si>
    <t>50mg+500/25mg 1x(3+1 tablet co-blistered) 25 blister</t>
  </si>
  <si>
    <t>250mg as phosphate/sulfate (155mg as base) 10 tablet 10 blister (100)</t>
  </si>
  <si>
    <t>250mg as phosphate/sulfate (155mg as base) 10 tablet 100 blister (1000)</t>
  </si>
  <si>
    <t>Other antimalaria medicine for treatment</t>
  </si>
  <si>
    <t>160/20mg 3 dispersible tablet 25 blister</t>
  </si>
  <si>
    <t>320/40mg 12 tablet 1 blister</t>
  </si>
  <si>
    <t>320/40mg 3 dispersible tablet 25 blister</t>
  </si>
  <si>
    <t>320/40mg 6 tablet 1 blister</t>
  </si>
  <si>
    <t>320/40mg 9 tablet 25 blister</t>
  </si>
  <si>
    <t>160/20mg 3 dispersible/non-dispersible tablet 1 blister</t>
  </si>
  <si>
    <t>320/40mg 3 dispersible/non-dispersible tablet 1 blister</t>
  </si>
  <si>
    <t>320/40mg 9 tablet 1 blister</t>
  </si>
  <si>
    <t>7.5mg (as base) (equivalent to 13.2mg Primaquine Phosphate) 10 tablet 10 blister (100)</t>
  </si>
  <si>
    <t>7.5mg (as base) (equivalent to 13.2mg Primaquine Phosphate) 10 tablet 100 blister (1000)</t>
  </si>
  <si>
    <t>Atovaquone-Proguanil</t>
  </si>
  <si>
    <t>250/100mg 12 tablet</t>
  </si>
  <si>
    <t>Doxycycline</t>
  </si>
  <si>
    <t>Other antimalaria medicine for prevention</t>
  </si>
  <si>
    <t>500/25mg 3 tablet 10 blister 5 boxes</t>
  </si>
  <si>
    <t>Auramine O 25g</t>
  </si>
  <si>
    <t>Denatured alcohol 1L</t>
  </si>
  <si>
    <t>Basic fuchsin 100g</t>
  </si>
  <si>
    <t>Methylene blue 100g</t>
  </si>
  <si>
    <t>Hydrochloric acid 1L</t>
  </si>
  <si>
    <t>Sulphuric acid 1L</t>
  </si>
  <si>
    <t>Ziehl Neelsen stain solution 1L</t>
  </si>
  <si>
    <t>Ziehl Neelsen decolourisation solution 1L</t>
  </si>
  <si>
    <t>Ziehl Neelsen counterstaining solution 1L</t>
  </si>
  <si>
    <t>Auramine stain solution and reagents set</t>
  </si>
  <si>
    <t>Auramine decolourisation solution 1L</t>
  </si>
  <si>
    <t>Auramine counterstaining solution 1L</t>
  </si>
  <si>
    <t>Immersion oil 100ml</t>
  </si>
  <si>
    <t>Microscopy: TB smear microscopy - other reagents</t>
  </si>
  <si>
    <t>TB-LAMP Loop-Mediated Isothermal Amplification for TB program</t>
  </si>
  <si>
    <t>TrueNat for TB program</t>
  </si>
  <si>
    <t>BD MGIT TBc Identification Test 25 tests</t>
  </si>
  <si>
    <t>Capilia TB-Neo 10 tests</t>
  </si>
  <si>
    <t>Capilia TB-Neo 100 tests</t>
  </si>
  <si>
    <t>Capilia TB-Neo Extraction buffer 20ml</t>
  </si>
  <si>
    <t>BD BBL Middlebrook 7H9 Broth with Glyerol 5ml 10 units</t>
  </si>
  <si>
    <t>BD BBL Calibrators Kit each</t>
  </si>
  <si>
    <t>BBL MGIT OADC Enrichment each</t>
  </si>
  <si>
    <t>BD BBL Middlebrook OADC Enrichment, 20 mL per tube, ''A'' size tube 10</t>
  </si>
  <si>
    <t>Abbott RealTime MTB Amplification Reagent Kit 96 tests</t>
  </si>
  <si>
    <t>Abbott RealTime MTB RIF/INH Resistance Amplification Reagent Kit 96 tests</t>
  </si>
  <si>
    <t>BD MAX MDR-TB 24 tests</t>
  </si>
  <si>
    <t>FluoroType MTBDR Ver 2.0 96 tests</t>
  </si>
  <si>
    <t>MTB/MPT64 identification - Other reagents</t>
  </si>
  <si>
    <t>MTB/MPT64 identification - Rapid test</t>
  </si>
  <si>
    <t>Molecular diagnosis: LPA-Equipment</t>
  </si>
  <si>
    <t>MULTIBLOT NS-4800</t>
  </si>
  <si>
    <t>Genoscholar NTM+MDRTB II</t>
  </si>
  <si>
    <t>Thermoshaker / Twincubator</t>
  </si>
  <si>
    <t>GenoXtract 96</t>
  </si>
  <si>
    <t>FluoroCycler XT</t>
  </si>
  <si>
    <t>Laboratory Equipment-BACTEC MGIT</t>
  </si>
  <si>
    <t>Laboratory Equipment-BACTEC MGIT 320 system</t>
  </si>
  <si>
    <t>Molecular diagnosis: LPA-Other equipment required</t>
  </si>
  <si>
    <t>Tabletop PCR workstation with UV light</t>
  </si>
  <si>
    <t>Thermoblock</t>
  </si>
  <si>
    <t>Thermocycler</t>
  </si>
  <si>
    <t>UV transilluminator 312nm</t>
  </si>
  <si>
    <t>UV transilluminator 365nm</t>
  </si>
  <si>
    <t>UV crosslinker</t>
  </si>
  <si>
    <t>GenoType MTBDR plus V2 (with Genolyse) 96 tests</t>
  </si>
  <si>
    <t>Genoscholar NTM+MDRTB II 20 tests</t>
  </si>
  <si>
    <t>Sputum cup 1000 units</t>
  </si>
  <si>
    <t>Microscopy: TB other consumables</t>
  </si>
  <si>
    <t>Electrocardiogram (ECG) digital monitor and recorder</t>
  </si>
  <si>
    <t>TB medicines for Sensitive TB</t>
  </si>
  <si>
    <t>400mg 10 tablet 10 blister (100)</t>
  </si>
  <si>
    <t>400mg 28 tablet 24 blister (672)</t>
  </si>
  <si>
    <t>275/75/400/150mg 10 tablet 10 blister (100)</t>
  </si>
  <si>
    <t>275/75/400/150mg 28 tablet 24 blister (672)</t>
  </si>
  <si>
    <t>275/75/400/150mg 28 tablet 12 blister (336)</t>
  </si>
  <si>
    <t>275/75/150mg 10 tablet 10 blister (100)</t>
  </si>
  <si>
    <t>275/75/150mg 28 tablet 24 blister (672)</t>
  </si>
  <si>
    <t>50/150/75mg 10 tablet dispersible 10 blister (100)</t>
  </si>
  <si>
    <t>50/150/75mg 28 tablet dispersible 3 blister (84)</t>
  </si>
  <si>
    <t>Other TB medicine for Sensitive TB</t>
  </si>
  <si>
    <t>500mg 28 tablet 24 blister (672)</t>
  </si>
  <si>
    <t>TB medicines for Resistant TB</t>
  </si>
  <si>
    <t>500/125mg 10 tablet 10 blister (100)</t>
  </si>
  <si>
    <t>875/125mg 10 tablet 10 blister (100)</t>
  </si>
  <si>
    <t>20mg tablet 60</t>
  </si>
  <si>
    <t>50mg 10 tablet 10 blister (100) *child friendly</t>
  </si>
  <si>
    <t>250mg 10 capsule 10 blister (100)</t>
  </si>
  <si>
    <t>125mg 10 capsule 10 blister (100)</t>
  </si>
  <si>
    <t>50mg 28 tablet 24 blister (672)</t>
  </si>
  <si>
    <t>125mg 10 tablet dispersible 10 blister (100)</t>
  </si>
  <si>
    <t>600mg 10 tablet 10 blister (100)</t>
  </si>
  <si>
    <t>Other TB medicine for Resistant TB</t>
  </si>
  <si>
    <t>Para-AminoSalicylate Acid</t>
  </si>
  <si>
    <t>1g powder for solution for injection - 10 vials</t>
  </si>
  <si>
    <t>Syringes and needles kit</t>
  </si>
  <si>
    <t>Auto-disable, reuse prevention syringes with sharp injury prevention, 5ml, 21/22/23 G, individual sterilized peel-off pack, and Safety Box, 5lt.</t>
  </si>
  <si>
    <t>TB medicines for Prevention</t>
  </si>
  <si>
    <t>OI, STIs &amp; other medicines in TB</t>
  </si>
  <si>
    <t>OIs, STIs &amp; other medicines in TB</t>
  </si>
  <si>
    <t>INN</t>
  </si>
  <si>
    <t>Specification</t>
  </si>
  <si>
    <t>Sec</t>
  </si>
  <si>
    <t>WKst</t>
  </si>
  <si>
    <t>Apron</t>
  </si>
  <si>
    <t>IRS Sprayers: hand-operated compression sprayers</t>
  </si>
  <si>
    <t>TB-EQUIPMENT &amp; OTHER HPs</t>
  </si>
  <si>
    <t>Malaria-Equipment &amp; Other HPs</t>
  </si>
  <si>
    <t>Cash Flow</t>
  </si>
  <si>
    <t>Cash Flow LT</t>
  </si>
  <si>
    <t>HPMT Worksheet</t>
  </si>
  <si>
    <t/>
  </si>
  <si>
    <t>Waste management for HIV: Equipment</t>
  </si>
  <si>
    <t>HIV 1+2 - SD Bioline Ag/Ab Combo Kit - no accessories - 30 tests</t>
  </si>
  <si>
    <t>HIV VL/EID Laboratory reagents</t>
  </si>
  <si>
    <t>Sysmex - Partec Cyflow paper roll thermal - 5 rolls</t>
  </si>
  <si>
    <t>Waste management for HIV: Reagents &amp; Consumables</t>
  </si>
  <si>
    <t>Long sleeved overalls</t>
  </si>
  <si>
    <t>600mg/4ml injection 1 ampoule</t>
  </si>
  <si>
    <t>Phenol crystals 500g</t>
  </si>
  <si>
    <t>MycoPrep Specimen Digestion / Decontamination Kit - 150ml 10</t>
  </si>
  <si>
    <t>GT-Blot 48 Tray for 96 strips (black)</t>
  </si>
  <si>
    <t>Auto-disable syringes with sharp injury prevention, 5ml, 21/22/23 G, individual sterilized peel-off pack, and Safety Box, 5lt.</t>
  </si>
  <si>
    <t>10mg tablet 60</t>
  </si>
  <si>
    <t>160/20mg 3 dispersible tablet 2 blister</t>
  </si>
  <si>
    <t>320/40mg 3 dispersible tablet 2 blister</t>
  </si>
  <si>
    <t>BACTEC MGIT PZA Tubes -  25 tubes</t>
  </si>
  <si>
    <t>COVID Diagnostics reagents &amp; consumables</t>
  </si>
  <si>
    <t>Health Product Management Template - COVID - List of health products</t>
  </si>
  <si>
    <t xml:space="preserve">COVID Health Products - Section 1 </t>
  </si>
  <si>
    <t>COVID Health Products Management (HPM) Costs</t>
  </si>
  <si>
    <t>PSA Fees 7.1</t>
  </si>
  <si>
    <t>Freight 7.2</t>
  </si>
  <si>
    <t>In-country storage 7.3</t>
  </si>
  <si>
    <t>In-country distribution 7.4</t>
  </si>
  <si>
    <t>Quality Assurance / Quality Control 7.5</t>
  </si>
  <si>
    <t>Customs clearance 7.6</t>
  </si>
  <si>
    <t>Other costs 7.7</t>
  </si>
  <si>
    <t>Estimated Fees</t>
  </si>
  <si>
    <t>COVID-19</t>
  </si>
  <si>
    <t>COVID-19 control and containment including health systems strengthening</t>
  </si>
  <si>
    <t>Procurement of medicines</t>
  </si>
  <si>
    <t>Procurement of diagnostic reagents &amp; consumables</t>
  </si>
  <si>
    <t>Procurement of PPE &amp; consumables</t>
  </si>
  <si>
    <t>Procurement of medical &amp; laboratory equipment</t>
  </si>
  <si>
    <t xml:space="preserve">COVID worksheet - Section 1, take the total budget per quarter for cost-input "4.7 Other medicines", from the COVID worksheet determine the payment modality F9 and apply the figure in G9 to establish in which quarter in the DB the budget should be reflected </t>
  </si>
  <si>
    <t xml:space="preserve">COVID worksheet - Section 1, take the total budget per quarter for cost-input "5.6 Laboratory Reagents", from the COVID worksheet determine the payment modality F10 and apply the figure in G10 to establish in which quarter in the DB the budget should be reflected </t>
  </si>
  <si>
    <t xml:space="preserve">COVID worksheet - Section 1, take the total budget per quarter for cost-input "5.7 Other consumables", from the COVID worksheet determine the payment modality F11 and apply the figure in G11 to establish in which quarter in the DB the budget should be reflected </t>
  </si>
  <si>
    <t xml:space="preserve">COVID worksheet - Section 1, take the total budget per quarter for cost-input "6.6 Other health equipment", from the COVID worksheet determine the payment modality F12 and apply the figure in G12 to establish in which quarter in the DB the budget should be reflected </t>
  </si>
  <si>
    <t>COVID worksheet - HPM Cost Section, Procurement agent and handling fees (7.1),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</si>
  <si>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Freight and insurance costs for health products (7.2),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</si>
  <si>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Warehouse and storage costs (7.3),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</si>
  <si>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In country distribution costs (7.4),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</si>
  <si>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Quality assurance and quality control costs (QA/QC) (7.5),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</si>
  <si>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PSM Customs Clearance (7.6),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</si>
  <si>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Other procurement and supply management costs (7.7),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</si>
  <si>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TOTAL</t>
  </si>
  <si>
    <t>Y3 Total</t>
  </si>
  <si>
    <t>Y2 Total</t>
  </si>
  <si>
    <t>Y1 Total</t>
  </si>
  <si>
    <t>Total Grant period</t>
  </si>
  <si>
    <t>Inputs</t>
  </si>
  <si>
    <t>French</t>
  </si>
  <si>
    <t>Setup</t>
  </si>
  <si>
    <t xml:space="preserve">Plantilla para la gestión de productos sanitarios: Configuración </t>
  </si>
  <si>
    <t xml:space="preserve">Document type de gestion des produits de santé - Paramètres </t>
  </si>
  <si>
    <t>PAÍS:</t>
  </si>
  <si>
    <t>PAYS :</t>
  </si>
  <si>
    <t>IDIOMA:</t>
  </si>
  <si>
    <t>LANGUE :</t>
  </si>
  <si>
    <t xml:space="preserve">MONEDA: </t>
  </si>
  <si>
    <t xml:space="preserve">DEVISE : </t>
  </si>
  <si>
    <t>COMPONENTE:</t>
  </si>
  <si>
    <t>COMPOSANTE :</t>
  </si>
  <si>
    <t>Escribir el nombre del RP en el cuadro de abajo, si no se incluye en la lista</t>
  </si>
  <si>
    <t>Veuillez saisir le nom du RP dans l’encadré ci-dessous, s’il n’est pas disponible dans la liste</t>
  </si>
  <si>
    <t xml:space="preserve">RP: </t>
  </si>
  <si>
    <t xml:space="preserve">RP : </t>
  </si>
  <si>
    <t>CONTACTO DEL RP:</t>
  </si>
  <si>
    <t>CONTACT DU RP :</t>
  </si>
  <si>
    <t xml:space="preserve">Nombre completo: </t>
  </si>
  <si>
    <t xml:space="preserve">Nom et prénom : </t>
  </si>
  <si>
    <t xml:space="preserve">Cargo: </t>
  </si>
  <si>
    <t xml:space="preserve">Fonction : </t>
  </si>
  <si>
    <t xml:space="preserve">Correo electrónico: </t>
  </si>
  <si>
    <t xml:space="preserve">E-mail : </t>
  </si>
  <si>
    <t>Escribir el número de la subvención en el cuadro de abajo, si no se incluye en la lista</t>
  </si>
  <si>
    <t>Veuillez saisir le numéro de la subvention dans l’encadré ci-dessous, s’il n’est pas disponible dans la liste</t>
  </si>
  <si>
    <t>VERSIÓN de la plantilla GPS</t>
  </si>
  <si>
    <t>VERSION du DGPS</t>
  </si>
  <si>
    <t>Indique la versión de RP en la tabla siguiente</t>
  </si>
  <si>
    <t>Veuillez saisir la version RP dans le tableau ci-dessous</t>
  </si>
  <si>
    <t>Versión</t>
  </si>
  <si>
    <t>Fecha de envío de RP: introducida por RP</t>
  </si>
  <si>
    <t>Date de soumission des RP - Remplie par le RP</t>
  </si>
  <si>
    <t xml:space="preserve">Fecha de aprobación de GPS: introducida por el especialista de productos de salud del FM: </t>
  </si>
  <si>
    <t>Date d’approbation de DGPS - Remplie par le HPM Specialist</t>
  </si>
  <si>
    <t>NÚMERO DE LA SUBVENCIÓN:</t>
  </si>
  <si>
    <t>NUMÉRO DE LA SUBVENTION :</t>
  </si>
  <si>
    <t>Fecha de inicio del período de ejecución (DD/MM/AAAA):</t>
  </si>
  <si>
    <t>Date de début de la période de mise en œuvre (JJ/MM/AAAA) :</t>
  </si>
  <si>
    <t>Fecha de finalización del período de ejecución (DD/MM/AAAA):</t>
  </si>
  <si>
    <t>Date de fin de la période de mise en œuvre (JJ/MM/AAAA) :</t>
  </si>
  <si>
    <t>ENTIDAD ENCARGADA DE LAS ADQUISICIONES:</t>
  </si>
  <si>
    <t>ENTITÉ CHARGÉE DE L’APPROVISIONNEMENT :</t>
  </si>
  <si>
    <t>Categorías de costos de la plantilla GPS</t>
  </si>
  <si>
    <t>Catégories de coûts de l’outil de gestion des produits de santé</t>
  </si>
  <si>
    <t>Costos de GPS</t>
  </si>
  <si>
    <t>Coûts de GPS</t>
  </si>
  <si>
    <t>Entidad encargada de las adquisiciones</t>
  </si>
  <si>
    <t>Entité chargée de l’approvisionnement</t>
  </si>
  <si>
    <t>Modalidad de pago</t>
  </si>
  <si>
    <t>Modalités de paiement</t>
  </si>
  <si>
    <t>Plazo de entrega (en trimestres) (Mín. = 1 y Máx. = 4)</t>
  </si>
  <si>
    <t>Délai de livraison (en trimestres) (Min=1 &amp; Max=4)</t>
  </si>
  <si>
    <t>HIV-Key Info</t>
  </si>
  <si>
    <t>CONDOMS -this information will guide the auto-population of the Detailed Budget worksheet – If you have data for these %, please use the data. If you do not have data, please provide an estimate.</t>
  </si>
  <si>
    <t>PRESERVATIVOS: esta información servirá de base para el rellenado automático de la hoja de cálculo del presupuesto detallado. Si dispone de datos para estos porcentajes, utilícelos. Si no dispone de datos exactos, proporcione una estimación.</t>
  </si>
  <si>
    <t>PRÉSERVATIFS - ces informations serviront au remplissage automatique de la feuille « Budget détaillé » – Si vous avez des données pour ces pourcentages, veuillez utiliser ces données. Si vous ne disposez pas de données, veuillez fournir une estimation.</t>
  </si>
  <si>
    <t>1. COLUMN E: What percentage (%) of the total number of 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100%._x000D_
_x000D_
2. COLUMN F: What percentage (%) of the total number of female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100%._x000D_
_x000D_
3. COLUMN G: What percentage (%) of the total number of lubricants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t>
  </si>
  <si>
    <t>1. COLUMNA E: ¿Qué porcentaje (%) del número total de preservativos masculinos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preservativos femeninos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 G: ¿Qué porcentaje (%) del número total de lubricantes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t>
  </si>
  <si>
    <t>1. COLONNE E : Quel pourcentage (%) du nombre total de préservatifs masculins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2. COLONNE F : Quel pourcentage (%) du nombre total de préservatifs féminins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3. COLONNE G : Quel pourcentage (%) du nombre total de lubrifiants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t>
  </si>
  <si>
    <t xml:space="preserve">RDTs - this information will guide the auto-population of the Detailed Budget worksheet – If you have data for these %, please use the data. If you do not have data, please provide an estimate.									</t>
  </si>
  <si>
    <t>Pruebas de diagnóstico rápido:  esta información servirá de base para el rellenado automático de la hoja de cálculo del presupuesto detallado. Si dispone de datos para estos porcentajes, utilícelos. Si no dispone de datos exactos, facilite una estimación.</t>
  </si>
  <si>
    <t>TDR - ces informations serviront au remplissage automatique de la feuille « Budget détaillé » – Si vous avez des données pour ces pourcentages, veuillez utiliser ces données. Si vous ne disposez pas de données, veuillez fournir une estimation.</t>
  </si>
  <si>
    <t>1. COLUMN E: What percentage (%) of the total number of HIV tests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100%._x000D_
_x000D_
2. COLUMN F: What percentage (%) of the total number of other tests (e.g. HCV, Syphillis, TB)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100%._x000D_
_x000D_
3. COLUMNS G, H, AND I: Consider where HIV tests and other tests will be administered to clients; of the total number of tests that will be procured, what percentage (%) of these will be administered at the health facility, compared with thosed administered within the community, and compared with those administered in a private health facility. Please include the % in the relevant column/row combination and reflect zero (0) for all other. The sum of each column cannot exceed 100% AND the sum of each row (for these 3 columns) should be 100% if any HIV or Non-HIV tests are planned. If cells are highlighted in red, means that sum of all percentages exceeds or is below 100%.</t>
  </si>
  <si>
    <t>1. COLUMNA E: ¿Qué porcentaje (%) del número total de pruebas del VIH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otras pruebas (p. ej., virus de la hepatitis C, sífilis, tuberculosis)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COLUMNAS G, H, I: Tenga en cuenta los casos en que se vayan a administrar pruebas del VIH y de otro tipo a clientes; del número total de pruebas que se vayan a proporcionar, qué porcentaje (%) de estas se administrará en un establecimiento de salud, en comparación con las que se administrarán en la comunidad y en comparación con las que se administrarán en un establecimiento de salud privado. Incluya el porcentaje en la combinación de columnas/filas pertinente e indique cero (0) para el resto. La suma de cada columna no puede superar el 100% Y la suma de cada fila (en estas 3 columnas) debe ser del 100% si están previstas pruebas del VIH o de otro tipo. Cuando aparezcan celdas resaltadas en rojo, significa que la suma de todos los porcentajes está por encima o por debajo del 100%.</t>
  </si>
  <si>
    <t>1. COLONNE E : Quel pourcentage (%) du nombre total de tests de dépistage du VIH acquis dans le cadre de la subvention sera utilisé dans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2. COLONNE F : Quel pourcentage (%) du nombre total d’autres tests (p. ex., virus de l’hépatite C, syphilis, TB) acquis dans le cadre de la subvention sera utilisé dans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3. COLONNES G, H et I : Prenez en compte le cadre dans lequel les tests de dépistage du VIH et les autres tests seront administrés aux clients ; sur le nombre total de tests fournis, quel pourcentage (%) de ceux-ci seront administrés dans des établissements de santé, par rapport à ceux administrés au sein des communautés, et par rapport à ceux administrés dans des établissements de santé privés. Veuillez inclure le pourcentage dans la combinaison colonne/ligne correspondante et indiquer zéro (0) pour toutes les autres. La somme de chaque colonne ne peut pas dépasser 100 % ET la somme de chaque ligne (pour ces trois colonnes) doit être égale à 100 % si des tests de dépistage du VIH ou hors VIH sont prévus. Les cellules surlignées en rouge signifient que la somme de tous les pourcentages est supérieure ou inférieure à 100 %.</t>
  </si>
  <si>
    <t>Header</t>
  </si>
  <si>
    <t>Plantilla para la gestión de productos sanitarios - VIH - lista de productos farmacéuticos</t>
  </si>
  <si>
    <t>Document type de gestion des produits de santé - VIH - Liste de produits pharmaceutiques</t>
  </si>
  <si>
    <t>1. Columna A: Seleccionar la categoría de productos en el menú desplegable
2. Columna E: Seleccionar el nombre del producto (Denominación Común Internacional 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unitario de cada producto (el precio debe estar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país/Agente Local del Fondo (ALF)</t>
  </si>
  <si>
    <t>1. Colonne A : Sélectionner la catégorie de produit depuis le menu déroulant
2. Colonne E : Sélectionner le nom du produit (DCI) depuis le menu déroulant
3. Colonne I :  Sélectionner la spécification dans le menu déroulant ; pour les spécifications portant la mention « saisir les spécifications manuellement », utiliser la colonne AL « Commentaires » pour fournir cette information
4. Colonnes N, U, AB : Insérer le coût unitaire par produit (le prix doit être exprimé dans la devise de la subvention [USD ou EUR])
5. Colonnes O, P, Q, R, V, W, X, Y, AC, AD, AE, AF : Indiquer la quantité par produit qui sera achetée dans le trimestre au cours duquel la commande sera confirmée/passée auprès des fabricants
6. La colonne AL est facultative et doit être utilisée en cas de commentaires pertinents à communiquer à l’équipe de pays/l’agent local du Fonds</t>
  </si>
  <si>
    <t>Categoría de productos</t>
  </si>
  <si>
    <t>Catégorie de produit</t>
  </si>
  <si>
    <t>DCI del producto</t>
  </si>
  <si>
    <t>DCI produit</t>
  </si>
  <si>
    <t>Especificaciones (dosificación, forma farmacéutica, empaque, tamaño del empaque)</t>
  </si>
  <si>
    <t>Spécification (dosage, forme, conditionnement, taille de l’emballage)</t>
  </si>
  <si>
    <t>Unidad de medida</t>
  </si>
  <si>
    <t>Unité de mesure</t>
  </si>
  <si>
    <t>Moneda de pago</t>
  </si>
  <si>
    <t>Monnaie de paiement</t>
  </si>
  <si>
    <t>Costo unitario del A1</t>
  </si>
  <si>
    <t>Coûts unitaires pour l’année 1</t>
  </si>
  <si>
    <t>Cantidad del A1, T1</t>
  </si>
  <si>
    <t>Quantité au T1 Année 1</t>
  </si>
  <si>
    <t>Cantidad del A1, T2</t>
  </si>
  <si>
    <t>Quantité au T2 Année 1</t>
  </si>
  <si>
    <t>Cantidad del A1, T3</t>
  </si>
  <si>
    <t>Quantité au T3 Année 1</t>
  </si>
  <si>
    <t>Cantidad del A1, T4</t>
  </si>
  <si>
    <t>Quantité au T4 Année 1</t>
  </si>
  <si>
    <t>Cantidad total del A1</t>
  </si>
  <si>
    <t>Quantité totale Année 1</t>
  </si>
  <si>
    <t>Costo total del A1</t>
  </si>
  <si>
    <t>Coût total Année 1</t>
  </si>
  <si>
    <t>Costo unitario del A2</t>
  </si>
  <si>
    <t>Coût unitaire Année 2</t>
  </si>
  <si>
    <t>Cantidad del A2, T1</t>
  </si>
  <si>
    <t>Quantité au T1 Année 2</t>
  </si>
  <si>
    <t>Cantidad del A2, T2</t>
  </si>
  <si>
    <t>Quantité au T2 Année 2</t>
  </si>
  <si>
    <t>Cantidad del A2, T3</t>
  </si>
  <si>
    <t>Quantité au T3 Année 2</t>
  </si>
  <si>
    <t>Cantidad del A2, T4</t>
  </si>
  <si>
    <t>Quantité au T4 Année 2</t>
  </si>
  <si>
    <t>Cantidad total del A2</t>
  </si>
  <si>
    <t>Quantité totale Année 2</t>
  </si>
  <si>
    <t>Costo total del A2</t>
  </si>
  <si>
    <t>Coût total Année 2</t>
  </si>
  <si>
    <t>Costo unitario del A3</t>
  </si>
  <si>
    <t>Coût unitaire Année 3</t>
  </si>
  <si>
    <t>Cantidad del A3, T1</t>
  </si>
  <si>
    <t>Quantité au T1 Année 3</t>
  </si>
  <si>
    <t>Cantidad del A3, T2</t>
  </si>
  <si>
    <t>Quantité au T2 Année 3</t>
  </si>
  <si>
    <t>Cantidad del A3, T3</t>
  </si>
  <si>
    <t>Quantité au T3 Année 3</t>
  </si>
  <si>
    <t>Cantidad del A3, T4</t>
  </si>
  <si>
    <t>Quantité au T4 Année 3</t>
  </si>
  <si>
    <t>Cantidad total del A3</t>
  </si>
  <si>
    <t>Quantité totale Année 3</t>
  </si>
  <si>
    <t>Costo total del A3</t>
  </si>
  <si>
    <t>Coût total Année 3</t>
  </si>
  <si>
    <t>Total del período de subvención</t>
  </si>
  <si>
    <t>Durée totale de mise en œuvre de la subvention</t>
  </si>
  <si>
    <t>Cantidad total</t>
  </si>
  <si>
    <t>Quantité totale</t>
  </si>
  <si>
    <t xml:space="preserve">Costo total </t>
  </si>
  <si>
    <t xml:space="preserve">Coût total </t>
  </si>
  <si>
    <t>Finanzas</t>
  </si>
  <si>
    <t>Categoría de costos</t>
  </si>
  <si>
    <t>Entrée de coûts</t>
  </si>
  <si>
    <t>Comentarios</t>
  </si>
  <si>
    <t>Observations</t>
  </si>
  <si>
    <t>Plazo de entrega</t>
  </si>
  <si>
    <t>Délai de livraison</t>
  </si>
  <si>
    <t>1. Columna A: Seleccionar la categoría de productos en el menú desplegable
2. Columna E: Seleccionar el nombre del producto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por unidad de cada producto (el precio debe constar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país/ALF</t>
  </si>
  <si>
    <t>1. Colonne A : Sélectionner la catégorie de produit depuis le menu déroulant_x000D_
2. Colonne E : Sélectionner le nom du produit (DCI) depuis le menu déroulant_x000D_
3. Colonne I :  Sélectionner la spécification dans le menu déroulant ; pour les spécifications portant la mention « saisir les spécifications manuellement », utiliser la colonne AL « Commentaires » pour fournir cette information_x000D_
4. Colonnes N, U, AB : Insérer le coût unitaire par produit (le prix doit être exprimé dans la devise de la subvention [USD ou EUR])_x000D_
5. Colonnes O, P, Q, R, V, W, X, Y, AC, AD, AE, AF : Indiquer la quantité par produit qui sera achetée dans le trimestre au cours duquel la commande sera confirmée/passée auprès des fabricants_x000D_
6. La colonne AL est facultative et doit être utilisée en cas de commentaires pertinents à communiquer à l’équipe de pays/l’agent local du Fonds</t>
  </si>
  <si>
    <t>Health Product Management Template - HIV - List of equipments</t>
  </si>
  <si>
    <t xml:space="preserve">Plantilla para la gestión de productos sanitarios - VIH - lista de equipamiento </t>
  </si>
  <si>
    <t xml:space="preserve">Document type de gestion des produits de santé - VIH - Liste des équipements </t>
  </si>
  <si>
    <t xml:space="preserve">1. Column A: Select the Product Category from the drop-down menu_x000D_
2. Column C: Select the Type of Equipment from the drop-down menu_x000D_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information_x000D_
4. Columns G, N, U: Insert the unit cost per product (the price should be in the grant currency (USD or EUR)_x000D_
5. Columns H, I,J, K, O, P, Q, R, V, W, X, Y: Insert the quantity per product that will be procured in the relevant quarter in which the order will be confirmed/placed with manufacturers_x000D_
6. Column AE is optional and should be used if you have any relevant comments to communicate to the Country Team/LFA										</t>
  </si>
  <si>
    <t>1. Columna A: Seleccionar la categoría de productos en el menú desplegable_x000D_
2. Columna C: Seleccionar el tipo de equipamiento en el menú desplegable_x000D_
3. Columna D: Seleccionar la especificación en el menú desplegable. Este menú incluye el equipamiento, los repuestos y los artículos relacionados con la garantía, el mantenimiento y el servicio; para especificaciones en las que aparezca “introducir especificaciones manualmente”, utilizar la columna AE “Comentarios” a fin de facilitar esta información_x000D_
4. Columnas G, N, U: Insertar el costo unitario de cada producto (el precio debe constar en la moneda de la subvención [USD o EUR])_x000D_
5. Columnas H, I,J, K, O, P, Q, R, V, W, X, Y: Insertar para cada producto la cantidad que será adquirida en el trimestre pertinente en el que se ponga/confirme la orden con los fabricantes_x000D_
6. La columna AE es opcional y se debe utilizar si se desean comunicar comentarios pertinentes al equipo del país/ALF</t>
  </si>
  <si>
    <t>1. Colonne A : Sélectionner la catégorie de produit depuis le menu déroulant_x000D_
2. Colonne C : Sélectionner le type d’équipement dans le menu déroulant_x000D_
3. Colonne D : Sélectionner la spécification dans le menu déroulant - le menu déroulant comprend les équipements, pièces détachées et éléments liés à la garantie, à la maintenance et au service après-vente ; pour les spécifications portant la mention « saisir les spécifications manuellement », utiliser la colonne AE « Observations » pour fournir ces informations_x000D_
4. Colonnes G, N, U : Insérer le coût unitaire par produit (le prix doit être exprimé dans la devise de la subvention [USD ou EUR])_x000D_
5. Colonnes H, I,J, K, O, P, Q, R, V, W, X, Y : Indiquer la quantité par produit qui sera achetée dans le trimestre au cours duquel la commande sera confirmée/passée auprès des fabricants_x000D_
6. La colonne AE est facultative et doit être utilisée en cas de commentaires pertinents à communiquer à l’équipe de pays/l’agent local du Fonds</t>
  </si>
  <si>
    <t>Categoría</t>
  </si>
  <si>
    <t>Catégorie</t>
  </si>
  <si>
    <t>Tipo de equipamiento</t>
  </si>
  <si>
    <t>Type d’équipement</t>
  </si>
  <si>
    <t>Especificaciones (denominación, características técnicas)</t>
  </si>
  <si>
    <t>Spécification (dénomination, caractéristiques techniques)</t>
  </si>
  <si>
    <t>Plantilla para la gestión de productos sanitarios - VIH - lista de otros productos sanitarios</t>
  </si>
  <si>
    <t>Document type de gestion des produits de santé - VIH - Liste des autres produits de santé</t>
  </si>
  <si>
    <t>1. Column A: Select the Product Category from the drop-down menu_x000D_
2. Column E: Select the Type of Product from the drop-down menu_x000D_
3. Column I: Select the Specification from the drop-down menu; for Specifications which state "enter specifications manually", please use the "Comments" column AL to provide this information_x000D_
4. Columns N, U, AB: Insert the unit cost per product (the price should be in the grant currency (USD or EUR)_x000D_
5. Columns O, P, Q, R, V, W, X, Y, AC, AD, AE, AF: Insert the quantity per product that will be procured in the relevant quarter in which the order will be confirmed/placed with manufacturers_x000D_
6. Column AL is optional and should be used if you have any relevant comments to communicate to the Country Team/LFA</t>
  </si>
  <si>
    <t>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unitario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</si>
  <si>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1. Colonne A : Sélectionner la catégorie de produit depuis le menu déroulant_x000D_
2. Colonne E : Sélectionner le type de produit dans le menu déroulant_x000D_
3. Colonne I :  Sélectionner la spécification dans le menu déroulant ; pour les spécifications portant la mention « saisir les spécifications manuellement », utiliser la colonne AL « Commentaires » pour fournir cette information_x000D_
4. Colonnes N, U, AB : Insérer le coût unitaire par produit (le prix doit être exprimé dans la devise de la subvention [USD ou EUR])_x000D_
5. Colonnes O, P, Q, R, V, W, X, Y, AC, AD, AE, AF : Indiquer la quantité par produit qui sera achetée dans le trimestre au cours duquel la commande sera confirmée/passée auprès des fabricants_x000D_
6. La colonne AL est facultative et doit être utilisée en cas de commentaires pertinents à communiquer à l’équipe de pays/l’agent local du Fonds</t>
  </si>
  <si>
    <t>Tipo de producto</t>
  </si>
  <si>
    <t>Type de produit</t>
  </si>
  <si>
    <t>Especificaciones (tamaño, características, tamaño del empaque)</t>
  </si>
  <si>
    <t>Spécifications (taille, caractéristiques, taille de l’emballage)</t>
  </si>
  <si>
    <t>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</si>
  <si>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Producto</t>
  </si>
  <si>
    <t>Produit</t>
  </si>
  <si>
    <t>Especificación (tipo, marca/nombre, con o sin accesorios, n.º de pruebas por empaque)</t>
  </si>
  <si>
    <t>Spécification (type, marque/nom, avec ou sans accessoires, nombre de tests par emballage)</t>
  </si>
  <si>
    <t>1. Column A: Select the Product Category from the drop-down menu_x000D_
2. Column D: Select the Type of Product from the drop-down menu_x000D_
3. Column G: Select the Specification from the drop-down menu; for Specifications which state "enter specifications manually", please use the "Comments" column AK to provide this information_x000D_
4. Columns M, T, AA: Insert the unit cost per product (the price should be in the grant currency (USD or EUR)_x000D_
5. Columns N, O, P, Q, U, V, W, X, AB, AC, AD, AE: Insert the quantity per product that will be procured in the relevant quarter in which the order will be confirmed/placed with manufacturers_x000D_
6. Column AK is optional and should be used if you have any relevant comments to communicate to the Country Team/LFA</t>
  </si>
  <si>
    <t>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</si>
  <si>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1. Colonne A : Sélectionner la catégorie de produit depuis le menu déroulant_x000D_
2. Colonne D : Sélectionner le type de produit dans le menu déroulant_x000D_
3. Colonne G : Sélectionner la spécification dans le menu déroulant ; pour les spécifications portant la mention « saisir les spécifications manuellement », utiliser la colonne AK « Commentaires » pour fournir cette information_x000D_
4. Colonnes M, T, AA : Insérer le coût unitaire par produit (le prix doit être exprimé dans la devise de la subvention [USD ou EUR])_x000D_
5. Colonnes N, O, P, Q, U, V, W, X, AB, AC, AD, AE : Indiquer la quantité par produit qui sera achetée dans le trimestre au cours duquel la commande sera confirmée/passée auprès des fabricants_x000D_
6. La colonne AK est facultative et doit être utilisée en cas de commentaires pertinents à communiquer à l’équipe de pays/l’agent local du Fonds</t>
  </si>
  <si>
    <t>Especificaciones (fabricante, tipo de lote, opción de contrato, n.º de pruebas por empaque)</t>
  </si>
  <si>
    <t>Spécifications (fabricant, type d’ensemble, option de contrat, nombre de tests par emballage)</t>
  </si>
  <si>
    <t>Specifications (Denomination, technical features, pack size)</t>
  </si>
  <si>
    <t xml:space="preserve">Especificaciones (denominación, características técnicas, tamaño del envase) </t>
  </si>
  <si>
    <t>Spécification (dénomination, caractéristiques techniques, taille de l’emballage)</t>
  </si>
  <si>
    <t>TB-Key Info</t>
  </si>
  <si>
    <t>1. ROW 19, COLUMNS G, I, AND J: Fill the "Number of expected ADULTS sensitive TB new cases" that will be supported through grant resources._x000D_
2. ROW 20, COLUMNS G, I, AND J: Fill the "Number of expected ADULTS sensitive TB retreatment" that will be supported through grant resources._x000D_
3. ROW 22, COLUMNS G, I, AND J: Fill the "Total number of expected PEDIATRICS sensitive TB cases " that will be supported through grant resources._x000D_
4. ROW 23, COLUMNS G, I, AND J: Fill the "Number of expected PEDIATRICS sensitive TB retreatment" that will be supported through grant resources._x000D_
5. ROW 24, COLUMNS G, I, AND J: Fill the "Total number of expected MDR TB new cases" that will be supported through grant resources._x000D_
6. ROW 25, COLUMNS G, I, AND J: Fill the "Total number of expected XDR TB new cases" that will be supported through grant resources.</t>
  </si>
  <si>
    <t>1. FILA 19; COLUMNAS G, I, J: Introducir el “Número de nuevos casos previstos de TB sensible en ADULTOS” que recibirán ayuda mediante recursos de la subvención._x000D_
2. FILA 20; COLUMNAS G, I, J: Introducir el “Número de repeticiones previstas del tratamiento contra la TB sensible en ADULTOS” que recibirán ayuda mediante recursos de la subvención._x000D_
3. FILA 22; COLUMNAS G, I, J: Introducir el “Número total de casos previstos de TB sensible en PACIENTES PEDIÁTRICOS” que recibirán ayuda mediante recursos de la subvención._x000D_
4. FILA 23; COLUMNAS G, I, J: Introducir el “Número de repeticiones previstas del tratamiento contra la TB sensible en PACIENTES PEDIÁTRICOS” que recibirán ayuda mediante recursos de la subvención._x000D_
5. FILA 24; COLUMNAS G, I, J: Introducir el “Número total de nuevos casos previstos de TB multirresistente” que recibirán ayuda mediante recursos de la subvención._x000D_
6. FILA 25; COLUMNAS G, I, J: Introducir el “Número total de nuevos casos previstos de TB extremadamente resistente” que recibirán ayuda mediante recursos de la subvención.</t>
  </si>
  <si>
    <t>1. LIGNE 19, COLONNES G, I et J : Compléter le « Nombre de nouveaux cas de TB pharmacosensible attendus chez les ADULTES » qui seront pris en charge par la subvention._x000D_
2. LIGNE 20, COLONNES G, I et J : Compléter le « Nombre de cas de retraitement de la TB pharmacosensible attendus chez les ADULTES » qui seront pris en charge par la subvention._x000D_
3. LIGNE 22, COLONNES G, I et J : Compléter le « Nombre total de cas de TB pharmacosensible attendus chez les ENFANTS » qui seront pris en charge par la subvention._x000D_
4. LIGNE 23, COLONNES G, I et J : Compléter le « Nombre de cas de retraitement de la TB pharmacosensible attendus chez les ENFANTS » qui seront pris en charge par la subvention._x000D_
5. LIGNE 24, COLONNES G, I et J : Compléter le « Nombre total de nouveaux cas de TB multirésistante attendus » qui seront pris en charge par la subvention._x000D_
6. LIGNE 25, COLONNES G, I et J : Compléter le « Nombre total de nouveaux cas de TB ultrarésistante attendus » qui seront pris en charge par la subvention.</t>
  </si>
  <si>
    <t>Plantilla para la gestión de productos sanitarios - TB - lista de productos farmacéuticos</t>
  </si>
  <si>
    <t>Document type de gestion des produits de santé - TB - Liste de produits pharmaceutiques</t>
  </si>
  <si>
    <t>1. Column A: Select the Product Category from the drop-down menu_x000D_
2. Column D: Select the Product name (INN) from the drop-down menu_x000D_
3. Column G: Select the Specification from the drop-down menu; for Specifications which state "enter specifications manually", please use the "Comments" column AK to provide this information_x000D_
4. Columns M, T, AA: Insert the unit cost per product (the price should be in the grant currency (USD or EUR)_x000D_
5. Columns N, O, P, Q, U, V, W, X, AB, AC, AD, AE: Insert the quantity per product that will be procured in the relevant quarter in which the order will be confirmed/placed with manufacturers_x000D_
6. Column AK is optional and should be used if you have any relevant comments to communicate to the Country Team/LFA</t>
  </si>
  <si>
    <t>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unitario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</si>
  <si>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1. Colonne A : Sélectionner la catégorie de produit depuis le menu déroulant_x000D_
2. Colonne D : Sélectionner le nom du produit (DCI) depuis le menu déroulant_x000D_
3. Colonne G : Sélectionner la spécification dans le menu déroulant ; pour les spécifications portant la mention « saisir les spécifications manuellement », utiliser la colonne AK « Commentaires » pour fournir cette information_x000D_
4. Colonnes M, T, AA : Insérer le coût unitaire par produit (le prix doit être exprimé dans la devise de la subvention [USD ou EUR])_x000D_
5. Colonnes N, O, P, Q, U, V, W, X, AB, AC, AD, AE : Indiquer la quantité par produit qui sera achetée dans le trimestre au cours duquel la commande sera confirmée/passée auprès des fabricants_x000D_
6. La colonne AK est facultative et doit être utilisée en cas de commentaires pertinents à communiquer à l’équipe de pays/l’agent local du Fonds</t>
  </si>
  <si>
    <t>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</si>
  <si>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Plantilla para la gestión de productos sanitarios - TB - lista de equipamiento y otros productos sanitarios</t>
  </si>
  <si>
    <t>Document-type de gestion des produits de santé - TB - Liste des équipements et autres produits de santé</t>
  </si>
  <si>
    <t xml:space="preserve">Especificaciones (denominación, características técnicas, tamaño del empaque) </t>
  </si>
  <si>
    <t>Malaria-Key Info</t>
  </si>
  <si>
    <t>1. ROW 24: What percentage of the antimalarial treatments - procured using grant resources - will be used to treat cases at the health facility? Indicate the percentage (%) in F24. Please type zero (0), if relevant._x000D_
2. ROW 25: What percentage of the antimalarial treatments - procured using grant resources - will be used to treat cases in the community? Indicate the percentage (%) in F25. Please type zero (0), if relevant._x000D_
3. ROW 26: What percentage of the antimalarial treatments - procured using grant resources - will be used to treat cases in the private sector / at a private healthcare provider? Indicate the percentage (%) in F26. Please type zero (0), if relevant._x000D_
_x000D_
The sum of F24, F25, and F26 should equal 100%.</t>
  </si>
  <si>
    <t>1. FILA 24: ¿Qué porcentaje de los tratamientos antimaláricos —facilitados mediante recursos de la subvención— se utilizará para tratar casos en el establecimiento de salud? Indicar el porcentaje (%) en la celda F24. Se puede escribir cero (0), si corresponde._x000D_
2. FILA 25: ¿Qué porcentaje de los tratamientos antimaláricos —facilitados mediante recursos de la subvención— se utilizará para tratar casos en la comunidad? Indicar el porcentaje (%) en la celda F25. Se puede escribir cero (0), si corresponde._x000D_
3. FILA 26: ¿Qué porcentaje de los tratamientos antimaláricos —facilitados mediante recursos de la subvención— se utilizará para tratar casos en el sector privado o por parte de un proveedor de asistencia de salud privado? Indicar el porcentaje (%) en la celda F26. Se puede escribir cero (0), si corresponde._x000D_
_x000D_
La suma de F24, F25 y F26 debe ser igual a 100%.</t>
  </si>
  <si>
    <t>1. LIGNE 24 : Quel pourcentage des traitements antipaludiques, acquis par le biais de fonds de subvention, sera utilisé pour traiter les cas dans des établissements de santé ? Indiquer le pourcentage (%) en F24. Écrire zéro (0) le cas échéant._x000D_
2. LIGNE 25 : Quel pourcentage des traitements antipaludiques, acquis par le biais de fonds de subvention, sera utilisé pour traiter les cas au niveau de la communauté ? Indiquer le pourcentage (%) en F25. Écrire zéro (0) le cas échéant._x000D_
3. LIGNE 26 : Quel pourcentage des traitements antipaludiques, acquis par le biais de fonds de subvention, sera utilisé pour traiter les cas dans le secteur privé/chez un prestataire privé de soins de santé ? Indiquer le pourcentage (%) en F26. Écrire zéro (0) le cas échéant._x000D_
_x000D_
La somme des cellules F24, F25 et F26 doit être égale à 100 %.</t>
  </si>
  <si>
    <t>1. ROW 35: What percentage of the antimalarial medicines being used for prevention, and procured using grant resources, will be used for chemoprevention in pregnancy? Indicate the percentage (%) in F35. Please type zero (0), if relevant._x000D_
2. ROW 36: What percentage of the antimalarial medicines being used for prevention, and procured using grant resources, will be used for chemoprevention in infancy/children? Indicate the percentage (%) in F36. Please type zero (0), if relevant._x000D_
3. ROW 37: What percentage of the antimalarial medicines being used for prevention, and procured using grant resources, will be used for seasonal malaria chemoprevention? Indicate the percentage (%) in F37. Please type zero (0), if relevant._x000D_
4. ROW 38: What percentage of the antimalarial medicines being used for prevention, and procured using grant resources, will be used for chemoprevention through mass drug administration? Indicate the percentage (%) in F38. Please type zero (0), if relevant._x000D_
The sum of F35, F36, F37 and F38 should equal 100%.</t>
  </si>
  <si>
    <t>1. FILA 35: ¿Qué porcentaje de los medicamentos antimaláricos utilizados para la prevención y adquiridos con recursos de la subvención, se utilizará para la quimioprevención en el embarazo? Indicar el porcentaje (%) en la celda F35. Se puede escribir cero (0), si corresponde._x000D_
2. FILA 36: ¿Qué porcentaje de los medicamentos antimaláricos utilizados para la prevención y adquiridos con recursos de la subvención, se utilizará para la quimioprevención en la primera infancia/niñez? Indicar el porcentaje (%) en la celda F36. Se puede escribir cero (0), si corresponde._x000D_
3. FILA 37: ¿Qué porcentaje de los medicamentos antimaláricos utilizados para la prevención y adquiridos con recursos de la subvención, se utilizará para la quimioprevención de la malaria estacional? Indicar el porcentaje (%) en la celda F37. Se puede escribir cero (0), si corresponde._x000D_
4. FILA 38: ¿Qué porcentaje de los medicamentos antimaláricos utilizados para la prevención y adquiridos con recursos de la subvención, se utilizará para la quimioprevención con la administración masiva de medicamentos? Indicar el porcentaje (%) en la celda F38. Se puede escribir cero (0), si corresponde._x000D_
La suma de F35, F36, F37 y F38 debe ser igual a 100%.</t>
  </si>
  <si>
    <t>1. LIGNE 35 : Quel pourcentage des traitements antipaludiques utilisés à des fins de prévention et acquis par le biais de fonds de subvention sera utilisé pour la chimioprévention pendant la grossesse ? Indiquer le pourcentage (%) en F35. Écrire zéro (0) le cas échéant._x000D_
2. LIGNE 36 : Quel pourcentage des traitements antipaludiques utilisés à des fins de prévention et acquis par le biais de fonds de subvention sera utilisé pour la chimioprévention chez les nourrissons/enfants ? Indiquer le pourcentage (%) en F36. Écrire zéro (0) le cas échéant._x000D_
3. LIGNE 37 : Quel pourcentage des traitements antipaludiques utilisés à des fins de prévention et acquis par le biais de fonds de subvention sera utilisé pour la chimioprévention du paludisme saisonnier ? Indiquer le pourcentage (%) en F37. Écrire zéro (0) le cas échéant._x000D_
4. LIGNE 38 : Quel pourcentage des traitements antipaludiques utilisés à des fins de prévention et acquis par le biais de fonds de subvention sera utilisé pour la chimioprévention dans le cadre de l’administration massive de médicaments ? Indiquer le pourcentage (%) en F38. Écrire zéro (0) le cas échéant._x000D_
La somme des cellules F35, F36, F37 et F38 doit être égale à 100 %.</t>
  </si>
  <si>
    <t>1. COLUMN G: What percentage of the mRDTs - procured using grant resources - will be used to test suspected cases at the health facility? Indicate the percentage (%) in G50. Please reflect zero (0), if relevant._x000D_
2. COLUMN J: What percentage of the mRDTs - procured using grant resources - will be used to test suspected cases in the community? Indicate the percentage (%) in J50. Please reflect zero (0), if relevant._x000D_
3. COLUMN N: What percentage of the mRDTs - procured using grant resources - will be used to test suspected cases in the private sector / at a private healthcare provider? Indicate the percentage (%) in N50. Please reflect zero (0), if relevant._x000D_
_x000D_
The sum of G50, J50, and N50 should equal 100%.</t>
  </si>
  <si>
    <t>1. COLUMNA G: ¿Qué porcentaje de las pruebas de diagnóstico rápido para la malaria adquiridas con recursos de la subvención— se utilizará para analizar casos sospechosos en el establecimiento de salud? Indicar el porcentaje (%) en la celda G50. Se puede escribir cero (0), si corresponde._x000D_
2. COLUMNA J: ¿Qué porcentaje de las pruebas de diagnóstico rápido para la malaria adquiridas con recursos de la subvención— se utilizará para analizar casos sospechosos en la comunidad? Indicar el porcentaje (%) en la celda J50. Se puede escribir cero (0), si corresponde._x000D_
3. COLUMNA N: ¿Qué porcentaje de las pruebas de diagnóstico rápido para la malaria adquiridas con recursos de la subvención— se utilizará para analizar casos sospechosos en el sector privado o por parte de un proveedor de asistencia de salud privado? Indicar el porcentaje (%) en la celda N50. Se puede escribir cero (0), si corresponde._x000D_
_x000D_
La suma de G50, J50 y N50 debe ser igual a 100%.</t>
  </si>
  <si>
    <t>1. COLONNE G : Quel pourcentage des tests de diagnostic rapide du paludisme, acquis par le biais de fonds de subvention, sera utilisé pour tester les cas présumés dans des établissements de santé ? Indiquer le pourcentage (%) en G50. Indiquer zéro (0), le cas échéant._x000D_
2. COLONNE J : Quel pourcentage des tests de diagnostic rapide du paludisme, acquis par le biais de fonds de subvention, sera utilisé pour tester les cas présumés au niveau de la communauté ? Indiquer le pourcentage (%) en J50. Indiquer zéro (0), le cas échéant._x000D_
3. COLONNE N : Quel pourcentage des tests de diagnostic rapide, acquis par le biais de fonds de subvention, sera utilisé pour tester les cas présumés dans le secteur privé/chez un prestataire privé de soins de santé ? Indiquer le pourcentage (%) en N50. Indiquer zéro (0), le cas échéant._x000D_
_x000D_
La somme des cellules G50, J50 et N50 doit être égale à 100 %.</t>
  </si>
  <si>
    <t>Row 55, please indicate (Y/N) whether the country is using LLINs as a vector control measure._x000D_
_x000D_
ROWS 56-59 refer to the routine distribution of LLINs_x000D_
1. COLUMN F, ROWS 56-59: Please indicate (Y/N) whether LLINs are being routinely distributed through the 4 interventions described._x000D_
2. COLUMN G, ROWS 56-59: Indicate the percentage (%) of LLINs - procured with grant resources FOR ROUTINE DISTRIBUTION - being distributed through these 4 interventions._x000D_
_x000D_
The sum of G56, G57, G58, and G59 should equal 100%._x000D_
_x000D_
ROWS 60 &amp; 61 refer to the distribution of LLINs via mass campaigns_x000D_
1. COLUMN F, ROWS 60 &amp; 61: Please indicate (Y/N) whether LLINs are being distributed through universal and/or target mass distribution campaigns._x000D_
2. COLUMN G, ROWS 60 &amp; 61: Indicate the percentage (%) of LLINs - procured with grant resources FOR MASS DISTRIBUTION - being distributed through universal and/or target mass distribution campaigns._x000D_
_x000D_
The sum of G60 and G61 should equal 100%.</t>
  </si>
  <si>
    <t>Fila 55: indicar (SÍ/NO) si el país está utilizando MILD como medida de control de vectores._x000D_
_x000D_
Las FILAS 56-59 hacen referencia a la distribución rutinaria de MILD_x000D_
1. COLUMNA F, FILAS 56-59: Indicar (SÍ/NO) si los MILD se distribuyen de forma rutinaria en las 4 intervenciones descritas._x000D_
2. COLUMNA G, FILAS 56-59: Indicar el porcentaje (%) de MILD —facilitados mediante recursos de la subvención PARA LA DISTRIBUCIÓN RUTINARIA— que se distribuye en estas 4 intervenciones._x000D_
_x000D_
La suma de G56, G57, G58 y G59 debe ser igual a 100%._x000D_
_x000D_
Las FILAS 60 y 61 hacen referencia a la distribución de MILD mediante campañas masivas_x000D_
1. COLUMNA F, FILAS 60 y 61: Indicar (SÍ/NO) si los MILD se están distribuyendo mediante campañas de distribución masivas específicas o universales._x000D_
2. COLUMNA G, FILAS 60 y 61: Indicar el porcentaje (%) de MILD —facilitados mediante recursos de la subvención PARA LA DISTRIBUCIÓN MASIVA— que se distribuye mediante campañas de distribución masivas específicas o universales._x000D_
_x000D_
La suma de G60 y G61 debe ser igual a 100%.</t>
  </si>
  <si>
    <t>À la ligne 55, veuillez indiquer (O/N) si le pays utilise des MILD comme mesure de lutte antivectorielle._x000D_
_x000D_
Les LIGNES 56-59 se rapportent à la distribution de routine de MILD_x000D_
1. COLONNE F, LIGNES 56-59 : Veuillez indiquer (Y/N) si les MILD font l’objet d’une distribution de routine dans le cadre des quatre interventions énoncées._x000D_
2. COLONNE G, LIGNES 56-59 : Indiquez le pourcentage (%) de MILD, acquises par le biais de fonds de subvention POUR UNE DISTRIBUTION DE ROUTINE, qui sont distribuées dans le cadre de ces quatre interventions._x000D_
_x000D_
La somme des cellules G56, G57, G58 et G59 doit être égale à 100 %._x000D_
_x000D_
Les LIGNES 60 et 61 se rapportent à la distribution des MILD dans le cadre de campagne de masse_x000D_
1. COLONNE F, LIGNES 60 et 61 : Veuillez indiquer (Y/N) si les MILD font l’objet d’une distribution dans le cadre de campagnes de distribution de masse universelles et/ou ciblées._x000D_
2. COLONNE G, LIGNES 60 ET 61 : Indiquez le pourcentage (%) de MILD, acquises par le biais de fonds de subvention POUR LA DISTRIBUTION DE MASSE, qui sont distribuées dans le cadre de campagnes de distribution de masse universelles et/ou ciblées._x000D_
_x000D_
La somme des cellules G60 et G61 doit être égale à 100 %.</t>
  </si>
  <si>
    <t>Plantilla para la gestión de productos sanitarios - Malaria - lista de productos farmacéuticos</t>
  </si>
  <si>
    <t>Document type de gestion des produits de santé - Paludisme - Liste de produits pharmaceutiques</t>
  </si>
  <si>
    <t>1. Column A: Select the Product Category from the drop-down menu_x000D_
2. Column E: Select the Product name (INN) from the drop-down menu_x000D_
3. Column I: Select the Specification from the drop-down menu; for Specifications which state "enter specifications manually", please use the "Comments" column AL to provide this information_x000D_
4. Columns N, U, AB: Insert the unit cost per product (the price should be in the grant currency (USD or EUR)_x000D_
5. Columns O, P, Q, R, V, W, X, Y, AC, AD, AE, AF: Insert the quantity per product that will be procured in the relevant quarter in which the order will be confirmed/placed with manufacturers_x000D_
6. Column AL is optional and should be used if you have any relevant comments to communicate to the Country Team/LFA</t>
  </si>
  <si>
    <t>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</si>
  <si>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Plantilla para la gestión de productos sanitarios: Malaria, lista de equipamiento y otros productos sanitarios</t>
  </si>
  <si>
    <t>Document-type de gestion des produits de santé - Paludisme - Liste des équipements et autres produits de santé</t>
  </si>
  <si>
    <t xml:space="preserve">Spécification (dénomination, caractéristiques techniques, taille de l’emballage le cas échéant) </t>
  </si>
  <si>
    <t>Specifications (Antigen(s) to detect, options/accesories, pack size)</t>
  </si>
  <si>
    <t>Especificaciones (denominación, características técnicas, tamaño del empaque)</t>
  </si>
  <si>
    <t xml:space="preserve">Spécifications (antigène[s] à détecter, options/accessoires, taille de l’emballage) </t>
  </si>
  <si>
    <t>La COLUMNA E refleja porcentajes (%) indicativos por categoría de producto para cada uno de los siete (7) insumos de costos de GAS/GPS. Si es necesario, se pueden revisar los porcentajes y corregirlos. Si la subvención no cubre estos costos, escribir cero (0).</t>
  </si>
  <si>
    <t>La COLONNE E reflète les pourcentages indicatifs (%) par catégorie de produits pour chacune des sept (7) entrées de coûts de GAS/GPS. Revoir les pourcentages et les ajuster, si nécessaire. Si la subvention ne couvre pas ces coûts, indiquer zéro (0).</t>
  </si>
  <si>
    <t>Tipo de producto sanitario</t>
  </si>
  <si>
    <t>Type de produit de santé</t>
  </si>
  <si>
    <t>Estimated PSA fee (7.1)</t>
  </si>
  <si>
    <t>Honorario estimado de los agentes de adquisiciones y suministros (7.1)</t>
  </si>
  <si>
    <t>Estimation des honoraires des agents chargés des achats (7.1)</t>
  </si>
  <si>
    <t>Costo del A1, T1</t>
  </si>
  <si>
    <t>A1 T1 coût</t>
  </si>
  <si>
    <t>Costo del A1, T2</t>
  </si>
  <si>
    <t>A1 T2 coût</t>
  </si>
  <si>
    <t>Costo del A1, T3</t>
  </si>
  <si>
    <t>A1 T3 coût</t>
  </si>
  <si>
    <t>Costo del A1, T4</t>
  </si>
  <si>
    <t>A1 T4 coût</t>
  </si>
  <si>
    <t>Coût total Année 1</t>
  </si>
  <si>
    <t>Costo del A2, T1</t>
  </si>
  <si>
    <t>A2 T1 coût</t>
  </si>
  <si>
    <t>Costo del A2, T2</t>
  </si>
  <si>
    <t>A2 T2 coût</t>
  </si>
  <si>
    <t>Costo del A2, T3</t>
  </si>
  <si>
    <t>A2 T3 coût</t>
  </si>
  <si>
    <t>Costo del A2, T4</t>
  </si>
  <si>
    <t>A2 T4 coût</t>
  </si>
  <si>
    <t>Coût total Année 2</t>
  </si>
  <si>
    <t>Costo del A3, T1</t>
  </si>
  <si>
    <t>A3 T1 coût</t>
  </si>
  <si>
    <t>Costo del A3, T2</t>
  </si>
  <si>
    <t>A3 T2 coût</t>
  </si>
  <si>
    <t>Costo del A3, T3</t>
  </si>
  <si>
    <t>A3 T3 coût</t>
  </si>
  <si>
    <t>Costo del A3, T4</t>
  </si>
  <si>
    <t>A3 T4 coût</t>
  </si>
  <si>
    <t>Coût total Année 3</t>
  </si>
  <si>
    <t>Catégorie de coûts</t>
  </si>
  <si>
    <t>Estimated Freight and insurance % fee (7.2)</t>
  </si>
  <si>
    <t>Honorario estimado en % de flete y seguro (7.2)</t>
  </si>
  <si>
    <t>Estimation du % des frais de fret et d’assurance (7.2)</t>
  </si>
  <si>
    <t>Estimated QA/QC % fee (7.5)</t>
  </si>
  <si>
    <t>Honorario estimado en % de aseguramiento y control de la calidad (7.5)</t>
  </si>
  <si>
    <t>Estimation du % des frais d’assurance/contrôle qualité (7.5)</t>
  </si>
  <si>
    <t>Estimated PSM Customs Clearance fee (7.6)</t>
  </si>
  <si>
    <t>Honorario estimado del despacho de aduana de la gestión de adquisiciones y suministros (7.6)</t>
  </si>
  <si>
    <t>Estimation des droits de douane et frais de dédouanement de la GAS (7.6)</t>
  </si>
  <si>
    <t>Estimated fees (7.3)</t>
  </si>
  <si>
    <t>Honorarios estimados (7.3)</t>
  </si>
  <si>
    <t>Estimation des frais (7.3)</t>
  </si>
  <si>
    <t>Estimated fees (7.4)</t>
  </si>
  <si>
    <t>Honorarios estimados (7.4)</t>
  </si>
  <si>
    <t>Estimation des frais (7.4)</t>
  </si>
  <si>
    <t>Estimated fees (7.5)</t>
  </si>
  <si>
    <t>Honorarios estimados (7.5)</t>
  </si>
  <si>
    <t>Estimation des frais (7.5)</t>
  </si>
  <si>
    <t>Estimated fees (7.7)</t>
  </si>
  <si>
    <t>Honorarios estimados (7.7)</t>
  </si>
  <si>
    <t>Estimation des frais (7.7)</t>
  </si>
  <si>
    <t>Original</t>
  </si>
  <si>
    <t>Health Product Management Template - Set up</t>
  </si>
  <si>
    <t>CURRENCY:</t>
  </si>
  <si>
    <t>PR:</t>
  </si>
  <si>
    <t>Full name:</t>
  </si>
  <si>
    <t>Position:</t>
  </si>
  <si>
    <t>Email:</t>
  </si>
  <si>
    <t>VERSION of HPM template</t>
  </si>
  <si>
    <t>Descripción del costo (por ejemplo: proveedor de servicios,…)</t>
  </si>
  <si>
    <t>Description des coûts (par exemple: prestataire de services,…)</t>
  </si>
  <si>
    <t>All</t>
  </si>
  <si>
    <t>please fill setup</t>
  </si>
  <si>
    <t>Please fill Setup</t>
  </si>
  <si>
    <t>Veuillez remplir la configuration</t>
  </si>
  <si>
    <t>Por favor complete la pestaña "CONFIGURACIÓN"</t>
  </si>
  <si>
    <t>DGSP - Document type de gestion des produits de santé - Documents justificatifs obligatoires</t>
  </si>
  <si>
    <t>Merci de fournir tous les documents énumérés en pièces jointes</t>
  </si>
  <si>
    <t>1) Directives nationales de traitement pour la maladie concernée et/ou protocoles de soins en vigueur au moment de la soumission. Si les protocoles sont en cours de révision, veuillez fournir un plan de transition (p. ex., changements de schémas thérapeutiques, introduction de nouvelles formulations pédiatriques, schémas thérapeutiques raccourcis pour la TB multirésistante, plan de déploiement et rapidité d’exécution, préparation de la chaîne d’approvisionnement pour la transition)</t>
  </si>
  <si>
    <t>2) Algorithmes de dépistage pour la maladie concernée</t>
  </si>
  <si>
    <t>3) Rapport national de quantification (laboratoire compris) à partir duquel les quantités figurant dans le document type de gestion des produits de santé (DGPS) sont calculées</t>
  </si>
  <si>
    <t>4) Entités impliquées dans les prévisions/participant au comité national de quantification ; procès-verbal de la dernière réunion</t>
  </si>
  <si>
    <t>5) Capacité des programmes et plans de mise à l'échelle pour la période de subvention de trois ans</t>
  </si>
  <si>
    <t xml:space="preserve">6) Investissements dans les équipements médicaux (p. ex., GeneXpert) : stratégie nationale et informations sur l’utilisation transversale du matériel dans l’ensemble des programmes, stratégie à long terme concernant la maintenance ordinaire, les réparations et l'entretien, ainsi que les achats de réactifs </t>
  </si>
  <si>
    <t>7) Contributions financières pour les produits de santé (toutes les sources de financement disponibles pour atteindre les cibles) et analyse des gaps de financement des produits de santé pour la période de subvention de trois ans</t>
  </si>
  <si>
    <t>8) Copie du plan national d’approvisionnement reflétant le calendrier négocié des contributions du Fonds mondial vis à vis des besoins nationaux pour la période de subvention de trois ans</t>
  </si>
  <si>
    <t>9) Stock de sécurité/tampon et son rationnel</t>
  </si>
  <si>
    <t xml:space="preserve">10) Fichiers de quantification présentant les hypothèses et les formules utilisées </t>
  </si>
  <si>
    <t xml:space="preserve">11) Sources et justification des coûts unitaires des produits de santé : Le récipiendaire principal (RP) doit fournir toutes les informations pertinentes utilisées pour estimer le coût unitaire, notamment une copie de la liste des prix de référence la plus récente établie par le Fonds mondial pour les produits essentiels (disponible sur le site web du Fonds mondial), le catalogue du GDF pour les produits destinés aux programmes de lutte contre la tuberculose (TB), le catalogue de l’UNICEF, le système d’information sur les prix et la qualité (PQR), l’« Indicateur de prix internationaux des médicaments » de Management Sciences for Health (MSH), etc. </t>
  </si>
  <si>
    <t>12) Estimation des coûts de gestion des achats et des stocks (GAS)/gestion des produits de santé (GPS). Merci de séparer les coûts opérationnels des fonds de renforcement des infrastructures/systèmes de GAS) : Le RP doit fournir toutes les informations pertinentes justifiant les pourcentages attribués à chaque catégorie de produits (p. ex., les antirétroviraux [ARV]) et à chaque entrée de coûts (p. ex.; fret et assurances catégorie 7.2). Il pourra s’agir de la structure tarifaire de l’agent chargé des achats ou d’un prestataire de services logistiques tiers, d’anciennes factures, etc.</t>
  </si>
  <si>
    <t>13) Tous les rapports des évaluations de la chaîne d’approvisionnement et/ou du réseau de laboratoires réalisées au cours des deux dernières années, quelle que soit la source de financement de l’évaluation. 
Il s’agit des évaluations du système dans son ensemble et non d’une partie de celui-ci. Elles pourront porter sur une seule catégorie de produits de santé ou sur la gamme complète des produits de santé et de laboratoires essentiels.</t>
  </si>
  <si>
    <t xml:space="preserve">Plan stratégique national de gestion des produits de santé
Cela inclut tout document stratégique disponible et valide (p. ex., politique nationale en matière de médicaments, stratégie nationale de la chaîne d’approvisionnement, stratégie de l’agence de réglementation des médicaments, stratégie de financement des médicaments [dans le cadre de la stratégie de financement de la santé], stratégie pour les services de laboratoire ainsi que les plans opérationnels chiffrés correspondants).
Il convient de noter que toute demande de financement pour le renforcement des systèmes devra s’appuyer sur une stratégie/vision nationale bien définie et être étayée par un plan opérationnel. En l’absence d’un document de stratégie et/ou d’un plan opérationnel, il est également possible de demander un financement pour élaborer ces documents. </t>
  </si>
  <si>
    <t>Remarque :
Pour les feuilles de calcul suivantes, les quantités par article/produit de santé nécessaires pour l’année 1 devront refléter le calendrier trimestriel des achats financés par le Fonds mondial, en précisant le trimestre durant lequel les commandes doivent être passées.
Si ces détails ne sont pas disponibles pour les années 2 et 3, les quantités nécessaires pourront être provisoirement saisies sous la forme d’une commande annuelle unique passée le premier trimestre de l’année concernée, en espérant qu’un calendrier d’achat plus détaillé sera progressivement incorporé dans le cadre de l’examen annuel des prévisions de la demande, en particulier pour les portefeuilles Core et à High impact.</t>
  </si>
  <si>
    <t>En cas de reprogrammation / réaffectation / utilisation de montants économisés, les éléments suivants sont obligatoires :</t>
  </si>
  <si>
    <t>i.     Déficit/gap de financement actualisé des produits de santé ;</t>
  </si>
  <si>
    <t>ii.    Cibles actualisées des programmes justifiant l’achat de produits de santé supplémentaires ;</t>
  </si>
  <si>
    <t>iii.    Éléments concrets prouvant la validité des hypothèses utilisées pour actualiser la demande de financement de produits de santé supplémentaires ;</t>
  </si>
  <si>
    <t>iv.      Actualisation des coûts unitaires ;</t>
  </si>
  <si>
    <t xml:space="preserve">v.       Pour les achats déjà exécutés pendant la période de subvention et jusqu’à la présentation de la demande, mettre à jour rétrospectivement les quantités déjà acquises et les coûts finaux réels (prévus lors de la signature de l’accord de subvention par rapport aux coûts réels au moment de la présentation de la nouvelle demande) </t>
  </si>
  <si>
    <t xml:space="preserve">Note importante :
a.	Les quantités estimées de produits de santé peuvent inclure un stock tampon/de sécurité dans les limites des politiques nationales de gestion des stocks et conformément aux directives du Fonds mondial pour l’établissement des budgets, la communication de l’information financière et la clôture des subventions.
b.	Les activités d’un programme financé par une subvention du Fonds mondial sont mises en œuvre et exécutées selon un calendrier préétabli appelé « période de mise en œuvre de la subvention », qui est généralement de trois ans. Le début de la période de mise en œuvre de la subvention peut coïncider avec le début du calendrier civil ou avec celui de l’exercice budgétaire du pays. Le premier trimestre du document-type de gestion des produits de santé (DGPS) doit toujours correspondre au premier trimestre de la période de mise en œuvre, comme prévu dans le cadre de résultats et le budget détaillé.  
c.	Les quantités trimestrielles doivent être saisies dans le DGPS en fonction du calendrier prévu par le RP pour passer la commande, étant entendu que les bons de commande doivent être confirmés au plus tôt, en tenant compte des méthodes d’achat et des délais de livraison estimés.      </t>
  </si>
  <si>
    <t>Herramienta de gestión de productos sanitarios: Documentos justificativos obligatorios</t>
  </si>
  <si>
    <t>Por favor incluya como archivos adjuntos todos los documentos que se indican</t>
  </si>
  <si>
    <t>1) Guías nacionales de tratamiento o protocolos de atención pertinentes  para la enfermedad en el momento de la presentación. Si los protocolos se encuentran bajo revisión, presente un plan de transición (p. ej., cambio de regímenes, introducción de nuevas formulaciones pediátricas, regímenes abreviados para casos de tuberculosis multirresistente, despliegue de planes y plazos, preparación de la cadena de suministros para la transición).</t>
  </si>
  <si>
    <t>2) Algoritmos de diagnóstico para la enfermedad correspondiente.</t>
  </si>
  <si>
    <t>3) Informe nacional de cuantificación (incluidos los laboratorios) del cual se derivan las cantidades en la Herramienta de Gestión de Productos sanitarios (HPMT).</t>
  </si>
  <si>
    <t>4) Actas de las últimas reuniones de entidades implicadas en previsión/comité nacional de previsión.</t>
  </si>
  <si>
    <t>5) Capacidad de los programas y planes/objetivos de ampliación para los tres años de la subvención.</t>
  </si>
  <si>
    <t xml:space="preserve">6) Inversiones en equipamiento sanitario (p. ej., GeneXpert): estrategia nacional e información sobre el uso en todos los programas, estrategia de sostenibilidad a largo plazo para mantenimiento reparaciones y servicios rutinarios, y adquisiciones de reactivos. </t>
  </si>
  <si>
    <t>7) Contribuciones financieras para los productos sanitarios (todas las fuentes de financiamiento disponibles para alcanzar los objetivos) y el análisis de las deficiencias financieras en productos sanitarios para los tres años de la subvención.</t>
  </si>
  <si>
    <t xml:space="preserve">8) Copia del plan nacional de suministros que refleje el calendario negociado de las contribuciones del Fondo Mundial a las necesidades nacionales en materia de existencias para los tres años de la subvención. </t>
  </si>
  <si>
    <t>9) Stock de reserva/seguridad y justificación para su inclusión en los cálculos.</t>
  </si>
  <si>
    <t xml:space="preserve">10) Hojas de cálculo con los supuestos utilizados y fórmulas. </t>
  </si>
  <si>
    <t xml:space="preserve">11) Fuentes y justificación de los costos unitarios de los productos sanitarios: El receptor principal (RP) debe facilitar toda la información relevante utilizada para estimar los costos unitarios, tales como, una copia de la lista de precios de referencia de productos básicos del Fondo Mundial más reciente (disponible en el sitio web del Fondo Mundial), el catálogo del Servicio Farmacéutico Mundial (GDF) para productos sanitarios del programa de tuberculosis, el catálogo del Fondo mundial de las Naciones Unidas para la Infancia (UNICEF), el Sistema de Información de Precios y Calidad (PQR) del Fondo Mundial, la Guía Internacional de Indicadores de Precios de Medicamentos de Management Sciences for Health (MSH), etc. </t>
  </si>
  <si>
    <t>12) Estimación de costos GAS /GPS (favor separar los costos operativos de los fondos de infraestructura/ fortalecimiento del sistema de GAS): El receptor principal debe facilitar toda la información pertinente para respaldar los porcentajes individuales asignados a cada categoría de productos (p. ej., antirretrovirales) y cada insumo de costos (p. ej., flete y seguro 7.2). Esto puede incluir la estructura de tarifas de los agentes de compras, estructura de tarifas de servicios logísticos de terceros, facturas pasadas, etc.</t>
  </si>
  <si>
    <t>13) Cualquier informe de evaluación de la cadena de suministros o de la red de laboratorios que se haya realizado en los dos últimos años, independientemente de la fuente de financiamiento para dicha evaluación. 
Esto se refiere a las evaluaciones a todo el sistema o a cualquier parte/sección del mismo. Puede centrarse en una categoría de productos sanitarios o en toda la gama de productos sanitarios esenciales y laboratorios.</t>
  </si>
  <si>
    <t xml:space="preserve">14) Plan Estratégico Nacional para la gestión de los productos sanitarios
Esto incluye cualquier documento estratégico que esté disponible y tenga validez (p. ej., política nacional de medicamentos, estrategia nacional para la cadena de suministros, estrategia de la agencia reguladora de medicamentos, estrategia para el financiamiento de medicamentos —como parte de la estrategia de financiamiento de la salud—, estrategia para los servicios de laboratorio y planes de ejecución presupuestados correspondientes).
Cabe señalar que cualquier solicitud de financiamiento para el fortalecimiento de los sistemas debe basarse en una estrategia/visión nacional definida y contar con un plan de ejecución. A falta de un documento de estrategia o un plan de ejecución, también es posible una solicitud de financiamiento para elaborar estos documentos. </t>
  </si>
  <si>
    <t>Nota:
Para las siguientes hojas de cálculo, las cantidades por artículo/producto sanitario necesarios en el A1 deben reflejar el calendario trimestral de las adquisiciones financiadas por el Fondo Mundial, indicando el trimestre en el que deben realizarse los pedidos.
Para A2 y A3, si los detalles no están disponibles, las cantidades a comprar se pueden introducir provisionalmente como un solo pedido anual, en el primer trimestre de ese año, con la idea de que se incorpore progresivamente un calendario de adquisiciones más específico como parte de la revisión anual de previsión de demanda, en particular en lo relativo a los portafolios Básicos y de Alto Impacto.</t>
  </si>
  <si>
    <t>En caso de reprogramación/reasignación/uso de ahorros, es obligatorio lo siguiente:</t>
  </si>
  <si>
    <t>i.     Déficit de financiamiento actualizado para productos sanitarios;</t>
  </si>
  <si>
    <t>ii.    Objetivos programáticos actualizados para justificar la solicitud adicional para productos sanitarios;</t>
  </si>
  <si>
    <t>iii.    Evidencias de todos los supuestos utilizados para actualizar la solicitud para financiar productos sanitarios adicionales;</t>
  </si>
  <si>
    <t>iv.    Costos unitarios actualizados; y</t>
  </si>
  <si>
    <t xml:space="preserve">v.     Para adquisiciones ya ejecutadas durante el período de subvención y hasta su presentación, actualizar retrospectivamente las cantidades ya adquiridas y los costos finales reales (proyectados en el momento de la firma de la subvención frente a los vigentes en el momento de la presentación de la nueva solicitud). </t>
  </si>
  <si>
    <t xml:space="preserve">Nota importante:
a. Las cantidades estimadas de productos sanitarios pueden incluir cantidades de reserva/seguridad dentro de los límites de las políticas nacionales de gestión de inventarios y de acuerdo con las directrices de presupuestación, financieras y de cierre de subvención del Fondo Mundial.
b. Las actividades programáticas de una subvención del Fondo Mundial se ejecutan y completan según un marco temporal acordado denominado “período de ejecución de la subvención” que habitualmente es de hasta tres años. El año de la subvención en el período de ejecución puede seguir un año natural o bien el año fiscal del país. El T1 de la plantilla GPS debe referirse al T1 del período de ejecución según se ha acordado en el marco de desempeño y en el presupuesto detallado.  
c. Las cantidades trimestrales introducidas en la plantilla GPS deben reflejar el plazo deseado por el receptor principal para realizar el pedido con el supuesto de que las órdenes de compra deben confirmarse de manera oportuna considerando los métodos de adquisiciones y los plazos de entrega estimados.      </t>
  </si>
  <si>
    <t>Geography ID</t>
  </si>
  <si>
    <t>Country</t>
  </si>
  <si>
    <t>Currency ID</t>
  </si>
  <si>
    <t>Component ID</t>
  </si>
  <si>
    <t>Organization ID</t>
  </si>
  <si>
    <t>PR Organization</t>
  </si>
  <si>
    <t>GOSGrantID</t>
  </si>
  <si>
    <t>GrantName</t>
  </si>
  <si>
    <t>0013600000xoEDMAA2</t>
  </si>
  <si>
    <t>0013600000xoEHQAA2</t>
  </si>
  <si>
    <t>a1E1R0000060d30UAA</t>
  </si>
  <si>
    <t>0011R00002BH5sUQAT</t>
  </si>
  <si>
    <t>a1E1R00000616MgUAI</t>
  </si>
  <si>
    <t>a1E1R00000616MvUAI</t>
  </si>
  <si>
    <t>0013600000xoEHWAA2</t>
  </si>
  <si>
    <t>a1E1R00000DlmwGUAR</t>
  </si>
  <si>
    <t>0011R00002FW6goQAD</t>
  </si>
  <si>
    <t>a1E1R00000Dm7W4UAJ</t>
  </si>
  <si>
    <t>0013600001xdJKHAA2</t>
  </si>
  <si>
    <t>a1E1R00000FoYyYUAV</t>
  </si>
  <si>
    <t>0013600000xoEHSAA2</t>
  </si>
  <si>
    <t>a1E3p00000B9oNAEAZ</t>
  </si>
  <si>
    <t>MAR-C-MOH</t>
  </si>
  <si>
    <t>0011R00001zlHnFQAU</t>
  </si>
  <si>
    <t>a1E1R00000FoiwDUAR</t>
  </si>
  <si>
    <t>0011R000021Gk69QAC</t>
  </si>
  <si>
    <t>a1E1R00000FpYIFUA3</t>
  </si>
  <si>
    <t>0013600000xoEHuAAM</t>
  </si>
  <si>
    <t>a1E3p00000BgjvHEAR</t>
  </si>
  <si>
    <t>MLI-C-MOH</t>
  </si>
  <si>
    <t>0013600000xoEKKAA2</t>
  </si>
  <si>
    <t>a1E3p00000BgjvMEAR</t>
  </si>
  <si>
    <t>SLB-T-MOH</t>
  </si>
  <si>
    <t>0011R000027ljyOQAQ</t>
  </si>
  <si>
    <t>a1E1R00000HyQDrUAN</t>
  </si>
  <si>
    <t>a1E3p00000BgjvREAR</t>
  </si>
  <si>
    <t>MLI-S-MOH</t>
  </si>
  <si>
    <t>0013600000xoEGOAA2</t>
  </si>
  <si>
    <t>a1E1R00000HyiUXUAZ</t>
  </si>
  <si>
    <t>0011R000022Xlq0QAC</t>
  </si>
  <si>
    <t>a1E1R00000Jh4TvUAJ</t>
  </si>
  <si>
    <t>a1E1R00000Jh4iHUAR</t>
  </si>
  <si>
    <t>0013600001xf7DgAAI</t>
  </si>
  <si>
    <t>a1E1R00000JjSfjUAF</t>
  </si>
  <si>
    <t>0013600000xoEHdAAM</t>
  </si>
  <si>
    <t>a1E360000012H8uEAE</t>
  </si>
  <si>
    <t>a1E360000012H8vEAE</t>
  </si>
  <si>
    <t>a1E360000012H8wEAE</t>
  </si>
  <si>
    <t>0013600000xoEKdAAM</t>
  </si>
  <si>
    <t>a1E360000012H8zEAE</t>
  </si>
  <si>
    <t>0013600000xoEHpAAM</t>
  </si>
  <si>
    <t>a1E360000012H90EAE</t>
  </si>
  <si>
    <t>0013600000xoEKfAAM</t>
  </si>
  <si>
    <t>a1E360000012H91EAE</t>
  </si>
  <si>
    <t>a1E360000012H92EAE</t>
  </si>
  <si>
    <t>0013600000xoEIYAA2</t>
  </si>
  <si>
    <t>a1E360000012H95EAE</t>
  </si>
  <si>
    <t>0013600000xoEGmAAM</t>
  </si>
  <si>
    <t>a1E360000012H96EAE</t>
  </si>
  <si>
    <t>0013600000xoEFaAAM</t>
  </si>
  <si>
    <t>a1E360000012H9AEAU</t>
  </si>
  <si>
    <t>0013600000xoEHtAAM</t>
  </si>
  <si>
    <t>a1E360000012H97EAE</t>
  </si>
  <si>
    <t>a1E360000012H98EAE</t>
  </si>
  <si>
    <t>a1E360000012H99EAE</t>
  </si>
  <si>
    <t>a1E360000012H9BEAU</t>
  </si>
  <si>
    <t>a1E360000012H9CEAU</t>
  </si>
  <si>
    <t>a1E360000012H9DEAU</t>
  </si>
  <si>
    <t>0013600000xoEIgAAM</t>
  </si>
  <si>
    <t>a1E360000012H9EEAU</t>
  </si>
  <si>
    <t>0013600000xoEI0AAM</t>
  </si>
  <si>
    <t>a1E360000012H9FEAU</t>
  </si>
  <si>
    <t>a1E360000012H9HEAU</t>
  </si>
  <si>
    <t>0013600000xoEGeAAM</t>
  </si>
  <si>
    <t>a1E360000012H9IEAU</t>
  </si>
  <si>
    <t>a1E360000012H9JEAU</t>
  </si>
  <si>
    <t>a1E360000012H9KEAU</t>
  </si>
  <si>
    <t>a1E360000012H9MEAU</t>
  </si>
  <si>
    <t>0013600000xoEIvAAM</t>
  </si>
  <si>
    <t>a1E360000012H9PEAU</t>
  </si>
  <si>
    <t>0013600000xoEFpAAM</t>
  </si>
  <si>
    <t>a1E360000012H9QEAU</t>
  </si>
  <si>
    <t>a1E360000012H9REAU</t>
  </si>
  <si>
    <t>0013600000xoEHZAA2</t>
  </si>
  <si>
    <t>a1E360000012H9SEAU</t>
  </si>
  <si>
    <t>a1E360000012H9TEAU</t>
  </si>
  <si>
    <t>0013600000xoEI4AAM</t>
  </si>
  <si>
    <t>a1E360000012H9UEAU</t>
  </si>
  <si>
    <t>a1E360000012H9VEAU</t>
  </si>
  <si>
    <t>0013600000xoEIlAAM</t>
  </si>
  <si>
    <t>a1E360000012H9WEAU</t>
  </si>
  <si>
    <t>0013600000xoEIyAAM</t>
  </si>
  <si>
    <t>a1E360000012H9ZEAU</t>
  </si>
  <si>
    <t>a1E360000012H9aEAE</t>
  </si>
  <si>
    <t>a1E360000012H9bEAE</t>
  </si>
  <si>
    <t>a1E360000012H9cEAE</t>
  </si>
  <si>
    <t>0013600000xoEKVAA2</t>
  </si>
  <si>
    <t>a1E360000012H9dEAE</t>
  </si>
  <si>
    <t>0013600000xoEISAA2</t>
  </si>
  <si>
    <t>a1E360000012H9eEAE</t>
  </si>
  <si>
    <t>0013600000xoEKPAA2</t>
  </si>
  <si>
    <t>a1E360000012H9jEAE</t>
  </si>
  <si>
    <t>a1E360000012H9kEAE</t>
  </si>
  <si>
    <t>a1E360000012H9lEAE</t>
  </si>
  <si>
    <t>0013600000xoEGrAAM</t>
  </si>
  <si>
    <t>a1E360000012H9oEAE</t>
  </si>
  <si>
    <t>0013600000xoEHmAAM</t>
  </si>
  <si>
    <t>a1E360000012H9pEAE</t>
  </si>
  <si>
    <t>0013600000xoEFQAA2</t>
  </si>
  <si>
    <t>a1E360000012H9sEAE</t>
  </si>
  <si>
    <t>a1E360000012H9tEAE</t>
  </si>
  <si>
    <t>a1E360000012H9uEAE</t>
  </si>
  <si>
    <t>0013600000xoEH8AAM</t>
  </si>
  <si>
    <t>a1E360000012H9vEAE</t>
  </si>
  <si>
    <t>0013600000xoEI2AAM</t>
  </si>
  <si>
    <t>a1E360000012H9wEAE</t>
  </si>
  <si>
    <t>a1E360000012H9xEAE</t>
  </si>
  <si>
    <t>a1E360000012H9yEAE</t>
  </si>
  <si>
    <t>a1E360000012H9zEAE</t>
  </si>
  <si>
    <t>0013600000xoEFeAAM</t>
  </si>
  <si>
    <t>a1E360000012HA1EAM</t>
  </si>
  <si>
    <t>0013600000xoEIOAA2</t>
  </si>
  <si>
    <t>a1E360000012HA0EAM</t>
  </si>
  <si>
    <t>0013600000xoEHMAA2</t>
  </si>
  <si>
    <t>a1E360000012HA2EAM</t>
  </si>
  <si>
    <t>0013600000xoEG2AAM</t>
  </si>
  <si>
    <t>a1E360000012HA4EAM</t>
  </si>
  <si>
    <t>a1E360000012HA5EAM</t>
  </si>
  <si>
    <t>0013600000xoEGCAA2</t>
  </si>
  <si>
    <t>a1E360000012HABEA2</t>
  </si>
  <si>
    <t>0013600000xoEKhAAM</t>
  </si>
  <si>
    <t>a1E360000012HACEA2</t>
  </si>
  <si>
    <t>0013600000xoEF4AAM</t>
  </si>
  <si>
    <t>a1E360000012HAEEA2</t>
  </si>
  <si>
    <t>a1E360000012HAGEA2</t>
  </si>
  <si>
    <t>0013600000xoEEfAAM</t>
  </si>
  <si>
    <t>a1E360000012HAHEA2</t>
  </si>
  <si>
    <t>a1E360000012HAIEA2</t>
  </si>
  <si>
    <t>0013600000xoEIfAAM</t>
  </si>
  <si>
    <t>United Nations Office for Project Services Head Quarters</t>
  </si>
  <si>
    <t>a1E360000012HAKEA2</t>
  </si>
  <si>
    <t>0013600000xoEKAAA2</t>
  </si>
  <si>
    <t>a1E360000012HALEA2</t>
  </si>
  <si>
    <t>a1E360000012HAOEA2</t>
  </si>
  <si>
    <t>a1E360000012HAPEA2</t>
  </si>
  <si>
    <t>0013600000xoEFCAA2</t>
  </si>
  <si>
    <t>a1E360000012HAREA2</t>
  </si>
  <si>
    <t>a1E360000012HASEA2</t>
  </si>
  <si>
    <t>0013600000xoEGEAA2</t>
  </si>
  <si>
    <t>a1E360000012HATEA2</t>
  </si>
  <si>
    <t>0013600000xoEF7AAM</t>
  </si>
  <si>
    <t>a1E360000012HAVEA2</t>
  </si>
  <si>
    <t>0013600000xoEKNAA2</t>
  </si>
  <si>
    <t>a1E360000012HAWEA2</t>
  </si>
  <si>
    <t>0013600000xoEKMAA2</t>
  </si>
  <si>
    <t>a1E360000012HAXEA2</t>
  </si>
  <si>
    <t>0013600000xoEKGAA2</t>
  </si>
  <si>
    <t>a1E360000012HAZEA2</t>
  </si>
  <si>
    <t>a1E360000012HAaEAM</t>
  </si>
  <si>
    <t>0013600000xoEGkAAM</t>
  </si>
  <si>
    <t>a1E360000012HAcEAM</t>
  </si>
  <si>
    <t>a1E360000012HAdEAM</t>
  </si>
  <si>
    <t>a1E360000012HAgEAM</t>
  </si>
  <si>
    <t>0013600000xoEFdAAM</t>
  </si>
  <si>
    <t>a1E360000012HAhEAM</t>
  </si>
  <si>
    <t>0013600000xoEGSAA2</t>
  </si>
  <si>
    <t>a1E360000012HAiEAM</t>
  </si>
  <si>
    <t>a1E360000012HAjEAM</t>
  </si>
  <si>
    <t>a1E360000012HAkEAM</t>
  </si>
  <si>
    <t>0013600000xoEHvAAM</t>
  </si>
  <si>
    <t>International Centre for Diarrhoeal Disease Research, Bangladesh</t>
  </si>
  <si>
    <t>a1E360000012HAlEAM</t>
  </si>
  <si>
    <t>a1E360000012HAmEAM</t>
  </si>
  <si>
    <t>a1E360000012HAnEAM</t>
  </si>
  <si>
    <t>0013600000xoEGTAA2</t>
  </si>
  <si>
    <t>Directorate of Malaria Control, Ministry of National Health Services, Regulations and Coordination of Pakistan</t>
  </si>
  <si>
    <t>a1E360000012HAoEAM</t>
  </si>
  <si>
    <t>0013600000xoEDOAA2</t>
  </si>
  <si>
    <t>a1E360000012HAqEAM</t>
  </si>
  <si>
    <t>0013600000xoEFsAAM</t>
  </si>
  <si>
    <t>a1E360000012HArEAM</t>
  </si>
  <si>
    <t>0013600000xoEFbAAM</t>
  </si>
  <si>
    <t>a1E360000012HAsEAM</t>
  </si>
  <si>
    <t>0013600000xoEFtAAM</t>
  </si>
  <si>
    <t>a1E360000012HAtEAM</t>
  </si>
  <si>
    <t>0013600000xoEKuAAM</t>
  </si>
  <si>
    <t>a1E360000012HAuEAM</t>
  </si>
  <si>
    <t>a1E360000012HAvEAM</t>
  </si>
  <si>
    <t>0013600000xoEIbAAM</t>
  </si>
  <si>
    <t>a1E360000012HB6EAM</t>
  </si>
  <si>
    <t>a1E360000012HBAEA2</t>
  </si>
  <si>
    <t>0013600000xoEIuAAM</t>
  </si>
  <si>
    <t>a1E360000012HBBEA2</t>
  </si>
  <si>
    <t>a1E360000012HBCEA2</t>
  </si>
  <si>
    <t>0013600000xoEHzAAM</t>
  </si>
  <si>
    <t>a1E360000012HceEAE</t>
  </si>
  <si>
    <t>0013600000xoEIWAA2</t>
  </si>
  <si>
    <t>a1E360000012HcfEAE</t>
  </si>
  <si>
    <t>a1E360000012HciEAE</t>
  </si>
  <si>
    <t>a1E360000012HcjEAE</t>
  </si>
  <si>
    <t>0013600000xoEKoAAM</t>
  </si>
  <si>
    <t>a1E360000012HclEAE</t>
  </si>
  <si>
    <t>0013600000xoEKmAAM</t>
  </si>
  <si>
    <t>a1E360000012HcnEAE</t>
  </si>
  <si>
    <t>0013600000xoEKnAAM</t>
  </si>
  <si>
    <t>a1E360000012HcoEAE</t>
  </si>
  <si>
    <t>0013600000xoEKrAAM</t>
  </si>
  <si>
    <t>a1E360000012HcpEAE</t>
  </si>
  <si>
    <t>0013600000xoEGZAA2</t>
  </si>
  <si>
    <t>a1E360000012HcqEAE</t>
  </si>
  <si>
    <t>0013600000xoEFWAA2</t>
  </si>
  <si>
    <t>a1E360000012HcrEAE</t>
  </si>
  <si>
    <t>a1E360000012HcsEAE</t>
  </si>
  <si>
    <t>a1E360000012HctEAE</t>
  </si>
  <si>
    <t>0013600000xoEJAAA2</t>
  </si>
  <si>
    <t>a1E360000012HcwEAE</t>
  </si>
  <si>
    <t>a1E360000012HcxEAE</t>
  </si>
  <si>
    <t>0013600000xoEHiAAM</t>
  </si>
  <si>
    <t>a1E360000012HcyEAE</t>
  </si>
  <si>
    <t>a1E360000012Hd1EAE</t>
  </si>
  <si>
    <t>a1E360000012Hd2EAE</t>
  </si>
  <si>
    <t>0013600000xoEHsAAM</t>
  </si>
  <si>
    <t>a1E360000012Hd3EAE</t>
  </si>
  <si>
    <t>0013600000xoEFLAA2</t>
  </si>
  <si>
    <t>a1E360000012Hd4EAE</t>
  </si>
  <si>
    <t>0013600000xoEHxAAM</t>
  </si>
  <si>
    <t>a1E360000012Hd5EAE</t>
  </si>
  <si>
    <t>0013600000xoEGgAAM</t>
  </si>
  <si>
    <t>a1E360000012Hd6EAE</t>
  </si>
  <si>
    <t>a1E360000012Hd7EAE</t>
  </si>
  <si>
    <t>a1E360000012Hd8EAE</t>
  </si>
  <si>
    <t>a1E360000012Hd9EAE</t>
  </si>
  <si>
    <t>a1E360000012HdIEAU</t>
  </si>
  <si>
    <t>0013600000xoEFwAAM</t>
  </si>
  <si>
    <t>a1E360000012HdJEAU</t>
  </si>
  <si>
    <t>0013600000xoEGfAAM</t>
  </si>
  <si>
    <t>a1E360000012HdKEAU</t>
  </si>
  <si>
    <t>0013600000xoEGdAAM</t>
  </si>
  <si>
    <t>a1E360000012HdLEAU</t>
  </si>
  <si>
    <t>0013600000xoEIHAA2</t>
  </si>
  <si>
    <t>a1E360000012HdMEAU</t>
  </si>
  <si>
    <t>a1E360000012HdNEAU</t>
  </si>
  <si>
    <t>a1E360000012HdOEAU</t>
  </si>
  <si>
    <t>a1E360000012HdPEAU</t>
  </si>
  <si>
    <t>0013600000xoEHrAAM</t>
  </si>
  <si>
    <t>a1E360000012HdREAU</t>
  </si>
  <si>
    <t>a1E360000012HdSEAU</t>
  </si>
  <si>
    <t>a1E360000012HdVEAU</t>
  </si>
  <si>
    <t>a1E360000012HdXEAU</t>
  </si>
  <si>
    <t>0013600000xoEFmAAM</t>
  </si>
  <si>
    <t>a1E360000012HdZEAU</t>
  </si>
  <si>
    <t>a1E360000012HdaEAE</t>
  </si>
  <si>
    <t>0013600000xoEGzAAM</t>
  </si>
  <si>
    <t>a1E360000012HdeEAE</t>
  </si>
  <si>
    <t>0013600000xoEGbAAM</t>
  </si>
  <si>
    <t>a1E360000012HdfEAE</t>
  </si>
  <si>
    <t>0013600000xoEGyAAM</t>
  </si>
  <si>
    <t>a1E360000012HdgEAE</t>
  </si>
  <si>
    <t>0013600000xoEH0AAM</t>
  </si>
  <si>
    <t>a1E360000012HdhEAE</t>
  </si>
  <si>
    <t>0013600000xoEFPAA2</t>
  </si>
  <si>
    <t>a1E360000012HdlEAE</t>
  </si>
  <si>
    <t>0013600000xoEJ9AAM</t>
  </si>
  <si>
    <t>a1E360000012HdnEAE</t>
  </si>
  <si>
    <t>0013600000xoEHgAAM</t>
  </si>
  <si>
    <t>a1E360000012HdoEAE</t>
  </si>
  <si>
    <t>a1E360000012HdpEAE</t>
  </si>
  <si>
    <t>a1E360000012HdqEAE</t>
  </si>
  <si>
    <t>a1E360000012HdrEAE</t>
  </si>
  <si>
    <t>0013600000xoEHDAA2</t>
  </si>
  <si>
    <t>a1E360000012HdtEAE</t>
  </si>
  <si>
    <t>0013600000xoEFMAA2</t>
  </si>
  <si>
    <t>a1E360000012HduEAE</t>
  </si>
  <si>
    <t>0013600000xoEKRAA2</t>
  </si>
  <si>
    <t>a1E360000012HdyEAE</t>
  </si>
  <si>
    <t>0013600000xoEGRAA2</t>
  </si>
  <si>
    <t>a1E360000012He0EAE</t>
  </si>
  <si>
    <t>0013600000xoEHNAA2</t>
  </si>
  <si>
    <t>a1E360000012HdzEAE</t>
  </si>
  <si>
    <t>a1E360000012He1EAE</t>
  </si>
  <si>
    <t>a1E360000012He3EAE</t>
  </si>
  <si>
    <t>a1E360000012He4EAE</t>
  </si>
  <si>
    <t>a1E360000012He5EAE</t>
  </si>
  <si>
    <t>a1E360000012He6EAE</t>
  </si>
  <si>
    <t>0013600000xoEGUAA2</t>
  </si>
  <si>
    <t>a1E360000012He8EAE</t>
  </si>
  <si>
    <t>0013600000xoEG8AAM</t>
  </si>
  <si>
    <t>a1E360000012HeGEAU</t>
  </si>
  <si>
    <t>a1E360000012HeHEAU</t>
  </si>
  <si>
    <t>0013600000xoEIBAA2</t>
  </si>
  <si>
    <t>a1E360000012HeIEAU</t>
  </si>
  <si>
    <t>0013600000xoEFnAAM</t>
  </si>
  <si>
    <t>a1E360000012HeKEAU</t>
  </si>
  <si>
    <t>0013600000xoEKgAAM</t>
  </si>
  <si>
    <t>a1E360000012HeLEAU</t>
  </si>
  <si>
    <t>a1E360000012HeMEAU</t>
  </si>
  <si>
    <t>0013600000xoEHqAAM</t>
  </si>
  <si>
    <t>a1E360000012HeOEAU</t>
  </si>
  <si>
    <t>0013600000xoEKLAA2</t>
  </si>
  <si>
    <t>a1E360000012HePEAU</t>
  </si>
  <si>
    <t>0013600000xoEFuAAM</t>
  </si>
  <si>
    <t>a1E360000012HeUEAU</t>
  </si>
  <si>
    <t>0013600000xoEIXAA2</t>
  </si>
  <si>
    <t>a1E360000012HedEAE</t>
  </si>
  <si>
    <t>0013600000xoEKwAAM</t>
  </si>
  <si>
    <t>a1E360000012HeeEAE</t>
  </si>
  <si>
    <t>0013600000xoEGBAA2</t>
  </si>
  <si>
    <t>a1E360000012HefEAE</t>
  </si>
  <si>
    <t>0013600000xoEKsAAM</t>
  </si>
  <si>
    <t>a1E360000012HegEAE</t>
  </si>
  <si>
    <t>0013600000xoEKtAAM</t>
  </si>
  <si>
    <t>a1E360000012HehEAE</t>
  </si>
  <si>
    <t>0013600000xoEIRAA2</t>
  </si>
  <si>
    <t>a1E360000012HejEAE</t>
  </si>
  <si>
    <t>0013600000xoEGoAAM</t>
  </si>
  <si>
    <t>Programme santé de lutte contre le Sida</t>
  </si>
  <si>
    <t>a1E360000012HelEAE</t>
  </si>
  <si>
    <t>0013600000xoEF9AAM</t>
  </si>
  <si>
    <t>a1E360000012HeoEAE</t>
  </si>
  <si>
    <t>0013600000xoEHAAA2</t>
  </si>
  <si>
    <t>a1E360000012HepEAE</t>
  </si>
  <si>
    <t>0013600000xoEJNAA2</t>
  </si>
  <si>
    <t>a1E360000012HerEAE</t>
  </si>
  <si>
    <t>0013600000xoEKkAAM</t>
  </si>
  <si>
    <t>a1E360000012HesEAE</t>
  </si>
  <si>
    <t>0013600000xoEFFAA2</t>
  </si>
  <si>
    <t>Programme d'Appui au Développement Sanitaire du Burkina Faso</t>
  </si>
  <si>
    <t>a1E360000012HeuEAE</t>
  </si>
  <si>
    <t>0013600000xoEGcAAM</t>
  </si>
  <si>
    <t>a1E360000012HevEAE</t>
  </si>
  <si>
    <t>0013600000xoEGhAAM</t>
  </si>
  <si>
    <t>a1E360000012HexEAE</t>
  </si>
  <si>
    <t>a1E360000012HezEAE</t>
  </si>
  <si>
    <t>a1E360000012Hf2EAE</t>
  </si>
  <si>
    <t>0013600000xoEFVAA2</t>
  </si>
  <si>
    <t>Alliance Nationale pour la Santé et le Développement en Côte D'Ivoire</t>
  </si>
  <si>
    <t>a1E360000012Hf3EAE</t>
  </si>
  <si>
    <t>0013600000xoEKZAA2</t>
  </si>
  <si>
    <t>Ministry of Health and Public Hygiene of the Republic of Côte d'Ivoire - PNLP</t>
  </si>
  <si>
    <t>a1E360000012Hf4EAE</t>
  </si>
  <si>
    <t>a1E360000012Hf5EAE</t>
  </si>
  <si>
    <t>0013600000xoEKpAAM</t>
  </si>
  <si>
    <t>Ministry of Health and Public Hygiene of the Republic of Côte d'Ivoire - PNLT</t>
  </si>
  <si>
    <t>a1E360000012Hf7EAE</t>
  </si>
  <si>
    <t>0013600000xoEFlAAM</t>
  </si>
  <si>
    <t>a1E360000012HfBEAU</t>
  </si>
  <si>
    <t>0013600000xoEFzAAM</t>
  </si>
  <si>
    <t>a1E360000012HfCEAU</t>
  </si>
  <si>
    <t>0013600000xoEFEAA2</t>
  </si>
  <si>
    <t>a1E360000012HfDEAU</t>
  </si>
  <si>
    <t>0013600000xoEGsAAM</t>
  </si>
  <si>
    <t>a1E360000012HfEEAU</t>
  </si>
  <si>
    <t>0013600000xoEG1AAM</t>
  </si>
  <si>
    <t>Catholic Relief Services-United States Conference of Catholic Bishops</t>
  </si>
  <si>
    <t>a1E360000012HfFEAU</t>
  </si>
  <si>
    <t>0013600000xoEHLAA2</t>
  </si>
  <si>
    <t>a1E360000012HfGEAU</t>
  </si>
  <si>
    <t>0013600000xoEFJAA2</t>
  </si>
  <si>
    <t>a1E360000012HfKEAU</t>
  </si>
  <si>
    <t>0013600000xoEGtAAM</t>
  </si>
  <si>
    <t>a1E360000012HfLEAU</t>
  </si>
  <si>
    <t>0013600000xoEIsAAM</t>
  </si>
  <si>
    <t>a1E360000012HfNEAU</t>
  </si>
  <si>
    <t>0013600000xoEG5AAM</t>
  </si>
  <si>
    <t>a1E360000012HfPEAU</t>
  </si>
  <si>
    <t>a1E360000012HfTEAU</t>
  </si>
  <si>
    <t>0013600000xoEIrAAM</t>
  </si>
  <si>
    <t>a1E360000012HfVEAU</t>
  </si>
  <si>
    <t>a1E360000012HfWEAU</t>
  </si>
  <si>
    <t>0013600000xoEG0AAM</t>
  </si>
  <si>
    <t>a1E360000012HfYEAU</t>
  </si>
  <si>
    <t>a1E360000012HfZEAU</t>
  </si>
  <si>
    <t>0013600000xoEGXAA2</t>
  </si>
  <si>
    <t>Cellule Nationale de Coordination Technique de la Riposte Nationale au Sida et aux Hépatites</t>
  </si>
  <si>
    <t>a1E360000012HfaEAE</t>
  </si>
  <si>
    <t>0013600000xoEG7AAM</t>
  </si>
  <si>
    <t>a1E360000012HfbEAE</t>
  </si>
  <si>
    <t>0013600000xoEFxAAM</t>
  </si>
  <si>
    <t>a1E360000012HfeEAE</t>
  </si>
  <si>
    <t>0013600000xoEIcAAM</t>
  </si>
  <si>
    <t>a1E360000012HffEAE</t>
  </si>
  <si>
    <t>0013600000xoEFXAA2</t>
  </si>
  <si>
    <t>a1E360000012HfgEAE</t>
  </si>
  <si>
    <t>0013600000xoEI7AAM</t>
  </si>
  <si>
    <t>a1E360000012HfiEAE</t>
  </si>
  <si>
    <t>0013600000xoEHHAA2</t>
  </si>
  <si>
    <t>a1E360000012HfkEAE</t>
  </si>
  <si>
    <t>0013600000xoEGqAAM</t>
  </si>
  <si>
    <t>a1E360000012HflEAE</t>
  </si>
  <si>
    <t>0013600000xoEFNAA2</t>
  </si>
  <si>
    <t>a1E360000012HfmEAE</t>
  </si>
  <si>
    <t>0013600000xoEGWAA2</t>
  </si>
  <si>
    <t>a1E360000012HfnEAE</t>
  </si>
  <si>
    <t>a1E360000012HfpEAE</t>
  </si>
  <si>
    <t>a1E360000012HfqEAE</t>
  </si>
  <si>
    <t>0013600000xoEKXAA2</t>
  </si>
  <si>
    <t>a1E360000012HfvEAE</t>
  </si>
  <si>
    <t>a1E360000012HfwEAE</t>
  </si>
  <si>
    <t>a1E360000012HfxEAE</t>
  </si>
  <si>
    <t>0013600000xoEJ5AAM</t>
  </si>
  <si>
    <t>a1E360000012HfyEAE</t>
  </si>
  <si>
    <t>a1E360000012HfzEAE</t>
  </si>
  <si>
    <t>0013600000xoEFgAAM</t>
  </si>
  <si>
    <t>a1E360000012Hg0EAE</t>
  </si>
  <si>
    <t>a1E360000012Hg2EAE</t>
  </si>
  <si>
    <t>0013600000xoEHIAA2</t>
  </si>
  <si>
    <t>a1E360000012Hg5EAE</t>
  </si>
  <si>
    <t>a1E360000012Hg7EAE</t>
  </si>
  <si>
    <t>a1E360000012Hg8EAE</t>
  </si>
  <si>
    <t>a1E360000012Hg9EAE</t>
  </si>
  <si>
    <t>0013600000xoEI8AAM</t>
  </si>
  <si>
    <t>a1E360000012HgAEAU</t>
  </si>
  <si>
    <t>0013600000xoEGjAAM</t>
  </si>
  <si>
    <t>a1E360000012HgBEAU</t>
  </si>
  <si>
    <t>0013600000xoEIiAAM</t>
  </si>
  <si>
    <t>a1E360000012HgFEAU</t>
  </si>
  <si>
    <t>0013600000xoEImAAM</t>
  </si>
  <si>
    <t>a1E360000012HgGEAU</t>
  </si>
  <si>
    <t>0013600000xoEFHAA2</t>
  </si>
  <si>
    <t>Empresa Nacional Promotora del Desarrollo Territorial</t>
  </si>
  <si>
    <t>a1E360000012HgNEAU</t>
  </si>
  <si>
    <t>0013600000xoEJCAA2</t>
  </si>
  <si>
    <t>Ministry of Public Health of the Co-operative Republic Republic of Guyana</t>
  </si>
  <si>
    <t>a1E360000012HgUEAU</t>
  </si>
  <si>
    <t>a1E360000012HgWEAU</t>
  </si>
  <si>
    <t>a1E360000012HgXEAU</t>
  </si>
  <si>
    <t>0013600000xoEGnAAM</t>
  </si>
  <si>
    <t>a1E360000012HgZEAU</t>
  </si>
  <si>
    <t>0013600000xoEEjAAM</t>
  </si>
  <si>
    <t>a1E360000012HgbEAE</t>
  </si>
  <si>
    <t>0013600000xoEHaAAM</t>
  </si>
  <si>
    <t>a1E360000012HgfEAE</t>
  </si>
  <si>
    <t>a1E360000012HggEAE</t>
  </si>
  <si>
    <t>0013600000xoEInAAM</t>
  </si>
  <si>
    <t>a1E360000012HghEAE</t>
  </si>
  <si>
    <t>0013600000xoEGNAA2</t>
  </si>
  <si>
    <t>a1E360000012HgiEAE</t>
  </si>
  <si>
    <t>0013600000xoEH5AAM</t>
  </si>
  <si>
    <t>a1E360000012HgjEAE</t>
  </si>
  <si>
    <t>0013600000xoEGKAA2</t>
  </si>
  <si>
    <t>a1E360000012HgkEAE</t>
  </si>
  <si>
    <t>a1E360000012HglEAE</t>
  </si>
  <si>
    <t>a1E360000012HgmEAE</t>
  </si>
  <si>
    <t>0013600000xoEIEAA2</t>
  </si>
  <si>
    <t>a1E360000012HgrEAE</t>
  </si>
  <si>
    <t>0013600000xoEIZAA2</t>
  </si>
  <si>
    <t>a1E360000012HguEAE</t>
  </si>
  <si>
    <t>0013600000xoEIwAAM</t>
  </si>
  <si>
    <t>a1E360000012HgzEAE</t>
  </si>
  <si>
    <t>0013600000xoEKeAAM</t>
  </si>
  <si>
    <t>a1E360000012Hh1EAE</t>
  </si>
  <si>
    <t>0013600000xoEJ2AAM</t>
  </si>
  <si>
    <t>a1E360000012Hh2EAE</t>
  </si>
  <si>
    <t>0013600000xoEIxAAM</t>
  </si>
  <si>
    <t>a1E360000012Hh5EAE</t>
  </si>
  <si>
    <t>0013600000xoEIaAAM</t>
  </si>
  <si>
    <t>a1E360000012Hh6EAE</t>
  </si>
  <si>
    <t>0013600000xoEI1AAM</t>
  </si>
  <si>
    <t>a1E360000012Hh7EAE</t>
  </si>
  <si>
    <t>0013600000xoEIFAA2</t>
  </si>
  <si>
    <t>a1E360000012HhDEAU</t>
  </si>
  <si>
    <t>a1E360000012HhFEAU</t>
  </si>
  <si>
    <t>0013600000xoEHUAA2</t>
  </si>
  <si>
    <t>a1E360000012HhGEAU</t>
  </si>
  <si>
    <t>a1E360000012HhHEAU</t>
  </si>
  <si>
    <t>a1E360000012HhJEAU</t>
  </si>
  <si>
    <t>0013600000xoEFcAAM</t>
  </si>
  <si>
    <t>a1E360000012HhKEAU</t>
  </si>
  <si>
    <t>0013600000xoEGLAA2</t>
  </si>
  <si>
    <t>a1E360000012HhLEAU</t>
  </si>
  <si>
    <t>0013600000xoEGIAA2</t>
  </si>
  <si>
    <t>a1E360000012HhMEAU</t>
  </si>
  <si>
    <t>0013600000xoEIeAAM</t>
  </si>
  <si>
    <t>a1E360000012HhOEAU</t>
  </si>
  <si>
    <t>a1E360000012HhPEAU</t>
  </si>
  <si>
    <t>a1E360000012HhQEAU</t>
  </si>
  <si>
    <t>0013600000xoEHnAAM</t>
  </si>
  <si>
    <t>a1E360000012HhREAU</t>
  </si>
  <si>
    <t>a1E360000012HhSEAU</t>
  </si>
  <si>
    <t>a1E360000012HhTEAU</t>
  </si>
  <si>
    <t>0013600000xoEHeAAM</t>
  </si>
  <si>
    <t>a1E360000012HhXEAU</t>
  </si>
  <si>
    <t>0013600000xoEKTAA2</t>
  </si>
  <si>
    <t>a1E360000012HhUEAU</t>
  </si>
  <si>
    <t>0013600000xoEKYAA2</t>
  </si>
  <si>
    <t>a1E360000012HhVEAU</t>
  </si>
  <si>
    <t>0013600000xoEHcAAM</t>
  </si>
  <si>
    <t>a1E360000012HhWEAU</t>
  </si>
  <si>
    <t>0013600000xoEFUAA2</t>
  </si>
  <si>
    <t>a1E360000012HhaEAE</t>
  </si>
  <si>
    <t>0013600000xoEHbAAM</t>
  </si>
  <si>
    <t>a1E360000012HhcEAE</t>
  </si>
  <si>
    <t>0013600000xoEH2AAM</t>
  </si>
  <si>
    <t>a1E360000012HhdEAE</t>
  </si>
  <si>
    <t>0013600000xoEJ4AAM</t>
  </si>
  <si>
    <t>a1E360000012HhhEAE</t>
  </si>
  <si>
    <t>a1E360000012HhiEAE</t>
  </si>
  <si>
    <t>a1E360000012HhjEAE</t>
  </si>
  <si>
    <t>0013600000xoEI5AAM</t>
  </si>
  <si>
    <t>a1E360000012HhkEAE</t>
  </si>
  <si>
    <t>a1E360000012HhlEAE</t>
  </si>
  <si>
    <t>a1E360000012HhmEAE</t>
  </si>
  <si>
    <t>a1E360000012HhnEAE</t>
  </si>
  <si>
    <t>0013600000xoEFfAAM</t>
  </si>
  <si>
    <t>a1E360000012HhoEAE</t>
  </si>
  <si>
    <t>0013600000xoEFkAAM</t>
  </si>
  <si>
    <t>Ministry of Health and Indigenous Medical Services of the Democratic Socialist Republic of Sri Lanka</t>
  </si>
  <si>
    <t>a1E360000012HhpEAE</t>
  </si>
  <si>
    <t>a1E360000012HhqEAE</t>
  </si>
  <si>
    <t>a1E360000012HhrEAE</t>
  </si>
  <si>
    <t>0013600000xoEHJAA2</t>
  </si>
  <si>
    <t>a1E360000012HhzEAE</t>
  </si>
  <si>
    <t>0013600000xoEHXAA2</t>
  </si>
  <si>
    <t>a1E360000012Hi0EAE</t>
  </si>
  <si>
    <t>a1E360000012Hi1EAE</t>
  </si>
  <si>
    <t>0013600000xoEJJAA2</t>
  </si>
  <si>
    <t>a1E360000012Hi5EAE</t>
  </si>
  <si>
    <t>a1E360000012Hi7EAE</t>
  </si>
  <si>
    <t>0013600000xoEHyAAM</t>
  </si>
  <si>
    <t>a1E360000012HiGEAU</t>
  </si>
  <si>
    <t>0013600000xoEKjAAM</t>
  </si>
  <si>
    <t>a1E360000012HiJEAU</t>
  </si>
  <si>
    <t>0013600000xoEGDAA2</t>
  </si>
  <si>
    <t>a1E360000012HiOEAU</t>
  </si>
  <si>
    <t>0013600000xoEHGAA2</t>
  </si>
  <si>
    <t>a1E360000012HiUEAU</t>
  </si>
  <si>
    <t>0013600000xoEFOAA2</t>
  </si>
  <si>
    <t>a1E360000012HiVEAU</t>
  </si>
  <si>
    <t>0013600000xoEHhAAM</t>
  </si>
  <si>
    <t>a1E360000012HiWEAU</t>
  </si>
  <si>
    <t>0013600000xoEFiAAM</t>
  </si>
  <si>
    <t>a1E360000012HibEAE</t>
  </si>
  <si>
    <t>a1E360000012HicEAE</t>
  </si>
  <si>
    <t>0013600000xoEGaAAM</t>
  </si>
  <si>
    <t>a1E360000012HifEAE</t>
  </si>
  <si>
    <t>0013600000xoEIAAA2</t>
  </si>
  <si>
    <t>a1E360000012HiiEAE</t>
  </si>
  <si>
    <t>a1E360000012HijEAE</t>
  </si>
  <si>
    <t>0013600000xoEGvAAM</t>
  </si>
  <si>
    <t>0013600000xoEItAAM</t>
  </si>
  <si>
    <t>a1E36000001hEfeEAE</t>
  </si>
  <si>
    <t>a1E36000001hEftEAE</t>
  </si>
  <si>
    <t>a1E36000001hEfyEAE</t>
  </si>
  <si>
    <t>a1E36000001hEg3EAE</t>
  </si>
  <si>
    <t>0013600000xoEFBAA2</t>
  </si>
  <si>
    <t>a1E36000001hEg8EAE</t>
  </si>
  <si>
    <t>0013600000xoEL0AAM</t>
  </si>
  <si>
    <t>a1E36000001hEgDEAU</t>
  </si>
  <si>
    <t>0013600000xoEKzAAM</t>
  </si>
  <si>
    <t>a1E36000001hEgNEAU</t>
  </si>
  <si>
    <t>0013600000xoEDnAAM</t>
  </si>
  <si>
    <t>a1E36000001jMi3EAE</t>
  </si>
  <si>
    <t>00136000011OffxAAC</t>
  </si>
  <si>
    <t>a1E36000001jMi5EAE</t>
  </si>
  <si>
    <t>0013600000xoEKFAA2</t>
  </si>
  <si>
    <t>a1E36000001jMiFEAU</t>
  </si>
  <si>
    <t>a1E36000001jMiGEAU</t>
  </si>
  <si>
    <t>a1E36000001jMj5EAE</t>
  </si>
  <si>
    <t>a1E36000001jMj6EAE</t>
  </si>
  <si>
    <t>a1E36000001jMjJEAU</t>
  </si>
  <si>
    <t>a1E36000001jMjmEAE</t>
  </si>
  <si>
    <t>0013600001W9HLbAAN</t>
  </si>
  <si>
    <t>National Coordination of the National AIDS Control Committee of the Government of the Central African Republic (CN-CNLS)</t>
  </si>
  <si>
    <t>a1E36000001jMk0EAE</t>
  </si>
  <si>
    <t>a1E36000001jMk6EAE</t>
  </si>
  <si>
    <t>GIS_625</t>
  </si>
  <si>
    <t>Association of Social Marketing in Chad (AMASOT)</t>
  </si>
  <si>
    <t>a1E36000001jMk7EAE</t>
  </si>
  <si>
    <t>GFS_Vendor_26364</t>
  </si>
  <si>
    <t>National Union of Diocesan Associations (UNAD)</t>
  </si>
  <si>
    <t>a1E36000001jMk8EAE</t>
  </si>
  <si>
    <t>a1E36000001jMkgEAE</t>
  </si>
  <si>
    <t>a1E36000001jMkiEAE</t>
  </si>
  <si>
    <t>0013600000xoEGQAA2</t>
  </si>
  <si>
    <t>a1E36000001jMlGEAU</t>
  </si>
  <si>
    <t>a1E36000001jMlTEAU</t>
  </si>
  <si>
    <t>GFS_Vendor_26308</t>
  </si>
  <si>
    <t>Medical Care Development International</t>
  </si>
  <si>
    <t>a1E36000001jMlVEAU</t>
  </si>
  <si>
    <t>a1E36000001jMmZEAU</t>
  </si>
  <si>
    <t>0013600000xoEH3AAM</t>
  </si>
  <si>
    <t>a1E36000001jMnLEAU</t>
  </si>
  <si>
    <t>0013600000xoEFqAAM</t>
  </si>
  <si>
    <t>a1E36000001jMnlEAE</t>
  </si>
  <si>
    <t>a1E36000001jMobEAE</t>
  </si>
  <si>
    <t>0013600000xoEKyAAM</t>
  </si>
  <si>
    <t>a1E36000001jModEAE</t>
  </si>
  <si>
    <t>0013600000xoEHPAA2</t>
  </si>
  <si>
    <t>a1E36000001jMocEAE</t>
  </si>
  <si>
    <t>0013600000xoEJHAA2</t>
  </si>
  <si>
    <t>a1E36000001jMowEAE</t>
  </si>
  <si>
    <t>0013600000xoEGuAAM</t>
  </si>
  <si>
    <t>National High Council for the Fight against AIDS</t>
  </si>
  <si>
    <t>a1E36000001jMoyEAE</t>
  </si>
  <si>
    <t>a1E36000001jMp3EAE</t>
  </si>
  <si>
    <t>a1E36000001jMp9EAE</t>
  </si>
  <si>
    <t>a1E36000001jMpYEAU</t>
  </si>
  <si>
    <t>a1E36000001jMphEAE</t>
  </si>
  <si>
    <t>0013600000xoEL1AAM</t>
  </si>
  <si>
    <t>a1E36000001jMqcEAE</t>
  </si>
  <si>
    <t>a1E36000001jMsYEAU</t>
  </si>
  <si>
    <t>a1E36000001jMsZEAU</t>
  </si>
  <si>
    <t>a1E36000001jMsdEAE</t>
  </si>
  <si>
    <t>00136000011Ofg0AAC</t>
  </si>
  <si>
    <t>a1E36000001jrzmEAA</t>
  </si>
  <si>
    <t>a1E36000002vdqMEAQ</t>
  </si>
  <si>
    <t>0013600000xoEJFAA2</t>
  </si>
  <si>
    <t>a1E36000002vj5cEAA</t>
  </si>
  <si>
    <t>0013600000xoEEgAAM</t>
  </si>
  <si>
    <t>a1E36000002vm73EAA</t>
  </si>
  <si>
    <t>a1E36000002vvPHEAY</t>
  </si>
  <si>
    <t>a1E36000002vvY5EAI</t>
  </si>
  <si>
    <t>a1E36000002w2RgEAI</t>
  </si>
  <si>
    <t>a1E36000002w2yVEAQ</t>
  </si>
  <si>
    <t>a1E36000002w6WCEAY</t>
  </si>
  <si>
    <t>a1E36000002w6WvEAI</t>
  </si>
  <si>
    <t>0013600001K9jAFAAZ</t>
  </si>
  <si>
    <t>a1E36000002w6s5EAA</t>
  </si>
  <si>
    <t>0013600001ElqLxAAJ</t>
  </si>
  <si>
    <t>a1E36000002wG2qEAE</t>
  </si>
  <si>
    <t>0013600001ElqOHAAZ</t>
  </si>
  <si>
    <t>a1E36000002wGNSEA2</t>
  </si>
  <si>
    <t>0013600001GqA8CAAV</t>
  </si>
  <si>
    <t>a1E36000002wQJsEAM</t>
  </si>
  <si>
    <t>a1E36000002wQO2EAM</t>
  </si>
  <si>
    <t>a1E36000002wRptEAE</t>
  </si>
  <si>
    <t>a1E36000002wRs9EAE</t>
  </si>
  <si>
    <t>0013600000xoEDKAA2</t>
  </si>
  <si>
    <t>Ministry of Health and Public Hygiene of the Republic of Côte d'Ivoire - PNLS</t>
  </si>
  <si>
    <t>a1E36000002wTIhEAM</t>
  </si>
  <si>
    <t>0013600000xoEHoAAM</t>
  </si>
  <si>
    <t>a1E36000002waeLEAQ</t>
  </si>
  <si>
    <t>0013600000xoEI9AAM</t>
  </si>
  <si>
    <t>a1E36000002weWwEAI</t>
  </si>
  <si>
    <t>0013600000xoEIjAAM</t>
  </si>
  <si>
    <t>a1E36000002wbtQEAQ</t>
  </si>
  <si>
    <t>0013600000xoEKJAA2</t>
  </si>
  <si>
    <t>a1E36000002wbwNEAQ</t>
  </si>
  <si>
    <t>0013600001HymulAAB</t>
  </si>
  <si>
    <t>a1E36000002weX1EAI</t>
  </si>
  <si>
    <t>0013600000xoEHCAA2</t>
  </si>
  <si>
    <t>a1E36000002wfkdEAA</t>
  </si>
  <si>
    <t>0013600000xoEDmAAM</t>
  </si>
  <si>
    <t>a1E36000002wgmqEAA</t>
  </si>
  <si>
    <t>0013600001JFguUAAT</t>
  </si>
  <si>
    <t>a1E36000004IHDgEAO</t>
  </si>
  <si>
    <t>a1E36000004IHFDEA4</t>
  </si>
  <si>
    <t>a1E36000004IPGHEA4</t>
  </si>
  <si>
    <t>0013600001NTuggAAD</t>
  </si>
  <si>
    <t>a1E36000004IT07EAG</t>
  </si>
  <si>
    <t>0013600001NZNvvAAH</t>
  </si>
  <si>
    <t>a1E36000004ITGkEAO</t>
  </si>
  <si>
    <t>0013600001IbBhRAAV</t>
  </si>
  <si>
    <t>a1E36000004ITnPEAW</t>
  </si>
  <si>
    <t>0013600001Nab8fAAB</t>
  </si>
  <si>
    <t>Foundation for Innovative New Diagnostics India</t>
  </si>
  <si>
    <t>a1E36000004IToSEAW</t>
  </si>
  <si>
    <t>a1E36000004Id4QEAS</t>
  </si>
  <si>
    <t>a1E36000004ImoEEAS</t>
  </si>
  <si>
    <t>a1E36000004ImtrEAC</t>
  </si>
  <si>
    <t>a1E36000004ImuQEAS</t>
  </si>
  <si>
    <t>a1E36000004InNwEAK</t>
  </si>
  <si>
    <t>a1E36000004InOaEAK</t>
  </si>
  <si>
    <t>a1E36000004IxWSEA0</t>
  </si>
  <si>
    <t>a1E36000004IzYPEA0</t>
  </si>
  <si>
    <t>a1E36000004J2cuEAC</t>
  </si>
  <si>
    <t>0013600001WCJorAAH</t>
  </si>
  <si>
    <t>a1E36000004J5PuEAK</t>
  </si>
  <si>
    <t>0013600001ahvPjAAI</t>
  </si>
  <si>
    <t>a1E360000061xBdEAI</t>
  </si>
  <si>
    <t>0013600001j0U7mAAE</t>
  </si>
  <si>
    <t>a1E360000063PWnEAM</t>
  </si>
  <si>
    <t>0013600001iYePSAA0</t>
  </si>
  <si>
    <t>a1E360000063VDLEA2</t>
  </si>
  <si>
    <t>0013600001omovqAAA</t>
  </si>
  <si>
    <t>a1E360000064hzhEAA</t>
  </si>
  <si>
    <t>a1E360000064ikPEAQ</t>
  </si>
  <si>
    <t>a1E360000064os5EAA</t>
  </si>
  <si>
    <t>0013600001ps9TGAAY</t>
  </si>
  <si>
    <t>a1E360000064vkFEAQ</t>
  </si>
  <si>
    <t>0013600001pqloFAAQ</t>
  </si>
  <si>
    <t>a1E360000064yt9EAA</t>
  </si>
  <si>
    <t>00136000011OffyAAC</t>
  </si>
  <si>
    <t>a1E3600000657xFEAQ</t>
  </si>
  <si>
    <t>0013600001tPZubAAG</t>
  </si>
  <si>
    <t>a1E360000065aJFEAY</t>
  </si>
  <si>
    <t>0013600001x4RneAAE</t>
  </si>
  <si>
    <t>CARE Peru</t>
  </si>
  <si>
    <t>a1E3600000FnlsZEAR</t>
  </si>
  <si>
    <t>0013600001u3a7BAAQ</t>
  </si>
  <si>
    <t>a1E3600000GB1fDEAT</t>
  </si>
  <si>
    <t>a1E3p000004rFZuEAM</t>
  </si>
  <si>
    <t>AGO-Z-UNDP</t>
  </si>
  <si>
    <t>a1E3p000004raELEAY</t>
  </si>
  <si>
    <t>PHL-H-PSFI</t>
  </si>
  <si>
    <t>a1E3p00000B9Z3vEAF</t>
  </si>
  <si>
    <t>MNG-C-MOH</t>
  </si>
  <si>
    <t>a1E3p00000B9ZrSEAV</t>
  </si>
  <si>
    <t>LAO-C-MOH</t>
  </si>
  <si>
    <t>a1E3p00000B9bHUEAZ</t>
  </si>
  <si>
    <t>AZE-C-MOH</t>
  </si>
  <si>
    <t>a1E3p00000B9cMMEAZ</t>
  </si>
  <si>
    <t>NAM-Z-MOH</t>
  </si>
  <si>
    <t>a1E3p00000B9dQQEAZ</t>
  </si>
  <si>
    <t>HTI-C-WV</t>
  </si>
  <si>
    <t>0013p00001rYAiOAAW</t>
  </si>
  <si>
    <t>Ministère de la Santé Publique et de la Population (Unité de Gestion des Projets)</t>
  </si>
  <si>
    <t>a1E3p00000B9eEbEAJ</t>
  </si>
  <si>
    <t>HTI-S-UGP</t>
  </si>
  <si>
    <t>0013600000xoEJ3AAM</t>
  </si>
  <si>
    <t>a1E3p00000B9eUyEAJ</t>
  </si>
  <si>
    <t>HTI-M-UNDP</t>
  </si>
  <si>
    <t>a1E3p00000B9eVwEAJ</t>
  </si>
  <si>
    <t>NGA-T-LSMOH</t>
  </si>
  <si>
    <t>a1E3p00000B9fEWEAZ</t>
  </si>
  <si>
    <t>MWI-C-WVM</t>
  </si>
  <si>
    <t>a1E3p00000B9hgqEAB</t>
  </si>
  <si>
    <t>KHM-S-MEF</t>
  </si>
  <si>
    <t>a1E3p00000B9hgvEAB</t>
  </si>
  <si>
    <t>LBR-C-PLAN</t>
  </si>
  <si>
    <t>a1E3p00000B9icqEAB</t>
  </si>
  <si>
    <t>TJK-C-UNDP</t>
  </si>
  <si>
    <t>a1E3p00000B9jprEAB</t>
  </si>
  <si>
    <t>NER-H-MSP</t>
  </si>
  <si>
    <t>a1E3p00000B9kGpEAJ</t>
  </si>
  <si>
    <t>CIV-C-ACI</t>
  </si>
  <si>
    <t>a1E3p00000B9lVoEAJ</t>
  </si>
  <si>
    <t>SSD-C-UNDP</t>
  </si>
  <si>
    <t>a1E3p00000B9ndcEAB</t>
  </si>
  <si>
    <t>CMR-C-CMF</t>
  </si>
  <si>
    <t>a1E3p00000B9o0JEAR</t>
  </si>
  <si>
    <t>RWA-C-MOH</t>
  </si>
  <si>
    <t>a1E3p00000B9o0YEAR</t>
  </si>
  <si>
    <t>MDG-T-CRS</t>
  </si>
  <si>
    <t>Type of Product</t>
  </si>
  <si>
    <t>LAST UPDATE (MM/DD/YYYY)</t>
  </si>
  <si>
    <t>ÚLTIMA ACTUALIZACIÓN (MM/DD/AAAA)</t>
  </si>
  <si>
    <t>DERNIÈRE MISE À JOUR (MM/JJ/AAAA)</t>
  </si>
  <si>
    <t>Ministry of Health and Wellness, Jamaica</t>
  </si>
  <si>
    <t>Public Institution - Coordination, Implementation and Monitoring Unit of the Health System Projects</t>
  </si>
  <si>
    <t>Republican DOTS Centre Ministry of Health of the Republic of Uzbekistan</t>
  </si>
  <si>
    <t>RSE on REU “National Scientific Center of Phthisiopulmonology of the Republic of Kazakhstan” of the Ministry of Health of the Republic of Kazakhstan</t>
  </si>
  <si>
    <t>Health Product Management Template - Malaria - Set up</t>
  </si>
  <si>
    <t xml:space="preserve">Plantilla para la gestión de productos sanitarios: Malaria - Configuración </t>
  </si>
  <si>
    <t xml:space="preserve">Document type de gestion des produits de santé - Paludisme Paramètres </t>
  </si>
  <si>
    <t>Health Product Management Template - HIV - Set up</t>
  </si>
  <si>
    <t xml:space="preserve">Plantilla para la gestión de productos sanitarios: HIV - Configuración </t>
  </si>
  <si>
    <t xml:space="preserve">Document type de gestion des produits de santé - VIH Paramètres </t>
  </si>
  <si>
    <t>Health Product Management Template - TB - Set up</t>
  </si>
  <si>
    <t xml:space="preserve">Plantilla para la gestión de productos sanitarios: TB - Configuración </t>
  </si>
  <si>
    <t xml:space="preserve">Document type de gestion des produits de santé - TB Paramètres </t>
  </si>
  <si>
    <t>Setup Heading</t>
  </si>
  <si>
    <t>Andorra</t>
  </si>
  <si>
    <t>Antigua and Barbuda</t>
  </si>
  <si>
    <t>Aruba</t>
  </si>
  <si>
    <t>Australia</t>
  </si>
  <si>
    <t>Austria</t>
  </si>
  <si>
    <t>Bahamas</t>
  </si>
  <si>
    <t>Bahrain</t>
  </si>
  <si>
    <t>Barbados</t>
  </si>
  <si>
    <t>Belgium</t>
  </si>
  <si>
    <t>Brunei Darussalam</t>
  </si>
  <si>
    <t>Canada</t>
  </si>
  <si>
    <t>Cook Islands</t>
  </si>
  <si>
    <t>Curacao</t>
  </si>
  <si>
    <t>Cyprus</t>
  </si>
  <si>
    <t>Czechia</t>
  </si>
  <si>
    <t>Denmark</t>
  </si>
  <si>
    <t>Dominica</t>
  </si>
  <si>
    <t>Faeroe Islands</t>
  </si>
  <si>
    <t>Finland</t>
  </si>
  <si>
    <t>France</t>
  </si>
  <si>
    <t>Germany</t>
  </si>
  <si>
    <t>Greece</t>
  </si>
  <si>
    <t>Greenland</t>
  </si>
  <si>
    <t>Grenada</t>
  </si>
  <si>
    <t>Holy See</t>
  </si>
  <si>
    <t>Hungary</t>
  </si>
  <si>
    <t>Iceland</t>
  </si>
  <si>
    <t>Ireland</t>
  </si>
  <si>
    <t>Israel</t>
  </si>
  <si>
    <t>Italy</t>
  </si>
  <si>
    <t>Japan</t>
  </si>
  <si>
    <t>Kiribati</t>
  </si>
  <si>
    <t>Korea (Republic)</t>
  </si>
  <si>
    <t>Kuwait</t>
  </si>
  <si>
    <t>Latvia</t>
  </si>
  <si>
    <t>Lebanon</t>
  </si>
  <si>
    <t>Libya</t>
  </si>
  <si>
    <t>Liechtenstein</t>
  </si>
  <si>
    <t>Lithuania</t>
  </si>
  <si>
    <t>Luxembourg</t>
  </si>
  <si>
    <t>Malta</t>
  </si>
  <si>
    <t>Marshall Islands</t>
  </si>
  <si>
    <t>Micronesia (Federated States)</t>
  </si>
  <si>
    <t>Monaco</t>
  </si>
  <si>
    <t>Nauru</t>
  </si>
  <si>
    <t>Netherlands</t>
  </si>
  <si>
    <t>New Zealand</t>
  </si>
  <si>
    <t>Niue</t>
  </si>
  <si>
    <t>North Macedonia</t>
  </si>
  <si>
    <t>Norway</t>
  </si>
  <si>
    <t>Oman</t>
  </si>
  <si>
    <t>Palau</t>
  </si>
  <si>
    <t>Poland</t>
  </si>
  <si>
    <t>Portugal</t>
  </si>
  <si>
    <t>Qatar</t>
  </si>
  <si>
    <t>Saint Kitts and Nevis</t>
  </si>
  <si>
    <t>Saint Lucia</t>
  </si>
  <si>
    <t>Saint Vincent and Grenadines</t>
  </si>
  <si>
    <t>Samoa</t>
  </si>
  <si>
    <t>San Marino</t>
  </si>
  <si>
    <t>Saudi Arabia</t>
  </si>
  <si>
    <t>Seychelles</t>
  </si>
  <si>
    <t>Singapore</t>
  </si>
  <si>
    <t>Sint Maarten (Dutch part)</t>
  </si>
  <si>
    <t>Slovakia</t>
  </si>
  <si>
    <t>Slovenia</t>
  </si>
  <si>
    <t>Spain</t>
  </si>
  <si>
    <t>Sweden</t>
  </si>
  <si>
    <t>Taiwan</t>
  </si>
  <si>
    <t>Tokelau</t>
  </si>
  <si>
    <t>Tonga</t>
  </si>
  <si>
    <t>Trinidad and Tobago</t>
  </si>
  <si>
    <t>Tuvalu</t>
  </si>
  <si>
    <t>United Arab Emirates</t>
  </si>
  <si>
    <t>United Kingdom</t>
  </si>
  <si>
    <t>United States</t>
  </si>
  <si>
    <t>Vanuatu</t>
  </si>
  <si>
    <t>Venezuela</t>
  </si>
  <si>
    <t>Western Sahara</t>
  </si>
  <si>
    <t>Tarjetas DBS para recoleccion de muestras de CV</t>
  </si>
  <si>
    <t>Insumos para toma y procesamiento de mxs</t>
  </si>
  <si>
    <t>Prueba ràpida para Histoplasma kit 25 pruebas</t>
  </si>
  <si>
    <t xml:space="preserve">Precio unitario por prueba </t>
  </si>
  <si>
    <t>CARGA VIRAL HEP B precio unitario por prueba</t>
  </si>
  <si>
    <t>CARGA VIRAL HEP C precio unitario por prueba</t>
  </si>
  <si>
    <t xml:space="preserve"> </t>
  </si>
  <si>
    <t>Clamidia T (PCR) precio unitario por prueba</t>
  </si>
  <si>
    <t>Neiserria  (PCR) precio unitario por prueba</t>
  </si>
  <si>
    <t>Herpes (PCR) precio unitario por prueba</t>
  </si>
  <si>
    <t>VPH (PCR) precio unitario por prueba</t>
  </si>
  <si>
    <t>Toxoplasma Ig G precio unitario por prueba</t>
  </si>
  <si>
    <t>Toxoplasma Ig M precio unitario por prueba</t>
  </si>
  <si>
    <t xml:space="preserve">Histoplasma ELISA por set </t>
  </si>
  <si>
    <t>CD4/CD8 Citometria de flujo incluye consumibles por set</t>
  </si>
  <si>
    <t xml:space="preserve">SIFILIS RPR set de 150 pruebas </t>
  </si>
  <si>
    <t>Precio del Set de 30 pruebas</t>
  </si>
  <si>
    <t>Precio del Set de 100 pruebas</t>
  </si>
  <si>
    <t>Anoscopios -costos unitarios</t>
  </si>
  <si>
    <t>Etiquetas de fila</t>
  </si>
  <si>
    <t>Total general</t>
  </si>
  <si>
    <t>(Todas)</t>
  </si>
  <si>
    <t>(en blanco)</t>
  </si>
  <si>
    <t>Suma de Q6 Cash Flow</t>
  </si>
  <si>
    <t>Suma de Q10 Cash Flow</t>
  </si>
  <si>
    <t>Suma de Y1-4 Total Cash Outflow</t>
  </si>
  <si>
    <t xml:space="preserve">Dentro de los modelos diferenciados de atenciòn durante esta subvenciòn, se usaran las pruebas autoadministradas  bajo la modalidad asistida una nueva estrategia a implementar en el país Se plantea facilitar la disponibilidad de realización de auto test para VIH para conocer el estado serológico en un entorno privado y de su conveniencia, utilizando fluido oral o con sangre obtenida al pincharse un dedo para poblaciones claves o personas en riesgo que son atendidas en establecimientos de salud donde no hay laboratorio clínico, incluye a la Fuerza Armada y cotizantes del Instituto del Seguro Social, lo cual contribuye a la búsqueda de los casos positivos </t>
  </si>
  <si>
    <t xml:space="preserve">En la atencion integral de las ITS, se hará vigilancia  de las Hepatitis B y C, teniendo en cuenta los servicios de salud especializados en población clave a nivel nacional  e intervenciones en la población HSH con servicios de salud sexual y atención integral de las ITS, con manejo de casos clínicos y sindrómicos de pacientes con síntomas de ITS, se ha considerado importante el diagnóstico etiológico de las ITS provocadas por diferentes agentes, entre estos: Neisseria, clamidias, Herpes Virus, Virus de papiloma humano, por lo que se solicita el apoyo para la adquisición de pruebas para estos agentes </t>
  </si>
  <si>
    <t>El 80% de mujeres embarazadas acuden al MINSAL, para la prevención de la transmisión materno infantil del VIH y la sífilis congénita. Se cubrira el 80% del primer perfil prenatal  de las embarazadas, antes de las 12 semanas de gestaciòn y sus respectivas  pruebas de confirmación  para VIH.</t>
  </si>
  <si>
    <t xml:space="preserve">En la atencion integral de las ITS, se hará vigilancia  de las Hepatitis B y C, teniendo en cuenta los servicios de salud especializados en población clave a nivel nacional  e intervenciones en la población Mujeres Trans con servicios de salud sexual y atención integral de las ITS, con manejo de casos clínicos y sindrómicos de pacientes con síntomas de ITS, se ha considerado importante el diagnóstico etiológico de las ITS provocadas por diferentes agentes, entre estos: Neisseria, clamidias, Herpes Virus, Virus de papiloma humano, por lo que se solicita el apoyo para la adquisición de pruebas para estos agentes </t>
  </si>
  <si>
    <t xml:space="preserve">En la atencion integral de las ITS, se hará vigilancia  de las Hepatitis B y C, teniendo en cuenta los servicios de salud especializados en población clave a nivel nacional  e intervenciones en la población en trabajadoras(es) sexuales y sus clientes  con servicios de salud sexual y atención integral de las ITS, con manejo de casos clínicos y sindrómicos de pacientes con síntomas de ITS, se ha considerado importante el diagnóstico etiológico de las ITS provocadas por diferentes agentes, entre estos: Neisseria, clamidias, Herpes Virus, Virus de papiloma humano, por lo que se solicita el apoyo para la adquisición de pruebas para estos agentes </t>
  </si>
  <si>
    <t xml:space="preserve">En este rubro se ha incluido 1 prueba por año dirigida a personas privadas de libertad PPL para fortalecer  las medidas preventivas en los Centros Penales y disminuir los riesgos de transmisiòn que conllevan la reclusiòn, hacinamiento , estigma y discriminaciòn </t>
  </si>
  <si>
    <t>Durante la prestacion de servicios de salud el personal puede sufrir accidentes con diferentes elementos cortopunzantes u otros, por lo que en este rubro se han considerado las pruebas necesarias para testear otras poblaciones vulnerables como  las personas que sufren accidentes laborales y/o abusos sexuales y que entran a la estrategia de profilaxis post exposiciòn al VIH</t>
  </si>
  <si>
    <t xml:space="preserve">Las pruebas a adquirir en este rubro son necesarias para el diagnostico de personas serodiscordantes o parejas de casos VIH, fortalecer su diagnostico y vigilancia del estatus serologico </t>
  </si>
  <si>
    <t>Los equipos ha adquirir fortaleceran las diferentes actividades de prestaciòn de servicios toma, manejo y procesamientos de diferentes pruebas de VIH e ITS a la poblaciòn clave</t>
  </si>
  <si>
    <t>Para el seguimiento de las personas con VIH es necesaria la adquisición de reactivos, consumibles y servicios de mantenimiento para pruebas de carga viral para VIH. Se realizará una prueba  por persona dentro de la cohorte  al año, estas pruebas son necesarias para la evaluaciòn virológica y éxito del tratamiento, detección de sospechas y confirmación de las fallas virológicas en los 20 hospitales con TAR descentralizados en todo el país, los cuales ascenderán a 31 al finalizar la subvención.</t>
  </si>
  <si>
    <t>Estos Insumos para procesamiento, bioseguridad individuales y colectivos para la toma, manejo y realizacion de las pruebas, se han incluido para desarrollar adecuadamente las pruebas diagnosticas dentro de la nueva normalidad  a las personas de las poblaciones clave HSH, Nujeres TRANS, TS entre otras, tanto en diagnostico como en seguimiento de VIH y otras ITS, en los dos perfiles contenidos en la intervenciòn durante cada año de la suvbenciòn</t>
  </si>
  <si>
    <t>El porcentaje estimado para el GAS es del 6% en relación al costo de la intervención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</si>
</sst>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164" formatCode="_ * #,##0.00_ ;_ * \-#,##0.00_ ;_ * &quot;-&quot;??_ ;_ @_ "/>
    <numFmt numFmtId="165" formatCode="_(* #,##0.00_);_(* \(#,##0.00\);_(* &quot;-&quot;??_);_(@_)"/>
    <numFmt numFmtId="166" formatCode="_)@"/>
    <numFmt numFmtId="167" formatCode="[&lt;=9999999]###\-####;\(###\)\ ###\-####"/>
    <numFmt numFmtId="168" formatCode="_(* #,##0_);_(* \(#,##0\);_(* &quot;-&quot;??_);_(@_)"/>
    <numFmt numFmtId="169" formatCode=";;;"/>
    <numFmt numFmtId="170" formatCode="_(* #,##0.0_);_(* \(#,##0.0\);_(* &quot;-&quot;??_);_(@_)"/>
    <numFmt numFmtId="171" formatCode="[$-409]mmmm\-yy;@"/>
    <numFmt numFmtId="172" formatCode="m/d/yyyy;@"/>
  </numFmts>
  <fonts count="116">
    <font>
      <sz val="11"/>
      <color theme="1"/>
      <name val="Calibri"/>
      <family val="2"/>
      <scheme val="minor"/>
    </font>
    <font>
      <b/>
      <sz val="11"/>
      <color theme="3"/>
      <name val="Calibri"/>
      <family val="2"/>
      <scheme val="minor"/>
    </font>
    <font>
      <b/>
      <sz val="11"/>
      <color theme="4" tint="-0.249977111117893"/>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8"/>
      <color theme="4" tint="-0.249977111117893"/>
      <name val="Calibri"/>
      <family val="2"/>
      <scheme val="minor"/>
    </font>
    <font>
      <b/>
      <sz val="12"/>
      <color theme="1"/>
      <name val="Calibri"/>
      <family val="2"/>
      <scheme val="minor"/>
    </font>
    <font>
      <sz val="10"/>
      <color theme="1"/>
      <name val="Calibri"/>
      <family val="2"/>
      <scheme val="minor"/>
    </font>
    <font>
      <sz val="11"/>
      <color theme="4" tint="-0.249977111117893"/>
      <name val="Calibri"/>
      <family val="2"/>
      <scheme val="minor"/>
    </font>
    <font>
      <sz val="14"/>
      <color theme="0"/>
      <name val="Calibri"/>
      <family val="2"/>
      <scheme val="minor"/>
    </font>
    <font>
      <b/>
      <sz val="18"/>
      <color theme="5" tint="-0.249977111117893"/>
      <name val="Calibri"/>
      <family val="2"/>
      <scheme val="minor"/>
    </font>
    <font>
      <b/>
      <sz val="18"/>
      <color theme="9"/>
      <name val="Calibri"/>
      <family val="2"/>
      <scheme val="minor"/>
    </font>
    <font>
      <b/>
      <sz val="11"/>
      <color theme="9"/>
      <name val="Calibri"/>
      <family val="2"/>
      <scheme val="minor"/>
    </font>
    <font>
      <sz val="11"/>
      <color theme="9"/>
      <name val="Calibri"/>
      <family val="2"/>
      <scheme val="minor"/>
    </font>
    <font>
      <sz val="10"/>
      <name val="Calibri"/>
      <family val="2"/>
      <scheme val="minor"/>
    </font>
    <font>
      <b/>
      <sz val="10"/>
      <name val="Calibri"/>
      <family val="2"/>
      <scheme val="minor"/>
    </font>
    <font>
      <b/>
      <u/>
      <sz val="11"/>
      <color theme="9"/>
      <name val="Calibri"/>
      <family val="2"/>
      <scheme val="minor"/>
    </font>
    <font>
      <sz val="11"/>
      <color theme="5" tint="-0.249977111117893"/>
      <name val="Calibri"/>
      <family val="2"/>
      <scheme val="minor"/>
    </font>
    <font>
      <b/>
      <sz val="11"/>
      <color theme="5" tint="-0.249977111117893"/>
      <name val="Calibri"/>
      <family val="2"/>
      <scheme val="minor"/>
    </font>
    <font>
      <b/>
      <u/>
      <sz val="11"/>
      <color theme="5" tint="-0.249977111117893"/>
      <name val="Calibri"/>
      <family val="2"/>
      <scheme val="minor"/>
    </font>
    <font>
      <i/>
      <sz val="11"/>
      <color theme="9"/>
      <name val="Calibri"/>
      <family val="2"/>
      <scheme val="minor"/>
    </font>
    <font>
      <b/>
      <sz val="18"/>
      <color rgb="FFEAAD00"/>
      <name val="Calibri"/>
      <family val="2"/>
      <scheme val="minor"/>
    </font>
    <font>
      <sz val="11"/>
      <color rgb="FFEAAD00"/>
      <name val="Calibri"/>
      <family val="2"/>
      <scheme val="minor"/>
    </font>
    <font>
      <b/>
      <sz val="11"/>
      <color rgb="FFEAAD00"/>
      <name val="Calibri"/>
      <family val="2"/>
      <scheme val="minor"/>
    </font>
    <font>
      <b/>
      <sz val="12"/>
      <color theme="0"/>
      <name val="Calibri"/>
      <family val="2"/>
      <scheme val="minor"/>
    </font>
    <font>
      <sz val="10"/>
      <color theme="9"/>
      <name val="Calibri"/>
      <family val="2"/>
      <scheme val="minor"/>
    </font>
    <font>
      <b/>
      <sz val="10"/>
      <color theme="9"/>
      <name val="Calibri"/>
      <family val="2"/>
      <scheme val="minor"/>
    </font>
    <font>
      <sz val="11"/>
      <name val="Calibri"/>
      <family val="2"/>
      <scheme val="minor"/>
    </font>
    <font>
      <b/>
      <sz val="26"/>
      <color theme="0"/>
      <name val="Calibri"/>
      <family val="2"/>
      <scheme val="minor"/>
    </font>
    <font>
      <b/>
      <sz val="10"/>
      <color theme="5" tint="-0.249977111117893"/>
      <name val="Calibri"/>
      <family val="2"/>
      <scheme val="minor"/>
    </font>
    <font>
      <b/>
      <i/>
      <sz val="11"/>
      <color rgb="FFEAAD00"/>
      <name val="Calibri"/>
      <family val="2"/>
      <scheme val="minor"/>
    </font>
    <font>
      <b/>
      <u/>
      <sz val="11"/>
      <color rgb="FFEAAD00"/>
      <name val="Calibri"/>
      <family val="2"/>
      <scheme val="minor"/>
    </font>
    <font>
      <b/>
      <sz val="10"/>
      <color rgb="FFEAAD00"/>
      <name val="Calibri"/>
      <family val="2"/>
      <scheme val="minor"/>
    </font>
    <font>
      <u/>
      <sz val="11"/>
      <color theme="10"/>
      <name val="Calibri"/>
      <family val="2"/>
      <scheme val="minor"/>
    </font>
    <font>
      <b/>
      <sz val="18"/>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sz val="11"/>
      <color theme="1"/>
      <name val="Arial"/>
      <family val="2"/>
    </font>
    <font>
      <sz val="10"/>
      <name val="Arial"/>
      <family val="2"/>
    </font>
    <font>
      <i/>
      <sz val="12"/>
      <name val="Calibri"/>
      <family val="2"/>
      <scheme val="minor"/>
    </font>
    <font>
      <i/>
      <sz val="11"/>
      <name val="Calibri"/>
      <family val="2"/>
      <scheme val="minor"/>
    </font>
    <font>
      <sz val="11"/>
      <color rgb="FFFF0000"/>
      <name val="Calibri"/>
      <family val="2"/>
      <scheme val="minor"/>
    </font>
    <font>
      <sz val="11"/>
      <color indexed="8"/>
      <name val="Calibri"/>
      <family val="2"/>
      <scheme val="minor"/>
    </font>
    <font>
      <b/>
      <sz val="11"/>
      <name val="Calibri"/>
      <family val="2"/>
      <scheme val="minor"/>
    </font>
    <font>
      <sz val="11"/>
      <color rgb="FF339933"/>
      <name val="Calibri"/>
      <family val="2"/>
      <scheme val="minor"/>
    </font>
    <font>
      <sz val="11"/>
      <color rgb="FFE6AF00"/>
      <name val="Calibri"/>
      <family val="2"/>
      <scheme val="minor"/>
    </font>
    <font>
      <b/>
      <sz val="10"/>
      <color rgb="FFE6AF00"/>
      <name val="Calibri"/>
      <family val="2"/>
      <scheme val="minor"/>
    </font>
    <font>
      <b/>
      <sz val="10"/>
      <color rgb="FF00B050"/>
      <name val="Calibri"/>
      <family val="2"/>
      <scheme val="minor"/>
    </font>
    <font>
      <b/>
      <sz val="11"/>
      <color theme="7"/>
      <name val="Calibri"/>
      <family val="2"/>
      <scheme val="minor"/>
    </font>
    <font>
      <sz val="11"/>
      <color theme="7"/>
      <name val="Calibri"/>
      <family val="2"/>
      <scheme val="minor"/>
    </font>
    <font>
      <b/>
      <sz val="10"/>
      <color theme="1"/>
      <name val="Calibri"/>
      <family val="2"/>
      <scheme val="minor"/>
    </font>
    <font>
      <b/>
      <sz val="11"/>
      <color rgb="FFFF0000"/>
      <name val="Calibri"/>
      <family val="2"/>
      <scheme val="minor"/>
    </font>
    <font>
      <b/>
      <sz val="10"/>
      <color rgb="FFFF0000"/>
      <name val="Calibri"/>
      <family val="2"/>
      <scheme val="minor"/>
    </font>
    <font>
      <b/>
      <i/>
      <sz val="11"/>
      <name val="Calibri"/>
      <family val="2"/>
      <scheme val="minor"/>
    </font>
    <font>
      <sz val="11"/>
      <color rgb="FF0000FF"/>
      <name val="Calibri"/>
      <family val="2"/>
      <scheme val="minor"/>
    </font>
    <font>
      <b/>
      <i/>
      <sz val="11"/>
      <color rgb="FFFF0000"/>
      <name val="Calibri"/>
      <family val="2"/>
      <scheme val="minor"/>
    </font>
    <font>
      <b/>
      <sz val="10"/>
      <color theme="0"/>
      <name val="Calibri"/>
      <family val="2"/>
      <scheme val="minor"/>
    </font>
    <font>
      <sz val="10"/>
      <color rgb="FFFF0000"/>
      <name val="Calibri"/>
      <family val="2"/>
      <scheme val="minor"/>
    </font>
    <font>
      <sz val="10"/>
      <color theme="0"/>
      <name val="Calibri"/>
      <family val="2"/>
      <scheme val="minor"/>
    </font>
    <font>
      <b/>
      <sz val="10"/>
      <color rgb="FF000000"/>
      <name val="Calibri"/>
      <family val="2"/>
      <scheme val="minor"/>
    </font>
    <font>
      <b/>
      <u/>
      <sz val="10"/>
      <color theme="0" tint="-0.34998626667073579"/>
      <name val="Calibri"/>
      <family val="2"/>
      <scheme val="minor"/>
    </font>
    <font>
      <b/>
      <i/>
      <sz val="10"/>
      <color theme="0" tint="-0.34998626667073579"/>
      <name val="Calibri"/>
      <family val="2"/>
      <scheme val="minor"/>
    </font>
    <font>
      <b/>
      <sz val="12"/>
      <name val="Calibri"/>
      <family val="2"/>
      <scheme val="minor"/>
    </font>
    <font>
      <b/>
      <sz val="10"/>
      <color rgb="FF0000FF"/>
      <name val="Calibri"/>
      <family val="2"/>
      <scheme val="minor"/>
    </font>
    <font>
      <sz val="10"/>
      <color theme="0" tint="-0.34998626667073579"/>
      <name val="Calibri"/>
      <family val="2"/>
      <scheme val="minor"/>
    </font>
    <font>
      <b/>
      <u/>
      <sz val="10"/>
      <name val="Calibri"/>
      <family val="2"/>
      <scheme val="minor"/>
    </font>
    <font>
      <b/>
      <i/>
      <u/>
      <sz val="10"/>
      <name val="Calibri"/>
      <family val="2"/>
      <scheme val="minor"/>
    </font>
    <font>
      <b/>
      <i/>
      <u/>
      <sz val="11"/>
      <name val="Calibri"/>
      <family val="2"/>
      <scheme val="minor"/>
    </font>
    <font>
      <i/>
      <sz val="11"/>
      <name val="Calibri (Body)"/>
    </font>
    <font>
      <b/>
      <i/>
      <sz val="11"/>
      <color theme="1"/>
      <name val="Calibri"/>
      <family val="2"/>
      <scheme val="minor"/>
    </font>
    <font>
      <sz val="8"/>
      <color theme="0"/>
      <name val="Calibri"/>
      <family val="2"/>
      <scheme val="minor"/>
    </font>
    <font>
      <b/>
      <u/>
      <sz val="11"/>
      <color theme="10"/>
      <name val="Calibri"/>
      <family val="2"/>
      <scheme val="minor"/>
    </font>
    <font>
      <sz val="16"/>
      <color theme="0"/>
      <name val="Calibri"/>
      <family val="2"/>
      <scheme val="minor"/>
    </font>
    <font>
      <b/>
      <sz val="11"/>
      <color rgb="FFFFC000"/>
      <name val="Calibri"/>
      <family val="2"/>
      <scheme val="minor"/>
    </font>
    <font>
      <b/>
      <i/>
      <sz val="10"/>
      <color theme="1"/>
      <name val="Calibri"/>
      <family val="2"/>
      <scheme val="minor"/>
    </font>
    <font>
      <sz val="12"/>
      <color theme="4" tint="-0.249977111117893"/>
      <name val="Calibri"/>
      <family val="2"/>
      <scheme val="minor"/>
    </font>
    <font>
      <b/>
      <sz val="12"/>
      <color theme="4" tint="-0.249977111117893"/>
      <name val="Calibri"/>
      <family val="2"/>
      <scheme val="minor"/>
    </font>
    <font>
      <b/>
      <sz val="12"/>
      <color rgb="FFFF0000"/>
      <name val="Calibri"/>
      <family val="2"/>
      <scheme val="minor"/>
    </font>
    <font>
      <sz val="10"/>
      <color rgb="FFEAAD00"/>
      <name val="Calibri"/>
      <family val="2"/>
      <scheme val="minor"/>
    </font>
    <font>
      <b/>
      <sz val="10"/>
      <color theme="7"/>
      <name val="Calibri"/>
      <family val="2"/>
      <scheme val="minor"/>
    </font>
    <font>
      <sz val="10"/>
      <color theme="7"/>
      <name val="Calibri"/>
      <family val="2"/>
      <scheme val="minor"/>
    </font>
    <font>
      <sz val="11"/>
      <color rgb="FFCC0000"/>
      <name val="Calibri"/>
      <family val="2"/>
      <scheme val="minor"/>
    </font>
    <font>
      <b/>
      <sz val="10"/>
      <color rgb="FFCC0000"/>
      <name val="Calibri"/>
      <family val="2"/>
      <scheme val="minor"/>
    </font>
    <font>
      <sz val="10"/>
      <color rgb="FFCC0000"/>
      <name val="Calibri"/>
      <family val="2"/>
      <scheme val="minor"/>
    </font>
    <font>
      <sz val="9"/>
      <color indexed="81"/>
      <name val="Tahoma"/>
      <family val="2"/>
    </font>
    <font>
      <b/>
      <sz val="9"/>
      <color indexed="81"/>
      <name val="Tahoma"/>
      <family val="2"/>
    </font>
    <font>
      <sz val="11"/>
      <color rgb="FFFFCC00"/>
      <name val="Calibri"/>
      <family val="2"/>
      <scheme val="minor"/>
    </font>
    <font>
      <sz val="11"/>
      <color rgb="FFFFD966"/>
      <name val="Calibri"/>
      <family val="2"/>
      <scheme val="minor"/>
    </font>
    <font>
      <sz val="11"/>
      <color theme="7" tint="-0.249977111117893"/>
      <name val="Calibri"/>
      <family val="2"/>
      <scheme val="minor"/>
    </font>
    <font>
      <sz val="10"/>
      <color theme="7" tint="-0.249977111117893"/>
      <name val="Calibri"/>
      <family val="2"/>
      <scheme val="minor"/>
    </font>
    <font>
      <b/>
      <sz val="10"/>
      <color theme="7" tint="-0.249977111117893"/>
      <name val="Calibri"/>
      <family val="2"/>
      <scheme val="minor"/>
    </font>
    <font>
      <b/>
      <sz val="11"/>
      <color rgb="FFCC0000"/>
      <name val="Calibri"/>
      <family val="2"/>
      <scheme val="minor"/>
    </font>
    <font>
      <sz val="8"/>
      <color theme="1"/>
      <name val="Calibri"/>
      <family val="2"/>
      <scheme val="minor"/>
    </font>
    <font>
      <sz val="11"/>
      <color theme="2" tint="-0.249977111117893"/>
      <name val="Calibri"/>
      <family val="2"/>
      <scheme val="minor"/>
    </font>
    <font>
      <sz val="12"/>
      <name val="Calibri"/>
      <family val="2"/>
      <scheme val="minor"/>
    </font>
    <font>
      <sz val="11"/>
      <color theme="9" tint="-0.249977111117893"/>
      <name val="Calibri"/>
      <family val="2"/>
      <scheme val="minor"/>
    </font>
    <font>
      <sz val="10"/>
      <color theme="1"/>
      <name val="Calibri"/>
      <family val="2"/>
      <scheme val="minor"/>
    </font>
    <font>
      <b/>
      <sz val="14"/>
      <color theme="0"/>
      <name val="Calibri"/>
      <family val="2"/>
      <scheme val="minor"/>
    </font>
    <font>
      <b/>
      <sz val="11"/>
      <color theme="2"/>
      <name val="Calibri"/>
      <family val="2"/>
      <scheme val="minor"/>
    </font>
    <font>
      <sz val="9"/>
      <color theme="1"/>
      <name val="Calibri"/>
      <family val="2"/>
      <scheme val="minor"/>
    </font>
    <font>
      <sz val="10"/>
      <color theme="2" tint="-0.249977111117893"/>
      <name val="Calibri"/>
      <family val="2"/>
      <scheme val="minor"/>
    </font>
    <font>
      <sz val="10"/>
      <color rgb="FFCC0099"/>
      <name val="Calibri"/>
      <family val="2"/>
      <scheme val="minor"/>
    </font>
    <font>
      <b/>
      <sz val="10"/>
      <color rgb="FFCC0099"/>
      <name val="Calibri"/>
      <family val="2"/>
      <scheme val="minor"/>
    </font>
    <font>
      <b/>
      <sz val="16"/>
      <color theme="0"/>
      <name val="Calibri"/>
      <family val="2"/>
      <scheme val="minor"/>
    </font>
    <font>
      <b/>
      <sz val="18"/>
      <color rgb="FFCC0099"/>
      <name val="Calibri"/>
      <family val="2"/>
      <scheme val="minor"/>
    </font>
    <font>
      <sz val="11"/>
      <color theme="2" tint="-9.9978637043366805E-2"/>
      <name val="Calibri"/>
      <family val="2"/>
      <scheme val="minor"/>
    </font>
    <font>
      <b/>
      <sz val="11"/>
      <color theme="2" tint="-0.249977111117893"/>
      <name val="Calibri"/>
      <family val="2"/>
      <scheme val="minor"/>
    </font>
    <font>
      <b/>
      <sz val="9"/>
      <color theme="1"/>
      <name val="Calibri"/>
      <family val="2"/>
      <scheme val="minor"/>
    </font>
    <font>
      <b/>
      <sz val="10"/>
      <color theme="2" tint="-0.249977111117893"/>
      <name val="Calibri"/>
      <family val="2"/>
      <scheme val="minor"/>
    </font>
    <font>
      <i/>
      <sz val="11"/>
      <color rgb="FFCC0099"/>
      <name val="Calibri"/>
      <family val="2"/>
      <scheme val="minor"/>
    </font>
    <font>
      <b/>
      <sz val="8"/>
      <color theme="1"/>
      <name val="Calibri"/>
      <family val="2"/>
      <scheme val="minor"/>
    </font>
    <font>
      <b/>
      <sz val="22"/>
      <color theme="4" tint="-0.249977111117893"/>
      <name val="Calibri"/>
      <family val="2"/>
      <scheme val="minor"/>
    </font>
  </fonts>
  <fills count="45">
    <fill>
      <patternFill patternType="none"/>
    </fill>
    <fill>
      <patternFill patternType="gray125"/>
    </fill>
    <fill>
      <patternFill patternType="solid">
        <fgColor theme="0" tint="-4.9989318521683403E-2"/>
        <bgColor indexed="64"/>
      </patternFill>
    </fill>
    <fill>
      <patternFill patternType="solid">
        <fgColor theme="4" tint="-0.249977111117893"/>
        <bgColor indexed="64"/>
      </patternFill>
    </fill>
    <fill>
      <patternFill patternType="solid">
        <fgColor theme="0"/>
        <bgColor indexed="64"/>
      </patternFill>
    </fill>
    <fill>
      <patternFill patternType="solid">
        <fgColor theme="9"/>
        <bgColor indexed="64"/>
      </patternFill>
    </fill>
    <fill>
      <patternFill patternType="solid">
        <fgColor theme="5" tint="-0.249977111117893"/>
        <bgColor indexed="64"/>
      </patternFill>
    </fill>
    <fill>
      <patternFill patternType="solid">
        <fgColor rgb="FFEAAD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9" tint="0.79998168889431442"/>
        <bgColor auto="1"/>
      </patternFill>
    </fill>
    <fill>
      <patternFill patternType="solid">
        <fgColor indexed="65"/>
        <bgColor auto="1"/>
      </patternFill>
    </fill>
    <fill>
      <patternFill patternType="solid">
        <fgColor theme="7" tint="0.79998168889431442"/>
        <bgColor theme="7" tint="0.79998168889431442"/>
      </patternFill>
    </fill>
    <fill>
      <patternFill patternType="solid">
        <fgColor theme="5" tint="0.79998168889431442"/>
        <bgColor theme="5" tint="0.79998168889431442"/>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C65911"/>
        <bgColor indexed="64"/>
      </patternFill>
    </fill>
    <fill>
      <patternFill patternType="solid">
        <fgColor theme="2"/>
        <bgColor indexed="64"/>
      </patternFill>
    </fill>
    <fill>
      <patternFill patternType="solid">
        <fgColor theme="9" tint="0.79998168889431442"/>
        <bgColor theme="9" tint="0.79998168889431442"/>
      </patternFill>
    </fill>
    <fill>
      <patternFill patternType="solid">
        <fgColor rgb="FFFFFFFF"/>
        <bgColor rgb="FF000000"/>
      </patternFill>
    </fill>
    <fill>
      <patternFill patternType="solid">
        <fgColor theme="5" tint="0.79998168889431442"/>
        <bgColor theme="0" tint="-0.24994659260841701"/>
      </patternFill>
    </fill>
    <fill>
      <patternFill patternType="solid">
        <fgColor theme="0"/>
        <bgColor theme="0" tint="-0.24994659260841701"/>
      </patternFill>
    </fill>
    <fill>
      <patternFill patternType="solid">
        <fgColor theme="7" tint="0.79998168889431442"/>
        <bgColor theme="0" tint="-0.24994659260841701"/>
      </patternFill>
    </fill>
    <fill>
      <patternFill patternType="solid">
        <fgColor indexed="65"/>
        <bgColor theme="0" tint="-0.24994659260841701"/>
      </patternFill>
    </fill>
    <fill>
      <patternFill patternType="solid">
        <fgColor theme="0"/>
        <bgColor theme="5" tint="0.79998168889431442"/>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E6AF00"/>
        <bgColor indexed="64"/>
      </patternFill>
    </fill>
    <fill>
      <patternFill patternType="solid">
        <fgColor theme="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C0099"/>
        <bgColor indexed="64"/>
      </patternFill>
    </fill>
    <fill>
      <patternFill patternType="solid">
        <fgColor rgb="FFFF0000"/>
        <bgColor indexed="64"/>
      </patternFill>
    </fill>
    <fill>
      <patternFill patternType="solid">
        <fgColor rgb="FFFCE8F8"/>
        <bgColor indexed="64"/>
      </patternFill>
    </fill>
    <fill>
      <patternFill patternType="solid">
        <fgColor rgb="FFFCE8F8"/>
        <bgColor theme="9" tint="0.79998168889431442"/>
      </patternFill>
    </fill>
    <fill>
      <patternFill patternType="solid">
        <fgColor rgb="FFFFCCFF"/>
        <bgColor indexed="64"/>
      </patternFill>
    </fill>
    <fill>
      <patternFill patternType="solid">
        <fgColor theme="3" tint="0.79998168889431442"/>
        <bgColor indexed="64"/>
      </patternFill>
    </fill>
    <fill>
      <patternFill patternType="solid">
        <fgColor theme="4"/>
        <bgColor theme="4"/>
      </patternFill>
    </fill>
    <fill>
      <patternFill patternType="solid">
        <fgColor theme="4" tint="0.79998168889431442"/>
        <bgColor theme="4" tint="0.79998168889431442"/>
      </patternFill>
    </fill>
  </fills>
  <borders count="616">
    <border>
      <left/>
      <right/>
      <top/>
      <bottom/>
      <diagonal/>
    </border>
    <border>
      <left/>
      <right/>
      <top/>
      <bottom style="medium">
        <color theme="4" tint="0.39997558519241921"/>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thin">
        <color theme="0"/>
      </left>
      <right style="thin">
        <color theme="0"/>
      </right>
      <top style="thin">
        <color theme="0"/>
      </top>
      <bottom style="thin">
        <color theme="0"/>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thin">
        <color theme="0"/>
      </left>
      <right style="thin">
        <color theme="0"/>
      </right>
      <top/>
      <bottom style="thin">
        <color theme="0"/>
      </bottom>
      <diagonal/>
    </border>
    <border>
      <left style="thin">
        <color theme="0"/>
      </left>
      <right style="thin">
        <color theme="0"/>
      </right>
      <top/>
      <bottom/>
      <diagonal/>
    </border>
    <border>
      <left style="medium">
        <color theme="4" tint="-0.24994659260841701"/>
      </left>
      <right style="thin">
        <color theme="0"/>
      </right>
      <top style="medium">
        <color theme="4" tint="-0.24994659260841701"/>
      </top>
      <bottom style="thin">
        <color theme="0"/>
      </bottom>
      <diagonal/>
    </border>
    <border>
      <left/>
      <right/>
      <top style="medium">
        <color theme="4" tint="-0.24994659260841701"/>
      </top>
      <bottom style="thick">
        <color theme="0"/>
      </bottom>
      <diagonal/>
    </border>
    <border>
      <left style="thin">
        <color theme="0"/>
      </left>
      <right style="thin">
        <color theme="0"/>
      </right>
      <top style="medium">
        <color theme="4" tint="-0.24994659260841701"/>
      </top>
      <bottom style="thin">
        <color theme="0"/>
      </bottom>
      <diagonal/>
    </border>
    <border>
      <left style="medium">
        <color theme="4" tint="-0.24994659260841701"/>
      </left>
      <right style="thin">
        <color theme="0"/>
      </right>
      <top style="thin">
        <color theme="0"/>
      </top>
      <bottom style="thin">
        <color theme="0"/>
      </bottom>
      <diagonal/>
    </border>
    <border>
      <left/>
      <right style="medium">
        <color theme="4" tint="-0.24994659260841701"/>
      </right>
      <top/>
      <bottom/>
      <diagonal/>
    </border>
    <border>
      <left style="medium">
        <color theme="4" tint="-0.24994659260841701"/>
      </left>
      <right style="thin">
        <color theme="0"/>
      </right>
      <top style="thin">
        <color theme="0"/>
      </top>
      <bottom style="medium">
        <color theme="4" tint="-0.24994659260841701"/>
      </bottom>
      <diagonal/>
    </border>
    <border>
      <left/>
      <right/>
      <top style="thick">
        <color theme="0"/>
      </top>
      <bottom style="medium">
        <color theme="4" tint="-0.24994659260841701"/>
      </bottom>
      <diagonal/>
    </border>
    <border>
      <left/>
      <right/>
      <top/>
      <bottom style="medium">
        <color theme="4" tint="-0.24994659260841701"/>
      </bottom>
      <diagonal/>
    </border>
    <border>
      <left style="medium">
        <color rgb="FF339933"/>
      </left>
      <right/>
      <top style="medium">
        <color rgb="FF339933"/>
      </top>
      <bottom style="medium">
        <color rgb="FF339933"/>
      </bottom>
      <diagonal/>
    </border>
    <border>
      <left/>
      <right/>
      <top style="medium">
        <color rgb="FF339933"/>
      </top>
      <bottom style="medium">
        <color rgb="FF339933"/>
      </bottom>
      <diagonal/>
    </border>
    <border>
      <left/>
      <right style="medium">
        <color rgb="FF339933"/>
      </right>
      <top style="medium">
        <color rgb="FF339933"/>
      </top>
      <bottom style="medium">
        <color rgb="FF339933"/>
      </bottom>
      <diagonal/>
    </border>
    <border>
      <left style="medium">
        <color rgb="FF339933"/>
      </left>
      <right style="thin">
        <color theme="0"/>
      </right>
      <top style="medium">
        <color rgb="FF339933"/>
      </top>
      <bottom style="thin">
        <color theme="0"/>
      </bottom>
      <diagonal/>
    </border>
    <border>
      <left/>
      <right/>
      <top style="medium">
        <color rgb="FF339933"/>
      </top>
      <bottom style="thick">
        <color theme="0"/>
      </bottom>
      <diagonal/>
    </border>
    <border>
      <left/>
      <right/>
      <top style="medium">
        <color rgb="FF339933"/>
      </top>
      <bottom/>
      <diagonal/>
    </border>
    <border>
      <left style="thin">
        <color theme="0"/>
      </left>
      <right style="thin">
        <color theme="0"/>
      </right>
      <top style="medium">
        <color rgb="FF339933"/>
      </top>
      <bottom style="thin">
        <color theme="0"/>
      </bottom>
      <diagonal/>
    </border>
    <border>
      <left/>
      <right style="medium">
        <color rgb="FF339933"/>
      </right>
      <top style="medium">
        <color rgb="FF339933"/>
      </top>
      <bottom/>
      <diagonal/>
    </border>
    <border>
      <left style="medium">
        <color rgb="FF339933"/>
      </left>
      <right style="thin">
        <color theme="0"/>
      </right>
      <top style="thin">
        <color theme="0"/>
      </top>
      <bottom style="thin">
        <color theme="0"/>
      </bottom>
      <diagonal/>
    </border>
    <border>
      <left/>
      <right style="medium">
        <color rgb="FF339933"/>
      </right>
      <top/>
      <bottom/>
      <diagonal/>
    </border>
    <border>
      <left style="medium">
        <color rgb="FF339933"/>
      </left>
      <right style="thin">
        <color theme="0"/>
      </right>
      <top style="thin">
        <color theme="0"/>
      </top>
      <bottom style="medium">
        <color rgb="FF339933"/>
      </bottom>
      <diagonal/>
    </border>
    <border>
      <left/>
      <right/>
      <top style="thick">
        <color theme="0"/>
      </top>
      <bottom style="medium">
        <color rgb="FF339933"/>
      </bottom>
      <diagonal/>
    </border>
    <border>
      <left/>
      <right/>
      <top/>
      <bottom style="medium">
        <color rgb="FF339933"/>
      </bottom>
      <diagonal/>
    </border>
    <border>
      <left style="thin">
        <color theme="0"/>
      </left>
      <right style="thin">
        <color theme="0"/>
      </right>
      <top style="thin">
        <color theme="0"/>
      </top>
      <bottom style="medium">
        <color rgb="FF339933"/>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style="medium">
        <color theme="0"/>
      </left>
      <right style="medium">
        <color theme="0"/>
      </right>
      <top style="medium">
        <color rgb="FF339933"/>
      </top>
      <bottom/>
      <diagonal/>
    </border>
    <border>
      <left style="thin">
        <color theme="0"/>
      </left>
      <right/>
      <top/>
      <bottom/>
      <diagonal/>
    </border>
    <border>
      <left/>
      <right/>
      <top style="thin">
        <color theme="0"/>
      </top>
      <bottom/>
      <diagonal/>
    </border>
    <border>
      <left style="medium">
        <color theme="0"/>
      </left>
      <right style="medium">
        <color theme="0"/>
      </right>
      <top/>
      <bottom/>
      <diagonal/>
    </border>
    <border>
      <left style="medium">
        <color theme="5" tint="-0.24994659260841701"/>
      </left>
      <right/>
      <top style="medium">
        <color theme="5" tint="-0.24994659260841701"/>
      </top>
      <bottom style="medium">
        <color theme="5" tint="-0.24994659260841701"/>
      </bottom>
      <diagonal/>
    </border>
    <border>
      <left/>
      <right/>
      <top style="medium">
        <color theme="5" tint="-0.24994659260841701"/>
      </top>
      <bottom style="medium">
        <color theme="5" tint="-0.24994659260841701"/>
      </bottom>
      <diagonal/>
    </border>
    <border>
      <left/>
      <right style="medium">
        <color theme="5" tint="-0.24994659260841701"/>
      </right>
      <top style="medium">
        <color theme="5" tint="-0.24994659260841701"/>
      </top>
      <bottom style="medium">
        <color theme="5" tint="-0.24994659260841701"/>
      </bottom>
      <diagonal/>
    </border>
    <border>
      <left style="medium">
        <color theme="5" tint="-0.24994659260841701"/>
      </left>
      <right style="thin">
        <color theme="0"/>
      </right>
      <top style="medium">
        <color theme="5" tint="-0.24994659260841701"/>
      </top>
      <bottom style="thin">
        <color theme="0"/>
      </bottom>
      <diagonal/>
    </border>
    <border>
      <left/>
      <right/>
      <top style="medium">
        <color theme="5" tint="-0.24994659260841701"/>
      </top>
      <bottom style="thick">
        <color theme="0"/>
      </bottom>
      <diagonal/>
    </border>
    <border>
      <left/>
      <right/>
      <top style="medium">
        <color theme="5" tint="-0.24994659260841701"/>
      </top>
      <bottom/>
      <diagonal/>
    </border>
    <border>
      <left style="thin">
        <color theme="0"/>
      </left>
      <right style="thin">
        <color theme="0"/>
      </right>
      <top style="medium">
        <color theme="5" tint="-0.24994659260841701"/>
      </top>
      <bottom style="thin">
        <color theme="0"/>
      </bottom>
      <diagonal/>
    </border>
    <border>
      <left/>
      <right style="medium">
        <color theme="5" tint="-0.24994659260841701"/>
      </right>
      <top style="medium">
        <color theme="5" tint="-0.24994659260841701"/>
      </top>
      <bottom/>
      <diagonal/>
    </border>
    <border>
      <left style="medium">
        <color theme="5" tint="-0.24994659260841701"/>
      </left>
      <right style="thin">
        <color theme="0"/>
      </right>
      <top style="thin">
        <color theme="0"/>
      </top>
      <bottom style="thin">
        <color theme="0"/>
      </bottom>
      <diagonal/>
    </border>
    <border>
      <left/>
      <right style="medium">
        <color theme="5" tint="-0.24994659260841701"/>
      </right>
      <top/>
      <bottom/>
      <diagonal/>
    </border>
    <border>
      <left style="medium">
        <color theme="5" tint="-0.24994659260841701"/>
      </left>
      <right style="thin">
        <color theme="0"/>
      </right>
      <top style="thin">
        <color theme="0"/>
      </top>
      <bottom style="medium">
        <color theme="5" tint="-0.24994659260841701"/>
      </bottom>
      <diagonal/>
    </border>
    <border>
      <left/>
      <right/>
      <top style="thick">
        <color theme="0"/>
      </top>
      <bottom style="medium">
        <color theme="5" tint="-0.24994659260841701"/>
      </bottom>
      <diagonal/>
    </border>
    <border>
      <left/>
      <right/>
      <top/>
      <bottom style="medium">
        <color theme="5" tint="-0.24994659260841701"/>
      </bottom>
      <diagonal/>
    </border>
    <border>
      <left style="thin">
        <color theme="0"/>
      </left>
      <right style="thin">
        <color theme="0"/>
      </right>
      <top style="thin">
        <color theme="0"/>
      </top>
      <bottom style="medium">
        <color theme="5" tint="-0.24994659260841701"/>
      </bottom>
      <diagonal/>
    </border>
    <border>
      <left/>
      <right/>
      <top style="medium">
        <color theme="0"/>
      </top>
      <bottom style="medium">
        <color theme="0"/>
      </bottom>
      <diagonal/>
    </border>
    <border>
      <left style="medium">
        <color indexed="64"/>
      </left>
      <right/>
      <top style="medium">
        <color indexed="64"/>
      </top>
      <bottom style="medium">
        <color indexed="64"/>
      </bottom>
      <diagonal/>
    </border>
    <border>
      <left style="medium">
        <color theme="0"/>
      </left>
      <right/>
      <top style="thin">
        <color theme="0"/>
      </top>
      <bottom/>
      <diagonal/>
    </border>
    <border>
      <left style="thin">
        <color theme="5" tint="-0.24994659260841701"/>
      </left>
      <right/>
      <top style="thin">
        <color theme="5" tint="-0.24994659260841701"/>
      </top>
      <bottom style="thin">
        <color theme="5" tint="-0.24994659260841701"/>
      </bottom>
      <diagonal/>
    </border>
    <border>
      <left style="medium">
        <color rgb="FFEAAD00"/>
      </left>
      <right style="thin">
        <color theme="0"/>
      </right>
      <top style="medium">
        <color rgb="FFEAAD00"/>
      </top>
      <bottom style="thin">
        <color theme="0"/>
      </bottom>
      <diagonal/>
    </border>
    <border>
      <left/>
      <right/>
      <top style="medium">
        <color rgb="FFEAAD00"/>
      </top>
      <bottom style="thick">
        <color theme="0"/>
      </bottom>
      <diagonal/>
    </border>
    <border>
      <left/>
      <right/>
      <top style="medium">
        <color rgb="FFEAAD00"/>
      </top>
      <bottom/>
      <diagonal/>
    </border>
    <border>
      <left style="thin">
        <color theme="0"/>
      </left>
      <right style="thin">
        <color theme="0"/>
      </right>
      <top style="medium">
        <color rgb="FFEAAD00"/>
      </top>
      <bottom style="thin">
        <color theme="0"/>
      </bottom>
      <diagonal/>
    </border>
    <border>
      <left/>
      <right style="medium">
        <color rgb="FFEAAD00"/>
      </right>
      <top style="medium">
        <color rgb="FFEAAD00"/>
      </top>
      <bottom/>
      <diagonal/>
    </border>
    <border>
      <left style="medium">
        <color rgb="FFEAAD00"/>
      </left>
      <right style="thin">
        <color theme="0"/>
      </right>
      <top style="thin">
        <color theme="0"/>
      </top>
      <bottom style="thin">
        <color theme="0"/>
      </bottom>
      <diagonal/>
    </border>
    <border>
      <left/>
      <right style="medium">
        <color rgb="FFEAAD00"/>
      </right>
      <top/>
      <bottom/>
      <diagonal/>
    </border>
    <border>
      <left style="medium">
        <color rgb="FFEAAD00"/>
      </left>
      <right style="thin">
        <color theme="0"/>
      </right>
      <top style="thin">
        <color theme="0"/>
      </top>
      <bottom style="medium">
        <color rgb="FFEAAD00"/>
      </bottom>
      <diagonal/>
    </border>
    <border>
      <left/>
      <right/>
      <top style="thick">
        <color theme="0"/>
      </top>
      <bottom style="medium">
        <color rgb="FFEAAD00"/>
      </bottom>
      <diagonal/>
    </border>
    <border>
      <left/>
      <right/>
      <top/>
      <bottom style="medium">
        <color rgb="FFEAAD00"/>
      </bottom>
      <diagonal/>
    </border>
    <border>
      <left style="thin">
        <color theme="0"/>
      </left>
      <right style="thin">
        <color theme="0"/>
      </right>
      <top style="thin">
        <color theme="0"/>
      </top>
      <bottom style="medium">
        <color rgb="FFEAAD00"/>
      </bottom>
      <diagonal/>
    </border>
    <border>
      <left style="medium">
        <color rgb="FFEAAD00"/>
      </left>
      <right/>
      <top style="medium">
        <color rgb="FFEAAD00"/>
      </top>
      <bottom style="medium">
        <color rgb="FFEAAD00"/>
      </bottom>
      <diagonal/>
    </border>
    <border>
      <left/>
      <right/>
      <top style="medium">
        <color rgb="FFEAAD00"/>
      </top>
      <bottom style="medium">
        <color rgb="FFEAAD00"/>
      </bottom>
      <diagonal/>
    </border>
    <border>
      <left/>
      <right style="medium">
        <color rgb="FFEAAD00"/>
      </right>
      <top style="medium">
        <color rgb="FFEAAD00"/>
      </top>
      <bottom style="medium">
        <color rgb="FFEAAD00"/>
      </bottom>
      <diagonal/>
    </border>
    <border>
      <left/>
      <right/>
      <top style="medium">
        <color theme="0"/>
      </top>
      <bottom style="thin">
        <color theme="5" tint="-0.24994659260841701"/>
      </bottom>
      <diagonal/>
    </border>
    <border>
      <left style="medium">
        <color theme="9"/>
      </left>
      <right style="medium">
        <color theme="9"/>
      </right>
      <top/>
      <bottom/>
      <diagonal/>
    </border>
    <border>
      <left style="medium">
        <color theme="9"/>
      </left>
      <right/>
      <top/>
      <bottom/>
      <diagonal/>
    </border>
    <border>
      <left/>
      <right style="medium">
        <color theme="9"/>
      </right>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theme="9"/>
      </left>
      <right style="medium">
        <color theme="0"/>
      </right>
      <top style="medium">
        <color theme="0"/>
      </top>
      <bottom style="medium">
        <color theme="0"/>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style="medium">
        <color theme="0"/>
      </left>
      <right style="medium">
        <color theme="0"/>
      </right>
      <top/>
      <bottom style="medium">
        <color theme="9"/>
      </bottom>
      <diagonal/>
    </border>
    <border>
      <left style="medium">
        <color theme="5" tint="-0.24994659260841701"/>
      </left>
      <right/>
      <top style="medium">
        <color theme="5" tint="-0.24994659260841701"/>
      </top>
      <bottom/>
      <diagonal/>
    </border>
    <border>
      <left style="medium">
        <color theme="5" tint="-0.24994659260841701"/>
      </left>
      <right/>
      <top/>
      <bottom style="medium">
        <color theme="5" tint="-0.24994659260841701"/>
      </bottom>
      <diagonal/>
    </border>
    <border>
      <left/>
      <right style="medium">
        <color theme="5" tint="-0.24994659260841701"/>
      </right>
      <top/>
      <bottom style="medium">
        <color theme="5" tint="-0.24994659260841701"/>
      </bottom>
      <diagonal/>
    </border>
    <border>
      <left style="medium">
        <color theme="5" tint="-0.24994659260841701"/>
      </left>
      <right/>
      <top/>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style="medium">
        <color theme="0"/>
      </bottom>
      <diagonal/>
    </border>
    <border>
      <left/>
      <right style="medium">
        <color theme="0"/>
      </right>
      <top/>
      <bottom/>
      <diagonal/>
    </border>
    <border>
      <left/>
      <right style="medium">
        <color rgb="FFEAAD00"/>
      </right>
      <top/>
      <bottom style="medium">
        <color rgb="FFEAAD00"/>
      </bottom>
      <diagonal/>
    </border>
    <border>
      <left style="medium">
        <color rgb="FFEAAD00"/>
      </left>
      <right/>
      <top/>
      <bottom/>
      <diagonal/>
    </border>
    <border>
      <left style="medium">
        <color rgb="FFEAAD00"/>
      </left>
      <right/>
      <top style="medium">
        <color rgb="FFEAAD00"/>
      </top>
      <bottom/>
      <diagonal/>
    </border>
    <border>
      <left style="medium">
        <color rgb="FFEAAD00"/>
      </left>
      <right/>
      <top/>
      <bottom style="medium">
        <color rgb="FFEAAD0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style="mediumDashed">
        <color theme="9"/>
      </left>
      <right style="mediumDashed">
        <color theme="9"/>
      </right>
      <top style="mediumDashed">
        <color theme="9"/>
      </top>
      <bottom/>
      <diagonal/>
    </border>
    <border>
      <left style="mediumDashed">
        <color theme="9"/>
      </left>
      <right style="mediumDashed">
        <color theme="9"/>
      </right>
      <top/>
      <bottom style="mediumDashed">
        <color theme="9"/>
      </bottom>
      <diagonal/>
    </border>
    <border>
      <left style="medium">
        <color theme="9"/>
      </left>
      <right/>
      <top style="medium">
        <color theme="0"/>
      </top>
      <bottom style="medium">
        <color theme="0"/>
      </bottom>
      <diagonal/>
    </border>
    <border>
      <left style="mediumDashed">
        <color theme="5" tint="-0.24994659260841701"/>
      </left>
      <right style="mediumDashed">
        <color theme="5" tint="-0.24994659260841701"/>
      </right>
      <top style="mediumDashed">
        <color theme="5" tint="-0.24994659260841701"/>
      </top>
      <bottom/>
      <diagonal/>
    </border>
    <border>
      <left style="mediumDashed">
        <color theme="5" tint="-0.24994659260841701"/>
      </left>
      <right style="mediumDashed">
        <color theme="5" tint="-0.24994659260841701"/>
      </right>
      <top/>
      <bottom style="mediumDashed">
        <color theme="5" tint="-0.24994659260841701"/>
      </bottom>
      <diagonal/>
    </border>
    <border>
      <left style="mediumDashed">
        <color rgb="FFEAAD00"/>
      </left>
      <right style="mediumDashed">
        <color rgb="FFEAAD00"/>
      </right>
      <top style="mediumDashed">
        <color rgb="FFEAAD00"/>
      </top>
      <bottom/>
      <diagonal/>
    </border>
    <border>
      <left style="mediumDashed">
        <color rgb="FFEAAD00"/>
      </left>
      <right style="mediumDashed">
        <color rgb="FFEAAD00"/>
      </right>
      <top/>
      <bottom style="mediumDashed">
        <color rgb="FFEAAD00"/>
      </bottom>
      <diagonal/>
    </border>
    <border>
      <left style="mediumDashed">
        <color theme="9"/>
      </left>
      <right/>
      <top style="mediumDashed">
        <color theme="9"/>
      </top>
      <bottom/>
      <diagonal/>
    </border>
    <border>
      <left/>
      <right style="mediumDashed">
        <color theme="9"/>
      </right>
      <top style="mediumDashed">
        <color theme="9"/>
      </top>
      <bottom/>
      <diagonal/>
    </border>
    <border>
      <left style="mediumDashed">
        <color theme="9"/>
      </left>
      <right/>
      <top/>
      <bottom style="mediumDashed">
        <color theme="9"/>
      </bottom>
      <diagonal/>
    </border>
    <border>
      <left/>
      <right style="mediumDashed">
        <color theme="9"/>
      </right>
      <top/>
      <bottom style="mediumDashed">
        <color theme="9"/>
      </bottom>
      <diagonal/>
    </border>
    <border>
      <left/>
      <right/>
      <top style="thin">
        <color theme="5" tint="-0.24994659260841701"/>
      </top>
      <bottom/>
      <diagonal/>
    </border>
    <border>
      <left style="thin">
        <color theme="5" tint="-0.24994659260841701"/>
      </left>
      <right/>
      <top style="thin">
        <color theme="5" tint="-0.24994659260841701"/>
      </top>
      <bottom/>
      <diagonal/>
    </border>
    <border>
      <left/>
      <right/>
      <top style="thin">
        <color theme="5" tint="-0.24994659260841701"/>
      </top>
      <bottom style="medium">
        <color theme="0"/>
      </bottom>
      <diagonal/>
    </border>
    <border>
      <left style="thin">
        <color theme="5" tint="-0.24994659260841701"/>
      </left>
      <right/>
      <top/>
      <bottom style="thin">
        <color theme="5" tint="-0.24994659260841701"/>
      </bottom>
      <diagonal/>
    </border>
    <border>
      <left/>
      <right/>
      <top/>
      <bottom style="thin">
        <color theme="5" tint="-0.24994659260841701"/>
      </bottom>
      <diagonal/>
    </border>
    <border>
      <left/>
      <right style="thin">
        <color theme="0"/>
      </right>
      <top style="medium">
        <color theme="5" tint="-0.24994659260841701"/>
      </top>
      <bottom/>
      <diagonal/>
    </border>
    <border>
      <left style="thin">
        <color theme="0"/>
      </left>
      <right style="thin">
        <color theme="0"/>
      </right>
      <top style="medium">
        <color theme="5" tint="-0.24994659260841701"/>
      </top>
      <bottom/>
      <diagonal/>
    </border>
    <border>
      <left style="thin">
        <color theme="0"/>
      </left>
      <right/>
      <top style="medium">
        <color theme="5" tint="-0.24994659260841701"/>
      </top>
      <bottom/>
      <diagonal/>
    </border>
    <border>
      <left style="medium">
        <color theme="0"/>
      </left>
      <right style="medium">
        <color theme="0"/>
      </right>
      <top style="thin">
        <color theme="0"/>
      </top>
      <bottom style="medium">
        <color theme="0"/>
      </bottom>
      <diagonal/>
    </border>
    <border>
      <left style="medium">
        <color theme="0"/>
      </left>
      <right style="medium">
        <color theme="0"/>
      </right>
      <top style="medium">
        <color theme="0"/>
      </top>
      <bottom style="medium">
        <color theme="5" tint="-0.24994659260841701"/>
      </bottom>
      <diagonal/>
    </border>
    <border>
      <left style="mediumDashed">
        <color theme="9"/>
      </left>
      <right style="mediumDashed">
        <color theme="0"/>
      </right>
      <top style="mediumDashed">
        <color theme="0"/>
      </top>
      <bottom/>
      <diagonal/>
    </border>
    <border>
      <left style="mediumDashed">
        <color theme="9"/>
      </left>
      <right style="mediumDashed">
        <color theme="0"/>
      </right>
      <top/>
      <bottom style="mediumDashed">
        <color theme="0"/>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right>
      <top style="medium">
        <color theme="0" tint="-0.34998626667073579"/>
      </top>
      <bottom style="thin">
        <color theme="0"/>
      </bottom>
      <diagonal/>
    </border>
    <border>
      <left/>
      <right/>
      <top style="medium">
        <color theme="0" tint="-0.34998626667073579"/>
      </top>
      <bottom style="thick">
        <color theme="0"/>
      </bottom>
      <diagonal/>
    </border>
    <border>
      <left/>
      <right/>
      <top style="medium">
        <color theme="0" tint="-0.34998626667073579"/>
      </top>
      <bottom/>
      <diagonal/>
    </border>
    <border>
      <left style="thin">
        <color theme="0"/>
      </left>
      <right style="thin">
        <color theme="0"/>
      </right>
      <top style="medium">
        <color theme="0" tint="-0.34998626667073579"/>
      </top>
      <bottom style="thin">
        <color theme="0"/>
      </bottom>
      <diagonal/>
    </border>
    <border>
      <left/>
      <right style="medium">
        <color theme="0" tint="-0.34998626667073579"/>
      </right>
      <top style="medium">
        <color theme="0" tint="-0.34998626667073579"/>
      </top>
      <bottom/>
      <diagonal/>
    </border>
    <border>
      <left style="medium">
        <color theme="0" tint="-0.34998626667073579"/>
      </left>
      <right style="thin">
        <color theme="0"/>
      </right>
      <top style="thin">
        <color theme="0"/>
      </top>
      <bottom style="thin">
        <color theme="0"/>
      </bottom>
      <diagonal/>
    </border>
    <border>
      <left/>
      <right style="medium">
        <color theme="0" tint="-0.34998626667073579"/>
      </right>
      <top/>
      <bottom/>
      <diagonal/>
    </border>
    <border>
      <left style="medium">
        <color theme="0" tint="-0.34998626667073579"/>
      </left>
      <right style="thin">
        <color theme="0"/>
      </right>
      <top style="thin">
        <color theme="0"/>
      </top>
      <bottom style="medium">
        <color theme="0" tint="-0.34998626667073579"/>
      </bottom>
      <diagonal/>
    </border>
    <border>
      <left/>
      <right/>
      <top style="thick">
        <color theme="0"/>
      </top>
      <bottom style="medium">
        <color theme="0" tint="-0.34998626667073579"/>
      </bottom>
      <diagonal/>
    </border>
    <border>
      <left/>
      <right/>
      <top/>
      <bottom style="medium">
        <color theme="0" tint="-0.34998626667073579"/>
      </bottom>
      <diagonal/>
    </border>
    <border>
      <left style="mediumDashed">
        <color theme="0" tint="-0.34998626667073579"/>
      </left>
      <right style="mediumDashed">
        <color theme="0" tint="-0.34998626667073579"/>
      </right>
      <top style="mediumDashed">
        <color theme="0" tint="-0.34998626667073579"/>
      </top>
      <bottom/>
      <diagonal/>
    </border>
    <border>
      <left style="mediumDashed">
        <color theme="0" tint="-0.34998626667073579"/>
      </left>
      <right style="mediumDashed">
        <color theme="0" tint="-0.34998626667073579"/>
      </right>
      <top/>
      <bottom style="mediumDashed">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left>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medium">
        <color theme="0"/>
      </left>
      <right style="medium">
        <color theme="0"/>
      </right>
      <top style="medium">
        <color theme="0" tint="-0.34998626667073579"/>
      </top>
      <bottom/>
      <diagonal/>
    </border>
    <border>
      <left style="medium">
        <color theme="0"/>
      </left>
      <right style="medium">
        <color theme="0"/>
      </right>
      <top style="medium">
        <color theme="0" tint="-0.34998626667073579"/>
      </top>
      <bottom style="medium">
        <color theme="0" tint="-0.34998626667073579"/>
      </bottom>
      <diagonal/>
    </border>
    <border>
      <left style="thin">
        <color theme="0"/>
      </left>
      <right/>
      <top style="medium">
        <color theme="0" tint="-0.34998626667073579"/>
      </top>
      <bottom/>
      <diagonal/>
    </border>
    <border>
      <left style="thin">
        <color theme="0"/>
      </left>
      <right/>
      <top style="medium">
        <color theme="0"/>
      </top>
      <bottom/>
      <diagonal/>
    </border>
    <border>
      <left/>
      <right style="mediumDashed">
        <color theme="0"/>
      </right>
      <top style="mediumDashed">
        <color theme="5" tint="-0.24994659260841701"/>
      </top>
      <bottom style="thin">
        <color theme="0"/>
      </bottom>
      <diagonal/>
    </border>
    <border>
      <left style="mediumDashed">
        <color theme="5" tint="-0.24994659260841701"/>
      </left>
      <right/>
      <top style="mediumDashed">
        <color theme="5" tint="-0.24994659260841701"/>
      </top>
      <bottom/>
      <diagonal/>
    </border>
    <border>
      <left/>
      <right style="mediumDashed">
        <color theme="5" tint="-0.24994659260841701"/>
      </right>
      <top style="mediumDashed">
        <color theme="5" tint="-0.24994659260841701"/>
      </top>
      <bottom/>
      <diagonal/>
    </border>
    <border>
      <left style="mediumDashed">
        <color theme="5" tint="-0.24994659260841701"/>
      </left>
      <right/>
      <top/>
      <bottom style="mediumDashed">
        <color theme="5" tint="-0.24994659260841701"/>
      </bottom>
      <diagonal/>
    </border>
    <border>
      <left/>
      <right style="mediumDashed">
        <color theme="5" tint="-0.24994659260841701"/>
      </right>
      <top/>
      <bottom style="mediumDashed">
        <color theme="5" tint="-0.24994659260841701"/>
      </bottom>
      <diagonal/>
    </border>
    <border>
      <left style="mediumDashed">
        <color theme="0"/>
      </left>
      <right style="mediumDashed">
        <color theme="0"/>
      </right>
      <top style="mediumDashed">
        <color theme="5" tint="-0.24994659260841701"/>
      </top>
      <bottom style="thin">
        <color theme="0"/>
      </bottom>
      <diagonal/>
    </border>
    <border>
      <left/>
      <right style="mediumDashed">
        <color rgb="FFEAAD00"/>
      </right>
      <top style="mediumDashed">
        <color rgb="FFEAAD00"/>
      </top>
      <bottom/>
      <diagonal/>
    </border>
    <border>
      <left/>
      <right style="mediumDashed">
        <color rgb="FFEAAD00"/>
      </right>
      <top/>
      <bottom style="mediumDashed">
        <color rgb="FFEAAD00"/>
      </bottom>
      <diagonal/>
    </border>
    <border>
      <left style="thin">
        <color theme="0"/>
      </left>
      <right/>
      <top style="medium">
        <color rgb="FFEAAD00"/>
      </top>
      <bottom/>
      <diagonal/>
    </border>
    <border>
      <left/>
      <right style="medium">
        <color rgb="FFEAAD00"/>
      </right>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theme="4" tint="-0.24994659260841701"/>
      </right>
      <top/>
      <bottom style="medium">
        <color theme="4" tint="-0.24994659260841701"/>
      </bottom>
      <diagonal/>
    </border>
    <border>
      <left style="thin">
        <color theme="0"/>
      </left>
      <right/>
      <top style="thin">
        <color theme="0"/>
      </top>
      <bottom style="medium">
        <color theme="4" tint="-0.24994659260841701"/>
      </bottom>
      <diagonal/>
    </border>
    <border>
      <left/>
      <right/>
      <top style="medium">
        <color theme="0"/>
      </top>
      <bottom style="thick">
        <color theme="0"/>
      </bottom>
      <diagonal/>
    </border>
    <border>
      <left/>
      <right style="medium">
        <color theme="4" tint="-0.24994659260841701"/>
      </right>
      <top style="medium">
        <color theme="0"/>
      </top>
      <bottom/>
      <diagonal/>
    </border>
    <border>
      <left style="thin">
        <color theme="0"/>
      </left>
      <right/>
      <top style="medium">
        <color theme="0"/>
      </top>
      <bottom style="thick">
        <color theme="0"/>
      </bottom>
      <diagonal/>
    </border>
    <border>
      <left/>
      <right style="medium">
        <color theme="9"/>
      </right>
      <top style="medium">
        <color theme="0"/>
      </top>
      <bottom/>
      <diagonal/>
    </border>
    <border>
      <left style="thin">
        <color theme="0"/>
      </left>
      <right/>
      <top style="thick">
        <color theme="0"/>
      </top>
      <bottom style="medium">
        <color theme="9"/>
      </bottom>
      <diagonal/>
    </border>
    <border>
      <left/>
      <right style="medium">
        <color theme="5" tint="-0.24994659260841701"/>
      </right>
      <top style="medium">
        <color theme="0"/>
      </top>
      <bottom/>
      <diagonal/>
    </border>
    <border>
      <left style="thin">
        <color theme="0"/>
      </left>
      <right/>
      <top style="thick">
        <color theme="0"/>
      </top>
      <bottom style="medium">
        <color theme="5" tint="-0.24994659260841701"/>
      </bottom>
      <diagonal/>
    </border>
    <border>
      <left/>
      <right style="medium">
        <color rgb="FFEAAD00"/>
      </right>
      <top style="medium">
        <color theme="0"/>
      </top>
      <bottom/>
      <diagonal/>
    </border>
    <border>
      <left style="thin">
        <color theme="0"/>
      </left>
      <right/>
      <top/>
      <bottom style="medium">
        <color rgb="FFEAAD00"/>
      </bottom>
      <diagonal/>
    </border>
    <border>
      <left style="thin">
        <color theme="0"/>
      </left>
      <right/>
      <top style="thick">
        <color theme="0"/>
      </top>
      <bottom style="medium">
        <color rgb="FFEAAD00"/>
      </bottom>
      <diagonal/>
    </border>
    <border>
      <left/>
      <right style="medium">
        <color theme="0" tint="-0.34998626667073579"/>
      </right>
      <top style="medium">
        <color theme="0"/>
      </top>
      <bottom/>
      <diagonal/>
    </border>
    <border>
      <left/>
      <right style="medium">
        <color rgb="FF339933"/>
      </right>
      <top style="medium">
        <color theme="0"/>
      </top>
      <bottom/>
      <diagonal/>
    </border>
    <border>
      <left style="thin">
        <color theme="0"/>
      </left>
      <right/>
      <top style="thick">
        <color theme="0"/>
      </top>
      <bottom style="medium">
        <color rgb="FF339933"/>
      </bottom>
      <diagonal/>
    </border>
    <border>
      <left/>
      <right style="medium">
        <color rgb="FF339933"/>
      </right>
      <top/>
      <bottom style="medium">
        <color rgb="FF339933"/>
      </bottom>
      <diagonal/>
    </border>
    <border>
      <left style="thin">
        <color theme="0"/>
      </left>
      <right style="thin">
        <color theme="0"/>
      </right>
      <top style="medium">
        <color rgb="FFEAAD00"/>
      </top>
      <bottom style="medium">
        <color rgb="FFEAAD00"/>
      </bottom>
      <diagonal/>
    </border>
    <border>
      <left style="mediumDashed">
        <color rgb="FF339933"/>
      </left>
      <right style="thin">
        <color theme="0"/>
      </right>
      <top style="thin">
        <color theme="0"/>
      </top>
      <bottom style="thin">
        <color theme="0"/>
      </bottom>
      <diagonal/>
    </border>
    <border>
      <left/>
      <right style="medium">
        <color rgb="FF339933"/>
      </right>
      <top/>
      <bottom style="medium">
        <color theme="0"/>
      </bottom>
      <diagonal/>
    </border>
    <border>
      <left style="mediumDashed">
        <color rgb="FF339933"/>
      </left>
      <right style="thin">
        <color theme="0"/>
      </right>
      <top style="thin">
        <color theme="0"/>
      </top>
      <bottom style="medium">
        <color rgb="FF339933"/>
      </bottom>
      <diagonal/>
    </border>
    <border>
      <left style="thin">
        <color theme="0"/>
      </left>
      <right style="thin">
        <color theme="0"/>
      </right>
      <top style="medium">
        <color rgb="FF339933"/>
      </top>
      <bottom style="medium">
        <color rgb="FF339933"/>
      </bottom>
      <diagonal/>
    </border>
    <border>
      <left style="mediumDashed">
        <color rgb="FF339933"/>
      </left>
      <right style="thin">
        <color theme="0"/>
      </right>
      <top/>
      <bottom style="thin">
        <color theme="0"/>
      </bottom>
      <diagonal/>
    </border>
    <border>
      <left style="medium">
        <color rgb="FF339933"/>
      </left>
      <right/>
      <top/>
      <bottom style="medium">
        <color rgb="FF339933"/>
      </bottom>
      <diagonal/>
    </border>
    <border>
      <left style="medium">
        <color rgb="FF339933"/>
      </left>
      <right/>
      <top style="medium">
        <color rgb="FF339933"/>
      </top>
      <bottom/>
      <diagonal/>
    </border>
    <border>
      <left style="medium">
        <color rgb="FF339933"/>
      </left>
      <right/>
      <top/>
      <bottom style="medium">
        <color theme="9"/>
      </bottom>
      <diagonal/>
    </border>
    <border>
      <left/>
      <right style="medium">
        <color rgb="FF339933"/>
      </right>
      <top/>
      <bottom style="medium">
        <color theme="9"/>
      </bottom>
      <diagonal/>
    </border>
    <border>
      <left style="medium">
        <color rgb="FF339933"/>
      </left>
      <right/>
      <top style="medium">
        <color theme="9"/>
      </top>
      <bottom/>
      <diagonal/>
    </border>
    <border>
      <left style="medium">
        <color rgb="FF339933"/>
      </left>
      <right/>
      <top/>
      <bottom/>
      <diagonal/>
    </border>
    <border>
      <left/>
      <right style="medium">
        <color theme="9"/>
      </right>
      <top/>
      <bottom style="medium">
        <color rgb="FF339933"/>
      </bottom>
      <diagonal/>
    </border>
    <border>
      <left/>
      <right/>
      <top/>
      <bottom style="medium">
        <color rgb="FF92D050"/>
      </bottom>
      <diagonal/>
    </border>
    <border>
      <left style="medium">
        <color rgb="FF92D050"/>
      </left>
      <right/>
      <top style="medium">
        <color rgb="FF92D050"/>
      </top>
      <bottom/>
      <diagonal/>
    </border>
    <border>
      <left/>
      <right/>
      <top style="medium">
        <color rgb="FF92D050"/>
      </top>
      <bottom/>
      <diagonal/>
    </border>
    <border>
      <left/>
      <right style="medium">
        <color rgb="FF339933"/>
      </right>
      <top style="medium">
        <color rgb="FF92D050"/>
      </top>
      <bottom/>
      <diagonal/>
    </border>
    <border>
      <left style="medium">
        <color rgb="FF339933"/>
      </left>
      <right/>
      <top style="medium">
        <color rgb="FF92D050"/>
      </top>
      <bottom/>
      <diagonal/>
    </border>
    <border>
      <left/>
      <right style="medium">
        <color theme="9"/>
      </right>
      <top style="medium">
        <color rgb="FF92D050"/>
      </top>
      <bottom/>
      <diagonal/>
    </border>
    <border>
      <left style="medium">
        <color theme="9"/>
      </left>
      <right/>
      <top style="medium">
        <color rgb="FF92D050"/>
      </top>
      <bottom/>
      <diagonal/>
    </border>
    <border>
      <left style="medium">
        <color theme="9"/>
      </left>
      <right style="medium">
        <color rgb="FF92D050"/>
      </right>
      <top style="medium">
        <color rgb="FF92D050"/>
      </top>
      <bottom/>
      <diagonal/>
    </border>
    <border>
      <left style="medium">
        <color rgb="FF92D050"/>
      </left>
      <right/>
      <top/>
      <bottom style="medium">
        <color theme="9"/>
      </bottom>
      <diagonal/>
    </border>
    <border>
      <left style="medium">
        <color rgb="FF92D050"/>
      </left>
      <right/>
      <top/>
      <bottom/>
      <diagonal/>
    </border>
    <border>
      <left style="medium">
        <color rgb="FF92D050"/>
      </left>
      <right/>
      <top/>
      <bottom style="medium">
        <color rgb="FF92D050"/>
      </bottom>
      <diagonal/>
    </border>
    <border>
      <left/>
      <right style="medium">
        <color rgb="FF339933"/>
      </right>
      <top style="medium">
        <color theme="9"/>
      </top>
      <bottom/>
      <diagonal/>
    </border>
    <border>
      <left style="medium">
        <color theme="9"/>
      </left>
      <right style="medium">
        <color theme="9"/>
      </right>
      <top style="medium">
        <color theme="9"/>
      </top>
      <bottom style="medium">
        <color theme="9"/>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style="medium">
        <color theme="9"/>
      </right>
      <top style="thin">
        <color theme="0"/>
      </top>
      <bottom/>
      <diagonal/>
    </border>
    <border>
      <left style="medium">
        <color theme="9"/>
      </left>
      <right style="medium">
        <color theme="9"/>
      </right>
      <top/>
      <bottom style="thin">
        <color theme="0"/>
      </bottom>
      <diagonal/>
    </border>
    <border>
      <left style="medium">
        <color theme="9"/>
      </left>
      <right/>
      <top style="thin">
        <color theme="0"/>
      </top>
      <bottom/>
      <diagonal/>
    </border>
    <border>
      <left style="medium">
        <color theme="9"/>
      </left>
      <right/>
      <top/>
      <bottom style="thin">
        <color theme="0"/>
      </bottom>
      <diagonal/>
    </border>
    <border>
      <left style="medium">
        <color theme="9"/>
      </left>
      <right style="thin">
        <color theme="0"/>
      </right>
      <top style="medium">
        <color theme="9"/>
      </top>
      <bottom style="thin">
        <color theme="0"/>
      </bottom>
      <diagonal/>
    </border>
    <border>
      <left/>
      <right/>
      <top style="medium">
        <color theme="9"/>
      </top>
      <bottom style="thick">
        <color theme="0"/>
      </bottom>
      <diagonal/>
    </border>
    <border>
      <left style="medium">
        <color theme="9"/>
      </left>
      <right style="thin">
        <color theme="0"/>
      </right>
      <top style="thin">
        <color theme="0"/>
      </top>
      <bottom style="thin">
        <color theme="0"/>
      </bottom>
      <diagonal/>
    </border>
    <border>
      <left/>
      <right style="medium">
        <color theme="9"/>
      </right>
      <top/>
      <bottom style="medium">
        <color theme="0"/>
      </bottom>
      <diagonal/>
    </border>
    <border>
      <left style="medium">
        <color theme="9"/>
      </left>
      <right style="thin">
        <color theme="0"/>
      </right>
      <top style="thin">
        <color theme="0"/>
      </top>
      <bottom style="medium">
        <color theme="9"/>
      </bottom>
      <diagonal/>
    </border>
    <border>
      <left/>
      <right/>
      <top style="thick">
        <color theme="0"/>
      </top>
      <bottom style="medium">
        <color theme="9"/>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4659260841701"/>
      </right>
      <top style="medium">
        <color theme="5" tint="-0.249977111117893"/>
      </top>
      <bottom/>
      <diagonal/>
    </border>
    <border>
      <left style="medium">
        <color theme="5" tint="-0.24994659260841701"/>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style="medium">
        <color theme="5" tint="-0.24994659260841701"/>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4659260841701"/>
      </right>
      <top/>
      <bottom style="medium">
        <color theme="5" tint="-0.249977111117893"/>
      </bottom>
      <diagonal/>
    </border>
    <border>
      <left style="medium">
        <color theme="5" tint="-0.24994659260841701"/>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thin">
        <color indexed="64"/>
      </left>
      <right style="thin">
        <color indexed="64"/>
      </right>
      <top style="thin">
        <color indexed="64"/>
      </top>
      <bottom/>
      <diagonal/>
    </border>
    <border>
      <left style="medium">
        <color theme="5" tint="-0.249977111117893"/>
      </left>
      <right style="thin">
        <color indexed="64"/>
      </right>
      <top style="medium">
        <color theme="5" tint="-0.249977111117893"/>
      </top>
      <bottom style="thin">
        <color indexed="64"/>
      </bottom>
      <diagonal/>
    </border>
    <border>
      <left style="thin">
        <color indexed="64"/>
      </left>
      <right style="thin">
        <color indexed="64"/>
      </right>
      <top style="medium">
        <color theme="5" tint="-0.249977111117893"/>
      </top>
      <bottom style="thin">
        <color indexed="64"/>
      </bottom>
      <diagonal/>
    </border>
    <border>
      <left style="medium">
        <color theme="5" tint="-0.249977111117893"/>
      </left>
      <right style="thin">
        <color indexed="64"/>
      </right>
      <top style="thin">
        <color indexed="64"/>
      </top>
      <bottom style="medium">
        <color theme="5" tint="-0.249977111117893"/>
      </bottom>
      <diagonal/>
    </border>
    <border>
      <left style="thin">
        <color indexed="64"/>
      </left>
      <right style="thin">
        <color indexed="64"/>
      </right>
      <top style="thin">
        <color indexed="64"/>
      </top>
      <bottom style="medium">
        <color theme="5" tint="-0.249977111117893"/>
      </bottom>
      <diagonal/>
    </border>
    <border>
      <left style="medium">
        <color theme="5" tint="-0.24994659260841701"/>
      </left>
      <right style="medium">
        <color theme="5" tint="-0.249977111117893"/>
      </right>
      <top style="medium">
        <color theme="5" tint="-0.249977111117893"/>
      </top>
      <bottom/>
      <diagonal/>
    </border>
    <border>
      <left style="medium">
        <color rgb="FFE6AF00"/>
      </left>
      <right/>
      <top style="medium">
        <color rgb="FFE6AF00"/>
      </top>
      <bottom style="medium">
        <color rgb="FFE6AF00"/>
      </bottom>
      <diagonal/>
    </border>
    <border>
      <left/>
      <right/>
      <top style="medium">
        <color rgb="FFE6AF00"/>
      </top>
      <bottom style="medium">
        <color rgb="FFE6AF00"/>
      </bottom>
      <diagonal/>
    </border>
    <border>
      <left/>
      <right style="medium">
        <color rgb="FFE6AF00"/>
      </right>
      <top style="medium">
        <color rgb="FFE6AF00"/>
      </top>
      <bottom style="medium">
        <color rgb="FFE6AF00"/>
      </bottom>
      <diagonal/>
    </border>
    <border>
      <left/>
      <right style="medium">
        <color rgb="FFE6AF00"/>
      </right>
      <top style="medium">
        <color rgb="FFEAAD00"/>
      </top>
      <bottom/>
      <diagonal/>
    </border>
    <border>
      <left style="medium">
        <color rgb="FFE6AF00"/>
      </left>
      <right style="medium">
        <color rgb="FFE6AF00"/>
      </right>
      <top style="medium">
        <color rgb="FFE6AF00"/>
      </top>
      <bottom/>
      <diagonal/>
    </border>
    <border>
      <left style="medium">
        <color rgb="FFE6AF00"/>
      </left>
      <right style="medium">
        <color rgb="FFE6AF00"/>
      </right>
      <top/>
      <bottom style="medium">
        <color rgb="FFE6AF00"/>
      </bottom>
      <diagonal/>
    </border>
    <border>
      <left style="medium">
        <color rgb="FFE6AF00"/>
      </left>
      <right/>
      <top style="medium">
        <color rgb="FFE6AF00"/>
      </top>
      <bottom/>
      <diagonal/>
    </border>
    <border>
      <left/>
      <right/>
      <top style="medium">
        <color rgb="FFE6AF00"/>
      </top>
      <bottom/>
      <diagonal/>
    </border>
    <border>
      <left/>
      <right style="medium">
        <color rgb="FFE6AF00"/>
      </right>
      <top style="medium">
        <color rgb="FFE6AF00"/>
      </top>
      <bottom/>
      <diagonal/>
    </border>
    <border>
      <left style="medium">
        <color rgb="FFE6AF00"/>
      </left>
      <right/>
      <top/>
      <bottom style="medium">
        <color rgb="FFE6AF00"/>
      </bottom>
      <diagonal/>
    </border>
    <border>
      <left/>
      <right/>
      <top/>
      <bottom style="medium">
        <color rgb="FFE6AF00"/>
      </bottom>
      <diagonal/>
    </border>
    <border>
      <left/>
      <right style="medium">
        <color rgb="FFE6AF00"/>
      </right>
      <top/>
      <bottom style="medium">
        <color rgb="FFE6AF00"/>
      </bottom>
      <diagonal/>
    </border>
    <border>
      <left style="medium">
        <color rgb="FFE6AF00"/>
      </left>
      <right/>
      <top/>
      <bottom/>
      <diagonal/>
    </border>
    <border>
      <left/>
      <right style="medium">
        <color rgb="FFE6AF00"/>
      </right>
      <top/>
      <bottom/>
      <diagonal/>
    </border>
    <border>
      <left style="medium">
        <color rgb="FFE6AF00"/>
      </left>
      <right style="medium">
        <color rgb="FFE6AF00"/>
      </right>
      <top/>
      <bottom/>
      <diagonal/>
    </border>
    <border>
      <left/>
      <right style="medium">
        <color rgb="FFEAAD00"/>
      </right>
      <top style="medium">
        <color rgb="FFE6AF00"/>
      </top>
      <bottom/>
      <diagonal/>
    </border>
    <border>
      <left style="medium">
        <color rgb="FFEAAD00"/>
      </left>
      <right/>
      <top style="medium">
        <color rgb="FFE6AF00"/>
      </top>
      <bottom/>
      <diagonal/>
    </border>
    <border>
      <left/>
      <right style="medium">
        <color rgb="FFEAAD00"/>
      </right>
      <top/>
      <bottom style="medium">
        <color rgb="FFE6AF00"/>
      </bottom>
      <diagonal/>
    </border>
    <border>
      <left style="medium">
        <color rgb="FFEAAD00"/>
      </left>
      <right/>
      <top/>
      <bottom style="medium">
        <color rgb="FFE6AF00"/>
      </bottom>
      <diagonal/>
    </border>
    <border>
      <left style="medium">
        <color theme="9" tint="-0.249977111117893"/>
      </left>
      <right/>
      <top style="medium">
        <color theme="9" tint="-0.249977111117893"/>
      </top>
      <bottom/>
      <diagonal/>
    </border>
    <border>
      <left/>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style="medium">
        <color rgb="FFE6AF00"/>
      </left>
      <right/>
      <top style="medium">
        <color rgb="FFEAAD00"/>
      </top>
      <bottom/>
      <diagonal/>
    </border>
    <border>
      <left style="thin">
        <color theme="0"/>
      </left>
      <right/>
      <top/>
      <bottom style="medium">
        <color theme="0"/>
      </bottom>
      <diagonal/>
    </border>
    <border>
      <left style="thin">
        <color theme="0"/>
      </left>
      <right/>
      <top/>
      <bottom style="medium">
        <color theme="5" tint="-0.24994659260841701"/>
      </bottom>
      <diagonal/>
    </border>
    <border>
      <left style="thin">
        <color indexed="64"/>
      </left>
      <right/>
      <top style="medium">
        <color theme="5" tint="-0.249977111117893"/>
      </top>
      <bottom style="thin">
        <color indexed="64"/>
      </bottom>
      <diagonal/>
    </border>
    <border>
      <left style="thin">
        <color indexed="64"/>
      </left>
      <right/>
      <top style="thin">
        <color indexed="64"/>
      </top>
      <bottom style="medium">
        <color theme="5" tint="-0.249977111117893"/>
      </bottom>
      <diagonal/>
    </border>
    <border>
      <left/>
      <right/>
      <top/>
      <bottom style="medium">
        <color rgb="FFC00000"/>
      </bottom>
      <diagonal/>
    </border>
    <border>
      <left style="thin">
        <color theme="0"/>
      </left>
      <right/>
      <top/>
      <bottom style="thick">
        <color theme="0"/>
      </bottom>
      <diagonal/>
    </border>
    <border>
      <left/>
      <right style="thin">
        <color indexed="64"/>
      </right>
      <top style="medium">
        <color theme="5" tint="-0.249977111117893"/>
      </top>
      <bottom style="thin">
        <color indexed="64"/>
      </bottom>
      <diagonal/>
    </border>
    <border>
      <left/>
      <right style="thin">
        <color indexed="64"/>
      </right>
      <top style="thin">
        <color indexed="64"/>
      </top>
      <bottom style="medium">
        <color theme="5" tint="-0.249977111117893"/>
      </bottom>
      <diagonal/>
    </border>
    <border>
      <left/>
      <right/>
      <top style="medium">
        <color theme="5" tint="-0.24994659260841701"/>
      </top>
      <bottom style="medium">
        <color theme="0"/>
      </bottom>
      <diagonal/>
    </border>
    <border>
      <left/>
      <right style="medium">
        <color theme="5" tint="-0.24994659260841701"/>
      </right>
      <top style="medium">
        <color theme="5" tint="-0.24994659260841701"/>
      </top>
      <bottom style="medium">
        <color theme="0"/>
      </bottom>
      <diagonal/>
    </border>
    <border>
      <left/>
      <right/>
      <top style="medium">
        <color theme="0"/>
      </top>
      <bottom style="medium">
        <color theme="5" tint="-0.24994659260841701"/>
      </bottom>
      <diagonal/>
    </border>
    <border>
      <left/>
      <right style="medium">
        <color theme="5" tint="-0.24994659260841701"/>
      </right>
      <top style="medium">
        <color theme="0"/>
      </top>
      <bottom style="medium">
        <color theme="5" tint="-0.24994659260841701"/>
      </bottom>
      <diagonal/>
    </border>
    <border>
      <left style="medium">
        <color theme="0"/>
      </left>
      <right style="medium">
        <color theme="0"/>
      </right>
      <top/>
      <bottom style="medium">
        <color theme="0" tint="-0.34998626667073579"/>
      </bottom>
      <diagonal/>
    </border>
    <border>
      <left style="mediumDashed">
        <color theme="0"/>
      </left>
      <right style="mediumDashed">
        <color theme="0"/>
      </right>
      <top style="mediumDashed">
        <color rgb="FF0070C0"/>
      </top>
      <bottom/>
      <diagonal/>
    </border>
    <border>
      <left style="mediumDashed">
        <color theme="0"/>
      </left>
      <right style="mediumDashed">
        <color theme="0"/>
      </right>
      <top style="thin">
        <color theme="0"/>
      </top>
      <bottom style="thin">
        <color theme="0"/>
      </bottom>
      <diagonal/>
    </border>
    <border>
      <left/>
      <right/>
      <top style="medium">
        <color theme="9"/>
      </top>
      <bottom style="medium">
        <color theme="0"/>
      </bottom>
      <diagonal/>
    </border>
    <border>
      <left/>
      <right style="medium">
        <color theme="9"/>
      </right>
      <top style="medium">
        <color theme="9"/>
      </top>
      <bottom style="medium">
        <color theme="0"/>
      </bottom>
      <diagonal/>
    </border>
    <border>
      <left/>
      <right/>
      <top style="medium">
        <color theme="0"/>
      </top>
      <bottom style="medium">
        <color theme="9"/>
      </bottom>
      <diagonal/>
    </border>
    <border>
      <left/>
      <right style="medium">
        <color theme="9"/>
      </right>
      <top style="medium">
        <color theme="0"/>
      </top>
      <bottom style="medium">
        <color theme="9"/>
      </bottom>
      <diagonal/>
    </border>
    <border>
      <left/>
      <right/>
      <top style="medium">
        <color rgb="FFEAAD00"/>
      </top>
      <bottom style="medium">
        <color theme="0"/>
      </bottom>
      <diagonal/>
    </border>
    <border>
      <left/>
      <right style="medium">
        <color rgb="FFEAAD00"/>
      </right>
      <top style="medium">
        <color rgb="FFEAAD00"/>
      </top>
      <bottom style="medium">
        <color theme="0"/>
      </bottom>
      <diagonal/>
    </border>
    <border>
      <left/>
      <right/>
      <top style="medium">
        <color theme="0"/>
      </top>
      <bottom style="medium">
        <color rgb="FFEAAD00"/>
      </bottom>
      <diagonal/>
    </border>
    <border>
      <left/>
      <right style="medium">
        <color rgb="FFEAAD00"/>
      </right>
      <top style="medium">
        <color theme="0"/>
      </top>
      <bottom style="medium">
        <color rgb="FFEAAD00"/>
      </bottom>
      <diagonal/>
    </border>
    <border>
      <left style="mediumDashed">
        <color theme="0" tint="-0.34998626667073579"/>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thin">
        <color theme="9"/>
      </top>
      <bottom/>
      <diagonal/>
    </border>
    <border>
      <left style="medium">
        <color theme="9"/>
      </left>
      <right/>
      <top style="thin">
        <color theme="9"/>
      </top>
      <bottom/>
      <diagonal/>
    </border>
    <border>
      <left style="medium">
        <color theme="9"/>
      </left>
      <right style="medium">
        <color theme="9"/>
      </right>
      <top style="thin">
        <color theme="9"/>
      </top>
      <bottom/>
      <diagonal/>
    </border>
    <border>
      <left style="thin">
        <color theme="0"/>
      </left>
      <right style="thin">
        <color theme="0"/>
      </right>
      <top style="medium">
        <color theme="5" tint="-0.24994659260841701"/>
      </top>
      <bottom style="medium">
        <color theme="5"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5" tint="-0.24994659260841701"/>
      </left>
      <right/>
      <top style="thin">
        <color theme="5" tint="-0.24994659260841701"/>
      </top>
      <bottom/>
      <diagonal/>
    </border>
    <border>
      <left style="medium">
        <color theme="5" tint="-0.24994659260841701"/>
      </left>
      <right style="medium">
        <color theme="5" tint="-0.24994659260841701"/>
      </right>
      <top style="medium">
        <color theme="5" tint="-0.249977111117893"/>
      </top>
      <bottom/>
      <diagonal/>
    </border>
    <border>
      <left style="medium">
        <color theme="5" tint="-0.24994659260841701"/>
      </left>
      <right style="medium">
        <color theme="5" tint="-0.24994659260841701"/>
      </right>
      <top/>
      <bottom style="medium">
        <color theme="5" tint="-0.24994659260841701"/>
      </bottom>
      <diagonal/>
    </border>
    <border>
      <left style="medium">
        <color theme="5" tint="-0.24994659260841701"/>
      </left>
      <right style="medium">
        <color theme="5" tint="-0.24994659260841701"/>
      </right>
      <top style="thin">
        <color theme="5" tint="-0.24994659260841701"/>
      </top>
      <bottom/>
      <diagonal/>
    </border>
    <border>
      <left style="medium">
        <color theme="5" tint="-0.24994659260841701"/>
      </left>
      <right style="medium">
        <color theme="5" tint="-0.24994659260841701"/>
      </right>
      <top style="medium">
        <color theme="5" tint="-0.24994659260841701"/>
      </top>
      <bottom/>
      <diagonal/>
    </border>
    <border>
      <left style="medium">
        <color theme="5" tint="-0.24994659260841701"/>
      </left>
      <right style="medium">
        <color theme="5" tint="-0.24994659260841701"/>
      </right>
      <top/>
      <bottom/>
      <diagonal/>
    </border>
    <border>
      <left style="medium">
        <color theme="5" tint="-0.24994659260841701"/>
      </left>
      <right style="medium">
        <color theme="5" tint="-0.24994659260841701"/>
      </right>
      <top/>
      <bottom style="medium">
        <color theme="5" tint="-0.249977111117893"/>
      </bottom>
      <diagonal/>
    </border>
    <border>
      <left style="thin">
        <color indexed="64"/>
      </left>
      <right style="medium">
        <color theme="5" tint="-0.249977111117893"/>
      </right>
      <top style="medium">
        <color theme="5" tint="-0.249977111117893"/>
      </top>
      <bottom style="thin">
        <color indexed="64"/>
      </bottom>
      <diagonal/>
    </border>
    <border>
      <left style="thin">
        <color indexed="64"/>
      </left>
      <right style="medium">
        <color theme="5" tint="-0.249977111117893"/>
      </right>
      <top style="thin">
        <color indexed="64"/>
      </top>
      <bottom style="medium">
        <color theme="5" tint="-0.249977111117893"/>
      </bottom>
      <diagonal/>
    </border>
    <border>
      <left style="thin">
        <color theme="0"/>
      </left>
      <right/>
      <top/>
      <bottom style="medium">
        <color rgb="FFC00000"/>
      </bottom>
      <diagonal/>
    </border>
    <border>
      <left/>
      <right style="thin">
        <color theme="0"/>
      </right>
      <top/>
      <bottom style="medium">
        <color rgb="FFC00000"/>
      </bottom>
      <diagonal/>
    </border>
    <border>
      <left style="thin">
        <color theme="7"/>
      </left>
      <right style="thin">
        <color theme="7"/>
      </right>
      <top style="thin">
        <color theme="7"/>
      </top>
      <bottom style="thin">
        <color theme="7"/>
      </bottom>
      <diagonal/>
    </border>
    <border>
      <left style="thin">
        <color theme="7"/>
      </left>
      <right style="thin">
        <color theme="7"/>
      </right>
      <top style="thin">
        <color theme="7"/>
      </top>
      <bottom/>
      <diagonal/>
    </border>
    <border>
      <left/>
      <right style="thin">
        <color theme="0" tint="-0.34998626667073579"/>
      </right>
      <top/>
      <bottom style="medium">
        <color theme="0" tint="-0.34998626667073579"/>
      </bottom>
      <diagonal/>
    </border>
    <border>
      <left style="medium">
        <color theme="0" tint="-0.34998626667073579"/>
      </left>
      <right/>
      <top style="thin">
        <color theme="0" tint="-0.34998626667073579"/>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rgb="FFC65911"/>
      </left>
      <right style="thin">
        <color rgb="FFC65911"/>
      </right>
      <top style="thin">
        <color rgb="FFC65911"/>
      </top>
      <bottom style="thin">
        <color rgb="FFC65911"/>
      </bottom>
      <diagonal/>
    </border>
    <border>
      <left style="thin">
        <color theme="9"/>
      </left>
      <right style="thin">
        <color theme="9"/>
      </right>
      <top style="thin">
        <color theme="9"/>
      </top>
      <bottom style="thin">
        <color theme="9"/>
      </bottom>
      <diagonal/>
    </border>
    <border>
      <left/>
      <right style="thin">
        <color theme="0" tint="-0.34998626667073579"/>
      </right>
      <top style="medium">
        <color theme="0" tint="-0.34998626667073579"/>
      </top>
      <bottom/>
      <diagonal/>
    </border>
    <border>
      <left/>
      <right/>
      <top style="thin">
        <color theme="0"/>
      </top>
      <bottom style="medium">
        <color theme="5" tint="-0.249977111117893"/>
      </bottom>
      <diagonal/>
    </border>
    <border>
      <left/>
      <right style="thin">
        <color theme="0"/>
      </right>
      <top style="thin">
        <color theme="0"/>
      </top>
      <bottom style="medium">
        <color theme="5" tint="-0.249977111117893"/>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EAAD00"/>
      </top>
      <bottom/>
      <diagonal/>
    </border>
    <border>
      <left style="medium">
        <color rgb="FFEAAD00"/>
      </left>
      <right/>
      <top style="thin">
        <color rgb="FFEAAD00"/>
      </top>
      <bottom style="medium">
        <color rgb="FFEAAD00"/>
      </bottom>
      <diagonal/>
    </border>
    <border>
      <left/>
      <right style="medium">
        <color rgb="FFEAAD00"/>
      </right>
      <top style="thin">
        <color rgb="FFEAAD00"/>
      </top>
      <bottom/>
      <diagonal/>
    </border>
    <border>
      <left style="medium">
        <color rgb="FFCC0000"/>
      </left>
      <right/>
      <top style="medium">
        <color rgb="FFCC0000"/>
      </top>
      <bottom/>
      <diagonal/>
    </border>
    <border>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top/>
      <bottom style="medium">
        <color rgb="FFCC0000"/>
      </bottom>
      <diagonal/>
    </border>
    <border>
      <left/>
      <right style="medium">
        <color rgb="FFCC0000"/>
      </right>
      <top/>
      <bottom style="medium">
        <color rgb="FFCC0000"/>
      </bottom>
      <diagonal/>
    </border>
    <border>
      <left style="medium">
        <color theme="7" tint="-0.24994659260841701"/>
      </left>
      <right/>
      <top style="medium">
        <color theme="7" tint="-0.24994659260841701"/>
      </top>
      <bottom/>
      <diagonal/>
    </border>
    <border>
      <left/>
      <right/>
      <top style="medium">
        <color theme="7" tint="-0.24994659260841701"/>
      </top>
      <bottom/>
      <diagonal/>
    </border>
    <border>
      <left/>
      <right style="medium">
        <color theme="7" tint="-0.24994659260841701"/>
      </right>
      <top style="medium">
        <color theme="7" tint="-0.24994659260841701"/>
      </top>
      <bottom/>
      <diagonal/>
    </border>
    <border>
      <left style="medium">
        <color theme="7" tint="-0.24994659260841701"/>
      </left>
      <right/>
      <top/>
      <bottom/>
      <diagonal/>
    </border>
    <border>
      <left/>
      <right style="medium">
        <color theme="7" tint="-0.24994659260841701"/>
      </right>
      <top/>
      <bottom/>
      <diagonal/>
    </border>
    <border>
      <left style="medium">
        <color theme="7" tint="-0.24994659260841701"/>
      </left>
      <right/>
      <top/>
      <bottom style="medium">
        <color theme="7" tint="-0.24994659260841701"/>
      </bottom>
      <diagonal/>
    </border>
    <border>
      <left/>
      <right/>
      <top/>
      <bottom style="medium">
        <color theme="7" tint="-0.24994659260841701"/>
      </bottom>
      <diagonal/>
    </border>
    <border>
      <left/>
      <right style="medium">
        <color theme="7" tint="-0.24994659260841701"/>
      </right>
      <top/>
      <bottom style="medium">
        <color theme="7" tint="-0.24994659260841701"/>
      </bottom>
      <diagonal/>
    </border>
    <border>
      <left style="medium">
        <color rgb="FFEAAD00"/>
      </left>
      <right style="thin">
        <color rgb="FFEAAD00"/>
      </right>
      <top/>
      <bottom style="thin">
        <color rgb="FFEAAD00"/>
      </bottom>
      <diagonal/>
    </border>
    <border>
      <left style="thin">
        <color rgb="FFEAAD00"/>
      </left>
      <right style="thin">
        <color rgb="FFEAAD00"/>
      </right>
      <top/>
      <bottom style="thin">
        <color rgb="FFEAAD00"/>
      </bottom>
      <diagonal/>
    </border>
    <border>
      <left style="medium">
        <color rgb="FFEAAD00"/>
      </left>
      <right style="thin">
        <color rgb="FFEAAD00"/>
      </right>
      <top style="thin">
        <color rgb="FFEAAD00"/>
      </top>
      <bottom/>
      <diagonal/>
    </border>
    <border>
      <left style="thin">
        <color rgb="FFEAAD00"/>
      </left>
      <right style="thin">
        <color rgb="FFEAAD00"/>
      </right>
      <top style="thin">
        <color rgb="FFEAAD00"/>
      </top>
      <bottom/>
      <diagonal/>
    </border>
    <border>
      <left style="medium">
        <color rgb="FFEAAD00"/>
      </left>
      <right style="thin">
        <color rgb="FFEAAD00"/>
      </right>
      <top/>
      <bottom/>
      <diagonal/>
    </border>
    <border>
      <left style="thin">
        <color rgb="FFEAAD00"/>
      </left>
      <right style="thin">
        <color rgb="FFEAAD00"/>
      </right>
      <top/>
      <bottom/>
      <diagonal/>
    </border>
    <border>
      <left style="thin">
        <color rgb="FFEAAD00"/>
      </left>
      <right/>
      <top/>
      <bottom/>
      <diagonal/>
    </border>
    <border>
      <left style="thin">
        <color rgb="FFEAAD00"/>
      </left>
      <right/>
      <top style="thin">
        <color rgb="FFEAAD00"/>
      </top>
      <bottom/>
      <diagonal/>
    </border>
    <border>
      <left style="thin">
        <color rgb="FFEAAD00"/>
      </left>
      <right/>
      <top/>
      <bottom style="thin">
        <color rgb="FFEAAD00"/>
      </bottom>
      <diagonal/>
    </border>
    <border>
      <left/>
      <right/>
      <top/>
      <bottom style="thin">
        <color rgb="FFEAAD00"/>
      </bottom>
      <diagonal/>
    </border>
    <border>
      <left/>
      <right style="thin">
        <color rgb="FFEAAD00"/>
      </right>
      <top/>
      <bottom style="thin">
        <color rgb="FFEAAD00"/>
      </bottom>
      <diagonal/>
    </border>
    <border>
      <left/>
      <right style="medium">
        <color rgb="FFEAAD00"/>
      </right>
      <top/>
      <bottom style="thin">
        <color rgb="FFEAAD00"/>
      </bottom>
      <diagonal/>
    </border>
    <border>
      <left/>
      <right style="thin">
        <color rgb="FFEAAD00"/>
      </right>
      <top style="thin">
        <color rgb="FFEAAD00"/>
      </top>
      <bottom style="thin">
        <color rgb="FFEAAD00"/>
      </bottom>
      <diagonal/>
    </border>
    <border>
      <left/>
      <right/>
      <top style="thin">
        <color rgb="FFEAAD00"/>
      </top>
      <bottom style="thin">
        <color rgb="FFEAAD00"/>
      </bottom>
      <diagonal/>
    </border>
    <border>
      <left style="medium">
        <color rgb="FFEAAD00"/>
      </left>
      <right/>
      <top style="thin">
        <color rgb="FFEAAD00"/>
      </top>
      <bottom style="thin">
        <color rgb="FFEAAD00"/>
      </bottom>
      <diagonal/>
    </border>
    <border>
      <left style="medium">
        <color rgb="FFEAAD00"/>
      </left>
      <right/>
      <top/>
      <bottom style="thin">
        <color rgb="FFEAAD00"/>
      </bottom>
      <diagonal/>
    </border>
    <border>
      <left style="medium">
        <color theme="5" tint="-0.249977111117893"/>
      </left>
      <right style="medium">
        <color theme="5" tint="-0.249977111117893"/>
      </right>
      <top style="medium">
        <color theme="5" tint="-0.249977111117893"/>
      </top>
      <bottom/>
      <diagonal/>
    </border>
    <border>
      <left style="medium">
        <color theme="5" tint="-0.249977111117893"/>
      </left>
      <right style="medium">
        <color theme="5" tint="-0.249977111117893"/>
      </right>
      <top/>
      <bottom style="medium">
        <color theme="5" tint="-0.249977111117893"/>
      </bottom>
      <diagonal/>
    </border>
    <border>
      <left style="medium">
        <color theme="5" tint="-0.24994659260841701"/>
      </left>
      <right style="medium">
        <color theme="5" tint="-0.249977111117893"/>
      </right>
      <top/>
      <bottom style="medium">
        <color theme="5" tint="-0.249977111117893"/>
      </bottom>
      <diagonal/>
    </border>
    <border>
      <left style="medium">
        <color rgb="FFEAAD00"/>
      </left>
      <right style="medium">
        <color rgb="FFEAAD00"/>
      </right>
      <top style="medium">
        <color rgb="FFEAAD00"/>
      </top>
      <bottom/>
      <diagonal/>
    </border>
    <border>
      <left style="medium">
        <color rgb="FFEAAD00"/>
      </left>
      <right style="medium">
        <color rgb="FFEAAD00"/>
      </right>
      <top/>
      <bottom style="medium">
        <color rgb="FFE6AF00"/>
      </bottom>
      <diagonal/>
    </border>
    <border>
      <left style="medium">
        <color theme="0" tint="-0.34998626667073579"/>
      </left>
      <right/>
      <top/>
      <bottom style="thin">
        <color indexed="64"/>
      </bottom>
      <diagonal/>
    </border>
    <border>
      <left style="thin">
        <color theme="0" tint="-0.34998626667073579"/>
      </left>
      <right style="medium">
        <color theme="0" tint="-0.34998626667073579"/>
      </right>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medium">
        <color theme="2" tint="-0.499984740745262"/>
      </right>
      <top style="medium">
        <color theme="0" tint="-0.34998626667073579"/>
      </top>
      <bottom/>
      <diagonal/>
    </border>
    <border>
      <left style="medium">
        <color theme="2" tint="-0.499984740745262"/>
      </left>
      <right style="thin">
        <color theme="0"/>
      </right>
      <top style="thin">
        <color theme="0"/>
      </top>
      <bottom style="thin">
        <color theme="0"/>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top/>
      <bottom style="medium">
        <color theme="2" tint="-0.249977111117893"/>
      </bottom>
      <diagonal/>
    </border>
    <border>
      <left style="medium">
        <color theme="0" tint="-0.34998626667073579"/>
      </left>
      <right/>
      <top/>
      <bottom style="medium">
        <color theme="2" tint="-0.249977111117893"/>
      </bottom>
      <diagonal/>
    </border>
    <border>
      <left style="thin">
        <color theme="0" tint="-0.34998626667073579"/>
      </left>
      <right style="thin">
        <color theme="0" tint="-0.34998626667073579"/>
      </right>
      <top style="thin">
        <color theme="0" tint="-0.34998626667073579"/>
      </top>
      <bottom style="medium">
        <color theme="2" tint="-0.249977111117893"/>
      </bottom>
      <diagonal/>
    </border>
    <border>
      <left/>
      <right style="thin">
        <color theme="0" tint="-0.34998626667073579"/>
      </right>
      <top/>
      <bottom style="medium">
        <color theme="2" tint="-0.249977111117893"/>
      </bottom>
      <diagonal/>
    </border>
    <border>
      <left style="thin">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2" tint="-0.249977111117893"/>
      </bottom>
      <diagonal/>
    </border>
    <border>
      <left style="medium">
        <color theme="0" tint="-0.34998626667073579"/>
      </left>
      <right style="thin">
        <color theme="0" tint="-0.34998626667073579"/>
      </right>
      <top style="medium">
        <color theme="2" tint="-0.249977111117893"/>
      </top>
      <bottom style="thin">
        <color theme="0" tint="-0.34998626667073579"/>
      </bottom>
      <diagonal/>
    </border>
    <border>
      <left/>
      <right/>
      <top style="medium">
        <color theme="2" tint="-0.249977111117893"/>
      </top>
      <bottom/>
      <diagonal/>
    </border>
    <border>
      <left/>
      <right style="medium">
        <color theme="0" tint="-0.34998626667073579"/>
      </right>
      <top/>
      <bottom style="medium">
        <color theme="2" tint="-0.249977111117893"/>
      </bottom>
      <diagonal/>
    </border>
    <border>
      <left style="medium">
        <color theme="9"/>
      </left>
      <right/>
      <top style="medium">
        <color theme="5" tint="-0.249977111117893"/>
      </top>
      <bottom style="medium">
        <color theme="5" tint="-0.249977111117893"/>
      </bottom>
      <diagonal/>
    </border>
    <border>
      <left/>
      <right style="medium">
        <color theme="9"/>
      </right>
      <top style="medium">
        <color theme="5" tint="-0.249977111117893"/>
      </top>
      <bottom style="medium">
        <color theme="5" tint="-0.249977111117893"/>
      </bottom>
      <diagonal/>
    </border>
    <border>
      <left style="medium">
        <color theme="5" tint="-0.24994659260841701"/>
      </left>
      <right/>
      <top style="medium">
        <color theme="5" tint="-0.249977111117893"/>
      </top>
      <bottom style="medium">
        <color theme="5" tint="-0.249977111117893"/>
      </bottom>
      <diagonal/>
    </border>
    <border>
      <left style="medium">
        <color theme="5" tint="-0.249977111117893"/>
      </left>
      <right/>
      <top style="medium">
        <color theme="5" tint="-0.24994659260841701"/>
      </top>
      <bottom style="thin">
        <color theme="5" tint="-0.24994659260841701"/>
      </bottom>
      <diagonal/>
    </border>
    <border>
      <left/>
      <right/>
      <top style="medium">
        <color theme="5" tint="-0.24994659260841701"/>
      </top>
      <bottom style="thin">
        <color theme="5" tint="-0.24994659260841701"/>
      </bottom>
      <diagonal/>
    </border>
    <border>
      <left/>
      <right style="medium">
        <color theme="5" tint="-0.24994659260841701"/>
      </right>
      <top style="medium">
        <color theme="5" tint="-0.24994659260841701"/>
      </top>
      <bottom style="thin">
        <color theme="5" tint="-0.24994659260841701"/>
      </bottom>
      <diagonal/>
    </border>
    <border>
      <left/>
      <right style="medium">
        <color theme="5" tint="-0.249977111117893"/>
      </right>
      <top/>
      <bottom style="medium">
        <color theme="5" tint="-0.24994659260841701"/>
      </bottom>
      <diagonal/>
    </border>
    <border>
      <left style="medium">
        <color theme="0"/>
      </left>
      <right/>
      <top style="medium">
        <color rgb="FFEAAD00"/>
      </top>
      <bottom/>
      <diagonal/>
    </border>
    <border>
      <left/>
      <right style="thin">
        <color theme="0"/>
      </right>
      <top style="medium">
        <color rgb="FFEAAD00"/>
      </top>
      <bottom/>
      <diagonal/>
    </border>
    <border>
      <left style="medium">
        <color theme="0"/>
      </left>
      <right/>
      <top style="medium">
        <color theme="0" tint="-0.34998626667073579"/>
      </top>
      <bottom style="thin">
        <color theme="0"/>
      </bottom>
      <diagonal/>
    </border>
    <border>
      <left/>
      <right/>
      <top style="medium">
        <color theme="0" tint="-0.34998626667073579"/>
      </top>
      <bottom style="thin">
        <color theme="0"/>
      </bottom>
      <diagonal/>
    </border>
    <border>
      <left/>
      <right style="medium">
        <color theme="0"/>
      </right>
      <top style="medium">
        <color theme="0" tint="-0.34998626667073579"/>
      </top>
      <bottom style="thin">
        <color theme="0"/>
      </bottom>
      <diagonal/>
    </border>
    <border>
      <left style="thin">
        <color rgb="FFEAAD00"/>
      </left>
      <right/>
      <top/>
      <bottom style="double">
        <color theme="5" tint="-0.249977111117893"/>
      </bottom>
      <diagonal/>
    </border>
    <border>
      <left/>
      <right/>
      <top/>
      <bottom style="double">
        <color theme="5" tint="-0.249977111117893"/>
      </bottom>
      <diagonal/>
    </border>
    <border>
      <left/>
      <right style="medium">
        <color rgb="FFEAAD00"/>
      </right>
      <top/>
      <bottom style="double">
        <color theme="5" tint="-0.249977111117893"/>
      </bottom>
      <diagonal/>
    </border>
    <border>
      <left/>
      <right style="thin">
        <color rgb="FFEAAD00"/>
      </right>
      <top/>
      <bottom style="double">
        <color theme="5" tint="-0.249977111117893"/>
      </bottom>
      <diagonal/>
    </border>
    <border>
      <left style="thin">
        <color rgb="FFEAAD00"/>
      </left>
      <right style="thin">
        <color rgb="FFEAAD00"/>
      </right>
      <top/>
      <bottom style="double">
        <color theme="5" tint="-0.249977111117893"/>
      </bottom>
      <diagonal/>
    </border>
    <border>
      <left style="thin">
        <color rgb="FFEAAD00"/>
      </left>
      <right style="thin">
        <color rgb="FFEAAD00"/>
      </right>
      <top style="double">
        <color theme="5" tint="-0.249977111117893"/>
      </top>
      <bottom/>
      <diagonal/>
    </border>
    <border>
      <left/>
      <right style="double">
        <color theme="9" tint="-0.249977111117893"/>
      </right>
      <top style="medium">
        <color theme="9"/>
      </top>
      <bottom style="medium">
        <color theme="9"/>
      </bottom>
      <diagonal/>
    </border>
    <border>
      <left/>
      <right style="double">
        <color theme="9" tint="-0.249977111117893"/>
      </right>
      <top/>
      <bottom/>
      <diagonal/>
    </border>
    <border>
      <left/>
      <right style="double">
        <color theme="9" tint="-0.249977111117893"/>
      </right>
      <top/>
      <bottom style="medium">
        <color theme="9"/>
      </bottom>
      <diagonal/>
    </border>
    <border>
      <left/>
      <right style="medium">
        <color indexed="64"/>
      </right>
      <top/>
      <bottom/>
      <diagonal/>
    </border>
    <border>
      <left/>
      <right style="medium">
        <color theme="9" tint="-0.249977111117893"/>
      </right>
      <top/>
      <bottom style="medium">
        <color theme="9" tint="-0.249977111117893"/>
      </bottom>
      <diagonal/>
    </border>
    <border>
      <left/>
      <right/>
      <top/>
      <bottom style="medium">
        <color indexed="64"/>
      </bottom>
      <diagonal/>
    </border>
    <border>
      <left/>
      <right style="medium">
        <color theme="9" tint="-0.249977111117893"/>
      </right>
      <top style="medium">
        <color theme="9" tint="-0.249977111117893"/>
      </top>
      <bottom/>
      <diagonal/>
    </border>
    <border>
      <left style="medium">
        <color theme="9"/>
      </left>
      <right/>
      <top/>
      <bottom style="medium">
        <color theme="9" tint="-0.249977111117893"/>
      </bottom>
      <diagonal/>
    </border>
    <border>
      <left/>
      <right style="medium">
        <color theme="9"/>
      </right>
      <top/>
      <bottom style="medium">
        <color theme="9" tint="-0.249977111117893"/>
      </bottom>
      <diagonal/>
    </border>
    <border>
      <left style="medium">
        <color theme="9"/>
      </left>
      <right/>
      <top/>
      <bottom style="medium">
        <color rgb="FF339933"/>
      </bottom>
      <diagonal/>
    </border>
    <border>
      <left style="medium">
        <color theme="9"/>
      </left>
      <right style="thin">
        <color theme="0"/>
      </right>
      <top/>
      <bottom style="thin">
        <color theme="0"/>
      </bottom>
      <diagonal/>
    </border>
    <border>
      <left style="medium">
        <color theme="9"/>
      </left>
      <right style="thin">
        <color theme="0"/>
      </right>
      <top style="thin">
        <color theme="0"/>
      </top>
      <bottom/>
      <diagonal/>
    </border>
    <border>
      <left style="medium">
        <color theme="9"/>
      </left>
      <right/>
      <top style="medium">
        <color rgb="FF339933"/>
      </top>
      <bottom/>
      <diagonal/>
    </border>
    <border>
      <left/>
      <right style="medium">
        <color theme="9"/>
      </right>
      <top style="medium">
        <color rgb="FF339933"/>
      </top>
      <bottom/>
      <diagonal/>
    </border>
    <border>
      <left style="thin">
        <color theme="0" tint="-0.34998626667073579"/>
      </left>
      <right style="medium">
        <color theme="0" tint="-0.34998626667073579"/>
      </right>
      <top/>
      <bottom style="medium">
        <color theme="0" tint="-0.34998626667073579"/>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rgb="FFFFCE33"/>
      </right>
      <top/>
      <bottom/>
      <diagonal/>
    </border>
    <border>
      <left/>
      <right style="medium">
        <color rgb="FFFFCE33"/>
      </right>
      <top style="medium">
        <color theme="7" tint="-0.24994659260841701"/>
      </top>
      <bottom/>
      <diagonal/>
    </border>
    <border>
      <left/>
      <right style="medium">
        <color rgb="FFFFCE33"/>
      </right>
      <top/>
      <bottom style="medium">
        <color theme="7" tint="-0.24994659260841701"/>
      </bottom>
      <diagonal/>
    </border>
    <border>
      <left/>
      <right style="medium">
        <color rgb="FFFFCE33"/>
      </right>
      <top style="medium">
        <color rgb="FFEAAD00"/>
      </top>
      <bottom/>
      <diagonal/>
    </border>
    <border>
      <left/>
      <right/>
      <top style="medium">
        <color rgb="FFFFCE33"/>
      </top>
      <bottom/>
      <diagonal/>
    </border>
    <border>
      <left/>
      <right style="medium">
        <color rgb="FFFFCE33"/>
      </right>
      <top style="medium">
        <color rgb="FFFFCE33"/>
      </top>
      <bottom/>
      <diagonal/>
    </border>
    <border>
      <left/>
      <right/>
      <top style="thin">
        <color rgb="FFEAAD00"/>
      </top>
      <bottom style="medium">
        <color rgb="FFEAAD00"/>
      </bottom>
      <diagonal/>
    </border>
    <border>
      <left/>
      <right/>
      <top style="medium">
        <color rgb="FFEAAD00"/>
      </top>
      <bottom style="thin">
        <color rgb="FFEAAD00"/>
      </bottom>
      <diagonal/>
    </border>
    <border>
      <left/>
      <right style="medium">
        <color rgb="FFEAAD00"/>
      </right>
      <top style="medium">
        <color rgb="FFEAAD00"/>
      </top>
      <bottom style="thin">
        <color rgb="FFEAAD00"/>
      </bottom>
      <diagonal/>
    </border>
    <border>
      <left/>
      <right/>
      <top style="thin">
        <color indexed="64"/>
      </top>
      <bottom style="thin">
        <color theme="5" tint="0.39997558519241921"/>
      </bottom>
      <diagonal/>
    </border>
    <border>
      <left style="thin">
        <color theme="5" tint="-0.249977111117893"/>
      </left>
      <right style="thin">
        <color theme="5" tint="-0.249977111117893"/>
      </right>
      <top/>
      <bottom style="thin">
        <color theme="5" tint="-0.249977111117893"/>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rgb="FFFF0000"/>
      </right>
      <top style="medium">
        <color indexed="64"/>
      </top>
      <bottom style="medium">
        <color indexed="64"/>
      </bottom>
      <diagonal/>
    </border>
    <border>
      <left style="medium">
        <color rgb="FFFF0000"/>
      </left>
      <right style="medium">
        <color indexed="64"/>
      </right>
      <top style="medium">
        <color indexed="64"/>
      </top>
      <bottom style="medium">
        <color indexed="64"/>
      </bottom>
      <diagonal/>
    </border>
    <border>
      <left style="mediumDashed">
        <color theme="0"/>
      </left>
      <right style="thin">
        <color theme="0"/>
      </right>
      <top/>
      <bottom style="thin">
        <color theme="0"/>
      </bottom>
      <diagonal/>
    </border>
    <border>
      <left/>
      <right style="mediumDashed">
        <color theme="9"/>
      </right>
      <top/>
      <bottom/>
      <diagonal/>
    </border>
    <border>
      <left/>
      <right style="mediumDashed">
        <color theme="5" tint="-0.24994659260841701"/>
      </right>
      <top/>
      <bottom/>
      <diagonal/>
    </border>
    <border>
      <left/>
      <right style="mediumDashed">
        <color theme="0"/>
      </right>
      <top/>
      <bottom style="thin">
        <color theme="0"/>
      </bottom>
      <diagonal/>
    </border>
    <border>
      <left style="mediumDashed">
        <color theme="0"/>
      </left>
      <right/>
      <top style="mediumDashed">
        <color theme="0"/>
      </top>
      <bottom/>
      <diagonal/>
    </border>
    <border>
      <left/>
      <right/>
      <top style="mediumDashed">
        <color rgb="FFEAAD00"/>
      </top>
      <bottom/>
      <diagonal/>
    </border>
    <border>
      <left/>
      <right style="mediumDashed">
        <color rgb="FFEAAD00"/>
      </right>
      <top/>
      <bottom/>
      <diagonal/>
    </border>
    <border>
      <left style="medium">
        <color rgb="FFEAAD00"/>
      </left>
      <right/>
      <top style="medium">
        <color theme="0"/>
      </top>
      <bottom style="medium">
        <color theme="0"/>
      </bottom>
      <diagonal/>
    </border>
    <border>
      <left style="medium">
        <color rgb="FFEAAD00"/>
      </left>
      <right/>
      <top style="thin">
        <color theme="0"/>
      </top>
      <bottom style="thin">
        <color theme="0"/>
      </bottom>
      <diagonal/>
    </border>
    <border>
      <left/>
      <right style="thin">
        <color theme="0"/>
      </right>
      <top style="medium">
        <color theme="0"/>
      </top>
      <bottom style="medium">
        <color theme="0"/>
      </bottom>
      <diagonal/>
    </border>
    <border>
      <left/>
      <right/>
      <top style="mediumDashed">
        <color theme="0" tint="-0.34998626667073579"/>
      </top>
      <bottom/>
      <diagonal/>
    </border>
    <border>
      <left style="medium">
        <color theme="0" tint="-0.34998626667073579"/>
      </left>
      <right/>
      <top style="medium">
        <color theme="0"/>
      </top>
      <bottom style="medium">
        <color theme="0"/>
      </bottom>
      <diagonal/>
    </border>
    <border>
      <left/>
      <right/>
      <top style="thin">
        <color indexed="64"/>
      </top>
      <bottom style="thin">
        <color indexed="64"/>
      </bottom>
      <diagonal/>
    </border>
    <border>
      <left/>
      <right/>
      <top style="thin">
        <color indexed="64"/>
      </top>
      <bottom/>
      <diagonal/>
    </border>
    <border>
      <left/>
      <right style="medium">
        <color theme="6" tint="0.39997558519241921"/>
      </right>
      <top style="medium">
        <color theme="0" tint="-0.34998626667073579"/>
      </top>
      <bottom/>
      <diagonal/>
    </border>
    <border>
      <left/>
      <right style="medium">
        <color theme="6" tint="0.39997558519241921"/>
      </right>
      <top style="thin">
        <color theme="6"/>
      </top>
      <bottom/>
      <diagonal/>
    </border>
    <border>
      <left/>
      <right style="medium">
        <color theme="6" tint="0.39997558519241921"/>
      </right>
      <top/>
      <bottom/>
      <diagonal/>
    </border>
    <border>
      <left/>
      <right style="medium">
        <color theme="6" tint="0.39997558519241921"/>
      </right>
      <top/>
      <bottom style="medium">
        <color theme="6" tint="0.39997558519241921"/>
      </bottom>
      <diagonal/>
    </border>
    <border>
      <left/>
      <right style="medium">
        <color theme="6" tint="0.39997558519241921"/>
      </right>
      <top style="medium">
        <color theme="6" tint="0.39997558519241921"/>
      </top>
      <bottom style="thin">
        <color theme="0" tint="-0.34998626667073579"/>
      </bottom>
      <diagonal/>
    </border>
    <border>
      <left/>
      <right style="medium">
        <color theme="6" tint="0.39997558519241921"/>
      </right>
      <top style="thin">
        <color theme="0" tint="-0.34998626667073579"/>
      </top>
      <bottom/>
      <diagonal/>
    </border>
    <border>
      <left style="medium">
        <color theme="6" tint="0.39997558519241921"/>
      </left>
      <right style="medium">
        <color theme="6" tint="0.39997558519241921"/>
      </right>
      <top/>
      <bottom/>
      <diagonal/>
    </border>
    <border>
      <left style="medium">
        <color theme="6" tint="0.39997558519241921"/>
      </left>
      <right style="medium">
        <color theme="6" tint="0.39997558519241921"/>
      </right>
      <top/>
      <bottom style="medium">
        <color theme="6" tint="0.39997558519241921"/>
      </bottom>
      <diagonal/>
    </border>
    <border>
      <left/>
      <right style="medium">
        <color theme="6" tint="0.39997558519241921"/>
      </right>
      <top/>
      <bottom style="thin">
        <color theme="6"/>
      </bottom>
      <diagonal/>
    </border>
    <border>
      <left style="medium">
        <color theme="0" tint="-0.34998626667073579"/>
      </left>
      <right style="medium">
        <color theme="6"/>
      </right>
      <top/>
      <bottom/>
      <diagonal/>
    </border>
    <border>
      <left style="medium">
        <color theme="0" tint="-0.34998626667073579"/>
      </left>
      <right style="medium">
        <color theme="6"/>
      </right>
      <top style="medium">
        <color theme="0" tint="-0.34998626667073579"/>
      </top>
      <bottom style="medium">
        <color theme="0" tint="-0.34998626667073579"/>
      </bottom>
      <diagonal/>
    </border>
    <border>
      <left style="medium">
        <color theme="0" tint="-0.34998626667073579"/>
      </left>
      <right style="medium">
        <color theme="6"/>
      </right>
      <top style="medium">
        <color theme="0" tint="-0.34998626667073579"/>
      </top>
      <bottom/>
      <diagonal/>
    </border>
    <border>
      <left style="medium">
        <color theme="0" tint="-0.34998626667073579"/>
      </left>
      <right style="medium">
        <color theme="6"/>
      </right>
      <top/>
      <bottom style="medium">
        <color theme="0" tint="-0.34998626667073579"/>
      </bottom>
      <diagonal/>
    </border>
    <border>
      <left style="medium">
        <color theme="6"/>
      </left>
      <right style="medium">
        <color theme="6"/>
      </right>
      <top style="medium">
        <color theme="6"/>
      </top>
      <bottom style="medium">
        <color theme="6"/>
      </bottom>
      <diagonal/>
    </border>
    <border>
      <left/>
      <right style="medium">
        <color theme="6" tint="0.39997558519241921"/>
      </right>
      <top style="medium">
        <color theme="6" tint="0.39997558519241921"/>
      </top>
      <bottom/>
      <diagonal/>
    </border>
    <border>
      <left style="medium">
        <color theme="6"/>
      </left>
      <right style="medium">
        <color theme="6"/>
      </right>
      <top style="medium">
        <color theme="6"/>
      </top>
      <bottom/>
      <diagonal/>
    </border>
    <border>
      <left style="medium">
        <color theme="6"/>
      </left>
      <right style="medium">
        <color theme="6"/>
      </right>
      <top/>
      <bottom style="medium">
        <color theme="6"/>
      </bottom>
      <diagonal/>
    </border>
    <border>
      <left style="medium">
        <color theme="6"/>
      </left>
      <right style="medium">
        <color theme="0" tint="-0.34998626667073579"/>
      </right>
      <top/>
      <bottom style="medium">
        <color theme="0" tint="-0.34998626667073579"/>
      </bottom>
      <diagonal/>
    </border>
    <border>
      <left style="medium">
        <color theme="6"/>
      </left>
      <right style="medium">
        <color theme="6"/>
      </right>
      <top/>
      <bottom style="medium">
        <color theme="6" tint="0.39997558519241921"/>
      </bottom>
      <diagonal/>
    </border>
    <border>
      <left style="medium">
        <color theme="6"/>
      </left>
      <right style="medium">
        <color theme="6"/>
      </right>
      <top/>
      <bottom/>
      <diagonal/>
    </border>
    <border>
      <left style="medium">
        <color theme="6"/>
      </left>
      <right/>
      <top style="medium">
        <color theme="0" tint="-0.34998626667073579"/>
      </top>
      <bottom/>
      <diagonal/>
    </border>
    <border>
      <left style="medium">
        <color theme="6"/>
      </left>
      <right/>
      <top/>
      <bottom/>
      <diagonal/>
    </border>
    <border>
      <left style="medium">
        <color theme="6"/>
      </left>
      <right/>
      <top style="medium">
        <color theme="6"/>
      </top>
      <bottom style="medium">
        <color theme="6"/>
      </bottom>
      <diagonal/>
    </border>
    <border>
      <left/>
      <right/>
      <top style="medium">
        <color theme="6"/>
      </top>
      <bottom/>
      <diagonal/>
    </border>
    <border>
      <left/>
      <right style="medium">
        <color theme="6"/>
      </right>
      <top style="medium">
        <color theme="6"/>
      </top>
      <bottom style="thin">
        <color theme="0"/>
      </bottom>
      <diagonal/>
    </border>
    <border>
      <left/>
      <right style="medium">
        <color theme="6"/>
      </right>
      <top style="thin">
        <color theme="0"/>
      </top>
      <bottom style="thin">
        <color theme="0"/>
      </bottom>
      <diagonal/>
    </border>
    <border>
      <left style="medium">
        <color theme="6"/>
      </left>
      <right style="medium">
        <color theme="0" tint="-0.34998626667073579"/>
      </right>
      <top/>
      <bottom/>
      <diagonal/>
    </border>
    <border>
      <left style="thin">
        <color indexed="64"/>
      </left>
      <right style="medium">
        <color theme="6"/>
      </right>
      <top style="thin">
        <color theme="0"/>
      </top>
      <bottom style="thin">
        <color theme="0"/>
      </bottom>
      <diagonal/>
    </border>
    <border>
      <left style="medium">
        <color theme="6"/>
      </left>
      <right style="medium">
        <color theme="0" tint="-0.34998626667073579"/>
      </right>
      <top/>
      <bottom style="medium">
        <color theme="6"/>
      </bottom>
      <diagonal/>
    </border>
    <border>
      <left/>
      <right/>
      <top/>
      <bottom style="medium">
        <color theme="6"/>
      </bottom>
      <diagonal/>
    </border>
    <border>
      <left/>
      <right style="medium">
        <color theme="6"/>
      </right>
      <top style="thin">
        <color theme="0"/>
      </top>
      <bottom style="medium">
        <color theme="6"/>
      </bottom>
      <diagonal/>
    </border>
    <border>
      <left style="medium">
        <color theme="6"/>
      </left>
      <right/>
      <top/>
      <bottom style="medium">
        <color theme="0" tint="-0.34998626667073579"/>
      </bottom>
      <diagonal/>
    </border>
    <border>
      <left style="medium">
        <color theme="0" tint="-0.34998626667073579"/>
      </left>
      <right/>
      <top style="medium">
        <color theme="0" tint="-0.34998626667073579"/>
      </top>
      <bottom style="medium">
        <color theme="6"/>
      </bottom>
      <diagonal/>
    </border>
    <border>
      <left/>
      <right style="medium">
        <color theme="6"/>
      </right>
      <top style="medium">
        <color theme="6"/>
      </top>
      <bottom style="medium">
        <color theme="6"/>
      </bottom>
      <diagonal/>
    </border>
    <border>
      <left style="medium">
        <color theme="0" tint="-0.34998626667073579"/>
      </left>
      <right style="medium">
        <color theme="6"/>
      </right>
      <top style="medium">
        <color theme="0" tint="-0.34998626667073579"/>
      </top>
      <bottom style="medium">
        <color theme="6"/>
      </bottom>
      <diagonal/>
    </border>
    <border>
      <left style="medium">
        <color theme="0" tint="-0.34998626667073579"/>
      </left>
      <right style="medium">
        <color theme="6"/>
      </right>
      <top style="medium">
        <color theme="6"/>
      </top>
      <bottom style="medium">
        <color theme="0" tint="-0.34998626667073579"/>
      </bottom>
      <diagonal/>
    </border>
    <border>
      <left/>
      <right style="medium">
        <color theme="6"/>
      </right>
      <top style="medium">
        <color theme="0" tint="-0.34998626667073579"/>
      </top>
      <bottom/>
      <diagonal/>
    </border>
    <border>
      <left/>
      <right style="medium">
        <color theme="6"/>
      </right>
      <top/>
      <bottom style="medium">
        <color theme="0" tint="-0.34998626667073579"/>
      </bottom>
      <diagonal/>
    </border>
    <border>
      <left/>
      <right style="medium">
        <color theme="6"/>
      </right>
      <top style="medium">
        <color theme="0" tint="-0.34998626667073579"/>
      </top>
      <bottom style="medium">
        <color theme="0" tint="-0.34998626667073579"/>
      </bottom>
      <diagonal/>
    </border>
    <border>
      <left style="medium">
        <color theme="6"/>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9"/>
      </left>
      <right style="medium">
        <color rgb="FF70AD47"/>
      </right>
      <top/>
      <bottom/>
      <diagonal/>
    </border>
    <border>
      <left style="medium">
        <color theme="9"/>
      </left>
      <right style="medium">
        <color rgb="FF70AD47"/>
      </right>
      <top/>
      <bottom style="medium">
        <color rgb="FF70AD47"/>
      </bottom>
      <diagonal/>
    </border>
    <border>
      <left style="medium">
        <color rgb="FFE6AF00"/>
      </left>
      <right style="medium">
        <color rgb="FFEAAD00"/>
      </right>
      <top style="medium">
        <color rgb="FFE6AF00"/>
      </top>
      <bottom/>
      <diagonal/>
    </border>
    <border>
      <left style="medium">
        <color rgb="FFE6AF00"/>
      </left>
      <right style="medium">
        <color rgb="FFEAAD00"/>
      </right>
      <top/>
      <bottom/>
      <diagonal/>
    </border>
    <border>
      <left style="medium">
        <color rgb="FFE6AF00"/>
      </left>
      <right style="medium">
        <color rgb="FFEAAD00"/>
      </right>
      <top/>
      <bottom style="medium">
        <color rgb="FFEAAD00"/>
      </bottom>
      <diagonal/>
    </border>
    <border>
      <left style="medium">
        <color rgb="FFE6AF00"/>
      </left>
      <right style="medium">
        <color rgb="FFE6AF00"/>
      </right>
      <top/>
      <bottom style="medium">
        <color rgb="FFEAAD00"/>
      </bottom>
      <diagonal/>
    </border>
    <border>
      <left style="medium">
        <color rgb="FFE6AF00"/>
      </left>
      <right style="medium">
        <color rgb="FFEAAD00"/>
      </right>
      <top/>
      <bottom style="medium">
        <color rgb="FFE6AF0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rgb="FFCC0099"/>
      </left>
      <right style="medium">
        <color rgb="FFCC0099"/>
      </right>
      <top style="medium">
        <color rgb="FFCC0099"/>
      </top>
      <bottom style="medium">
        <color rgb="FFCC0099"/>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style="medium">
        <color rgb="FFCC0099"/>
      </right>
      <top style="medium">
        <color rgb="FFCC0099"/>
      </top>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style="medium">
        <color rgb="FFCC0099"/>
      </right>
      <top/>
      <bottom style="medium">
        <color rgb="FFCC0099"/>
      </bottom>
      <diagonal/>
    </border>
    <border>
      <left style="medium">
        <color rgb="FFCC0099"/>
      </left>
      <right style="thin">
        <color theme="0"/>
      </right>
      <top style="thin">
        <color theme="0"/>
      </top>
      <bottom/>
      <diagonal/>
    </border>
    <border>
      <left style="medium">
        <color rgb="FFCC0099"/>
      </left>
      <right style="thin">
        <color theme="0"/>
      </right>
      <top/>
      <bottom style="thin">
        <color theme="0"/>
      </bottom>
      <diagonal/>
    </border>
    <border>
      <left style="medium">
        <color rgb="FFCC0099"/>
      </left>
      <right style="thin">
        <color theme="0"/>
      </right>
      <top style="medium">
        <color rgb="FFCC0099"/>
      </top>
      <bottom style="thin">
        <color theme="0"/>
      </bottom>
      <diagonal/>
    </border>
    <border>
      <left/>
      <right/>
      <top style="medium">
        <color rgb="FFCC0099"/>
      </top>
      <bottom style="thick">
        <color theme="0"/>
      </bottom>
      <diagonal/>
    </border>
    <border>
      <left style="medium">
        <color rgb="FFCC0099"/>
      </left>
      <right style="thin">
        <color theme="0"/>
      </right>
      <top style="thin">
        <color theme="0"/>
      </top>
      <bottom style="thin">
        <color theme="0"/>
      </bottom>
      <diagonal/>
    </border>
    <border>
      <left/>
      <right style="medium">
        <color rgb="FFCC0099"/>
      </right>
      <top/>
      <bottom style="medium">
        <color theme="0"/>
      </bottom>
      <diagonal/>
    </border>
    <border>
      <left/>
      <right style="medium">
        <color rgb="FFCC0099"/>
      </right>
      <top style="medium">
        <color theme="0"/>
      </top>
      <bottom/>
      <diagonal/>
    </border>
    <border>
      <left style="medium">
        <color rgb="FFCC0099"/>
      </left>
      <right style="thin">
        <color theme="0"/>
      </right>
      <top style="thin">
        <color theme="0"/>
      </top>
      <bottom style="medium">
        <color rgb="FFCC0099"/>
      </bottom>
      <diagonal/>
    </border>
    <border>
      <left/>
      <right/>
      <top style="thick">
        <color theme="0"/>
      </top>
      <bottom style="medium">
        <color rgb="FFCC0099"/>
      </bottom>
      <diagonal/>
    </border>
    <border>
      <left style="thin">
        <color theme="0"/>
      </left>
      <right/>
      <top style="thick">
        <color theme="0"/>
      </top>
      <bottom style="medium">
        <color rgb="FFCC0099"/>
      </bottom>
      <diagonal/>
    </border>
    <border>
      <left style="medium">
        <color rgb="FFCC0099"/>
      </left>
      <right style="medium">
        <color rgb="FF0070C0"/>
      </right>
      <top/>
      <bottom/>
      <diagonal/>
    </border>
    <border>
      <left style="medium">
        <color rgb="FF0070C0"/>
      </left>
      <right style="medium">
        <color rgb="FFCC0099"/>
      </right>
      <top/>
      <bottom/>
      <diagonal/>
    </border>
    <border>
      <left style="medium">
        <color rgb="FFCC0099"/>
      </left>
      <right style="medium">
        <color rgb="FF0070C0"/>
      </right>
      <top/>
      <bottom style="medium">
        <color rgb="FFCC0099"/>
      </bottom>
      <diagonal/>
    </border>
    <border>
      <left style="medium">
        <color rgb="FF0070C0"/>
      </left>
      <right style="medium">
        <color rgb="FFCC0099"/>
      </right>
      <top/>
      <bottom style="medium">
        <color rgb="FFCC0099"/>
      </bottom>
      <diagonal/>
    </border>
    <border>
      <left style="medium">
        <color rgb="FFCC0099"/>
      </left>
      <right style="medium">
        <color rgb="FF0070C0"/>
      </right>
      <top style="medium">
        <color rgb="FFCC0099"/>
      </top>
      <bottom style="medium">
        <color rgb="FFCC0099"/>
      </bottom>
      <diagonal/>
    </border>
    <border>
      <left style="medium">
        <color rgb="FF0070C0"/>
      </left>
      <right style="medium">
        <color rgb="FFCC0099"/>
      </right>
      <top style="medium">
        <color rgb="FFCC0099"/>
      </top>
      <bottom style="medium">
        <color rgb="FFCC0099"/>
      </bottom>
      <diagonal/>
    </border>
    <border>
      <left/>
      <right style="medium">
        <color rgb="FFCC0099"/>
      </right>
      <top/>
      <bottom/>
      <diagonal/>
    </border>
    <border>
      <left style="medium">
        <color rgb="FFCC0099"/>
      </left>
      <right style="medium">
        <color rgb="FFCC0099"/>
      </right>
      <top/>
      <bottom/>
      <diagonal/>
    </border>
    <border>
      <left style="medium">
        <color rgb="FFCC0099"/>
      </left>
      <right/>
      <top/>
      <bottom/>
      <diagonal/>
    </border>
    <border>
      <left style="medium">
        <color rgb="FFCC0099"/>
      </left>
      <right style="medium">
        <color rgb="FFCC0099"/>
      </right>
      <top style="dotted">
        <color rgb="FFCC0099"/>
      </top>
      <bottom style="dotted">
        <color rgb="FFCC0099"/>
      </bottom>
      <diagonal/>
    </border>
    <border>
      <left style="medium">
        <color rgb="FFCC0099"/>
      </left>
      <right style="medium">
        <color rgb="FFCC0099"/>
      </right>
      <top style="dotted">
        <color rgb="FFCC0099"/>
      </top>
      <bottom style="medium">
        <color rgb="FFCC0099"/>
      </bottom>
      <diagonal/>
    </border>
    <border>
      <left style="medium">
        <color rgb="FFCC0099"/>
      </left>
      <right style="medium">
        <color rgb="FFCC0099"/>
      </right>
      <top style="medium">
        <color rgb="FFCC0099"/>
      </top>
      <bottom style="dotted">
        <color rgb="FFCC0099"/>
      </bottom>
      <diagonal/>
    </border>
    <border>
      <left style="medium">
        <color rgb="FFCC0099"/>
      </left>
      <right/>
      <top style="dotted">
        <color rgb="FFCC0099"/>
      </top>
      <bottom style="dotted">
        <color rgb="FFCC0099"/>
      </bottom>
      <diagonal/>
    </border>
    <border>
      <left style="medium">
        <color rgb="FFCC0099"/>
      </left>
      <right/>
      <top style="dotted">
        <color rgb="FFCC0099"/>
      </top>
      <bottom style="medium">
        <color rgb="FFCC0099"/>
      </bottom>
      <diagonal/>
    </border>
    <border>
      <left style="medium">
        <color rgb="FFCC0099"/>
      </left>
      <right/>
      <top/>
      <bottom style="dotted">
        <color rgb="FFCC0099"/>
      </bottom>
      <diagonal/>
    </border>
    <border>
      <left/>
      <right style="medium">
        <color rgb="FFCC0099"/>
      </right>
      <top style="medium">
        <color rgb="FFCC0099"/>
      </top>
      <bottom style="dotted">
        <color rgb="FFCC0099"/>
      </bottom>
      <diagonal/>
    </border>
    <border>
      <left/>
      <right style="medium">
        <color rgb="FFCC0099"/>
      </right>
      <top style="dotted">
        <color rgb="FFCC0099"/>
      </top>
      <bottom style="dotted">
        <color rgb="FFCC0099"/>
      </bottom>
      <diagonal/>
    </border>
    <border>
      <left/>
      <right style="medium">
        <color rgb="FFCC0099"/>
      </right>
      <top style="dotted">
        <color rgb="FFCC0099"/>
      </top>
      <bottom style="medium">
        <color rgb="FFCC0099"/>
      </bottom>
      <diagonal/>
    </border>
    <border>
      <left/>
      <right style="medium">
        <color rgb="FFCC0099"/>
      </right>
      <top/>
      <bottom style="dotted">
        <color rgb="FFCC0099"/>
      </bottom>
      <diagonal/>
    </border>
    <border>
      <left style="medium">
        <color rgb="FFCC0099"/>
      </left>
      <right style="medium">
        <color rgb="FFCC0099"/>
      </right>
      <top/>
      <bottom style="dotted">
        <color rgb="FFCC0099"/>
      </bottom>
      <diagonal/>
    </border>
    <border>
      <left style="medium">
        <color rgb="FFCC0099"/>
      </left>
      <right/>
      <top style="medium">
        <color rgb="FFCC0099"/>
      </top>
      <bottom style="dotted">
        <color rgb="FFCC0099"/>
      </bottom>
      <diagonal/>
    </border>
    <border>
      <left style="dotted">
        <color indexed="64"/>
      </left>
      <right style="dotted">
        <color indexed="64"/>
      </right>
      <top style="dotted">
        <color indexed="64"/>
      </top>
      <bottom style="dotted">
        <color indexed="64"/>
      </bottom>
      <diagonal/>
    </border>
    <border>
      <left style="medium">
        <color rgb="FF70AD47"/>
      </left>
      <right/>
      <top/>
      <bottom/>
      <diagonal/>
    </border>
    <border>
      <left/>
      <right/>
      <top/>
      <bottom style="medium">
        <color rgb="FF70AD47"/>
      </bottom>
      <diagonal/>
    </border>
    <border>
      <left style="medium">
        <color theme="9"/>
      </left>
      <right/>
      <top/>
      <bottom style="medium">
        <color rgb="FF70AD47"/>
      </bottom>
      <diagonal/>
    </border>
    <border>
      <left style="medium">
        <color rgb="FF70AD47"/>
      </left>
      <right/>
      <top style="thin">
        <color theme="9"/>
      </top>
      <bottom/>
      <diagonal/>
    </border>
    <border>
      <left style="medium">
        <color theme="9"/>
      </left>
      <right style="medium">
        <color rgb="FF70AD47"/>
      </right>
      <top style="thin">
        <color theme="9"/>
      </top>
      <bottom/>
      <diagonal/>
    </border>
    <border>
      <left style="medium">
        <color rgb="FF70AD47"/>
      </left>
      <right/>
      <top style="medium">
        <color theme="9"/>
      </top>
      <bottom/>
      <diagonal/>
    </border>
    <border>
      <left style="medium">
        <color theme="9"/>
      </left>
      <right style="medium">
        <color rgb="FF70AD47"/>
      </right>
      <top style="medium">
        <color theme="9"/>
      </top>
      <bottom/>
      <diagonal/>
    </border>
    <border>
      <left style="medium">
        <color rgb="FF70AD47"/>
      </left>
      <right/>
      <top/>
      <bottom style="medium">
        <color rgb="FF70AD47"/>
      </bottom>
      <diagonal/>
    </border>
    <border>
      <left style="medium">
        <color rgb="FF339933"/>
      </left>
      <right/>
      <top style="thin">
        <color theme="9"/>
      </top>
      <bottom/>
      <diagonal/>
    </border>
    <border>
      <left style="thin">
        <color rgb="FF339933"/>
      </left>
      <right/>
      <top style="thin">
        <color theme="9"/>
      </top>
      <bottom/>
      <diagonal/>
    </border>
    <border>
      <left style="medium">
        <color theme="5" tint="-0.249977111117893"/>
      </left>
      <right/>
      <top style="medium">
        <color theme="5" tint="-0.249977111117893"/>
      </top>
      <bottom style="thin">
        <color theme="5" tint="-0.249977111117893"/>
      </bottom>
      <diagonal/>
    </border>
    <border>
      <left/>
      <right style="medium">
        <color theme="5" tint="-0.24994659260841701"/>
      </right>
      <top style="medium">
        <color theme="5" tint="-0.249977111117893"/>
      </top>
      <bottom style="thin">
        <color theme="5" tint="-0.249977111117893"/>
      </bottom>
      <diagonal/>
    </border>
    <border>
      <left style="medium">
        <color theme="5" tint="-0.24994659260841701"/>
      </left>
      <right style="medium">
        <color theme="5" tint="-0.249977111117893"/>
      </right>
      <top style="medium">
        <color theme="5" tint="-0.249977111117893"/>
      </top>
      <bottom style="thin">
        <color theme="5" tint="-0.249977111117893"/>
      </bottom>
      <diagonal/>
    </border>
    <border>
      <left style="medium">
        <color rgb="FFEAAD00"/>
      </left>
      <right/>
      <top style="thin">
        <color rgb="FFEAAD00"/>
      </top>
      <bottom/>
      <diagonal/>
    </border>
    <border>
      <left style="medium">
        <color rgb="FFEAAD00"/>
      </left>
      <right style="medium">
        <color rgb="FFEAAD00"/>
      </right>
      <top style="thin">
        <color rgb="FFEAAD00"/>
      </top>
      <bottom/>
      <diagonal/>
    </border>
    <border>
      <left style="medium">
        <color rgb="FFE6AF00"/>
      </left>
      <right/>
      <top/>
      <bottom style="medium">
        <color rgb="FFEAAD00"/>
      </bottom>
      <diagonal/>
    </border>
    <border>
      <left style="medium">
        <color rgb="FFE6AF00"/>
      </left>
      <right/>
      <top style="medium">
        <color rgb="FFEAAD00"/>
      </top>
      <bottom style="medium">
        <color rgb="FFE6AF00"/>
      </bottom>
      <diagonal/>
    </border>
    <border>
      <left/>
      <right style="medium">
        <color rgb="FFEAAD00"/>
      </right>
      <top style="medium">
        <color rgb="FFEAAD00"/>
      </top>
      <bottom style="medium">
        <color rgb="FFE6AF00"/>
      </bottom>
      <diagonal/>
    </border>
    <border>
      <left style="medium">
        <color rgb="FFEAAD00"/>
      </left>
      <right style="medium">
        <color rgb="FFEAAD00"/>
      </right>
      <top style="medium">
        <color rgb="FFEAAD00"/>
      </top>
      <bottom style="medium">
        <color rgb="FFEAAD00"/>
      </bottom>
      <diagonal/>
    </border>
    <border>
      <left style="medium">
        <color rgb="FFE6AF00"/>
      </left>
      <right/>
      <top style="thin">
        <color rgb="FFEAAD00"/>
      </top>
      <bottom/>
      <diagonal/>
    </border>
    <border>
      <left style="medium">
        <color rgb="FFEAAD00"/>
      </left>
      <right style="medium">
        <color rgb="FFEAAD00"/>
      </right>
      <top style="medium">
        <color rgb="FFE6AF00"/>
      </top>
      <bottom/>
      <diagonal/>
    </border>
    <border>
      <left style="medium">
        <color rgb="FFEAAD00"/>
      </left>
      <right style="medium">
        <color rgb="FFEAAD00"/>
      </right>
      <top/>
      <bottom/>
      <diagonal/>
    </border>
    <border>
      <left style="medium">
        <color rgb="FFEAAD00"/>
      </left>
      <right style="medium">
        <color rgb="FFEAAD00"/>
      </right>
      <top/>
      <bottom style="medium">
        <color rgb="FFEAAD00"/>
      </bottom>
      <diagonal/>
    </border>
    <border>
      <left style="medium">
        <color rgb="FFE6AF00"/>
      </left>
      <right/>
      <top style="medium">
        <color rgb="FFE6AF00"/>
      </top>
      <bottom style="thin">
        <color rgb="FFEAAD00"/>
      </bottom>
      <diagonal/>
    </border>
    <border>
      <left/>
      <right/>
      <top style="medium">
        <color rgb="FFE6AF00"/>
      </top>
      <bottom style="thin">
        <color rgb="FFEAAD00"/>
      </bottom>
      <diagonal/>
    </border>
    <border>
      <left/>
      <right style="medium">
        <color rgb="FFE6AF00"/>
      </right>
      <top style="medium">
        <color rgb="FFE6AF00"/>
      </top>
      <bottom style="thin">
        <color rgb="FFEAAD00"/>
      </bottom>
      <diagonal/>
    </border>
    <border>
      <left style="medium">
        <color rgb="FFEAAD00"/>
      </left>
      <right style="medium">
        <color rgb="FFEAAD00"/>
      </right>
      <top style="medium">
        <color rgb="FFEAAD00"/>
      </top>
      <bottom style="thin">
        <color rgb="FFEAAD00"/>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right style="medium">
        <color theme="5" tint="-0.24994659260841701"/>
      </right>
      <top style="medium">
        <color theme="5" tint="-0.249977111117893"/>
      </top>
      <bottom style="medium">
        <color theme="5" tint="-0.249977111117893"/>
      </bottom>
      <diagonal/>
    </border>
  </borders>
  <cellStyleXfs count="14">
    <xf numFmtId="0" fontId="0" fillId="0" borderId="0"/>
    <xf numFmtId="0" fontId="1" fillId="0" borderId="1" applyNumberFormat="0" applyFill="0" applyAlignment="0" applyProtection="0"/>
    <xf numFmtId="9" fontId="3" fillId="0" borderId="0" applyFont="0" applyFill="0" applyBorder="0" applyAlignment="0" applyProtection="0"/>
    <xf numFmtId="0" fontId="7" fillId="0" borderId="0"/>
    <xf numFmtId="165" fontId="3" fillId="0" borderId="0" applyFont="0" applyFill="0" applyBorder="0" applyAlignment="0" applyProtection="0"/>
    <xf numFmtId="165" fontId="3" fillId="0" borderId="0" applyFont="0" applyFill="0" applyBorder="0" applyAlignment="0" applyProtection="0"/>
    <xf numFmtId="0" fontId="36" fillId="0" borderId="0" applyNumberFormat="0" applyFill="0" applyBorder="0" applyAlignment="0" applyProtection="0"/>
    <xf numFmtId="0" fontId="41" fillId="0" borderId="0"/>
    <xf numFmtId="0" fontId="42" fillId="0" borderId="0"/>
    <xf numFmtId="0" fontId="42" fillId="0" borderId="0"/>
    <xf numFmtId="0" fontId="46" fillId="0" borderId="0"/>
    <xf numFmtId="0" fontId="10" fillId="0" borderId="0"/>
    <xf numFmtId="0" fontId="3" fillId="0" borderId="0"/>
    <xf numFmtId="44" fontId="3" fillId="0" borderId="0" applyFont="0" applyFill="0" applyBorder="0" applyAlignment="0" applyProtection="0"/>
  </cellStyleXfs>
  <cellXfs count="3353">
    <xf numFmtId="0" fontId="0" fillId="0" borderId="0" xfId="0"/>
    <xf numFmtId="0" fontId="9" fillId="0" borderId="0" xfId="3" applyFont="1"/>
    <xf numFmtId="0" fontId="7" fillId="0" borderId="0" xfId="3"/>
    <xf numFmtId="0" fontId="5" fillId="0" borderId="0" xfId="0" applyFont="1"/>
    <xf numFmtId="0" fontId="0" fillId="0" borderId="0" xfId="0" applyFill="1"/>
    <xf numFmtId="0" fontId="5" fillId="0" borderId="0" xfId="0" applyFont="1" applyFill="1" applyBorder="1"/>
    <xf numFmtId="0" fontId="0" fillId="0" borderId="0" xfId="0" applyAlignment="1">
      <alignment horizontal="right"/>
    </xf>
    <xf numFmtId="0" fontId="10" fillId="0" borderId="0" xfId="0" applyFont="1"/>
    <xf numFmtId="0" fontId="0" fillId="4" borderId="0" xfId="0" applyFill="1" applyAlignment="1">
      <alignment vertical="center"/>
    </xf>
    <xf numFmtId="0" fontId="0" fillId="4" borderId="0" xfId="0" applyFill="1" applyAlignment="1">
      <alignment horizontal="center" vertical="center"/>
    </xf>
    <xf numFmtId="168" fontId="16" fillId="8" borderId="0" xfId="5" applyNumberFormat="1" applyFont="1" applyFill="1" applyBorder="1" applyAlignment="1" applyProtection="1">
      <alignment horizontal="right" vertical="center"/>
    </xf>
    <xf numFmtId="168" fontId="16" fillId="0" borderId="0" xfId="5" applyNumberFormat="1" applyFont="1" applyBorder="1" applyAlignment="1" applyProtection="1">
      <alignment horizontal="right" vertical="center"/>
    </xf>
    <xf numFmtId="168" fontId="30" fillId="0" borderId="0" xfId="5" applyNumberFormat="1" applyFont="1" applyBorder="1" applyAlignment="1" applyProtection="1">
      <alignment vertical="center"/>
      <protection locked="0"/>
    </xf>
    <xf numFmtId="0" fontId="16" fillId="8" borderId="85" xfId="0" applyFont="1" applyFill="1" applyBorder="1" applyAlignment="1" applyProtection="1">
      <alignment horizontal="right" vertical="center"/>
    </xf>
    <xf numFmtId="0" fontId="16" fillId="0" borderId="85" xfId="0" applyFont="1" applyBorder="1" applyAlignment="1" applyProtection="1">
      <alignment horizontal="right" vertical="center"/>
    </xf>
    <xf numFmtId="0" fontId="16" fillId="0" borderId="95" xfId="0" applyFont="1" applyBorder="1" applyAlignment="1" applyProtection="1">
      <alignment horizontal="right" vertical="center"/>
    </xf>
    <xf numFmtId="0" fontId="30" fillId="0" borderId="0" xfId="0" applyFont="1" applyFill="1" applyBorder="1" applyAlignment="1" applyProtection="1">
      <alignment horizontal="right" vertical="center"/>
      <protection locked="0"/>
    </xf>
    <xf numFmtId="0" fontId="30" fillId="0" borderId="265" xfId="0" applyFont="1" applyFill="1" applyBorder="1" applyAlignment="1" applyProtection="1">
      <alignment horizontal="right" vertical="center"/>
      <protection locked="0"/>
    </xf>
    <xf numFmtId="168" fontId="25" fillId="0" borderId="0" xfId="5" applyNumberFormat="1" applyFont="1" applyFill="1" applyBorder="1" applyAlignment="1" applyProtection="1">
      <alignment horizontal="right" vertical="center"/>
    </xf>
    <xf numFmtId="168" fontId="25" fillId="0" borderId="76" xfId="5" applyNumberFormat="1" applyFont="1" applyFill="1" applyBorder="1" applyAlignment="1" applyProtection="1">
      <alignment horizontal="right" vertical="center"/>
    </xf>
    <xf numFmtId="168" fontId="25" fillId="0" borderId="265" xfId="5" applyNumberFormat="1" applyFont="1" applyFill="1" applyBorder="1" applyAlignment="1" applyProtection="1">
      <alignment horizontal="right" vertical="center"/>
    </xf>
    <xf numFmtId="168" fontId="25" fillId="0" borderId="272" xfId="5" applyNumberFormat="1" applyFont="1" applyFill="1" applyBorder="1" applyAlignment="1" applyProtection="1">
      <alignment horizontal="right" vertical="center"/>
    </xf>
    <xf numFmtId="168" fontId="25" fillId="0" borderId="268" xfId="5" applyNumberFormat="1" applyFont="1" applyFill="1" applyBorder="1" applyAlignment="1" applyProtection="1">
      <alignment horizontal="right" vertical="center"/>
    </xf>
    <xf numFmtId="168" fontId="25" fillId="0" borderId="266" xfId="5" applyNumberFormat="1" applyFont="1" applyFill="1" applyBorder="1" applyAlignment="1" applyProtection="1">
      <alignment horizontal="right" vertical="center"/>
    </xf>
    <xf numFmtId="0" fontId="30" fillId="0" borderId="0" xfId="0" applyFont="1" applyFill="1" applyBorder="1" applyProtection="1">
      <protection locked="0"/>
    </xf>
    <xf numFmtId="0" fontId="30" fillId="8" borderId="0" xfId="0" applyFont="1" applyFill="1" applyBorder="1" applyProtection="1">
      <protection locked="0"/>
    </xf>
    <xf numFmtId="0" fontId="30" fillId="8" borderId="86" xfId="0" applyFont="1" applyFill="1" applyBorder="1" applyProtection="1">
      <protection locked="0"/>
    </xf>
    <xf numFmtId="0" fontId="40" fillId="0" borderId="0" xfId="0" applyFont="1" applyAlignment="1" applyProtection="1">
      <alignment horizontal="center" vertical="center"/>
      <protection locked="0"/>
    </xf>
    <xf numFmtId="0" fontId="0" fillId="0" borderId="8" xfId="0" applyBorder="1" applyProtection="1"/>
    <xf numFmtId="0" fontId="4" fillId="4" borderId="8" xfId="0" applyFont="1" applyFill="1" applyBorder="1" applyAlignment="1" applyProtection="1">
      <alignment horizontal="center" vertical="center"/>
    </xf>
    <xf numFmtId="1" fontId="4" fillId="4" borderId="8" xfId="0" applyNumberFormat="1" applyFont="1" applyFill="1" applyBorder="1" applyAlignment="1" applyProtection="1">
      <alignment horizontal="center" vertical="center"/>
    </xf>
    <xf numFmtId="0" fontId="4" fillId="4" borderId="8" xfId="0" applyFont="1" applyFill="1" applyBorder="1" applyAlignment="1" applyProtection="1">
      <alignment horizontal="center"/>
    </xf>
    <xf numFmtId="15" fontId="6" fillId="4" borderId="8" xfId="0" applyNumberFormat="1" applyFont="1" applyFill="1" applyBorder="1" applyAlignment="1" applyProtection="1">
      <alignment horizontal="center"/>
    </xf>
    <xf numFmtId="0" fontId="22" fillId="0" borderId="12" xfId="0" applyFont="1" applyFill="1" applyBorder="1" applyProtection="1"/>
    <xf numFmtId="0" fontId="19" fillId="0" borderId="12" xfId="0" applyFont="1" applyFill="1" applyBorder="1" applyProtection="1"/>
    <xf numFmtId="0" fontId="0" fillId="0" borderId="0" xfId="0" applyProtection="1"/>
    <xf numFmtId="0" fontId="0" fillId="0" borderId="12" xfId="0" applyBorder="1" applyProtection="1"/>
    <xf numFmtId="0" fontId="0" fillId="0" borderId="48" xfId="0" applyBorder="1" applyProtection="1"/>
    <xf numFmtId="0" fontId="0" fillId="0" borderId="8" xfId="0" applyFill="1" applyBorder="1" applyProtection="1"/>
    <xf numFmtId="0" fontId="0" fillId="0" borderId="115" xfId="0" applyBorder="1" applyProtection="1"/>
    <xf numFmtId="0" fontId="16" fillId="0" borderId="12" xfId="0" applyFont="1" applyBorder="1" applyProtection="1"/>
    <xf numFmtId="0" fontId="16" fillId="0" borderId="24" xfId="0" applyFont="1" applyFill="1" applyBorder="1" applyProtection="1"/>
    <xf numFmtId="0" fontId="16" fillId="0" borderId="27" xfId="0" applyFont="1" applyBorder="1" applyProtection="1"/>
    <xf numFmtId="0" fontId="16" fillId="0" borderId="29" xfId="0" applyFont="1" applyFill="1" applyBorder="1" applyProtection="1"/>
    <xf numFmtId="0" fontId="16" fillId="0" borderId="8" xfId="0" applyFont="1" applyBorder="1" applyProtection="1"/>
    <xf numFmtId="0" fontId="16" fillId="0" borderId="8" xfId="0" applyFont="1" applyFill="1" applyBorder="1" applyProtection="1"/>
    <xf numFmtId="0" fontId="16" fillId="0" borderId="31" xfId="0" applyFont="1" applyFill="1" applyBorder="1" applyProtection="1"/>
    <xf numFmtId="0" fontId="16" fillId="0" borderId="34" xfId="0" applyFont="1" applyFill="1" applyBorder="1" applyProtection="1"/>
    <xf numFmtId="0" fontId="0" fillId="0" borderId="11" xfId="0" applyBorder="1" applyProtection="1"/>
    <xf numFmtId="0" fontId="0" fillId="4" borderId="0" xfId="0" applyFill="1" applyProtection="1"/>
    <xf numFmtId="0" fontId="4" fillId="4" borderId="106" xfId="0" applyFont="1" applyFill="1" applyBorder="1" applyAlignment="1" applyProtection="1">
      <alignment vertical="center"/>
    </xf>
    <xf numFmtId="0" fontId="4" fillId="4" borderId="97" xfId="0" applyFont="1" applyFill="1" applyBorder="1" applyAlignment="1" applyProtection="1">
      <alignment vertical="center"/>
    </xf>
    <xf numFmtId="0" fontId="4" fillId="4" borderId="99" xfId="0" applyFont="1" applyFill="1" applyBorder="1" applyAlignment="1" applyProtection="1">
      <alignment vertical="center"/>
    </xf>
    <xf numFmtId="0" fontId="0" fillId="0" borderId="115" xfId="0" applyBorder="1" applyAlignment="1" applyProtection="1">
      <alignment horizontal="center" vertical="center" wrapText="1"/>
    </xf>
    <xf numFmtId="0" fontId="4" fillId="5" borderId="105" xfId="0" applyFont="1" applyFill="1" applyBorder="1" applyAlignment="1" applyProtection="1">
      <alignment vertical="center"/>
    </xf>
    <xf numFmtId="0" fontId="4" fillId="5" borderId="50" xfId="0" applyFont="1" applyFill="1" applyBorder="1" applyAlignment="1" applyProtection="1">
      <alignment vertical="center"/>
    </xf>
    <xf numFmtId="0" fontId="4" fillId="5" borderId="114" xfId="0" applyFont="1" applyFill="1" applyBorder="1" applyAlignment="1" applyProtection="1">
      <alignment vertical="center"/>
    </xf>
    <xf numFmtId="0" fontId="19" fillId="0" borderId="8" xfId="0" applyFont="1" applyBorder="1" applyProtection="1"/>
    <xf numFmtId="0" fontId="0" fillId="0" borderId="118" xfId="0" applyBorder="1" applyAlignment="1" applyProtection="1">
      <alignment vertical="center"/>
    </xf>
    <xf numFmtId="0" fontId="0" fillId="0" borderId="39" xfId="0" applyBorder="1" applyAlignment="1" applyProtection="1">
      <alignment vertical="center"/>
    </xf>
    <xf numFmtId="0" fontId="0" fillId="0" borderId="40" xfId="0" applyBorder="1" applyAlignment="1" applyProtection="1">
      <alignment vertical="center"/>
    </xf>
    <xf numFmtId="0" fontId="0" fillId="0" borderId="41" xfId="0" applyBorder="1" applyAlignment="1" applyProtection="1">
      <alignment vertical="center"/>
    </xf>
    <xf numFmtId="0" fontId="0" fillId="4" borderId="0" xfId="0" applyFill="1" applyAlignment="1" applyProtection="1">
      <alignment vertical="center"/>
    </xf>
    <xf numFmtId="0" fontId="16" fillId="0" borderId="12" xfId="0" applyFont="1" applyBorder="1" applyAlignment="1" applyProtection="1">
      <alignment vertical="center"/>
    </xf>
    <xf numFmtId="0" fontId="16" fillId="0" borderId="49" xfId="0" applyFont="1" applyBorder="1" applyAlignment="1" applyProtection="1">
      <alignment vertical="center"/>
    </xf>
    <xf numFmtId="0" fontId="16" fillId="0" borderId="24" xfId="0" applyFont="1" applyFill="1" applyBorder="1" applyAlignment="1" applyProtection="1">
      <alignment vertical="center"/>
    </xf>
    <xf numFmtId="0" fontId="16" fillId="0" borderId="27" xfId="0" applyFont="1" applyBorder="1" applyAlignment="1" applyProtection="1">
      <alignment vertical="center"/>
    </xf>
    <xf numFmtId="0" fontId="0" fillId="0" borderId="96" xfId="0" applyBorder="1" applyAlignment="1" applyProtection="1">
      <alignment vertical="center"/>
    </xf>
    <xf numFmtId="0" fontId="0" fillId="0" borderId="107" xfId="0" applyBorder="1" applyAlignment="1" applyProtection="1">
      <alignment vertical="center"/>
    </xf>
    <xf numFmtId="0" fontId="0" fillId="0" borderId="37" xfId="0" applyBorder="1" applyAlignment="1" applyProtection="1">
      <alignment vertical="center"/>
    </xf>
    <xf numFmtId="0" fontId="0" fillId="4" borderId="41" xfId="0" applyFill="1" applyBorder="1" applyAlignment="1" applyProtection="1">
      <alignment vertical="center"/>
    </xf>
    <xf numFmtId="0" fontId="16" fillId="0" borderId="29" xfId="0" applyFont="1" applyFill="1" applyBorder="1" applyAlignment="1" applyProtection="1">
      <alignment vertical="center"/>
    </xf>
    <xf numFmtId="0" fontId="16" fillId="0" borderId="8" xfId="0" applyFont="1" applyBorder="1" applyAlignment="1" applyProtection="1">
      <alignment vertical="center"/>
    </xf>
    <xf numFmtId="0" fontId="16" fillId="0" borderId="8" xfId="0" applyFont="1" applyFill="1" applyBorder="1" applyAlignment="1" applyProtection="1">
      <alignment vertical="center"/>
    </xf>
    <xf numFmtId="0" fontId="16" fillId="0" borderId="31" xfId="0" applyFont="1" applyFill="1" applyBorder="1" applyAlignment="1" applyProtection="1">
      <alignment vertical="center"/>
    </xf>
    <xf numFmtId="0" fontId="16" fillId="0" borderId="34" xfId="0" applyFont="1" applyFill="1" applyBorder="1" applyAlignment="1" applyProtection="1">
      <alignment vertical="center"/>
    </xf>
    <xf numFmtId="0" fontId="0" fillId="0" borderId="51" xfId="0" applyBorder="1" applyAlignment="1" applyProtection="1">
      <alignment vertical="center"/>
    </xf>
    <xf numFmtId="0" fontId="0" fillId="0" borderId="46" xfId="0" applyBorder="1" applyAlignment="1" applyProtection="1">
      <alignment vertical="center"/>
    </xf>
    <xf numFmtId="0" fontId="0" fillId="0" borderId="8" xfId="0" applyBorder="1" applyAlignment="1" applyProtection="1">
      <alignment vertical="center"/>
    </xf>
    <xf numFmtId="0" fontId="0" fillId="0" borderId="43" xfId="0" applyBorder="1" applyAlignment="1" applyProtection="1">
      <alignment vertical="center"/>
    </xf>
    <xf numFmtId="0" fontId="0" fillId="4" borderId="44" xfId="0" applyFill="1" applyBorder="1" applyAlignment="1" applyProtection="1">
      <alignment vertical="center"/>
    </xf>
    <xf numFmtId="0" fontId="0" fillId="0" borderId="11" xfId="0" applyBorder="1" applyAlignment="1" applyProtection="1">
      <alignment vertical="center"/>
    </xf>
    <xf numFmtId="0" fontId="0" fillId="4" borderId="8" xfId="0" applyFill="1" applyBorder="1" applyAlignment="1" applyProtection="1">
      <alignment vertical="center"/>
    </xf>
    <xf numFmtId="0" fontId="30" fillId="0" borderId="51" xfId="0" applyFont="1" applyFill="1" applyBorder="1" applyAlignment="1" applyProtection="1">
      <alignment horizontal="left" vertical="center"/>
    </xf>
    <xf numFmtId="0" fontId="27" fillId="0" borderId="51" xfId="0" applyFont="1" applyFill="1" applyBorder="1" applyAlignment="1" applyProtection="1">
      <alignment horizontal="center" vertical="center"/>
    </xf>
    <xf numFmtId="0" fontId="4" fillId="0" borderId="51" xfId="0" applyFont="1" applyFill="1" applyBorder="1" applyAlignment="1" applyProtection="1">
      <alignment horizontal="left" vertical="center"/>
    </xf>
    <xf numFmtId="0" fontId="0" fillId="0" borderId="51" xfId="0" applyFill="1" applyBorder="1" applyAlignment="1" applyProtection="1">
      <alignment vertical="center"/>
    </xf>
    <xf numFmtId="0" fontId="0" fillId="0" borderId="0" xfId="0" applyFill="1" applyAlignment="1" applyProtection="1">
      <alignment vertical="center"/>
    </xf>
    <xf numFmtId="0" fontId="0" fillId="0" borderId="100" xfId="0" applyFill="1" applyBorder="1" applyAlignment="1" applyProtection="1">
      <alignment vertical="center"/>
    </xf>
    <xf numFmtId="0" fontId="0" fillId="4" borderId="46" xfId="0" applyFill="1" applyBorder="1" applyAlignment="1" applyProtection="1">
      <alignment vertical="center"/>
    </xf>
    <xf numFmtId="0" fontId="4" fillId="5" borderId="0" xfId="0" applyFont="1" applyFill="1" applyBorder="1" applyAlignment="1" applyProtection="1">
      <alignment vertical="center"/>
    </xf>
    <xf numFmtId="0" fontId="16" fillId="0" borderId="227" xfId="0" applyFont="1" applyFill="1" applyBorder="1" applyAlignment="1" applyProtection="1">
      <alignment vertical="center"/>
    </xf>
    <xf numFmtId="0" fontId="0" fillId="0" borderId="113" xfId="0" applyBorder="1" applyAlignment="1" applyProtection="1">
      <alignment vertical="center"/>
    </xf>
    <xf numFmtId="0" fontId="16" fillId="0" borderId="229" xfId="0" applyFont="1" applyFill="1" applyBorder="1" applyAlignment="1" applyProtection="1">
      <alignment vertical="center"/>
    </xf>
    <xf numFmtId="0" fontId="16" fillId="0" borderId="231" xfId="0" applyFont="1" applyFill="1" applyBorder="1" applyAlignment="1" applyProtection="1">
      <alignment vertical="center"/>
    </xf>
    <xf numFmtId="0" fontId="0" fillId="0" borderId="8" xfId="0" applyFill="1" applyBorder="1" applyAlignment="1" applyProtection="1">
      <alignment vertical="center"/>
    </xf>
    <xf numFmtId="0" fontId="0" fillId="0" borderId="36" xfId="0" applyBorder="1" applyAlignment="1" applyProtection="1">
      <alignment vertical="center"/>
    </xf>
    <xf numFmtId="0" fontId="6" fillId="0" borderId="36" xfId="0" applyFont="1" applyBorder="1" applyAlignment="1" applyProtection="1">
      <alignment vertical="center"/>
    </xf>
    <xf numFmtId="0" fontId="0" fillId="0" borderId="115" xfId="0" applyBorder="1" applyAlignment="1" applyProtection="1">
      <alignment vertical="center"/>
    </xf>
    <xf numFmtId="0" fontId="0" fillId="0" borderId="35" xfId="0" applyBorder="1" applyAlignment="1" applyProtection="1">
      <alignment vertical="center"/>
    </xf>
    <xf numFmtId="0" fontId="16" fillId="0" borderId="198" xfId="0" applyFont="1" applyBorder="1" applyAlignment="1" applyProtection="1">
      <alignment vertical="center"/>
    </xf>
    <xf numFmtId="0" fontId="16" fillId="0" borderId="199" xfId="0" applyFont="1" applyFill="1" applyBorder="1" applyAlignment="1" applyProtection="1">
      <alignment vertical="center"/>
    </xf>
    <xf numFmtId="0" fontId="16" fillId="0" borderId="11" xfId="0" applyFont="1" applyBorder="1" applyAlignment="1" applyProtection="1">
      <alignment vertical="center"/>
    </xf>
    <xf numFmtId="0" fontId="16" fillId="0" borderId="195" xfId="0" applyFont="1" applyFill="1" applyBorder="1" applyAlignment="1" applyProtection="1">
      <alignment vertical="center"/>
    </xf>
    <xf numFmtId="0" fontId="16" fillId="0" borderId="197" xfId="0" applyFont="1" applyFill="1" applyBorder="1" applyAlignment="1" applyProtection="1">
      <alignment vertical="center"/>
    </xf>
    <xf numFmtId="0" fontId="44" fillId="0" borderId="37" xfId="0" applyFont="1" applyFill="1" applyBorder="1" applyAlignment="1" applyProtection="1">
      <alignment vertical="center"/>
    </xf>
    <xf numFmtId="0" fontId="44" fillId="0" borderId="38" xfId="0" applyFont="1" applyFill="1" applyBorder="1" applyAlignment="1" applyProtection="1">
      <alignment vertical="center"/>
    </xf>
    <xf numFmtId="0" fontId="44" fillId="0" borderId="8" xfId="0" applyFont="1" applyFill="1" applyBorder="1" applyAlignment="1" applyProtection="1">
      <alignment vertical="center"/>
    </xf>
    <xf numFmtId="0" fontId="44" fillId="4" borderId="0" xfId="0" applyFont="1" applyFill="1" applyAlignment="1" applyProtection="1">
      <alignment vertical="center"/>
    </xf>
    <xf numFmtId="0" fontId="44" fillId="0" borderId="43" xfId="0" applyFont="1" applyFill="1" applyBorder="1" applyAlignment="1" applyProtection="1">
      <alignment vertical="center"/>
    </xf>
    <xf numFmtId="0" fontId="43" fillId="0" borderId="43" xfId="0" applyFont="1" applyFill="1" applyBorder="1" applyAlignment="1" applyProtection="1">
      <alignment horizontal="center" vertical="center"/>
    </xf>
    <xf numFmtId="0" fontId="44" fillId="0" borderId="43" xfId="0" applyFont="1" applyFill="1" applyBorder="1" applyAlignment="1" applyProtection="1">
      <alignment horizontal="left" vertical="center"/>
    </xf>
    <xf numFmtId="0" fontId="44" fillId="0" borderId="44" xfId="0" applyFont="1" applyFill="1" applyBorder="1" applyAlignment="1" applyProtection="1">
      <alignment vertical="center"/>
    </xf>
    <xf numFmtId="0" fontId="0" fillId="0" borderId="35" xfId="0" applyFill="1" applyBorder="1" applyAlignment="1" applyProtection="1">
      <alignment vertical="center"/>
    </xf>
    <xf numFmtId="0" fontId="27" fillId="0" borderId="36" xfId="0" applyFont="1" applyFill="1" applyBorder="1" applyAlignment="1" applyProtection="1">
      <alignment horizontal="center" vertical="center"/>
    </xf>
    <xf numFmtId="0" fontId="4" fillId="0" borderId="36" xfId="0" applyFont="1" applyFill="1" applyBorder="1" applyAlignment="1" applyProtection="1">
      <alignment horizontal="left" vertical="center"/>
    </xf>
    <xf numFmtId="0" fontId="0" fillId="0" borderId="36" xfId="0" applyFill="1" applyBorder="1" applyAlignment="1" applyProtection="1">
      <alignment vertical="center"/>
    </xf>
    <xf numFmtId="0" fontId="0" fillId="0" borderId="105" xfId="0" applyFill="1" applyBorder="1" applyAlignment="1" applyProtection="1">
      <alignment vertical="center"/>
    </xf>
    <xf numFmtId="0" fontId="15" fillId="0" borderId="11" xfId="0" applyFont="1" applyBorder="1" applyAlignment="1" applyProtection="1">
      <alignment horizontal="left" vertical="center"/>
    </xf>
    <xf numFmtId="0" fontId="0" fillId="4" borderId="36" xfId="0" applyFill="1" applyBorder="1" applyAlignment="1" applyProtection="1">
      <alignment vertical="center"/>
    </xf>
    <xf numFmtId="0" fontId="29" fillId="0" borderId="214" xfId="0" applyFont="1" applyBorder="1" applyAlignment="1" applyProtection="1">
      <alignment horizontal="center" vertical="center"/>
    </xf>
    <xf numFmtId="0" fontId="0" fillId="0" borderId="105" xfId="0" applyBorder="1" applyAlignment="1" applyProtection="1">
      <alignment vertical="center"/>
    </xf>
    <xf numFmtId="0" fontId="28" fillId="0" borderId="11" xfId="0" applyFont="1" applyBorder="1"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20" fillId="0" borderId="12" xfId="0" applyFont="1" applyBorder="1" applyProtection="1"/>
    <xf numFmtId="0" fontId="20" fillId="0" borderId="55" xfId="0" applyFont="1" applyFill="1" applyBorder="1" applyProtection="1"/>
    <xf numFmtId="0" fontId="20" fillId="0" borderId="58" xfId="0" applyFont="1" applyBorder="1" applyProtection="1"/>
    <xf numFmtId="0" fontId="0" fillId="0" borderId="171" xfId="0" applyBorder="1" applyProtection="1"/>
    <xf numFmtId="0" fontId="0" fillId="0" borderId="166" xfId="0" applyBorder="1" applyProtection="1"/>
    <xf numFmtId="0" fontId="20" fillId="0" borderId="60" xfId="0" applyFont="1" applyFill="1" applyBorder="1" applyProtection="1"/>
    <xf numFmtId="0" fontId="20" fillId="0" borderId="8" xfId="0" applyFont="1" applyBorder="1" applyProtection="1"/>
    <xf numFmtId="0" fontId="20" fillId="0" borderId="8" xfId="0" applyFont="1" applyFill="1" applyBorder="1" applyProtection="1"/>
    <xf numFmtId="0" fontId="20" fillId="0" borderId="62" xfId="0" applyFont="1" applyFill="1" applyBorder="1" applyProtection="1"/>
    <xf numFmtId="0" fontId="20" fillId="0" borderId="65" xfId="0" applyFont="1" applyFill="1" applyBorder="1" applyProtection="1"/>
    <xf numFmtId="0" fontId="0" fillId="0" borderId="36" xfId="0" applyBorder="1" applyProtection="1"/>
    <xf numFmtId="0" fontId="0" fillId="0" borderId="113" xfId="0" applyBorder="1" applyProtection="1"/>
    <xf numFmtId="0" fontId="0" fillId="0" borderId="12" xfId="0" applyFill="1" applyBorder="1" applyProtection="1"/>
    <xf numFmtId="0" fontId="0" fillId="0" borderId="99" xfId="0" applyBorder="1" applyProtection="1"/>
    <xf numFmtId="0" fontId="20" fillId="0" borderId="35" xfId="0" applyFont="1" applyFill="1" applyBorder="1" applyAlignment="1" applyProtection="1">
      <alignment horizontal="center" vertical="center"/>
    </xf>
    <xf numFmtId="0" fontId="20" fillId="0" borderId="113" xfId="0" applyFont="1" applyBorder="1" applyAlignment="1" applyProtection="1">
      <alignment horizontal="center" vertical="center"/>
    </xf>
    <xf numFmtId="0" fontId="0" fillId="0" borderId="35" xfId="0" applyFill="1" applyBorder="1" applyProtection="1"/>
    <xf numFmtId="0" fontId="36" fillId="4" borderId="0" xfId="6" applyFill="1" applyBorder="1" applyAlignment="1" applyProtection="1">
      <alignment horizontal="center" vertical="center" wrapText="1"/>
    </xf>
    <xf numFmtId="0" fontId="0" fillId="0" borderId="113" xfId="0" applyFill="1" applyBorder="1" applyAlignment="1" applyProtection="1">
      <alignment vertical="center"/>
    </xf>
    <xf numFmtId="0" fontId="0" fillId="0" borderId="40" xfId="0" applyBorder="1" applyAlignment="1" applyProtection="1">
      <alignment horizontal="right" vertical="center"/>
    </xf>
    <xf numFmtId="0" fontId="0" fillId="0" borderId="41" xfId="0" applyBorder="1" applyAlignment="1" applyProtection="1">
      <alignment horizontal="right" vertical="center"/>
    </xf>
    <xf numFmtId="0" fontId="0" fillId="0" borderId="42" xfId="0" applyBorder="1" applyAlignment="1" applyProtection="1">
      <alignment vertical="center"/>
    </xf>
    <xf numFmtId="0" fontId="0" fillId="0" borderId="43" xfId="0" applyBorder="1" applyAlignment="1" applyProtection="1">
      <alignment horizontal="right" vertical="center"/>
    </xf>
    <xf numFmtId="0" fontId="0" fillId="0" borderId="44" xfId="0" applyBorder="1" applyAlignment="1" applyProtection="1">
      <alignment horizontal="right" vertical="center"/>
    </xf>
    <xf numFmtId="0" fontId="0" fillId="0" borderId="8" xfId="0" applyBorder="1" applyAlignment="1" applyProtection="1">
      <alignment horizontal="right" vertical="center"/>
    </xf>
    <xf numFmtId="0" fontId="0" fillId="0" borderId="35" xfId="0" applyBorder="1" applyAlignment="1" applyProtection="1">
      <alignment horizontal="right" vertical="center"/>
    </xf>
    <xf numFmtId="0" fontId="0" fillId="0" borderId="0" xfId="0" applyFill="1" applyAlignment="1" applyProtection="1">
      <alignment horizontal="right" vertical="center"/>
    </xf>
    <xf numFmtId="0" fontId="0" fillId="0" borderId="51" xfId="0" applyFill="1" applyBorder="1" applyAlignment="1" applyProtection="1">
      <alignment horizontal="right" vertical="center"/>
    </xf>
    <xf numFmtId="0" fontId="0" fillId="0" borderId="46" xfId="0" applyFill="1" applyBorder="1" applyAlignment="1" applyProtection="1">
      <alignment horizontal="right" vertical="center"/>
    </xf>
    <xf numFmtId="0" fontId="0" fillId="0" borderId="12" xfId="0" applyBorder="1" applyAlignment="1" applyProtection="1">
      <alignment vertical="center"/>
    </xf>
    <xf numFmtId="0" fontId="0" fillId="0" borderId="11" xfId="0" applyBorder="1" applyAlignment="1" applyProtection="1">
      <alignment horizontal="right" vertical="center"/>
    </xf>
    <xf numFmtId="0" fontId="0" fillId="0" borderId="36" xfId="0" applyBorder="1" applyAlignment="1" applyProtection="1">
      <alignment horizontal="right" vertical="center"/>
    </xf>
    <xf numFmtId="0" fontId="4" fillId="6" borderId="289" xfId="0" applyFont="1" applyFill="1" applyBorder="1" applyAlignment="1" applyProtection="1">
      <alignment vertical="center"/>
    </xf>
    <xf numFmtId="0" fontId="4" fillId="6" borderId="290" xfId="0" applyFont="1" applyFill="1" applyBorder="1" applyAlignment="1" applyProtection="1">
      <alignment vertical="center"/>
    </xf>
    <xf numFmtId="0" fontId="4" fillId="6" borderId="64" xfId="0" applyFont="1" applyFill="1" applyBorder="1" applyAlignment="1" applyProtection="1">
      <alignment vertical="center"/>
    </xf>
    <xf numFmtId="0" fontId="4" fillId="6" borderId="103" xfId="0" applyFont="1" applyFill="1" applyBorder="1" applyAlignment="1" applyProtection="1">
      <alignment vertical="center"/>
    </xf>
    <xf numFmtId="0" fontId="0" fillId="0" borderId="66" xfId="0" applyBorder="1" applyAlignment="1" applyProtection="1">
      <alignment horizontal="right" vertical="center"/>
    </xf>
    <xf numFmtId="0" fontId="0" fillId="0" borderId="39" xfId="0" applyBorder="1" applyAlignment="1" applyProtection="1">
      <alignment horizontal="right" vertical="center"/>
    </xf>
    <xf numFmtId="0" fontId="20" fillId="0" borderId="12" xfId="0" applyFont="1" applyBorder="1" applyAlignment="1" applyProtection="1">
      <alignment vertical="center"/>
    </xf>
    <xf numFmtId="0" fontId="20" fillId="0" borderId="55" xfId="0" applyFont="1" applyFill="1" applyBorder="1" applyAlignment="1" applyProtection="1">
      <alignment vertical="center"/>
    </xf>
    <xf numFmtId="0" fontId="20" fillId="0" borderId="58" xfId="0" applyFont="1" applyBorder="1" applyAlignment="1" applyProtection="1">
      <alignment vertical="center"/>
    </xf>
    <xf numFmtId="0" fontId="0" fillId="0" borderId="107" xfId="0" applyBorder="1" applyAlignment="1" applyProtection="1">
      <alignment horizontal="center" vertical="center"/>
    </xf>
    <xf numFmtId="0" fontId="0" fillId="0" borderId="37" xfId="0" applyBorder="1" applyAlignment="1" applyProtection="1">
      <alignment horizontal="center" vertical="center"/>
    </xf>
    <xf numFmtId="0" fontId="20" fillId="0" borderId="60" xfId="0" applyFont="1" applyFill="1" applyBorder="1" applyAlignment="1" applyProtection="1">
      <alignment vertical="center"/>
    </xf>
    <xf numFmtId="0" fontId="20" fillId="0" borderId="8" xfId="0" applyFont="1" applyBorder="1" applyAlignment="1" applyProtection="1">
      <alignment vertical="center"/>
    </xf>
    <xf numFmtId="0" fontId="0" fillId="0" borderId="39" xfId="0" applyBorder="1" applyAlignment="1" applyProtection="1">
      <alignment horizontal="center" vertical="center"/>
    </xf>
    <xf numFmtId="0" fontId="0" fillId="0" borderId="40" xfId="0" applyBorder="1" applyAlignment="1" applyProtection="1">
      <alignment horizontal="center" vertical="center"/>
    </xf>
    <xf numFmtId="0" fontId="20" fillId="0" borderId="8" xfId="0" applyFont="1" applyFill="1" applyBorder="1" applyAlignment="1" applyProtection="1">
      <alignment vertical="center"/>
    </xf>
    <xf numFmtId="0" fontId="20" fillId="0" borderId="62" xfId="0" applyFont="1" applyFill="1" applyBorder="1" applyAlignment="1" applyProtection="1">
      <alignment vertical="center"/>
    </xf>
    <xf numFmtId="0" fontId="20" fillId="0" borderId="65" xfId="0" applyFont="1" applyFill="1" applyBorder="1" applyAlignment="1" applyProtection="1">
      <alignment vertical="center"/>
    </xf>
    <xf numFmtId="0" fontId="20" fillId="11"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4" borderId="0" xfId="0" applyFont="1" applyFill="1" applyBorder="1" applyAlignment="1" applyProtection="1">
      <alignment horizontal="left" vertical="center"/>
    </xf>
    <xf numFmtId="0" fontId="20" fillId="0" borderId="242" xfId="0" applyFont="1" applyFill="1" applyBorder="1" applyAlignment="1" applyProtection="1">
      <alignment horizontal="left" vertical="center"/>
    </xf>
    <xf numFmtId="0" fontId="20" fillId="0" borderId="243" xfId="0" applyFont="1" applyFill="1" applyBorder="1" applyAlignment="1" applyProtection="1">
      <alignment horizontal="left" vertical="center"/>
    </xf>
    <xf numFmtId="0" fontId="0" fillId="0" borderId="50" xfId="0" applyBorder="1" applyAlignment="1" applyProtection="1">
      <alignment vertical="center"/>
    </xf>
    <xf numFmtId="0" fontId="0" fillId="0" borderId="133" xfId="0" applyBorder="1" applyAlignment="1" applyProtection="1">
      <alignment vertical="center"/>
    </xf>
    <xf numFmtId="0" fontId="0" fillId="0" borderId="134" xfId="0" applyBorder="1" applyAlignment="1" applyProtection="1">
      <alignment vertical="center"/>
    </xf>
    <xf numFmtId="0" fontId="0" fillId="4" borderId="11" xfId="0" applyFill="1" applyBorder="1" applyAlignment="1" applyProtection="1">
      <alignment vertical="center"/>
    </xf>
    <xf numFmtId="0" fontId="6" fillId="0" borderId="36" xfId="0" applyFont="1" applyFill="1" applyBorder="1" applyAlignment="1" applyProtection="1">
      <alignment vertical="center"/>
    </xf>
    <xf numFmtId="0" fontId="20" fillId="11" borderId="242" xfId="0" applyFont="1" applyFill="1" applyBorder="1" applyAlignment="1" applyProtection="1">
      <alignment horizontal="left" vertical="center"/>
    </xf>
    <xf numFmtId="0" fontId="28" fillId="0" borderId="12" xfId="0" applyFont="1" applyBorder="1" applyAlignment="1" applyProtection="1">
      <alignment horizontal="center" vertical="center"/>
    </xf>
    <xf numFmtId="0" fontId="16" fillId="0" borderId="12" xfId="0" applyFont="1" applyFill="1" applyBorder="1" applyAlignment="1" applyProtection="1">
      <alignment vertical="center"/>
    </xf>
    <xf numFmtId="0" fontId="0" fillId="0" borderId="99" xfId="0" applyBorder="1" applyAlignment="1" applyProtection="1">
      <alignment vertical="center"/>
    </xf>
    <xf numFmtId="0" fontId="0" fillId="0" borderId="114" xfId="0" applyBorder="1" applyAlignment="1" applyProtection="1">
      <alignment vertical="center"/>
    </xf>
    <xf numFmtId="0" fontId="4" fillId="6" borderId="129" xfId="0" applyFont="1" applyFill="1" applyBorder="1" applyAlignment="1" applyProtection="1">
      <alignment vertical="center"/>
    </xf>
    <xf numFmtId="0" fontId="4" fillId="6" borderId="84" xfId="0" applyFont="1" applyFill="1" applyBorder="1" applyAlignment="1" applyProtection="1">
      <alignment vertical="center"/>
    </xf>
    <xf numFmtId="0" fontId="0" fillId="0" borderId="136" xfId="0" applyBorder="1" applyAlignment="1" applyProtection="1">
      <alignment vertical="center"/>
    </xf>
    <xf numFmtId="0" fontId="17" fillId="0" borderId="12" xfId="0" applyFont="1" applyFill="1" applyBorder="1" applyAlignment="1" applyProtection="1">
      <alignment horizontal="right" vertical="center"/>
    </xf>
    <xf numFmtId="0" fontId="17" fillId="0" borderId="12" xfId="0" applyFont="1" applyBorder="1" applyAlignment="1" applyProtection="1">
      <alignment horizontal="right" vertical="center"/>
    </xf>
    <xf numFmtId="0" fontId="30" fillId="0" borderId="12" xfId="0" applyFont="1" applyBorder="1" applyAlignment="1" applyProtection="1">
      <alignment horizontal="right" vertical="center"/>
    </xf>
    <xf numFmtId="0" fontId="30" fillId="0" borderId="12" xfId="0" applyFont="1" applyBorder="1" applyAlignment="1" applyProtection="1">
      <alignment vertical="center"/>
    </xf>
    <xf numFmtId="168" fontId="16" fillId="0" borderId="12" xfId="5" applyNumberFormat="1" applyFont="1" applyBorder="1" applyAlignment="1" applyProtection="1">
      <alignment vertical="center"/>
    </xf>
    <xf numFmtId="0" fontId="30" fillId="4" borderId="0" xfId="0" applyFont="1" applyFill="1" applyAlignment="1" applyProtection="1">
      <alignment vertical="center"/>
    </xf>
    <xf numFmtId="0" fontId="48" fillId="8" borderId="0" xfId="0" applyFont="1" applyFill="1" applyBorder="1" applyAlignment="1" applyProtection="1">
      <alignment vertical="center"/>
    </xf>
    <xf numFmtId="0" fontId="48" fillId="0" borderId="0" xfId="0" applyFont="1" applyFill="1" applyBorder="1" applyAlignment="1" applyProtection="1">
      <alignment vertical="center"/>
    </xf>
    <xf numFmtId="0" fontId="48" fillId="8" borderId="33" xfId="0" applyFont="1" applyFill="1" applyBorder="1" applyAlignment="1" applyProtection="1">
      <alignment vertical="center"/>
    </xf>
    <xf numFmtId="0" fontId="48" fillId="8" borderId="206" xfId="0" applyFont="1" applyFill="1" applyBorder="1" applyAlignment="1" applyProtection="1">
      <alignment vertical="center"/>
    </xf>
    <xf numFmtId="0" fontId="16" fillId="8" borderId="0" xfId="0" applyFont="1" applyFill="1" applyBorder="1" applyAlignment="1" applyProtection="1">
      <alignment vertical="center"/>
    </xf>
    <xf numFmtId="0" fontId="16" fillId="8" borderId="30" xfId="0" applyFont="1" applyFill="1" applyBorder="1" applyAlignment="1" applyProtection="1">
      <alignment vertical="center"/>
    </xf>
    <xf numFmtId="0" fontId="16" fillId="0" borderId="0" xfId="0" applyFont="1" applyFill="1" applyBorder="1" applyAlignment="1" applyProtection="1">
      <alignment vertical="center"/>
    </xf>
    <xf numFmtId="0" fontId="16" fillId="4" borderId="30" xfId="0" applyFont="1" applyFill="1" applyBorder="1" applyAlignment="1" applyProtection="1">
      <alignment vertical="center"/>
    </xf>
    <xf numFmtId="0" fontId="16" fillId="4" borderId="207" xfId="0" applyFont="1" applyFill="1" applyBorder="1" applyAlignment="1" applyProtection="1">
      <alignment vertical="center"/>
    </xf>
    <xf numFmtId="0" fontId="16" fillId="0" borderId="207" xfId="0" applyFont="1" applyFill="1" applyBorder="1" applyAlignment="1" applyProtection="1">
      <alignment vertical="center"/>
    </xf>
    <xf numFmtId="0" fontId="16" fillId="8"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30" xfId="0" applyFont="1" applyFill="1" applyBorder="1" applyAlignment="1" applyProtection="1">
      <alignment vertical="center"/>
    </xf>
    <xf numFmtId="0" fontId="16" fillId="15" borderId="89" xfId="0" applyFont="1" applyFill="1" applyBorder="1" applyAlignment="1" applyProtection="1">
      <alignment horizontal="left" vertical="center"/>
    </xf>
    <xf numFmtId="0" fontId="16" fillId="16" borderId="0" xfId="0" applyFont="1" applyFill="1" applyBorder="1" applyAlignment="1" applyProtection="1">
      <alignment horizontal="left" vertical="center"/>
    </xf>
    <xf numFmtId="0" fontId="16" fillId="8" borderId="92" xfId="0" applyFont="1" applyFill="1" applyBorder="1" applyAlignment="1" applyProtection="1">
      <alignment horizontal="left" vertical="center"/>
    </xf>
    <xf numFmtId="0" fontId="16" fillId="8" borderId="93" xfId="0" applyFont="1" applyFill="1" applyBorder="1" applyAlignment="1" applyProtection="1">
      <alignment horizontal="left" vertical="center"/>
    </xf>
    <xf numFmtId="0" fontId="20" fillId="0" borderId="49" xfId="0" applyFont="1" applyBorder="1" applyProtection="1"/>
    <xf numFmtId="0" fontId="0" fillId="0" borderId="49" xfId="0" applyBorder="1" applyProtection="1"/>
    <xf numFmtId="0" fontId="25" fillId="0" borderId="70" xfId="0" applyFont="1" applyFill="1" applyBorder="1" applyProtection="1"/>
    <xf numFmtId="0" fontId="25" fillId="0" borderId="73" xfId="0" applyFont="1" applyBorder="1" applyProtection="1"/>
    <xf numFmtId="0" fontId="25" fillId="0" borderId="75" xfId="0" applyFont="1" applyFill="1" applyBorder="1" applyProtection="1"/>
    <xf numFmtId="0" fontId="25" fillId="0" borderId="8" xfId="0" applyFont="1" applyBorder="1" applyProtection="1"/>
    <xf numFmtId="0" fontId="25" fillId="0" borderId="8" xfId="0" applyFont="1" applyFill="1" applyBorder="1" applyProtection="1"/>
    <xf numFmtId="0" fontId="25" fillId="0" borderId="77" xfId="0" applyFont="1" applyFill="1" applyBorder="1" applyProtection="1"/>
    <xf numFmtId="0" fontId="25" fillId="0" borderId="80" xfId="0" applyFont="1" applyFill="1" applyBorder="1" applyProtection="1"/>
    <xf numFmtId="0" fontId="0" fillId="0" borderId="51" xfId="0" applyBorder="1" applyProtection="1"/>
    <xf numFmtId="0" fontId="0" fillId="0" borderId="46" xfId="0" applyBorder="1" applyProtection="1"/>
    <xf numFmtId="0" fontId="0" fillId="0" borderId="11" xfId="0" applyFill="1" applyBorder="1" applyProtection="1"/>
    <xf numFmtId="0" fontId="0" fillId="0" borderId="106" xfId="0" applyFill="1" applyBorder="1" applyProtection="1"/>
    <xf numFmtId="0" fontId="0" fillId="0" borderId="66" xfId="0" applyBorder="1" applyAlignment="1" applyProtection="1">
      <alignment vertical="center"/>
    </xf>
    <xf numFmtId="0" fontId="20" fillId="0" borderId="194" xfId="0" applyFont="1" applyBorder="1" applyAlignment="1" applyProtection="1">
      <alignment vertical="center"/>
    </xf>
    <xf numFmtId="0" fontId="25" fillId="0" borderId="70" xfId="0" applyFont="1" applyFill="1" applyBorder="1" applyAlignment="1" applyProtection="1">
      <alignment vertical="center"/>
    </xf>
    <xf numFmtId="0" fontId="25" fillId="0" borderId="73" xfId="0" applyFont="1" applyBorder="1" applyAlignment="1" applyProtection="1">
      <alignment vertical="center"/>
    </xf>
    <xf numFmtId="0" fontId="0" fillId="4" borderId="40" xfId="0" applyFill="1" applyBorder="1" applyAlignment="1" applyProtection="1">
      <alignment vertical="center"/>
    </xf>
    <xf numFmtId="0" fontId="0" fillId="4" borderId="41" xfId="0" applyFill="1" applyBorder="1" applyAlignment="1" applyProtection="1">
      <alignment horizontal="right" vertical="center"/>
    </xf>
    <xf numFmtId="0" fontId="25" fillId="0" borderId="75" xfId="0" applyFont="1" applyFill="1" applyBorder="1" applyAlignment="1" applyProtection="1">
      <alignment vertical="center"/>
    </xf>
    <xf numFmtId="0" fontId="25" fillId="0" borderId="8" xfId="0" applyFont="1" applyBorder="1" applyAlignment="1" applyProtection="1">
      <alignment vertical="center"/>
    </xf>
    <xf numFmtId="0" fontId="25" fillId="0" borderId="8" xfId="0" applyFont="1" applyFill="1" applyBorder="1" applyAlignment="1" applyProtection="1">
      <alignment vertical="center"/>
    </xf>
    <xf numFmtId="0" fontId="25" fillId="0" borderId="77" xfId="0" applyFont="1" applyFill="1" applyBorder="1" applyAlignment="1" applyProtection="1">
      <alignment vertical="center"/>
    </xf>
    <xf numFmtId="0" fontId="25" fillId="0" borderId="80" xfId="0" applyFont="1" applyFill="1" applyBorder="1" applyAlignment="1" applyProtection="1">
      <alignment vertical="center"/>
    </xf>
    <xf numFmtId="0" fontId="0" fillId="4" borderId="43" xfId="0" applyFill="1" applyBorder="1" applyAlignment="1" applyProtection="1">
      <alignment vertical="center"/>
    </xf>
    <xf numFmtId="0" fontId="0" fillId="4" borderId="44" xfId="0" applyFill="1" applyBorder="1" applyAlignment="1" applyProtection="1">
      <alignment horizontal="right" vertical="center"/>
    </xf>
    <xf numFmtId="0" fontId="0" fillId="4" borderId="35" xfId="0" applyFill="1" applyBorder="1" applyAlignment="1" applyProtection="1">
      <alignment horizontal="right" vertical="center"/>
    </xf>
    <xf numFmtId="0" fontId="0" fillId="4" borderId="51" xfId="0" applyFill="1" applyBorder="1" applyAlignment="1" applyProtection="1">
      <alignment vertical="center"/>
    </xf>
    <xf numFmtId="0" fontId="0" fillId="4" borderId="46" xfId="0" applyFill="1" applyBorder="1" applyAlignment="1" applyProtection="1">
      <alignment horizontal="right" vertical="center"/>
    </xf>
    <xf numFmtId="0" fontId="35" fillId="0" borderId="74" xfId="0" applyFont="1" applyFill="1" applyBorder="1" applyAlignment="1" applyProtection="1">
      <alignment horizontal="center" vertical="center"/>
    </xf>
    <xf numFmtId="0" fontId="25" fillId="10" borderId="262" xfId="0" applyFont="1" applyFill="1" applyBorder="1" applyAlignment="1" applyProtection="1">
      <alignment horizontal="left" vertical="center"/>
    </xf>
    <xf numFmtId="0" fontId="25" fillId="0" borderId="0" xfId="0" applyFont="1" applyBorder="1" applyAlignment="1" applyProtection="1">
      <alignment horizontal="left" vertical="center"/>
    </xf>
    <xf numFmtId="0" fontId="25" fillId="4" borderId="0" xfId="0" applyFont="1" applyFill="1" applyBorder="1" applyAlignment="1" applyProtection="1">
      <alignment horizontal="left" vertical="center"/>
    </xf>
    <xf numFmtId="0" fontId="25" fillId="10" borderId="0" xfId="0" applyFont="1" applyFill="1" applyBorder="1" applyAlignment="1" applyProtection="1">
      <alignment horizontal="left" vertical="center"/>
    </xf>
    <xf numFmtId="0" fontId="25" fillId="0" borderId="265" xfId="0" applyFont="1" applyBorder="1" applyAlignment="1" applyProtection="1">
      <alignment horizontal="left" vertical="center"/>
    </xf>
    <xf numFmtId="0" fontId="30" fillId="2" borderId="40" xfId="0" applyFont="1" applyFill="1" applyBorder="1" applyAlignment="1" applyProtection="1">
      <alignment vertical="center"/>
      <protection locked="0"/>
    </xf>
    <xf numFmtId="0" fontId="49" fillId="10" borderId="262"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10" borderId="0" xfId="0" applyFont="1" applyFill="1" applyBorder="1" applyAlignment="1" applyProtection="1">
      <alignment horizontal="left" vertical="center"/>
    </xf>
    <xf numFmtId="0" fontId="49" fillId="4" borderId="0" xfId="0" applyFont="1" applyFill="1" applyBorder="1" applyAlignment="1" applyProtection="1">
      <alignment horizontal="left" vertical="center"/>
    </xf>
    <xf numFmtId="0" fontId="49" fillId="0" borderId="265" xfId="0" applyFont="1" applyFill="1" applyBorder="1" applyAlignment="1" applyProtection="1">
      <alignment horizontal="left" vertical="center"/>
    </xf>
    <xf numFmtId="0" fontId="49" fillId="10" borderId="268" xfId="0" applyFont="1" applyFill="1" applyBorder="1" applyAlignment="1" applyProtection="1">
      <alignment horizontal="left" vertical="center"/>
    </xf>
    <xf numFmtId="0" fontId="49" fillId="0" borderId="0" xfId="0" applyFont="1" applyBorder="1" applyAlignment="1" applyProtection="1">
      <alignment horizontal="left" vertical="center"/>
    </xf>
    <xf numFmtId="0" fontId="49" fillId="0" borderId="268" xfId="0" applyFont="1" applyBorder="1" applyAlignment="1" applyProtection="1">
      <alignment horizontal="left" vertical="center"/>
    </xf>
    <xf numFmtId="0" fontId="49" fillId="4" borderId="268" xfId="0" applyFont="1" applyFill="1" applyBorder="1" applyAlignment="1" applyProtection="1">
      <alignment horizontal="left" vertical="center"/>
    </xf>
    <xf numFmtId="0" fontId="49" fillId="10" borderId="265" xfId="0" applyFont="1" applyFill="1" applyBorder="1" applyAlignment="1" applyProtection="1">
      <alignment horizontal="left" vertical="center"/>
    </xf>
    <xf numFmtId="0" fontId="49" fillId="10" borderId="266" xfId="0" applyFont="1" applyFill="1" applyBorder="1" applyAlignment="1" applyProtection="1">
      <alignment horizontal="left" vertical="center"/>
    </xf>
    <xf numFmtId="0" fontId="50" fillId="0" borderId="74" xfId="0" applyFont="1" applyBorder="1" applyAlignment="1" applyProtection="1">
      <alignment horizontal="center" vertical="center"/>
    </xf>
    <xf numFmtId="0" fontId="17" fillId="0" borderId="12" xfId="0" applyFont="1" applyFill="1" applyBorder="1" applyAlignment="1" applyProtection="1">
      <alignment vertical="center"/>
    </xf>
    <xf numFmtId="0" fontId="30" fillId="0" borderId="12" xfId="0" applyFont="1" applyFill="1" applyBorder="1" applyAlignment="1" applyProtection="1">
      <alignment horizontal="right" vertical="center"/>
    </xf>
    <xf numFmtId="0" fontId="0" fillId="0" borderId="12" xfId="0" applyFill="1" applyBorder="1" applyAlignment="1" applyProtection="1">
      <alignment vertical="center"/>
    </xf>
    <xf numFmtId="0" fontId="0" fillId="4" borderId="113" xfId="0" applyFill="1" applyBorder="1" applyAlignment="1" applyProtection="1">
      <alignment vertical="center"/>
    </xf>
    <xf numFmtId="0" fontId="15" fillId="4" borderId="0" xfId="0" applyFont="1" applyFill="1" applyAlignment="1" applyProtection="1">
      <alignment vertical="center"/>
    </xf>
    <xf numFmtId="0" fontId="16" fillId="4" borderId="277" xfId="0" applyFont="1" applyFill="1" applyBorder="1" applyAlignment="1" applyProtection="1">
      <alignment horizontal="left" vertical="center"/>
    </xf>
    <xf numFmtId="0" fontId="16" fillId="8" borderId="277" xfId="0" applyFont="1" applyFill="1" applyBorder="1" applyAlignment="1" applyProtection="1">
      <alignment horizontal="left" vertical="center"/>
    </xf>
    <xf numFmtId="0" fontId="40" fillId="0" borderId="156" xfId="0" applyFont="1" applyBorder="1" applyAlignment="1" applyProtection="1">
      <alignment horizontal="center" vertical="center" wrapText="1"/>
    </xf>
    <xf numFmtId="0" fontId="40" fillId="0" borderId="151" xfId="0" applyFont="1" applyFill="1" applyBorder="1" applyAlignment="1" applyProtection="1">
      <alignment horizontal="center" vertical="center" wrapText="1"/>
    </xf>
    <xf numFmtId="0" fontId="0" fillId="0" borderId="35" xfId="0" applyBorder="1" applyProtection="1"/>
    <xf numFmtId="0" fontId="0" fillId="0" borderId="105" xfId="0" applyBorder="1" applyProtection="1"/>
    <xf numFmtId="0" fontId="38" fillId="0" borderId="142" xfId="0" applyFont="1" applyFill="1" applyBorder="1" applyProtection="1"/>
    <xf numFmtId="0" fontId="38" fillId="0" borderId="147" xfId="0" applyFont="1" applyFill="1" applyBorder="1" applyProtection="1"/>
    <xf numFmtId="0" fontId="38" fillId="0" borderId="35" xfId="0" applyFont="1" applyBorder="1" applyAlignment="1" applyProtection="1"/>
    <xf numFmtId="0" fontId="38" fillId="0" borderId="149" xfId="0" applyFont="1" applyFill="1" applyBorder="1" applyProtection="1"/>
    <xf numFmtId="0" fontId="38" fillId="0" borderId="158" xfId="0" applyFont="1" applyBorder="1" applyAlignment="1" applyProtection="1"/>
    <xf numFmtId="0" fontId="28" fillId="8" borderId="0" xfId="0" applyFont="1" applyFill="1" applyBorder="1" applyAlignment="1" applyProtection="1">
      <alignment vertical="center"/>
    </xf>
    <xf numFmtId="0" fontId="28" fillId="4" borderId="0" xfId="0" applyFont="1" applyFill="1" applyBorder="1" applyAlignment="1" applyProtection="1">
      <alignment vertical="center"/>
    </xf>
    <xf numFmtId="0" fontId="28" fillId="8" borderId="92" xfId="0" applyFont="1" applyFill="1" applyBorder="1" applyAlignment="1" applyProtection="1">
      <alignment vertical="center"/>
    </xf>
    <xf numFmtId="0" fontId="40" fillId="0" borderId="8" xfId="0" applyFont="1" applyBorder="1" applyAlignment="1" applyProtection="1">
      <alignment horizontal="center" vertical="center"/>
      <protection locked="0"/>
    </xf>
    <xf numFmtId="0" fontId="40" fillId="0" borderId="113" xfId="0" applyFont="1" applyBorder="1" applyAlignment="1" applyProtection="1">
      <alignment horizontal="center" vertical="center"/>
      <protection locked="0"/>
    </xf>
    <xf numFmtId="0" fontId="11" fillId="0" borderId="12" xfId="0" applyFont="1" applyBorder="1" applyProtection="1"/>
    <xf numFmtId="0" fontId="11" fillId="0" borderId="13" xfId="0" applyFont="1" applyFill="1" applyBorder="1" applyProtection="1"/>
    <xf numFmtId="0" fontId="11" fillId="0" borderId="15" xfId="0" applyFont="1" applyBorder="1" applyProtection="1"/>
    <xf numFmtId="0" fontId="11" fillId="0" borderId="16" xfId="0" applyFont="1" applyFill="1" applyBorder="1" applyProtection="1"/>
    <xf numFmtId="0" fontId="11" fillId="0" borderId="8" xfId="0" applyFont="1" applyBorder="1" applyProtection="1"/>
    <xf numFmtId="0" fontId="11" fillId="0" borderId="35" xfId="0" applyFont="1" applyFill="1" applyBorder="1" applyProtection="1"/>
    <xf numFmtId="0" fontId="11" fillId="0" borderId="18" xfId="0" applyFont="1" applyFill="1" applyBorder="1" applyProtection="1"/>
    <xf numFmtId="0" fontId="11" fillId="0" borderId="179" xfId="0" applyFont="1" applyFill="1" applyBorder="1" applyProtection="1"/>
    <xf numFmtId="0" fontId="11" fillId="0" borderId="11" xfId="0" applyFont="1" applyBorder="1" applyProtection="1"/>
    <xf numFmtId="0" fontId="0" fillId="0" borderId="294" xfId="0" applyBorder="1" applyProtection="1"/>
    <xf numFmtId="0" fontId="0" fillId="0" borderId="295" xfId="0" applyBorder="1" applyProtection="1"/>
    <xf numFmtId="0" fontId="4" fillId="5" borderId="296" xfId="0" applyFont="1" applyFill="1" applyBorder="1" applyAlignment="1" applyProtection="1">
      <alignment vertical="center"/>
    </xf>
    <xf numFmtId="0" fontId="4" fillId="5" borderId="297" xfId="0" applyFont="1" applyFill="1" applyBorder="1" applyAlignment="1" applyProtection="1">
      <alignment vertical="center"/>
    </xf>
    <xf numFmtId="0" fontId="4" fillId="5" borderId="92" xfId="0" applyFont="1" applyFill="1" applyBorder="1" applyAlignment="1" applyProtection="1">
      <alignment vertical="center"/>
    </xf>
    <xf numFmtId="0" fontId="4" fillId="5" borderId="93" xfId="0" applyFont="1" applyFill="1" applyBorder="1" applyAlignment="1" applyProtection="1">
      <alignment vertical="center"/>
    </xf>
    <xf numFmtId="0" fontId="4" fillId="6" borderId="291" xfId="0" applyFont="1" applyFill="1" applyBorder="1" applyAlignment="1" applyProtection="1">
      <alignment vertical="center"/>
    </xf>
    <xf numFmtId="0" fontId="4" fillId="6" borderId="292" xfId="0" applyFont="1" applyFill="1" applyBorder="1" applyAlignment="1" applyProtection="1">
      <alignment vertical="center"/>
    </xf>
    <xf numFmtId="0" fontId="4" fillId="7" borderId="300" xfId="0" applyFont="1" applyFill="1" applyBorder="1" applyAlignment="1" applyProtection="1">
      <alignment vertical="center"/>
    </xf>
    <xf numFmtId="0" fontId="4" fillId="7" borderId="301" xfId="0" applyFont="1" applyFill="1" applyBorder="1" applyAlignment="1" applyProtection="1">
      <alignment vertical="center"/>
    </xf>
    <xf numFmtId="0" fontId="4" fillId="7" borderId="302" xfId="0" applyFont="1" applyFill="1" applyBorder="1" applyAlignment="1" applyProtection="1">
      <alignment vertical="center"/>
    </xf>
    <xf numFmtId="0" fontId="4" fillId="7" borderId="303" xfId="0" applyFont="1" applyFill="1" applyBorder="1" applyAlignment="1" applyProtection="1">
      <alignment vertical="center"/>
    </xf>
    <xf numFmtId="0" fontId="49" fillId="17" borderId="262" xfId="0" applyFont="1" applyFill="1" applyBorder="1" applyAlignment="1" applyProtection="1">
      <alignment vertical="center"/>
    </xf>
    <xf numFmtId="0" fontId="49" fillId="0" borderId="0" xfId="0" applyFont="1" applyBorder="1" applyAlignment="1" applyProtection="1">
      <alignment vertical="center"/>
    </xf>
    <xf numFmtId="0" fontId="49" fillId="17" borderId="0" xfId="0" applyFont="1" applyFill="1" applyBorder="1" applyAlignment="1" applyProtection="1">
      <alignment vertical="center"/>
    </xf>
    <xf numFmtId="0" fontId="49" fillId="17" borderId="79" xfId="0" applyFont="1" applyFill="1" applyBorder="1" applyAlignment="1" applyProtection="1">
      <alignment vertical="center"/>
    </xf>
    <xf numFmtId="0" fontId="30" fillId="0" borderId="11" xfId="0" applyFont="1" applyBorder="1" applyAlignment="1" applyProtection="1">
      <alignment vertical="center"/>
    </xf>
    <xf numFmtId="0" fontId="20" fillId="0" borderId="311" xfId="0" applyFont="1" applyBorder="1" applyAlignment="1" applyProtection="1">
      <alignment vertical="center"/>
    </xf>
    <xf numFmtId="0" fontId="36" fillId="19" borderId="0" xfId="6" applyFill="1" applyBorder="1" applyAlignment="1" applyProtection="1">
      <alignment horizontal="center" vertical="center" wrapText="1"/>
    </xf>
    <xf numFmtId="0" fontId="25" fillId="4" borderId="265" xfId="0" applyFont="1" applyFill="1" applyBorder="1" applyAlignment="1" applyProtection="1">
      <alignment horizontal="left" vertical="center"/>
    </xf>
    <xf numFmtId="0" fontId="6" fillId="4" borderId="113" xfId="0" applyFont="1" applyFill="1" applyBorder="1" applyProtection="1"/>
    <xf numFmtId="0" fontId="20" fillId="4" borderId="107" xfId="0" applyFont="1" applyFill="1" applyBorder="1" applyAlignment="1" applyProtection="1">
      <alignment horizontal="left" vertical="center"/>
    </xf>
    <xf numFmtId="0" fontId="20" fillId="4" borderId="242" xfId="0" applyFont="1" applyFill="1" applyBorder="1" applyAlignment="1" applyProtection="1">
      <alignment horizontal="left" vertical="center"/>
    </xf>
    <xf numFmtId="0" fontId="20" fillId="4" borderId="245" xfId="0" applyFont="1" applyFill="1" applyBorder="1" applyAlignment="1" applyProtection="1">
      <alignment horizontal="left" vertical="center"/>
    </xf>
    <xf numFmtId="0" fontId="11" fillId="0" borderId="8" xfId="0" applyFont="1" applyBorder="1" applyAlignment="1" applyProtection="1">
      <alignment horizontal="left" wrapText="1"/>
    </xf>
    <xf numFmtId="0" fontId="11" fillId="0" borderId="8" xfId="0" applyFont="1" applyBorder="1" applyAlignment="1" applyProtection="1">
      <alignment horizontal="left"/>
    </xf>
    <xf numFmtId="0" fontId="0" fillId="0" borderId="106" xfId="0" applyBorder="1" applyAlignment="1" applyProtection="1">
      <alignment vertical="center"/>
    </xf>
    <xf numFmtId="0" fontId="0" fillId="0" borderId="46" xfId="0" applyFill="1" applyBorder="1" applyAlignment="1" applyProtection="1">
      <alignment vertical="center"/>
    </xf>
    <xf numFmtId="0" fontId="0" fillId="0" borderId="346" xfId="0" applyFill="1" applyBorder="1" applyAlignment="1" applyProtection="1">
      <alignment vertical="center"/>
    </xf>
    <xf numFmtId="0" fontId="29" fillId="4" borderId="0" xfId="0" applyFont="1" applyFill="1" applyAlignment="1" applyProtection="1">
      <alignment horizontal="center" vertical="center" wrapText="1"/>
    </xf>
    <xf numFmtId="0" fontId="30" fillId="4" borderId="113" xfId="0" applyFont="1" applyFill="1" applyBorder="1" applyAlignment="1" applyProtection="1">
      <alignment vertical="center"/>
    </xf>
    <xf numFmtId="0" fontId="15" fillId="4" borderId="0" xfId="0" applyFont="1" applyFill="1" applyAlignment="1" applyProtection="1">
      <alignment vertical="center" wrapText="1"/>
    </xf>
    <xf numFmtId="0" fontId="18" fillId="4" borderId="0" xfId="0" applyFont="1" applyFill="1" applyAlignment="1" applyProtection="1">
      <alignment horizontal="center" vertical="center"/>
    </xf>
    <xf numFmtId="0" fontId="0" fillId="4" borderId="0" xfId="0" applyFill="1" applyBorder="1" applyProtection="1"/>
    <xf numFmtId="0" fontId="0" fillId="0" borderId="35" xfId="0" applyFont="1" applyFill="1" applyBorder="1" applyProtection="1"/>
    <xf numFmtId="0" fontId="0" fillId="4" borderId="0" xfId="0" applyFont="1" applyFill="1" applyBorder="1" applyProtection="1"/>
    <xf numFmtId="166" fontId="2" fillId="2" borderId="0" xfId="1" applyNumberFormat="1" applyFont="1" applyFill="1" applyBorder="1" applyAlignment="1" applyProtection="1">
      <alignment vertical="center"/>
    </xf>
    <xf numFmtId="0" fontId="0" fillId="0" borderId="113" xfId="0" applyBorder="1" applyAlignment="1" applyProtection="1"/>
    <xf numFmtId="0" fontId="0" fillId="4" borderId="0" xfId="0" applyFill="1" applyAlignment="1" applyProtection="1"/>
    <xf numFmtId="0" fontId="0" fillId="0" borderId="8" xfId="0" applyBorder="1" applyAlignment="1" applyProtection="1">
      <alignment horizontal="center" vertical="center" wrapText="1"/>
    </xf>
    <xf numFmtId="0" fontId="0" fillId="4" borderId="0" xfId="0" applyFill="1" applyAlignment="1" applyProtection="1">
      <alignment horizontal="center" vertical="center" wrapText="1"/>
    </xf>
    <xf numFmtId="0" fontId="0" fillId="0" borderId="8" xfId="0" applyBorder="1" applyAlignment="1" applyProtection="1"/>
    <xf numFmtId="0" fontId="30" fillId="4" borderId="0" xfId="0" applyFont="1" applyFill="1" applyProtection="1"/>
    <xf numFmtId="0" fontId="0" fillId="4" borderId="0" xfId="0" applyFill="1" applyBorder="1" applyAlignment="1" applyProtection="1">
      <alignment vertical="center"/>
    </xf>
    <xf numFmtId="0" fontId="15" fillId="4" borderId="0" xfId="0" applyFont="1" applyFill="1" applyBorder="1" applyAlignment="1" applyProtection="1">
      <alignment vertical="center"/>
    </xf>
    <xf numFmtId="0" fontId="29" fillId="0" borderId="309" xfId="0" applyFont="1" applyBorder="1" applyAlignment="1" applyProtection="1">
      <alignment horizontal="center" vertical="center" wrapText="1"/>
    </xf>
    <xf numFmtId="0" fontId="29" fillId="0" borderId="308" xfId="0" applyFont="1" applyBorder="1" applyAlignment="1" applyProtection="1">
      <alignment horizontal="center" vertical="center" wrapText="1"/>
    </xf>
    <xf numFmtId="0" fontId="29" fillId="0" borderId="310" xfId="0" applyFont="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15" fillId="4" borderId="343" xfId="0" applyFont="1" applyFill="1" applyBorder="1" applyAlignment="1" applyProtection="1">
      <alignment vertical="center"/>
    </xf>
    <xf numFmtId="168" fontId="16" fillId="8" borderId="89" xfId="5" applyNumberFormat="1" applyFont="1" applyFill="1" applyBorder="1" applyAlignment="1" applyProtection="1">
      <alignment horizontal="right" vertical="center"/>
    </xf>
    <xf numFmtId="168" fontId="16" fillId="8" borderId="89" xfId="5" applyNumberFormat="1" applyFont="1" applyFill="1" applyBorder="1" applyAlignment="1" applyProtection="1">
      <alignment horizontal="left" vertical="center"/>
    </xf>
    <xf numFmtId="168" fontId="16" fillId="8" borderId="88" xfId="5" applyNumberFormat="1" applyFont="1" applyFill="1" applyBorder="1" applyAlignment="1" applyProtection="1">
      <alignment horizontal="left" vertical="center"/>
    </xf>
    <xf numFmtId="0" fontId="0" fillId="4" borderId="343" xfId="0" applyFill="1" applyBorder="1" applyAlignment="1" applyProtection="1">
      <alignment vertical="center"/>
    </xf>
    <xf numFmtId="168" fontId="16" fillId="0" borderId="0" xfId="5" applyNumberFormat="1" applyFont="1" applyAlignment="1" applyProtection="1">
      <alignment horizontal="left" vertical="center"/>
    </xf>
    <xf numFmtId="168" fontId="16" fillId="0" borderId="0" xfId="5" applyNumberFormat="1" applyFont="1" applyBorder="1" applyAlignment="1" applyProtection="1">
      <alignment horizontal="left" vertical="center"/>
    </xf>
    <xf numFmtId="168" fontId="16" fillId="0" borderId="86" xfId="5" applyNumberFormat="1" applyFont="1" applyBorder="1" applyAlignment="1" applyProtection="1">
      <alignment horizontal="left" vertical="center"/>
    </xf>
    <xf numFmtId="0" fontId="16" fillId="0" borderId="85" xfId="0" applyFont="1" applyBorder="1" applyAlignment="1" applyProtection="1">
      <alignment horizontal="center" vertical="center"/>
    </xf>
    <xf numFmtId="168" fontId="16" fillId="8" borderId="0" xfId="5" applyNumberFormat="1" applyFont="1" applyFill="1" applyAlignment="1" applyProtection="1">
      <alignment horizontal="left" vertical="center"/>
    </xf>
    <xf numFmtId="168" fontId="16" fillId="8" borderId="0" xfId="5" applyNumberFormat="1" applyFont="1" applyFill="1" applyBorder="1" applyAlignment="1" applyProtection="1">
      <alignment horizontal="left" vertical="center"/>
    </xf>
    <xf numFmtId="168" fontId="16" fillId="8" borderId="86" xfId="5" applyNumberFormat="1" applyFont="1" applyFill="1" applyBorder="1" applyAlignment="1" applyProtection="1">
      <alignment horizontal="left" vertical="center"/>
    </xf>
    <xf numFmtId="0" fontId="16" fillId="8" borderId="85" xfId="0" applyFont="1" applyFill="1" applyBorder="1" applyAlignment="1" applyProtection="1">
      <alignment horizontal="center" vertical="center"/>
    </xf>
    <xf numFmtId="168" fontId="16" fillId="23" borderId="0" xfId="5" applyNumberFormat="1" applyFont="1" applyFill="1" applyBorder="1" applyAlignment="1" applyProtection="1">
      <alignment horizontal="right" vertical="center"/>
    </xf>
    <xf numFmtId="168" fontId="16" fillId="23" borderId="0" xfId="5" applyNumberFormat="1" applyFont="1" applyFill="1" applyAlignment="1" applyProtection="1">
      <alignment horizontal="left" vertical="center"/>
    </xf>
    <xf numFmtId="168" fontId="16" fillId="23" borderId="0" xfId="5" applyNumberFormat="1" applyFont="1" applyFill="1" applyBorder="1" applyAlignment="1" applyProtection="1">
      <alignment horizontal="left" vertical="center"/>
    </xf>
    <xf numFmtId="168" fontId="16" fillId="23" borderId="86" xfId="5" applyNumberFormat="1" applyFont="1" applyFill="1" applyBorder="1" applyAlignment="1" applyProtection="1">
      <alignment horizontal="left" vertical="center"/>
    </xf>
    <xf numFmtId="0" fontId="16" fillId="23" borderId="85" xfId="0" applyNumberFormat="1" applyFont="1" applyFill="1" applyBorder="1" applyAlignment="1" applyProtection="1">
      <alignment horizontal="center" vertical="center"/>
    </xf>
    <xf numFmtId="0" fontId="16" fillId="0" borderId="85" xfId="0" applyNumberFormat="1" applyFont="1" applyBorder="1" applyAlignment="1" applyProtection="1">
      <alignment horizontal="center" vertical="center"/>
    </xf>
    <xf numFmtId="168" fontId="16" fillId="0" borderId="92" xfId="5" applyNumberFormat="1" applyFont="1" applyBorder="1" applyAlignment="1" applyProtection="1">
      <alignment horizontal="right" vertical="center"/>
    </xf>
    <xf numFmtId="168" fontId="16" fillId="0" borderId="92" xfId="5" applyNumberFormat="1" applyFont="1" applyBorder="1" applyAlignment="1" applyProtection="1">
      <alignment horizontal="left" vertical="center"/>
    </xf>
    <xf numFmtId="168" fontId="16" fillId="0" borderId="91" xfId="5" applyNumberFormat="1" applyFont="1" applyBorder="1" applyAlignment="1" applyProtection="1">
      <alignment horizontal="left" vertical="center"/>
    </xf>
    <xf numFmtId="0" fontId="16" fillId="0" borderId="95" xfId="0" applyFont="1" applyBorder="1" applyAlignment="1" applyProtection="1">
      <alignment horizontal="center" vertical="center"/>
    </xf>
    <xf numFmtId="0" fontId="0" fillId="4" borderId="12" xfId="0" applyFill="1" applyBorder="1" applyAlignment="1" applyProtection="1">
      <alignment vertical="center"/>
    </xf>
    <xf numFmtId="0" fontId="16" fillId="23" borderId="85" xfId="0" applyNumberFormat="1" applyFont="1" applyFill="1" applyBorder="1" applyAlignment="1" applyProtection="1">
      <alignment horizontal="right" vertical="center"/>
    </xf>
    <xf numFmtId="0" fontId="16" fillId="0" borderId="85" xfId="0" applyNumberFormat="1" applyFont="1" applyBorder="1" applyAlignment="1" applyProtection="1">
      <alignment horizontal="right" vertical="center"/>
    </xf>
    <xf numFmtId="168" fontId="30" fillId="8" borderId="89" xfId="5" applyNumberFormat="1" applyFont="1" applyFill="1" applyBorder="1" applyAlignment="1" applyProtection="1">
      <alignment horizontal="left" vertical="center"/>
      <protection locked="0"/>
    </xf>
    <xf numFmtId="168" fontId="30" fillId="0" borderId="0" xfId="5" applyNumberFormat="1" applyFont="1" applyBorder="1" applyAlignment="1" applyProtection="1">
      <alignment horizontal="left" vertical="center"/>
      <protection locked="0"/>
    </xf>
    <xf numFmtId="168" fontId="30" fillId="8" borderId="0" xfId="5" applyNumberFormat="1" applyFont="1" applyFill="1" applyBorder="1" applyAlignment="1" applyProtection="1">
      <alignment horizontal="left" vertical="center"/>
      <protection locked="0"/>
    </xf>
    <xf numFmtId="168" fontId="30" fillId="23" borderId="0" xfId="5" applyNumberFormat="1" applyFont="1" applyFill="1" applyBorder="1" applyAlignment="1" applyProtection="1">
      <alignment horizontal="left" vertical="center"/>
      <protection locked="0"/>
    </xf>
    <xf numFmtId="168" fontId="30" fillId="0" borderId="92" xfId="5" applyNumberFormat="1" applyFont="1" applyBorder="1" applyAlignment="1" applyProtection="1">
      <alignment horizontal="left" vertical="center"/>
      <protection locked="0"/>
    </xf>
    <xf numFmtId="168" fontId="30" fillId="0" borderId="0" xfId="5" applyNumberFormat="1" applyFont="1" applyAlignment="1" applyProtection="1">
      <alignment horizontal="left" vertical="center"/>
      <protection locked="0"/>
    </xf>
    <xf numFmtId="168" fontId="30" fillId="8" borderId="0" xfId="5" applyNumberFormat="1" applyFont="1" applyFill="1" applyAlignment="1" applyProtection="1">
      <alignment horizontal="left" vertical="center"/>
      <protection locked="0"/>
    </xf>
    <xf numFmtId="168" fontId="30" fillId="23" borderId="0" xfId="5" applyNumberFormat="1" applyFont="1" applyFill="1" applyAlignment="1" applyProtection="1">
      <alignment horizontal="left" vertical="center"/>
      <protection locked="0"/>
    </xf>
    <xf numFmtId="0" fontId="0" fillId="4" borderId="0" xfId="0" applyFont="1" applyFill="1" applyAlignment="1" applyProtection="1">
      <alignment vertical="center"/>
    </xf>
    <xf numFmtId="0" fontId="16" fillId="4" borderId="0" xfId="0" applyFont="1" applyFill="1" applyAlignment="1" applyProtection="1">
      <alignment vertical="center"/>
    </xf>
    <xf numFmtId="0" fontId="29" fillId="4" borderId="0" xfId="0" applyFont="1" applyFill="1" applyAlignment="1" applyProtection="1">
      <alignment horizontal="center" vertical="center"/>
    </xf>
    <xf numFmtId="0" fontId="10" fillId="4" borderId="0" xfId="0" applyFont="1" applyFill="1" applyAlignment="1" applyProtection="1">
      <alignment horizontal="center" vertical="center"/>
    </xf>
    <xf numFmtId="9" fontId="0" fillId="0" borderId="11" xfId="2" applyFont="1" applyBorder="1" applyAlignment="1" applyProtection="1">
      <alignment vertical="center"/>
    </xf>
    <xf numFmtId="0" fontId="30" fillId="4" borderId="114" xfId="0" applyFont="1" applyFill="1" applyBorder="1" applyAlignment="1" applyProtection="1">
      <alignment vertical="center"/>
    </xf>
    <xf numFmtId="169" fontId="0" fillId="0" borderId="113" xfId="0" applyNumberFormat="1" applyBorder="1" applyAlignment="1" applyProtection="1">
      <alignment vertical="center"/>
    </xf>
    <xf numFmtId="0" fontId="0" fillId="0" borderId="0" xfId="0" applyFill="1" applyBorder="1" applyProtection="1"/>
    <xf numFmtId="0" fontId="0" fillId="0" borderId="0" xfId="0" applyAlignment="1" applyProtection="1"/>
    <xf numFmtId="0" fontId="20" fillId="0" borderId="0" xfId="0" applyFont="1" applyAlignment="1" applyProtection="1">
      <alignment horizontal="center" vertical="center"/>
    </xf>
    <xf numFmtId="0" fontId="32" fillId="0" borderId="326" xfId="0" applyFont="1" applyBorder="1" applyAlignment="1" applyProtection="1">
      <alignment horizontal="center" vertical="center" wrapText="1"/>
    </xf>
    <xf numFmtId="0" fontId="32" fillId="0" borderId="127" xfId="0" applyFont="1" applyBorder="1" applyAlignment="1" applyProtection="1">
      <alignment horizontal="center" vertical="center" wrapText="1"/>
    </xf>
    <xf numFmtId="0" fontId="32" fillId="0" borderId="329" xfId="0" applyFont="1" applyBorder="1" applyAlignment="1" applyProtection="1">
      <alignment horizontal="center" vertical="center" wrapText="1"/>
    </xf>
    <xf numFmtId="0" fontId="21" fillId="4" borderId="341" xfId="0" applyFont="1" applyFill="1" applyBorder="1" applyAlignment="1" applyProtection="1">
      <alignment vertical="center"/>
    </xf>
    <xf numFmtId="168" fontId="20" fillId="18" borderId="57" xfId="5" applyNumberFormat="1" applyFont="1" applyFill="1" applyBorder="1" applyAlignment="1" applyProtection="1">
      <alignment horizontal="right" vertical="center"/>
    </xf>
    <xf numFmtId="168" fontId="20" fillId="18" borderId="101" xfId="5" applyNumberFormat="1" applyFont="1" applyFill="1" applyBorder="1" applyAlignment="1" applyProtection="1">
      <alignment horizontal="left" vertical="center"/>
    </xf>
    <xf numFmtId="0" fontId="0" fillId="4" borderId="69" xfId="0" applyFill="1" applyBorder="1" applyAlignment="1" applyProtection="1">
      <alignment vertical="center"/>
    </xf>
    <xf numFmtId="0" fontId="0" fillId="4" borderId="341" xfId="0" applyFill="1" applyBorder="1" applyAlignment="1" applyProtection="1">
      <alignment vertical="center"/>
    </xf>
    <xf numFmtId="168" fontId="20" fillId="0" borderId="0" xfId="5" applyNumberFormat="1" applyFont="1" applyBorder="1" applyAlignment="1" applyProtection="1">
      <alignment horizontal="right" vertical="center"/>
    </xf>
    <xf numFmtId="168" fontId="20" fillId="0" borderId="104" xfId="5" applyNumberFormat="1" applyFont="1" applyBorder="1" applyAlignment="1" applyProtection="1">
      <alignment horizontal="left" vertical="center"/>
    </xf>
    <xf numFmtId="0" fontId="20" fillId="0" borderId="331" xfId="0" applyFont="1" applyBorder="1" applyAlignment="1" applyProtection="1">
      <alignment horizontal="right" vertical="center"/>
    </xf>
    <xf numFmtId="168" fontId="20" fillId="18" borderId="0" xfId="5" applyNumberFormat="1" applyFont="1" applyFill="1" applyBorder="1" applyAlignment="1" applyProtection="1">
      <alignment horizontal="right" vertical="center"/>
    </xf>
    <xf numFmtId="168" fontId="20" fillId="18" borderId="104" xfId="5" applyNumberFormat="1" applyFont="1" applyFill="1" applyBorder="1" applyAlignment="1" applyProtection="1">
      <alignment horizontal="left" vertical="center"/>
    </xf>
    <xf numFmtId="0" fontId="20" fillId="18" borderId="331" xfId="0" applyFont="1" applyFill="1" applyBorder="1" applyAlignment="1" applyProtection="1">
      <alignment horizontal="right" vertical="center"/>
    </xf>
    <xf numFmtId="0" fontId="20" fillId="18" borderId="331" xfId="0" applyNumberFormat="1" applyFont="1" applyFill="1" applyBorder="1" applyAlignment="1" applyProtection="1">
      <alignment horizontal="right" vertical="center"/>
    </xf>
    <xf numFmtId="0" fontId="20" fillId="0" borderId="331" xfId="0" applyNumberFormat="1" applyFont="1" applyBorder="1" applyAlignment="1" applyProtection="1">
      <alignment horizontal="right" vertical="center"/>
    </xf>
    <xf numFmtId="168" fontId="20" fillId="0" borderId="0" xfId="5" applyNumberFormat="1" applyFont="1" applyFill="1" applyBorder="1" applyAlignment="1" applyProtection="1">
      <alignment horizontal="right" vertical="center"/>
    </xf>
    <xf numFmtId="168" fontId="20" fillId="0" borderId="104" xfId="5" applyNumberFormat="1" applyFont="1" applyFill="1" applyBorder="1" applyAlignment="1" applyProtection="1">
      <alignment horizontal="left" vertical="center"/>
    </xf>
    <xf numFmtId="0" fontId="20" fillId="0" borderId="331" xfId="0" applyNumberFormat="1" applyFont="1" applyFill="1" applyBorder="1" applyAlignment="1" applyProtection="1">
      <alignment horizontal="right" vertical="center"/>
    </xf>
    <xf numFmtId="168" fontId="20" fillId="0" borderId="242" xfId="5" applyNumberFormat="1" applyFont="1" applyFill="1" applyBorder="1" applyAlignment="1" applyProtection="1">
      <alignment horizontal="right" vertical="center"/>
    </xf>
    <xf numFmtId="168" fontId="20" fillId="0" borderId="244" xfId="5" applyNumberFormat="1" applyFont="1" applyFill="1" applyBorder="1" applyAlignment="1" applyProtection="1">
      <alignment horizontal="left" vertical="center"/>
    </xf>
    <xf numFmtId="0" fontId="20" fillId="0" borderId="332" xfId="0" applyNumberFormat="1" applyFont="1" applyFill="1" applyBorder="1" applyAlignment="1" applyProtection="1">
      <alignment horizontal="right" vertical="center"/>
    </xf>
    <xf numFmtId="0" fontId="30" fillId="4" borderId="0" xfId="0" applyFont="1" applyFill="1" applyBorder="1" applyAlignment="1" applyProtection="1">
      <alignment horizontal="right" vertical="center"/>
    </xf>
    <xf numFmtId="168" fontId="20" fillId="4" borderId="0" xfId="5" applyNumberFormat="1" applyFont="1" applyFill="1" applyBorder="1" applyAlignment="1" applyProtection="1">
      <alignment horizontal="right" vertical="center"/>
    </xf>
    <xf numFmtId="168" fontId="20" fillId="4" borderId="107" xfId="5" applyNumberFormat="1" applyFont="1" applyFill="1" applyBorder="1" applyAlignment="1" applyProtection="1">
      <alignment horizontal="right" vertical="center"/>
    </xf>
    <xf numFmtId="168" fontId="16" fillId="4" borderId="0" xfId="5" applyNumberFormat="1" applyFont="1" applyFill="1" applyBorder="1" applyAlignment="1" applyProtection="1">
      <alignment horizontal="left" vertical="center"/>
    </xf>
    <xf numFmtId="168" fontId="16" fillId="4" borderId="107" xfId="5" applyNumberFormat="1" applyFont="1" applyFill="1" applyBorder="1" applyAlignment="1" applyProtection="1">
      <alignment horizontal="left" vertical="center"/>
    </xf>
    <xf numFmtId="168" fontId="20" fillId="4" borderId="0" xfId="5" applyNumberFormat="1" applyFont="1" applyFill="1" applyBorder="1" applyAlignment="1" applyProtection="1">
      <alignment horizontal="left" vertical="center"/>
    </xf>
    <xf numFmtId="168" fontId="20" fillId="4" borderId="107" xfId="5"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right" vertical="center"/>
    </xf>
    <xf numFmtId="0" fontId="0" fillId="4" borderId="242" xfId="0" applyFill="1" applyBorder="1" applyAlignment="1" applyProtection="1">
      <alignment vertical="center"/>
    </xf>
    <xf numFmtId="0" fontId="32" fillId="0" borderId="236" xfId="0" applyFont="1" applyFill="1" applyBorder="1" applyAlignment="1" applyProtection="1">
      <alignment horizontal="center" vertical="center" wrapText="1"/>
    </xf>
    <xf numFmtId="0" fontId="32" fillId="0" borderId="234" xfId="0" applyFont="1" applyFill="1" applyBorder="1" applyAlignment="1" applyProtection="1">
      <alignment horizontal="center" vertical="center" wrapText="1"/>
    </xf>
    <xf numFmtId="0" fontId="32" fillId="0" borderId="104"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331" xfId="0" applyFont="1" applyFill="1" applyBorder="1" applyAlignment="1" applyProtection="1">
      <alignment horizontal="center" vertical="center" wrapText="1"/>
    </xf>
    <xf numFmtId="0" fontId="20" fillId="0" borderId="331" xfId="0" applyFont="1" applyFill="1" applyBorder="1" applyAlignment="1" applyProtection="1">
      <alignment horizontal="right" vertical="center"/>
    </xf>
    <xf numFmtId="168" fontId="20" fillId="11" borderId="0" xfId="5" applyNumberFormat="1" applyFont="1" applyFill="1" applyBorder="1" applyAlignment="1" applyProtection="1">
      <alignment horizontal="right" vertical="center"/>
    </xf>
    <xf numFmtId="168" fontId="20" fillId="11" borderId="104" xfId="5" applyNumberFormat="1" applyFont="1" applyFill="1" applyBorder="1" applyAlignment="1" applyProtection="1">
      <alignment horizontal="left" vertical="center"/>
    </xf>
    <xf numFmtId="0" fontId="20" fillId="11" borderId="331" xfId="0" applyFont="1" applyFill="1" applyBorder="1" applyAlignment="1" applyProtection="1">
      <alignment horizontal="right" vertical="center"/>
    </xf>
    <xf numFmtId="0" fontId="20" fillId="11" borderId="331" xfId="0" applyNumberFormat="1" applyFont="1" applyFill="1" applyBorder="1" applyAlignment="1" applyProtection="1">
      <alignment horizontal="right" vertical="center"/>
    </xf>
    <xf numFmtId="0" fontId="17" fillId="4" borderId="0" xfId="0" applyFont="1" applyFill="1" applyBorder="1" applyAlignment="1" applyProtection="1">
      <alignment horizontal="left" vertical="center"/>
    </xf>
    <xf numFmtId="0" fontId="20" fillId="29" borderId="50" xfId="0" applyFont="1" applyFill="1" applyBorder="1" applyAlignment="1" applyProtection="1">
      <alignment vertical="center"/>
    </xf>
    <xf numFmtId="0" fontId="20" fillId="29" borderId="44" xfId="0" applyFont="1" applyFill="1" applyBorder="1" applyAlignment="1" applyProtection="1">
      <alignment vertical="center"/>
    </xf>
    <xf numFmtId="0" fontId="20" fillId="29" borderId="44" xfId="0" applyFont="1" applyFill="1" applyBorder="1" applyAlignment="1" applyProtection="1">
      <alignment horizontal="right" vertical="center"/>
    </xf>
    <xf numFmtId="0" fontId="20" fillId="4" borderId="45" xfId="0" applyFont="1" applyFill="1" applyBorder="1" applyAlignment="1" applyProtection="1">
      <alignment vertical="center"/>
    </xf>
    <xf numFmtId="0" fontId="20" fillId="4" borderId="44" xfId="0" applyFont="1" applyFill="1" applyBorder="1" applyAlignment="1" applyProtection="1">
      <alignment vertical="center"/>
    </xf>
    <xf numFmtId="0" fontId="20" fillId="4" borderId="44" xfId="0" applyFont="1" applyFill="1" applyBorder="1" applyAlignment="1" applyProtection="1">
      <alignment horizontal="right" vertical="center"/>
    </xf>
    <xf numFmtId="0" fontId="20" fillId="29" borderId="105" xfId="0" applyFont="1" applyFill="1" applyBorder="1" applyAlignment="1" applyProtection="1">
      <alignment vertical="center"/>
    </xf>
    <xf numFmtId="0" fontId="20" fillId="29" borderId="105" xfId="0" applyFont="1" applyFill="1" applyBorder="1" applyAlignment="1" applyProtection="1">
      <alignment horizontal="right" vertical="center"/>
    </xf>
    <xf numFmtId="0" fontId="20" fillId="4" borderId="345" xfId="0" applyFont="1" applyFill="1" applyBorder="1" applyAlignment="1" applyProtection="1">
      <alignment vertical="center"/>
    </xf>
    <xf numFmtId="0" fontId="20" fillId="0" borderId="68" xfId="0" applyFont="1" applyBorder="1" applyAlignment="1" applyProtection="1">
      <alignment vertical="center"/>
    </xf>
    <xf numFmtId="0" fontId="20" fillId="0" borderId="68" xfId="0" applyFont="1" applyBorder="1" applyAlignment="1" applyProtection="1">
      <alignment horizontal="right" vertical="center"/>
    </xf>
    <xf numFmtId="0" fontId="32" fillId="0" borderId="236" xfId="0" applyFont="1" applyBorder="1" applyAlignment="1" applyProtection="1">
      <alignment horizontal="center" vertical="center" wrapText="1"/>
    </xf>
    <xf numFmtId="0" fontId="32" fillId="0" borderId="234" xfId="0" applyFont="1" applyBorder="1" applyAlignment="1" applyProtection="1">
      <alignment horizontal="center" vertical="center" wrapText="1"/>
    </xf>
    <xf numFmtId="0" fontId="32" fillId="0" borderId="104"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331" xfId="0" applyFont="1" applyBorder="1" applyAlignment="1" applyProtection="1">
      <alignment horizontal="center" vertical="center" wrapText="1"/>
    </xf>
    <xf numFmtId="0" fontId="0" fillId="0" borderId="106" xfId="0" applyBorder="1" applyAlignment="1" applyProtection="1">
      <alignment horizontal="right" vertical="center"/>
    </xf>
    <xf numFmtId="0" fontId="0" fillId="0" borderId="105" xfId="0" applyBorder="1" applyAlignment="1" applyProtection="1">
      <alignment horizontal="right" vertical="center"/>
    </xf>
    <xf numFmtId="0" fontId="0" fillId="4" borderId="0" xfId="0" applyFill="1" applyAlignment="1" applyProtection="1">
      <alignment horizontal="right" vertical="center"/>
    </xf>
    <xf numFmtId="168" fontId="20" fillId="29" borderId="64" xfId="5" applyNumberFormat="1" applyFont="1" applyFill="1" applyBorder="1" applyAlignment="1" applyProtection="1">
      <alignment horizontal="right" vertical="center"/>
    </xf>
    <xf numFmtId="168" fontId="20" fillId="29" borderId="64" xfId="5" applyNumberFormat="1" applyFont="1" applyFill="1" applyBorder="1" applyAlignment="1" applyProtection="1">
      <alignment horizontal="left" vertical="center"/>
    </xf>
    <xf numFmtId="0" fontId="20" fillId="29" borderId="328" xfId="0" applyNumberFormat="1" applyFont="1" applyFill="1" applyBorder="1" applyAlignment="1" applyProtection="1">
      <alignment horizontal="right" vertical="center"/>
    </xf>
    <xf numFmtId="0" fontId="29" fillId="0" borderId="94" xfId="0" applyFont="1" applyBorder="1" applyAlignment="1" applyProtection="1">
      <alignment horizontal="center" vertical="center"/>
    </xf>
    <xf numFmtId="0" fontId="17" fillId="0" borderId="0" xfId="0" applyFont="1" applyFill="1" applyBorder="1" applyAlignment="1" applyProtection="1">
      <alignment horizontal="left" vertical="center"/>
    </xf>
    <xf numFmtId="0" fontId="32" fillId="0" borderId="59" xfId="0" applyFont="1" applyBorder="1" applyAlignment="1" applyProtection="1">
      <alignment horizontal="center" vertical="center"/>
    </xf>
    <xf numFmtId="0" fontId="32" fillId="0" borderId="237" xfId="0" applyFont="1" applyBorder="1" applyAlignment="1" applyProtection="1">
      <alignment horizontal="center" vertical="center"/>
    </xf>
    <xf numFmtId="168" fontId="0" fillId="4" borderId="343" xfId="5" applyNumberFormat="1" applyFont="1" applyFill="1" applyBorder="1" applyAlignment="1" applyProtection="1">
      <alignment vertical="center"/>
    </xf>
    <xf numFmtId="168" fontId="0" fillId="4" borderId="343" xfId="0" applyNumberFormat="1" applyFill="1" applyBorder="1" applyAlignment="1" applyProtection="1">
      <alignment vertical="center"/>
    </xf>
    <xf numFmtId="0" fontId="55" fillId="4" borderId="0" xfId="0" applyFont="1" applyFill="1" applyAlignment="1" applyProtection="1">
      <alignment vertical="center"/>
    </xf>
    <xf numFmtId="168" fontId="55" fillId="4" borderId="0" xfId="5" applyNumberFormat="1" applyFont="1" applyFill="1" applyAlignment="1" applyProtection="1">
      <alignment vertical="center"/>
    </xf>
    <xf numFmtId="168" fontId="30" fillId="4" borderId="0" xfId="5" applyNumberFormat="1" applyFont="1" applyFill="1" applyAlignment="1" applyProtection="1">
      <alignment vertical="center"/>
    </xf>
    <xf numFmtId="168" fontId="18" fillId="4" borderId="0" xfId="5" applyNumberFormat="1" applyFont="1" applyFill="1" applyAlignment="1" applyProtection="1">
      <alignment horizontal="center" vertical="center"/>
    </xf>
    <xf numFmtId="168" fontId="56" fillId="4" borderId="0" xfId="5" applyNumberFormat="1" applyFont="1" applyFill="1" applyAlignment="1" applyProtection="1">
      <alignment horizontal="center" vertical="center"/>
    </xf>
    <xf numFmtId="168" fontId="30" fillId="4" borderId="0" xfId="0" applyNumberFormat="1" applyFont="1" applyFill="1" applyAlignment="1" applyProtection="1">
      <alignment vertical="center"/>
    </xf>
    <xf numFmtId="168" fontId="57" fillId="4" borderId="0" xfId="0" applyNumberFormat="1" applyFont="1" applyFill="1" applyAlignment="1" applyProtection="1">
      <alignment vertical="center"/>
    </xf>
    <xf numFmtId="168" fontId="20" fillId="18" borderId="57" xfId="5" applyNumberFormat="1" applyFont="1" applyFill="1" applyBorder="1" applyAlignment="1" applyProtection="1">
      <alignment vertical="center"/>
    </xf>
    <xf numFmtId="168" fontId="20" fillId="18" borderId="101" xfId="5" applyNumberFormat="1" applyFont="1" applyFill="1" applyBorder="1" applyAlignment="1" applyProtection="1">
      <alignment vertical="center"/>
    </xf>
    <xf numFmtId="0" fontId="30" fillId="4" borderId="341" xfId="0" applyFont="1" applyFill="1" applyBorder="1" applyAlignment="1" applyProtection="1">
      <alignment vertical="center"/>
    </xf>
    <xf numFmtId="168" fontId="20" fillId="0" borderId="0" xfId="5" applyNumberFormat="1" applyFont="1" applyBorder="1" applyAlignment="1" applyProtection="1">
      <alignment vertical="center"/>
    </xf>
    <xf numFmtId="168" fontId="20" fillId="0" borderId="104" xfId="5" applyNumberFormat="1" applyFont="1" applyBorder="1" applyAlignment="1" applyProtection="1">
      <alignment vertical="center"/>
    </xf>
    <xf numFmtId="168" fontId="20" fillId="18" borderId="0" xfId="5" applyNumberFormat="1" applyFont="1" applyFill="1" applyBorder="1" applyAlignment="1" applyProtection="1">
      <alignment vertical="center"/>
    </xf>
    <xf numFmtId="168" fontId="20" fillId="18" borderId="104" xfId="5" applyNumberFormat="1" applyFont="1" applyFill="1" applyBorder="1" applyAlignment="1" applyProtection="1">
      <alignment vertical="center"/>
    </xf>
    <xf numFmtId="168" fontId="20" fillId="0" borderId="64" xfId="5" applyNumberFormat="1" applyFont="1" applyBorder="1" applyAlignment="1" applyProtection="1">
      <alignment vertical="center"/>
    </xf>
    <xf numFmtId="168" fontId="20" fillId="0" borderId="102" xfId="5" applyNumberFormat="1" applyFont="1" applyBorder="1" applyAlignment="1" applyProtection="1">
      <alignment vertical="center"/>
    </xf>
    <xf numFmtId="0" fontId="20" fillId="0" borderId="328" xfId="0" applyFont="1" applyBorder="1" applyAlignment="1" applyProtection="1">
      <alignment horizontal="right" vertical="center"/>
    </xf>
    <xf numFmtId="168" fontId="20" fillId="18" borderId="234" xfId="5" applyNumberFormat="1" applyFont="1" applyFill="1" applyBorder="1" applyAlignment="1" applyProtection="1">
      <alignment vertical="center"/>
    </xf>
    <xf numFmtId="168" fontId="20" fillId="18" borderId="236" xfId="5" applyNumberFormat="1" applyFont="1" applyFill="1" applyBorder="1" applyAlignment="1" applyProtection="1">
      <alignment horizontal="right" vertical="center"/>
    </xf>
    <xf numFmtId="168" fontId="20" fillId="0" borderId="104" xfId="5" applyNumberFormat="1" applyFont="1" applyBorder="1" applyAlignment="1" applyProtection="1">
      <alignment horizontal="right" vertical="center"/>
    </xf>
    <xf numFmtId="168" fontId="20" fillId="18" borderId="104" xfId="5" applyNumberFormat="1" applyFont="1" applyFill="1" applyBorder="1" applyAlignment="1" applyProtection="1">
      <alignment horizontal="right" vertical="center"/>
    </xf>
    <xf numFmtId="0" fontId="20" fillId="18" borderId="331" xfId="0" applyNumberFormat="1" applyFont="1" applyFill="1" applyBorder="1" applyAlignment="1" applyProtection="1">
      <alignment horizontal="center" vertical="center"/>
    </xf>
    <xf numFmtId="0" fontId="20" fillId="0" borderId="331" xfId="0" applyNumberFormat="1" applyFont="1" applyBorder="1" applyAlignment="1" applyProtection="1">
      <alignment horizontal="center" vertical="center"/>
    </xf>
    <xf numFmtId="168" fontId="20" fillId="18" borderId="64" xfId="5" applyNumberFormat="1" applyFont="1" applyFill="1" applyBorder="1" applyAlignment="1" applyProtection="1">
      <alignment vertical="center"/>
    </xf>
    <xf numFmtId="168" fontId="20" fillId="18" borderId="102" xfId="5" applyNumberFormat="1" applyFont="1" applyFill="1" applyBorder="1" applyAlignment="1" applyProtection="1">
      <alignment horizontal="right" vertical="center"/>
    </xf>
    <xf numFmtId="0" fontId="20" fillId="18" borderId="328" xfId="0" applyFont="1" applyFill="1" applyBorder="1" applyAlignment="1" applyProtection="1">
      <alignment horizontal="center" vertical="center"/>
    </xf>
    <xf numFmtId="168" fontId="20" fillId="18" borderId="236" xfId="5" applyNumberFormat="1" applyFont="1" applyFill="1" applyBorder="1" applyAlignment="1" applyProtection="1">
      <alignment vertical="center"/>
    </xf>
    <xf numFmtId="168" fontId="20" fillId="18" borderId="234" xfId="5" applyNumberFormat="1" applyFont="1" applyFill="1" applyBorder="1" applyAlignment="1" applyProtection="1">
      <alignment horizontal="center" vertical="center"/>
    </xf>
    <xf numFmtId="168" fontId="20" fillId="18" borderId="236" xfId="5" applyNumberFormat="1" applyFont="1" applyFill="1" applyBorder="1" applyAlignment="1" applyProtection="1">
      <alignment horizontal="center" vertical="center"/>
    </xf>
    <xf numFmtId="168" fontId="20" fillId="0" borderId="0" xfId="5" applyNumberFormat="1" applyFont="1" applyBorder="1" applyAlignment="1" applyProtection="1">
      <alignment horizontal="center" vertical="center"/>
    </xf>
    <xf numFmtId="168" fontId="20" fillId="0" borderId="104" xfId="5" applyNumberFormat="1" applyFont="1" applyBorder="1" applyAlignment="1" applyProtection="1">
      <alignment horizontal="center" vertical="center"/>
    </xf>
    <xf numFmtId="168" fontId="20" fillId="18" borderId="0" xfId="5" applyNumberFormat="1" applyFont="1" applyFill="1" applyBorder="1" applyAlignment="1" applyProtection="1">
      <alignment horizontal="center" vertical="center"/>
    </xf>
    <xf numFmtId="168" fontId="20" fillId="18" borderId="104" xfId="5" applyNumberFormat="1" applyFont="1" applyFill="1" applyBorder="1" applyAlignment="1" applyProtection="1">
      <alignment horizontal="center" vertical="center"/>
    </xf>
    <xf numFmtId="0" fontId="50" fillId="0" borderId="263" xfId="0" applyFont="1" applyBorder="1" applyAlignment="1" applyProtection="1">
      <alignment horizontal="center" vertical="center"/>
    </xf>
    <xf numFmtId="0" fontId="40" fillId="0" borderId="151" xfId="0" applyFont="1" applyBorder="1" applyAlignment="1" applyProtection="1">
      <alignment horizontal="center" vertical="center" wrapText="1"/>
    </xf>
    <xf numFmtId="0" fontId="40" fillId="0" borderId="157" xfId="0" applyFont="1" applyBorder="1" applyAlignment="1" applyProtection="1">
      <alignment horizontal="center" vertical="center" wrapText="1"/>
    </xf>
    <xf numFmtId="169" fontId="0" fillId="4" borderId="0" xfId="0" applyNumberFormat="1" applyFill="1" applyProtection="1"/>
    <xf numFmtId="0" fontId="0" fillId="0" borderId="114" xfId="0" applyBorder="1" applyProtection="1"/>
    <xf numFmtId="0" fontId="52" fillId="4" borderId="338" xfId="0" applyFont="1" applyFill="1" applyBorder="1" applyAlignment="1" applyProtection="1">
      <alignment vertical="center"/>
    </xf>
    <xf numFmtId="0" fontId="0" fillId="4" borderId="337" xfId="0" applyFill="1" applyBorder="1" applyAlignment="1" applyProtection="1">
      <alignment vertical="center"/>
    </xf>
    <xf numFmtId="0" fontId="0" fillId="4" borderId="12" xfId="0" applyFill="1" applyBorder="1" applyAlignment="1" applyProtection="1">
      <alignment horizontal="right" vertical="center"/>
    </xf>
    <xf numFmtId="0" fontId="0" fillId="4" borderId="99" xfId="0" applyFill="1" applyBorder="1" applyAlignment="1" applyProtection="1">
      <alignment vertical="center"/>
    </xf>
    <xf numFmtId="0" fontId="0" fillId="4" borderId="8" xfId="0" applyFill="1" applyBorder="1" applyAlignment="1" applyProtection="1">
      <alignment horizontal="right" vertical="center"/>
    </xf>
    <xf numFmtId="0" fontId="30" fillId="30" borderId="337" xfId="0" applyFont="1" applyFill="1" applyBorder="1" applyAlignment="1" applyProtection="1">
      <alignment vertical="center"/>
    </xf>
    <xf numFmtId="168" fontId="30" fillId="30" borderId="337" xfId="5" applyNumberFormat="1" applyFont="1" applyFill="1" applyBorder="1" applyAlignment="1" applyProtection="1">
      <alignment vertical="center"/>
    </xf>
    <xf numFmtId="0" fontId="30" fillId="4" borderId="337" xfId="0" applyFont="1" applyFill="1" applyBorder="1" applyAlignment="1" applyProtection="1">
      <alignment vertical="center"/>
    </xf>
    <xf numFmtId="168" fontId="30" fillId="4" borderId="337" xfId="5" applyNumberFormat="1" applyFont="1" applyFill="1" applyBorder="1" applyAlignment="1" applyProtection="1">
      <alignment vertical="center"/>
    </xf>
    <xf numFmtId="0" fontId="6" fillId="4" borderId="0" xfId="0" applyFont="1" applyFill="1" applyAlignment="1" applyProtection="1">
      <alignment vertical="center"/>
    </xf>
    <xf numFmtId="0" fontId="0" fillId="4" borderId="0" xfId="0" applyFill="1" applyBorder="1" applyAlignment="1" applyProtection="1">
      <alignment horizontal="center" vertical="center"/>
    </xf>
    <xf numFmtId="0" fontId="0" fillId="4" borderId="0" xfId="0" applyFill="1" applyAlignment="1" applyProtection="1">
      <alignment horizontal="left" vertical="center"/>
    </xf>
    <xf numFmtId="0" fontId="30" fillId="0" borderId="0" xfId="0" applyFont="1" applyProtection="1"/>
    <xf numFmtId="0" fontId="30" fillId="0" borderId="0" xfId="0" applyFont="1" applyBorder="1" applyProtection="1"/>
    <xf numFmtId="168" fontId="0" fillId="4" borderId="0" xfId="5" applyNumberFormat="1" applyFont="1" applyFill="1" applyAlignment="1" applyProtection="1">
      <alignment vertical="center"/>
    </xf>
    <xf numFmtId="0" fontId="59" fillId="4" borderId="0" xfId="0" applyFont="1" applyFill="1" applyAlignment="1" applyProtection="1">
      <alignment vertical="center"/>
    </xf>
    <xf numFmtId="168" fontId="59" fillId="4" borderId="0" xfId="5" applyNumberFormat="1" applyFont="1" applyFill="1" applyAlignment="1" applyProtection="1">
      <alignment vertical="center"/>
    </xf>
    <xf numFmtId="0" fontId="10" fillId="0" borderId="0" xfId="7" applyFont="1" applyBorder="1" applyAlignment="1" applyProtection="1">
      <alignment vertical="center"/>
      <protection locked="0"/>
    </xf>
    <xf numFmtId="0" fontId="10" fillId="0" borderId="0" xfId="7" applyFont="1" applyBorder="1" applyAlignment="1" applyProtection="1">
      <alignment horizontal="left" vertical="center"/>
      <protection locked="0"/>
    </xf>
    <xf numFmtId="0" fontId="10" fillId="0" borderId="0" xfId="7" applyFont="1" applyBorder="1" applyAlignment="1"/>
    <xf numFmtId="0" fontId="10" fillId="0" borderId="0" xfId="7" applyFont="1" applyBorder="1" applyAlignment="1">
      <alignment vertical="center"/>
    </xf>
    <xf numFmtId="0" fontId="10" fillId="0" borderId="0" xfId="7" applyFont="1" applyBorder="1" applyAlignment="1">
      <alignment horizontal="center" vertical="center"/>
    </xf>
    <xf numFmtId="165" fontId="10" fillId="0" borderId="0" xfId="7" applyNumberFormat="1" applyFont="1" applyBorder="1" applyAlignment="1" applyProtection="1">
      <alignment horizontal="center" vertical="center"/>
      <protection locked="0"/>
    </xf>
    <xf numFmtId="0" fontId="10" fillId="0" borderId="0" xfId="7" applyFont="1" applyBorder="1" applyAlignment="1" applyProtection="1">
      <alignment horizontal="center" vertical="center"/>
      <protection locked="0"/>
    </xf>
    <xf numFmtId="165" fontId="10" fillId="0" borderId="0" xfId="5" applyFont="1" applyBorder="1" applyAlignment="1" applyProtection="1">
      <alignment horizontal="center" vertical="center"/>
      <protection locked="0"/>
    </xf>
    <xf numFmtId="165" fontId="10" fillId="0" borderId="0" xfId="5" applyFont="1" applyBorder="1" applyAlignment="1">
      <alignment horizontal="center" vertical="center"/>
    </xf>
    <xf numFmtId="1" fontId="17" fillId="19" borderId="348" xfId="0" applyNumberFormat="1" applyFont="1" applyFill="1" applyBorder="1" applyAlignment="1" applyProtection="1">
      <alignment horizontal="left" vertical="center"/>
      <protection locked="0"/>
    </xf>
    <xf numFmtId="1" fontId="17" fillId="19" borderId="348" xfId="0" applyNumberFormat="1" applyFont="1" applyFill="1" applyBorder="1" applyAlignment="1" applyProtection="1">
      <alignment horizontal="center" vertical="center"/>
    </xf>
    <xf numFmtId="1" fontId="61" fillId="19" borderId="348" xfId="0" applyNumberFormat="1" applyFont="1" applyFill="1" applyBorder="1" applyAlignment="1" applyProtection="1">
      <alignment horizontal="center" vertical="center"/>
    </xf>
    <xf numFmtId="165" fontId="10" fillId="19" borderId="348" xfId="5" applyNumberFormat="1" applyFont="1" applyFill="1" applyBorder="1" applyAlignment="1" applyProtection="1">
      <alignment horizontal="center" vertical="center"/>
      <protection locked="0"/>
    </xf>
    <xf numFmtId="165" fontId="17" fillId="19" borderId="348" xfId="5" applyFont="1" applyFill="1" applyBorder="1" applyAlignment="1" applyProtection="1">
      <alignment horizontal="center" vertical="center"/>
    </xf>
    <xf numFmtId="2" fontId="17" fillId="19" borderId="348" xfId="5" applyNumberFormat="1" applyFont="1" applyFill="1" applyBorder="1" applyAlignment="1" applyProtection="1">
      <alignment horizontal="center" vertical="center"/>
      <protection locked="0"/>
    </xf>
    <xf numFmtId="165" fontId="17" fillId="19" borderId="348" xfId="5" applyFont="1" applyFill="1" applyBorder="1" applyAlignment="1" applyProtection="1">
      <alignment horizontal="center" vertical="center"/>
      <protection locked="0"/>
    </xf>
    <xf numFmtId="165" fontId="10" fillId="19" borderId="348" xfId="5" applyFont="1" applyFill="1" applyBorder="1" applyAlignment="1" applyProtection="1">
      <alignment horizontal="center" vertical="center"/>
      <protection locked="0"/>
    </xf>
    <xf numFmtId="165" fontId="61" fillId="19" borderId="348" xfId="5" applyFont="1" applyFill="1" applyBorder="1" applyAlignment="1" applyProtection="1">
      <alignment horizontal="center" vertical="center"/>
    </xf>
    <xf numFmtId="0" fontId="5" fillId="22" borderId="0" xfId="0" applyFont="1" applyFill="1" applyBorder="1" applyAlignment="1" applyProtection="1">
      <alignment horizontal="center" vertical="center"/>
    </xf>
    <xf numFmtId="0" fontId="0" fillId="0" borderId="0" xfId="0" applyBorder="1" applyProtection="1"/>
    <xf numFmtId="15" fontId="6" fillId="4" borderId="113" xfId="0" applyNumberFormat="1" applyFont="1" applyFill="1" applyBorder="1" applyAlignment="1" applyProtection="1">
      <alignment horizontal="center"/>
    </xf>
    <xf numFmtId="0" fontId="0" fillId="4" borderId="113" xfId="0" applyFont="1" applyFill="1" applyBorder="1" applyProtection="1"/>
    <xf numFmtId="0" fontId="4" fillId="4" borderId="0" xfId="0" applyFont="1" applyFill="1" applyBorder="1" applyAlignment="1" applyProtection="1">
      <alignment horizontal="center"/>
    </xf>
    <xf numFmtId="0" fontId="40" fillId="8" borderId="0" xfId="0" applyFont="1" applyFill="1" applyBorder="1" applyAlignment="1" applyProtection="1">
      <alignment horizontal="left" vertical="center"/>
    </xf>
    <xf numFmtId="0" fontId="6" fillId="4" borderId="0" xfId="0" applyFont="1" applyFill="1" applyBorder="1" applyProtection="1"/>
    <xf numFmtId="0" fontId="40" fillId="8" borderId="0" xfId="0" applyFont="1" applyFill="1" applyBorder="1" applyProtection="1"/>
    <xf numFmtId="0" fontId="40" fillId="8" borderId="0" xfId="0" applyFont="1" applyFill="1" applyBorder="1" applyAlignment="1" applyProtection="1">
      <alignment horizontal="left"/>
    </xf>
    <xf numFmtId="0" fontId="40" fillId="10" borderId="0" xfId="0" applyFont="1" applyFill="1" applyBorder="1" applyAlignment="1" applyProtection="1">
      <alignment horizontal="left"/>
    </xf>
    <xf numFmtId="0" fontId="40" fillId="10" borderId="0" xfId="0" applyFont="1" applyFill="1" applyBorder="1" applyProtection="1"/>
    <xf numFmtId="0" fontId="40" fillId="11" borderId="0" xfId="0" applyFont="1" applyFill="1" applyBorder="1" applyAlignment="1" applyProtection="1">
      <alignment horizontal="left"/>
    </xf>
    <xf numFmtId="0" fontId="43" fillId="0" borderId="37" xfId="0" applyFont="1" applyFill="1" applyBorder="1" applyAlignment="1" applyProtection="1">
      <alignment horizontal="left" vertical="center"/>
      <protection locked="0"/>
    </xf>
    <xf numFmtId="0" fontId="0" fillId="0" borderId="66" xfId="0" applyFont="1" applyBorder="1" applyProtection="1"/>
    <xf numFmtId="0" fontId="0" fillId="0" borderId="8" xfId="0" applyFont="1" applyBorder="1" applyProtection="1">
      <protection locked="0"/>
    </xf>
    <xf numFmtId="0" fontId="0" fillId="0" borderId="8" xfId="0" applyFont="1" applyBorder="1" applyAlignment="1" applyProtection="1">
      <alignment horizontal="right"/>
      <protection locked="0"/>
    </xf>
    <xf numFmtId="0" fontId="0" fillId="0" borderId="0" xfId="0" applyFont="1" applyProtection="1">
      <protection locked="0"/>
    </xf>
    <xf numFmtId="0" fontId="0" fillId="0" borderId="163" xfId="0" applyFont="1" applyBorder="1" applyProtection="1"/>
    <xf numFmtId="0" fontId="0" fillId="0" borderId="162" xfId="0" applyFont="1" applyBorder="1" applyProtection="1"/>
    <xf numFmtId="0" fontId="0" fillId="0" borderId="145" xfId="0" applyFont="1" applyBorder="1" applyProtection="1"/>
    <xf numFmtId="0" fontId="0" fillId="0" borderId="39" xfId="0" applyFont="1" applyBorder="1" applyProtection="1"/>
    <xf numFmtId="0" fontId="0" fillId="0" borderId="37" xfId="0" applyFont="1" applyBorder="1" applyProtection="1"/>
    <xf numFmtId="0" fontId="0" fillId="0" borderId="41" xfId="0" applyFont="1" applyBorder="1" applyProtection="1">
      <protection locked="0"/>
    </xf>
    <xf numFmtId="0" fontId="0" fillId="0" borderId="8" xfId="0" applyFont="1" applyBorder="1" applyProtection="1"/>
    <xf numFmtId="0" fontId="0" fillId="0" borderId="40" xfId="0" applyFont="1" applyBorder="1" applyProtection="1"/>
    <xf numFmtId="0" fontId="0" fillId="0" borderId="51" xfId="0" applyFont="1" applyBorder="1" applyProtection="1">
      <protection locked="0"/>
    </xf>
    <xf numFmtId="0" fontId="0" fillId="0" borderId="46" xfId="0" applyFont="1" applyBorder="1" applyProtection="1">
      <protection locked="0"/>
    </xf>
    <xf numFmtId="0" fontId="0" fillId="0" borderId="108" xfId="0" applyFont="1" applyBorder="1" applyProtection="1"/>
    <xf numFmtId="0" fontId="0" fillId="0" borderId="43" xfId="0" applyFont="1" applyBorder="1" applyProtection="1"/>
    <xf numFmtId="0" fontId="0" fillId="0" borderId="44" xfId="0" applyFont="1" applyBorder="1" applyProtection="1"/>
    <xf numFmtId="0" fontId="0" fillId="0" borderId="36" xfId="0" applyFont="1" applyBorder="1" applyProtection="1"/>
    <xf numFmtId="0" fontId="0" fillId="0" borderId="12" xfId="0" applyFont="1" applyBorder="1" applyProtection="1"/>
    <xf numFmtId="0" fontId="0" fillId="0" borderId="98" xfId="0" applyFont="1" applyBorder="1" applyProtection="1"/>
    <xf numFmtId="0" fontId="0" fillId="0" borderId="0" xfId="0" applyFont="1" applyAlignment="1" applyProtection="1">
      <alignment horizontal="right"/>
      <protection locked="0"/>
    </xf>
    <xf numFmtId="0" fontId="64" fillId="0" borderId="0" xfId="0" applyFont="1" applyProtection="1"/>
    <xf numFmtId="0" fontId="40" fillId="0" borderId="8" xfId="0" applyFont="1" applyBorder="1" applyAlignment="1" applyProtection="1">
      <alignment vertical="center"/>
      <protection locked="0"/>
    </xf>
    <xf numFmtId="0" fontId="40" fillId="0" borderId="8" xfId="0" applyFont="1" applyBorder="1" applyAlignment="1" applyProtection="1">
      <alignment horizontal="right" vertical="center"/>
      <protection locked="0"/>
    </xf>
    <xf numFmtId="0" fontId="40" fillId="0" borderId="0" xfId="0" applyFont="1" applyAlignment="1" applyProtection="1">
      <alignment vertical="center"/>
      <protection locked="0"/>
    </xf>
    <xf numFmtId="0" fontId="54" fillId="0" borderId="8" xfId="0" applyFont="1" applyBorder="1" applyProtection="1">
      <protection locked="0"/>
    </xf>
    <xf numFmtId="0" fontId="54" fillId="0" borderId="0" xfId="0" applyFont="1" applyProtection="1">
      <protection locked="0"/>
    </xf>
    <xf numFmtId="0" fontId="54" fillId="0" borderId="8" xfId="0" applyFont="1" applyBorder="1" applyAlignment="1" applyProtection="1">
      <alignment horizontal="right"/>
      <protection locked="0"/>
    </xf>
    <xf numFmtId="0" fontId="54" fillId="0" borderId="0" xfId="0" applyFont="1" applyProtection="1"/>
    <xf numFmtId="0" fontId="54" fillId="0" borderId="12" xfId="0" applyFont="1" applyBorder="1" applyProtection="1"/>
    <xf numFmtId="0" fontId="54" fillId="0" borderId="113" xfId="0" applyFont="1" applyBorder="1" applyProtection="1">
      <protection locked="0"/>
    </xf>
    <xf numFmtId="168" fontId="40" fillId="4" borderId="0" xfId="5" applyNumberFormat="1" applyFont="1" applyFill="1" applyBorder="1" applyProtection="1"/>
    <xf numFmtId="0" fontId="40" fillId="4" borderId="0" xfId="0" applyFont="1" applyFill="1" applyBorder="1" applyProtection="1"/>
    <xf numFmtId="0" fontId="40" fillId="0" borderId="0" xfId="0" applyFont="1" applyProtection="1"/>
    <xf numFmtId="0" fontId="40" fillId="0" borderId="12" xfId="0" applyFont="1" applyBorder="1" applyProtection="1"/>
    <xf numFmtId="0" fontId="54" fillId="0" borderId="8" xfId="0" applyFont="1" applyBorder="1" applyAlignment="1" applyProtection="1">
      <alignment vertical="center"/>
    </xf>
    <xf numFmtId="0" fontId="54" fillId="0" borderId="8" xfId="0" applyFont="1" applyBorder="1" applyProtection="1"/>
    <xf numFmtId="0" fontId="54" fillId="0" borderId="35" xfId="0" applyFont="1" applyBorder="1" applyProtection="1"/>
    <xf numFmtId="0" fontId="54" fillId="0" borderId="11" xfId="0" applyFont="1" applyBorder="1" applyProtection="1"/>
    <xf numFmtId="0" fontId="54" fillId="0" borderId="106" xfId="0" applyFont="1" applyBorder="1" applyProtection="1"/>
    <xf numFmtId="0" fontId="54" fillId="0" borderId="36" xfId="0" applyFont="1" applyBorder="1" applyProtection="1"/>
    <xf numFmtId="0" fontId="40" fillId="0" borderId="293" xfId="0" applyFont="1" applyBorder="1" applyAlignment="1" applyProtection="1"/>
    <xf numFmtId="0" fontId="54" fillId="0" borderId="293" xfId="0" applyFont="1" applyBorder="1" applyProtection="1"/>
    <xf numFmtId="0" fontId="65" fillId="0" borderId="293" xfId="0" applyFont="1" applyBorder="1" applyAlignment="1" applyProtection="1"/>
    <xf numFmtId="0" fontId="54" fillId="0" borderId="51" xfId="0" applyFont="1" applyBorder="1" applyProtection="1"/>
    <xf numFmtId="0" fontId="54" fillId="0" borderId="46" xfId="0" applyFont="1" applyBorder="1" applyProtection="1">
      <protection locked="0"/>
    </xf>
    <xf numFmtId="168" fontId="18" fillId="0" borderId="155" xfId="5" applyNumberFormat="1" applyFont="1" applyBorder="1" applyProtection="1">
      <protection locked="0"/>
    </xf>
    <xf numFmtId="168" fontId="18" fillId="0" borderId="0" xfId="5" applyNumberFormat="1" applyFont="1" applyBorder="1" applyProtection="1">
      <protection locked="0"/>
    </xf>
    <xf numFmtId="168" fontId="40" fillId="0" borderId="148" xfId="5" applyNumberFormat="1" applyFont="1" applyBorder="1" applyProtection="1"/>
    <xf numFmtId="168" fontId="40" fillId="0" borderId="0" xfId="5" applyNumberFormat="1" applyFont="1" applyBorder="1" applyProtection="1"/>
    <xf numFmtId="168" fontId="40" fillId="0" borderId="0" xfId="5" applyNumberFormat="1" applyFont="1" applyProtection="1"/>
    <xf numFmtId="168" fontId="18" fillId="0" borderId="0" xfId="5" applyNumberFormat="1" applyFont="1" applyProtection="1">
      <protection locked="0"/>
    </xf>
    <xf numFmtId="0" fontId="16" fillId="0" borderId="221" xfId="0" applyFont="1" applyBorder="1" applyAlignment="1" applyProtection="1">
      <alignment horizontal="center" vertical="center" wrapText="1"/>
    </xf>
    <xf numFmtId="0" fontId="16" fillId="0" borderId="222" xfId="0" applyFont="1" applyBorder="1" applyAlignment="1" applyProtection="1">
      <alignment horizontal="center" vertical="center" wrapText="1"/>
    </xf>
    <xf numFmtId="0" fontId="19" fillId="0" borderId="36" xfId="0" applyFont="1" applyFill="1" applyBorder="1" applyProtection="1"/>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xf>
    <xf numFmtId="0" fontId="30" fillId="0" borderId="86" xfId="0" applyFont="1" applyFill="1" applyBorder="1" applyProtection="1">
      <protection locked="0"/>
    </xf>
    <xf numFmtId="0" fontId="30" fillId="8" borderId="91" xfId="0" applyFont="1" applyFill="1" applyBorder="1" applyProtection="1">
      <protection locked="0"/>
    </xf>
    <xf numFmtId="0" fontId="30" fillId="8" borderId="92" xfId="0" applyFont="1" applyFill="1" applyBorder="1" applyProtection="1">
      <protection locked="0"/>
    </xf>
    <xf numFmtId="0" fontId="0" fillId="0" borderId="35" xfId="0" applyFill="1" applyBorder="1" applyAlignment="1" applyProtection="1">
      <alignment horizontal="center" vertical="center" wrapText="1"/>
    </xf>
    <xf numFmtId="0" fontId="19" fillId="0" borderId="11" xfId="0" applyFont="1" applyFill="1" applyBorder="1" applyProtection="1"/>
    <xf numFmtId="0" fontId="15" fillId="0" borderId="220" xfId="0" applyFont="1" applyFill="1" applyBorder="1" applyAlignment="1" applyProtection="1">
      <alignment horizontal="center" vertical="center" wrapText="1"/>
    </xf>
    <xf numFmtId="0" fontId="15" fillId="0" borderId="221" xfId="0" applyFont="1" applyFill="1" applyBorder="1" applyAlignment="1" applyProtection="1">
      <alignment horizontal="center" vertical="center" wrapText="1"/>
    </xf>
    <xf numFmtId="0" fontId="30" fillId="8" borderId="88" xfId="0" applyFont="1" applyFill="1" applyBorder="1" applyProtection="1">
      <protection locked="0"/>
    </xf>
    <xf numFmtId="0" fontId="16" fillId="0" borderId="91" xfId="0" applyFont="1" applyFill="1" applyBorder="1" applyAlignment="1" applyProtection="1">
      <alignment horizontal="center"/>
    </xf>
    <xf numFmtId="0" fontId="16" fillId="0" borderId="92" xfId="0" applyFont="1" applyFill="1" applyBorder="1" applyAlignment="1" applyProtection="1">
      <alignment horizontal="center"/>
    </xf>
    <xf numFmtId="17" fontId="15" fillId="0" borderId="92" xfId="0" applyNumberFormat="1" applyFont="1" applyFill="1" applyBorder="1" applyAlignment="1" applyProtection="1">
      <alignment horizontal="center" vertical="center"/>
    </xf>
    <xf numFmtId="0" fontId="21" fillId="0" borderId="361" xfId="0" applyFont="1" applyFill="1" applyBorder="1" applyAlignment="1" applyProtection="1">
      <alignment horizontal="center" vertical="center"/>
    </xf>
    <xf numFmtId="0" fontId="30" fillId="31" borderId="0" xfId="0" applyFont="1" applyFill="1" applyBorder="1" applyProtection="1">
      <protection locked="0"/>
    </xf>
    <xf numFmtId="0" fontId="30" fillId="31" borderId="361" xfId="0" applyFont="1" applyFill="1" applyBorder="1" applyProtection="1">
      <protection locked="0"/>
    </xf>
    <xf numFmtId="0" fontId="15" fillId="0" borderId="0" xfId="0" applyFont="1" applyFill="1" applyBorder="1" applyAlignment="1" applyProtection="1">
      <alignment horizontal="center" vertical="center"/>
    </xf>
    <xf numFmtId="0" fontId="30" fillId="0" borderId="0" xfId="0" applyFont="1" applyFill="1" applyBorder="1" applyProtection="1"/>
    <xf numFmtId="0" fontId="15" fillId="0" borderId="356" xfId="0" applyFont="1" applyFill="1" applyBorder="1" applyAlignment="1" applyProtection="1">
      <alignment horizontal="center" vertical="center"/>
    </xf>
    <xf numFmtId="0" fontId="16" fillId="0" borderId="360" xfId="0" applyFont="1" applyFill="1" applyBorder="1" applyAlignment="1" applyProtection="1">
      <alignment horizontal="center"/>
    </xf>
    <xf numFmtId="0" fontId="16" fillId="0" borderId="361" xfId="0" applyFont="1" applyFill="1" applyBorder="1" applyAlignment="1" applyProtection="1">
      <alignment horizontal="center"/>
    </xf>
    <xf numFmtId="0" fontId="15" fillId="0" borderId="361"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0" fillId="0" borderId="113" xfId="0" applyFill="1" applyBorder="1" applyAlignment="1" applyProtection="1"/>
    <xf numFmtId="0" fontId="0" fillId="0" borderId="0" xfId="0" applyFill="1" applyAlignment="1" applyProtection="1"/>
    <xf numFmtId="0" fontId="0" fillId="0" borderId="0" xfId="0" applyFill="1" applyProtection="1"/>
    <xf numFmtId="0" fontId="20" fillId="0" borderId="0" xfId="0" applyFont="1" applyFill="1" applyBorder="1" applyAlignment="1" applyProtection="1">
      <alignment horizontal="center" vertical="center"/>
    </xf>
    <xf numFmtId="10" fontId="30" fillId="0" borderId="0" xfId="2" applyNumberFormat="1" applyFont="1" applyFill="1" applyBorder="1" applyAlignment="1" applyProtection="1">
      <alignment horizontal="center" vertical="center"/>
      <protection locked="0"/>
    </xf>
    <xf numFmtId="0" fontId="34" fillId="0" borderId="0" xfId="0" applyFont="1" applyFill="1" applyBorder="1" applyProtection="1"/>
    <xf numFmtId="0" fontId="20" fillId="0" borderId="0" xfId="0" applyFont="1" applyBorder="1" applyAlignment="1" applyProtection="1">
      <alignment horizontal="center" vertical="center"/>
    </xf>
    <xf numFmtId="0" fontId="4" fillId="7" borderId="0" xfId="0" applyFont="1" applyFill="1" applyBorder="1" applyAlignment="1" applyProtection="1">
      <alignment vertical="center"/>
    </xf>
    <xf numFmtId="17" fontId="26" fillId="0" borderId="0" xfId="0" applyNumberFormat="1" applyFont="1" applyFill="1" applyBorder="1" applyAlignment="1" applyProtection="1">
      <alignment horizontal="center" vertical="center"/>
    </xf>
    <xf numFmtId="0" fontId="15" fillId="0" borderId="364" xfId="0" applyFont="1" applyFill="1" applyBorder="1" applyAlignment="1" applyProtection="1">
      <alignment horizontal="center" vertical="center"/>
    </xf>
    <xf numFmtId="0" fontId="16" fillId="0" borderId="368" xfId="0" applyFont="1" applyFill="1" applyBorder="1" applyAlignment="1" applyProtection="1">
      <alignment horizontal="center"/>
    </xf>
    <xf numFmtId="0" fontId="16" fillId="0" borderId="369" xfId="0" applyFont="1" applyFill="1" applyBorder="1" applyAlignment="1" applyProtection="1">
      <alignment horizontal="center"/>
    </xf>
    <xf numFmtId="0" fontId="15" fillId="0" borderId="369" xfId="0" applyFont="1" applyFill="1" applyBorder="1" applyAlignment="1" applyProtection="1">
      <alignment horizontal="center" vertical="center"/>
    </xf>
    <xf numFmtId="17" fontId="26" fillId="0" borderId="369" xfId="0" applyNumberFormat="1" applyFont="1" applyFill="1" applyBorder="1" applyAlignment="1" applyProtection="1">
      <alignment horizontal="center" vertical="center"/>
    </xf>
    <xf numFmtId="0" fontId="26" fillId="0" borderId="369" xfId="0" applyFont="1" applyFill="1" applyBorder="1" applyAlignment="1" applyProtection="1">
      <alignment horizontal="center" vertical="center"/>
    </xf>
    <xf numFmtId="0" fontId="26" fillId="0" borderId="370" xfId="0" applyFont="1" applyFill="1" applyBorder="1" applyAlignment="1" applyProtection="1">
      <alignment horizontal="center" vertical="center"/>
    </xf>
    <xf numFmtId="0" fontId="0" fillId="0" borderId="0" xfId="0" applyFill="1" applyBorder="1" applyAlignment="1" applyProtection="1">
      <alignment wrapText="1"/>
    </xf>
    <xf numFmtId="0" fontId="0" fillId="0" borderId="0" xfId="0" applyBorder="1" applyAlignment="1" applyProtection="1">
      <alignment wrapText="1"/>
    </xf>
    <xf numFmtId="0" fontId="26" fillId="0" borderId="0" xfId="0" applyFont="1" applyFill="1" applyBorder="1" applyAlignment="1" applyProtection="1">
      <alignment horizontal="left" vertical="center" wrapText="1" indent="3"/>
    </xf>
    <xf numFmtId="0" fontId="30" fillId="0" borderId="0" xfId="0" applyFont="1" applyFill="1" applyBorder="1" applyAlignment="1" applyProtection="1"/>
    <xf numFmtId="0" fontId="26" fillId="0" borderId="110" xfId="0" applyFont="1" applyFill="1" applyBorder="1" applyAlignment="1" applyProtection="1">
      <alignment horizontal="left" vertical="center" wrapText="1" indent="3"/>
    </xf>
    <xf numFmtId="0" fontId="30" fillId="0" borderId="76" xfId="0" applyFont="1" applyFill="1" applyBorder="1" applyAlignment="1" applyProtection="1"/>
    <xf numFmtId="17" fontId="26" fillId="0" borderId="377" xfId="0" applyNumberFormat="1" applyFont="1" applyFill="1" applyBorder="1" applyAlignment="1" applyProtection="1">
      <alignment horizontal="center" vertical="center"/>
    </xf>
    <xf numFmtId="168" fontId="30" fillId="8" borderId="0" xfId="5" applyNumberFormat="1" applyFont="1" applyFill="1" applyBorder="1" applyProtection="1">
      <protection locked="0"/>
    </xf>
    <xf numFmtId="168" fontId="30" fillId="0" borderId="0" xfId="5" applyNumberFormat="1" applyFont="1" applyFill="1" applyBorder="1" applyProtection="1">
      <protection locked="0"/>
    </xf>
    <xf numFmtId="168" fontId="30" fillId="0" borderId="92" xfId="5" applyNumberFormat="1" applyFont="1" applyFill="1" applyBorder="1" applyProtection="1">
      <protection locked="0"/>
    </xf>
    <xf numFmtId="0" fontId="0" fillId="0" borderId="0" xfId="0" pivotButton="1"/>
    <xf numFmtId="15" fontId="30" fillId="4" borderId="8" xfId="0" applyNumberFormat="1" applyFont="1" applyFill="1" applyBorder="1" applyAlignment="1" applyProtection="1">
      <alignment horizontal="center"/>
    </xf>
    <xf numFmtId="0" fontId="0" fillId="0" borderId="115" xfId="0" applyFill="1" applyBorder="1" applyProtection="1"/>
    <xf numFmtId="0" fontId="0" fillId="0" borderId="115" xfId="0" applyFont="1" applyFill="1" applyBorder="1" applyProtection="1"/>
    <xf numFmtId="0" fontId="40" fillId="0" borderId="154" xfId="0" applyFont="1" applyBorder="1" applyAlignment="1" applyProtection="1">
      <alignment horizontal="center" vertical="center" wrapText="1"/>
    </xf>
    <xf numFmtId="0" fontId="60" fillId="0" borderId="0" xfId="0" applyFont="1" applyBorder="1" applyAlignment="1" applyProtection="1">
      <alignment horizontal="left" vertical="center"/>
    </xf>
    <xf numFmtId="0" fontId="40" fillId="0" borderId="159" xfId="0" applyFont="1" applyBorder="1" applyAlignment="1" applyProtection="1">
      <alignment horizontal="center" vertical="center" wrapText="1"/>
    </xf>
    <xf numFmtId="0" fontId="63" fillId="20" borderId="0" xfId="0" applyFont="1" applyFill="1" applyBorder="1" applyAlignment="1" applyProtection="1">
      <alignment horizontal="left" vertical="center"/>
    </xf>
    <xf numFmtId="0" fontId="63" fillId="4" borderId="0" xfId="0" applyFont="1" applyFill="1" applyBorder="1" applyAlignment="1" applyProtection="1">
      <alignment horizontal="left" vertical="center"/>
    </xf>
    <xf numFmtId="0" fontId="0" fillId="0" borderId="8" xfId="0" applyFont="1" applyBorder="1" applyAlignment="1" applyProtection="1">
      <alignment horizontal="right"/>
    </xf>
    <xf numFmtId="0" fontId="0" fillId="0" borderId="0" xfId="0" applyFont="1" applyProtection="1"/>
    <xf numFmtId="0" fontId="0" fillId="0" borderId="41" xfId="0" applyFont="1" applyBorder="1" applyProtection="1"/>
    <xf numFmtId="0" fontId="10" fillId="0" borderId="113" xfId="0" applyFont="1" applyBorder="1" applyAlignment="1" applyProtection="1">
      <alignment vertical="center"/>
    </xf>
    <xf numFmtId="0" fontId="30" fillId="0" borderId="51" xfId="0" applyFont="1" applyFill="1" applyBorder="1" applyAlignment="1" applyProtection="1">
      <alignment horizontal="center" vertical="center"/>
    </xf>
    <xf numFmtId="0" fontId="27" fillId="0" borderId="51" xfId="0" applyFont="1" applyFill="1" applyBorder="1" applyAlignment="1" applyProtection="1">
      <alignment horizontal="left" vertical="center"/>
    </xf>
    <xf numFmtId="0" fontId="0" fillId="0" borderId="51" xfId="0" applyFont="1" applyFill="1" applyBorder="1" applyAlignment="1" applyProtection="1"/>
    <xf numFmtId="0" fontId="0" fillId="0" borderId="51" xfId="0" applyFont="1" applyFill="1" applyBorder="1" applyProtection="1"/>
    <xf numFmtId="0" fontId="0" fillId="0" borderId="0" xfId="0" applyFont="1" applyFill="1" applyProtection="1"/>
    <xf numFmtId="0" fontId="54" fillId="0" borderId="0" xfId="0" applyFont="1" applyFill="1" applyBorder="1" applyProtection="1"/>
    <xf numFmtId="0" fontId="40" fillId="0" borderId="0" xfId="0" applyFont="1" applyFill="1" applyBorder="1" applyAlignment="1" applyProtection="1">
      <alignment wrapText="1"/>
    </xf>
    <xf numFmtId="0" fontId="32" fillId="0" borderId="0" xfId="0" applyFont="1" applyFill="1" applyBorder="1" applyAlignment="1" applyProtection="1">
      <alignment horizontal="center" vertical="center"/>
    </xf>
    <xf numFmtId="0" fontId="40" fillId="0"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xf>
    <xf numFmtId="10" fontId="65" fillId="0" borderId="0" xfId="2" applyNumberFormat="1" applyFont="1" applyFill="1" applyBorder="1" applyAlignment="1" applyProtection="1">
      <alignment horizontal="right" vertical="center"/>
    </xf>
    <xf numFmtId="0" fontId="54" fillId="0" borderId="0" xfId="0" applyFont="1" applyFill="1" applyBorder="1" applyAlignment="1" applyProtection="1"/>
    <xf numFmtId="0" fontId="18" fillId="0" borderId="0" xfId="0" applyFont="1" applyFill="1" applyBorder="1" applyAlignment="1" applyProtection="1">
      <alignment horizontal="center" vertical="center"/>
    </xf>
    <xf numFmtId="0" fontId="54" fillId="0" borderId="97" xfId="0" applyFont="1" applyBorder="1" applyProtection="1"/>
    <xf numFmtId="0" fontId="54" fillId="0" borderId="8" xfId="0" applyFont="1" applyBorder="1" applyAlignment="1" applyProtection="1">
      <alignment horizontal="right"/>
    </xf>
    <xf numFmtId="0" fontId="40" fillId="0" borderId="113" xfId="0" applyFont="1" applyBorder="1" applyProtection="1"/>
    <xf numFmtId="0" fontId="40" fillId="0" borderId="8" xfId="0" applyFont="1" applyBorder="1" applyProtection="1"/>
    <xf numFmtId="0" fontId="40" fillId="0" borderId="8" xfId="0" applyFont="1" applyBorder="1" applyAlignment="1" applyProtection="1">
      <alignment horizontal="right"/>
    </xf>
    <xf numFmtId="0" fontId="40" fillId="0" borderId="113" xfId="0" applyFont="1" applyBorder="1" applyAlignment="1" applyProtection="1">
      <alignment horizontal="center" vertical="center"/>
    </xf>
    <xf numFmtId="0" fontId="40" fillId="0" borderId="8" xfId="0" applyFont="1" applyBorder="1" applyAlignment="1" applyProtection="1">
      <alignment horizontal="center" vertical="center"/>
    </xf>
    <xf numFmtId="0" fontId="40" fillId="0" borderId="0" xfId="0" applyFont="1" applyAlignment="1" applyProtection="1">
      <alignment horizontal="center" vertical="center"/>
    </xf>
    <xf numFmtId="0" fontId="18" fillId="4" borderId="0" xfId="0" applyFont="1" applyFill="1" applyBorder="1" applyAlignment="1" applyProtection="1">
      <alignment horizontal="center" vertical="center"/>
    </xf>
    <xf numFmtId="0" fontId="18" fillId="4" borderId="0" xfId="0" applyFont="1" applyFill="1" applyBorder="1" applyAlignment="1" applyProtection="1">
      <alignment horizontal="left" vertical="center"/>
    </xf>
    <xf numFmtId="0" fontId="18" fillId="4" borderId="0" xfId="0" applyFont="1" applyFill="1" applyBorder="1" applyAlignment="1" applyProtection="1">
      <alignment horizontal="center"/>
    </xf>
    <xf numFmtId="168" fontId="18" fillId="4" borderId="0" xfId="5" applyNumberFormat="1" applyFont="1" applyFill="1" applyBorder="1" applyProtection="1"/>
    <xf numFmtId="0" fontId="54" fillId="4" borderId="113" xfId="0" applyFont="1" applyFill="1" applyBorder="1" applyProtection="1"/>
    <xf numFmtId="0" fontId="54" fillId="4" borderId="8" xfId="0" applyFont="1" applyFill="1" applyBorder="1" applyProtection="1"/>
    <xf numFmtId="0" fontId="54" fillId="4" borderId="8" xfId="0" applyFont="1" applyFill="1" applyBorder="1" applyAlignment="1" applyProtection="1">
      <alignment horizontal="right"/>
    </xf>
    <xf numFmtId="0" fontId="54" fillId="4" borderId="0" xfId="0" applyFont="1" applyFill="1" applyProtection="1"/>
    <xf numFmtId="0" fontId="54" fillId="0" borderId="49" xfId="0" applyFont="1" applyBorder="1" applyProtection="1"/>
    <xf numFmtId="0" fontId="0" fillId="0" borderId="0" xfId="0" applyFont="1" applyAlignment="1" applyProtection="1">
      <alignment horizontal="right"/>
    </xf>
    <xf numFmtId="10" fontId="30" fillId="11" borderId="0" xfId="2" applyNumberFormat="1" applyFont="1" applyFill="1" applyBorder="1" applyProtection="1">
      <protection locked="0"/>
    </xf>
    <xf numFmtId="10" fontId="30" fillId="0" borderId="0" xfId="2" applyNumberFormat="1" applyFont="1" applyFill="1" applyBorder="1" applyProtection="1">
      <protection locked="0"/>
    </xf>
    <xf numFmtId="168" fontId="30" fillId="11" borderId="0" xfId="5" applyNumberFormat="1" applyFont="1" applyFill="1" applyBorder="1" applyProtection="1">
      <protection locked="0"/>
    </xf>
    <xf numFmtId="168" fontId="25" fillId="0" borderId="0" xfId="5" applyNumberFormat="1" applyFont="1" applyFill="1" applyBorder="1" applyAlignment="1" applyProtection="1"/>
    <xf numFmtId="168" fontId="30" fillId="0" borderId="359" xfId="5" applyNumberFormat="1" applyFont="1" applyFill="1" applyBorder="1" applyProtection="1">
      <protection locked="0"/>
    </xf>
    <xf numFmtId="168" fontId="30" fillId="31" borderId="0" xfId="5" applyNumberFormat="1" applyFont="1" applyFill="1" applyBorder="1" applyProtection="1">
      <protection locked="0"/>
    </xf>
    <xf numFmtId="168" fontId="30" fillId="31" borderId="359" xfId="5" applyNumberFormat="1" applyFont="1" applyFill="1" applyBorder="1" applyProtection="1">
      <protection locked="0"/>
    </xf>
    <xf numFmtId="10" fontId="30" fillId="31" borderId="0" xfId="2" applyNumberFormat="1" applyFont="1" applyFill="1" applyBorder="1" applyAlignment="1" applyProtection="1">
      <alignment horizontal="center" vertical="center"/>
      <protection locked="0"/>
    </xf>
    <xf numFmtId="168" fontId="30" fillId="0" borderId="361" xfId="5" applyNumberFormat="1" applyFont="1" applyFill="1" applyBorder="1" applyProtection="1">
      <protection locked="0"/>
    </xf>
    <xf numFmtId="168" fontId="30" fillId="31" borderId="359" xfId="5" applyNumberFormat="1" applyFont="1" applyFill="1" applyBorder="1" applyAlignment="1" applyProtection="1">
      <protection locked="0"/>
    </xf>
    <xf numFmtId="168" fontId="20" fillId="0" borderId="0" xfId="5" applyNumberFormat="1" applyFont="1" applyFill="1" applyBorder="1" applyAlignment="1" applyProtection="1">
      <alignment horizontal="center"/>
    </xf>
    <xf numFmtId="168" fontId="30" fillId="0" borderId="359" xfId="5" applyNumberFormat="1" applyFont="1" applyFill="1" applyBorder="1" applyAlignment="1" applyProtection="1">
      <protection locked="0"/>
    </xf>
    <xf numFmtId="168" fontId="20" fillId="31" borderId="0" xfId="5" applyNumberFormat="1" applyFont="1" applyFill="1" applyBorder="1" applyAlignment="1" applyProtection="1">
      <alignment horizontal="center"/>
    </xf>
    <xf numFmtId="168" fontId="20" fillId="0" borderId="0" xfId="5" applyNumberFormat="1" applyFont="1" applyFill="1" applyBorder="1" applyAlignment="1" applyProtection="1">
      <alignment horizontal="center"/>
      <protection locked="0"/>
    </xf>
    <xf numFmtId="168" fontId="30" fillId="31" borderId="361" xfId="5" applyNumberFormat="1" applyFont="1" applyFill="1" applyBorder="1" applyProtection="1">
      <protection locked="0"/>
    </xf>
    <xf numFmtId="168" fontId="30" fillId="31" borderId="362" xfId="5" applyNumberFormat="1" applyFont="1" applyFill="1" applyBorder="1" applyAlignment="1" applyProtection="1">
      <protection locked="0"/>
    </xf>
    <xf numFmtId="168" fontId="30" fillId="8" borderId="0" xfId="5" applyNumberFormat="1" applyFont="1" applyFill="1" applyBorder="1" applyAlignment="1" applyProtection="1">
      <alignment horizontal="left" indent="4"/>
      <protection locked="0"/>
    </xf>
    <xf numFmtId="168" fontId="30" fillId="0" borderId="0" xfId="5" applyNumberFormat="1" applyFont="1" applyFill="1" applyBorder="1" applyAlignment="1" applyProtection="1">
      <alignment horizontal="left" indent="4"/>
      <protection locked="0"/>
    </xf>
    <xf numFmtId="168" fontId="30" fillId="0" borderId="92" xfId="5" applyNumberFormat="1" applyFont="1" applyFill="1" applyBorder="1" applyAlignment="1" applyProtection="1">
      <alignment horizontal="left" indent="4"/>
      <protection locked="0"/>
    </xf>
    <xf numFmtId="168" fontId="30" fillId="8" borderId="89" xfId="5" applyNumberFormat="1" applyFont="1" applyFill="1" applyBorder="1" applyProtection="1">
      <protection locked="0"/>
    </xf>
    <xf numFmtId="168" fontId="30" fillId="8" borderId="92" xfId="5" applyNumberFormat="1" applyFont="1" applyFill="1" applyBorder="1" applyProtection="1">
      <protection locked="0"/>
    </xf>
    <xf numFmtId="10" fontId="30" fillId="8" borderId="0" xfId="2" applyNumberFormat="1" applyFont="1" applyFill="1" applyBorder="1" applyProtection="1">
      <protection locked="0"/>
    </xf>
    <xf numFmtId="10" fontId="30" fillId="8" borderId="87" xfId="2" applyNumberFormat="1" applyFont="1" applyFill="1" applyBorder="1" applyAlignment="1" applyProtection="1">
      <protection locked="0"/>
    </xf>
    <xf numFmtId="10" fontId="30" fillId="0" borderId="87" xfId="2" applyNumberFormat="1" applyFont="1" applyFill="1" applyBorder="1" applyAlignment="1" applyProtection="1">
      <protection locked="0"/>
    </xf>
    <xf numFmtId="10" fontId="30" fillId="8" borderId="92" xfId="2" applyNumberFormat="1" applyFont="1" applyFill="1" applyBorder="1" applyProtection="1">
      <protection locked="0"/>
    </xf>
    <xf numFmtId="10" fontId="30" fillId="8" borderId="93" xfId="2" applyNumberFormat="1" applyFont="1" applyFill="1" applyBorder="1" applyAlignment="1" applyProtection="1">
      <protection locked="0"/>
    </xf>
    <xf numFmtId="10" fontId="30" fillId="0" borderId="0" xfId="2" applyNumberFormat="1" applyFont="1" applyBorder="1" applyAlignment="1" applyProtection="1">
      <alignment horizontal="center" vertical="center"/>
      <protection locked="0"/>
    </xf>
    <xf numFmtId="10" fontId="30" fillId="0" borderId="87" xfId="2" applyNumberFormat="1" applyFont="1" applyBorder="1" applyAlignment="1" applyProtection="1">
      <alignment horizontal="center" vertical="center"/>
      <protection locked="0"/>
    </xf>
    <xf numFmtId="10" fontId="30" fillId="0" borderId="92" xfId="2" applyNumberFormat="1" applyFont="1" applyBorder="1" applyAlignment="1" applyProtection="1">
      <alignment horizontal="center" vertical="center"/>
      <protection locked="0"/>
    </xf>
    <xf numFmtId="10" fontId="30" fillId="0" borderId="93" xfId="2" applyNumberFormat="1" applyFont="1" applyBorder="1" applyAlignment="1" applyProtection="1">
      <alignment horizontal="center" vertical="center"/>
      <protection locked="0"/>
    </xf>
    <xf numFmtId="10" fontId="20" fillId="0" borderId="12" xfId="2" applyNumberFormat="1" applyFont="1" applyBorder="1" applyProtection="1"/>
    <xf numFmtId="10" fontId="27" fillId="0" borderId="51" xfId="2" applyNumberFormat="1" applyFont="1" applyFill="1" applyBorder="1" applyAlignment="1" applyProtection="1">
      <alignment horizontal="left" vertical="center"/>
    </xf>
    <xf numFmtId="10" fontId="54" fillId="0" borderId="11" xfId="2" applyNumberFormat="1" applyFont="1" applyBorder="1" applyProtection="1"/>
    <xf numFmtId="10" fontId="18" fillId="4" borderId="0" xfId="2" applyNumberFormat="1" applyFont="1" applyFill="1" applyBorder="1" applyAlignment="1" applyProtection="1">
      <alignment horizontal="center"/>
    </xf>
    <xf numFmtId="10" fontId="40" fillId="0" borderId="12" xfId="2" applyNumberFormat="1" applyFont="1" applyBorder="1" applyProtection="1"/>
    <xf numFmtId="10" fontId="54" fillId="0" borderId="12" xfId="2" applyNumberFormat="1" applyFont="1" applyBorder="1" applyProtection="1"/>
    <xf numFmtId="10" fontId="0" fillId="0" borderId="0" xfId="2" applyNumberFormat="1" applyFont="1" applyProtection="1"/>
    <xf numFmtId="170" fontId="10" fillId="0" borderId="155" xfId="5" applyNumberFormat="1" applyFont="1" applyBorder="1" applyAlignment="1" applyProtection="1">
      <alignment horizontal="right" vertical="center"/>
    </xf>
    <xf numFmtId="170" fontId="10" fillId="0" borderId="156" xfId="5" applyNumberFormat="1" applyFont="1" applyBorder="1" applyAlignment="1" applyProtection="1">
      <alignment horizontal="right" vertical="center"/>
    </xf>
    <xf numFmtId="170" fontId="10" fillId="0" borderId="0" xfId="5" applyNumberFormat="1" applyFont="1" applyFill="1" applyBorder="1" applyProtection="1"/>
    <xf numFmtId="168" fontId="62" fillId="0" borderId="0" xfId="5" applyNumberFormat="1" applyFont="1" applyFill="1" applyBorder="1" applyAlignment="1" applyProtection="1">
      <alignment horizontal="left" vertical="center"/>
    </xf>
    <xf numFmtId="168" fontId="10" fillId="0" borderId="0" xfId="5" applyNumberFormat="1" applyFont="1" applyFill="1" applyBorder="1" applyAlignment="1" applyProtection="1"/>
    <xf numFmtId="168" fontId="10" fillId="0" borderId="0" xfId="5" applyNumberFormat="1" applyFont="1" applyFill="1" applyBorder="1" applyProtection="1"/>
    <xf numFmtId="170" fontId="0" fillId="0" borderId="8" xfId="0" applyNumberFormat="1" applyFont="1" applyBorder="1" applyProtection="1"/>
    <xf numFmtId="170" fontId="0" fillId="0" borderId="51" xfId="0" applyNumberFormat="1" applyFont="1" applyFill="1" applyBorder="1" applyProtection="1"/>
    <xf numFmtId="170" fontId="54" fillId="0" borderId="0" xfId="0" applyNumberFormat="1" applyFont="1" applyFill="1" applyBorder="1" applyProtection="1"/>
    <xf numFmtId="170" fontId="54" fillId="0" borderId="160" xfId="0" applyNumberFormat="1" applyFont="1" applyFill="1" applyBorder="1" applyAlignment="1" applyProtection="1">
      <alignment horizontal="right" vertical="center"/>
    </xf>
    <xf numFmtId="170" fontId="54" fillId="0" borderId="161" xfId="0" applyNumberFormat="1" applyFont="1" applyFill="1" applyBorder="1" applyAlignment="1" applyProtection="1">
      <alignment horizontal="right" vertical="center"/>
    </xf>
    <xf numFmtId="170" fontId="40" fillId="0" borderId="161" xfId="0" applyNumberFormat="1" applyFont="1" applyBorder="1" applyAlignment="1" applyProtection="1">
      <alignment horizontal="right" vertical="center"/>
    </xf>
    <xf numFmtId="170" fontId="54" fillId="0" borderId="8" xfId="0" applyNumberFormat="1" applyFont="1" applyBorder="1" applyProtection="1"/>
    <xf numFmtId="170" fontId="54" fillId="0" borderId="11" xfId="0" applyNumberFormat="1" applyFont="1" applyBorder="1" applyProtection="1"/>
    <xf numFmtId="170" fontId="54" fillId="0" borderId="12" xfId="0" applyNumberFormat="1" applyFont="1" applyBorder="1" applyProtection="1"/>
    <xf numFmtId="170" fontId="40" fillId="0" borderId="160" xfId="0" applyNumberFormat="1" applyFont="1" applyBorder="1" applyProtection="1"/>
    <xf numFmtId="170" fontId="40" fillId="20" borderId="161" xfId="0" applyNumberFormat="1" applyFont="1" applyFill="1" applyBorder="1" applyProtection="1"/>
    <xf numFmtId="170" fontId="40" fillId="4" borderId="0" xfId="5" applyNumberFormat="1" applyFont="1" applyFill="1" applyBorder="1" applyProtection="1"/>
    <xf numFmtId="170" fontId="0" fillId="0" borderId="0" xfId="0" applyNumberFormat="1" applyFont="1" applyProtection="1"/>
    <xf numFmtId="168" fontId="20" fillId="11" borderId="57" xfId="5" applyNumberFormat="1" applyFont="1" applyFill="1" applyBorder="1" applyAlignment="1" applyProtection="1">
      <alignment horizontal="right" vertical="center"/>
    </xf>
    <xf numFmtId="168" fontId="20" fillId="11" borderId="101" xfId="5" applyNumberFormat="1" applyFont="1" applyFill="1" applyBorder="1" applyAlignment="1" applyProtection="1">
      <alignment horizontal="left" vertical="center"/>
    </xf>
    <xf numFmtId="0" fontId="35" fillId="0" borderId="256" xfId="0" applyFont="1" applyBorder="1" applyAlignment="1" applyProtection="1">
      <alignment horizontal="center" vertical="center" wrapText="1"/>
    </xf>
    <xf numFmtId="0" fontId="35" fillId="0" borderId="257" xfId="0" applyFont="1" applyBorder="1" applyAlignment="1" applyProtection="1">
      <alignment horizontal="center" vertical="center" wrapText="1"/>
    </xf>
    <xf numFmtId="0" fontId="30" fillId="10" borderId="0" xfId="0" applyFont="1" applyFill="1" applyBorder="1" applyAlignment="1" applyProtection="1">
      <alignment horizontal="right" vertical="center"/>
      <protection locked="0"/>
    </xf>
    <xf numFmtId="168" fontId="25" fillId="10" borderId="0" xfId="5" applyNumberFormat="1" applyFont="1" applyFill="1" applyBorder="1" applyAlignment="1" applyProtection="1">
      <alignment horizontal="right" vertical="center"/>
    </xf>
    <xf numFmtId="168" fontId="25" fillId="10" borderId="76" xfId="5" applyNumberFormat="1" applyFont="1" applyFill="1" applyBorder="1" applyAlignment="1" applyProtection="1">
      <alignment horizontal="right" vertical="center"/>
    </xf>
    <xf numFmtId="168" fontId="25" fillId="10" borderId="268" xfId="5" applyNumberFormat="1" applyFont="1" applyFill="1" applyBorder="1" applyAlignment="1" applyProtection="1">
      <alignment horizontal="right" vertical="center"/>
    </xf>
    <xf numFmtId="0" fontId="25" fillId="10" borderId="265" xfId="0" applyFont="1" applyFill="1" applyBorder="1" applyAlignment="1" applyProtection="1">
      <alignment horizontal="left" vertical="center"/>
    </xf>
    <xf numFmtId="0" fontId="25" fillId="10" borderId="272" xfId="0" applyFont="1" applyFill="1" applyBorder="1" applyAlignment="1" applyProtection="1">
      <alignment horizontal="left" vertical="center"/>
    </xf>
    <xf numFmtId="0" fontId="6" fillId="0" borderId="0" xfId="0" applyFont="1"/>
    <xf numFmtId="165" fontId="0" fillId="4" borderId="0" xfId="5" applyFont="1" applyFill="1" applyAlignment="1" applyProtection="1">
      <alignment vertical="center"/>
    </xf>
    <xf numFmtId="165" fontId="29" fillId="0" borderId="308" xfId="5" applyFont="1" applyBorder="1" applyAlignment="1" applyProtection="1">
      <alignment horizontal="center" vertical="center" wrapText="1"/>
    </xf>
    <xf numFmtId="165" fontId="16" fillId="8" borderId="89" xfId="5" applyFont="1" applyFill="1" applyBorder="1" applyAlignment="1" applyProtection="1">
      <alignment horizontal="left" vertical="center"/>
    </xf>
    <xf numFmtId="165" fontId="16" fillId="0" borderId="0" xfId="5" applyFont="1" applyBorder="1" applyAlignment="1" applyProtection="1">
      <alignment horizontal="left" vertical="center"/>
    </xf>
    <xf numFmtId="165" fontId="16" fillId="8" borderId="0" xfId="5" applyFont="1" applyFill="1" applyBorder="1" applyAlignment="1" applyProtection="1">
      <alignment horizontal="left" vertical="center"/>
    </xf>
    <xf numFmtId="165" fontId="16" fillId="23" borderId="0" xfId="5" applyFont="1" applyFill="1" applyBorder="1" applyAlignment="1" applyProtection="1">
      <alignment horizontal="left" vertical="center"/>
    </xf>
    <xf numFmtId="165" fontId="16" fillId="0" borderId="92" xfId="5" applyFont="1" applyBorder="1" applyAlignment="1" applyProtection="1">
      <alignment horizontal="left" vertical="center"/>
    </xf>
    <xf numFmtId="165" fontId="0" fillId="0" borderId="40" xfId="5" applyFont="1" applyBorder="1" applyAlignment="1" applyProtection="1">
      <alignment vertical="center"/>
    </xf>
    <xf numFmtId="165" fontId="0" fillId="0" borderId="43" xfId="5" applyFont="1" applyBorder="1" applyAlignment="1" applyProtection="1">
      <alignment vertical="center"/>
    </xf>
    <xf numFmtId="165" fontId="0" fillId="0" borderId="8" xfId="5" applyFont="1" applyBorder="1" applyAlignment="1" applyProtection="1">
      <alignment vertical="center"/>
    </xf>
    <xf numFmtId="165" fontId="0" fillId="0" borderId="51" xfId="5" applyFont="1" applyFill="1" applyBorder="1" applyAlignment="1" applyProtection="1">
      <alignment vertical="center"/>
    </xf>
    <xf numFmtId="165" fontId="29" fillId="0" borderId="309" xfId="5" applyFont="1" applyBorder="1" applyAlignment="1" applyProtection="1">
      <alignment horizontal="center" vertical="center" wrapText="1"/>
    </xf>
    <xf numFmtId="165" fontId="30" fillId="8" borderId="88" xfId="5" applyFont="1" applyFill="1" applyBorder="1" applyAlignment="1" applyProtection="1">
      <alignment horizontal="left" vertical="center"/>
      <protection locked="0"/>
    </xf>
    <xf numFmtId="165" fontId="16" fillId="0" borderId="0" xfId="5" applyFont="1" applyAlignment="1" applyProtection="1">
      <alignment horizontal="left" vertical="center"/>
    </xf>
    <xf numFmtId="165" fontId="30" fillId="0" borderId="86" xfId="5" applyFont="1" applyBorder="1" applyAlignment="1" applyProtection="1">
      <alignment horizontal="left" vertical="center"/>
      <protection locked="0"/>
    </xf>
    <xf numFmtId="165" fontId="16" fillId="8" borderId="0" xfId="5" applyFont="1" applyFill="1" applyAlignment="1" applyProtection="1">
      <alignment horizontal="left" vertical="center"/>
    </xf>
    <xf numFmtId="165" fontId="30" fillId="8" borderId="86" xfId="5" applyFont="1" applyFill="1" applyBorder="1" applyAlignment="1" applyProtection="1">
      <alignment horizontal="left" vertical="center"/>
      <protection locked="0"/>
    </xf>
    <xf numFmtId="165" fontId="16" fillId="23" borderId="0" xfId="5" applyFont="1" applyFill="1" applyAlignment="1" applyProtection="1">
      <alignment horizontal="left" vertical="center"/>
    </xf>
    <xf numFmtId="165" fontId="30" fillId="23" borderId="86" xfId="5" applyFont="1" applyFill="1" applyBorder="1" applyAlignment="1" applyProtection="1">
      <alignment horizontal="left" vertical="center"/>
      <protection locked="0"/>
    </xf>
    <xf numFmtId="165" fontId="30" fillId="0" borderId="91" xfId="5" applyFont="1" applyBorder="1" applyAlignment="1" applyProtection="1">
      <alignment horizontal="left" vertical="center"/>
      <protection locked="0"/>
    </xf>
    <xf numFmtId="165" fontId="0" fillId="0" borderId="12" xfId="5" applyFont="1" applyBorder="1" applyAlignment="1" applyProtection="1">
      <alignment vertical="center"/>
    </xf>
    <xf numFmtId="165" fontId="0" fillId="0" borderId="100" xfId="5" applyFont="1" applyFill="1" applyBorder="1" applyAlignment="1" applyProtection="1">
      <alignment vertical="center"/>
    </xf>
    <xf numFmtId="165" fontId="16" fillId="8" borderId="89" xfId="5" applyFont="1" applyFill="1" applyBorder="1" applyAlignment="1" applyProtection="1">
      <alignment horizontal="right" vertical="center"/>
    </xf>
    <xf numFmtId="165" fontId="16" fillId="0" borderId="0" xfId="5" applyFont="1" applyBorder="1" applyAlignment="1" applyProtection="1">
      <alignment horizontal="right" vertical="center"/>
    </xf>
    <xf numFmtId="165" fontId="16" fillId="8" borderId="0" xfId="5" applyFont="1" applyFill="1" applyBorder="1" applyAlignment="1" applyProtection="1">
      <alignment horizontal="right" vertical="center"/>
    </xf>
    <xf numFmtId="165" fontId="16" fillId="23" borderId="0" xfId="5" applyFont="1" applyFill="1" applyBorder="1" applyAlignment="1" applyProtection="1">
      <alignment horizontal="right" vertical="center"/>
    </xf>
    <xf numFmtId="165" fontId="16" fillId="0" borderId="92" xfId="5" applyFont="1" applyBorder="1" applyAlignment="1" applyProtection="1">
      <alignment horizontal="right" vertical="center"/>
    </xf>
    <xf numFmtId="165" fontId="0" fillId="0" borderId="37" xfId="5" applyFont="1" applyBorder="1" applyAlignment="1" applyProtection="1">
      <alignment vertical="center"/>
    </xf>
    <xf numFmtId="0" fontId="29" fillId="0" borderId="219" xfId="0" applyNumberFormat="1" applyFont="1" applyBorder="1" applyAlignment="1" applyProtection="1">
      <alignment horizontal="center" vertical="center"/>
    </xf>
    <xf numFmtId="0" fontId="15" fillId="4" borderId="0" xfId="0" applyNumberFormat="1" applyFont="1" applyFill="1" applyAlignment="1" applyProtection="1">
      <alignment vertical="center"/>
    </xf>
    <xf numFmtId="0" fontId="15" fillId="4" borderId="0" xfId="0" applyNumberFormat="1" applyFont="1" applyFill="1" applyBorder="1" applyAlignment="1" applyProtection="1">
      <alignment vertical="center"/>
    </xf>
    <xf numFmtId="0" fontId="29" fillId="0" borderId="219" xfId="5" applyNumberFormat="1" applyFont="1" applyBorder="1" applyAlignment="1" applyProtection="1">
      <alignment horizontal="center" vertical="center"/>
    </xf>
    <xf numFmtId="0" fontId="0" fillId="4" borderId="0" xfId="0" applyNumberFormat="1" applyFill="1" applyAlignment="1" applyProtection="1">
      <alignment vertical="center"/>
    </xf>
    <xf numFmtId="165" fontId="30" fillId="18" borderId="101" xfId="5" applyFont="1" applyFill="1" applyBorder="1" applyAlignment="1" applyProtection="1">
      <alignment horizontal="right" vertical="center"/>
      <protection locked="0"/>
    </xf>
    <xf numFmtId="165" fontId="30" fillId="0" borderId="104" xfId="5" applyFont="1" applyBorder="1" applyAlignment="1" applyProtection="1">
      <alignment horizontal="right" vertical="center"/>
      <protection locked="0"/>
    </xf>
    <xf numFmtId="165" fontId="30" fillId="18" borderId="104" xfId="5" applyFont="1" applyFill="1" applyBorder="1" applyAlignment="1" applyProtection="1">
      <alignment horizontal="right" vertical="center"/>
      <protection locked="0"/>
    </xf>
    <xf numFmtId="165" fontId="30" fillId="0" borderId="104" xfId="5" applyFont="1" applyFill="1" applyBorder="1" applyAlignment="1" applyProtection="1">
      <alignment horizontal="right" vertical="center"/>
      <protection locked="0"/>
    </xf>
    <xf numFmtId="165" fontId="30" fillId="0" borderId="244" xfId="5" applyFont="1" applyFill="1" applyBorder="1" applyAlignment="1" applyProtection="1">
      <alignment horizontal="right" vertical="center"/>
      <protection locked="0"/>
    </xf>
    <xf numFmtId="165" fontId="20" fillId="18" borderId="57" xfId="5" applyFont="1" applyFill="1" applyBorder="1" applyAlignment="1" applyProtection="1">
      <alignment horizontal="right" vertical="center"/>
    </xf>
    <xf numFmtId="165" fontId="20" fillId="0" borderId="0" xfId="5" applyFont="1" applyBorder="1" applyAlignment="1" applyProtection="1">
      <alignment horizontal="right" vertical="center"/>
    </xf>
    <xf numFmtId="165" fontId="20" fillId="18" borderId="0" xfId="5" applyFont="1" applyFill="1" applyBorder="1" applyAlignment="1" applyProtection="1">
      <alignment horizontal="right" vertical="center"/>
    </xf>
    <xf numFmtId="165" fontId="20" fillId="0" borderId="0" xfId="5" applyFont="1" applyFill="1" applyBorder="1" applyAlignment="1" applyProtection="1">
      <alignment horizontal="right" vertical="center"/>
    </xf>
    <xf numFmtId="165" fontId="20" fillId="0" borderId="242" xfId="5" applyFont="1" applyFill="1" applyBorder="1" applyAlignment="1" applyProtection="1">
      <alignment horizontal="right" vertical="center"/>
    </xf>
    <xf numFmtId="165" fontId="20" fillId="18" borderId="57" xfId="5" applyFont="1" applyFill="1" applyBorder="1" applyAlignment="1" applyProtection="1">
      <alignment horizontal="left" vertical="center"/>
    </xf>
    <xf numFmtId="165" fontId="20" fillId="0" borderId="0" xfId="5" applyFont="1" applyBorder="1" applyAlignment="1" applyProtection="1">
      <alignment horizontal="left" vertical="center"/>
    </xf>
    <xf numFmtId="165" fontId="20" fillId="18" borderId="0" xfId="5" applyFont="1" applyFill="1" applyBorder="1" applyAlignment="1" applyProtection="1">
      <alignment horizontal="left" vertical="center"/>
    </xf>
    <xf numFmtId="165" fontId="20" fillId="0" borderId="103" xfId="5" applyFont="1" applyBorder="1" applyAlignment="1" applyProtection="1">
      <alignment horizontal="left" vertical="center"/>
    </xf>
    <xf numFmtId="165" fontId="20" fillId="0" borderId="0" xfId="5" applyFont="1" applyFill="1" applyBorder="1" applyAlignment="1" applyProtection="1">
      <alignment horizontal="left" vertical="center"/>
    </xf>
    <xf numFmtId="165" fontId="20" fillId="0" borderId="242" xfId="5" applyFont="1" applyFill="1" applyBorder="1" applyAlignment="1" applyProtection="1">
      <alignment horizontal="left" vertical="center"/>
    </xf>
    <xf numFmtId="168" fontId="30" fillId="18" borderId="57" xfId="5" applyNumberFormat="1" applyFont="1" applyFill="1" applyBorder="1" applyAlignment="1" applyProtection="1">
      <alignment horizontal="right" vertical="center"/>
      <protection locked="0"/>
    </xf>
    <xf numFmtId="168" fontId="30" fillId="0" borderId="0" xfId="5" applyNumberFormat="1" applyFont="1" applyBorder="1" applyAlignment="1" applyProtection="1">
      <alignment horizontal="right" vertical="center"/>
      <protection locked="0"/>
    </xf>
    <xf numFmtId="168" fontId="30" fillId="18" borderId="0" xfId="5" applyNumberFormat="1" applyFont="1" applyFill="1" applyBorder="1" applyAlignment="1" applyProtection="1">
      <alignment horizontal="right" vertical="center"/>
      <protection locked="0"/>
    </xf>
    <xf numFmtId="168" fontId="30" fillId="0" borderId="0" xfId="5" applyNumberFormat="1" applyFont="1" applyFill="1" applyBorder="1" applyAlignment="1" applyProtection="1">
      <alignment horizontal="right" vertical="center"/>
      <protection locked="0"/>
    </xf>
    <xf numFmtId="168" fontId="30" fillId="0" borderId="242" xfId="5" applyNumberFormat="1" applyFont="1" applyFill="1" applyBorder="1" applyAlignment="1" applyProtection="1">
      <alignment horizontal="right" vertical="center"/>
      <protection locked="0"/>
    </xf>
    <xf numFmtId="165" fontId="30" fillId="11" borderId="101" xfId="5" applyFont="1" applyFill="1" applyBorder="1" applyAlignment="1" applyProtection="1">
      <alignment horizontal="right" vertical="center"/>
      <protection locked="0"/>
    </xf>
    <xf numFmtId="165" fontId="30" fillId="11" borderId="104" xfId="5" applyFont="1" applyFill="1" applyBorder="1" applyAlignment="1" applyProtection="1">
      <alignment horizontal="right" vertical="center"/>
      <protection locked="0"/>
    </xf>
    <xf numFmtId="165" fontId="20" fillId="11" borderId="57" xfId="5" applyFont="1" applyFill="1" applyBorder="1" applyAlignment="1" applyProtection="1">
      <alignment horizontal="right" vertical="center"/>
    </xf>
    <xf numFmtId="165" fontId="20" fillId="11" borderId="0" xfId="5" applyFont="1" applyFill="1" applyBorder="1" applyAlignment="1" applyProtection="1">
      <alignment horizontal="right" vertical="center"/>
    </xf>
    <xf numFmtId="165" fontId="20" fillId="11" borderId="57" xfId="5" applyFont="1" applyFill="1" applyBorder="1" applyAlignment="1" applyProtection="1">
      <alignment horizontal="left" vertical="center"/>
    </xf>
    <xf numFmtId="165" fontId="20" fillId="11" borderId="0" xfId="5" applyFont="1" applyFill="1" applyBorder="1" applyAlignment="1" applyProtection="1">
      <alignment horizontal="left" vertical="center"/>
    </xf>
    <xf numFmtId="168" fontId="30" fillId="11" borderId="57" xfId="5" applyNumberFormat="1" applyFont="1" applyFill="1" applyBorder="1" applyAlignment="1" applyProtection="1">
      <alignment horizontal="right" vertical="center"/>
      <protection locked="0"/>
    </xf>
    <xf numFmtId="168" fontId="30" fillId="11" borderId="0" xfId="5" applyNumberFormat="1" applyFont="1" applyFill="1" applyBorder="1" applyAlignment="1" applyProtection="1">
      <alignment horizontal="right" vertical="center"/>
      <protection locked="0"/>
    </xf>
    <xf numFmtId="165" fontId="30" fillId="29" borderId="64" xfId="5" applyFont="1" applyFill="1" applyBorder="1" applyAlignment="1" applyProtection="1">
      <alignment horizontal="right" vertical="center"/>
      <protection locked="0"/>
    </xf>
    <xf numFmtId="165" fontId="20" fillId="29" borderId="103" xfId="5" applyFont="1" applyFill="1" applyBorder="1" applyAlignment="1" applyProtection="1">
      <alignment horizontal="right" vertical="center"/>
    </xf>
    <xf numFmtId="165" fontId="16" fillId="29" borderId="103" xfId="5" applyFont="1" applyFill="1" applyBorder="1" applyAlignment="1" applyProtection="1">
      <alignment horizontal="left" vertical="center"/>
    </xf>
    <xf numFmtId="165" fontId="20" fillId="29" borderId="103" xfId="5" applyFont="1" applyFill="1" applyBorder="1" applyAlignment="1" applyProtection="1">
      <alignment horizontal="left" vertical="center"/>
    </xf>
    <xf numFmtId="165" fontId="20" fillId="29" borderId="64" xfId="5" applyFont="1" applyFill="1" applyBorder="1" applyAlignment="1" applyProtection="1">
      <alignment horizontal="left" vertical="center"/>
    </xf>
    <xf numFmtId="168" fontId="30" fillId="29" borderId="64" xfId="5" applyNumberFormat="1" applyFont="1" applyFill="1" applyBorder="1" applyAlignment="1" applyProtection="1">
      <alignment horizontal="right" vertical="center"/>
      <protection locked="0"/>
    </xf>
    <xf numFmtId="165" fontId="20" fillId="18" borderId="101" xfId="5" applyFont="1" applyFill="1" applyBorder="1" applyAlignment="1" applyProtection="1">
      <alignment horizontal="left" vertical="center"/>
    </xf>
    <xf numFmtId="165" fontId="20" fillId="0" borderId="104" xfId="5" applyFont="1" applyFill="1" applyBorder="1" applyAlignment="1" applyProtection="1">
      <alignment horizontal="left" vertical="center"/>
    </xf>
    <xf numFmtId="165" fontId="20" fillId="11" borderId="104" xfId="5" applyFont="1" applyFill="1" applyBorder="1" applyAlignment="1" applyProtection="1">
      <alignment horizontal="left" vertical="center"/>
    </xf>
    <xf numFmtId="165" fontId="20" fillId="0" borderId="244" xfId="5" applyFont="1" applyFill="1" applyBorder="1" applyAlignment="1" applyProtection="1">
      <alignment horizontal="left" vertical="center"/>
    </xf>
    <xf numFmtId="165" fontId="32" fillId="0" borderId="127" xfId="5" applyFont="1" applyBorder="1" applyAlignment="1" applyProtection="1">
      <alignment horizontal="center" vertical="center" wrapText="1"/>
    </xf>
    <xf numFmtId="165" fontId="20" fillId="18" borderId="57" xfId="5" applyFont="1" applyFill="1" applyBorder="1" applyAlignment="1" applyProtection="1">
      <alignment vertical="center"/>
    </xf>
    <xf numFmtId="165" fontId="20" fillId="0" borderId="0" xfId="5" applyFont="1" applyBorder="1" applyAlignment="1" applyProtection="1">
      <alignment vertical="center"/>
    </xf>
    <xf numFmtId="165" fontId="20" fillId="18" borderId="0" xfId="5" applyFont="1" applyFill="1" applyBorder="1" applyAlignment="1" applyProtection="1">
      <alignment vertical="center"/>
    </xf>
    <xf numFmtId="165" fontId="20" fillId="0" borderId="64" xfId="5" applyFont="1" applyBorder="1" applyAlignment="1" applyProtection="1">
      <alignment vertical="center"/>
    </xf>
    <xf numFmtId="165" fontId="20" fillId="18" borderId="234" xfId="5" applyFont="1" applyFill="1" applyBorder="1" applyAlignment="1" applyProtection="1">
      <alignment horizontal="right" vertical="center"/>
    </xf>
    <xf numFmtId="165" fontId="20" fillId="18" borderId="64" xfId="5" applyFont="1" applyFill="1" applyBorder="1" applyAlignment="1" applyProtection="1">
      <alignment horizontal="right" vertical="center"/>
    </xf>
    <xf numFmtId="165" fontId="20" fillId="18" borderId="234" xfId="5" applyFont="1" applyFill="1" applyBorder="1" applyAlignment="1" applyProtection="1">
      <alignment vertical="center"/>
    </xf>
    <xf numFmtId="165" fontId="20" fillId="18" borderId="234" xfId="5" applyFont="1" applyFill="1" applyBorder="1" applyAlignment="1" applyProtection="1">
      <alignment horizontal="center" vertical="center"/>
    </xf>
    <xf numFmtId="165" fontId="20" fillId="0" borderId="0" xfId="5" applyFont="1" applyBorder="1" applyAlignment="1" applyProtection="1">
      <alignment horizontal="center" vertical="center"/>
    </xf>
    <xf numFmtId="165" fontId="20" fillId="18" borderId="0" xfId="5" applyFont="1" applyFill="1" applyBorder="1" applyAlignment="1" applyProtection="1">
      <alignment horizontal="center" vertical="center"/>
    </xf>
    <xf numFmtId="165" fontId="30" fillId="4" borderId="0" xfId="5" applyFont="1" applyFill="1" applyAlignment="1" applyProtection="1">
      <alignment vertical="center"/>
    </xf>
    <xf numFmtId="165" fontId="0" fillId="4" borderId="8" xfId="5" applyFont="1" applyFill="1" applyBorder="1" applyAlignment="1" applyProtection="1">
      <alignment vertical="center"/>
    </xf>
    <xf numFmtId="165" fontId="0" fillId="4" borderId="11" xfId="5" applyFont="1" applyFill="1" applyBorder="1" applyAlignment="1" applyProtection="1">
      <alignment vertical="center"/>
    </xf>
    <xf numFmtId="165" fontId="0" fillId="4" borderId="36" xfId="5" applyFont="1" applyFill="1" applyBorder="1" applyAlignment="1" applyProtection="1">
      <alignment vertical="center"/>
    </xf>
    <xf numFmtId="165" fontId="0" fillId="0" borderId="11" xfId="5" applyFont="1" applyBorder="1" applyAlignment="1" applyProtection="1">
      <alignment vertical="center"/>
    </xf>
    <xf numFmtId="165" fontId="0" fillId="0" borderId="8" xfId="5" applyFont="1" applyFill="1" applyBorder="1" applyAlignment="1" applyProtection="1">
      <alignment vertical="center"/>
    </xf>
    <xf numFmtId="165" fontId="20" fillId="18" borderId="64" xfId="5" applyFont="1" applyFill="1" applyBorder="1" applyAlignment="1" applyProtection="1">
      <alignment vertical="center"/>
    </xf>
    <xf numFmtId="165" fontId="0" fillId="0" borderId="99" xfId="5" applyFont="1" applyBorder="1" applyAlignment="1" applyProtection="1">
      <alignment vertical="center"/>
    </xf>
    <xf numFmtId="165" fontId="0" fillId="0" borderId="113" xfId="5" applyFont="1" applyBorder="1" applyAlignment="1" applyProtection="1">
      <alignment vertical="center"/>
    </xf>
    <xf numFmtId="165" fontId="0" fillId="0" borderId="114" xfId="5" applyFont="1" applyBorder="1" applyAlignment="1" applyProtection="1">
      <alignment vertical="center"/>
    </xf>
    <xf numFmtId="165" fontId="30" fillId="0" borderId="99" xfId="5" applyFont="1" applyBorder="1" applyAlignment="1" applyProtection="1">
      <alignment vertical="center"/>
    </xf>
    <xf numFmtId="165" fontId="0" fillId="0" borderId="11" xfId="5" applyFont="1" applyFill="1" applyBorder="1" applyAlignment="1" applyProtection="1">
      <alignment vertical="center"/>
    </xf>
    <xf numFmtId="165" fontId="0" fillId="0" borderId="36" xfId="5" applyFont="1" applyFill="1" applyBorder="1" applyAlignment="1" applyProtection="1">
      <alignment vertical="center"/>
    </xf>
    <xf numFmtId="165" fontId="32" fillId="0" borderId="326" xfId="5" applyFont="1" applyBorder="1" applyAlignment="1" applyProtection="1">
      <alignment horizontal="center" vertical="center" wrapText="1"/>
    </xf>
    <xf numFmtId="165" fontId="30" fillId="18" borderId="101" xfId="5" applyFont="1" applyFill="1" applyBorder="1" applyAlignment="1" applyProtection="1">
      <alignment vertical="center"/>
      <protection locked="0"/>
    </xf>
    <xf numFmtId="165" fontId="30" fillId="0" borderId="104" xfId="5" applyFont="1" applyBorder="1" applyAlignment="1" applyProtection="1">
      <alignment vertical="center"/>
      <protection locked="0"/>
    </xf>
    <xf numFmtId="165" fontId="30" fillId="18" borderId="104" xfId="5" applyFont="1" applyFill="1" applyBorder="1" applyAlignment="1" applyProtection="1">
      <alignment vertical="center"/>
      <protection locked="0"/>
    </xf>
    <xf numFmtId="165" fontId="30" fillId="0" borderId="102" xfId="5" applyFont="1" applyBorder="1" applyAlignment="1" applyProtection="1">
      <alignment vertical="center"/>
      <protection locked="0"/>
    </xf>
    <xf numFmtId="165" fontId="30" fillId="18" borderId="236" xfId="5" applyFont="1" applyFill="1" applyBorder="1" applyAlignment="1" applyProtection="1">
      <alignment vertical="center"/>
      <protection locked="0"/>
    </xf>
    <xf numFmtId="165" fontId="30" fillId="18" borderId="102" xfId="5" applyFont="1" applyFill="1" applyBorder="1" applyAlignment="1" applyProtection="1">
      <alignment vertical="center"/>
      <protection locked="0"/>
    </xf>
    <xf numFmtId="165" fontId="16" fillId="0" borderId="12" xfId="5" applyFont="1" applyBorder="1" applyAlignment="1" applyProtection="1">
      <alignment vertical="center"/>
    </xf>
    <xf numFmtId="165" fontId="0" fillId="0" borderId="135" xfId="5" applyFont="1" applyBorder="1" applyAlignment="1" applyProtection="1">
      <alignment vertical="center"/>
    </xf>
    <xf numFmtId="165" fontId="17" fillId="18" borderId="236" xfId="5" applyFont="1" applyFill="1" applyBorder="1" applyAlignment="1" applyProtection="1">
      <alignment horizontal="center" vertical="center"/>
      <protection locked="0"/>
    </xf>
    <xf numFmtId="165" fontId="17" fillId="0" borderId="104" xfId="5" applyFont="1" applyBorder="1" applyAlignment="1" applyProtection="1">
      <alignment horizontal="center" vertical="center"/>
      <protection locked="0"/>
    </xf>
    <xf numFmtId="165" fontId="17" fillId="18" borderId="104" xfId="5" applyFont="1" applyFill="1" applyBorder="1" applyAlignment="1" applyProtection="1">
      <alignment horizontal="center" vertical="center"/>
      <protection locked="0"/>
    </xf>
    <xf numFmtId="165" fontId="30" fillId="0" borderId="12" xfId="5" applyFont="1" applyBorder="1" applyAlignment="1" applyProtection="1">
      <alignment vertical="center"/>
    </xf>
    <xf numFmtId="165" fontId="0" fillId="0" borderId="50" xfId="5" applyFont="1" applyBorder="1" applyAlignment="1" applyProtection="1">
      <alignment vertical="center"/>
    </xf>
    <xf numFmtId="168" fontId="0" fillId="0" borderId="8" xfId="5" applyNumberFormat="1" applyFont="1" applyBorder="1" applyAlignment="1" applyProtection="1">
      <alignment vertical="center"/>
    </xf>
    <xf numFmtId="168" fontId="0" fillId="0" borderId="11" xfId="5" applyNumberFormat="1" applyFont="1" applyFill="1" applyBorder="1" applyAlignment="1" applyProtection="1">
      <alignment vertical="center"/>
    </xf>
    <xf numFmtId="168" fontId="0" fillId="0" borderId="36" xfId="5" applyNumberFormat="1" applyFont="1" applyFill="1" applyBorder="1" applyAlignment="1" applyProtection="1">
      <alignment vertical="center"/>
    </xf>
    <xf numFmtId="168" fontId="32" fillId="0" borderId="127" xfId="5" applyNumberFormat="1" applyFont="1" applyBorder="1" applyAlignment="1" applyProtection="1">
      <alignment horizontal="center" vertical="center" wrapText="1"/>
    </xf>
    <xf numFmtId="168" fontId="30" fillId="18" borderId="57" xfId="5" applyNumberFormat="1" applyFont="1" applyFill="1" applyBorder="1" applyAlignment="1" applyProtection="1">
      <alignment vertical="center"/>
      <protection locked="0"/>
    </xf>
    <xf numFmtId="168" fontId="30" fillId="18" borderId="0" xfId="5" applyNumberFormat="1" applyFont="1" applyFill="1" applyBorder="1" applyAlignment="1" applyProtection="1">
      <alignment vertical="center"/>
      <protection locked="0"/>
    </xf>
    <xf numFmtId="168" fontId="30" fillId="0" borderId="64" xfId="5" applyNumberFormat="1" applyFont="1" applyBorder="1" applyAlignment="1" applyProtection="1">
      <alignment vertical="center"/>
      <protection locked="0"/>
    </xf>
    <xf numFmtId="168" fontId="0" fillId="0" borderId="11" xfId="5" applyNumberFormat="1" applyFont="1" applyBorder="1" applyAlignment="1" applyProtection="1">
      <alignment vertical="center"/>
    </xf>
    <xf numFmtId="168" fontId="30" fillId="18" borderId="234" xfId="5" applyNumberFormat="1" applyFont="1" applyFill="1" applyBorder="1" applyAlignment="1" applyProtection="1">
      <alignment vertical="center"/>
      <protection locked="0"/>
    </xf>
    <xf numFmtId="168" fontId="30" fillId="18" borderId="64" xfId="5" applyNumberFormat="1" applyFont="1" applyFill="1" applyBorder="1" applyAlignment="1" applyProtection="1">
      <alignment vertical="center"/>
      <protection locked="0"/>
    </xf>
    <xf numFmtId="168" fontId="0" fillId="0" borderId="12" xfId="5" applyNumberFormat="1" applyFont="1" applyBorder="1" applyAlignment="1" applyProtection="1">
      <alignment vertical="center"/>
    </xf>
    <xf numFmtId="168" fontId="0" fillId="0" borderId="135" xfId="5" applyNumberFormat="1" applyFont="1" applyBorder="1" applyAlignment="1" applyProtection="1">
      <alignment vertical="center"/>
    </xf>
    <xf numFmtId="168" fontId="0" fillId="0" borderId="43" xfId="5" applyNumberFormat="1" applyFont="1" applyBorder="1" applyAlignment="1" applyProtection="1">
      <alignment vertical="center"/>
    </xf>
    <xf numFmtId="168" fontId="17" fillId="18" borderId="234" xfId="5" applyNumberFormat="1" applyFont="1" applyFill="1" applyBorder="1" applyAlignment="1" applyProtection="1">
      <alignment horizontal="center" vertical="center"/>
      <protection locked="0"/>
    </xf>
    <xf numFmtId="168" fontId="17" fillId="0" borderId="0" xfId="5" applyNumberFormat="1" applyFont="1" applyBorder="1" applyAlignment="1" applyProtection="1">
      <alignment horizontal="center" vertical="center"/>
      <protection locked="0"/>
    </xf>
    <xf numFmtId="168" fontId="17" fillId="18" borderId="0" xfId="5" applyNumberFormat="1" applyFont="1" applyFill="1" applyBorder="1" applyAlignment="1" applyProtection="1">
      <alignment horizontal="center" vertical="center"/>
      <protection locked="0"/>
    </xf>
    <xf numFmtId="168" fontId="30" fillId="0" borderId="12" xfId="5" applyNumberFormat="1" applyFont="1" applyBorder="1" applyAlignment="1" applyProtection="1">
      <alignment vertical="center"/>
    </xf>
    <xf numFmtId="168" fontId="0" fillId="0" borderId="106" xfId="5" applyNumberFormat="1" applyFont="1" applyBorder="1" applyAlignment="1" applyProtection="1">
      <alignment vertical="center"/>
    </xf>
    <xf numFmtId="168" fontId="30" fillId="0" borderId="12" xfId="5" applyNumberFormat="1" applyFont="1" applyBorder="1" applyAlignment="1" applyProtection="1">
      <alignment horizontal="right" vertical="center"/>
    </xf>
    <xf numFmtId="168" fontId="32" fillId="0" borderId="326" xfId="5" applyNumberFormat="1" applyFont="1" applyBorder="1" applyAlignment="1" applyProtection="1">
      <alignment horizontal="center" vertical="center" wrapText="1"/>
    </xf>
    <xf numFmtId="165" fontId="0" fillId="0" borderId="0" xfId="5" applyFont="1" applyAlignment="1" applyProtection="1">
      <alignment vertical="center"/>
    </xf>
    <xf numFmtId="165" fontId="0" fillId="0" borderId="12" xfId="5" applyFont="1" applyFill="1" applyBorder="1" applyAlignment="1" applyProtection="1">
      <alignment vertical="center"/>
    </xf>
    <xf numFmtId="165" fontId="0" fillId="0" borderId="36" xfId="5" applyFont="1" applyBorder="1" applyAlignment="1" applyProtection="1">
      <alignment vertical="center"/>
    </xf>
    <xf numFmtId="165" fontId="0" fillId="0" borderId="105" xfId="5" applyFont="1" applyFill="1" applyBorder="1" applyAlignment="1" applyProtection="1">
      <alignment vertical="center"/>
    </xf>
    <xf numFmtId="165" fontId="0" fillId="4" borderId="97" xfId="5" applyFont="1" applyFill="1" applyBorder="1" applyAlignment="1" applyProtection="1">
      <alignment vertical="center"/>
    </xf>
    <xf numFmtId="165" fontId="0" fillId="4" borderId="113" xfId="5" applyFont="1" applyFill="1" applyBorder="1" applyAlignment="1" applyProtection="1">
      <alignment vertical="center"/>
    </xf>
    <xf numFmtId="165" fontId="0" fillId="4" borderId="50" xfId="5" applyFont="1" applyFill="1" applyBorder="1" applyAlignment="1" applyProtection="1">
      <alignment vertical="center"/>
    </xf>
    <xf numFmtId="168" fontId="0" fillId="0" borderId="8" xfId="5" applyNumberFormat="1" applyFont="1" applyFill="1" applyBorder="1" applyAlignment="1" applyProtection="1">
      <alignment vertical="center"/>
    </xf>
    <xf numFmtId="168" fontId="0" fillId="0" borderId="115" xfId="5" applyNumberFormat="1" applyFont="1" applyBorder="1" applyAlignment="1" applyProtection="1">
      <alignment vertical="center"/>
    </xf>
    <xf numFmtId="168" fontId="0" fillId="0" borderId="36" xfId="5" applyNumberFormat="1" applyFont="1" applyBorder="1" applyAlignment="1" applyProtection="1">
      <alignment vertical="center"/>
    </xf>
    <xf numFmtId="168" fontId="0" fillId="4" borderId="11" xfId="5" applyNumberFormat="1" applyFont="1" applyFill="1" applyBorder="1" applyAlignment="1" applyProtection="1">
      <alignment vertical="center"/>
    </xf>
    <xf numFmtId="168" fontId="0" fillId="4" borderId="8" xfId="5" applyNumberFormat="1" applyFont="1" applyFill="1" applyBorder="1" applyAlignment="1" applyProtection="1">
      <alignment vertical="center"/>
    </xf>
    <xf numFmtId="168" fontId="0" fillId="4" borderId="36" xfId="5" applyNumberFormat="1" applyFont="1" applyFill="1" applyBorder="1" applyAlignment="1" applyProtection="1">
      <alignment vertical="center"/>
    </xf>
    <xf numFmtId="168" fontId="0" fillId="0" borderId="12" xfId="5" applyNumberFormat="1" applyFont="1" applyFill="1" applyBorder="1" applyAlignment="1" applyProtection="1">
      <alignment vertical="center"/>
    </xf>
    <xf numFmtId="168" fontId="0" fillId="0" borderId="113" xfId="5" applyNumberFormat="1" applyFont="1" applyBorder="1" applyAlignment="1" applyProtection="1">
      <alignment vertical="center"/>
    </xf>
    <xf numFmtId="165" fontId="10" fillId="0" borderId="0" xfId="5" applyFont="1" applyBorder="1" applyAlignment="1" applyProtection="1">
      <alignment horizontal="left" vertical="center"/>
    </xf>
    <xf numFmtId="165" fontId="10" fillId="0" borderId="0" xfId="5" applyFont="1" applyBorder="1" applyProtection="1"/>
    <xf numFmtId="165" fontId="10" fillId="0" borderId="155" xfId="5" applyFont="1" applyBorder="1" applyProtection="1"/>
    <xf numFmtId="165" fontId="10" fillId="0" borderId="0" xfId="5" applyFont="1" applyBorder="1" applyAlignment="1" applyProtection="1">
      <alignment horizontal="center" vertical="center"/>
    </xf>
    <xf numFmtId="165" fontId="10" fillId="0" borderId="155" xfId="5" applyFont="1" applyBorder="1" applyAlignment="1" applyProtection="1">
      <alignment horizontal="left" vertical="center"/>
    </xf>
    <xf numFmtId="165" fontId="10" fillId="0" borderId="151" xfId="5" applyFont="1" applyBorder="1" applyAlignment="1" applyProtection="1">
      <alignment horizontal="left" vertical="center"/>
    </xf>
    <xf numFmtId="165" fontId="10" fillId="0" borderId="151" xfId="5" applyFont="1" applyBorder="1" applyAlignment="1" applyProtection="1"/>
    <xf numFmtId="165" fontId="10" fillId="0" borderId="151" xfId="5" applyFont="1" applyBorder="1" applyProtection="1"/>
    <xf numFmtId="165" fontId="54" fillId="0" borderId="157" xfId="5" applyFont="1" applyFill="1" applyBorder="1" applyProtection="1"/>
    <xf numFmtId="165" fontId="10" fillId="0" borderId="156" xfId="5" applyFont="1" applyBorder="1" applyProtection="1"/>
    <xf numFmtId="165" fontId="10" fillId="0" borderId="151" xfId="5" applyFont="1" applyBorder="1" applyAlignment="1" applyProtection="1">
      <alignment horizontal="center" vertical="center"/>
    </xf>
    <xf numFmtId="165" fontId="10" fillId="0" borderId="156" xfId="5" applyFont="1" applyBorder="1" applyAlignment="1" applyProtection="1">
      <alignment horizontal="left" vertical="center"/>
    </xf>
    <xf numFmtId="165" fontId="10" fillId="0" borderId="0" xfId="5" applyFont="1" applyFill="1" applyBorder="1" applyAlignment="1" applyProtection="1">
      <alignment horizontal="left" vertical="center"/>
    </xf>
    <xf numFmtId="165" fontId="10" fillId="0" borderId="148" xfId="5" applyFont="1" applyFill="1" applyBorder="1" applyAlignment="1" applyProtection="1">
      <alignment horizontal="left" vertical="center"/>
    </xf>
    <xf numFmtId="165" fontId="10" fillId="0" borderId="148" xfId="5" applyFont="1" applyFill="1" applyBorder="1" applyAlignment="1" applyProtection="1">
      <alignment horizontal="center" vertical="center"/>
    </xf>
    <xf numFmtId="165" fontId="10" fillId="0" borderId="0" xfId="5" applyFont="1" applyFill="1" applyBorder="1" applyAlignment="1" applyProtection="1">
      <alignment horizontal="left"/>
    </xf>
    <xf numFmtId="165" fontId="10" fillId="0" borderId="148" xfId="5" applyFont="1" applyFill="1" applyBorder="1" applyProtection="1"/>
    <xf numFmtId="165" fontId="10" fillId="0" borderId="0" xfId="5" applyFont="1" applyFill="1" applyBorder="1" applyProtection="1"/>
    <xf numFmtId="165" fontId="10" fillId="0" borderId="0" xfId="5" applyFont="1" applyFill="1" applyBorder="1" applyAlignment="1" applyProtection="1"/>
    <xf numFmtId="165" fontId="54" fillId="0" borderId="0" xfId="5" applyFont="1" applyFill="1" applyBorder="1" applyAlignment="1" applyProtection="1">
      <alignment horizontal="left" vertical="center"/>
    </xf>
    <xf numFmtId="165" fontId="54" fillId="0" borderId="148" xfId="5" applyFont="1" applyFill="1" applyBorder="1" applyProtection="1"/>
    <xf numFmtId="165" fontId="54" fillId="0" borderId="148" xfId="5" applyFont="1" applyFill="1" applyBorder="1" applyAlignment="1" applyProtection="1">
      <alignment horizontal="center" vertical="center"/>
    </xf>
    <xf numFmtId="165" fontId="54" fillId="0" borderId="148" xfId="5" applyFont="1" applyFill="1" applyBorder="1" applyAlignment="1" applyProtection="1">
      <alignment horizontal="left" vertical="center"/>
    </xf>
    <xf numFmtId="165" fontId="54" fillId="0" borderId="151" xfId="5" applyFont="1" applyFill="1" applyBorder="1" applyAlignment="1" applyProtection="1">
      <alignment horizontal="left" vertical="center"/>
    </xf>
    <xf numFmtId="165" fontId="54" fillId="0" borderId="151" xfId="5" applyFont="1" applyFill="1" applyBorder="1" applyAlignment="1" applyProtection="1"/>
    <xf numFmtId="165" fontId="54" fillId="0" borderId="151" xfId="5" applyFont="1" applyFill="1" applyBorder="1" applyProtection="1"/>
    <xf numFmtId="165" fontId="54" fillId="0" borderId="157" xfId="5" applyFont="1" applyFill="1" applyBorder="1" applyAlignment="1" applyProtection="1">
      <alignment horizontal="center" vertical="center"/>
    </xf>
    <xf numFmtId="165" fontId="54" fillId="0" borderId="157" xfId="5" applyFont="1" applyFill="1" applyBorder="1" applyAlignment="1" applyProtection="1">
      <alignment horizontal="left" vertical="center"/>
    </xf>
    <xf numFmtId="165" fontId="10" fillId="0" borderId="0" xfId="5" applyFont="1" applyFill="1" applyBorder="1" applyAlignment="1" applyProtection="1">
      <alignment horizontal="center" vertical="center"/>
    </xf>
    <xf numFmtId="165" fontId="10" fillId="0" borderId="0" xfId="5" applyFont="1" applyFill="1" applyBorder="1" applyAlignment="1" applyProtection="1">
      <alignment horizontal="center"/>
    </xf>
    <xf numFmtId="165" fontId="40" fillId="0" borderId="151" xfId="5" applyFont="1" applyBorder="1" applyAlignment="1" applyProtection="1">
      <alignment horizontal="left" vertical="center"/>
    </xf>
    <xf numFmtId="165" fontId="10" fillId="0" borderId="160" xfId="5" applyFont="1" applyFill="1" applyBorder="1" applyAlignment="1" applyProtection="1">
      <alignment horizontal="left" vertical="center"/>
    </xf>
    <xf numFmtId="165" fontId="54" fillId="0" borderId="160" xfId="5" applyFont="1" applyFill="1" applyBorder="1" applyAlignment="1" applyProtection="1">
      <alignment horizontal="left" vertical="center"/>
    </xf>
    <xf numFmtId="165" fontId="54" fillId="0" borderId="161" xfId="5" applyFont="1" applyFill="1" applyBorder="1" applyAlignment="1" applyProtection="1">
      <alignment horizontal="left" vertical="center"/>
    </xf>
    <xf numFmtId="165" fontId="18" fillId="0" borderId="155" xfId="5" applyFont="1" applyBorder="1" applyProtection="1"/>
    <xf numFmtId="165" fontId="18" fillId="0" borderId="0" xfId="5" applyFont="1" applyBorder="1" applyProtection="1"/>
    <xf numFmtId="165" fontId="40" fillId="0" borderId="0" xfId="5" applyFont="1" applyBorder="1" applyProtection="1"/>
    <xf numFmtId="165" fontId="40" fillId="0" borderId="155" xfId="5" applyFont="1" applyBorder="1" applyProtection="1"/>
    <xf numFmtId="165" fontId="18" fillId="20" borderId="156" xfId="5" applyFont="1" applyFill="1" applyBorder="1" applyProtection="1"/>
    <xf numFmtId="165" fontId="18" fillId="20" borderId="151" xfId="5" applyFont="1" applyFill="1" applyBorder="1" applyProtection="1"/>
    <xf numFmtId="165" fontId="40" fillId="20" borderId="151" xfId="5" applyFont="1" applyFill="1" applyBorder="1" applyProtection="1"/>
    <xf numFmtId="165" fontId="40" fillId="20" borderId="156" xfId="5" applyFont="1" applyFill="1" applyBorder="1" applyProtection="1"/>
    <xf numFmtId="0" fontId="32" fillId="0" borderId="236" xfId="0" applyFont="1" applyBorder="1" applyAlignment="1" applyProtection="1">
      <alignment horizontal="center" vertical="center"/>
    </xf>
    <xf numFmtId="0" fontId="30" fillId="18" borderId="331" xfId="0" applyFont="1" applyFill="1" applyBorder="1" applyAlignment="1" applyProtection="1">
      <alignment horizontal="left" vertical="center"/>
      <protection locked="0"/>
    </xf>
    <xf numFmtId="0" fontId="30" fillId="0" borderId="331" xfId="0" applyFont="1" applyBorder="1" applyAlignment="1" applyProtection="1">
      <alignment horizontal="left" vertical="center"/>
      <protection locked="0"/>
    </xf>
    <xf numFmtId="0" fontId="30" fillId="0" borderId="328" xfId="0" applyFont="1" applyBorder="1" applyAlignment="1" applyProtection="1">
      <alignment horizontal="left" vertical="center"/>
      <protection locked="0"/>
    </xf>
    <xf numFmtId="0" fontId="30" fillId="18" borderId="331" xfId="0" applyNumberFormat="1" applyFont="1" applyFill="1" applyBorder="1" applyAlignment="1" applyProtection="1">
      <alignment horizontal="left" vertical="center"/>
      <protection locked="0"/>
    </xf>
    <xf numFmtId="0" fontId="30" fillId="0" borderId="331" xfId="0" applyNumberFormat="1" applyFont="1" applyBorder="1" applyAlignment="1" applyProtection="1">
      <alignment horizontal="left" vertical="center"/>
      <protection locked="0"/>
    </xf>
    <xf numFmtId="0" fontId="30" fillId="18" borderId="328" xfId="0" applyFont="1" applyFill="1" applyBorder="1" applyAlignment="1" applyProtection="1">
      <alignment horizontal="left" vertical="center"/>
      <protection locked="0"/>
    </xf>
    <xf numFmtId="0" fontId="30" fillId="18" borderId="327" xfId="0" applyFont="1" applyFill="1" applyBorder="1" applyAlignment="1" applyProtection="1">
      <alignment horizontal="left" vertical="center"/>
      <protection locked="0"/>
    </xf>
    <xf numFmtId="0" fontId="30" fillId="4" borderId="0" xfId="0" applyFont="1" applyFill="1" applyAlignment="1" applyProtection="1">
      <alignment horizontal="left" vertical="center"/>
    </xf>
    <xf numFmtId="0" fontId="30" fillId="0" borderId="268" xfId="0" applyNumberFormat="1" applyFont="1" applyFill="1" applyBorder="1" applyAlignment="1" applyProtection="1">
      <alignment horizontal="left" vertical="center"/>
      <protection locked="0"/>
    </xf>
    <xf numFmtId="0" fontId="30" fillId="10" borderId="260" xfId="0" applyFont="1" applyFill="1" applyBorder="1" applyAlignment="1" applyProtection="1">
      <alignment horizontal="left" vertical="center"/>
      <protection locked="0"/>
    </xf>
    <xf numFmtId="0" fontId="30" fillId="10" borderId="268" xfId="0" applyFont="1" applyFill="1" applyBorder="1" applyAlignment="1" applyProtection="1">
      <alignment horizontal="left" vertical="center"/>
      <protection locked="0"/>
    </xf>
    <xf numFmtId="0" fontId="30" fillId="0" borderId="268" xfId="0" applyFont="1" applyFill="1" applyBorder="1" applyAlignment="1" applyProtection="1">
      <alignment horizontal="left" vertical="center"/>
      <protection locked="0"/>
    </xf>
    <xf numFmtId="0" fontId="30" fillId="0" borderId="266" xfId="0" applyFont="1" applyFill="1" applyBorder="1" applyAlignment="1" applyProtection="1">
      <alignment horizontal="left" vertical="center"/>
      <protection locked="0"/>
    </xf>
    <xf numFmtId="0" fontId="10" fillId="34" borderId="0" xfId="0" applyFont="1" applyFill="1" applyBorder="1" applyAlignment="1">
      <alignment horizontal="left"/>
    </xf>
    <xf numFmtId="0" fontId="15" fillId="0" borderId="92" xfId="0" applyFont="1" applyFill="1" applyBorder="1" applyAlignment="1" applyProtection="1">
      <alignment horizontal="center" vertical="center"/>
    </xf>
    <xf numFmtId="0" fontId="40" fillId="0" borderId="144" xfId="0" applyFont="1" applyBorder="1" applyAlignment="1" applyProtection="1">
      <alignment horizontal="center" vertical="center" wrapText="1"/>
    </xf>
    <xf numFmtId="0" fontId="40" fillId="0" borderId="146" xfId="0" applyFont="1" applyBorder="1" applyAlignment="1" applyProtection="1">
      <alignment horizontal="center" vertical="center" wrapText="1"/>
    </xf>
    <xf numFmtId="0" fontId="30" fillId="11" borderId="377" xfId="0" applyFont="1" applyFill="1" applyBorder="1" applyAlignment="1" applyProtection="1">
      <alignment horizontal="center" vertical="center"/>
    </xf>
    <xf numFmtId="0" fontId="30" fillId="0" borderId="377" xfId="0" applyFont="1" applyFill="1" applyBorder="1" applyAlignment="1" applyProtection="1">
      <alignment horizontal="center" vertical="center"/>
    </xf>
    <xf numFmtId="0" fontId="30" fillId="11" borderId="379" xfId="0" applyFont="1" applyFill="1" applyBorder="1" applyAlignment="1" applyProtection="1">
      <alignment horizontal="center" vertical="center"/>
    </xf>
    <xf numFmtId="165" fontId="10" fillId="0" borderId="155" xfId="5" applyFont="1" applyFill="1" applyBorder="1" applyAlignment="1" applyProtection="1">
      <alignment horizontal="left" vertical="center"/>
    </xf>
    <xf numFmtId="165" fontId="10" fillId="0" borderId="155" xfId="5" applyFont="1" applyFill="1" applyBorder="1" applyAlignment="1" applyProtection="1">
      <alignment horizontal="center" vertical="center"/>
    </xf>
    <xf numFmtId="165" fontId="10" fillId="0" borderId="156" xfId="5" applyFont="1" applyFill="1" applyBorder="1" applyAlignment="1" applyProtection="1">
      <alignment horizontal="left" vertical="center"/>
    </xf>
    <xf numFmtId="165" fontId="10" fillId="0" borderId="151" xfId="5" applyFont="1" applyFill="1" applyBorder="1" applyAlignment="1" applyProtection="1">
      <alignment horizontal="left" vertical="center"/>
    </xf>
    <xf numFmtId="165" fontId="10" fillId="0" borderId="157" xfId="5" applyFont="1" applyFill="1" applyBorder="1" applyProtection="1"/>
    <xf numFmtId="165" fontId="10" fillId="0" borderId="157" xfId="5" applyFont="1" applyFill="1" applyBorder="1" applyAlignment="1" applyProtection="1">
      <alignment horizontal="center" vertical="center"/>
    </xf>
    <xf numFmtId="165" fontId="10" fillId="0" borderId="157" xfId="5" applyFont="1" applyFill="1" applyBorder="1" applyAlignment="1" applyProtection="1">
      <alignment horizontal="left" vertical="center"/>
    </xf>
    <xf numFmtId="165" fontId="10" fillId="0" borderId="161" xfId="5" applyFont="1" applyFill="1" applyBorder="1" applyAlignment="1" applyProtection="1">
      <alignment horizontal="left" vertical="center"/>
    </xf>
    <xf numFmtId="0" fontId="35" fillId="0" borderId="319" xfId="0" applyFont="1" applyFill="1" applyBorder="1" applyAlignment="1" applyProtection="1">
      <alignment vertical="center" wrapText="1"/>
    </xf>
    <xf numFmtId="0" fontId="35" fillId="0" borderId="312" xfId="0" applyFont="1" applyFill="1" applyBorder="1" applyAlignment="1" applyProtection="1">
      <alignment vertical="center" wrapText="1"/>
    </xf>
    <xf numFmtId="0" fontId="35" fillId="0" borderId="321" xfId="0" applyFont="1" applyFill="1" applyBorder="1" applyAlignment="1" applyProtection="1">
      <alignment vertical="center" wrapText="1"/>
    </xf>
    <xf numFmtId="0" fontId="35" fillId="0" borderId="322" xfId="0" applyFont="1" applyFill="1" applyBorder="1" applyAlignment="1" applyProtection="1">
      <alignment vertical="center" wrapText="1"/>
    </xf>
    <xf numFmtId="168" fontId="58" fillId="31" borderId="0" xfId="5" applyNumberFormat="1" applyFont="1" applyFill="1" applyBorder="1" applyAlignment="1" applyProtection="1">
      <alignment horizontal="center" vertical="center"/>
    </xf>
    <xf numFmtId="10" fontId="58" fillId="0" borderId="0" xfId="2" applyNumberFormat="1" applyFont="1" applyFill="1" applyBorder="1" applyAlignment="1" applyProtection="1">
      <alignment horizontal="center" vertical="center"/>
    </xf>
    <xf numFmtId="168" fontId="58" fillId="0" borderId="0" xfId="5" applyNumberFormat="1" applyFont="1" applyFill="1" applyBorder="1" applyProtection="1"/>
    <xf numFmtId="168" fontId="58" fillId="31" borderId="0" xfId="5" applyNumberFormat="1" applyFont="1" applyFill="1" applyBorder="1" applyProtection="1"/>
    <xf numFmtId="10" fontId="58" fillId="31" borderId="0" xfId="2" applyNumberFormat="1" applyFont="1" applyFill="1" applyBorder="1" applyAlignment="1" applyProtection="1">
      <alignment horizontal="center" vertical="center"/>
    </xf>
    <xf numFmtId="165" fontId="67" fillId="0" borderId="0" xfId="5" applyFont="1" applyBorder="1" applyAlignment="1" applyProtection="1">
      <alignment horizontal="center" vertical="center"/>
      <protection locked="0"/>
    </xf>
    <xf numFmtId="165" fontId="17" fillId="0" borderId="155" xfId="5" applyFont="1" applyBorder="1" applyProtection="1"/>
    <xf numFmtId="165" fontId="17" fillId="0" borderId="0" xfId="5" applyFont="1" applyBorder="1" applyProtection="1"/>
    <xf numFmtId="165" fontId="68" fillId="0" borderId="0" xfId="5" applyFont="1" applyBorder="1" applyProtection="1"/>
    <xf numFmtId="165" fontId="68" fillId="0" borderId="155" xfId="5" applyFont="1" applyBorder="1" applyProtection="1"/>
    <xf numFmtId="0" fontId="0" fillId="0" borderId="113" xfId="0" applyFont="1" applyBorder="1" applyProtection="1">
      <protection locked="0"/>
    </xf>
    <xf numFmtId="0" fontId="0" fillId="0" borderId="38" xfId="0" applyFont="1" applyBorder="1" applyProtection="1">
      <protection locked="0"/>
    </xf>
    <xf numFmtId="165" fontId="0" fillId="0" borderId="0" xfId="5" applyFont="1" applyBorder="1" applyAlignment="1" applyProtection="1">
      <alignment vertical="center"/>
    </xf>
    <xf numFmtId="168" fontId="58" fillId="8" borderId="0" xfId="5" applyNumberFormat="1" applyFont="1" applyFill="1" applyBorder="1" applyAlignment="1" applyProtection="1">
      <alignment horizontal="left"/>
    </xf>
    <xf numFmtId="168" fontId="58" fillId="0" borderId="0" xfId="5" applyNumberFormat="1" applyFont="1" applyFill="1" applyBorder="1" applyAlignment="1" applyProtection="1">
      <alignment horizontal="left" indent="2"/>
    </xf>
    <xf numFmtId="0" fontId="54" fillId="0" borderId="0" xfId="0" applyFont="1" applyFill="1" applyBorder="1" applyAlignment="1" applyProtection="1">
      <alignment vertical="center"/>
    </xf>
    <xf numFmtId="165" fontId="10" fillId="0" borderId="154" xfId="5" applyFont="1" applyFill="1" applyBorder="1" applyAlignment="1" applyProtection="1">
      <alignment horizontal="left" vertical="center"/>
    </xf>
    <xf numFmtId="165" fontId="10" fillId="0" borderId="144" xfId="5" applyFont="1" applyFill="1" applyBorder="1" applyAlignment="1" applyProtection="1"/>
    <xf numFmtId="165" fontId="10" fillId="0" borderId="144" xfId="5" applyFont="1" applyFill="1" applyBorder="1" applyProtection="1"/>
    <xf numFmtId="165" fontId="10" fillId="0" borderId="146" xfId="5" applyFont="1" applyFill="1" applyBorder="1" applyProtection="1"/>
    <xf numFmtId="165" fontId="10" fillId="0" borderId="146" xfId="5" applyFont="1" applyFill="1" applyBorder="1" applyAlignment="1" applyProtection="1">
      <alignment horizontal="center" vertical="center"/>
    </xf>
    <xf numFmtId="165" fontId="10" fillId="0" borderId="144" xfId="5" applyFont="1" applyFill="1" applyBorder="1" applyAlignment="1" applyProtection="1">
      <alignment horizontal="left" vertical="center"/>
    </xf>
    <xf numFmtId="165" fontId="10" fillId="0" borderId="146" xfId="5" applyFont="1" applyFill="1" applyBorder="1" applyAlignment="1" applyProtection="1">
      <alignment horizontal="left" vertical="center"/>
    </xf>
    <xf numFmtId="165" fontId="10" fillId="0" borderId="154" xfId="5" applyFont="1" applyFill="1" applyBorder="1" applyAlignment="1" applyProtection="1">
      <alignment vertical="center"/>
    </xf>
    <xf numFmtId="165" fontId="10" fillId="0" borderId="144" xfId="5" applyFont="1" applyFill="1" applyBorder="1" applyAlignment="1" applyProtection="1">
      <alignment vertical="center"/>
    </xf>
    <xf numFmtId="165" fontId="10" fillId="0" borderId="144" xfId="5" applyFont="1" applyFill="1" applyBorder="1" applyAlignment="1" applyProtection="1">
      <alignment horizontal="center" vertical="center"/>
    </xf>
    <xf numFmtId="165" fontId="10" fillId="0" borderId="0" xfId="5" applyFont="1" applyFill="1" applyBorder="1" applyAlignment="1" applyProtection="1">
      <alignment vertical="center"/>
    </xf>
    <xf numFmtId="165" fontId="10" fillId="0" borderId="155" xfId="5" applyFont="1" applyFill="1" applyBorder="1" applyAlignment="1" applyProtection="1">
      <alignment vertical="center"/>
    </xf>
    <xf numFmtId="165" fontId="10" fillId="0" borderId="151" xfId="5" applyFont="1" applyFill="1" applyBorder="1" applyAlignment="1" applyProtection="1">
      <alignment vertical="center"/>
    </xf>
    <xf numFmtId="165" fontId="10" fillId="0" borderId="156" xfId="5" applyFont="1" applyFill="1" applyBorder="1" applyAlignment="1" applyProtection="1">
      <alignment vertical="center"/>
    </xf>
    <xf numFmtId="165" fontId="10" fillId="0" borderId="151" xfId="5" applyFont="1" applyFill="1" applyBorder="1" applyAlignment="1" applyProtection="1">
      <alignment horizontal="center" vertical="center"/>
    </xf>
    <xf numFmtId="165" fontId="10" fillId="0" borderId="159" xfId="5" applyFont="1" applyFill="1" applyBorder="1" applyAlignment="1" applyProtection="1">
      <alignment horizontal="left" vertical="center"/>
    </xf>
    <xf numFmtId="165" fontId="18" fillId="20" borderId="392" xfId="5" applyFont="1" applyFill="1" applyBorder="1" applyProtection="1"/>
    <xf numFmtId="165" fontId="18" fillId="20" borderId="177" xfId="5" applyFont="1" applyFill="1" applyBorder="1" applyProtection="1"/>
    <xf numFmtId="165" fontId="40" fillId="20" borderId="177" xfId="5" applyFont="1" applyFill="1" applyBorder="1" applyProtection="1"/>
    <xf numFmtId="10" fontId="65" fillId="0" borderId="394" xfId="2" applyNumberFormat="1" applyFont="1" applyFill="1" applyBorder="1" applyAlignment="1" applyProtection="1">
      <alignment vertical="center"/>
      <protection locked="0"/>
    </xf>
    <xf numFmtId="10" fontId="65" fillId="0" borderId="323" xfId="2" applyNumberFormat="1" applyFont="1" applyFill="1" applyBorder="1" applyAlignment="1" applyProtection="1">
      <alignment vertical="center"/>
      <protection locked="0"/>
    </xf>
    <xf numFmtId="165" fontId="10" fillId="0" borderId="154" xfId="5" applyFont="1" applyFill="1" applyBorder="1" applyProtection="1"/>
    <xf numFmtId="165" fontId="10" fillId="0" borderId="155" xfId="5" applyFont="1" applyFill="1" applyBorder="1" applyProtection="1"/>
    <xf numFmtId="165" fontId="10" fillId="0" borderId="156" xfId="5" applyFont="1" applyFill="1" applyBorder="1" applyProtection="1"/>
    <xf numFmtId="165" fontId="10" fillId="0" borderId="151" xfId="5" applyFont="1" applyFill="1" applyBorder="1" applyProtection="1"/>
    <xf numFmtId="165" fontId="10" fillId="0" borderId="392" xfId="5" applyFont="1" applyFill="1" applyBorder="1" applyProtection="1"/>
    <xf numFmtId="165" fontId="10" fillId="0" borderId="177" xfId="5" applyFont="1" applyFill="1" applyBorder="1" applyProtection="1"/>
    <xf numFmtId="0" fontId="0" fillId="0" borderId="0" xfId="0" applyFont="1" applyFill="1" applyBorder="1" applyAlignment="1">
      <alignment horizontal="left"/>
    </xf>
    <xf numFmtId="0" fontId="0" fillId="0" borderId="0" xfId="0" applyFont="1" applyFill="1" applyBorder="1" applyAlignment="1">
      <alignment horizontal="center"/>
    </xf>
    <xf numFmtId="0" fontId="40" fillId="0" borderId="395" xfId="0" applyFont="1" applyBorder="1" applyAlignment="1" applyProtection="1">
      <alignment horizontal="center" vertical="center"/>
    </xf>
    <xf numFmtId="0" fontId="40" fillId="0" borderId="396" xfId="0" applyFont="1" applyBorder="1" applyAlignment="1" applyProtection="1">
      <alignment vertical="center"/>
      <protection locked="0"/>
    </xf>
    <xf numFmtId="165" fontId="10" fillId="0" borderId="400" xfId="5" applyFont="1" applyFill="1" applyBorder="1" applyAlignment="1" applyProtection="1">
      <alignment horizontal="left" vertical="center"/>
    </xf>
    <xf numFmtId="165" fontId="10" fillId="0" borderId="399" xfId="5" applyFont="1" applyFill="1" applyBorder="1" applyAlignment="1" applyProtection="1">
      <alignment vertical="center"/>
    </xf>
    <xf numFmtId="0" fontId="35" fillId="0" borderId="404" xfId="0" applyFont="1" applyFill="1" applyBorder="1" applyAlignment="1" applyProtection="1">
      <alignment vertical="center" wrapText="1"/>
    </xf>
    <xf numFmtId="0" fontId="35" fillId="0" borderId="403" xfId="0" applyFont="1" applyFill="1" applyBorder="1" applyAlignment="1" applyProtection="1">
      <alignment vertical="center" wrapText="1"/>
    </xf>
    <xf numFmtId="0" fontId="35" fillId="0" borderId="406" xfId="0" applyFont="1" applyFill="1" applyBorder="1" applyAlignment="1" applyProtection="1">
      <alignment vertical="center" wrapText="1"/>
    </xf>
    <xf numFmtId="0" fontId="35" fillId="0" borderId="317" xfId="0" applyFont="1" applyFill="1" applyBorder="1" applyAlignment="1" applyProtection="1">
      <alignment vertical="center" wrapText="1"/>
    </xf>
    <xf numFmtId="0" fontId="35" fillId="0" borderId="313" xfId="0" applyFont="1" applyFill="1" applyBorder="1" applyAlignment="1" applyProtection="1">
      <alignment vertical="center" wrapText="1"/>
    </xf>
    <xf numFmtId="0" fontId="18" fillId="4" borderId="407" xfId="0" applyFont="1" applyFill="1" applyBorder="1" applyAlignment="1" applyProtection="1">
      <alignment horizontal="center" vertical="center"/>
    </xf>
    <xf numFmtId="0" fontId="18" fillId="4" borderId="407" xfId="0" applyFont="1" applyFill="1" applyBorder="1" applyAlignment="1" applyProtection="1">
      <alignment horizontal="left" vertical="center"/>
    </xf>
    <xf numFmtId="0" fontId="18" fillId="4" borderId="407" xfId="0" applyFont="1" applyFill="1" applyBorder="1" applyAlignment="1" applyProtection="1">
      <alignment horizontal="center"/>
    </xf>
    <xf numFmtId="165" fontId="10" fillId="0" borderId="400" xfId="5" applyFont="1" applyFill="1" applyBorder="1" applyProtection="1"/>
    <xf numFmtId="165" fontId="10" fillId="0" borderId="399" xfId="5" applyFont="1" applyFill="1" applyBorder="1" applyProtection="1"/>
    <xf numFmtId="165" fontId="10" fillId="0" borderId="408" xfId="5" applyFont="1" applyFill="1" applyBorder="1" applyProtection="1"/>
    <xf numFmtId="165" fontId="18" fillId="20" borderId="155" xfId="5" applyFont="1" applyFill="1" applyBorder="1" applyProtection="1"/>
    <xf numFmtId="165" fontId="18" fillId="20" borderId="0" xfId="5" applyFont="1" applyFill="1" applyBorder="1" applyProtection="1"/>
    <xf numFmtId="165" fontId="40" fillId="20" borderId="0" xfId="5" applyFont="1" applyFill="1" applyBorder="1" applyProtection="1"/>
    <xf numFmtId="165" fontId="40" fillId="20" borderId="155" xfId="5" applyFont="1" applyFill="1" applyBorder="1" applyProtection="1"/>
    <xf numFmtId="170" fontId="40" fillId="20" borderId="160" xfId="0" applyNumberFormat="1" applyFont="1" applyFill="1" applyBorder="1" applyProtection="1"/>
    <xf numFmtId="168" fontId="18" fillId="4" borderId="407" xfId="5" applyNumberFormat="1" applyFont="1" applyFill="1" applyBorder="1" applyProtection="1"/>
    <xf numFmtId="168" fontId="40" fillId="4" borderId="407" xfId="5" applyNumberFormat="1" applyFont="1" applyFill="1" applyBorder="1" applyProtection="1"/>
    <xf numFmtId="170" fontId="40" fillId="4" borderId="407" xfId="5" applyNumberFormat="1" applyFont="1" applyFill="1" applyBorder="1" applyProtection="1"/>
    <xf numFmtId="0" fontId="54" fillId="4" borderId="114" xfId="0" applyFont="1" applyFill="1" applyBorder="1" applyProtection="1"/>
    <xf numFmtId="0" fontId="54" fillId="4" borderId="36" xfId="0" applyFont="1" applyFill="1" applyBorder="1" applyProtection="1"/>
    <xf numFmtId="0" fontId="54" fillId="4" borderId="36" xfId="0" applyFont="1" applyFill="1" applyBorder="1" applyAlignment="1" applyProtection="1">
      <alignment horizontal="right"/>
    </xf>
    <xf numFmtId="10" fontId="18" fillId="4" borderId="0" xfId="2" applyNumberFormat="1" applyFont="1" applyFill="1" applyBorder="1" applyAlignment="1" applyProtection="1">
      <alignment horizontal="center" vertical="center"/>
    </xf>
    <xf numFmtId="168" fontId="18" fillId="4" borderId="0" xfId="5" applyNumberFormat="1" applyFont="1" applyFill="1" applyBorder="1" applyAlignment="1" applyProtection="1">
      <alignment vertical="center"/>
    </xf>
    <xf numFmtId="168" fontId="40" fillId="4" borderId="0" xfId="5" applyNumberFormat="1" applyFont="1" applyFill="1" applyBorder="1" applyAlignment="1" applyProtection="1">
      <alignment vertical="center"/>
    </xf>
    <xf numFmtId="170" fontId="40" fillId="4" borderId="0" xfId="5" applyNumberFormat="1" applyFont="1" applyFill="1" applyBorder="1" applyAlignment="1" applyProtection="1">
      <alignment vertical="center"/>
    </xf>
    <xf numFmtId="0" fontId="40" fillId="4" borderId="0" xfId="0" applyFont="1" applyFill="1" applyBorder="1" applyAlignment="1" applyProtection="1">
      <alignment vertical="center"/>
    </xf>
    <xf numFmtId="0" fontId="54" fillId="4" borderId="113" xfId="0" applyFont="1" applyFill="1" applyBorder="1" applyAlignment="1" applyProtection="1">
      <alignment vertical="center"/>
    </xf>
    <xf numFmtId="0" fontId="54" fillId="4" borderId="8" xfId="0" applyFont="1" applyFill="1" applyBorder="1" applyAlignment="1" applyProtection="1">
      <alignment vertical="center"/>
    </xf>
    <xf numFmtId="0" fontId="54" fillId="4" borderId="8" xfId="0" applyFont="1" applyFill="1" applyBorder="1" applyAlignment="1" applyProtection="1">
      <alignment horizontal="right" vertical="center"/>
    </xf>
    <xf numFmtId="0" fontId="54" fillId="4" borderId="0" xfId="0" applyFont="1" applyFill="1" applyAlignment="1" applyProtection="1">
      <alignment vertical="center"/>
    </xf>
    <xf numFmtId="0" fontId="56" fillId="4" borderId="0" xfId="0" applyFont="1" applyFill="1" applyBorder="1" applyAlignment="1" applyProtection="1">
      <alignment horizontal="center" vertical="center"/>
    </xf>
    <xf numFmtId="0" fontId="56" fillId="4" borderId="0" xfId="0" applyFont="1" applyFill="1" applyBorder="1" applyAlignment="1" applyProtection="1">
      <alignment horizontal="left" vertical="center"/>
    </xf>
    <xf numFmtId="10" fontId="56" fillId="4" borderId="0" xfId="2" applyNumberFormat="1" applyFont="1" applyFill="1" applyBorder="1" applyAlignment="1" applyProtection="1">
      <alignment horizontal="center" vertical="center"/>
    </xf>
    <xf numFmtId="168" fontId="56" fillId="4" borderId="0" xfId="5" applyNumberFormat="1" applyFont="1" applyFill="1" applyBorder="1" applyAlignment="1" applyProtection="1">
      <alignment vertical="center"/>
    </xf>
    <xf numFmtId="170" fontId="56" fillId="4" borderId="0" xfId="5" applyNumberFormat="1" applyFont="1" applyFill="1" applyBorder="1" applyAlignment="1" applyProtection="1">
      <alignment vertical="center"/>
    </xf>
    <xf numFmtId="0" fontId="56" fillId="4" borderId="0" xfId="0" applyFont="1" applyFill="1" applyBorder="1" applyAlignment="1" applyProtection="1">
      <alignment vertical="center"/>
    </xf>
    <xf numFmtId="0" fontId="56" fillId="4" borderId="8" xfId="0" applyFont="1" applyFill="1" applyBorder="1" applyAlignment="1" applyProtection="1">
      <alignment vertical="center"/>
    </xf>
    <xf numFmtId="0" fontId="56" fillId="4" borderId="8" xfId="0" applyFont="1" applyFill="1" applyBorder="1" applyAlignment="1" applyProtection="1">
      <alignment horizontal="right" vertical="center"/>
    </xf>
    <xf numFmtId="0" fontId="56" fillId="4" borderId="0" xfId="0" applyFont="1" applyFill="1" applyAlignment="1" applyProtection="1">
      <alignment vertical="center"/>
    </xf>
    <xf numFmtId="0" fontId="69" fillId="0" borderId="0" xfId="0" applyFont="1" applyAlignment="1" applyProtection="1">
      <alignment vertical="center"/>
    </xf>
    <xf numFmtId="0" fontId="69" fillId="0" borderId="0" xfId="0" applyFont="1" applyFill="1" applyAlignment="1" applyProtection="1">
      <alignment vertical="center"/>
    </xf>
    <xf numFmtId="170" fontId="18" fillId="4" borderId="0" xfId="5" applyNumberFormat="1" applyFont="1" applyFill="1" applyBorder="1" applyAlignment="1" applyProtection="1">
      <alignment vertical="center"/>
    </xf>
    <xf numFmtId="0" fontId="18" fillId="4" borderId="0" xfId="0" applyFont="1" applyFill="1" applyBorder="1" applyAlignment="1" applyProtection="1">
      <alignment vertical="center"/>
    </xf>
    <xf numFmtId="0" fontId="18" fillId="4" borderId="8" xfId="0" applyFont="1" applyFill="1" applyBorder="1" applyAlignment="1" applyProtection="1">
      <alignment vertical="center"/>
    </xf>
    <xf numFmtId="0" fontId="18" fillId="4" borderId="8" xfId="0" applyFont="1" applyFill="1" applyBorder="1" applyAlignment="1" applyProtection="1">
      <alignment horizontal="right" vertical="center"/>
    </xf>
    <xf numFmtId="0" fontId="18" fillId="4" borderId="0" xfId="0" applyFont="1" applyFill="1" applyAlignment="1" applyProtection="1">
      <alignment vertical="center"/>
    </xf>
    <xf numFmtId="0" fontId="69" fillId="0" borderId="0" xfId="0" applyFont="1" applyAlignment="1" applyProtection="1">
      <alignment horizontal="center" vertical="center"/>
    </xf>
    <xf numFmtId="0" fontId="18" fillId="0" borderId="0" xfId="0" applyFont="1" applyAlignment="1" applyProtection="1">
      <alignment horizontal="center" vertical="center"/>
    </xf>
    <xf numFmtId="10" fontId="18" fillId="0" borderId="0" xfId="2" applyNumberFormat="1" applyFont="1" applyAlignment="1" applyProtection="1">
      <alignment horizontal="center" vertical="center"/>
    </xf>
    <xf numFmtId="0" fontId="18" fillId="0" borderId="12" xfId="0" applyFont="1" applyBorder="1" applyAlignment="1" applyProtection="1">
      <alignment horizontal="center" vertical="center"/>
    </xf>
    <xf numFmtId="170" fontId="18" fillId="0" borderId="12" xfId="0" applyNumberFormat="1"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0" xfId="0" applyFont="1" applyFill="1" applyBorder="1" applyAlignment="1" applyProtection="1">
      <alignment horizontal="left" vertical="center"/>
    </xf>
    <xf numFmtId="0" fontId="18" fillId="0" borderId="0" xfId="0" applyFont="1" applyFill="1" applyBorder="1" applyAlignment="1" applyProtection="1">
      <alignment vertical="center"/>
    </xf>
    <xf numFmtId="170" fontId="18" fillId="0" borderId="0" xfId="0" applyNumberFormat="1" applyFont="1" applyFill="1" applyBorder="1" applyAlignment="1" applyProtection="1">
      <alignment vertical="center"/>
    </xf>
    <xf numFmtId="0" fontId="66"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170" fontId="30" fillId="0" borderId="0" xfId="0" applyNumberFormat="1" applyFont="1" applyFill="1" applyBorder="1" applyAlignment="1" applyProtection="1">
      <alignment vertical="center"/>
    </xf>
    <xf numFmtId="169" fontId="0" fillId="0" borderId="0" xfId="0" applyNumberFormat="1" applyProtection="1"/>
    <xf numFmtId="1" fontId="18" fillId="10" borderId="347" xfId="0" applyNumberFormat="1" applyFont="1" applyFill="1" applyBorder="1" applyAlignment="1" applyProtection="1">
      <alignment horizontal="center" vertical="center" wrapText="1"/>
    </xf>
    <xf numFmtId="165" fontId="54" fillId="10" borderId="347" xfId="5" applyNumberFormat="1" applyFont="1" applyFill="1" applyBorder="1" applyAlignment="1" applyProtection="1">
      <alignment horizontal="center" vertical="center" wrapText="1"/>
      <protection locked="0"/>
    </xf>
    <xf numFmtId="165" fontId="18" fillId="10" borderId="347" xfId="5" applyFont="1" applyFill="1" applyBorder="1" applyAlignment="1" applyProtection="1">
      <alignment horizontal="center" vertical="center" wrapText="1"/>
    </xf>
    <xf numFmtId="165" fontId="18" fillId="10" borderId="347" xfId="5" applyFont="1" applyFill="1" applyBorder="1" applyAlignment="1" applyProtection="1">
      <alignment horizontal="center" vertical="center" wrapText="1"/>
      <protection locked="0"/>
    </xf>
    <xf numFmtId="165" fontId="67" fillId="10" borderId="347" xfId="5" applyFont="1" applyFill="1" applyBorder="1" applyAlignment="1" applyProtection="1">
      <alignment horizontal="center" vertical="center" wrapText="1"/>
      <protection locked="0"/>
    </xf>
    <xf numFmtId="165" fontId="54" fillId="10" borderId="347" xfId="5" applyFont="1" applyFill="1" applyBorder="1" applyAlignment="1" applyProtection="1">
      <alignment horizontal="center" vertical="center" wrapText="1"/>
      <protection locked="0"/>
    </xf>
    <xf numFmtId="165" fontId="18" fillId="14" borderId="347" xfId="5" applyFont="1" applyFill="1" applyBorder="1" applyAlignment="1" applyProtection="1">
      <alignment horizontal="center" vertical="center" wrapText="1"/>
      <protection locked="0"/>
    </xf>
    <xf numFmtId="0" fontId="10" fillId="34" borderId="0" xfId="0" applyFont="1" applyFill="1" applyBorder="1" applyAlignment="1" applyProtection="1">
      <alignment horizontal="left"/>
      <protection locked="0"/>
    </xf>
    <xf numFmtId="165" fontId="30" fillId="0" borderId="110" xfId="5" applyFont="1" applyFill="1" applyBorder="1" applyAlignment="1" applyProtection="1">
      <alignment horizontal="right" vertical="center"/>
      <protection locked="0"/>
    </xf>
    <xf numFmtId="165" fontId="30" fillId="0" borderId="273" xfId="5" applyFont="1" applyFill="1" applyBorder="1" applyAlignment="1" applyProtection="1">
      <alignment horizontal="right" vertical="center"/>
      <protection locked="0"/>
    </xf>
    <xf numFmtId="1" fontId="61" fillId="9" borderId="348" xfId="0" applyNumberFormat="1" applyFont="1" applyFill="1" applyBorder="1" applyAlignment="1" applyProtection="1">
      <alignment horizontal="center" vertical="center"/>
    </xf>
    <xf numFmtId="165" fontId="61" fillId="9" borderId="348" xfId="5" applyFont="1" applyFill="1" applyBorder="1" applyAlignment="1" applyProtection="1">
      <alignment horizontal="center" vertical="center"/>
    </xf>
    <xf numFmtId="0" fontId="30" fillId="11" borderId="421" xfId="0" applyFont="1" applyFill="1" applyBorder="1" applyAlignment="1" applyProtection="1">
      <alignment horizontal="center" vertical="center"/>
    </xf>
    <xf numFmtId="0" fontId="16" fillId="0" borderId="427" xfId="0" applyFont="1" applyBorder="1" applyAlignment="1" applyProtection="1">
      <alignment horizontal="center" vertical="center" wrapText="1"/>
    </xf>
    <xf numFmtId="10" fontId="30" fillId="0" borderId="428" xfId="2" applyNumberFormat="1" applyFont="1" applyBorder="1" applyAlignment="1" applyProtection="1">
      <alignment horizontal="center" vertical="center"/>
      <protection locked="0"/>
    </xf>
    <xf numFmtId="165" fontId="17" fillId="19" borderId="348" xfId="5" applyFont="1" applyFill="1" applyBorder="1" applyAlignment="1" applyProtection="1">
      <alignment horizontal="left" vertical="center"/>
      <protection locked="0"/>
    </xf>
    <xf numFmtId="165" fontId="10" fillId="19" borderId="348" xfId="5" applyFont="1" applyFill="1" applyBorder="1" applyAlignment="1" applyProtection="1">
      <alignment horizontal="left" vertical="center"/>
      <protection locked="0"/>
    </xf>
    <xf numFmtId="165" fontId="61" fillId="19" borderId="348" xfId="5" applyFont="1" applyFill="1" applyBorder="1" applyAlignment="1" applyProtection="1">
      <alignment horizontal="left" vertical="center"/>
    </xf>
    <xf numFmtId="165" fontId="30" fillId="10" borderId="110" xfId="5" applyFont="1" applyFill="1" applyBorder="1" applyAlignment="1" applyProtection="1">
      <alignment horizontal="right" vertical="center"/>
      <protection locked="0"/>
    </xf>
    <xf numFmtId="1" fontId="17" fillId="0" borderId="348" xfId="0" applyNumberFormat="1" applyFont="1" applyFill="1" applyBorder="1" applyAlignment="1" applyProtection="1">
      <alignment horizontal="center" vertical="center"/>
    </xf>
    <xf numFmtId="1" fontId="17" fillId="0" borderId="348" xfId="0" applyNumberFormat="1" applyFont="1" applyFill="1" applyBorder="1" applyAlignment="1" applyProtection="1">
      <alignment horizontal="left" vertical="center"/>
      <protection locked="0"/>
    </xf>
    <xf numFmtId="1" fontId="61" fillId="0" borderId="348" xfId="0" applyNumberFormat="1" applyFont="1" applyFill="1" applyBorder="1" applyAlignment="1" applyProtection="1">
      <alignment horizontal="center" vertical="center"/>
    </xf>
    <xf numFmtId="165" fontId="10" fillId="0" borderId="348" xfId="5" applyNumberFormat="1" applyFont="1" applyFill="1" applyBorder="1" applyAlignment="1" applyProtection="1">
      <alignment horizontal="center" vertical="center"/>
      <protection locked="0"/>
    </xf>
    <xf numFmtId="165" fontId="17" fillId="0" borderId="348" xfId="5" applyFont="1" applyFill="1" applyBorder="1" applyAlignment="1" applyProtection="1">
      <alignment horizontal="center" vertical="center"/>
    </xf>
    <xf numFmtId="2" fontId="17" fillId="0" borderId="348" xfId="5" applyNumberFormat="1" applyFont="1" applyFill="1" applyBorder="1" applyAlignment="1" applyProtection="1">
      <alignment horizontal="center" vertical="center"/>
      <protection locked="0"/>
    </xf>
    <xf numFmtId="165" fontId="17" fillId="0" borderId="348" xfId="5" applyFont="1" applyFill="1" applyBorder="1" applyAlignment="1" applyProtection="1">
      <alignment horizontal="center" vertical="center"/>
      <protection locked="0"/>
    </xf>
    <xf numFmtId="165" fontId="10" fillId="0" borderId="348" xfId="5" applyFont="1" applyFill="1" applyBorder="1" applyAlignment="1" applyProtection="1">
      <alignment horizontal="center" vertical="center"/>
      <protection locked="0"/>
    </xf>
    <xf numFmtId="165" fontId="61" fillId="0" borderId="348" xfId="5" applyFont="1" applyFill="1" applyBorder="1" applyAlignment="1" applyProtection="1">
      <alignment horizontal="center" vertical="center"/>
    </xf>
    <xf numFmtId="0" fontId="10" fillId="0" borderId="0" xfId="7" applyFont="1" applyFill="1" applyBorder="1" applyAlignment="1" applyProtection="1">
      <alignment vertical="center"/>
      <protection locked="0"/>
    </xf>
    <xf numFmtId="0" fontId="0" fillId="0" borderId="0" xfId="0" applyAlignment="1">
      <alignment horizontal="left"/>
    </xf>
    <xf numFmtId="168" fontId="30" fillId="11" borderId="0" xfId="5" applyNumberFormat="1" applyFont="1" applyFill="1" applyBorder="1" applyProtection="1"/>
    <xf numFmtId="168" fontId="30" fillId="0" borderId="0" xfId="5" applyNumberFormat="1" applyFont="1" applyFill="1" applyBorder="1" applyProtection="1"/>
    <xf numFmtId="166" fontId="2" fillId="2" borderId="432" xfId="1" applyNumberFormat="1" applyFont="1" applyFill="1" applyBorder="1" applyAlignment="1" applyProtection="1">
      <alignment vertical="center"/>
    </xf>
    <xf numFmtId="0" fontId="4" fillId="4" borderId="114" xfId="0" applyFont="1" applyFill="1" applyBorder="1" applyAlignment="1" applyProtection="1">
      <alignment horizontal="center" vertical="center"/>
    </xf>
    <xf numFmtId="0" fontId="4" fillId="4" borderId="99" xfId="0" applyFont="1" applyFill="1" applyBorder="1" applyAlignment="1" applyProtection="1">
      <alignment horizontal="center"/>
    </xf>
    <xf numFmtId="0" fontId="6" fillId="4" borderId="114" xfId="0" applyFont="1" applyFill="1" applyBorder="1" applyProtection="1"/>
    <xf numFmtId="0" fontId="6" fillId="4" borderId="99" xfId="0" applyFont="1" applyFill="1" applyBorder="1" applyProtection="1"/>
    <xf numFmtId="0" fontId="20" fillId="11" borderId="0" xfId="0" applyFont="1" applyFill="1" applyAlignment="1">
      <alignment horizontal="left" vertical="center"/>
    </xf>
    <xf numFmtId="0" fontId="20" fillId="18" borderId="330" xfId="0" applyFont="1" applyFill="1" applyBorder="1" applyAlignment="1">
      <alignment horizontal="right" vertical="center"/>
    </xf>
    <xf numFmtId="0" fontId="0" fillId="4" borderId="69" xfId="0" applyFill="1" applyBorder="1" applyAlignment="1">
      <alignment vertical="center"/>
    </xf>
    <xf numFmtId="0" fontId="20" fillId="11" borderId="330" xfId="0" applyFont="1" applyFill="1" applyBorder="1" applyAlignment="1">
      <alignment horizontal="right" vertical="center"/>
    </xf>
    <xf numFmtId="0" fontId="30" fillId="4" borderId="0" xfId="0" applyFont="1" applyFill="1" applyAlignment="1">
      <alignment vertical="center"/>
    </xf>
    <xf numFmtId="0" fontId="30" fillId="4" borderId="341" xfId="0" applyFont="1" applyFill="1" applyBorder="1" applyAlignment="1">
      <alignment vertical="center"/>
    </xf>
    <xf numFmtId="0" fontId="20" fillId="11" borderId="234" xfId="0" applyFont="1" applyFill="1" applyBorder="1" applyAlignment="1">
      <alignment horizontal="left" vertical="center"/>
    </xf>
    <xf numFmtId="0" fontId="20" fillId="18" borderId="327" xfId="0" applyFont="1" applyFill="1" applyBorder="1" applyAlignment="1">
      <alignment horizontal="center" vertical="center"/>
    </xf>
    <xf numFmtId="0" fontId="29" fillId="4" borderId="0" xfId="0" applyFont="1" applyFill="1" applyAlignment="1">
      <alignment horizontal="center" vertical="center" wrapText="1"/>
    </xf>
    <xf numFmtId="0" fontId="20" fillId="0" borderId="0" xfId="0" applyFont="1" applyAlignment="1">
      <alignment horizontal="left" vertical="center"/>
    </xf>
    <xf numFmtId="0" fontId="20" fillId="0" borderId="331" xfId="0" applyFont="1" applyBorder="1" applyAlignment="1">
      <alignment horizontal="center" vertical="center"/>
    </xf>
    <xf numFmtId="0" fontId="20" fillId="18" borderId="331" xfId="0" applyFont="1" applyFill="1" applyBorder="1" applyAlignment="1">
      <alignment horizontal="center" vertical="center"/>
    </xf>
    <xf numFmtId="0" fontId="20" fillId="18" borderId="327" xfId="0" applyFont="1" applyFill="1" applyBorder="1" applyAlignment="1">
      <alignment horizontal="right" vertical="center"/>
    </xf>
    <xf numFmtId="0" fontId="18" fillId="4" borderId="0" xfId="0" applyFont="1" applyFill="1" applyAlignment="1">
      <alignment horizontal="center" vertical="center"/>
    </xf>
    <xf numFmtId="0" fontId="15" fillId="4" borderId="0" xfId="0" applyFont="1" applyFill="1" applyAlignment="1">
      <alignment vertical="center" wrapText="1"/>
    </xf>
    <xf numFmtId="0" fontId="20" fillId="0" borderId="331" xfId="0" applyFont="1" applyBorder="1" applyAlignment="1">
      <alignment horizontal="right" vertical="center"/>
    </xf>
    <xf numFmtId="0" fontId="20" fillId="18" borderId="331" xfId="0" applyFont="1" applyFill="1" applyBorder="1" applyAlignment="1">
      <alignment horizontal="right" vertical="center"/>
    </xf>
    <xf numFmtId="0" fontId="20" fillId="4" borderId="0" xfId="0" applyFont="1" applyFill="1" applyAlignment="1">
      <alignment horizontal="left" vertical="center"/>
    </xf>
    <xf numFmtId="0" fontId="20" fillId="18" borderId="327" xfId="0" applyFont="1" applyFill="1" applyBorder="1" applyAlignment="1">
      <alignment horizontal="right" vertical="center" wrapText="1"/>
    </xf>
    <xf numFmtId="0" fontId="30" fillId="18" borderId="327" xfId="0" applyFont="1" applyFill="1" applyBorder="1" applyAlignment="1" applyProtection="1">
      <alignment horizontal="left" vertical="center" wrapText="1"/>
      <protection locked="0"/>
    </xf>
    <xf numFmtId="0" fontId="15" fillId="4" borderId="0" xfId="0" applyFont="1" applyFill="1" applyAlignment="1">
      <alignment vertical="center"/>
    </xf>
    <xf numFmtId="0" fontId="16" fillId="8" borderId="275" xfId="0" applyFont="1" applyFill="1" applyBorder="1" applyAlignment="1">
      <alignment horizontal="left" vertical="center"/>
    </xf>
    <xf numFmtId="0" fontId="16" fillId="8" borderId="94" xfId="0" applyFont="1" applyFill="1" applyBorder="1" applyAlignment="1">
      <alignment horizontal="center" vertical="center"/>
    </xf>
    <xf numFmtId="0" fontId="0" fillId="4" borderId="343" xfId="0" applyFill="1" applyBorder="1" applyAlignment="1">
      <alignment vertical="center"/>
    </xf>
    <xf numFmtId="0" fontId="16" fillId="4" borderId="277" xfId="0" applyFont="1" applyFill="1" applyBorder="1" applyAlignment="1">
      <alignment horizontal="left" vertical="center"/>
    </xf>
    <xf numFmtId="0" fontId="16" fillId="0" borderId="85" xfId="0" applyFont="1" applyBorder="1" applyAlignment="1">
      <alignment horizontal="center" vertical="center"/>
    </xf>
    <xf numFmtId="0" fontId="16" fillId="8" borderId="94" xfId="0" applyFont="1" applyFill="1" applyBorder="1" applyAlignment="1">
      <alignment horizontal="right" vertical="center"/>
    </xf>
    <xf numFmtId="0" fontId="16" fillId="0" borderId="85" xfId="0" applyFont="1" applyBorder="1" applyAlignment="1">
      <alignment horizontal="right" vertical="center"/>
    </xf>
    <xf numFmtId="0" fontId="16" fillId="8" borderId="277" xfId="0" applyFont="1" applyFill="1" applyBorder="1" applyAlignment="1">
      <alignment horizontal="left" vertical="center"/>
    </xf>
    <xf numFmtId="0" fontId="16" fillId="8" borderId="85" xfId="0" applyFont="1" applyFill="1" applyBorder="1" applyAlignment="1">
      <alignment horizontal="right" vertical="center"/>
    </xf>
    <xf numFmtId="165" fontId="67" fillId="19" borderId="348" xfId="5" applyFont="1" applyFill="1" applyBorder="1" applyAlignment="1" applyProtection="1">
      <alignment horizontal="center" vertical="center"/>
    </xf>
    <xf numFmtId="165" fontId="62" fillId="19" borderId="348" xfId="5" applyFont="1" applyFill="1" applyBorder="1" applyAlignment="1" applyProtection="1">
      <alignment horizontal="center" vertical="center"/>
    </xf>
    <xf numFmtId="165" fontId="10" fillId="19" borderId="348" xfId="5" applyFont="1" applyFill="1" applyBorder="1" applyAlignment="1" applyProtection="1">
      <alignment horizontal="center" vertical="center"/>
    </xf>
    <xf numFmtId="165" fontId="17" fillId="19" borderId="348" xfId="5" applyFont="1" applyFill="1" applyBorder="1" applyAlignment="1" applyProtection="1">
      <alignment horizontal="left" vertical="center"/>
    </xf>
    <xf numFmtId="165" fontId="62" fillId="19" borderId="348" xfId="5" applyFont="1" applyFill="1" applyBorder="1" applyAlignment="1" applyProtection="1">
      <alignment horizontal="left" vertical="center"/>
    </xf>
    <xf numFmtId="165" fontId="10" fillId="19" borderId="348" xfId="5" applyFont="1" applyFill="1" applyBorder="1" applyAlignment="1" applyProtection="1">
      <alignment horizontal="left" vertical="center"/>
    </xf>
    <xf numFmtId="165" fontId="67" fillId="0" borderId="348" xfId="5" applyFont="1" applyFill="1" applyBorder="1" applyAlignment="1" applyProtection="1">
      <alignment horizontal="center" vertical="center"/>
    </xf>
    <xf numFmtId="165" fontId="62" fillId="0" borderId="348" xfId="5" applyFont="1" applyFill="1" applyBorder="1" applyAlignment="1" applyProtection="1">
      <alignment horizontal="center" vertical="center"/>
    </xf>
    <xf numFmtId="165" fontId="10" fillId="0" borderId="348" xfId="5" applyFont="1" applyFill="1" applyBorder="1" applyAlignment="1" applyProtection="1">
      <alignment horizontal="center" vertical="center"/>
    </xf>
    <xf numFmtId="0" fontId="16" fillId="8" borderId="274" xfId="0" applyFont="1" applyFill="1" applyBorder="1" applyAlignment="1">
      <alignment horizontal="left" vertical="center"/>
    </xf>
    <xf numFmtId="0" fontId="16" fillId="0" borderId="276" xfId="0" applyFont="1" applyBorder="1" applyAlignment="1">
      <alignment horizontal="left" vertical="center"/>
    </xf>
    <xf numFmtId="0" fontId="16" fillId="8" borderId="276" xfId="0" applyFont="1" applyFill="1" applyBorder="1" applyAlignment="1" applyProtection="1">
      <alignment horizontal="left" vertical="center"/>
    </xf>
    <xf numFmtId="0" fontId="16" fillId="0" borderId="276" xfId="0" applyFont="1" applyFill="1" applyBorder="1" applyAlignment="1" applyProtection="1">
      <alignment horizontal="left" vertical="center"/>
    </xf>
    <xf numFmtId="0" fontId="16" fillId="0" borderId="278" xfId="0" applyFont="1" applyFill="1" applyBorder="1" applyAlignment="1" applyProtection="1">
      <alignment horizontal="left" vertical="center"/>
    </xf>
    <xf numFmtId="0" fontId="16" fillId="0" borderId="435" xfId="0" applyFont="1" applyFill="1" applyBorder="1" applyAlignment="1" applyProtection="1">
      <alignment horizontal="left" vertical="center"/>
    </xf>
    <xf numFmtId="0" fontId="16" fillId="8" borderId="276" xfId="0" applyFont="1" applyFill="1" applyBorder="1" applyAlignment="1">
      <alignment horizontal="left" vertical="center"/>
    </xf>
    <xf numFmtId="0" fontId="17" fillId="8" borderId="90" xfId="0" applyFont="1" applyFill="1" applyBorder="1" applyAlignment="1" applyProtection="1">
      <alignment vertical="center"/>
      <protection locked="0"/>
    </xf>
    <xf numFmtId="0" fontId="17" fillId="0" borderId="87" xfId="0" applyFont="1" applyBorder="1" applyAlignment="1" applyProtection="1">
      <alignment vertical="center"/>
      <protection locked="0"/>
    </xf>
    <xf numFmtId="0" fontId="17" fillId="8" borderId="87" xfId="0" applyFont="1" applyFill="1" applyBorder="1" applyAlignment="1" applyProtection="1">
      <alignment vertical="center"/>
      <protection locked="0"/>
    </xf>
    <xf numFmtId="0" fontId="17" fillId="0" borderId="87"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17" fillId="8" borderId="94" xfId="0" applyFont="1" applyFill="1" applyBorder="1" applyAlignment="1" applyProtection="1">
      <alignment horizontal="left" vertical="center"/>
      <protection locked="0"/>
    </xf>
    <xf numFmtId="0" fontId="17" fillId="0" borderId="85" xfId="0" applyFont="1" applyBorder="1" applyAlignment="1" applyProtection="1">
      <alignment horizontal="left" vertical="center"/>
      <protection locked="0"/>
    </xf>
    <xf numFmtId="0" fontId="17" fillId="8" borderId="85" xfId="0" applyFont="1" applyFill="1" applyBorder="1" applyAlignment="1" applyProtection="1">
      <alignment horizontal="left" vertical="center"/>
      <protection locked="0"/>
    </xf>
    <xf numFmtId="0" fontId="17" fillId="0" borderId="85" xfId="0" applyFont="1" applyFill="1" applyBorder="1" applyAlignment="1" applyProtection="1">
      <alignment horizontal="left" vertical="center"/>
      <protection locked="0"/>
    </xf>
    <xf numFmtId="0" fontId="17" fillId="8" borderId="95" xfId="0" applyFont="1" applyFill="1" applyBorder="1" applyAlignment="1" applyProtection="1">
      <alignment horizontal="left" vertical="center"/>
      <protection locked="0"/>
    </xf>
    <xf numFmtId="0" fontId="0" fillId="0" borderId="114" xfId="0" applyFill="1" applyBorder="1" applyAlignment="1" applyProtection="1">
      <alignment vertical="center"/>
    </xf>
    <xf numFmtId="0" fontId="48" fillId="8" borderId="87" xfId="0" applyFont="1" applyFill="1" applyBorder="1" applyAlignment="1" applyProtection="1">
      <alignment vertical="center"/>
    </xf>
    <xf numFmtId="0" fontId="48" fillId="0" borderId="87" xfId="0" applyFont="1" applyBorder="1" applyAlignment="1" applyProtection="1">
      <alignment vertical="center"/>
    </xf>
    <xf numFmtId="0" fontId="48" fillId="4" borderId="87" xfId="0" applyFont="1" applyFill="1" applyBorder="1" applyAlignment="1" applyProtection="1">
      <alignment vertical="center"/>
    </xf>
    <xf numFmtId="0" fontId="0" fillId="0" borderId="437" xfId="0" applyBorder="1" applyAlignment="1" applyProtection="1">
      <alignment vertical="center"/>
    </xf>
    <xf numFmtId="0" fontId="0" fillId="0" borderId="438" xfId="0" applyBorder="1" applyAlignment="1" applyProtection="1">
      <alignment vertical="center"/>
    </xf>
    <xf numFmtId="0" fontId="16" fillId="8" borderId="87" xfId="0" applyFont="1" applyFill="1" applyBorder="1" applyAlignment="1" applyProtection="1">
      <alignment vertical="center"/>
    </xf>
    <xf numFmtId="0" fontId="16" fillId="0" borderId="87" xfId="0" applyFont="1" applyFill="1" applyBorder="1" applyAlignment="1" applyProtection="1">
      <alignment vertical="center"/>
    </xf>
    <xf numFmtId="0" fontId="16" fillId="4" borderId="87" xfId="0" applyFont="1" applyFill="1" applyBorder="1" applyAlignment="1" applyProtection="1">
      <alignment vertical="center"/>
    </xf>
    <xf numFmtId="0" fontId="16" fillId="0" borderId="92" xfId="0" applyFont="1" applyFill="1" applyBorder="1" applyAlignment="1" applyProtection="1">
      <alignment horizontal="left" vertical="center"/>
    </xf>
    <xf numFmtId="0" fontId="16" fillId="0" borderId="93" xfId="0" applyFont="1" applyFill="1" applyBorder="1" applyAlignment="1" applyProtection="1">
      <alignment horizontal="left" vertical="center"/>
    </xf>
    <xf numFmtId="1" fontId="17" fillId="9" borderId="348" xfId="0" applyNumberFormat="1" applyFont="1" applyFill="1" applyBorder="1" applyAlignment="1" applyProtection="1">
      <alignment horizontal="center" vertical="center"/>
    </xf>
    <xf numFmtId="165" fontId="10" fillId="9" borderId="348" xfId="5" applyNumberFormat="1" applyFont="1" applyFill="1" applyBorder="1" applyAlignment="1" applyProtection="1">
      <alignment horizontal="center" vertical="center"/>
      <protection locked="0"/>
    </xf>
    <xf numFmtId="165" fontId="17" fillId="9" borderId="348" xfId="5" applyFont="1" applyFill="1" applyBorder="1" applyAlignment="1" applyProtection="1">
      <alignment horizontal="center" vertical="center"/>
    </xf>
    <xf numFmtId="2" fontId="17" fillId="9" borderId="348" xfId="5" applyNumberFormat="1" applyFont="1" applyFill="1" applyBorder="1" applyAlignment="1" applyProtection="1">
      <alignment horizontal="center" vertical="center"/>
      <protection locked="0"/>
    </xf>
    <xf numFmtId="165" fontId="67" fillId="9" borderId="348" xfId="5" applyFont="1" applyFill="1" applyBorder="1" applyAlignment="1" applyProtection="1">
      <alignment horizontal="center" vertical="center"/>
    </xf>
    <xf numFmtId="165" fontId="62" fillId="9" borderId="348" xfId="5" applyFont="1" applyFill="1" applyBorder="1" applyAlignment="1" applyProtection="1">
      <alignment horizontal="center" vertical="center"/>
    </xf>
    <xf numFmtId="165" fontId="10" fillId="9" borderId="348" xfId="5" applyFont="1" applyFill="1" applyBorder="1" applyAlignment="1" applyProtection="1">
      <alignment horizontal="center" vertical="center"/>
    </xf>
    <xf numFmtId="165" fontId="17" fillId="9" borderId="348" xfId="5" applyFont="1" applyFill="1" applyBorder="1" applyAlignment="1" applyProtection="1">
      <alignment horizontal="center" vertical="center"/>
      <protection locked="0"/>
    </xf>
    <xf numFmtId="10" fontId="30" fillId="0" borderId="0" xfId="2" applyNumberFormat="1" applyFont="1" applyFill="1" applyBorder="1" applyAlignment="1" applyProtection="1">
      <alignment horizontal="center" vertical="center"/>
    </xf>
    <xf numFmtId="10" fontId="30" fillId="0" borderId="0" xfId="2" applyNumberFormat="1" applyFont="1" applyBorder="1" applyAlignment="1" applyProtection="1">
      <alignment horizontal="center" vertical="center"/>
    </xf>
    <xf numFmtId="10" fontId="0" fillId="4" borderId="0" xfId="0" applyNumberFormat="1" applyFill="1" applyProtection="1"/>
    <xf numFmtId="0" fontId="10" fillId="34" borderId="0" xfId="0" applyFont="1" applyFill="1" applyBorder="1" applyAlignment="1" applyProtection="1">
      <alignment horizontal="left"/>
    </xf>
    <xf numFmtId="165" fontId="67" fillId="4" borderId="348" xfId="5" applyFont="1" applyFill="1" applyBorder="1" applyAlignment="1" applyProtection="1">
      <alignment horizontal="center" vertical="center"/>
    </xf>
    <xf numFmtId="0" fontId="17" fillId="0" borderId="176" xfId="0" applyFont="1" applyFill="1" applyBorder="1" applyAlignment="1">
      <alignment horizontal="center" vertical="center"/>
    </xf>
    <xf numFmtId="0" fontId="10" fillId="0" borderId="176" xfId="0" applyFont="1" applyBorder="1" applyAlignment="1">
      <alignment horizontal="left"/>
    </xf>
    <xf numFmtId="0" fontId="10" fillId="0" borderId="176" xfId="0" applyFont="1" applyFill="1" applyBorder="1" applyAlignment="1">
      <alignment horizontal="left" vertical="center"/>
    </xf>
    <xf numFmtId="0" fontId="10" fillId="0" borderId="176" xfId="0" applyFont="1" applyFill="1" applyBorder="1" applyAlignment="1">
      <alignment horizontal="left"/>
    </xf>
    <xf numFmtId="1" fontId="18" fillId="35" borderId="347" xfId="0" applyNumberFormat="1" applyFont="1" applyFill="1" applyBorder="1" applyAlignment="1" applyProtection="1">
      <alignment horizontal="center" vertical="center" wrapText="1"/>
    </xf>
    <xf numFmtId="165" fontId="67" fillId="10" borderId="347" xfId="5" applyFont="1" applyFill="1" applyBorder="1" applyAlignment="1" applyProtection="1">
      <alignment horizontal="center" vertical="center" wrapText="1"/>
    </xf>
    <xf numFmtId="165" fontId="60" fillId="10" borderId="347" xfId="5" applyFont="1" applyFill="1" applyBorder="1" applyAlignment="1" applyProtection="1">
      <alignment horizontal="center" vertical="center" wrapText="1"/>
    </xf>
    <xf numFmtId="165" fontId="54" fillId="10" borderId="347" xfId="5" applyFont="1" applyFill="1" applyBorder="1" applyAlignment="1" applyProtection="1">
      <alignment horizontal="center" vertical="center" wrapText="1"/>
    </xf>
    <xf numFmtId="0" fontId="0" fillId="0" borderId="0" xfId="0" applyAlignment="1">
      <alignment horizontal="left" indent="1"/>
    </xf>
    <xf numFmtId="0" fontId="0" fillId="0" borderId="0" xfId="0" applyAlignment="1" applyProtection="1">
      <alignment vertical="center" wrapText="1"/>
    </xf>
    <xf numFmtId="0" fontId="6" fillId="0" borderId="0" xfId="0" applyFont="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10" fontId="65" fillId="0" borderId="441" xfId="2" applyNumberFormat="1" applyFont="1" applyFill="1" applyBorder="1" applyAlignment="1" applyProtection="1">
      <alignment horizontal="right" vertical="center"/>
      <protection locked="0"/>
    </xf>
    <xf numFmtId="10" fontId="65" fillId="0" borderId="403" xfId="2" applyNumberFormat="1" applyFont="1" applyFill="1" applyBorder="1" applyAlignment="1" applyProtection="1">
      <alignment horizontal="right" vertical="center"/>
      <protection locked="0"/>
    </xf>
    <xf numFmtId="10" fontId="65" fillId="9" borderId="403" xfId="2" applyNumberFormat="1" applyFont="1" applyFill="1" applyBorder="1" applyAlignment="1" applyProtection="1">
      <alignment horizontal="right" vertical="center"/>
      <protection locked="0"/>
    </xf>
    <xf numFmtId="10" fontId="65" fillId="9" borderId="441" xfId="2" applyNumberFormat="1" applyFont="1" applyFill="1" applyBorder="1" applyAlignment="1" applyProtection="1">
      <alignment horizontal="right" vertical="center"/>
      <protection locked="0"/>
    </xf>
    <xf numFmtId="0" fontId="17" fillId="4" borderId="176" xfId="0" applyFont="1" applyFill="1" applyBorder="1" applyAlignment="1">
      <alignment horizontal="center" vertical="center"/>
    </xf>
    <xf numFmtId="0" fontId="10" fillId="4" borderId="176" xfId="0" applyFont="1" applyFill="1" applyBorder="1" applyAlignment="1">
      <alignment horizontal="left"/>
    </xf>
    <xf numFmtId="0" fontId="10" fillId="4" borderId="176" xfId="0" applyFont="1" applyFill="1" applyBorder="1" applyAlignment="1">
      <alignment horizontal="left" vertical="center"/>
    </xf>
    <xf numFmtId="1" fontId="17" fillId="4" borderId="348" xfId="0" applyNumberFormat="1" applyFont="1" applyFill="1" applyBorder="1" applyAlignment="1" applyProtection="1">
      <alignment horizontal="left" vertical="center"/>
      <protection locked="0"/>
    </xf>
    <xf numFmtId="165" fontId="10" fillId="4" borderId="348" xfId="5" applyFont="1" applyFill="1" applyBorder="1" applyAlignment="1" applyProtection="1">
      <alignment horizontal="center" vertical="center"/>
      <protection locked="0"/>
    </xf>
    <xf numFmtId="165" fontId="17" fillId="4" borderId="348" xfId="5" applyFont="1" applyFill="1" applyBorder="1" applyAlignment="1" applyProtection="1">
      <alignment horizontal="center" vertical="center"/>
      <protection locked="0"/>
    </xf>
    <xf numFmtId="165" fontId="17" fillId="4" borderId="348" xfId="5" applyFont="1" applyFill="1" applyBorder="1" applyAlignment="1" applyProtection="1">
      <alignment horizontal="left" vertical="center"/>
    </xf>
    <xf numFmtId="0" fontId="10" fillId="4" borderId="0" xfId="7" applyFont="1" applyFill="1" applyBorder="1" applyAlignment="1" applyProtection="1">
      <alignment vertical="center"/>
      <protection locked="0"/>
    </xf>
    <xf numFmtId="0" fontId="30" fillId="0" borderId="0" xfId="0" applyFont="1" applyFill="1" applyBorder="1" applyAlignment="1" applyProtection="1">
      <alignment horizontal="center"/>
      <protection locked="0"/>
    </xf>
    <xf numFmtId="0" fontId="15" fillId="0" borderId="0" xfId="0" applyFont="1" applyFill="1" applyBorder="1" applyAlignment="1" applyProtection="1">
      <alignment horizontal="center" vertical="center"/>
    </xf>
    <xf numFmtId="0" fontId="0" fillId="0" borderId="98" xfId="0" applyBorder="1" applyProtection="1"/>
    <xf numFmtId="0" fontId="0" fillId="0" borderId="450" xfId="0" applyBorder="1" applyProtection="1"/>
    <xf numFmtId="10" fontId="30" fillId="11" borderId="369" xfId="2" applyNumberFormat="1" applyFont="1" applyFill="1" applyBorder="1" applyProtection="1">
      <protection locked="0"/>
    </xf>
    <xf numFmtId="0" fontId="30" fillId="11" borderId="0" xfId="0" applyFont="1" applyFill="1" applyBorder="1" applyAlignment="1" applyProtection="1">
      <alignment horizontal="center"/>
      <protection locked="0"/>
    </xf>
    <xf numFmtId="0" fontId="30" fillId="11" borderId="367" xfId="0" applyFont="1" applyFill="1" applyBorder="1" applyAlignment="1" applyProtection="1">
      <alignment horizontal="center"/>
      <protection locked="0"/>
    </xf>
    <xf numFmtId="0" fontId="30" fillId="0" borderId="367" xfId="0" applyFont="1" applyFill="1" applyBorder="1" applyAlignment="1" applyProtection="1">
      <alignment horizontal="center"/>
      <protection locked="0"/>
    </xf>
    <xf numFmtId="0" fontId="30" fillId="11" borderId="369" xfId="0" applyFont="1" applyFill="1" applyBorder="1" applyAlignment="1" applyProtection="1">
      <alignment horizontal="center"/>
      <protection locked="0"/>
    </xf>
    <xf numFmtId="0" fontId="30" fillId="11" borderId="370" xfId="0" applyFont="1" applyFill="1" applyBorder="1" applyAlignment="1" applyProtection="1">
      <alignment horizontal="center"/>
      <protection locked="0"/>
    </xf>
    <xf numFmtId="168" fontId="30" fillId="11" borderId="176" xfId="5" applyNumberFormat="1" applyFont="1" applyFill="1" applyBorder="1" applyProtection="1">
      <protection locked="0"/>
    </xf>
    <xf numFmtId="168" fontId="30" fillId="11" borderId="445" xfId="5" applyNumberFormat="1" applyFont="1" applyFill="1" applyBorder="1" applyProtection="1">
      <protection locked="0"/>
    </xf>
    <xf numFmtId="10" fontId="30" fillId="0" borderId="176" xfId="2" applyNumberFormat="1" applyFont="1" applyFill="1" applyBorder="1" applyAlignment="1" applyProtection="1">
      <alignment vertical="center" wrapText="1"/>
      <protection locked="0"/>
    </xf>
    <xf numFmtId="168" fontId="30" fillId="11" borderId="176" xfId="5" applyNumberFormat="1" applyFont="1" applyFill="1" applyBorder="1" applyAlignment="1" applyProtection="1">
      <protection locked="0"/>
    </xf>
    <xf numFmtId="0" fontId="30" fillId="0" borderId="459" xfId="0" applyFont="1" applyFill="1" applyBorder="1" applyAlignment="1" applyProtection="1"/>
    <xf numFmtId="0" fontId="25" fillId="11" borderId="176" xfId="0" applyFont="1" applyFill="1" applyBorder="1" applyAlignment="1" applyProtection="1">
      <alignment horizontal="center"/>
      <protection locked="0"/>
    </xf>
    <xf numFmtId="10" fontId="78" fillId="9" borderId="316" xfId="2" applyNumberFormat="1" applyFont="1" applyFill="1" applyBorder="1" applyAlignment="1" applyProtection="1">
      <alignment horizontal="right" vertical="center"/>
      <protection locked="0"/>
    </xf>
    <xf numFmtId="10" fontId="78" fillId="9" borderId="320" xfId="2" applyNumberFormat="1" applyFont="1" applyFill="1" applyBorder="1" applyAlignment="1" applyProtection="1">
      <alignment horizontal="right" vertical="center"/>
      <protection locked="0"/>
    </xf>
    <xf numFmtId="10" fontId="78" fillId="9" borderId="323" xfId="2" applyNumberFormat="1" applyFont="1" applyFill="1" applyBorder="1" applyAlignment="1" applyProtection="1">
      <alignment horizontal="right" vertical="center"/>
      <protection locked="0"/>
    </xf>
    <xf numFmtId="10" fontId="78" fillId="9" borderId="312" xfId="2" applyNumberFormat="1" applyFont="1" applyFill="1" applyBorder="1" applyAlignment="1" applyProtection="1">
      <alignment horizontal="right" vertical="center"/>
      <protection locked="0"/>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165" fontId="60" fillId="10" borderId="347" xfId="5" applyFont="1" applyFill="1" applyBorder="1" applyAlignment="1" applyProtection="1">
      <alignment horizontal="center" vertical="center" wrapText="1"/>
      <protection locked="0"/>
    </xf>
    <xf numFmtId="0" fontId="21" fillId="0" borderId="361" xfId="0" applyFont="1" applyFill="1" applyBorder="1" applyAlignment="1" applyProtection="1">
      <alignment horizontal="center" vertical="center" wrapText="1"/>
    </xf>
    <xf numFmtId="0" fontId="21" fillId="0" borderId="362" xfId="0"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wrapText="1"/>
    </xf>
    <xf numFmtId="17" fontId="26" fillId="0" borderId="76" xfId="0" applyNumberFormat="1" applyFont="1" applyFill="1" applyBorder="1" applyAlignment="1" applyProtection="1">
      <alignment horizontal="center" vertical="center" wrapText="1"/>
    </xf>
    <xf numFmtId="17" fontId="26" fillId="0" borderId="450" xfId="0" applyNumberFormat="1" applyFont="1" applyFill="1" applyBorder="1" applyAlignment="1" applyProtection="1">
      <alignment horizontal="center" vertical="center" wrapText="1"/>
    </xf>
    <xf numFmtId="17" fontId="26" fillId="0" borderId="369" xfId="0" applyNumberFormat="1" applyFont="1" applyFill="1" applyBorder="1" applyAlignment="1" applyProtection="1">
      <alignment horizontal="center" vertical="center" wrapText="1"/>
    </xf>
    <xf numFmtId="17" fontId="15" fillId="0" borderId="92"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center"/>
    </xf>
    <xf numFmtId="0" fontId="45" fillId="0" borderId="0" xfId="0" applyFont="1" applyBorder="1" applyProtection="1"/>
    <xf numFmtId="0" fontId="45" fillId="4" borderId="0" xfId="0" applyFont="1" applyFill="1" applyBorder="1" applyProtection="1"/>
    <xf numFmtId="0" fontId="30" fillId="0" borderId="8" xfId="0" applyFont="1" applyBorder="1" applyProtection="1"/>
    <xf numFmtId="0" fontId="47" fillId="4" borderId="8" xfId="0" applyFont="1" applyFill="1" applyBorder="1" applyAlignment="1" applyProtection="1">
      <alignment horizontal="center" vertical="center"/>
    </xf>
    <xf numFmtId="0" fontId="6" fillId="4" borderId="0" xfId="0" applyFont="1" applyFill="1" applyProtection="1"/>
    <xf numFmtId="0" fontId="6" fillId="0" borderId="0" xfId="0" applyFont="1" applyProtection="1"/>
    <xf numFmtId="0" fontId="6" fillId="0" borderId="37" xfId="0" applyFont="1" applyBorder="1" applyProtection="1"/>
    <xf numFmtId="0" fontId="6" fillId="0" borderId="40" xfId="0" applyFont="1" applyBorder="1" applyProtection="1"/>
    <xf numFmtId="0" fontId="6" fillId="0" borderId="43" xfId="0" applyFont="1" applyBorder="1" applyProtection="1"/>
    <xf numFmtId="0" fontId="6" fillId="0" borderId="8" xfId="0" applyFont="1" applyBorder="1" applyProtection="1"/>
    <xf numFmtId="0" fontId="6" fillId="0" borderId="0" xfId="0" applyFont="1" applyFill="1" applyBorder="1" applyProtection="1"/>
    <xf numFmtId="0" fontId="30" fillId="0" borderId="11" xfId="0" applyFont="1" applyBorder="1" applyProtection="1"/>
    <xf numFmtId="0" fontId="30" fillId="0" borderId="113" xfId="0" applyFont="1" applyBorder="1" applyProtection="1"/>
    <xf numFmtId="0" fontId="0" fillId="0" borderId="106" xfId="0" applyBorder="1" applyProtection="1"/>
    <xf numFmtId="0" fontId="0" fillId="0" borderId="39" xfId="0" applyBorder="1" applyProtection="1"/>
    <xf numFmtId="0" fontId="30" fillId="0" borderId="39" xfId="0" applyFont="1" applyBorder="1" applyProtection="1"/>
    <xf numFmtId="0" fontId="30" fillId="0" borderId="42" xfId="0" applyFont="1" applyBorder="1" applyProtection="1"/>
    <xf numFmtId="0" fontId="10" fillId="0" borderId="176" xfId="0" applyFont="1" applyBorder="1" applyAlignment="1">
      <alignment horizontal="left" vertical="center"/>
    </xf>
    <xf numFmtId="0" fontId="0" fillId="0" borderId="0" xfId="0" applyNumberFormat="1"/>
    <xf numFmtId="0" fontId="0" fillId="0" borderId="0" xfId="0" applyBorder="1" applyAlignment="1" applyProtection="1">
      <alignment horizontal="center"/>
    </xf>
    <xf numFmtId="0" fontId="0" fillId="0" borderId="0" xfId="0" applyAlignment="1" applyProtection="1">
      <alignment wrapText="1"/>
    </xf>
    <xf numFmtId="0" fontId="6" fillId="3" borderId="446" xfId="0" applyFont="1" applyFill="1" applyBorder="1" applyAlignment="1" applyProtection="1">
      <alignment horizontal="left" vertical="center"/>
    </xf>
    <xf numFmtId="169" fontId="45" fillId="0" borderId="12" xfId="0" applyNumberFormat="1" applyFont="1" applyBorder="1" applyProtection="1"/>
    <xf numFmtId="172" fontId="2" fillId="2" borderId="473" xfId="1" applyNumberFormat="1" applyFont="1" applyFill="1" applyBorder="1" applyAlignment="1" applyProtection="1">
      <alignment horizontal="center" vertical="center"/>
      <protection locked="0"/>
    </xf>
    <xf numFmtId="0" fontId="55" fillId="0" borderId="0" xfId="0" applyFont="1" applyAlignment="1">
      <alignment horizontal="left"/>
    </xf>
    <xf numFmtId="0" fontId="0" fillId="0" borderId="476" xfId="0" applyBorder="1" applyProtection="1"/>
    <xf numFmtId="0" fontId="44" fillId="0" borderId="107" xfId="0" applyFont="1" applyFill="1" applyBorder="1" applyAlignment="1" applyProtection="1">
      <alignment vertical="center"/>
    </xf>
    <xf numFmtId="0" fontId="0" fillId="0" borderId="479" xfId="0" applyBorder="1" applyProtection="1"/>
    <xf numFmtId="0" fontId="0" fillId="0" borderId="480" xfId="0" applyBorder="1" applyProtection="1"/>
    <xf numFmtId="0" fontId="0" fillId="0" borderId="485" xfId="0" applyFont="1" applyBorder="1" applyProtection="1"/>
    <xf numFmtId="0" fontId="0" fillId="0" borderId="487" xfId="0" applyFont="1" applyBorder="1" applyProtection="1"/>
    <xf numFmtId="0" fontId="36" fillId="0" borderId="432" xfId="6" applyBorder="1" applyAlignment="1" applyProtection="1">
      <alignment vertical="center" wrapText="1"/>
    </xf>
    <xf numFmtId="0" fontId="5" fillId="22" borderId="463" xfId="0" applyFont="1" applyFill="1" applyBorder="1" applyAlignment="1" applyProtection="1">
      <alignment horizontal="center" vertical="center"/>
    </xf>
    <xf numFmtId="0" fontId="0" fillId="8" borderId="0" xfId="0" applyFill="1" applyBorder="1" applyProtection="1"/>
    <xf numFmtId="0" fontId="0" fillId="0" borderId="0" xfId="0" applyBorder="1" applyAlignment="1" applyProtection="1">
      <alignment horizontal="left" vertical="center"/>
    </xf>
    <xf numFmtId="0" fontId="0" fillId="8" borderId="0" xfId="0" applyFill="1" applyBorder="1" applyAlignment="1" applyProtection="1">
      <alignment vertical="center"/>
    </xf>
    <xf numFmtId="0" fontId="0" fillId="10" borderId="0" xfId="0" applyFill="1" applyBorder="1" applyProtection="1"/>
    <xf numFmtId="0" fontId="0" fillId="11" borderId="0" xfId="0" applyFill="1" applyBorder="1" applyProtection="1"/>
    <xf numFmtId="0" fontId="0" fillId="8" borderId="489" xfId="0" applyFill="1" applyBorder="1" applyProtection="1"/>
    <xf numFmtId="0" fontId="0" fillId="8" borderId="177" xfId="0" applyFill="1" applyBorder="1" applyProtection="1"/>
    <xf numFmtId="0" fontId="0" fillId="0" borderId="488" xfId="0" applyBorder="1" applyAlignment="1" applyProtection="1">
      <alignment horizontal="left" vertical="center"/>
    </xf>
    <xf numFmtId="0" fontId="0" fillId="8" borderId="177" xfId="0" applyFill="1" applyBorder="1" applyAlignment="1" applyProtection="1">
      <alignment horizontal="left" vertical="center"/>
    </xf>
    <xf numFmtId="0" fontId="0" fillId="0" borderId="177" xfId="0" applyBorder="1" applyAlignment="1" applyProtection="1">
      <alignment horizontal="left" vertical="center"/>
    </xf>
    <xf numFmtId="0" fontId="0" fillId="11" borderId="489" xfId="0" applyFill="1" applyBorder="1" applyProtection="1"/>
    <xf numFmtId="0" fontId="0" fillId="0" borderId="177" xfId="0" applyBorder="1" applyProtection="1"/>
    <xf numFmtId="0" fontId="0" fillId="8" borderId="446" xfId="0" applyFill="1" applyBorder="1" applyProtection="1"/>
    <xf numFmtId="0" fontId="5" fillId="22" borderId="463" xfId="0" applyFont="1" applyFill="1" applyBorder="1" applyAlignment="1" applyProtection="1">
      <alignment horizontal="center" vertical="center" wrapText="1"/>
    </xf>
    <xf numFmtId="0" fontId="5" fillId="22" borderId="447" xfId="0" applyFont="1" applyFill="1" applyBorder="1" applyAlignment="1" applyProtection="1">
      <alignment horizontal="center" vertical="center"/>
    </xf>
    <xf numFmtId="0" fontId="79" fillId="0" borderId="8" xfId="0" applyFont="1" applyBorder="1" applyAlignment="1" applyProtection="1">
      <alignment vertical="center"/>
    </xf>
    <xf numFmtId="0" fontId="79" fillId="0" borderId="8" xfId="0" applyFont="1" applyBorder="1" applyAlignment="1" applyProtection="1">
      <alignment vertical="center" wrapText="1"/>
    </xf>
    <xf numFmtId="0" fontId="79" fillId="0" borderId="8" xfId="0" applyFont="1" applyBorder="1" applyProtection="1"/>
    <xf numFmtId="0" fontId="79" fillId="0" borderId="8" xfId="0" applyFont="1" applyBorder="1" applyAlignment="1" applyProtection="1">
      <alignment horizontal="left"/>
    </xf>
    <xf numFmtId="0" fontId="79" fillId="0" borderId="8" xfId="0" applyFont="1" applyBorder="1" applyAlignment="1" applyProtection="1"/>
    <xf numFmtId="0" fontId="7" fillId="4" borderId="0" xfId="0" applyFont="1" applyFill="1" applyProtection="1"/>
    <xf numFmtId="170" fontId="40" fillId="0" borderId="154" xfId="0" applyNumberFormat="1" applyFont="1" applyBorder="1" applyAlignment="1" applyProtection="1">
      <alignment horizontal="center" vertical="center" wrapText="1"/>
    </xf>
    <xf numFmtId="170" fontId="10" fillId="0" borderId="154" xfId="5" applyNumberFormat="1" applyFont="1" applyFill="1" applyBorder="1" applyAlignment="1" applyProtection="1">
      <alignment horizontal="right" vertical="center"/>
    </xf>
    <xf numFmtId="170" fontId="10" fillId="0" borderId="155" xfId="5" applyNumberFormat="1" applyFont="1" applyFill="1" applyBorder="1" applyAlignment="1" applyProtection="1">
      <alignment horizontal="right" vertical="center"/>
    </xf>
    <xf numFmtId="170" fontId="10" fillId="0" borderId="156" xfId="5" applyNumberFormat="1" applyFont="1" applyFill="1" applyBorder="1" applyAlignment="1" applyProtection="1">
      <alignment horizontal="right" vertical="center"/>
    </xf>
    <xf numFmtId="0" fontId="40" fillId="0" borderId="490" xfId="0" applyFont="1" applyBorder="1" applyAlignment="1" applyProtection="1">
      <alignment horizontal="left" vertical="center" wrapText="1"/>
    </xf>
    <xf numFmtId="0" fontId="60" fillId="20" borderId="491" xfId="0" applyFont="1" applyFill="1" applyBorder="1" applyAlignment="1" applyProtection="1">
      <alignment horizontal="left" vertical="center"/>
    </xf>
    <xf numFmtId="0" fontId="60" fillId="0" borderId="492" xfId="0" applyFont="1" applyBorder="1" applyAlignment="1" applyProtection="1">
      <alignment horizontal="left" vertical="center"/>
    </xf>
    <xf numFmtId="0" fontId="60" fillId="20" borderId="492" xfId="0" applyFont="1" applyFill="1" applyBorder="1" applyAlignment="1" applyProtection="1">
      <alignment horizontal="left" vertical="center"/>
    </xf>
    <xf numFmtId="0" fontId="60" fillId="0" borderId="493" xfId="0" applyFont="1" applyBorder="1" applyAlignment="1" applyProtection="1">
      <alignment horizontal="left" vertical="center"/>
    </xf>
    <xf numFmtId="0" fontId="40" fillId="0" borderId="494" xfId="0" applyFont="1" applyBorder="1" applyAlignment="1" applyProtection="1"/>
    <xf numFmtId="0" fontId="40" fillId="0" borderId="495" xfId="0" applyFont="1" applyFill="1" applyBorder="1" applyAlignment="1" applyProtection="1">
      <alignment vertical="center"/>
    </xf>
    <xf numFmtId="170" fontId="10" fillId="0" borderId="392" xfId="5" applyNumberFormat="1" applyFont="1" applyFill="1" applyBorder="1" applyProtection="1"/>
    <xf numFmtId="0" fontId="54" fillId="4" borderId="99" xfId="0" applyFont="1" applyFill="1" applyBorder="1" applyProtection="1"/>
    <xf numFmtId="0" fontId="54" fillId="4" borderId="11" xfId="0" applyFont="1" applyFill="1" applyBorder="1" applyProtection="1"/>
    <xf numFmtId="0" fontId="54" fillId="4" borderId="11" xfId="0" applyFont="1" applyFill="1" applyBorder="1" applyAlignment="1" applyProtection="1">
      <alignment horizontal="right"/>
    </xf>
    <xf numFmtId="0" fontId="54" fillId="4" borderId="0" xfId="0" applyFont="1" applyFill="1" applyBorder="1" applyProtection="1"/>
    <xf numFmtId="0" fontId="54" fillId="4" borderId="0" xfId="0" applyFont="1" applyFill="1" applyBorder="1" applyAlignment="1" applyProtection="1">
      <alignment horizontal="right"/>
    </xf>
    <xf numFmtId="170" fontId="40" fillId="20" borderId="155" xfId="0" applyNumberFormat="1" applyFont="1" applyFill="1" applyBorder="1" applyProtection="1"/>
    <xf numFmtId="170" fontId="40" fillId="20" borderId="497" xfId="0" applyNumberFormat="1" applyFont="1" applyFill="1" applyBorder="1" applyProtection="1"/>
    <xf numFmtId="170" fontId="40" fillId="0" borderId="496" xfId="0" applyNumberFormat="1" applyFont="1" applyBorder="1" applyProtection="1"/>
    <xf numFmtId="165" fontId="10" fillId="0" borderId="499" xfId="5" applyFont="1" applyFill="1" applyBorder="1" applyAlignment="1" applyProtection="1">
      <alignment horizontal="left" vertical="center"/>
    </xf>
    <xf numFmtId="0" fontId="40" fillId="0" borderId="155" xfId="0" applyFont="1" applyBorder="1" applyAlignment="1" applyProtection="1">
      <alignment horizontal="center" vertical="center" wrapText="1"/>
    </xf>
    <xf numFmtId="170" fontId="40" fillId="0" borderId="155" xfId="0" applyNumberFormat="1" applyFont="1" applyBorder="1" applyAlignment="1" applyProtection="1">
      <alignment horizontal="center" vertical="center" wrapText="1"/>
    </xf>
    <xf numFmtId="0" fontId="40" fillId="0" borderId="500" xfId="0" applyFont="1" applyBorder="1" applyAlignment="1" applyProtection="1">
      <alignment horizontal="center" vertical="center" wrapText="1"/>
    </xf>
    <xf numFmtId="170" fontId="40" fillId="0" borderId="503" xfId="0" applyNumberFormat="1" applyFont="1" applyBorder="1" applyAlignment="1" applyProtection="1">
      <alignment horizontal="center" vertical="center" wrapText="1"/>
    </xf>
    <xf numFmtId="170" fontId="40" fillId="0" borderId="512" xfId="0" applyNumberFormat="1" applyFont="1" applyBorder="1" applyAlignment="1" applyProtection="1">
      <alignment horizontal="center" vertical="center" wrapText="1"/>
    </xf>
    <xf numFmtId="0" fontId="10" fillId="0" borderId="490" xfId="5" applyNumberFormat="1" applyFont="1" applyFill="1" applyBorder="1" applyAlignment="1" applyProtection="1">
      <alignment horizontal="right" vertical="center"/>
    </xf>
    <xf numFmtId="0" fontId="10" fillId="0" borderId="492" xfId="5" applyNumberFormat="1" applyFont="1" applyFill="1" applyBorder="1" applyAlignment="1" applyProtection="1">
      <alignment horizontal="right" vertical="center"/>
    </xf>
    <xf numFmtId="0" fontId="10" fillId="0" borderId="493" xfId="5" applyNumberFormat="1" applyFont="1" applyFill="1" applyBorder="1" applyAlignment="1" applyProtection="1">
      <alignment horizontal="right" vertical="center"/>
    </xf>
    <xf numFmtId="170" fontId="10" fillId="0" borderId="154" xfId="5" applyNumberFormat="1" applyFont="1" applyFill="1" applyBorder="1" applyProtection="1"/>
    <xf numFmtId="170" fontId="10" fillId="0" borderId="155" xfId="5" applyNumberFormat="1" applyFont="1" applyFill="1" applyBorder="1" applyProtection="1"/>
    <xf numFmtId="170" fontId="10" fillId="0" borderId="156" xfId="5" applyNumberFormat="1" applyFont="1" applyFill="1" applyBorder="1" applyProtection="1"/>
    <xf numFmtId="170" fontId="40" fillId="0" borderId="155" xfId="0" applyNumberFormat="1" applyFont="1" applyBorder="1" applyProtection="1"/>
    <xf numFmtId="0" fontId="18" fillId="4" borderId="114" xfId="0" applyFont="1" applyFill="1" applyBorder="1" applyAlignment="1" applyProtection="1">
      <alignment vertical="center"/>
    </xf>
    <xf numFmtId="0" fontId="40" fillId="4" borderId="513" xfId="0" applyFont="1" applyFill="1" applyBorder="1" applyProtection="1"/>
    <xf numFmtId="0" fontId="54" fillId="4" borderId="514" xfId="0" applyFont="1" applyFill="1" applyBorder="1" applyProtection="1"/>
    <xf numFmtId="0" fontId="54" fillId="4" borderId="515" xfId="0" applyFont="1" applyFill="1" applyBorder="1" applyProtection="1"/>
    <xf numFmtId="0" fontId="54" fillId="4" borderId="517" xfId="0" applyFont="1" applyFill="1" applyBorder="1" applyProtection="1"/>
    <xf numFmtId="0" fontId="56" fillId="4" borderId="515" xfId="0" applyFont="1" applyFill="1" applyBorder="1" applyAlignment="1" applyProtection="1">
      <alignment vertical="center"/>
    </xf>
    <xf numFmtId="0" fontId="40" fillId="4" borderId="519" xfId="0" applyFont="1" applyFill="1" applyBorder="1" applyProtection="1"/>
    <xf numFmtId="0" fontId="54" fillId="4" borderId="520" xfId="0" applyFont="1" applyFill="1" applyBorder="1" applyProtection="1"/>
    <xf numFmtId="170" fontId="10" fillId="0" borderId="0" xfId="5" applyNumberFormat="1" applyFont="1" applyFill="1" applyBorder="1" applyAlignment="1" applyProtection="1">
      <alignment horizontal="right" vertical="center"/>
    </xf>
    <xf numFmtId="170" fontId="54" fillId="0" borderId="155" xfId="0" applyNumberFormat="1" applyFont="1" applyFill="1" applyBorder="1" applyAlignment="1" applyProtection="1">
      <alignment horizontal="right" vertical="center"/>
    </xf>
    <xf numFmtId="170" fontId="54" fillId="0" borderId="156" xfId="0" applyNumberFormat="1" applyFont="1" applyFill="1" applyBorder="1" applyAlignment="1" applyProtection="1">
      <alignment horizontal="right" vertical="center"/>
    </xf>
    <xf numFmtId="170" fontId="40" fillId="0" borderId="505" xfId="0" applyNumberFormat="1" applyFont="1" applyBorder="1" applyAlignment="1" applyProtection="1">
      <alignment horizontal="center" vertical="center"/>
    </xf>
    <xf numFmtId="170" fontId="40" fillId="0" borderId="506" xfId="0" applyNumberFormat="1" applyFont="1" applyBorder="1" applyAlignment="1" applyProtection="1">
      <alignment horizontal="center" vertical="center" wrapText="1"/>
    </xf>
    <xf numFmtId="170" fontId="40" fillId="0" borderId="503" xfId="0" applyNumberFormat="1" applyFont="1" applyBorder="1" applyAlignment="1" applyProtection="1">
      <alignment horizontal="center" vertical="center"/>
    </xf>
    <xf numFmtId="0" fontId="40" fillId="0" borderId="502" xfId="0" applyFont="1" applyBorder="1" applyAlignment="1" applyProtection="1">
      <alignment horizontal="center" vertical="center" wrapText="1"/>
    </xf>
    <xf numFmtId="170" fontId="40" fillId="0" borderId="0" xfId="0" applyNumberFormat="1" applyFont="1" applyBorder="1" applyAlignment="1" applyProtection="1">
      <alignment horizontal="center" vertical="center" wrapText="1"/>
    </xf>
    <xf numFmtId="170" fontId="40" fillId="0" borderId="523" xfId="0" applyNumberFormat="1" applyFont="1" applyBorder="1" applyAlignment="1" applyProtection="1">
      <alignment horizontal="center" vertical="center"/>
    </xf>
    <xf numFmtId="0" fontId="40" fillId="0" borderId="512" xfId="0" applyFont="1" applyBorder="1" applyAlignment="1" applyProtection="1">
      <alignment horizontal="center" vertical="center" wrapText="1"/>
    </xf>
    <xf numFmtId="170" fontId="40" fillId="0" borderId="524" xfId="0" applyNumberFormat="1" applyFont="1" applyBorder="1" applyAlignment="1" applyProtection="1">
      <alignment horizontal="center" vertical="center"/>
    </xf>
    <xf numFmtId="0" fontId="40" fillId="0" borderId="525" xfId="0" applyFont="1" applyBorder="1" applyAlignment="1" applyProtection="1">
      <alignment horizontal="center" vertical="center" wrapText="1"/>
    </xf>
    <xf numFmtId="0" fontId="40" fillId="0" borderId="528" xfId="0" applyFont="1" applyBorder="1" applyAlignment="1" applyProtection="1">
      <alignment horizontal="center" vertical="center" wrapText="1"/>
    </xf>
    <xf numFmtId="165" fontId="10" fillId="0" borderId="529" xfId="5" applyFont="1" applyFill="1" applyBorder="1" applyProtection="1"/>
    <xf numFmtId="165" fontId="18" fillId="14" borderId="347" xfId="5" applyFont="1" applyFill="1" applyBorder="1" applyAlignment="1" applyProtection="1">
      <alignment horizontal="left" vertical="center" wrapText="1"/>
    </xf>
    <xf numFmtId="0" fontId="54" fillId="0" borderId="0" xfId="7" applyFont="1" applyBorder="1" applyAlignment="1" applyProtection="1">
      <alignment vertical="center" wrapText="1"/>
    </xf>
    <xf numFmtId="0" fontId="10" fillId="0" borderId="0" xfId="7" applyFont="1" applyBorder="1" applyAlignment="1" applyProtection="1">
      <alignment vertical="center"/>
    </xf>
    <xf numFmtId="165" fontId="17" fillId="34" borderId="348" xfId="5" applyFont="1" applyFill="1" applyBorder="1" applyAlignment="1" applyProtection="1">
      <alignment horizontal="left" vertical="center"/>
    </xf>
    <xf numFmtId="165" fontId="17" fillId="34" borderId="0" xfId="5" applyFont="1" applyFill="1" applyBorder="1" applyAlignment="1" applyProtection="1">
      <alignment horizontal="left" vertical="center"/>
    </xf>
    <xf numFmtId="0" fontId="10" fillId="34" borderId="0" xfId="7" applyFont="1" applyFill="1" applyBorder="1" applyAlignment="1" applyProtection="1">
      <alignment vertical="center"/>
    </xf>
    <xf numFmtId="0" fontId="0" fillId="8" borderId="473" xfId="0" applyFill="1" applyBorder="1" applyAlignment="1" applyProtection="1">
      <alignment horizontal="center" vertical="center" wrapText="1"/>
    </xf>
    <xf numFmtId="1" fontId="62" fillId="19" borderId="348" xfId="0" applyNumberFormat="1" applyFont="1" applyFill="1" applyBorder="1" applyAlignment="1" applyProtection="1">
      <alignment horizontal="left" vertical="center"/>
    </xf>
    <xf numFmtId="0" fontId="30" fillId="29" borderId="328" xfId="0" applyNumberFormat="1" applyFont="1" applyFill="1" applyBorder="1" applyAlignment="1" applyProtection="1">
      <alignment horizontal="right" vertical="center"/>
      <protection locked="0"/>
    </xf>
    <xf numFmtId="0" fontId="15" fillId="4" borderId="343" xfId="0" applyFont="1" applyFill="1" applyBorder="1" applyAlignment="1" applyProtection="1">
      <alignment horizontal="center" vertical="center"/>
    </xf>
    <xf numFmtId="0" fontId="16" fillId="8" borderId="94" xfId="0" applyNumberFormat="1" applyFont="1" applyFill="1" applyBorder="1" applyAlignment="1" applyProtection="1">
      <alignment horizontal="center" vertical="center"/>
    </xf>
    <xf numFmtId="0" fontId="16" fillId="8" borderId="94" xfId="0" applyFont="1" applyFill="1" applyBorder="1" applyAlignment="1" applyProtection="1">
      <alignment horizontal="center" vertical="center"/>
    </xf>
    <xf numFmtId="0" fontId="16" fillId="4" borderId="343" xfId="5" applyNumberFormat="1" applyFont="1" applyFill="1" applyBorder="1" applyAlignment="1">
      <alignment vertical="center"/>
    </xf>
    <xf numFmtId="0" fontId="16" fillId="4" borderId="343" xfId="5" applyNumberFormat="1" applyFont="1" applyFill="1" applyBorder="1" applyAlignment="1">
      <alignment horizontal="center" vertical="center"/>
    </xf>
    <xf numFmtId="0" fontId="16" fillId="4" borderId="343" xfId="5" applyNumberFormat="1" applyFont="1" applyFill="1" applyBorder="1" applyAlignment="1" applyProtection="1">
      <alignment vertical="center"/>
    </xf>
    <xf numFmtId="0" fontId="15" fillId="4" borderId="343" xfId="0" applyFont="1" applyFill="1" applyBorder="1" applyAlignment="1" applyProtection="1">
      <alignment horizontal="center" vertical="center"/>
    </xf>
    <xf numFmtId="0" fontId="16" fillId="4" borderId="343" xfId="0" applyFont="1" applyFill="1" applyBorder="1" applyAlignment="1" applyProtection="1">
      <alignment vertical="center"/>
    </xf>
    <xf numFmtId="0" fontId="10" fillId="0" borderId="348" xfId="0" applyFont="1" applyFill="1" applyBorder="1" applyAlignment="1">
      <alignment horizontal="left"/>
    </xf>
    <xf numFmtId="0" fontId="16" fillId="23" borderId="533" xfId="0" applyFont="1" applyFill="1" applyBorder="1" applyAlignment="1">
      <alignment horizontal="center" vertical="center"/>
    </xf>
    <xf numFmtId="0" fontId="16" fillId="0" borderId="533" xfId="0" applyFont="1" applyBorder="1" applyAlignment="1">
      <alignment horizontal="center" vertical="center"/>
    </xf>
    <xf numFmtId="0" fontId="16" fillId="23" borderId="534" xfId="0" applyFont="1" applyFill="1" applyBorder="1" applyAlignment="1">
      <alignment horizontal="center" vertical="center"/>
    </xf>
    <xf numFmtId="0" fontId="16" fillId="8" borderId="533" xfId="0" applyFont="1" applyFill="1" applyBorder="1" applyAlignment="1">
      <alignment horizontal="right" vertical="center"/>
    </xf>
    <xf numFmtId="0" fontId="16" fillId="0" borderId="533" xfId="0" applyFont="1" applyBorder="1" applyAlignment="1">
      <alignment horizontal="right" vertical="center"/>
    </xf>
    <xf numFmtId="0" fontId="16" fillId="8" borderId="534" xfId="0" applyFont="1" applyFill="1" applyBorder="1" applyAlignment="1">
      <alignment horizontal="right" vertical="center"/>
    </xf>
    <xf numFmtId="0" fontId="16" fillId="23" borderId="533" xfId="0" applyFont="1" applyFill="1" applyBorder="1" applyAlignment="1">
      <alignment horizontal="right" vertical="center"/>
    </xf>
    <xf numFmtId="0" fontId="16" fillId="0" borderId="534" xfId="0" applyFont="1" applyBorder="1" applyAlignment="1">
      <alignment horizontal="right" vertical="center"/>
    </xf>
    <xf numFmtId="0" fontId="16" fillId="23" borderId="533" xfId="0" applyNumberFormat="1" applyFont="1" applyFill="1" applyBorder="1" applyAlignment="1">
      <alignment horizontal="right" vertical="center"/>
    </xf>
    <xf numFmtId="0" fontId="16" fillId="0" borderId="533" xfId="0" applyNumberFormat="1" applyFont="1" applyBorder="1" applyAlignment="1">
      <alignment horizontal="right" vertical="center"/>
    </xf>
    <xf numFmtId="0" fontId="16" fillId="23" borderId="534" xfId="0" applyFont="1" applyFill="1" applyBorder="1" applyAlignment="1">
      <alignment horizontal="right" vertical="center"/>
    </xf>
    <xf numFmtId="0" fontId="17" fillId="4" borderId="0" xfId="0" applyFont="1" applyFill="1" applyAlignment="1" applyProtection="1">
      <alignment horizontal="center" vertical="center"/>
    </xf>
    <xf numFmtId="0" fontId="45" fillId="4" borderId="343" xfId="5" applyNumberFormat="1" applyFont="1" applyFill="1" applyBorder="1" applyAlignment="1">
      <alignment horizontal="center" vertical="center"/>
    </xf>
    <xf numFmtId="0" fontId="45" fillId="4" borderId="0" xfId="0" applyFont="1" applyFill="1" applyAlignment="1" applyProtection="1">
      <alignment vertical="center"/>
    </xf>
    <xf numFmtId="0" fontId="45" fillId="4" borderId="343" xfId="5" applyNumberFormat="1" applyFont="1" applyFill="1" applyBorder="1" applyAlignment="1">
      <alignment vertical="center"/>
    </xf>
    <xf numFmtId="0" fontId="45" fillId="4" borderId="343" xfId="0" applyFont="1" applyFill="1" applyBorder="1" applyAlignment="1" applyProtection="1">
      <alignment vertical="center"/>
    </xf>
    <xf numFmtId="0" fontId="55" fillId="4" borderId="343" xfId="0" applyFont="1" applyFill="1" applyBorder="1" applyAlignment="1" applyProtection="1">
      <alignment vertical="center"/>
    </xf>
    <xf numFmtId="165" fontId="10" fillId="0" borderId="0" xfId="5" quotePrefix="1" applyFont="1" applyBorder="1" applyAlignment="1" applyProtection="1">
      <alignment horizontal="center" vertical="center"/>
      <protection locked="0"/>
    </xf>
    <xf numFmtId="0" fontId="47" fillId="0" borderId="51" xfId="0" applyFont="1" applyFill="1" applyBorder="1" applyAlignment="1" applyProtection="1">
      <alignment horizontal="left" vertical="center"/>
    </xf>
    <xf numFmtId="0" fontId="82" fillId="0" borderId="268" xfId="0" applyFont="1" applyFill="1" applyBorder="1" applyAlignment="1" applyProtection="1">
      <alignment horizontal="right" vertical="center"/>
    </xf>
    <xf numFmtId="0" fontId="82" fillId="0" borderId="266" xfId="0" applyFont="1" applyFill="1" applyBorder="1" applyAlignment="1" applyProtection="1">
      <alignment horizontal="right" vertical="center"/>
    </xf>
    <xf numFmtId="0" fontId="82" fillId="10" borderId="268" xfId="0" applyFont="1" applyFill="1" applyBorder="1" applyAlignment="1" applyProtection="1">
      <alignment horizontal="right" vertical="center"/>
    </xf>
    <xf numFmtId="0" fontId="10" fillId="4" borderId="0" xfId="0" applyFont="1" applyFill="1" applyAlignment="1" applyProtection="1">
      <alignment vertical="center"/>
    </xf>
    <xf numFmtId="0" fontId="83" fillId="4" borderId="338" xfId="0" applyFont="1" applyFill="1" applyBorder="1" applyAlignment="1" applyProtection="1">
      <alignment vertical="center"/>
    </xf>
    <xf numFmtId="0" fontId="83" fillId="4" borderId="337" xfId="0" applyFont="1" applyFill="1" applyBorder="1" applyAlignment="1" applyProtection="1">
      <alignment vertical="center"/>
    </xf>
    <xf numFmtId="165" fontId="17" fillId="0" borderId="348" xfId="5"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69" xfId="0" applyFont="1" applyFill="1" applyBorder="1" applyAlignment="1">
      <alignment vertical="center"/>
    </xf>
    <xf numFmtId="0" fontId="20" fillId="11" borderId="239" xfId="0" applyFont="1" applyFill="1" applyBorder="1" applyAlignment="1">
      <alignment horizontal="left" vertical="center"/>
    </xf>
    <xf numFmtId="0" fontId="20" fillId="0" borderId="239" xfId="0" applyFont="1" applyFill="1" applyBorder="1" applyAlignment="1" applyProtection="1">
      <alignment horizontal="left" vertical="center"/>
    </xf>
    <xf numFmtId="0" fontId="20" fillId="11" borderId="239" xfId="0" applyFont="1" applyFill="1" applyBorder="1" applyAlignment="1" applyProtection="1">
      <alignment horizontal="left" vertical="center"/>
    </xf>
    <xf numFmtId="0" fontId="20" fillId="0" borderId="241" xfId="0"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341" xfId="0" applyFont="1" applyFill="1" applyBorder="1" applyAlignment="1">
      <alignment vertical="center"/>
    </xf>
    <xf numFmtId="0" fontId="45" fillId="4" borderId="0" xfId="0" applyFont="1" applyFill="1" applyBorder="1" applyAlignment="1" applyProtection="1">
      <alignment vertical="center"/>
    </xf>
    <xf numFmtId="0" fontId="85" fillId="4" borderId="0" xfId="0" applyFont="1" applyFill="1" applyAlignment="1" applyProtection="1">
      <alignment vertical="center"/>
    </xf>
    <xf numFmtId="0" fontId="20" fillId="18" borderId="330" xfId="0" applyFont="1" applyFill="1" applyBorder="1" applyAlignment="1">
      <alignment horizontal="center" vertical="center"/>
    </xf>
    <xf numFmtId="0" fontId="20" fillId="0" borderId="331" xfId="0" applyFont="1" applyBorder="1" applyAlignment="1" applyProtection="1">
      <alignment horizontal="center" vertical="center"/>
    </xf>
    <xf numFmtId="0" fontId="20" fillId="18" borderId="331" xfId="0" applyFont="1" applyFill="1" applyBorder="1" applyAlignment="1" applyProtection="1">
      <alignment horizontal="center" vertical="center"/>
    </xf>
    <xf numFmtId="0" fontId="20" fillId="0" borderId="328" xfId="0" applyFont="1" applyBorder="1" applyAlignment="1" applyProtection="1">
      <alignment horizontal="center" vertical="center"/>
    </xf>
    <xf numFmtId="0" fontId="85" fillId="18" borderId="331" xfId="0" applyFont="1" applyFill="1" applyBorder="1" applyAlignment="1" applyProtection="1">
      <alignment horizontal="center" vertical="center"/>
      <protection locked="0"/>
    </xf>
    <xf numFmtId="0" fontId="85" fillId="0" borderId="331" xfId="0" applyFont="1" applyBorder="1" applyAlignment="1" applyProtection="1">
      <alignment horizontal="center" vertical="center"/>
      <protection locked="0"/>
    </xf>
    <xf numFmtId="0" fontId="85" fillId="0" borderId="331" xfId="0" applyNumberFormat="1" applyFont="1" applyBorder="1" applyAlignment="1" applyProtection="1">
      <alignment horizontal="center" vertical="center"/>
      <protection locked="0"/>
    </xf>
    <xf numFmtId="0" fontId="85" fillId="18" borderId="331" xfId="0" applyNumberFormat="1" applyFont="1" applyFill="1" applyBorder="1" applyAlignment="1" applyProtection="1">
      <alignment horizontal="center" vertical="center"/>
      <protection locked="0"/>
    </xf>
    <xf numFmtId="0" fontId="85" fillId="18" borderId="328" xfId="0" applyFont="1" applyFill="1" applyBorder="1" applyAlignment="1" applyProtection="1">
      <alignment horizontal="center" vertical="center"/>
      <protection locked="0"/>
    </xf>
    <xf numFmtId="0" fontId="85" fillId="18" borderId="327" xfId="0" applyFont="1" applyFill="1" applyBorder="1" applyAlignment="1" applyProtection="1">
      <alignment horizontal="center" vertical="center"/>
      <protection locked="0"/>
    </xf>
    <xf numFmtId="0" fontId="85" fillId="0" borderId="328" xfId="0" applyFont="1" applyBorder="1" applyAlignment="1" applyProtection="1">
      <alignment horizontal="center" vertical="center"/>
      <protection locked="0"/>
    </xf>
    <xf numFmtId="0" fontId="85" fillId="18" borderId="327" xfId="0" applyFont="1" applyFill="1" applyBorder="1" applyAlignment="1" applyProtection="1">
      <alignment horizontal="center" vertical="center" wrapText="1"/>
      <protection locked="0"/>
    </xf>
    <xf numFmtId="0" fontId="86" fillId="0" borderId="0" xfId="7" applyFont="1" applyBorder="1" applyAlignment="1" applyProtection="1">
      <alignment vertical="center" wrapText="1"/>
    </xf>
    <xf numFmtId="0" fontId="87" fillId="0" borderId="0" xfId="7" applyFont="1" applyBorder="1" applyAlignment="1" applyProtection="1">
      <alignment vertical="center"/>
      <protection locked="0"/>
    </xf>
    <xf numFmtId="0" fontId="87" fillId="0" borderId="0" xfId="7" applyFont="1" applyBorder="1" applyAlignment="1" applyProtection="1">
      <alignment vertical="center"/>
    </xf>
    <xf numFmtId="1" fontId="86" fillId="0" borderId="347" xfId="0" applyNumberFormat="1" applyFont="1" applyFill="1" applyBorder="1" applyAlignment="1" applyProtection="1">
      <alignment horizontal="center" vertical="center" wrapText="1"/>
    </xf>
    <xf numFmtId="0" fontId="85" fillId="4" borderId="69" xfId="0" applyFont="1" applyFill="1" applyBorder="1" applyAlignment="1">
      <alignment vertical="center"/>
    </xf>
    <xf numFmtId="0" fontId="85" fillId="4" borderId="341" xfId="0" applyFont="1" applyFill="1" applyBorder="1" applyAlignment="1">
      <alignment vertical="center"/>
    </xf>
    <xf numFmtId="0" fontId="6" fillId="4" borderId="69" xfId="0" applyFont="1" applyFill="1" applyBorder="1" applyAlignment="1">
      <alignment vertical="center"/>
    </xf>
    <xf numFmtId="0" fontId="54" fillId="0" borderId="0" xfId="0" applyFont="1"/>
    <xf numFmtId="0" fontId="49" fillId="17" borderId="535" xfId="0" applyFont="1" applyFill="1" applyBorder="1" applyAlignment="1">
      <alignment horizontal="right" vertical="center"/>
    </xf>
    <xf numFmtId="0" fontId="49" fillId="0" borderId="536" xfId="0" applyFont="1" applyBorder="1" applyAlignment="1">
      <alignment horizontal="right" vertical="center"/>
    </xf>
    <xf numFmtId="0" fontId="49" fillId="17" borderId="536" xfId="0" applyNumberFormat="1" applyFont="1" applyFill="1" applyBorder="1" applyAlignment="1">
      <alignment horizontal="right" vertical="center"/>
    </xf>
    <xf numFmtId="0" fontId="49" fillId="0" borderId="536" xfId="0" applyNumberFormat="1" applyFont="1" applyBorder="1" applyAlignment="1">
      <alignment horizontal="right" vertical="center"/>
    </xf>
    <xf numFmtId="0" fontId="49" fillId="17" borderId="537" xfId="0" applyFont="1" applyFill="1" applyBorder="1" applyAlignment="1">
      <alignment horizontal="right" vertical="center"/>
    </xf>
    <xf numFmtId="0" fontId="18" fillId="4" borderId="0" xfId="0" quotePrefix="1" applyFont="1" applyFill="1" applyAlignment="1" applyProtection="1">
      <alignment horizontal="center" vertical="center"/>
    </xf>
    <xf numFmtId="0" fontId="90" fillId="10" borderId="268" xfId="0" applyFont="1" applyFill="1" applyBorder="1" applyAlignment="1" applyProtection="1">
      <alignment horizontal="right" vertical="center"/>
      <protection locked="0"/>
    </xf>
    <xf numFmtId="0" fontId="90" fillId="0" borderId="268" xfId="0" applyFont="1" applyFill="1" applyBorder="1" applyAlignment="1" applyProtection="1">
      <alignment horizontal="right" vertical="center"/>
      <protection locked="0"/>
    </xf>
    <xf numFmtId="0" fontId="90" fillId="0" borderId="268" xfId="0" applyNumberFormat="1" applyFont="1" applyFill="1" applyBorder="1" applyAlignment="1" applyProtection="1">
      <alignment horizontal="right" vertical="center"/>
      <protection locked="0"/>
    </xf>
    <xf numFmtId="0" fontId="90" fillId="10" borderId="260" xfId="0" applyFont="1" applyFill="1" applyBorder="1" applyAlignment="1" applyProtection="1">
      <alignment horizontal="right" vertical="center"/>
      <protection locked="0"/>
    </xf>
    <xf numFmtId="0" fontId="91" fillId="4" borderId="0" xfId="0" applyFont="1" applyFill="1" applyAlignment="1" applyProtection="1">
      <alignment vertical="center"/>
    </xf>
    <xf numFmtId="0" fontId="92" fillId="4" borderId="0" xfId="0" applyFont="1" applyFill="1" applyAlignment="1" applyProtection="1">
      <alignment vertical="center"/>
    </xf>
    <xf numFmtId="0" fontId="93" fillId="4" borderId="0" xfId="0" applyFont="1" applyFill="1" applyAlignment="1" applyProtection="1">
      <alignment vertical="center"/>
    </xf>
    <xf numFmtId="0" fontId="94" fillId="4" borderId="0" xfId="0" applyFont="1" applyFill="1" applyAlignment="1" applyProtection="1">
      <alignment vertical="center"/>
    </xf>
    <xf numFmtId="0" fontId="94" fillId="4" borderId="338" xfId="0" applyFont="1" applyFill="1" applyBorder="1" applyAlignment="1" applyProtection="1">
      <alignment horizontal="center" vertical="center"/>
    </xf>
    <xf numFmtId="0" fontId="93" fillId="4" borderId="338" xfId="0" applyFont="1" applyFill="1" applyBorder="1" applyAlignment="1" applyProtection="1">
      <alignment vertical="center"/>
    </xf>
    <xf numFmtId="0" fontId="93" fillId="4" borderId="337" xfId="0" applyFont="1" applyFill="1" applyBorder="1" applyAlignment="1" applyProtection="1">
      <alignment vertical="center"/>
    </xf>
    <xf numFmtId="0" fontId="94" fillId="4" borderId="337" xfId="0" applyFont="1" applyFill="1" applyBorder="1" applyAlignment="1" applyProtection="1">
      <alignment vertical="center"/>
    </xf>
    <xf numFmtId="0" fontId="20" fillId="4" borderId="341" xfId="0" applyFont="1" applyFill="1" applyBorder="1" applyAlignment="1" applyProtection="1">
      <alignment vertical="center"/>
    </xf>
    <xf numFmtId="0" fontId="20" fillId="0" borderId="341" xfId="0" applyFont="1" applyFill="1" applyBorder="1" applyAlignment="1" applyProtection="1">
      <alignment horizontal="center" vertical="center"/>
    </xf>
    <xf numFmtId="0" fontId="10" fillId="0" borderId="0" xfId="5" applyNumberFormat="1" applyFont="1" applyBorder="1" applyAlignment="1" applyProtection="1">
      <alignment horizontal="center" vertical="center"/>
      <protection locked="0"/>
    </xf>
    <xf numFmtId="165" fontId="18" fillId="19" borderId="348" xfId="5" applyFont="1" applyFill="1" applyBorder="1" applyAlignment="1" applyProtection="1">
      <alignment horizontal="center" vertical="center"/>
    </xf>
    <xf numFmtId="0" fontId="95" fillId="4" borderId="0" xfId="0" applyFont="1" applyFill="1" applyAlignment="1" applyProtection="1">
      <alignment vertical="center"/>
    </xf>
    <xf numFmtId="0" fontId="17" fillId="0" borderId="348" xfId="0" applyFont="1" applyFill="1" applyBorder="1" applyAlignment="1">
      <alignment horizontal="left"/>
    </xf>
    <xf numFmtId="0" fontId="17" fillId="0" borderId="348" xfId="0" applyFont="1" applyFill="1" applyBorder="1" applyAlignment="1">
      <alignment horizontal="left" vertical="center"/>
    </xf>
    <xf numFmtId="0" fontId="62" fillId="34" borderId="0" xfId="0" applyFont="1" applyFill="1"/>
    <xf numFmtId="0" fontId="10" fillId="0" borderId="0" xfId="0" quotePrefix="1" applyFont="1"/>
    <xf numFmtId="0" fontId="0" fillId="0" borderId="51" xfId="0" quotePrefix="1" applyFill="1" applyBorder="1" applyAlignment="1" applyProtection="1">
      <alignment vertical="center"/>
    </xf>
    <xf numFmtId="0" fontId="6" fillId="4" borderId="0" xfId="0" applyFont="1" applyFill="1" applyAlignment="1">
      <alignment vertical="center"/>
    </xf>
    <xf numFmtId="0" fontId="96" fillId="0" borderId="0" xfId="0" applyFont="1"/>
    <xf numFmtId="0" fontId="96" fillId="0" borderId="0" xfId="0" pivotButton="1" applyFont="1"/>
    <xf numFmtId="165" fontId="0" fillId="0" borderId="8" xfId="5" quotePrefix="1" applyFont="1" applyBorder="1" applyAlignment="1" applyProtection="1">
      <alignment vertical="center"/>
    </xf>
    <xf numFmtId="165" fontId="0" fillId="0" borderId="100" xfId="5" quotePrefix="1" applyFont="1" applyFill="1" applyBorder="1" applyAlignment="1" applyProtection="1">
      <alignment vertical="center"/>
    </xf>
    <xf numFmtId="168" fontId="97" fillId="4" borderId="0" xfId="0" applyNumberFormat="1" applyFont="1" applyFill="1" applyAlignment="1" applyProtection="1">
      <alignment vertical="center"/>
    </xf>
    <xf numFmtId="0" fontId="97" fillId="4" borderId="0" xfId="0" applyFont="1" applyFill="1" applyAlignment="1" applyProtection="1">
      <alignment vertical="center"/>
    </xf>
    <xf numFmtId="0" fontId="16" fillId="0" borderId="343" xfId="5" applyNumberFormat="1" applyFont="1" applyFill="1" applyBorder="1" applyAlignment="1">
      <alignment vertical="center"/>
    </xf>
    <xf numFmtId="0" fontId="45" fillId="0" borderId="343" xfId="5" applyNumberFormat="1" applyFont="1" applyFill="1" applyBorder="1" applyAlignment="1">
      <alignment vertical="center"/>
    </xf>
    <xf numFmtId="1" fontId="61" fillId="19" borderId="348" xfId="0" applyNumberFormat="1" applyFont="1" applyFill="1" applyBorder="1" applyAlignment="1" applyProtection="1">
      <alignment horizontal="left" vertical="center"/>
    </xf>
    <xf numFmtId="0" fontId="0" fillId="4" borderId="0" xfId="0" quotePrefix="1" applyFill="1" applyAlignment="1" applyProtection="1">
      <alignment vertical="center"/>
    </xf>
    <xf numFmtId="165" fontId="0" fillId="0" borderId="39" xfId="5" applyFont="1" applyBorder="1" applyAlignment="1" applyProtection="1">
      <alignment vertical="center"/>
    </xf>
    <xf numFmtId="0" fontId="0" fillId="0" borderId="0" xfId="0" quotePrefix="1" applyFill="1" applyBorder="1" applyAlignment="1" applyProtection="1">
      <alignment vertical="center"/>
    </xf>
    <xf numFmtId="0" fontId="98" fillId="0" borderId="51" xfId="0" applyFont="1" applyFill="1" applyBorder="1" applyAlignment="1" applyProtection="1">
      <alignment horizontal="center" vertical="center"/>
    </xf>
    <xf numFmtId="0" fontId="62" fillId="0" borderId="0" xfId="0" applyFont="1"/>
    <xf numFmtId="0" fontId="30" fillId="0" borderId="36" xfId="0" applyFont="1" applyBorder="1" applyAlignment="1" applyProtection="1">
      <alignment vertical="center"/>
    </xf>
    <xf numFmtId="0" fontId="98" fillId="0" borderId="36" xfId="0" applyFont="1" applyFill="1" applyBorder="1" applyAlignment="1" applyProtection="1">
      <alignment horizontal="center" vertical="center"/>
    </xf>
    <xf numFmtId="0" fontId="61" fillId="0" borderId="0" xfId="0" applyFont="1"/>
    <xf numFmtId="0" fontId="0" fillId="0" borderId="335" xfId="0" applyBorder="1" applyAlignment="1" applyProtection="1">
      <alignment vertical="center"/>
    </xf>
    <xf numFmtId="0" fontId="0" fillId="0" borderId="285" xfId="0" applyBorder="1" applyAlignment="1" applyProtection="1">
      <alignment vertical="center"/>
    </xf>
    <xf numFmtId="0" fontId="0" fillId="0" borderId="336" xfId="0" applyBorder="1" applyAlignment="1" applyProtection="1">
      <alignment vertical="center"/>
    </xf>
    <xf numFmtId="0" fontId="30" fillId="4" borderId="0" xfId="0" applyFont="1" applyFill="1" applyBorder="1" applyAlignment="1" applyProtection="1">
      <alignment vertical="center"/>
    </xf>
    <xf numFmtId="0" fontId="25" fillId="17" borderId="535" xfId="0" applyFont="1" applyFill="1" applyBorder="1" applyAlignment="1">
      <alignment horizontal="right" vertical="center"/>
    </xf>
    <xf numFmtId="0" fontId="25" fillId="0" borderId="536" xfId="0" applyFont="1" applyBorder="1" applyAlignment="1">
      <alignment horizontal="right" vertical="center"/>
    </xf>
    <xf numFmtId="0" fontId="25" fillId="17" borderId="536" xfId="0" applyFont="1" applyFill="1" applyBorder="1" applyAlignment="1">
      <alignment horizontal="right" vertical="center"/>
    </xf>
    <xf numFmtId="0" fontId="25" fillId="17" borderId="537" xfId="0" applyFont="1" applyFill="1" applyBorder="1" applyAlignment="1">
      <alignment horizontal="right" vertical="center"/>
    </xf>
    <xf numFmtId="0" fontId="25" fillId="17" borderId="536" xfId="0" applyNumberFormat="1" applyFont="1" applyFill="1" applyBorder="1" applyAlignment="1">
      <alignment horizontal="right" vertical="center"/>
    </xf>
    <xf numFmtId="0" fontId="25" fillId="0" borderId="536" xfId="0" applyNumberFormat="1" applyFont="1" applyBorder="1" applyAlignment="1">
      <alignment horizontal="right" vertical="center"/>
    </xf>
    <xf numFmtId="0" fontId="25" fillId="0" borderId="539" xfId="0" applyFont="1" applyBorder="1" applyAlignment="1">
      <alignment horizontal="right" vertical="center"/>
    </xf>
    <xf numFmtId="0" fontId="99" fillId="0" borderId="85" xfId="0" applyNumberFormat="1" applyFont="1" applyBorder="1" applyAlignment="1" applyProtection="1">
      <alignment horizontal="center" vertical="center"/>
    </xf>
    <xf numFmtId="0" fontId="99" fillId="8" borderId="85" xfId="0" applyNumberFormat="1" applyFont="1" applyFill="1" applyBorder="1" applyAlignment="1" applyProtection="1">
      <alignment horizontal="center" vertical="center"/>
    </xf>
    <xf numFmtId="0" fontId="99" fillId="23" borderId="85" xfId="0" applyNumberFormat="1" applyFont="1" applyFill="1" applyBorder="1" applyAlignment="1" applyProtection="1">
      <alignment horizontal="center" vertical="center"/>
    </xf>
    <xf numFmtId="0" fontId="99" fillId="0" borderId="95" xfId="0" applyNumberFormat="1" applyFont="1" applyBorder="1" applyAlignment="1" applyProtection="1">
      <alignment horizontal="center" vertical="center"/>
    </xf>
    <xf numFmtId="0" fontId="20" fillId="0" borderId="331" xfId="0" applyNumberFormat="1" applyFont="1" applyFill="1" applyBorder="1" applyAlignment="1" applyProtection="1">
      <alignment horizontal="center" vertical="center"/>
    </xf>
    <xf numFmtId="0" fontId="20" fillId="0" borderId="332" xfId="0" applyNumberFormat="1" applyFont="1" applyFill="1" applyBorder="1" applyAlignment="1" applyProtection="1">
      <alignment horizontal="center" vertical="center"/>
    </xf>
    <xf numFmtId="0" fontId="30" fillId="0" borderId="36" xfId="0" applyFont="1" applyFill="1" applyBorder="1" applyAlignment="1" applyProtection="1">
      <alignment horizontal="center" vertical="center"/>
    </xf>
    <xf numFmtId="168" fontId="0" fillId="4" borderId="341" xfId="0" applyNumberFormat="1" applyFill="1" applyBorder="1" applyAlignment="1">
      <alignment vertical="center"/>
    </xf>
    <xf numFmtId="0" fontId="30" fillId="0" borderId="341" xfId="0" applyFont="1" applyFill="1" applyBorder="1" applyAlignment="1" applyProtection="1">
      <alignment horizontal="center" vertical="center"/>
    </xf>
    <xf numFmtId="168" fontId="97" fillId="4" borderId="0" xfId="0" applyNumberFormat="1" applyFont="1" applyFill="1" applyBorder="1" applyAlignment="1" applyProtection="1">
      <alignment vertical="center"/>
    </xf>
    <xf numFmtId="168" fontId="97" fillId="4" borderId="0" xfId="5" applyNumberFormat="1" applyFont="1" applyFill="1" applyAlignment="1" applyProtection="1">
      <alignment vertical="center"/>
    </xf>
    <xf numFmtId="0" fontId="82" fillId="17" borderId="535" xfId="0" applyFont="1" applyFill="1" applyBorder="1" applyAlignment="1">
      <alignment horizontal="right" vertical="center"/>
    </xf>
    <xf numFmtId="0" fontId="6" fillId="0" borderId="132" xfId="0" applyFont="1" applyBorder="1" applyAlignment="1" applyProtection="1">
      <alignment vertical="center"/>
    </xf>
    <xf numFmtId="0" fontId="6" fillId="0" borderId="51" xfId="0" applyFont="1" applyBorder="1" applyAlignment="1" applyProtection="1">
      <alignment vertical="center"/>
    </xf>
    <xf numFmtId="0" fontId="6" fillId="0" borderId="11" xfId="0" applyFont="1" applyBorder="1" applyAlignment="1" applyProtection="1">
      <alignment vertical="center"/>
    </xf>
    <xf numFmtId="0" fontId="6" fillId="0" borderId="12" xfId="0" applyFont="1" applyBorder="1" applyAlignment="1" applyProtection="1">
      <alignment vertical="center"/>
    </xf>
    <xf numFmtId="0" fontId="93" fillId="10" borderId="268" xfId="0" applyFont="1" applyFill="1" applyBorder="1" applyAlignment="1" applyProtection="1">
      <alignment horizontal="right" vertical="center"/>
    </xf>
    <xf numFmtId="0" fontId="92" fillId="0" borderId="268" xfId="0" applyFont="1" applyFill="1" applyBorder="1" applyAlignment="1" applyProtection="1">
      <alignment horizontal="right" vertical="center"/>
      <protection locked="0"/>
    </xf>
    <xf numFmtId="0" fontId="92" fillId="10" borderId="268" xfId="0" applyFont="1" applyFill="1" applyBorder="1" applyAlignment="1" applyProtection="1">
      <alignment horizontal="right" vertical="center"/>
      <protection locked="0"/>
    </xf>
    <xf numFmtId="0" fontId="92" fillId="10" borderId="260" xfId="0" applyFont="1" applyFill="1" applyBorder="1" applyAlignment="1" applyProtection="1">
      <alignment horizontal="right" vertical="center"/>
      <protection locked="0"/>
    </xf>
    <xf numFmtId="0" fontId="92" fillId="0" borderId="269" xfId="0" applyFont="1" applyFill="1" applyBorder="1" applyAlignment="1" applyProtection="1">
      <alignment horizontal="right" vertical="center"/>
      <protection locked="0"/>
    </xf>
    <xf numFmtId="0" fontId="92" fillId="17" borderId="538" xfId="0" applyFont="1" applyFill="1" applyBorder="1" applyAlignment="1">
      <alignment horizontal="right" vertical="center"/>
    </xf>
    <xf numFmtId="0" fontId="92" fillId="10" borderId="269" xfId="0" applyFont="1" applyFill="1" applyBorder="1" applyAlignment="1" applyProtection="1">
      <alignment horizontal="right" vertical="center"/>
      <protection locked="0"/>
    </xf>
    <xf numFmtId="0" fontId="92" fillId="0" borderId="269" xfId="0" applyNumberFormat="1" applyFont="1" applyFill="1" applyBorder="1" applyAlignment="1" applyProtection="1">
      <alignment horizontal="right" vertical="center"/>
      <protection locked="0"/>
    </xf>
    <xf numFmtId="0" fontId="92" fillId="0" borderId="268" xfId="0" applyNumberFormat="1" applyFont="1" applyFill="1" applyBorder="1" applyAlignment="1" applyProtection="1">
      <alignment horizontal="right" vertical="center"/>
      <protection locked="0"/>
    </xf>
    <xf numFmtId="0" fontId="92" fillId="10" borderId="259" xfId="0" applyFont="1" applyFill="1" applyBorder="1" applyAlignment="1" applyProtection="1">
      <alignment horizontal="right" vertical="center"/>
      <protection locked="0"/>
    </xf>
    <xf numFmtId="0" fontId="92" fillId="0" borderId="260" xfId="0" applyFont="1" applyFill="1" applyBorder="1" applyAlignment="1" applyProtection="1">
      <alignment horizontal="right" vertical="center"/>
      <protection locked="0"/>
    </xf>
    <xf numFmtId="165" fontId="93" fillId="4" borderId="338" xfId="5" applyFont="1" applyFill="1" applyBorder="1" applyAlignment="1" applyProtection="1">
      <alignment vertical="center"/>
    </xf>
    <xf numFmtId="165" fontId="94" fillId="4" borderId="338" xfId="5" applyFont="1" applyFill="1" applyBorder="1" applyAlignment="1" applyProtection="1">
      <alignment vertical="center"/>
    </xf>
    <xf numFmtId="165" fontId="93" fillId="4" borderId="337" xfId="5" applyFont="1" applyFill="1" applyBorder="1" applyAlignment="1" applyProtection="1">
      <alignment vertical="center"/>
    </xf>
    <xf numFmtId="165" fontId="94" fillId="4" borderId="337" xfId="5" applyFont="1" applyFill="1" applyBorder="1" applyAlignment="1" applyProtection="1">
      <alignment vertical="center"/>
    </xf>
    <xf numFmtId="0" fontId="20" fillId="0" borderId="341" xfId="0" applyFont="1" applyFill="1" applyBorder="1" applyAlignment="1">
      <alignment horizontal="center" vertical="center"/>
    </xf>
    <xf numFmtId="165" fontId="30" fillId="4" borderId="0" xfId="0" applyNumberFormat="1" applyFont="1" applyFill="1" applyAlignment="1" applyProtection="1">
      <alignment vertical="center"/>
    </xf>
    <xf numFmtId="0" fontId="100" fillId="4" borderId="0" xfId="0" applyFont="1" applyFill="1"/>
    <xf numFmtId="0" fontId="0" fillId="8" borderId="350" xfId="0" applyFill="1" applyBorder="1" applyAlignment="1" applyProtection="1">
      <alignment horizontal="center" vertical="center" wrapText="1"/>
    </xf>
    <xf numFmtId="0" fontId="0" fillId="10" borderId="350" xfId="0" applyFill="1" applyBorder="1" applyAlignment="1" applyProtection="1">
      <alignment horizontal="center" vertical="center" wrapText="1"/>
    </xf>
    <xf numFmtId="0" fontId="0" fillId="10" borderId="531" xfId="0" applyFill="1" applyBorder="1" applyAlignment="1" applyProtection="1">
      <alignment horizontal="center" vertical="center" wrapText="1"/>
    </xf>
    <xf numFmtId="0" fontId="30" fillId="0" borderId="0" xfId="0" applyFont="1" applyFill="1" applyBorder="1" applyAlignment="1" applyProtection="1">
      <alignment horizontal="center"/>
      <protection locked="0"/>
    </xf>
    <xf numFmtId="0" fontId="30" fillId="11" borderId="0" xfId="0" applyFont="1" applyFill="1" applyBorder="1" applyAlignment="1" applyProtection="1">
      <alignment horizontal="center"/>
      <protection locked="0"/>
    </xf>
    <xf numFmtId="0" fontId="0" fillId="0" borderId="0" xfId="0" applyFont="1" applyFill="1" applyBorder="1" applyProtection="1">
      <protection locked="0"/>
    </xf>
    <xf numFmtId="0" fontId="0" fillId="0" borderId="446" xfId="0" applyFill="1" applyBorder="1" applyProtection="1"/>
    <xf numFmtId="0" fontId="0" fillId="0" borderId="446" xfId="0" applyFont="1" applyFill="1" applyBorder="1" applyProtection="1">
      <protection locked="0"/>
    </xf>
    <xf numFmtId="0" fontId="0" fillId="0" borderId="447" xfId="0" applyFont="1" applyFill="1" applyBorder="1" applyAlignment="1" applyProtection="1">
      <alignment horizontal="center"/>
      <protection locked="0"/>
    </xf>
    <xf numFmtId="15" fontId="30" fillId="8" borderId="446" xfId="0" applyNumberFormat="1" applyFont="1" applyFill="1" applyBorder="1" applyAlignment="1" applyProtection="1">
      <alignment horizontal="center"/>
      <protection locked="0"/>
    </xf>
    <xf numFmtId="0" fontId="30" fillId="8" borderId="447" xfId="0" applyFont="1" applyFill="1" applyBorder="1" applyAlignment="1" applyProtection="1">
      <alignment horizontal="center" vertical="center"/>
      <protection locked="0"/>
    </xf>
    <xf numFmtId="15" fontId="30" fillId="4" borderId="0" xfId="0" applyNumberFormat="1" applyFont="1" applyFill="1" applyBorder="1" applyAlignment="1" applyProtection="1">
      <alignment horizontal="center"/>
      <protection locked="0"/>
    </xf>
    <xf numFmtId="0" fontId="30" fillId="4" borderId="430" xfId="0" applyFont="1" applyFill="1" applyBorder="1" applyAlignment="1" applyProtection="1">
      <alignment horizontal="center" vertical="center"/>
      <protection locked="0"/>
    </xf>
    <xf numFmtId="15" fontId="30" fillId="8" borderId="177" xfId="0" applyNumberFormat="1" applyFont="1" applyFill="1" applyBorder="1" applyAlignment="1" applyProtection="1">
      <alignment horizontal="center"/>
      <protection locked="0"/>
    </xf>
    <xf numFmtId="0" fontId="30" fillId="8" borderId="540" xfId="0" applyFont="1" applyFill="1" applyBorder="1" applyAlignment="1" applyProtection="1">
      <alignment horizontal="center" vertical="center"/>
      <protection locked="0"/>
    </xf>
    <xf numFmtId="15" fontId="30" fillId="4" borderId="488" xfId="0" applyNumberFormat="1" applyFont="1" applyFill="1" applyBorder="1" applyAlignment="1" applyProtection="1">
      <alignment horizontal="center"/>
      <protection locked="0"/>
    </xf>
    <xf numFmtId="0" fontId="30" fillId="4" borderId="541" xfId="0" applyFont="1" applyFill="1" applyBorder="1" applyAlignment="1" applyProtection="1">
      <alignment horizontal="center" vertical="center"/>
      <protection locked="0"/>
    </xf>
    <xf numFmtId="0" fontId="30" fillId="8" borderId="430" xfId="0" applyFont="1" applyFill="1" applyBorder="1" applyAlignment="1" applyProtection="1">
      <alignment horizontal="center" vertical="center"/>
      <protection locked="0"/>
    </xf>
    <xf numFmtId="0" fontId="30" fillId="8" borderId="489" xfId="0" applyFont="1" applyFill="1" applyBorder="1" applyAlignment="1" applyProtection="1">
      <alignment horizontal="center"/>
      <protection locked="0"/>
    </xf>
    <xf numFmtId="0" fontId="30" fillId="8" borderId="542"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wrapText="1"/>
      <protection locked="0"/>
    </xf>
    <xf numFmtId="0" fontId="30" fillId="8" borderId="0" xfId="0" applyFont="1" applyFill="1" applyBorder="1" applyAlignment="1" applyProtection="1">
      <alignment horizontal="center" vertical="center" wrapText="1"/>
      <protection locked="0"/>
    </xf>
    <xf numFmtId="0" fontId="30" fillId="8" borderId="177" xfId="0" applyFont="1" applyFill="1" applyBorder="1" applyAlignment="1" applyProtection="1">
      <alignment horizontal="center" vertical="center" wrapText="1"/>
      <protection locked="0"/>
    </xf>
    <xf numFmtId="0" fontId="0" fillId="10" borderId="489" xfId="0" applyFill="1" applyBorder="1" applyProtection="1"/>
    <xf numFmtId="0" fontId="30" fillId="10" borderId="489" xfId="0" applyFont="1" applyFill="1" applyBorder="1" applyAlignment="1" applyProtection="1">
      <alignment horizontal="center"/>
      <protection locked="0"/>
    </xf>
    <xf numFmtId="0" fontId="30" fillId="10" borderId="542" xfId="0" applyFont="1" applyFill="1" applyBorder="1" applyAlignment="1" applyProtection="1">
      <alignment horizontal="center" vertical="center"/>
      <protection locked="0"/>
    </xf>
    <xf numFmtId="0" fontId="0" fillId="10" borderId="177" xfId="0" applyFill="1" applyBorder="1" applyProtection="1"/>
    <xf numFmtId="0" fontId="30" fillId="10" borderId="177" xfId="0" applyFont="1" applyFill="1" applyBorder="1" applyAlignment="1" applyProtection="1">
      <alignment horizontal="center"/>
      <protection locked="0"/>
    </xf>
    <xf numFmtId="0" fontId="30" fillId="10" borderId="540" xfId="0" applyFont="1" applyFill="1" applyBorder="1" applyAlignment="1" applyProtection="1">
      <alignment horizontal="center" vertical="center"/>
      <protection locked="0"/>
    </xf>
    <xf numFmtId="0" fontId="30" fillId="10" borderId="0" xfId="0" applyFont="1" applyFill="1" applyBorder="1" applyAlignment="1" applyProtection="1">
      <alignment horizontal="center"/>
      <protection locked="0"/>
    </xf>
    <xf numFmtId="0" fontId="30" fillId="10" borderId="430" xfId="0" applyFont="1" applyFill="1" applyBorder="1" applyAlignment="1" applyProtection="1">
      <alignment horizontal="center" vertical="center"/>
      <protection locked="0"/>
    </xf>
    <xf numFmtId="0" fontId="30" fillId="11" borderId="489" xfId="0" applyFont="1" applyFill="1" applyBorder="1" applyAlignment="1" applyProtection="1">
      <alignment horizontal="center"/>
      <protection locked="0"/>
    </xf>
    <xf numFmtId="0" fontId="30" fillId="11" borderId="542" xfId="0" applyFont="1" applyFill="1" applyBorder="1" applyAlignment="1" applyProtection="1">
      <alignment horizontal="center" vertical="center"/>
      <protection locked="0"/>
    </xf>
    <xf numFmtId="0" fontId="30" fillId="4" borderId="177" xfId="0" applyFont="1" applyFill="1" applyBorder="1" applyAlignment="1" applyProtection="1">
      <alignment horizontal="center"/>
      <protection locked="0"/>
    </xf>
    <xf numFmtId="0" fontId="30" fillId="4" borderId="540"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protection locked="0"/>
    </xf>
    <xf numFmtId="0" fontId="30" fillId="11" borderId="430" xfId="0" applyFont="1" applyFill="1" applyBorder="1" applyAlignment="1" applyProtection="1">
      <alignment horizontal="center" vertical="center"/>
      <protection locked="0"/>
    </xf>
    <xf numFmtId="0" fontId="0" fillId="11" borderId="432" xfId="0" applyFill="1" applyBorder="1" applyProtection="1"/>
    <xf numFmtId="0" fontId="30" fillId="11" borderId="432" xfId="0" applyFont="1" applyFill="1" applyBorder="1" applyAlignment="1" applyProtection="1">
      <alignment horizontal="center"/>
      <protection locked="0"/>
    </xf>
    <xf numFmtId="0" fontId="30" fillId="11" borderId="449" xfId="0" applyFont="1" applyFill="1" applyBorder="1" applyAlignment="1" applyProtection="1">
      <alignment horizontal="center" vertical="center"/>
      <protection locked="0"/>
    </xf>
    <xf numFmtId="0" fontId="40" fillId="36" borderId="0" xfId="0" applyFont="1" applyFill="1" applyBorder="1" applyAlignment="1" applyProtection="1">
      <alignment horizontal="left"/>
    </xf>
    <xf numFmtId="0" fontId="62" fillId="0" borderId="98" xfId="12" applyFont="1" applyBorder="1" applyAlignment="1">
      <alignment vertical="center"/>
    </xf>
    <xf numFmtId="0" fontId="0" fillId="0" borderId="430" xfId="0" applyFont="1" applyFill="1" applyBorder="1" applyAlignment="1" applyProtection="1">
      <alignment horizontal="center"/>
      <protection locked="0"/>
    </xf>
    <xf numFmtId="10" fontId="30" fillId="0" borderId="429" xfId="2" applyNumberFormat="1" applyFont="1" applyBorder="1" applyAlignment="1" applyProtection="1">
      <alignment horizontal="center" vertical="center"/>
      <protection locked="0"/>
    </xf>
    <xf numFmtId="10" fontId="102" fillId="0" borderId="92" xfId="2" applyNumberFormat="1" applyFont="1" applyBorder="1" applyAlignment="1" applyProtection="1">
      <alignment horizontal="center" vertical="center"/>
    </xf>
    <xf numFmtId="10" fontId="78" fillId="9" borderId="393" xfId="2" applyNumberFormat="1" applyFont="1" applyFill="1" applyBorder="1" applyAlignment="1" applyProtection="1">
      <alignment vertical="center"/>
      <protection locked="0"/>
    </xf>
    <xf numFmtId="10" fontId="78" fillId="9" borderId="394" xfId="2" applyNumberFormat="1" applyFont="1" applyFill="1" applyBorder="1" applyAlignment="1" applyProtection="1">
      <alignment vertical="center"/>
      <protection locked="0"/>
    </xf>
    <xf numFmtId="168" fontId="47" fillId="4" borderId="0" xfId="0" applyNumberFormat="1" applyFont="1" applyFill="1" applyAlignment="1" applyProtection="1">
      <alignment vertical="center"/>
    </xf>
    <xf numFmtId="165" fontId="30" fillId="30" borderId="337" xfId="5" applyNumberFormat="1" applyFont="1" applyFill="1" applyBorder="1" applyAlignment="1" applyProtection="1">
      <alignment vertical="center"/>
    </xf>
    <xf numFmtId="1" fontId="20" fillId="4" borderId="69" xfId="0" applyNumberFormat="1" applyFont="1" applyFill="1" applyBorder="1" applyAlignment="1">
      <alignment vertical="center"/>
    </xf>
    <xf numFmtId="1" fontId="20" fillId="4" borderId="341" xfId="0" applyNumberFormat="1" applyFont="1" applyFill="1" applyBorder="1" applyAlignment="1">
      <alignment vertical="center"/>
    </xf>
    <xf numFmtId="1" fontId="47" fillId="4" borderId="341" xfId="5" applyNumberFormat="1" applyFont="1" applyFill="1" applyBorder="1" applyAlignment="1" applyProtection="1">
      <alignment vertical="center"/>
    </xf>
    <xf numFmtId="1" fontId="97" fillId="4" borderId="0" xfId="0" applyNumberFormat="1" applyFont="1" applyFill="1" applyAlignment="1" applyProtection="1">
      <alignment vertical="center"/>
    </xf>
    <xf numFmtId="0" fontId="10" fillId="0" borderId="0" xfId="0" pivotButton="1" applyFont="1"/>
    <xf numFmtId="0" fontId="10" fillId="0" borderId="0" xfId="0" applyFont="1" applyAlignment="1">
      <alignment horizontal="left"/>
    </xf>
    <xf numFmtId="165" fontId="10" fillId="0" borderId="0" xfId="0" applyNumberFormat="1" applyFont="1"/>
    <xf numFmtId="0" fontId="10" fillId="0" borderId="0" xfId="0" applyFont="1" applyFill="1"/>
    <xf numFmtId="164" fontId="103" fillId="0" borderId="0" xfId="0" applyNumberFormat="1" applyFont="1"/>
    <xf numFmtId="168" fontId="104" fillId="4" borderId="0" xfId="12" applyNumberFormat="1" applyFont="1" applyFill="1" applyAlignment="1">
      <alignment vertical="center"/>
    </xf>
    <xf numFmtId="0" fontId="105" fillId="4" borderId="0" xfId="12" applyFont="1" applyFill="1" applyAlignment="1">
      <alignment vertical="center"/>
    </xf>
    <xf numFmtId="0" fontId="105" fillId="0" borderId="113" xfId="12" applyFont="1" applyBorder="1" applyAlignment="1">
      <alignment vertical="center"/>
    </xf>
    <xf numFmtId="0" fontId="105" fillId="0" borderId="8" xfId="12" applyFont="1" applyBorder="1" applyAlignment="1">
      <alignment vertical="center"/>
    </xf>
    <xf numFmtId="0" fontId="105" fillId="0" borderId="12" xfId="12" applyFont="1" applyBorder="1" applyAlignment="1">
      <alignment vertical="center"/>
    </xf>
    <xf numFmtId="0" fontId="105" fillId="0" borderId="49" xfId="12" applyFont="1" applyBorder="1" applyAlignment="1">
      <alignment vertical="center"/>
    </xf>
    <xf numFmtId="0" fontId="105" fillId="0" borderId="11" xfId="12" applyFont="1" applyBorder="1" applyAlignment="1">
      <alignment vertical="center"/>
    </xf>
    <xf numFmtId="0" fontId="105" fillId="4" borderId="8" xfId="12" applyFont="1" applyFill="1" applyBorder="1" applyAlignment="1">
      <alignment vertical="center"/>
    </xf>
    <xf numFmtId="169" fontId="105" fillId="0" borderId="113" xfId="12" applyNumberFormat="1" applyFont="1" applyBorder="1" applyAlignment="1">
      <alignment vertical="center"/>
    </xf>
    <xf numFmtId="166" fontId="106" fillId="2" borderId="0" xfId="1" applyNumberFormat="1" applyFont="1" applyFill="1" applyBorder="1" applyAlignment="1" applyProtection="1">
      <alignment horizontal="left" vertical="center"/>
    </xf>
    <xf numFmtId="0" fontId="105" fillId="2" borderId="0" xfId="12" applyFont="1" applyFill="1" applyBorder="1" applyAlignment="1">
      <alignment horizontal="center" vertical="center" wrapText="1"/>
    </xf>
    <xf numFmtId="166" fontId="106" fillId="2" borderId="49" xfId="1" applyNumberFormat="1" applyFont="1" applyFill="1" applyBorder="1" applyAlignment="1" applyProtection="1">
      <alignment vertical="center"/>
    </xf>
    <xf numFmtId="0" fontId="105" fillId="2" borderId="0" xfId="12" applyFont="1" applyFill="1" applyBorder="1" applyAlignment="1">
      <alignment horizontal="left" vertical="center"/>
    </xf>
    <xf numFmtId="0" fontId="105" fillId="0" borderId="99" xfId="12" applyFont="1" applyBorder="1" applyAlignment="1">
      <alignment vertical="center"/>
    </xf>
    <xf numFmtId="0" fontId="105" fillId="0" borderId="35" xfId="12" applyFont="1" applyBorder="1" applyAlignment="1">
      <alignment vertical="center"/>
    </xf>
    <xf numFmtId="0" fontId="105" fillId="0" borderId="36" xfId="12" applyFont="1" applyBorder="1" applyAlignment="1">
      <alignment vertical="center"/>
    </xf>
    <xf numFmtId="0" fontId="105" fillId="4" borderId="0" xfId="12" applyFont="1" applyFill="1" applyBorder="1" applyAlignment="1">
      <alignment vertical="center"/>
    </xf>
    <xf numFmtId="0" fontId="106" fillId="4" borderId="0" xfId="12" applyFont="1" applyFill="1" applyBorder="1" applyAlignment="1">
      <alignment vertical="center"/>
    </xf>
    <xf numFmtId="0" fontId="106" fillId="4" borderId="0" xfId="12" applyFont="1" applyFill="1" applyAlignment="1">
      <alignment vertical="center"/>
    </xf>
    <xf numFmtId="0" fontId="106" fillId="4" borderId="176" xfId="12" applyFont="1" applyFill="1" applyBorder="1" applyAlignment="1">
      <alignment vertical="center"/>
    </xf>
    <xf numFmtId="0" fontId="106" fillId="4" borderId="176" xfId="12" applyFont="1" applyFill="1" applyBorder="1" applyAlignment="1">
      <alignment horizontal="center" vertical="center" wrapText="1"/>
    </xf>
    <xf numFmtId="0" fontId="106" fillId="4" borderId="176" xfId="12" applyFont="1" applyFill="1" applyBorder="1" applyAlignment="1">
      <alignment horizontal="center" vertical="center"/>
    </xf>
    <xf numFmtId="0" fontId="106" fillId="4" borderId="0" xfId="12" applyFont="1" applyFill="1" applyAlignment="1">
      <alignment horizontal="center" vertical="center"/>
    </xf>
    <xf numFmtId="0" fontId="105" fillId="4" borderId="0" xfId="12" applyFont="1" applyFill="1" applyAlignment="1">
      <alignment horizontal="center" vertical="center"/>
    </xf>
    <xf numFmtId="0" fontId="105" fillId="4" borderId="176" xfId="12" applyFont="1" applyFill="1" applyBorder="1" applyAlignment="1">
      <alignment horizontal="center" vertical="center"/>
    </xf>
    <xf numFmtId="168" fontId="105" fillId="4" borderId="176" xfId="4" applyNumberFormat="1" applyFont="1" applyFill="1" applyBorder="1" applyAlignment="1" applyProtection="1">
      <alignment vertical="center"/>
    </xf>
    <xf numFmtId="168" fontId="106" fillId="4" borderId="0" xfId="12" applyNumberFormat="1" applyFont="1" applyFill="1" applyAlignment="1">
      <alignment horizontal="center" vertical="center"/>
    </xf>
    <xf numFmtId="168" fontId="105" fillId="0" borderId="0" xfId="4" applyNumberFormat="1" applyFont="1" applyBorder="1" applyAlignment="1" applyProtection="1">
      <alignment vertical="center"/>
    </xf>
    <xf numFmtId="165" fontId="105" fillId="0" borderId="0" xfId="4" applyFont="1" applyBorder="1" applyAlignment="1" applyProtection="1">
      <alignment vertical="center"/>
    </xf>
    <xf numFmtId="0" fontId="105" fillId="4" borderId="176" xfId="12" applyFont="1" applyFill="1" applyBorder="1" applyAlignment="1">
      <alignment vertical="center"/>
    </xf>
    <xf numFmtId="0" fontId="106" fillId="4" borderId="0" xfId="12" applyFont="1" applyFill="1" applyAlignment="1">
      <alignment horizontal="center" vertical="center" wrapText="1"/>
    </xf>
    <xf numFmtId="0" fontId="61" fillId="4" borderId="176" xfId="12" applyFont="1" applyFill="1" applyBorder="1" applyAlignment="1">
      <alignment horizontal="center" vertical="center"/>
    </xf>
    <xf numFmtId="168" fontId="61" fillId="4" borderId="176" xfId="4" applyNumberFormat="1" applyFont="1" applyFill="1" applyBorder="1" applyAlignment="1" applyProtection="1">
      <alignment vertical="center"/>
    </xf>
    <xf numFmtId="168" fontId="56" fillId="4" borderId="0" xfId="12" applyNumberFormat="1" applyFont="1" applyFill="1" applyAlignment="1">
      <alignment horizontal="center" vertical="center"/>
    </xf>
    <xf numFmtId="0" fontId="105" fillId="0" borderId="0" xfId="12" applyFont="1" applyBorder="1" applyAlignment="1">
      <alignment vertical="center"/>
    </xf>
    <xf numFmtId="0" fontId="105" fillId="4" borderId="0" xfId="12" quotePrefix="1" applyFont="1" applyFill="1" applyAlignment="1">
      <alignment vertical="center"/>
    </xf>
    <xf numFmtId="0" fontId="105" fillId="0" borderId="113" xfId="12" quotePrefix="1" applyFont="1" applyBorder="1" applyAlignment="1">
      <alignment vertical="center"/>
    </xf>
    <xf numFmtId="0" fontId="105" fillId="0" borderId="557" xfId="12" applyFont="1" applyBorder="1" applyAlignment="1">
      <alignment vertical="center"/>
    </xf>
    <xf numFmtId="0" fontId="105" fillId="0" borderId="559" xfId="12" applyFont="1" applyBorder="1" applyAlignment="1">
      <alignment vertical="center"/>
    </xf>
    <xf numFmtId="0" fontId="105" fillId="0" borderId="562" xfId="12" applyFont="1" applyBorder="1" applyAlignment="1">
      <alignment vertical="center"/>
    </xf>
    <xf numFmtId="0" fontId="106" fillId="0" borderId="543" xfId="12" applyFont="1" applyBorder="1" applyAlignment="1">
      <alignment horizontal="center" vertical="center"/>
    </xf>
    <xf numFmtId="0" fontId="106" fillId="0" borderId="551" xfId="12" applyFont="1" applyBorder="1" applyAlignment="1">
      <alignment horizontal="center" vertical="center"/>
    </xf>
    <xf numFmtId="0" fontId="105" fillId="0" borderId="572" xfId="12" applyFont="1" applyBorder="1" applyAlignment="1" applyProtection="1">
      <alignment vertical="center"/>
      <protection locked="0"/>
    </xf>
    <xf numFmtId="0" fontId="105" fillId="4" borderId="572" xfId="12" applyFont="1" applyFill="1" applyBorder="1" applyAlignment="1">
      <alignment vertical="center"/>
    </xf>
    <xf numFmtId="165" fontId="105" fillId="0" borderId="571" xfId="4" applyFont="1" applyBorder="1" applyAlignment="1" applyProtection="1">
      <alignment vertical="center"/>
    </xf>
    <xf numFmtId="0" fontId="105" fillId="0" borderId="0" xfId="12" applyFont="1" applyBorder="1" applyAlignment="1">
      <alignment horizontal="center" vertical="center"/>
    </xf>
    <xf numFmtId="168" fontId="105" fillId="0" borderId="573" xfId="4" applyNumberFormat="1" applyFont="1" applyBorder="1" applyAlignment="1" applyProtection="1">
      <alignment vertical="center"/>
    </xf>
    <xf numFmtId="0" fontId="105" fillId="23" borderId="571" xfId="12" applyNumberFormat="1" applyFont="1" applyFill="1" applyBorder="1" applyAlignment="1">
      <alignment horizontal="center" vertical="center"/>
    </xf>
    <xf numFmtId="0" fontId="105" fillId="0" borderId="571" xfId="12" applyNumberFormat="1" applyFont="1" applyBorder="1" applyAlignment="1">
      <alignment horizontal="center" vertical="center"/>
    </xf>
    <xf numFmtId="0" fontId="105" fillId="23" borderId="553" xfId="12" applyNumberFormat="1" applyFont="1" applyFill="1" applyBorder="1" applyAlignment="1">
      <alignment horizontal="center" vertical="center"/>
    </xf>
    <xf numFmtId="0" fontId="105" fillId="0" borderId="572" xfId="12" applyNumberFormat="1" applyFont="1" applyBorder="1" applyAlignment="1">
      <alignment horizontal="center" vertical="center"/>
    </xf>
    <xf numFmtId="0" fontId="105" fillId="0" borderId="0" xfId="12" applyFont="1" applyBorder="1" applyAlignment="1" applyProtection="1">
      <alignment horizontal="left" vertical="center"/>
      <protection locked="0"/>
    </xf>
    <xf numFmtId="0" fontId="106" fillId="0" borderId="577" xfId="12" applyFont="1" applyBorder="1" applyAlignment="1">
      <alignment vertical="center"/>
    </xf>
    <xf numFmtId="0" fontId="106" fillId="0" borderId="578" xfId="12" applyFont="1" applyBorder="1" applyAlignment="1">
      <alignment vertical="center"/>
    </xf>
    <xf numFmtId="0" fontId="103" fillId="0" borderId="0" xfId="0" applyFont="1"/>
    <xf numFmtId="170" fontId="103" fillId="0" borderId="0" xfId="0" applyNumberFormat="1" applyFont="1"/>
    <xf numFmtId="165" fontId="103" fillId="0" borderId="0" xfId="0" applyNumberFormat="1" applyFont="1"/>
    <xf numFmtId="0" fontId="103" fillId="0" borderId="0" xfId="0" applyFont="1" applyAlignment="1">
      <alignment horizontal="right"/>
    </xf>
    <xf numFmtId="0" fontId="45" fillId="4" borderId="341" xfId="0" applyFont="1" applyFill="1" applyBorder="1" applyAlignment="1" applyProtection="1">
      <alignment vertical="center"/>
    </xf>
    <xf numFmtId="0" fontId="45" fillId="4" borderId="341" xfId="0" applyFont="1" applyFill="1" applyBorder="1" applyAlignment="1">
      <alignment vertical="center"/>
    </xf>
    <xf numFmtId="1" fontId="45" fillId="4" borderId="69" xfId="0" applyNumberFormat="1" applyFont="1" applyFill="1" applyBorder="1" applyAlignment="1">
      <alignment vertical="center"/>
    </xf>
    <xf numFmtId="1" fontId="45" fillId="4" borderId="341" xfId="0" applyNumberFormat="1" applyFont="1" applyFill="1" applyBorder="1" applyAlignment="1">
      <alignment vertical="center"/>
    </xf>
    <xf numFmtId="0" fontId="45" fillId="38" borderId="341" xfId="0" applyFont="1" applyFill="1" applyBorder="1" applyAlignment="1" applyProtection="1">
      <alignment horizontal="center" vertical="center"/>
    </xf>
    <xf numFmtId="0" fontId="106" fillId="0" borderId="544" xfId="12" applyFont="1" applyBorder="1" applyAlignment="1">
      <alignment horizontal="center" vertical="center"/>
    </xf>
    <xf numFmtId="0" fontId="106" fillId="0" borderId="546" xfId="12" applyFont="1" applyBorder="1" applyAlignment="1">
      <alignment horizontal="center" vertical="center"/>
    </xf>
    <xf numFmtId="0" fontId="106" fillId="0" borderId="545" xfId="12" applyFont="1" applyBorder="1" applyAlignment="1">
      <alignment horizontal="center" vertical="center"/>
    </xf>
    <xf numFmtId="0" fontId="61" fillId="4" borderId="0" xfId="12" applyFont="1" applyFill="1" applyAlignment="1">
      <alignment horizontal="center" vertical="center"/>
    </xf>
    <xf numFmtId="168" fontId="61" fillId="4" borderId="0" xfId="12" applyNumberFormat="1" applyFont="1" applyFill="1" applyAlignment="1">
      <alignment horizontal="center" vertical="center"/>
    </xf>
    <xf numFmtId="0" fontId="105" fillId="39" borderId="0" xfId="12" applyFont="1" applyFill="1" applyBorder="1" applyAlignment="1" applyProtection="1">
      <alignment horizontal="left" vertical="center"/>
      <protection locked="0"/>
    </xf>
    <xf numFmtId="0" fontId="105" fillId="39" borderId="547" xfId="12" applyFont="1" applyFill="1" applyBorder="1" applyAlignment="1" applyProtection="1">
      <alignment vertical="center"/>
      <protection locked="0"/>
    </xf>
    <xf numFmtId="0" fontId="105" fillId="39" borderId="547" xfId="12" applyFont="1" applyFill="1" applyBorder="1" applyAlignment="1">
      <alignment vertical="center"/>
    </xf>
    <xf numFmtId="0" fontId="105" fillId="39" borderId="0" xfId="12" applyFont="1" applyFill="1" applyBorder="1" applyAlignment="1">
      <alignment vertical="center"/>
    </xf>
    <xf numFmtId="168" fontId="105" fillId="39" borderId="549" xfId="4" applyNumberFormat="1" applyFont="1" applyFill="1" applyBorder="1" applyAlignment="1" applyProtection="1">
      <alignment vertical="center"/>
    </xf>
    <xf numFmtId="165" fontId="105" fillId="39" borderId="550" xfId="4" applyFont="1" applyFill="1" applyBorder="1" applyAlignment="1" applyProtection="1">
      <alignment vertical="center"/>
    </xf>
    <xf numFmtId="168" fontId="105" fillId="39" borderId="0" xfId="4" applyNumberFormat="1" applyFont="1" applyFill="1" applyBorder="1" applyAlignment="1" applyProtection="1">
      <alignment vertical="center"/>
    </xf>
    <xf numFmtId="165" fontId="105" fillId="39" borderId="0" xfId="4" applyFont="1" applyFill="1" applyBorder="1" applyAlignment="1" applyProtection="1">
      <alignment vertical="center"/>
    </xf>
    <xf numFmtId="168" fontId="105" fillId="39" borderId="548" xfId="4" applyNumberFormat="1" applyFont="1" applyFill="1" applyBorder="1" applyAlignment="1" applyProtection="1">
      <alignment vertical="center"/>
    </xf>
    <xf numFmtId="0" fontId="105" fillId="39" borderId="0" xfId="12" applyFont="1" applyFill="1" applyBorder="1" applyAlignment="1">
      <alignment horizontal="center" vertical="center"/>
    </xf>
    <xf numFmtId="0" fontId="105" fillId="40" borderId="547" xfId="12" applyNumberFormat="1" applyFont="1" applyFill="1" applyBorder="1" applyAlignment="1">
      <alignment horizontal="center" vertical="center"/>
    </xf>
    <xf numFmtId="0" fontId="105" fillId="39" borderId="572" xfId="12" applyFont="1" applyFill="1" applyBorder="1" applyAlignment="1" applyProtection="1">
      <alignment vertical="center"/>
      <protection locked="0"/>
    </xf>
    <xf numFmtId="0" fontId="105" fillId="39" borderId="572" xfId="12" applyFont="1" applyFill="1" applyBorder="1" applyAlignment="1">
      <alignment vertical="center"/>
    </xf>
    <xf numFmtId="165" fontId="105" fillId="39" borderId="571" xfId="4" applyFont="1" applyFill="1" applyBorder="1" applyAlignment="1" applyProtection="1">
      <alignment vertical="center"/>
    </xf>
    <xf numFmtId="168" fontId="105" fillId="39" borderId="573" xfId="4" applyNumberFormat="1" applyFont="1" applyFill="1" applyBorder="1" applyAlignment="1" applyProtection="1">
      <alignment vertical="center"/>
    </xf>
    <xf numFmtId="0" fontId="105" fillId="40" borderId="572" xfId="12" applyNumberFormat="1" applyFont="1" applyFill="1" applyBorder="1" applyAlignment="1">
      <alignment horizontal="center" vertical="center"/>
    </xf>
    <xf numFmtId="0" fontId="105" fillId="39" borderId="551" xfId="12" applyFont="1" applyFill="1" applyBorder="1" applyAlignment="1" applyProtection="1">
      <alignment horizontal="left" vertical="center"/>
      <protection locked="0"/>
    </xf>
    <xf numFmtId="0" fontId="105" fillId="39" borderId="554" xfId="12" applyFont="1" applyFill="1" applyBorder="1" applyAlignment="1" applyProtection="1">
      <alignment vertical="center"/>
      <protection locked="0"/>
    </xf>
    <xf numFmtId="0" fontId="105" fillId="39" borderId="554" xfId="12" applyFont="1" applyFill="1" applyBorder="1" applyAlignment="1">
      <alignment vertical="center"/>
    </xf>
    <xf numFmtId="0" fontId="105" fillId="39" borderId="552" xfId="12" applyFont="1" applyFill="1" applyBorder="1" applyAlignment="1">
      <alignment vertical="center"/>
    </xf>
    <xf numFmtId="168" fontId="105" fillId="39" borderId="552" xfId="4" applyNumberFormat="1" applyFont="1" applyFill="1" applyBorder="1" applyAlignment="1" applyProtection="1">
      <alignment vertical="center"/>
    </xf>
    <xf numFmtId="165" fontId="105" fillId="39" borderId="553" xfId="4" applyFont="1" applyFill="1" applyBorder="1" applyAlignment="1" applyProtection="1">
      <alignment vertical="center"/>
    </xf>
    <xf numFmtId="165" fontId="105" fillId="39" borderId="552" xfId="4" applyFont="1" applyFill="1" applyBorder="1" applyAlignment="1" applyProtection="1">
      <alignment vertical="center"/>
    </xf>
    <xf numFmtId="168" fontId="105" fillId="39" borderId="551" xfId="4" applyNumberFormat="1" applyFont="1" applyFill="1" applyBorder="1" applyAlignment="1" applyProtection="1">
      <alignment vertical="center"/>
    </xf>
    <xf numFmtId="0" fontId="105" fillId="39" borderId="552" xfId="12" applyFont="1" applyFill="1" applyBorder="1" applyAlignment="1">
      <alignment horizontal="center" vertical="center"/>
    </xf>
    <xf numFmtId="0" fontId="105" fillId="40" borderId="554" xfId="12" applyNumberFormat="1" applyFont="1" applyFill="1" applyBorder="1" applyAlignment="1">
      <alignment horizontal="center" vertical="center"/>
    </xf>
    <xf numFmtId="0" fontId="106" fillId="0" borderId="579" xfId="12" applyFont="1" applyBorder="1" applyAlignment="1">
      <alignment vertical="center"/>
    </xf>
    <xf numFmtId="2" fontId="106" fillId="0" borderId="576" xfId="12" applyNumberFormat="1" applyFont="1" applyBorder="1" applyAlignment="1">
      <alignment horizontal="center" vertical="center"/>
    </xf>
    <xf numFmtId="2" fontId="106" fillId="0" borderId="574" xfId="4" applyNumberFormat="1" applyFont="1" applyBorder="1" applyAlignment="1" applyProtection="1">
      <alignment horizontal="center" vertical="center"/>
    </xf>
    <xf numFmtId="2" fontId="106" fillId="0" borderId="574" xfId="12" applyNumberFormat="1" applyFont="1" applyBorder="1" applyAlignment="1">
      <alignment horizontal="center" vertical="center"/>
    </xf>
    <xf numFmtId="2" fontId="106" fillId="0" borderId="575" xfId="4" applyNumberFormat="1" applyFont="1" applyBorder="1" applyAlignment="1" applyProtection="1">
      <alignment horizontal="center" vertical="center"/>
    </xf>
    <xf numFmtId="2" fontId="106" fillId="0" borderId="575" xfId="12" applyNumberFormat="1" applyFont="1" applyBorder="1" applyAlignment="1">
      <alignment horizontal="center" vertical="center"/>
    </xf>
    <xf numFmtId="165" fontId="17" fillId="0" borderId="0" xfId="5" quotePrefix="1" applyFont="1" applyBorder="1" applyAlignment="1" applyProtection="1">
      <alignment horizontal="center" vertical="center"/>
      <protection locked="0"/>
    </xf>
    <xf numFmtId="170" fontId="10" fillId="0" borderId="0" xfId="5" applyNumberFormat="1" applyFont="1" applyBorder="1" applyAlignment="1" applyProtection="1">
      <protection locked="0"/>
    </xf>
    <xf numFmtId="165" fontId="10" fillId="0" borderId="0" xfId="5" applyNumberFormat="1" applyFont="1" applyBorder="1" applyAlignment="1" applyProtection="1">
      <protection locked="0"/>
    </xf>
    <xf numFmtId="10" fontId="106" fillId="0" borderId="576" xfId="12" applyNumberFormat="1" applyFont="1" applyBorder="1" applyAlignment="1" applyProtection="1">
      <alignment horizontal="center" vertical="center"/>
      <protection locked="0"/>
    </xf>
    <xf numFmtId="10" fontId="106" fillId="0" borderId="574" xfId="12" applyNumberFormat="1" applyFont="1" applyBorder="1" applyAlignment="1" applyProtection="1">
      <alignment horizontal="center" vertical="center"/>
      <protection locked="0"/>
    </xf>
    <xf numFmtId="10" fontId="106" fillId="0" borderId="575" xfId="12" applyNumberFormat="1" applyFont="1" applyBorder="1" applyAlignment="1" applyProtection="1">
      <alignment horizontal="center" vertical="center"/>
      <protection locked="0"/>
    </xf>
    <xf numFmtId="0" fontId="97" fillId="4" borderId="341" xfId="0" applyFont="1" applyFill="1" applyBorder="1" applyAlignment="1" applyProtection="1">
      <alignment vertical="center"/>
    </xf>
    <xf numFmtId="168" fontId="110" fillId="4" borderId="341" xfId="5" applyNumberFormat="1" applyFont="1" applyFill="1" applyBorder="1" applyAlignment="1" applyProtection="1">
      <alignment vertical="center"/>
    </xf>
    <xf numFmtId="0" fontId="105" fillId="39" borderId="547" xfId="12" applyFont="1" applyFill="1" applyBorder="1" applyAlignment="1" applyProtection="1">
      <alignment horizontal="left" vertical="center"/>
      <protection locked="0"/>
    </xf>
    <xf numFmtId="10" fontId="106" fillId="0" borderId="584" xfId="12" applyNumberFormat="1" applyFont="1" applyBorder="1" applyAlignment="1" applyProtection="1">
      <alignment horizontal="center" vertical="center"/>
      <protection locked="0"/>
    </xf>
    <xf numFmtId="2" fontId="106" fillId="0" borderId="584" xfId="4" applyNumberFormat="1" applyFont="1" applyBorder="1" applyAlignment="1" applyProtection="1">
      <alignment horizontal="center" vertical="center"/>
    </xf>
    <xf numFmtId="2" fontId="106" fillId="0" borderId="584" xfId="12" applyNumberFormat="1" applyFont="1" applyBorder="1" applyAlignment="1">
      <alignment horizontal="center" vertical="center"/>
    </xf>
    <xf numFmtId="0" fontId="106" fillId="0" borderId="585" xfId="12" applyFont="1" applyBorder="1" applyAlignment="1">
      <alignment vertical="center"/>
    </xf>
    <xf numFmtId="2" fontId="106" fillId="0" borderId="576" xfId="4" applyNumberFormat="1" applyFont="1" applyBorder="1" applyAlignment="1" applyProtection="1">
      <alignment horizontal="center"/>
    </xf>
    <xf numFmtId="2" fontId="106" fillId="0" borderId="576" xfId="4" applyNumberFormat="1" applyFont="1" applyBorder="1" applyAlignment="1" applyProtection="1">
      <alignment horizontal="center" vertical="center"/>
    </xf>
    <xf numFmtId="0" fontId="62" fillId="0" borderId="113" xfId="12" quotePrefix="1" applyFont="1" applyBorder="1" applyAlignment="1">
      <alignment horizontal="center" vertical="center"/>
    </xf>
    <xf numFmtId="0" fontId="62" fillId="4" borderId="0" xfId="12" applyNumberFormat="1" applyFont="1" applyFill="1" applyAlignment="1">
      <alignment horizontal="center" vertical="center"/>
    </xf>
    <xf numFmtId="0" fontId="17" fillId="0" borderId="0" xfId="0" applyFont="1"/>
    <xf numFmtId="168" fontId="109" fillId="4" borderId="0" xfId="0" applyNumberFormat="1" applyFont="1" applyFill="1" applyAlignment="1" applyProtection="1">
      <alignment vertical="center"/>
    </xf>
    <xf numFmtId="0" fontId="0" fillId="41" borderId="0" xfId="0" applyFill="1" applyBorder="1" applyProtection="1"/>
    <xf numFmtId="0" fontId="0" fillId="41" borderId="0" xfId="0" applyFont="1" applyFill="1" applyBorder="1" applyProtection="1">
      <protection locked="0"/>
    </xf>
    <xf numFmtId="0" fontId="0" fillId="41" borderId="430" xfId="0" applyFont="1" applyFill="1" applyBorder="1" applyAlignment="1" applyProtection="1">
      <alignment horizontal="center"/>
      <protection locked="0"/>
    </xf>
    <xf numFmtId="0" fontId="0" fillId="41" borderId="432" xfId="0" applyFill="1" applyBorder="1" applyProtection="1"/>
    <xf numFmtId="165" fontId="105" fillId="4" borderId="0" xfId="12" applyNumberFormat="1" applyFont="1" applyFill="1" applyAlignment="1">
      <alignment horizontal="center" vertical="center"/>
    </xf>
    <xf numFmtId="165" fontId="103" fillId="0" borderId="0" xfId="5" applyFont="1"/>
    <xf numFmtId="165" fontId="111" fillId="0" borderId="0" xfId="5" applyFont="1"/>
    <xf numFmtId="165" fontId="112" fillId="0" borderId="0" xfId="0" applyNumberFormat="1" applyFont="1" applyFill="1" applyBorder="1" applyProtection="1"/>
    <xf numFmtId="165" fontId="0" fillId="4" borderId="0" xfId="0" applyNumberFormat="1" applyFill="1" applyAlignment="1" applyProtection="1">
      <alignment vertical="center"/>
    </xf>
    <xf numFmtId="168" fontId="0" fillId="4" borderId="0" xfId="0" applyNumberFormat="1" applyFill="1" applyAlignment="1">
      <alignment vertical="center"/>
    </xf>
    <xf numFmtId="0" fontId="10" fillId="0" borderId="0" xfId="0" applyFont="1" applyFill="1" applyBorder="1" applyProtection="1"/>
    <xf numFmtId="165" fontId="10" fillId="0" borderId="0" xfId="0" applyNumberFormat="1" applyFont="1" applyFill="1" applyBorder="1" applyProtection="1"/>
    <xf numFmtId="165" fontId="10" fillId="4" borderId="0" xfId="0" applyNumberFormat="1" applyFont="1" applyFill="1" applyAlignment="1" applyProtection="1">
      <alignment vertical="center"/>
    </xf>
    <xf numFmtId="165" fontId="112" fillId="0" borderId="0" xfId="0" applyNumberFormat="1" applyFont="1" applyFill="1" applyBorder="1" applyAlignment="1" applyProtection="1">
      <alignment horizontal="left" vertical="center"/>
    </xf>
    <xf numFmtId="0" fontId="10" fillId="0" borderId="0" xfId="0" applyFont="1" applyAlignment="1">
      <alignment horizontal="left" indent="1"/>
    </xf>
    <xf numFmtId="0" fontId="10" fillId="0" borderId="0" xfId="0" applyFont="1" applyAlignment="1">
      <alignment horizontal="left" indent="2"/>
    </xf>
    <xf numFmtId="0" fontId="10" fillId="0" borderId="0" xfId="0" applyFont="1" applyAlignment="1">
      <alignment horizontal="left" indent="3"/>
    </xf>
    <xf numFmtId="0" fontId="10" fillId="0" borderId="0" xfId="0" pivotButton="1" applyFont="1" applyAlignment="1">
      <alignment vertical="center"/>
    </xf>
    <xf numFmtId="0" fontId="10" fillId="0" borderId="0" xfId="0" applyFont="1" applyAlignment="1">
      <alignment vertical="center"/>
    </xf>
    <xf numFmtId="0" fontId="10" fillId="0" borderId="0" xfId="0" applyFont="1" applyAlignment="1">
      <alignment horizontal="center" vertical="center" wrapText="1"/>
    </xf>
    <xf numFmtId="168" fontId="30" fillId="4" borderId="341" xfId="5" applyNumberFormat="1" applyFont="1" applyFill="1" applyBorder="1" applyAlignment="1" applyProtection="1">
      <alignment vertical="center"/>
    </xf>
    <xf numFmtId="168" fontId="30" fillId="24" borderId="342" xfId="5" applyNumberFormat="1" applyFont="1" applyFill="1" applyBorder="1" applyAlignment="1" applyProtection="1">
      <alignment vertical="center"/>
    </xf>
    <xf numFmtId="165" fontId="17" fillId="39" borderId="548" xfId="4" applyFont="1" applyFill="1" applyBorder="1" applyAlignment="1" applyProtection="1">
      <alignment vertical="center"/>
      <protection locked="0"/>
    </xf>
    <xf numFmtId="168" fontId="17" fillId="39" borderId="549" xfId="4" applyNumberFormat="1" applyFont="1" applyFill="1" applyBorder="1" applyAlignment="1" applyProtection="1">
      <alignment vertical="center"/>
      <protection locked="0"/>
    </xf>
    <xf numFmtId="165" fontId="17" fillId="0" borderId="573" xfId="4" applyFont="1" applyBorder="1" applyAlignment="1" applyProtection="1">
      <alignment vertical="center"/>
      <protection locked="0"/>
    </xf>
    <xf numFmtId="168" fontId="17" fillId="0" borderId="0" xfId="4" applyNumberFormat="1" applyFont="1" applyBorder="1" applyAlignment="1" applyProtection="1">
      <alignment vertical="center"/>
      <protection locked="0"/>
    </xf>
    <xf numFmtId="165" fontId="17" fillId="39" borderId="573" xfId="4" applyFont="1" applyFill="1" applyBorder="1" applyAlignment="1" applyProtection="1">
      <alignment vertical="center"/>
      <protection locked="0"/>
    </xf>
    <xf numFmtId="168" fontId="17" fillId="39" borderId="0" xfId="4" applyNumberFormat="1" applyFont="1" applyFill="1" applyBorder="1" applyAlignment="1" applyProtection="1">
      <alignment vertical="center"/>
      <protection locked="0"/>
    </xf>
    <xf numFmtId="165" fontId="17" fillId="39" borderId="551" xfId="4" applyFont="1" applyFill="1" applyBorder="1" applyAlignment="1" applyProtection="1">
      <alignment vertical="center"/>
      <protection locked="0"/>
    </xf>
    <xf numFmtId="168" fontId="17" fillId="39" borderId="552" xfId="4" applyNumberFormat="1" applyFont="1" applyFill="1" applyBorder="1" applyAlignment="1" applyProtection="1">
      <alignment vertical="center"/>
      <protection locked="0"/>
    </xf>
    <xf numFmtId="165" fontId="17" fillId="39" borderId="0" xfId="4" applyFont="1" applyFill="1" applyBorder="1" applyAlignment="1" applyProtection="1">
      <alignment vertical="center"/>
      <protection locked="0"/>
    </xf>
    <xf numFmtId="165" fontId="17" fillId="0" borderId="0" xfId="4" applyFont="1" applyBorder="1" applyAlignment="1" applyProtection="1">
      <alignment vertical="center"/>
      <protection locked="0"/>
    </xf>
    <xf numFmtId="165" fontId="17" fillId="39" borderId="552" xfId="4" applyFont="1" applyFill="1" applyBorder="1" applyAlignment="1" applyProtection="1">
      <alignment vertical="center"/>
      <protection locked="0"/>
    </xf>
    <xf numFmtId="0" fontId="106" fillId="0" borderId="576" xfId="12" applyNumberFormat="1" applyFont="1" applyBorder="1" applyAlignment="1">
      <alignment horizontal="center" vertical="center"/>
    </xf>
    <xf numFmtId="0" fontId="106" fillId="0" borderId="580" xfId="12" applyNumberFormat="1" applyFont="1" applyBorder="1" applyAlignment="1">
      <alignment horizontal="center" vertical="center"/>
    </xf>
    <xf numFmtId="0" fontId="105" fillId="4" borderId="584" xfId="12" applyNumberFormat="1" applyFont="1" applyFill="1" applyBorder="1" applyAlignment="1">
      <alignment horizontal="center" vertical="center"/>
    </xf>
    <xf numFmtId="0" fontId="105" fillId="4" borderId="583" xfId="12" applyNumberFormat="1" applyFont="1" applyFill="1" applyBorder="1" applyAlignment="1">
      <alignment horizontal="center" vertical="center"/>
    </xf>
    <xf numFmtId="0" fontId="105" fillId="4" borderId="574" xfId="12" applyNumberFormat="1" applyFont="1" applyFill="1" applyBorder="1" applyAlignment="1">
      <alignment horizontal="center" vertical="center"/>
    </xf>
    <xf numFmtId="0" fontId="105" fillId="4" borderId="581" xfId="12" applyNumberFormat="1" applyFont="1" applyFill="1" applyBorder="1" applyAlignment="1">
      <alignment horizontal="center" vertical="center"/>
    </xf>
    <xf numFmtId="0" fontId="106" fillId="4" borderId="575" xfId="12" applyNumberFormat="1" applyFont="1" applyFill="1" applyBorder="1" applyAlignment="1">
      <alignment horizontal="center" vertical="center"/>
    </xf>
    <xf numFmtId="0" fontId="106" fillId="4" borderId="582" xfId="12" applyNumberFormat="1" applyFont="1" applyFill="1" applyBorder="1" applyAlignment="1">
      <alignment horizontal="center" vertical="center"/>
    </xf>
    <xf numFmtId="0" fontId="105" fillId="4" borderId="576" xfId="12" applyNumberFormat="1" applyFont="1" applyFill="1" applyBorder="1" applyAlignment="1">
      <alignment horizontal="center" vertical="center"/>
    </xf>
    <xf numFmtId="0" fontId="105" fillId="4" borderId="580" xfId="12" applyNumberFormat="1" applyFont="1" applyFill="1" applyBorder="1" applyAlignment="1">
      <alignment horizontal="center" vertical="center"/>
    </xf>
    <xf numFmtId="0" fontId="106" fillId="4" borderId="574" xfId="12" applyNumberFormat="1" applyFont="1" applyFill="1" applyBorder="1" applyAlignment="1">
      <alignment horizontal="center" vertical="center"/>
    </xf>
    <xf numFmtId="0" fontId="106" fillId="4" borderId="581" xfId="12" applyNumberFormat="1" applyFont="1" applyFill="1" applyBorder="1" applyAlignment="1">
      <alignment horizontal="center" vertical="center"/>
    </xf>
    <xf numFmtId="0" fontId="114" fillId="0" borderId="0" xfId="0" applyFont="1"/>
    <xf numFmtId="0" fontId="111" fillId="42" borderId="249" xfId="0" applyFont="1" applyFill="1" applyBorder="1" applyAlignment="1">
      <alignment vertical="center" wrapText="1"/>
    </xf>
    <xf numFmtId="0" fontId="111" fillId="36" borderId="249" xfId="0" applyFont="1" applyFill="1" applyBorder="1" applyAlignment="1">
      <alignment vertical="center" wrapText="1"/>
    </xf>
    <xf numFmtId="0" fontId="111" fillId="42" borderId="586" xfId="0" applyFont="1" applyFill="1" applyBorder="1" applyAlignment="1">
      <alignment vertical="center" wrapText="1"/>
    </xf>
    <xf numFmtId="0" fontId="111" fillId="36" borderId="586" xfId="0" applyFont="1" applyFill="1" applyBorder="1" applyAlignment="1">
      <alignment vertical="center" wrapText="1"/>
    </xf>
    <xf numFmtId="0" fontId="103" fillId="42" borderId="586" xfId="0" applyFont="1" applyFill="1" applyBorder="1" applyAlignment="1">
      <alignment vertical="center" wrapText="1"/>
    </xf>
    <xf numFmtId="0" fontId="103" fillId="36" borderId="586" xfId="0" applyFont="1" applyFill="1" applyBorder="1" applyAlignment="1">
      <alignment vertical="center" wrapText="1"/>
    </xf>
    <xf numFmtId="0" fontId="103" fillId="9" borderId="586" xfId="0" applyFont="1" applyFill="1" applyBorder="1" applyAlignment="1">
      <alignment vertical="center" wrapText="1"/>
    </xf>
    <xf numFmtId="0" fontId="103" fillId="36" borderId="0" xfId="0" applyFont="1" applyFill="1" applyAlignment="1">
      <alignment vertical="center" wrapText="1"/>
    </xf>
    <xf numFmtId="0" fontId="103" fillId="36" borderId="0" xfId="0" applyFont="1" applyFill="1" applyBorder="1" applyAlignment="1">
      <alignment vertical="center" wrapText="1"/>
    </xf>
    <xf numFmtId="0" fontId="103" fillId="9" borderId="0" xfId="0" applyFont="1" applyFill="1" applyBorder="1" applyAlignment="1">
      <alignment vertical="center" wrapText="1"/>
    </xf>
    <xf numFmtId="0" fontId="103" fillId="42" borderId="0" xfId="0" applyFont="1" applyFill="1" applyAlignment="1">
      <alignment vertical="center" wrapText="1"/>
    </xf>
    <xf numFmtId="0" fontId="111" fillId="10" borderId="249" xfId="0" applyFont="1" applyFill="1" applyBorder="1" applyAlignment="1">
      <alignment vertical="center" wrapText="1"/>
    </xf>
    <xf numFmtId="0" fontId="111" fillId="10" borderId="586" xfId="0" applyFont="1" applyFill="1" applyBorder="1" applyAlignment="1">
      <alignment vertical="center" wrapText="1"/>
    </xf>
    <xf numFmtId="0" fontId="103" fillId="10" borderId="586" xfId="0" applyFont="1" applyFill="1" applyBorder="1" applyAlignment="1">
      <alignment vertical="center" wrapText="1"/>
    </xf>
    <xf numFmtId="0" fontId="103" fillId="10" borderId="586" xfId="0" applyFont="1" applyFill="1" applyBorder="1" applyAlignment="1">
      <alignment horizontal="left" vertical="center" wrapText="1"/>
    </xf>
    <xf numFmtId="0" fontId="103" fillId="10" borderId="0" xfId="0" applyFont="1" applyFill="1" applyAlignment="1">
      <alignment vertical="center" wrapText="1"/>
    </xf>
    <xf numFmtId="0" fontId="103" fillId="10" borderId="0" xfId="0" applyFont="1" applyFill="1" applyBorder="1" applyAlignment="1">
      <alignment vertical="center" wrapText="1"/>
    </xf>
    <xf numFmtId="0" fontId="114" fillId="0" borderId="0" xfId="0" applyFont="1" applyFill="1"/>
    <xf numFmtId="0" fontId="111" fillId="0" borderId="586" xfId="0" applyFont="1" applyFill="1" applyBorder="1" applyAlignment="1">
      <alignment vertical="center" wrapText="1"/>
    </xf>
    <xf numFmtId="0" fontId="103" fillId="0" borderId="586" xfId="0" applyFont="1" applyFill="1" applyBorder="1" applyAlignment="1">
      <alignment vertical="center" wrapText="1"/>
    </xf>
    <xf numFmtId="0" fontId="103" fillId="0" borderId="0" xfId="0" applyFont="1" applyFill="1" applyAlignment="1">
      <alignment vertical="center" wrapText="1"/>
    </xf>
    <xf numFmtId="0" fontId="96" fillId="0" borderId="0" xfId="0" applyFont="1" applyFill="1"/>
    <xf numFmtId="0" fontId="0" fillId="0" borderId="35" xfId="0" quotePrefix="1" applyFill="1" applyBorder="1" applyProtection="1"/>
    <xf numFmtId="0" fontId="2" fillId="2" borderId="0" xfId="1" applyNumberFormat="1" applyFont="1" applyFill="1" applyBorder="1" applyAlignment="1" applyProtection="1">
      <alignment horizontal="right" vertical="center" indent="1"/>
    </xf>
    <xf numFmtId="0" fontId="2" fillId="2" borderId="0" xfId="1" applyNumberFormat="1" applyFont="1" applyFill="1" applyBorder="1" applyAlignment="1" applyProtection="1">
      <alignment vertical="center"/>
    </xf>
    <xf numFmtId="0" fontId="2" fillId="2" borderId="0" xfId="1" applyNumberFormat="1" applyFont="1" applyFill="1" applyBorder="1" applyAlignment="1" applyProtection="1">
      <alignment horizontal="center" vertical="center"/>
    </xf>
    <xf numFmtId="0" fontId="30" fillId="8" borderId="446"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30" fillId="8" borderId="177" xfId="0" applyFont="1" applyFill="1" applyBorder="1" applyAlignment="1" applyProtection="1">
      <alignment horizontal="center" vertical="center"/>
      <protection locked="0"/>
    </xf>
    <xf numFmtId="0" fontId="30" fillId="4" borderId="488" xfId="0" applyFont="1" applyFill="1" applyBorder="1" applyAlignment="1" applyProtection="1">
      <alignment horizontal="center" vertical="center"/>
      <protection locked="0"/>
    </xf>
    <xf numFmtId="0" fontId="30" fillId="8" borderId="0" xfId="0" applyFont="1" applyFill="1" applyBorder="1" applyAlignment="1" applyProtection="1">
      <alignment horizontal="center" vertical="center"/>
      <protection locked="0"/>
    </xf>
    <xf numFmtId="0" fontId="30" fillId="8" borderId="489" xfId="0" applyFont="1" applyFill="1" applyBorder="1" applyAlignment="1" applyProtection="1">
      <alignment horizontal="center" vertical="center"/>
      <protection locked="0"/>
    </xf>
    <xf numFmtId="0" fontId="30" fillId="10" borderId="489"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0" fontId="30" fillId="10" borderId="177" xfId="0" applyFont="1" applyFill="1" applyBorder="1" applyAlignment="1" applyProtection="1">
      <alignment horizontal="center" vertical="center"/>
      <protection locked="0"/>
    </xf>
    <xf numFmtId="0" fontId="30" fillId="10" borderId="0" xfId="0" applyFont="1" applyFill="1" applyBorder="1" applyAlignment="1" applyProtection="1">
      <alignment horizontal="center" vertical="center"/>
      <protection locked="0"/>
    </xf>
    <xf numFmtId="0" fontId="30" fillId="0" borderId="177" xfId="0" applyFont="1" applyFill="1" applyBorder="1" applyAlignment="1" applyProtection="1">
      <alignment horizontal="center" vertical="center"/>
      <protection locked="0"/>
    </xf>
    <xf numFmtId="0" fontId="30" fillId="11" borderId="489" xfId="0" applyFont="1" applyFill="1" applyBorder="1" applyAlignment="1" applyProtection="1">
      <alignment horizontal="center" vertical="center"/>
      <protection locked="0"/>
    </xf>
    <xf numFmtId="0" fontId="30" fillId="4" borderId="177" xfId="0" applyFont="1" applyFill="1" applyBorder="1" applyAlignment="1" applyProtection="1">
      <alignment horizontal="center" vertical="center"/>
      <protection locked="0"/>
    </xf>
    <xf numFmtId="0" fontId="30" fillId="11" borderId="0" xfId="0" applyFont="1" applyFill="1" applyBorder="1" applyAlignment="1" applyProtection="1">
      <alignment horizontal="center" vertical="center"/>
      <protection locked="0"/>
    </xf>
    <xf numFmtId="0" fontId="30" fillId="11" borderId="432" xfId="0" applyFont="1" applyFill="1" applyBorder="1" applyAlignment="1" applyProtection="1">
      <alignment horizontal="center" vertical="center"/>
      <protection locked="0"/>
    </xf>
    <xf numFmtId="0" fontId="0" fillId="0" borderId="446" xfId="0" applyFont="1" applyFill="1" applyBorder="1" applyAlignment="1" applyProtection="1">
      <alignment horizontal="center"/>
      <protection locked="0"/>
    </xf>
    <xf numFmtId="0" fontId="0" fillId="41" borderId="0" xfId="0"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6" fillId="0" borderId="115" xfId="0" applyFont="1" applyBorder="1" applyProtection="1"/>
    <xf numFmtId="0" fontId="29" fillId="0" borderId="308" xfId="0" applyFont="1" applyBorder="1" applyAlignment="1">
      <alignment horizontal="center" vertical="center"/>
    </xf>
    <xf numFmtId="0" fontId="29" fillId="0" borderId="309" xfId="0" applyFont="1" applyBorder="1" applyAlignment="1">
      <alignment horizontal="center" vertical="center"/>
    </xf>
    <xf numFmtId="0" fontId="29" fillId="0" borderId="591" xfId="0" applyFont="1" applyBorder="1" applyAlignment="1">
      <alignment horizontal="center" vertical="center"/>
    </xf>
    <xf numFmtId="168" fontId="16" fillId="8" borderId="89" xfId="5" applyNumberFormat="1" applyFont="1" applyFill="1" applyBorder="1" applyAlignment="1">
      <alignment vertical="center"/>
    </xf>
    <xf numFmtId="165" fontId="16" fillId="8" borderId="89" xfId="5" applyNumberFormat="1" applyFont="1" applyFill="1" applyBorder="1" applyAlignment="1">
      <alignment vertical="center"/>
    </xf>
    <xf numFmtId="168" fontId="16" fillId="8" borderId="88" xfId="5" applyNumberFormat="1" applyFont="1" applyFill="1" applyBorder="1" applyAlignment="1">
      <alignment vertical="center"/>
    </xf>
    <xf numFmtId="0" fontId="16" fillId="23" borderId="593" xfId="0" applyFont="1" applyFill="1" applyBorder="1" applyAlignment="1">
      <alignment horizontal="center" vertical="center"/>
    </xf>
    <xf numFmtId="168" fontId="16" fillId="0" borderId="0" xfId="5" applyNumberFormat="1" applyFont="1" applyBorder="1" applyAlignment="1">
      <alignment vertical="center"/>
    </xf>
    <xf numFmtId="165" fontId="16" fillId="0" borderId="0" xfId="5" applyNumberFormat="1" applyFont="1" applyBorder="1" applyAlignment="1">
      <alignment vertical="center"/>
    </xf>
    <xf numFmtId="168" fontId="16" fillId="0" borderId="86" xfId="5" applyNumberFormat="1" applyFont="1" applyBorder="1" applyAlignment="1">
      <alignment vertical="center"/>
    </xf>
    <xf numFmtId="168" fontId="16" fillId="8" borderId="0" xfId="5" applyNumberFormat="1" applyFont="1" applyFill="1" applyBorder="1" applyAlignment="1">
      <alignment vertical="center"/>
    </xf>
    <xf numFmtId="165" fontId="16" fillId="8" borderId="0" xfId="5" applyNumberFormat="1" applyFont="1" applyFill="1" applyBorder="1" applyAlignment="1">
      <alignment vertical="center"/>
    </xf>
    <xf numFmtId="168" fontId="16" fillId="8" borderId="86" xfId="5" applyNumberFormat="1" applyFont="1" applyFill="1" applyBorder="1" applyAlignment="1">
      <alignment vertical="center"/>
    </xf>
    <xf numFmtId="168" fontId="16" fillId="23" borderId="0" xfId="5" applyNumberFormat="1" applyFont="1" applyFill="1" applyBorder="1" applyAlignment="1">
      <alignment vertical="center"/>
    </xf>
    <xf numFmtId="165" fontId="16" fillId="23" borderId="0" xfId="5" applyNumberFormat="1" applyFont="1" applyFill="1" applyBorder="1" applyAlignment="1">
      <alignment vertical="center"/>
    </xf>
    <xf numFmtId="168" fontId="16" fillId="23" borderId="86" xfId="5" applyNumberFormat="1" applyFont="1" applyFill="1" applyBorder="1" applyAlignment="1">
      <alignment vertical="center"/>
    </xf>
    <xf numFmtId="168" fontId="16" fillId="23" borderId="588" xfId="5" applyNumberFormat="1" applyFont="1" applyFill="1" applyBorder="1" applyAlignment="1">
      <alignment vertical="center"/>
    </xf>
    <xf numFmtId="165" fontId="16" fillId="23" borderId="588" xfId="5" applyNumberFormat="1" applyFont="1" applyFill="1" applyBorder="1" applyAlignment="1">
      <alignment vertical="center"/>
    </xf>
    <xf numFmtId="168" fontId="16" fillId="23" borderId="589" xfId="5" applyNumberFormat="1" applyFont="1" applyFill="1" applyBorder="1" applyAlignment="1">
      <alignment vertical="center"/>
    </xf>
    <xf numFmtId="0" fontId="29" fillId="0" borderId="308" xfId="0" applyFont="1" applyBorder="1" applyAlignment="1">
      <alignment horizontal="center" vertical="center" wrapText="1"/>
    </xf>
    <xf numFmtId="0" fontId="29" fillId="0" borderId="590" xfId="0" applyFont="1" applyBorder="1" applyAlignment="1">
      <alignment horizontal="center" vertical="center" wrapText="1"/>
    </xf>
    <xf numFmtId="0" fontId="29" fillId="0" borderId="309" xfId="0" applyFont="1" applyBorder="1" applyAlignment="1">
      <alignment horizontal="center" vertical="center" wrapText="1"/>
    </xf>
    <xf numFmtId="0" fontId="6" fillId="0" borderId="115" xfId="0" applyFont="1" applyBorder="1" applyAlignment="1" applyProtection="1">
      <alignment vertical="center"/>
    </xf>
    <xf numFmtId="0" fontId="62" fillId="0" borderId="118" xfId="0" applyFont="1" applyBorder="1" applyAlignment="1" applyProtection="1">
      <alignment vertical="center"/>
    </xf>
    <xf numFmtId="0" fontId="32" fillId="0" borderId="234" xfId="0" applyFont="1" applyBorder="1" applyAlignment="1" applyProtection="1">
      <alignment horizontal="center" vertical="center"/>
    </xf>
    <xf numFmtId="0" fontId="35" fillId="0" borderId="74" xfId="0" applyFont="1" applyBorder="1" applyAlignment="1" applyProtection="1">
      <alignment horizontal="center" vertical="center"/>
    </xf>
    <xf numFmtId="165" fontId="29" fillId="0" borderId="590" xfId="5" applyNumberFormat="1" applyFont="1" applyBorder="1" applyAlignment="1">
      <alignment horizontal="center" vertical="center" wrapText="1"/>
    </xf>
    <xf numFmtId="165" fontId="29" fillId="0" borderId="308" xfId="5" applyNumberFormat="1" applyFont="1" applyBorder="1" applyAlignment="1">
      <alignment horizontal="center" vertical="center" wrapText="1"/>
    </xf>
    <xf numFmtId="165" fontId="29" fillId="0" borderId="309" xfId="5" applyNumberFormat="1" applyFont="1" applyBorder="1" applyAlignment="1">
      <alignment horizontal="center" vertical="center" wrapText="1"/>
    </xf>
    <xf numFmtId="0" fontId="29" fillId="0" borderId="595" xfId="0" applyFont="1" applyBorder="1" applyAlignment="1">
      <alignment horizontal="center" vertical="center" wrapText="1"/>
    </xf>
    <xf numFmtId="165" fontId="29" fillId="0" borderId="596" xfId="5" applyNumberFormat="1" applyFont="1" applyBorder="1" applyAlignment="1">
      <alignment horizontal="center" vertical="center" wrapText="1"/>
    </xf>
    <xf numFmtId="0" fontId="29" fillId="0" borderId="591" xfId="0" applyFont="1" applyBorder="1" applyAlignment="1">
      <alignment horizontal="center" vertical="center" wrapText="1"/>
    </xf>
    <xf numFmtId="168" fontId="16" fillId="8" borderId="439" xfId="5" applyNumberFormat="1" applyFont="1" applyFill="1" applyBorder="1" applyAlignment="1">
      <alignment vertical="center"/>
    </xf>
    <xf numFmtId="0" fontId="16" fillId="8" borderId="593" xfId="0" applyFont="1" applyFill="1" applyBorder="1" applyAlignment="1">
      <alignment horizontal="right" vertical="center"/>
    </xf>
    <xf numFmtId="168" fontId="16" fillId="8" borderId="588" xfId="5" applyNumberFormat="1" applyFont="1" applyFill="1" applyBorder="1" applyAlignment="1">
      <alignment vertical="center"/>
    </xf>
    <xf numFmtId="165" fontId="16" fillId="8" borderId="588" xfId="5" applyNumberFormat="1" applyFont="1" applyFill="1" applyBorder="1" applyAlignment="1">
      <alignment vertical="center"/>
    </xf>
    <xf numFmtId="168" fontId="16" fillId="8" borderId="589" xfId="5" applyNumberFormat="1" applyFont="1" applyFill="1" applyBorder="1" applyAlignment="1">
      <alignment vertical="center"/>
    </xf>
    <xf numFmtId="168" fontId="29" fillId="0" borderId="308" xfId="5" applyNumberFormat="1" applyFont="1" applyBorder="1" applyAlignment="1">
      <alignment horizontal="center" vertical="center" wrapText="1"/>
    </xf>
    <xf numFmtId="168" fontId="16" fillId="8" borderId="88" xfId="5" applyNumberFormat="1" applyFont="1" applyFill="1" applyBorder="1" applyAlignment="1">
      <alignment horizontal="right" vertical="center"/>
    </xf>
    <xf numFmtId="165" fontId="16" fillId="8" borderId="89" xfId="5" applyNumberFormat="1" applyFont="1" applyFill="1" applyBorder="1" applyAlignment="1">
      <alignment horizontal="right" vertical="center"/>
    </xf>
    <xf numFmtId="0" fontId="16" fillId="23" borderId="593" xfId="0" applyFont="1" applyFill="1" applyBorder="1" applyAlignment="1">
      <alignment horizontal="right" vertical="center"/>
    </xf>
    <xf numFmtId="168" fontId="16" fillId="0" borderId="86" xfId="5" applyNumberFormat="1" applyFont="1" applyBorder="1" applyAlignment="1">
      <alignment horizontal="right" vertical="center"/>
    </xf>
    <xf numFmtId="165" fontId="16" fillId="0" borderId="0" xfId="5" applyNumberFormat="1" applyFont="1" applyBorder="1" applyAlignment="1">
      <alignment horizontal="right" vertical="center"/>
    </xf>
    <xf numFmtId="168" fontId="16" fillId="8" borderId="86" xfId="5" applyNumberFormat="1" applyFont="1" applyFill="1" applyBorder="1" applyAlignment="1">
      <alignment horizontal="right" vertical="center"/>
    </xf>
    <xf numFmtId="165" fontId="16" fillId="8" borderId="0" xfId="5" applyNumberFormat="1" applyFont="1" applyFill="1" applyBorder="1" applyAlignment="1">
      <alignment horizontal="right" vertical="center"/>
    </xf>
    <xf numFmtId="168" fontId="16" fillId="0" borderId="588" xfId="5" applyNumberFormat="1" applyFont="1" applyBorder="1" applyAlignment="1">
      <alignment vertical="center"/>
    </xf>
    <xf numFmtId="165" fontId="16" fillId="0" borderId="588" xfId="5" applyNumberFormat="1" applyFont="1" applyBorder="1" applyAlignment="1">
      <alignment vertical="center"/>
    </xf>
    <xf numFmtId="168" fontId="16" fillId="0" borderId="589" xfId="5" applyNumberFormat="1" applyFont="1" applyBorder="1" applyAlignment="1">
      <alignment horizontal="right" vertical="center"/>
    </xf>
    <xf numFmtId="165" fontId="16" fillId="0" borderId="588" xfId="5" applyNumberFormat="1" applyFont="1" applyBorder="1" applyAlignment="1">
      <alignment horizontal="right" vertical="center"/>
    </xf>
    <xf numFmtId="168" fontId="16" fillId="0" borderId="589" xfId="5" applyNumberFormat="1" applyFont="1" applyBorder="1" applyAlignment="1">
      <alignment vertical="center"/>
    </xf>
    <xf numFmtId="168" fontId="29" fillId="0" borderId="309" xfId="5" applyNumberFormat="1" applyFont="1" applyBorder="1" applyAlignment="1">
      <alignment horizontal="center" vertical="center" wrapText="1"/>
    </xf>
    <xf numFmtId="0" fontId="4" fillId="4" borderId="11" xfId="0" applyFont="1" applyFill="1" applyBorder="1" applyAlignment="1" applyProtection="1">
      <alignment horizontal="center"/>
    </xf>
    <xf numFmtId="0" fontId="6" fillId="0" borderId="66" xfId="0" applyFont="1" applyBorder="1" applyAlignment="1" applyProtection="1">
      <alignment horizontal="right" vertical="center"/>
    </xf>
    <xf numFmtId="0" fontId="32" fillId="0" borderId="599" xfId="0" applyFont="1" applyFill="1" applyBorder="1" applyAlignment="1" applyProtection="1">
      <alignment horizontal="center" vertical="center"/>
    </xf>
    <xf numFmtId="0" fontId="6" fillId="0" borderId="97" xfId="0" applyFont="1" applyBorder="1" applyAlignment="1" applyProtection="1">
      <alignment vertical="center"/>
    </xf>
    <xf numFmtId="0" fontId="6" fillId="0" borderId="483" xfId="0" applyFont="1" applyBorder="1" applyAlignment="1" applyProtection="1">
      <alignment vertical="center"/>
    </xf>
    <xf numFmtId="0" fontId="35" fillId="0" borderId="600" xfId="0" applyFont="1" applyBorder="1" applyAlignment="1">
      <alignment horizontal="center" vertical="center" wrapText="1"/>
    </xf>
    <xf numFmtId="0" fontId="35" fillId="0" borderId="352" xfId="0" applyFont="1" applyBorder="1" applyAlignment="1">
      <alignment horizontal="center" vertical="center" wrapText="1"/>
    </xf>
    <xf numFmtId="0" fontId="35" fillId="0" borderId="601" xfId="0" applyFont="1" applyBorder="1" applyAlignment="1">
      <alignment horizontal="center" vertical="center" wrapText="1"/>
    </xf>
    <xf numFmtId="168" fontId="25" fillId="17" borderId="262" xfId="5" applyNumberFormat="1" applyFont="1" applyFill="1" applyBorder="1" applyAlignment="1">
      <alignment horizontal="right" vertical="center"/>
    </xf>
    <xf numFmtId="168" fontId="25" fillId="17" borderId="261" xfId="5" applyNumberFormat="1" applyFont="1" applyFill="1" applyBorder="1" applyAlignment="1">
      <alignment horizontal="right" vertical="center"/>
    </xf>
    <xf numFmtId="168" fontId="25" fillId="0" borderId="0" xfId="5" applyNumberFormat="1" applyFont="1" applyBorder="1" applyAlignment="1">
      <alignment horizontal="right" vertical="center"/>
    </xf>
    <xf numFmtId="168" fontId="25" fillId="0" borderId="267" xfId="5" applyNumberFormat="1" applyFont="1" applyBorder="1" applyAlignment="1">
      <alignment horizontal="right" vertical="center"/>
    </xf>
    <xf numFmtId="0" fontId="82" fillId="0" borderId="536" xfId="0" applyFont="1" applyBorder="1" applyAlignment="1">
      <alignment horizontal="right" vertical="center"/>
    </xf>
    <xf numFmtId="168" fontId="25" fillId="17" borderId="0" xfId="5" applyNumberFormat="1" applyFont="1" applyFill="1" applyBorder="1" applyAlignment="1">
      <alignment horizontal="right" vertical="center"/>
    </xf>
    <xf numFmtId="168" fontId="25" fillId="17" borderId="267" xfId="5" applyNumberFormat="1" applyFont="1" applyFill="1" applyBorder="1" applyAlignment="1">
      <alignment horizontal="right" vertical="center"/>
    </xf>
    <xf numFmtId="0" fontId="82" fillId="17" borderId="536" xfId="0" applyFont="1" applyFill="1" applyBorder="1" applyAlignment="1">
      <alignment horizontal="right" vertical="center"/>
    </xf>
    <xf numFmtId="168" fontId="25" fillId="17" borderId="79" xfId="5" applyNumberFormat="1" applyFont="1" applyFill="1" applyBorder="1" applyAlignment="1">
      <alignment horizontal="right" vertical="center"/>
    </xf>
    <xf numFmtId="168" fontId="25" fillId="17" borderId="602" xfId="5" applyNumberFormat="1" applyFont="1" applyFill="1" applyBorder="1" applyAlignment="1">
      <alignment horizontal="right" vertical="center"/>
    </xf>
    <xf numFmtId="0" fontId="82" fillId="17" borderId="537" xfId="0" applyFont="1" applyFill="1" applyBorder="1" applyAlignment="1">
      <alignment horizontal="right" vertical="center"/>
    </xf>
    <xf numFmtId="0" fontId="35" fillId="0" borderId="605" xfId="0" applyFont="1" applyFill="1" applyBorder="1" applyAlignment="1" applyProtection="1">
      <alignment horizontal="center" vertical="center"/>
    </xf>
    <xf numFmtId="0" fontId="6" fillId="0" borderId="484" xfId="0" applyFont="1" applyBorder="1" applyAlignment="1" applyProtection="1">
      <alignment vertical="center"/>
    </xf>
    <xf numFmtId="165" fontId="35" fillId="0" borderId="600" xfId="5" applyNumberFormat="1" applyFont="1" applyBorder="1" applyAlignment="1">
      <alignment horizontal="center" vertical="center" wrapText="1"/>
    </xf>
    <xf numFmtId="168" fontId="35" fillId="0" borderId="352" xfId="5" applyNumberFormat="1" applyFont="1" applyBorder="1" applyAlignment="1">
      <alignment horizontal="center" vertical="center" wrapText="1"/>
    </xf>
    <xf numFmtId="165" fontId="35" fillId="0" borderId="352" xfId="5" applyNumberFormat="1" applyFont="1" applyBorder="1" applyAlignment="1">
      <alignment horizontal="center" vertical="center" wrapText="1"/>
    </xf>
    <xf numFmtId="165" fontId="35" fillId="0" borderId="606" xfId="5" applyNumberFormat="1" applyFont="1" applyBorder="1" applyAlignment="1">
      <alignment horizontal="center" vertical="center" wrapText="1"/>
    </xf>
    <xf numFmtId="168" fontId="35" fillId="0" borderId="600" xfId="5" applyNumberFormat="1" applyFont="1" applyBorder="1" applyAlignment="1">
      <alignment horizontal="center" vertical="center" wrapText="1"/>
    </xf>
    <xf numFmtId="168" fontId="25" fillId="17" borderId="262" xfId="5" applyNumberFormat="1" applyFont="1" applyFill="1" applyBorder="1" applyAlignment="1">
      <alignment vertical="center"/>
    </xf>
    <xf numFmtId="165" fontId="25" fillId="17" borderId="262" xfId="5" applyNumberFormat="1" applyFont="1" applyFill="1" applyBorder="1" applyAlignment="1">
      <alignment vertical="center"/>
    </xf>
    <xf numFmtId="168" fontId="25" fillId="17" borderId="271" xfId="5" applyNumberFormat="1" applyFont="1" applyFill="1" applyBorder="1" applyAlignment="1">
      <alignment vertical="center"/>
    </xf>
    <xf numFmtId="0" fontId="25" fillId="17" borderId="607" xfId="0" applyFont="1" applyFill="1" applyBorder="1" applyAlignment="1">
      <alignment horizontal="right" vertical="center"/>
    </xf>
    <xf numFmtId="168" fontId="25" fillId="0" borderId="0" xfId="5" applyNumberFormat="1" applyFont="1" applyBorder="1" applyAlignment="1">
      <alignment vertical="center"/>
    </xf>
    <xf numFmtId="165" fontId="25" fillId="0" borderId="0" xfId="5" applyNumberFormat="1" applyFont="1" applyBorder="1" applyAlignment="1">
      <alignment vertical="center"/>
    </xf>
    <xf numFmtId="168" fontId="25" fillId="0" borderId="110" xfId="5" applyNumberFormat="1" applyFont="1" applyBorder="1" applyAlignment="1">
      <alignment vertical="center"/>
    </xf>
    <xf numFmtId="0" fontId="25" fillId="0" borderId="608" xfId="0" applyFont="1" applyBorder="1" applyAlignment="1">
      <alignment horizontal="right" vertical="center"/>
    </xf>
    <xf numFmtId="168" fontId="25" fillId="17" borderId="0" xfId="5" applyNumberFormat="1" applyFont="1" applyFill="1" applyBorder="1" applyAlignment="1">
      <alignment vertical="center"/>
    </xf>
    <xf numFmtId="165" fontId="25" fillId="17" borderId="0" xfId="5" applyNumberFormat="1" applyFont="1" applyFill="1" applyBorder="1" applyAlignment="1">
      <alignment vertical="center"/>
    </xf>
    <xf numFmtId="168" fontId="25" fillId="17" borderId="110" xfId="5" applyNumberFormat="1" applyFont="1" applyFill="1" applyBorder="1" applyAlignment="1">
      <alignment vertical="center"/>
    </xf>
    <xf numFmtId="0" fontId="25" fillId="17" borderId="608" xfId="0" applyFont="1" applyFill="1" applyBorder="1" applyAlignment="1">
      <alignment horizontal="right" vertical="center"/>
    </xf>
    <xf numFmtId="0" fontId="25" fillId="17" borderId="608" xfId="0" applyNumberFormat="1" applyFont="1" applyFill="1" applyBorder="1" applyAlignment="1">
      <alignment horizontal="right" vertical="center"/>
    </xf>
    <xf numFmtId="0" fontId="25" fillId="0" borderId="608" xfId="0" applyNumberFormat="1" applyFont="1" applyBorder="1" applyAlignment="1">
      <alignment horizontal="right" vertical="center"/>
    </xf>
    <xf numFmtId="168" fontId="25" fillId="0" borderId="79" xfId="5" applyNumberFormat="1" applyFont="1" applyBorder="1" applyAlignment="1">
      <alignment vertical="center"/>
    </xf>
    <xf numFmtId="165" fontId="25" fillId="0" borderId="79" xfId="5" applyNumberFormat="1" applyFont="1" applyBorder="1" applyAlignment="1">
      <alignment vertical="center"/>
    </xf>
    <xf numFmtId="168" fontId="25" fillId="0" borderId="112" xfId="5" applyNumberFormat="1" applyFont="1" applyBorder="1" applyAlignment="1">
      <alignment vertical="center"/>
    </xf>
    <xf numFmtId="0" fontId="25" fillId="0" borderId="609" xfId="0" applyFont="1" applyBorder="1" applyAlignment="1">
      <alignment horizontal="right" vertical="center"/>
    </xf>
    <xf numFmtId="0" fontId="49" fillId="17" borderId="270" xfId="0" applyFont="1" applyFill="1" applyBorder="1" applyAlignment="1">
      <alignment horizontal="right" vertical="center"/>
    </xf>
    <xf numFmtId="0" fontId="49" fillId="0" borderId="76" xfId="0" applyFont="1" applyBorder="1" applyAlignment="1">
      <alignment horizontal="right" vertical="center"/>
    </xf>
    <xf numFmtId="0" fontId="49" fillId="17" borderId="76" xfId="0" applyNumberFormat="1" applyFont="1" applyFill="1" applyBorder="1" applyAlignment="1">
      <alignment horizontal="right" vertical="center"/>
    </xf>
    <xf numFmtId="0" fontId="49" fillId="0" borderId="76" xfId="0" applyNumberFormat="1" applyFont="1" applyBorder="1" applyAlignment="1">
      <alignment horizontal="right" vertical="center"/>
    </xf>
    <xf numFmtId="0" fontId="49" fillId="17" borderId="109" xfId="0" applyFont="1" applyFill="1" applyBorder="1" applyAlignment="1">
      <alignment horizontal="right" vertical="center"/>
    </xf>
    <xf numFmtId="0" fontId="50" fillId="0" borderId="601" xfId="0" applyFont="1" applyBorder="1" applyAlignment="1">
      <alignment horizontal="center" vertical="center" wrapText="1"/>
    </xf>
    <xf numFmtId="168" fontId="25" fillId="17" borderId="72" xfId="5" applyNumberFormat="1" applyFont="1" applyFill="1" applyBorder="1" applyAlignment="1">
      <alignment vertical="center"/>
    </xf>
    <xf numFmtId="165" fontId="25" fillId="17" borderId="72" xfId="5" applyNumberFormat="1" applyFont="1" applyFill="1" applyBorder="1" applyAlignment="1">
      <alignment vertical="center"/>
    </xf>
    <xf numFmtId="168" fontId="25" fillId="17" borderId="111" xfId="5" applyNumberFormat="1" applyFont="1" applyFill="1" applyBorder="1" applyAlignment="1">
      <alignment horizontal="right" vertical="center"/>
    </xf>
    <xf numFmtId="165" fontId="25" fillId="17" borderId="72" xfId="5" applyNumberFormat="1" applyFont="1" applyFill="1" applyBorder="1" applyAlignment="1">
      <alignment horizontal="right" vertical="center"/>
    </xf>
    <xf numFmtId="168" fontId="25" fillId="0" borderId="110" xfId="5" applyNumberFormat="1" applyFont="1" applyBorder="1" applyAlignment="1">
      <alignment horizontal="right" vertical="center"/>
    </xf>
    <xf numFmtId="165" fontId="25" fillId="0" borderId="0" xfId="5" applyNumberFormat="1" applyFont="1" applyBorder="1" applyAlignment="1">
      <alignment horizontal="right" vertical="center"/>
    </xf>
    <xf numFmtId="168" fontId="25" fillId="17" borderId="110" xfId="5" applyNumberFormat="1" applyFont="1" applyFill="1" applyBorder="1" applyAlignment="1">
      <alignment horizontal="right" vertical="center"/>
    </xf>
    <xf numFmtId="165" fontId="25" fillId="17" borderId="0" xfId="5" applyNumberFormat="1" applyFont="1" applyFill="1" applyBorder="1" applyAlignment="1">
      <alignment horizontal="right" vertical="center"/>
    </xf>
    <xf numFmtId="168" fontId="25" fillId="17" borderId="79" xfId="5" applyNumberFormat="1" applyFont="1" applyFill="1" applyBorder="1" applyAlignment="1">
      <alignment vertical="center"/>
    </xf>
    <xf numFmtId="165" fontId="25" fillId="17" borderId="79" xfId="5" applyNumberFormat="1" applyFont="1" applyFill="1" applyBorder="1" applyAlignment="1">
      <alignment vertical="center"/>
    </xf>
    <xf numFmtId="168" fontId="25" fillId="17" borderId="112" xfId="5" applyNumberFormat="1" applyFont="1" applyFill="1" applyBorder="1" applyAlignment="1">
      <alignment horizontal="right" vertical="center"/>
    </xf>
    <xf numFmtId="165" fontId="25" fillId="17" borderId="79" xfId="5" applyNumberFormat="1" applyFont="1" applyFill="1" applyBorder="1" applyAlignment="1">
      <alignment horizontal="right" vertical="center"/>
    </xf>
    <xf numFmtId="0" fontId="49" fillId="17" borderId="607" xfId="0" applyFont="1" applyFill="1" applyBorder="1" applyAlignment="1">
      <alignment horizontal="right" vertical="center"/>
    </xf>
    <xf numFmtId="0" fontId="49" fillId="0" borderId="608" xfId="0" applyFont="1" applyBorder="1" applyAlignment="1">
      <alignment horizontal="right" vertical="center"/>
    </xf>
    <xf numFmtId="0" fontId="49" fillId="17" borderId="608" xfId="0" applyFont="1" applyFill="1" applyBorder="1" applyAlignment="1">
      <alignment horizontal="right" vertical="center"/>
    </xf>
    <xf numFmtId="0" fontId="49" fillId="17" borderId="608" xfId="0" applyNumberFormat="1" applyFont="1" applyFill="1" applyBorder="1" applyAlignment="1">
      <alignment horizontal="right" vertical="center"/>
    </xf>
    <xf numFmtId="0" fontId="49" fillId="0" borderId="608" xfId="0" applyNumberFormat="1" applyFont="1" applyBorder="1" applyAlignment="1">
      <alignment horizontal="right" vertical="center"/>
    </xf>
    <xf numFmtId="168" fontId="25" fillId="17" borderId="112" xfId="5" applyNumberFormat="1" applyFont="1" applyFill="1" applyBorder="1" applyAlignment="1">
      <alignment vertical="center"/>
    </xf>
    <xf numFmtId="0" fontId="49" fillId="17" borderId="609" xfId="0" applyNumberFormat="1" applyFont="1" applyFill="1" applyBorder="1" applyAlignment="1">
      <alignment horizontal="right" vertical="center"/>
    </xf>
    <xf numFmtId="0" fontId="25" fillId="17" borderId="609" xfId="0" applyFont="1" applyFill="1" applyBorder="1" applyAlignment="1">
      <alignment horizontal="right" vertical="center"/>
    </xf>
    <xf numFmtId="0" fontId="35" fillId="0" borderId="613" xfId="0" applyFont="1" applyBorder="1" applyAlignment="1">
      <alignment horizontal="center" vertical="center" wrapText="1"/>
    </xf>
    <xf numFmtId="0" fontId="6" fillId="0" borderId="66" xfId="0" applyFont="1" applyBorder="1" applyProtection="1"/>
    <xf numFmtId="0" fontId="96" fillId="9" borderId="0" xfId="0" applyFont="1" applyFill="1"/>
    <xf numFmtId="0" fontId="6" fillId="0" borderId="11" xfId="0" applyFont="1" applyBorder="1" applyProtection="1"/>
    <xf numFmtId="0" fontId="40" fillId="0" borderId="522" xfId="0" applyFont="1" applyBorder="1" applyAlignment="1" applyProtection="1">
      <alignment horizontal="center" vertical="center" wrapText="1"/>
    </xf>
    <xf numFmtId="0" fontId="40" fillId="0" borderId="503" xfId="0" applyFont="1" applyBorder="1" applyAlignment="1" applyProtection="1">
      <alignment horizontal="center" vertical="center" wrapText="1"/>
    </xf>
    <xf numFmtId="165" fontId="32" fillId="0" borderId="411" xfId="5" applyFont="1" applyBorder="1" applyAlignment="1" applyProtection="1">
      <alignment horizontal="center" vertical="center" wrapText="1"/>
    </xf>
    <xf numFmtId="168" fontId="32" fillId="0" borderId="247" xfId="5" applyNumberFormat="1" applyFont="1" applyBorder="1" applyAlignment="1" applyProtection="1">
      <alignment horizontal="center" vertical="center" wrapText="1"/>
    </xf>
    <xf numFmtId="165" fontId="32" fillId="0" borderId="615" xfId="5" applyFont="1" applyBorder="1" applyAlignment="1" applyProtection="1">
      <alignment horizontal="center" vertical="center" wrapText="1"/>
    </xf>
    <xf numFmtId="0" fontId="47" fillId="43" borderId="464" xfId="0" applyFont="1" applyFill="1" applyBorder="1" applyAlignment="1">
      <alignment horizontal="center" wrapText="1"/>
    </xf>
    <xf numFmtId="0" fontId="47" fillId="43" borderId="463" xfId="0" applyFont="1" applyFill="1" applyBorder="1" applyAlignment="1">
      <alignment horizontal="center" wrapText="1"/>
    </xf>
    <xf numFmtId="0" fontId="11" fillId="0" borderId="13" xfId="0" applyFont="1" applyFill="1" applyBorder="1" applyAlignment="1" applyProtection="1">
      <alignment wrapText="1"/>
    </xf>
    <xf numFmtId="0" fontId="11" fillId="0" borderId="16" xfId="0" applyFont="1" applyFill="1" applyBorder="1" applyAlignment="1" applyProtection="1">
      <alignment wrapText="1"/>
    </xf>
    <xf numFmtId="0" fontId="11" fillId="0" borderId="35" xfId="0" applyFont="1" applyFill="1" applyBorder="1" applyAlignment="1" applyProtection="1">
      <alignment wrapText="1"/>
    </xf>
    <xf numFmtId="0" fontId="11" fillId="0" borderId="18" xfId="0" applyFont="1" applyFill="1" applyBorder="1" applyAlignment="1" applyProtection="1">
      <alignment wrapText="1"/>
    </xf>
    <xf numFmtId="0" fontId="11" fillId="0" borderId="179" xfId="0" applyFont="1" applyFill="1" applyBorder="1" applyAlignment="1" applyProtection="1">
      <alignment wrapText="1"/>
    </xf>
    <xf numFmtId="0" fontId="0" fillId="0" borderId="0" xfId="0" applyFill="1" applyAlignment="1" applyProtection="1">
      <alignment wrapText="1"/>
    </xf>
    <xf numFmtId="0" fontId="0" fillId="0" borderId="0" xfId="0" applyFill="1" applyAlignment="1" applyProtection="1">
      <alignment vertical="center" wrapText="1"/>
    </xf>
    <xf numFmtId="0" fontId="47" fillId="36" borderId="0" xfId="0" applyFont="1" applyFill="1"/>
    <xf numFmtId="168" fontId="30" fillId="8" borderId="592" xfId="5" applyNumberFormat="1" applyFont="1" applyFill="1" applyBorder="1" applyAlignment="1" applyProtection="1">
      <alignment vertical="center"/>
      <protection locked="0"/>
    </xf>
    <xf numFmtId="168" fontId="30" fillId="8" borderId="89" xfId="5" applyNumberFormat="1" applyFont="1" applyFill="1" applyBorder="1" applyAlignment="1" applyProtection="1">
      <alignment vertical="center"/>
      <protection locked="0"/>
    </xf>
    <xf numFmtId="168" fontId="30" fillId="0" borderId="587" xfId="5" applyNumberFormat="1" applyFont="1" applyBorder="1" applyAlignment="1" applyProtection="1">
      <alignment vertical="center"/>
      <protection locked="0"/>
    </xf>
    <xf numFmtId="168" fontId="30" fillId="8" borderId="587" xfId="5" applyNumberFormat="1" applyFont="1" applyFill="1" applyBorder="1" applyAlignment="1" applyProtection="1">
      <alignment vertical="center"/>
      <protection locked="0"/>
    </xf>
    <xf numFmtId="168" fontId="30" fillId="8" borderId="0" xfId="5" applyNumberFormat="1" applyFont="1" applyFill="1" applyBorder="1" applyAlignment="1" applyProtection="1">
      <alignment vertical="center"/>
      <protection locked="0"/>
    </xf>
    <xf numFmtId="165" fontId="30" fillId="0" borderId="587" xfId="5" applyNumberFormat="1" applyFont="1" applyBorder="1" applyAlignment="1" applyProtection="1">
      <alignment vertical="center"/>
      <protection locked="0"/>
    </xf>
    <xf numFmtId="165" fontId="30" fillId="8" borderId="587" xfId="5" applyNumberFormat="1" applyFont="1" applyFill="1" applyBorder="1" applyAlignment="1" applyProtection="1">
      <alignment vertical="center"/>
      <protection locked="0"/>
    </xf>
    <xf numFmtId="165" fontId="30" fillId="23" borderId="587" xfId="5" applyNumberFormat="1" applyFont="1" applyFill="1" applyBorder="1" applyAlignment="1" applyProtection="1">
      <alignment vertical="center"/>
      <protection locked="0"/>
    </xf>
    <xf numFmtId="168" fontId="30" fillId="23" borderId="0" xfId="5" applyNumberFormat="1" applyFont="1" applyFill="1" applyBorder="1" applyAlignment="1" applyProtection="1">
      <alignment vertical="center"/>
      <protection locked="0"/>
    </xf>
    <xf numFmtId="165" fontId="30" fillId="23" borderId="594" xfId="5" applyNumberFormat="1" applyFont="1" applyFill="1" applyBorder="1" applyAlignment="1" applyProtection="1">
      <alignment vertical="center"/>
      <protection locked="0"/>
    </xf>
    <xf numFmtId="168" fontId="30" fillId="23" borderId="588" xfId="5" applyNumberFormat="1" applyFont="1" applyFill="1" applyBorder="1" applyAlignment="1" applyProtection="1">
      <alignment vertical="center"/>
      <protection locked="0"/>
    </xf>
    <xf numFmtId="165" fontId="30" fillId="8" borderId="88" xfId="5" applyNumberFormat="1" applyFont="1" applyFill="1" applyBorder="1" applyAlignment="1" applyProtection="1">
      <alignment vertical="center"/>
      <protection locked="0"/>
    </xf>
    <xf numFmtId="165" fontId="30" fillId="0" borderId="86" xfId="5" applyNumberFormat="1" applyFont="1" applyBorder="1" applyAlignment="1" applyProtection="1">
      <alignment vertical="center"/>
      <protection locked="0"/>
    </xf>
    <xf numFmtId="165" fontId="30" fillId="8" borderId="86" xfId="5" applyNumberFormat="1" applyFont="1" applyFill="1" applyBorder="1" applyAlignment="1" applyProtection="1">
      <alignment vertical="center"/>
      <protection locked="0"/>
    </xf>
    <xf numFmtId="165" fontId="30" fillId="23" borderId="86" xfId="5" applyNumberFormat="1" applyFont="1" applyFill="1" applyBorder="1" applyAlignment="1" applyProtection="1">
      <alignment vertical="center"/>
      <protection locked="0"/>
    </xf>
    <xf numFmtId="165" fontId="30" fillId="23" borderId="589" xfId="5" applyNumberFormat="1" applyFont="1" applyFill="1" applyBorder="1" applyAlignment="1" applyProtection="1">
      <alignment vertical="center"/>
      <protection locked="0"/>
    </xf>
    <xf numFmtId="0" fontId="10" fillId="4" borderId="0" xfId="0" applyFont="1" applyFill="1"/>
    <xf numFmtId="165" fontId="30" fillId="8" borderId="592" xfId="5" applyNumberFormat="1" applyFont="1" applyFill="1" applyBorder="1" applyAlignment="1" applyProtection="1">
      <alignment vertical="center"/>
      <protection locked="0"/>
    </xf>
    <xf numFmtId="165" fontId="30" fillId="8" borderId="594" xfId="5" applyNumberFormat="1" applyFont="1" applyFill="1" applyBorder="1" applyAlignment="1" applyProtection="1">
      <alignment vertical="center"/>
      <protection locked="0"/>
    </xf>
    <xf numFmtId="168" fontId="30" fillId="8" borderId="588" xfId="5" applyNumberFormat="1" applyFont="1" applyFill="1" applyBorder="1" applyAlignment="1" applyProtection="1">
      <alignment vertical="center"/>
      <protection locked="0"/>
    </xf>
    <xf numFmtId="165" fontId="30" fillId="8" borderId="589" xfId="5" applyNumberFormat="1" applyFont="1" applyFill="1" applyBorder="1" applyAlignment="1" applyProtection="1">
      <alignment vertical="center"/>
      <protection locked="0"/>
    </xf>
    <xf numFmtId="165" fontId="30" fillId="0" borderId="594" xfId="5" applyNumberFormat="1" applyFont="1" applyBorder="1" applyAlignment="1" applyProtection="1">
      <alignment vertical="center"/>
      <protection locked="0"/>
    </xf>
    <xf numFmtId="168" fontId="30" fillId="0" borderId="588" xfId="5" applyNumberFormat="1" applyFont="1" applyBorder="1" applyAlignment="1" applyProtection="1">
      <alignment vertical="center"/>
      <protection locked="0"/>
    </xf>
    <xf numFmtId="165" fontId="30" fillId="0" borderId="589" xfId="5" applyNumberFormat="1" applyFont="1" applyBorder="1" applyAlignment="1" applyProtection="1">
      <alignment vertical="center"/>
      <protection locked="0"/>
    </xf>
    <xf numFmtId="165" fontId="30" fillId="17" borderId="271" xfId="5" applyNumberFormat="1" applyFont="1" applyFill="1" applyBorder="1" applyAlignment="1" applyProtection="1">
      <alignment horizontal="right" vertical="center"/>
      <protection locked="0"/>
    </xf>
    <xf numFmtId="168" fontId="30" fillId="17" borderId="262" xfId="5" applyNumberFormat="1" applyFont="1" applyFill="1" applyBorder="1" applyAlignment="1" applyProtection="1">
      <alignment horizontal="right" vertical="center"/>
      <protection locked="0"/>
    </xf>
    <xf numFmtId="165" fontId="30" fillId="0" borderId="110" xfId="5" applyNumberFormat="1" applyFont="1" applyBorder="1" applyAlignment="1" applyProtection="1">
      <alignment horizontal="right" vertical="center"/>
      <protection locked="0"/>
    </xf>
    <xf numFmtId="165" fontId="30" fillId="17" borderId="110" xfId="5" applyNumberFormat="1" applyFont="1" applyFill="1" applyBorder="1" applyAlignment="1" applyProtection="1">
      <alignment horizontal="right" vertical="center"/>
      <protection locked="0"/>
    </xf>
    <xf numFmtId="168" fontId="30" fillId="17" borderId="0" xfId="5" applyNumberFormat="1" applyFont="1" applyFill="1" applyBorder="1" applyAlignment="1" applyProtection="1">
      <alignment horizontal="right" vertical="center"/>
      <protection locked="0"/>
    </xf>
    <xf numFmtId="165" fontId="30" fillId="17" borderId="112" xfId="5" applyNumberFormat="1" applyFont="1" applyFill="1" applyBorder="1" applyAlignment="1" applyProtection="1">
      <alignment horizontal="right" vertical="center"/>
      <protection locked="0"/>
    </xf>
    <xf numFmtId="168" fontId="30" fillId="17" borderId="79" xfId="5" applyNumberFormat="1" applyFont="1" applyFill="1" applyBorder="1" applyAlignment="1" applyProtection="1">
      <alignment horizontal="right" vertical="center"/>
      <protection locked="0"/>
    </xf>
    <xf numFmtId="165" fontId="30" fillId="17" borderId="271" xfId="5" applyNumberFormat="1" applyFont="1" applyFill="1" applyBorder="1" applyAlignment="1" applyProtection="1">
      <alignment vertical="center"/>
      <protection locked="0"/>
    </xf>
    <xf numFmtId="168" fontId="30" fillId="17" borderId="262" xfId="5" applyNumberFormat="1" applyFont="1" applyFill="1" applyBorder="1" applyAlignment="1" applyProtection="1">
      <alignment vertical="center"/>
      <protection locked="0"/>
    </xf>
    <xf numFmtId="165" fontId="30" fillId="0" borderId="110" xfId="5" applyNumberFormat="1" applyFont="1" applyBorder="1" applyAlignment="1" applyProtection="1">
      <alignment vertical="center"/>
      <protection locked="0"/>
    </xf>
    <xf numFmtId="165" fontId="30" fillId="17" borderId="110" xfId="5" applyNumberFormat="1" applyFont="1" applyFill="1" applyBorder="1" applyAlignment="1" applyProtection="1">
      <alignment vertical="center"/>
      <protection locked="0"/>
    </xf>
    <xf numFmtId="168" fontId="30" fillId="17" borderId="0" xfId="5" applyNumberFormat="1" applyFont="1" applyFill="1" applyBorder="1" applyAlignment="1" applyProtection="1">
      <alignment vertical="center"/>
      <protection locked="0"/>
    </xf>
    <xf numFmtId="165" fontId="30" fillId="0" borderId="112" xfId="5" applyNumberFormat="1" applyFont="1" applyBorder="1" applyAlignment="1" applyProtection="1">
      <alignment vertical="center"/>
      <protection locked="0"/>
    </xf>
    <xf numFmtId="168" fontId="30" fillId="0" borderId="79" xfId="5" applyNumberFormat="1" applyFont="1" applyBorder="1" applyAlignment="1" applyProtection="1">
      <alignment vertical="center"/>
      <protection locked="0"/>
    </xf>
    <xf numFmtId="165" fontId="30" fillId="17" borderId="261" xfId="5" applyNumberFormat="1" applyFont="1" applyFill="1" applyBorder="1" applyAlignment="1" applyProtection="1">
      <alignment vertical="center"/>
      <protection locked="0"/>
    </xf>
    <xf numFmtId="165" fontId="30" fillId="0" borderId="267" xfId="5" applyNumberFormat="1" applyFont="1" applyBorder="1" applyAlignment="1" applyProtection="1">
      <alignment vertical="center"/>
      <protection locked="0"/>
    </xf>
    <xf numFmtId="165" fontId="30" fillId="17" borderId="267" xfId="5" applyNumberFormat="1" applyFont="1" applyFill="1" applyBorder="1" applyAlignment="1" applyProtection="1">
      <alignment vertical="center"/>
      <protection locked="0"/>
    </xf>
    <xf numFmtId="165" fontId="30" fillId="0" borderId="602" xfId="5" applyNumberFormat="1" applyFont="1" applyBorder="1" applyAlignment="1" applyProtection="1">
      <alignment vertical="center"/>
      <protection locked="0"/>
    </xf>
    <xf numFmtId="165" fontId="30" fillId="17" borderId="111" xfId="5" applyNumberFormat="1" applyFont="1" applyFill="1" applyBorder="1" applyAlignment="1" applyProtection="1">
      <alignment vertical="center"/>
      <protection locked="0"/>
    </xf>
    <xf numFmtId="168" fontId="30" fillId="17" borderId="72" xfId="5" applyNumberFormat="1" applyFont="1" applyFill="1" applyBorder="1" applyAlignment="1" applyProtection="1">
      <alignment vertical="center"/>
      <protection locked="0"/>
    </xf>
    <xf numFmtId="165" fontId="30" fillId="17" borderId="112" xfId="5" applyNumberFormat="1" applyFont="1" applyFill="1" applyBorder="1" applyAlignment="1" applyProtection="1">
      <alignment vertical="center"/>
      <protection locked="0"/>
    </xf>
    <xf numFmtId="168" fontId="30" fillId="17" borderId="79" xfId="5" applyNumberFormat="1" applyFont="1" applyFill="1" applyBorder="1" applyAlignment="1" applyProtection="1">
      <alignment vertical="center"/>
      <protection locked="0"/>
    </xf>
    <xf numFmtId="165" fontId="30" fillId="17" borderId="280" xfId="5" applyNumberFormat="1" applyFont="1" applyFill="1" applyBorder="1" applyAlignment="1" applyProtection="1">
      <alignment vertical="center"/>
      <protection locked="0"/>
    </xf>
    <xf numFmtId="165" fontId="30" fillId="17" borderId="602" xfId="5" applyNumberFormat="1" applyFont="1" applyFill="1" applyBorder="1" applyAlignment="1" applyProtection="1">
      <alignment vertical="center"/>
      <protection locked="0"/>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0" fontId="0" fillId="0" borderId="51" xfId="0" applyFont="1" applyFill="1" applyBorder="1" applyProtection="1">
      <protection locked="0"/>
    </xf>
    <xf numFmtId="0" fontId="30" fillId="0" borderId="0" xfId="0" applyFont="1" applyFill="1" applyBorder="1" applyAlignment="1" applyProtection="1">
      <alignment vertical="center"/>
      <protection locked="0"/>
    </xf>
    <xf numFmtId="0" fontId="10" fillId="0" borderId="505" xfId="5" applyNumberFormat="1" applyFont="1" applyFill="1" applyBorder="1" applyAlignment="1" applyProtection="1">
      <alignment horizontal="right" vertical="center"/>
      <protection locked="0"/>
    </xf>
    <xf numFmtId="0" fontId="10" fillId="0" borderId="509" xfId="5" applyNumberFormat="1" applyFont="1" applyFill="1" applyBorder="1" applyAlignment="1" applyProtection="1">
      <alignment horizontal="right" vertical="center"/>
      <protection locked="0"/>
    </xf>
    <xf numFmtId="0" fontId="10" fillId="0" borderId="506" xfId="5" applyNumberFormat="1" applyFont="1" applyFill="1" applyBorder="1" applyAlignment="1" applyProtection="1">
      <alignment horizontal="right" vertical="center"/>
      <protection locked="0"/>
    </xf>
    <xf numFmtId="168" fontId="60" fillId="0" borderId="155" xfId="5" applyNumberFormat="1" applyFont="1" applyBorder="1" applyAlignment="1" applyProtection="1">
      <alignment horizontal="left" vertical="center"/>
      <protection locked="0"/>
    </xf>
    <xf numFmtId="0" fontId="54" fillId="0" borderId="0" xfId="0" applyFont="1" applyFill="1" applyBorder="1" applyProtection="1">
      <protection locked="0"/>
    </xf>
    <xf numFmtId="0" fontId="18" fillId="0" borderId="0" xfId="0" applyFont="1" applyFill="1" applyBorder="1" applyAlignment="1" applyProtection="1">
      <alignment vertical="center"/>
      <protection locked="0"/>
    </xf>
    <xf numFmtId="0" fontId="10" fillId="0" borderId="508" xfId="5" applyNumberFormat="1" applyFont="1" applyFill="1" applyBorder="1" applyAlignment="1" applyProtection="1">
      <alignment horizontal="right" vertical="center"/>
      <protection locked="0"/>
    </xf>
    <xf numFmtId="0" fontId="54" fillId="0" borderId="509" xfId="0" applyFont="1" applyFill="1" applyBorder="1" applyProtection="1">
      <protection locked="0"/>
    </xf>
    <xf numFmtId="0" fontId="54" fillId="0" borderId="506" xfId="0" applyFont="1" applyFill="1" applyBorder="1" applyProtection="1">
      <protection locked="0"/>
    </xf>
    <xf numFmtId="0" fontId="54" fillId="0" borderId="11" xfId="0" applyFont="1" applyBorder="1" applyProtection="1">
      <protection locked="0"/>
    </xf>
    <xf numFmtId="0" fontId="18" fillId="0" borderId="12" xfId="0" applyFont="1" applyBorder="1" applyAlignment="1" applyProtection="1">
      <alignment horizontal="center" vertical="center"/>
      <protection locked="0"/>
    </xf>
    <xf numFmtId="170" fontId="10" fillId="0" borderId="505" xfId="5" applyNumberFormat="1" applyFont="1" applyFill="1" applyBorder="1" applyProtection="1">
      <protection locked="0"/>
    </xf>
    <xf numFmtId="170" fontId="10" fillId="0" borderId="509" xfId="5" applyNumberFormat="1" applyFont="1" applyFill="1" applyBorder="1" applyProtection="1">
      <protection locked="0"/>
    </xf>
    <xf numFmtId="170" fontId="10" fillId="0" borderId="506" xfId="5" applyNumberFormat="1" applyFont="1" applyFill="1" applyBorder="1" applyProtection="1">
      <protection locked="0"/>
    </xf>
    <xf numFmtId="0" fontId="54" fillId="0" borderId="99" xfId="0" applyFont="1" applyBorder="1" applyProtection="1">
      <protection locked="0"/>
    </xf>
    <xf numFmtId="168" fontId="40" fillId="4" borderId="0" xfId="5" applyNumberFormat="1" applyFont="1" applyFill="1" applyProtection="1">
      <protection locked="0"/>
    </xf>
    <xf numFmtId="168" fontId="18" fillId="4" borderId="0" xfId="5" applyNumberFormat="1" applyFont="1" applyFill="1" applyAlignment="1" applyProtection="1">
      <alignment vertical="center"/>
      <protection locked="0"/>
    </xf>
    <xf numFmtId="170" fontId="10" fillId="0" borderId="516" xfId="5" applyNumberFormat="1" applyFont="1" applyFill="1" applyBorder="1" applyProtection="1">
      <protection locked="0"/>
    </xf>
    <xf numFmtId="170" fontId="10" fillId="0" borderId="507" xfId="5" applyNumberFormat="1" applyFont="1" applyFill="1" applyBorder="1" applyProtection="1">
      <protection locked="0"/>
    </xf>
    <xf numFmtId="168" fontId="40" fillId="4" borderId="511" xfId="5" applyNumberFormat="1" applyFont="1" applyFill="1" applyBorder="1" applyProtection="1">
      <protection locked="0"/>
    </xf>
    <xf numFmtId="168" fontId="40" fillId="4" borderId="0" xfId="5" applyNumberFormat="1" applyFont="1" applyFill="1" applyBorder="1" applyProtection="1">
      <protection locked="0"/>
    </xf>
    <xf numFmtId="168" fontId="56" fillId="4" borderId="519" xfId="5" applyNumberFormat="1" applyFont="1" applyFill="1" applyBorder="1" applyAlignment="1" applyProtection="1">
      <alignment vertical="center"/>
      <protection locked="0"/>
    </xf>
    <xf numFmtId="170" fontId="10" fillId="0" borderId="518" xfId="5" applyNumberFormat="1" applyFont="1" applyFill="1" applyBorder="1" applyProtection="1">
      <protection locked="0"/>
    </xf>
    <xf numFmtId="168" fontId="40" fillId="4" borderId="0" xfId="5" applyNumberFormat="1" applyFont="1" applyFill="1" applyAlignment="1" applyProtection="1">
      <alignment vertical="center"/>
      <protection locked="0"/>
    </xf>
    <xf numFmtId="0" fontId="54" fillId="0" borderId="12" xfId="0" applyFont="1" applyBorder="1" applyProtection="1">
      <protection locked="0"/>
    </xf>
    <xf numFmtId="0" fontId="0" fillId="0" borderId="115" xfId="0" applyFill="1" applyBorder="1" applyAlignment="1" applyProtection="1">
      <alignment wrapText="1"/>
    </xf>
    <xf numFmtId="0" fontId="0" fillId="0" borderId="0" xfId="0" applyFont="1" applyFill="1" applyAlignment="1" applyProtection="1">
      <alignment wrapText="1"/>
    </xf>
    <xf numFmtId="0" fontId="11" fillId="0" borderId="12" xfId="0" applyFont="1" applyFill="1" applyBorder="1" applyAlignment="1" applyProtection="1">
      <alignment wrapText="1"/>
    </xf>
    <xf numFmtId="0" fontId="11" fillId="0" borderId="15" xfId="0" applyFont="1" applyFill="1" applyBorder="1" applyAlignment="1" applyProtection="1">
      <alignment wrapText="1"/>
    </xf>
    <xf numFmtId="0" fontId="0" fillId="0" borderId="294" xfId="0" applyFill="1" applyBorder="1" applyAlignment="1" applyProtection="1">
      <alignment wrapText="1"/>
    </xf>
    <xf numFmtId="0" fontId="11" fillId="0" borderId="8" xfId="0" applyFont="1" applyFill="1" applyBorder="1" applyAlignment="1" applyProtection="1">
      <alignment wrapText="1"/>
    </xf>
    <xf numFmtId="0" fontId="0" fillId="0" borderId="295" xfId="0" applyFill="1" applyBorder="1" applyAlignment="1" applyProtection="1">
      <alignment wrapText="1"/>
    </xf>
    <xf numFmtId="0" fontId="11" fillId="0" borderId="11" xfId="0" applyFont="1" applyFill="1" applyBorder="1" applyAlignment="1" applyProtection="1">
      <alignment wrapText="1"/>
    </xf>
    <xf numFmtId="0" fontId="0" fillId="0" borderId="11" xfId="0" applyFill="1" applyBorder="1" applyAlignment="1" applyProtection="1">
      <alignment wrapText="1"/>
    </xf>
    <xf numFmtId="0" fontId="79" fillId="0" borderId="8" xfId="0" applyFont="1" applyFill="1" applyBorder="1" applyAlignment="1" applyProtection="1">
      <alignment vertical="center" wrapText="1"/>
    </xf>
    <xf numFmtId="0" fontId="74" fillId="0" borderId="0" xfId="0" applyFont="1" applyFill="1" applyAlignment="1" applyProtection="1">
      <alignment vertical="center" wrapText="1"/>
      <protection locked="0"/>
    </xf>
    <xf numFmtId="0" fontId="6" fillId="0" borderId="0" xfId="0" applyFont="1" applyFill="1" applyAlignment="1" applyProtection="1">
      <alignment vertical="center" wrapText="1"/>
    </xf>
    <xf numFmtId="0" fontId="11" fillId="0" borderId="8" xfId="0" applyFont="1" applyFill="1" applyBorder="1" applyAlignment="1" applyProtection="1">
      <alignment horizontal="left" wrapText="1"/>
    </xf>
    <xf numFmtId="0" fontId="79" fillId="0" borderId="8" xfId="0" applyFont="1" applyFill="1" applyBorder="1" applyAlignment="1" applyProtection="1">
      <alignment wrapText="1"/>
    </xf>
    <xf numFmtId="0" fontId="79" fillId="0" borderId="8" xfId="0" applyFont="1" applyFill="1" applyBorder="1" applyAlignment="1" applyProtection="1">
      <alignment horizontal="left"/>
    </xf>
    <xf numFmtId="0" fontId="79" fillId="0" borderId="8" xfId="0" applyFont="1" applyFill="1" applyBorder="1" applyAlignment="1" applyProtection="1"/>
    <xf numFmtId="0" fontId="47" fillId="32" borderId="349" xfId="0" applyFont="1" applyFill="1" applyBorder="1" applyAlignment="1" applyProtection="1">
      <alignment vertical="center" wrapText="1"/>
      <protection locked="0"/>
    </xf>
    <xf numFmtId="0" fontId="0" fillId="41" borderId="432" xfId="0" applyFill="1" applyBorder="1" applyAlignment="1" applyProtection="1">
      <alignment horizontal="center"/>
      <protection locked="0"/>
    </xf>
    <xf numFmtId="0" fontId="0" fillId="41" borderId="449" xfId="0" applyFill="1" applyBorder="1" applyAlignment="1" applyProtection="1">
      <alignment horizontal="center"/>
      <protection locked="0"/>
    </xf>
    <xf numFmtId="0" fontId="47" fillId="44" borderId="464" xfId="0" applyFont="1" applyFill="1" applyBorder="1" applyAlignment="1" applyProtection="1">
      <alignment horizontal="center"/>
      <protection locked="0"/>
    </xf>
    <xf numFmtId="172" fontId="47" fillId="44" borderId="464" xfId="0" applyNumberFormat="1" applyFont="1" applyFill="1" applyBorder="1" applyAlignment="1" applyProtection="1">
      <alignment horizontal="center"/>
      <protection locked="0"/>
    </xf>
    <xf numFmtId="172" fontId="47" fillId="44" borderId="463" xfId="0" applyNumberFormat="1" applyFont="1" applyFill="1" applyBorder="1" applyAlignment="1" applyProtection="1">
      <alignment horizontal="center"/>
      <protection locked="0"/>
    </xf>
    <xf numFmtId="0" fontId="47" fillId="0" borderId="464" xfId="0" applyFont="1" applyBorder="1" applyAlignment="1" applyProtection="1">
      <alignment horizontal="center"/>
      <protection locked="0"/>
    </xf>
    <xf numFmtId="172" fontId="47" fillId="0" borderId="464" xfId="0" applyNumberFormat="1" applyFont="1" applyBorder="1" applyAlignment="1" applyProtection="1">
      <alignment horizontal="center"/>
      <protection locked="0"/>
    </xf>
    <xf numFmtId="172" fontId="47" fillId="0" borderId="463" xfId="0" applyNumberFormat="1" applyFont="1" applyBorder="1" applyAlignment="1" applyProtection="1">
      <alignment horizontal="center"/>
      <protection locked="0"/>
    </xf>
    <xf numFmtId="0" fontId="47" fillId="0" borderId="67" xfId="0" applyFont="1" applyBorder="1" applyAlignment="1" applyProtection="1">
      <alignment horizontal="center"/>
      <protection locked="0"/>
    </xf>
    <xf numFmtId="172" fontId="47" fillId="0" borderId="67" xfId="0" applyNumberFormat="1" applyFont="1" applyBorder="1" applyAlignment="1" applyProtection="1">
      <alignment horizontal="center"/>
      <protection locked="0"/>
    </xf>
    <xf numFmtId="172" fontId="47" fillId="0" borderId="462" xfId="0" applyNumberFormat="1" applyFont="1" applyBorder="1" applyAlignment="1" applyProtection="1">
      <alignment horizontal="center"/>
      <protection locked="0"/>
    </xf>
    <xf numFmtId="0" fontId="47" fillId="0" borderId="460" xfId="0" applyFont="1" applyFill="1" applyBorder="1" applyAlignment="1" applyProtection="1">
      <alignment horizontal="left" vertical="center"/>
      <protection locked="0"/>
    </xf>
    <xf numFmtId="0" fontId="30" fillId="8" borderId="94" xfId="0" applyFont="1" applyFill="1" applyBorder="1" applyAlignment="1" applyProtection="1">
      <alignment horizontal="left" vertical="center"/>
      <protection locked="0"/>
    </xf>
    <xf numFmtId="0" fontId="30" fillId="0" borderId="85" xfId="0" applyFont="1" applyBorder="1" applyAlignment="1" applyProtection="1">
      <alignment horizontal="left" vertical="center"/>
      <protection locked="0"/>
    </xf>
    <xf numFmtId="0" fontId="30" fillId="8" borderId="85" xfId="0" applyFont="1" applyFill="1" applyBorder="1" applyAlignment="1" applyProtection="1">
      <alignment horizontal="left" vertical="center"/>
      <protection locked="0"/>
    </xf>
    <xf numFmtId="0" fontId="30" fillId="23" borderId="85" xfId="0" applyNumberFormat="1" applyFont="1" applyFill="1" applyBorder="1" applyAlignment="1" applyProtection="1">
      <alignment horizontal="left" vertical="center"/>
      <protection locked="0"/>
    </xf>
    <xf numFmtId="0" fontId="30" fillId="0" borderId="85" xfId="0" applyNumberFormat="1" applyFont="1" applyBorder="1" applyAlignment="1" applyProtection="1">
      <alignment horizontal="left" vertical="center"/>
      <protection locked="0"/>
    </xf>
    <xf numFmtId="0" fontId="30" fillId="0" borderId="95" xfId="0" applyFont="1" applyBorder="1" applyAlignment="1" applyProtection="1">
      <alignment horizontal="left" vertical="center"/>
      <protection locked="0"/>
    </xf>
    <xf numFmtId="0" fontId="30" fillId="8" borderId="95" xfId="0" applyFont="1" applyFill="1" applyBorder="1" applyAlignment="1" applyProtection="1">
      <alignment horizontal="left" vertical="center"/>
      <protection locked="0"/>
    </xf>
    <xf numFmtId="0" fontId="30" fillId="0" borderId="331" xfId="0" applyNumberFormat="1" applyFont="1" applyFill="1" applyBorder="1" applyAlignment="1" applyProtection="1">
      <alignment horizontal="left" vertical="center"/>
      <protection locked="0"/>
    </xf>
    <xf numFmtId="0" fontId="30" fillId="0" borderId="332" xfId="0" applyNumberFormat="1" applyFont="1" applyFill="1" applyBorder="1" applyAlignment="1" applyProtection="1">
      <alignment horizontal="left" vertical="center"/>
      <protection locked="0"/>
    </xf>
    <xf numFmtId="0" fontId="30" fillId="11" borderId="330" xfId="0" applyFont="1" applyFill="1" applyBorder="1" applyAlignment="1" applyProtection="1">
      <alignment horizontal="left" vertical="center"/>
      <protection locked="0"/>
    </xf>
    <xf numFmtId="0" fontId="30" fillId="0" borderId="331" xfId="0" applyFont="1" applyFill="1" applyBorder="1" applyAlignment="1" applyProtection="1">
      <alignment horizontal="left" vertical="center"/>
      <protection locked="0"/>
    </xf>
    <xf numFmtId="0" fontId="30" fillId="11" borderId="331" xfId="0" applyFont="1" applyFill="1" applyBorder="1" applyAlignment="1" applyProtection="1">
      <alignment horizontal="left" vertical="center"/>
      <protection locked="0"/>
    </xf>
    <xf numFmtId="0" fontId="30" fillId="11" borderId="331" xfId="0" applyNumberFormat="1" applyFont="1" applyFill="1" applyBorder="1" applyAlignment="1" applyProtection="1">
      <alignment horizontal="left" vertical="center"/>
      <protection locked="0"/>
    </xf>
    <xf numFmtId="0" fontId="30" fillId="18" borderId="330" xfId="0" applyFont="1" applyFill="1" applyBorder="1" applyAlignment="1" applyProtection="1">
      <alignment horizontal="left" vertical="center"/>
      <protection locked="0"/>
    </xf>
    <xf numFmtId="0" fontId="30" fillId="29" borderId="328" xfId="0" applyNumberFormat="1" applyFont="1" applyFill="1" applyBorder="1" applyAlignment="1" applyProtection="1">
      <alignment horizontal="left" vertical="center"/>
      <protection locked="0"/>
    </xf>
    <xf numFmtId="0" fontId="105" fillId="39" borderId="552" xfId="12" applyFont="1" applyFill="1" applyBorder="1" applyAlignment="1" applyProtection="1">
      <alignment horizontal="left" vertical="center"/>
      <protection locked="0"/>
    </xf>
    <xf numFmtId="10" fontId="30" fillId="6" borderId="176" xfId="2" applyNumberFormat="1" applyFont="1" applyFill="1" applyBorder="1" applyProtection="1">
      <protection locked="0"/>
    </xf>
    <xf numFmtId="1" fontId="62" fillId="4" borderId="348" xfId="0" applyNumberFormat="1" applyFont="1" applyFill="1" applyBorder="1" applyAlignment="1" applyProtection="1">
      <alignment horizontal="left" vertical="center"/>
    </xf>
    <xf numFmtId="1" fontId="62" fillId="0" borderId="348" xfId="0" applyNumberFormat="1" applyFont="1" applyFill="1" applyBorder="1" applyAlignment="1" applyProtection="1">
      <alignment horizontal="left" vertical="center"/>
    </xf>
    <xf numFmtId="1" fontId="87" fillId="19" borderId="348" xfId="0" applyNumberFormat="1" applyFont="1" applyFill="1" applyBorder="1" applyAlignment="1" applyProtection="1">
      <alignment horizontal="left" vertical="center"/>
    </xf>
    <xf numFmtId="0" fontId="111" fillId="0" borderId="586" xfId="0" applyFont="1" applyFill="1" applyBorder="1" applyAlignment="1">
      <alignment vertical="center"/>
    </xf>
    <xf numFmtId="0" fontId="96" fillId="0" borderId="0" xfId="0" applyFont="1" applyAlignment="1"/>
    <xf numFmtId="0" fontId="111" fillId="42" borderId="586" xfId="0" applyFont="1" applyFill="1" applyBorder="1" applyAlignment="1">
      <alignment vertical="center"/>
    </xf>
    <xf numFmtId="0" fontId="111" fillId="36" borderId="586" xfId="0" applyFont="1" applyFill="1" applyBorder="1" applyAlignment="1">
      <alignment vertical="center"/>
    </xf>
    <xf numFmtId="0" fontId="111" fillId="10" borderId="586" xfId="0" applyFont="1" applyFill="1" applyBorder="1" applyAlignment="1">
      <alignment vertical="center"/>
    </xf>
    <xf numFmtId="0" fontId="96" fillId="0" borderId="586" xfId="0" applyFont="1" applyFill="1" applyBorder="1" applyAlignment="1">
      <alignment vertical="center"/>
    </xf>
    <xf numFmtId="0" fontId="58" fillId="0" borderId="0" xfId="0" applyFont="1"/>
    <xf numFmtId="0" fontId="30" fillId="4" borderId="0" xfId="0" applyFont="1" applyFill="1" applyAlignment="1" applyProtection="1">
      <alignment vertical="center"/>
      <protection locked="0"/>
    </xf>
    <xf numFmtId="44" fontId="0" fillId="0" borderId="0" xfId="13" applyFont="1"/>
    <xf numFmtId="44" fontId="0" fillId="0" borderId="0" xfId="0" applyNumberFormat="1"/>
    <xf numFmtId="0" fontId="79" fillId="0" borderId="8" xfId="0" applyFont="1" applyFill="1" applyBorder="1" applyAlignment="1" applyProtection="1">
      <alignment horizontal="left" vertical="center" wrapText="1"/>
    </xf>
    <xf numFmtId="0" fontId="11" fillId="0" borderId="8" xfId="0" applyFont="1" applyFill="1" applyBorder="1" applyAlignment="1" applyProtection="1">
      <alignment horizontal="left" vertical="center" wrapText="1"/>
    </xf>
    <xf numFmtId="0" fontId="80" fillId="0" borderId="8" xfId="0" applyFont="1" applyFill="1" applyBorder="1" applyAlignment="1" applyProtection="1">
      <alignment horizontal="left" wrapText="1"/>
    </xf>
    <xf numFmtId="0" fontId="79" fillId="0" borderId="105" xfId="0" applyFont="1" applyFill="1" applyBorder="1" applyAlignment="1" applyProtection="1">
      <alignment horizontal="left" wrapText="1"/>
    </xf>
    <xf numFmtId="0" fontId="79" fillId="0" borderId="50" xfId="0" applyFont="1" applyFill="1" applyBorder="1" applyAlignment="1" applyProtection="1">
      <alignment horizontal="left" wrapText="1"/>
    </xf>
    <xf numFmtId="0" fontId="79" fillId="0" borderId="114" xfId="0" applyFont="1" applyFill="1" applyBorder="1" applyAlignment="1" applyProtection="1">
      <alignment horizontal="left" wrapText="1"/>
    </xf>
    <xf numFmtId="0" fontId="7" fillId="0" borderId="462" xfId="0" applyFont="1" applyFill="1" applyBorder="1" applyAlignment="1" applyProtection="1">
      <alignment horizontal="left" vertical="center" wrapText="1"/>
    </xf>
    <xf numFmtId="0" fontId="8" fillId="0" borderId="5" xfId="0" applyFont="1" applyFill="1" applyBorder="1" applyAlignment="1" applyProtection="1">
      <alignment horizontal="center" vertical="center" wrapText="1"/>
    </xf>
    <xf numFmtId="0" fontId="8" fillId="0" borderId="6"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xf>
    <xf numFmtId="0" fontId="75" fillId="0" borderId="0" xfId="6" applyFont="1" applyFill="1" applyAlignment="1">
      <alignment horizontal="center" wrapText="1"/>
    </xf>
    <xf numFmtId="166" fontId="2" fillId="0" borderId="14" xfId="1" applyNumberFormat="1" applyFont="1" applyFill="1" applyBorder="1" applyAlignment="1" applyProtection="1">
      <alignment horizontal="left" vertical="center" wrapText="1"/>
    </xf>
    <xf numFmtId="166" fontId="2" fillId="0" borderId="3" xfId="1" applyNumberFormat="1" applyFont="1" applyFill="1" applyBorder="1" applyAlignment="1" applyProtection="1">
      <alignment horizontal="left" vertical="center" wrapText="1"/>
    </xf>
    <xf numFmtId="0" fontId="11" fillId="0" borderId="9"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wrapText="1"/>
    </xf>
    <xf numFmtId="166" fontId="2" fillId="0" borderId="9" xfId="1" applyNumberFormat="1" applyFont="1" applyFill="1" applyBorder="1" applyAlignment="1" applyProtection="1">
      <alignment horizontal="center" vertical="center" wrapText="1"/>
    </xf>
    <xf numFmtId="166" fontId="2" fillId="0" borderId="0" xfId="1" applyNumberFormat="1" applyFont="1" applyFill="1" applyBorder="1" applyAlignment="1" applyProtection="1">
      <alignment horizontal="center" vertical="center" wrapText="1"/>
    </xf>
    <xf numFmtId="0" fontId="11" fillId="0" borderId="10" xfId="0" applyFont="1" applyFill="1" applyBorder="1" applyAlignment="1" applyProtection="1">
      <alignment horizontal="left" vertical="center" wrapText="1"/>
    </xf>
    <xf numFmtId="0" fontId="11" fillId="0" borderId="0" xfId="0" applyFont="1" applyFill="1" applyBorder="1" applyAlignment="1" applyProtection="1">
      <alignment horizontal="left" vertical="center" wrapText="1"/>
    </xf>
    <xf numFmtId="0" fontId="11" fillId="0" borderId="17" xfId="0" applyFont="1" applyFill="1" applyBorder="1" applyAlignment="1" applyProtection="1">
      <alignment horizontal="left" vertical="center" wrapText="1"/>
    </xf>
    <xf numFmtId="166" fontId="2" fillId="0" borderId="2" xfId="1" applyNumberFormat="1" applyFont="1" applyFill="1" applyBorder="1" applyAlignment="1" applyProtection="1">
      <alignment horizontal="left" vertical="center" wrapText="1"/>
    </xf>
    <xf numFmtId="166" fontId="2" fillId="0" borderId="19" xfId="1" applyNumberFormat="1" applyFont="1" applyFill="1" applyBorder="1" applyAlignment="1" applyProtection="1">
      <alignment horizontal="left" vertical="center" wrapText="1"/>
    </xf>
    <xf numFmtId="0" fontId="11" fillId="0" borderId="20" xfId="0" applyFont="1" applyFill="1" applyBorder="1" applyAlignment="1" applyProtection="1">
      <alignment horizontal="left" vertical="center" wrapText="1"/>
    </xf>
    <xf numFmtId="166" fontId="2" fillId="0" borderId="180" xfId="1" applyNumberFormat="1" applyFont="1" applyFill="1" applyBorder="1" applyAlignment="1" applyProtection="1">
      <alignment vertical="center" wrapText="1"/>
    </xf>
    <xf numFmtId="166" fontId="2" fillId="0" borderId="19" xfId="1" applyNumberFormat="1" applyFont="1" applyFill="1" applyBorder="1" applyAlignment="1" applyProtection="1">
      <alignment vertical="center" wrapText="1"/>
    </xf>
    <xf numFmtId="0" fontId="11" fillId="0" borderId="45" xfId="0" applyFont="1" applyFill="1" applyBorder="1" applyAlignment="1" applyProtection="1">
      <alignment horizontal="left" vertical="center" wrapText="1"/>
    </xf>
    <xf numFmtId="0" fontId="11" fillId="0" borderId="181" xfId="0" applyFont="1" applyFill="1" applyBorder="1" applyAlignment="1" applyProtection="1">
      <alignment horizontal="left" vertical="center" wrapText="1"/>
    </xf>
    <xf numFmtId="0" fontId="11" fillId="0" borderId="178" xfId="0" applyFont="1" applyFill="1" applyBorder="1" applyAlignment="1" applyProtection="1">
      <alignment horizontal="left" vertical="center" wrapText="1"/>
    </xf>
    <xf numFmtId="0" fontId="2" fillId="0" borderId="8" xfId="0" applyFont="1" applyFill="1" applyBorder="1" applyAlignment="1" applyProtection="1">
      <alignment horizontal="left" wrapText="1"/>
    </xf>
    <xf numFmtId="0" fontId="79" fillId="0" borderId="8" xfId="0" applyFont="1" applyBorder="1" applyAlignment="1" applyProtection="1">
      <alignment horizontal="left" vertical="center" wrapText="1"/>
    </xf>
    <xf numFmtId="0" fontId="11" fillId="0" borderId="8" xfId="0" applyFont="1" applyBorder="1" applyAlignment="1" applyProtection="1">
      <alignment horizontal="left" vertical="center" wrapText="1" indent="3"/>
    </xf>
    <xf numFmtId="0" fontId="80" fillId="0" borderId="8" xfId="0" applyFont="1" applyBorder="1" applyAlignment="1" applyProtection="1">
      <alignment horizontal="left" indent="1"/>
    </xf>
    <xf numFmtId="0" fontId="79" fillId="0" borderId="105" xfId="0" applyFont="1" applyBorder="1" applyAlignment="1" applyProtection="1">
      <alignment horizontal="left" wrapText="1"/>
    </xf>
    <xf numFmtId="0" fontId="79" fillId="0" borderId="50" xfId="0" applyFont="1" applyBorder="1" applyAlignment="1" applyProtection="1">
      <alignment horizontal="left" wrapText="1"/>
    </xf>
    <xf numFmtId="0" fontId="79" fillId="0" borderId="114" xfId="0" applyFont="1" applyBorder="1" applyAlignment="1" applyProtection="1">
      <alignment horizontal="left" wrapText="1"/>
    </xf>
    <xf numFmtId="0" fontId="7" fillId="30" borderId="462" xfId="0" applyFont="1" applyFill="1" applyBorder="1" applyAlignment="1" applyProtection="1">
      <alignment horizontal="left" vertical="center" wrapText="1"/>
    </xf>
    <xf numFmtId="0" fontId="79" fillId="0" borderId="8" xfId="0" applyFont="1" applyBorder="1" applyAlignment="1" applyProtection="1">
      <alignment horizontal="left"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166" fontId="2" fillId="2" borderId="14" xfId="1" applyNumberFormat="1" applyFont="1" applyFill="1" applyBorder="1" applyAlignment="1" applyProtection="1">
      <alignment horizontal="left" vertical="center"/>
    </xf>
    <xf numFmtId="166" fontId="2" fillId="2" borderId="3" xfId="1" applyNumberFormat="1" applyFont="1" applyFill="1" applyBorder="1" applyAlignment="1" applyProtection="1">
      <alignment horizontal="left" vertical="center"/>
    </xf>
    <xf numFmtId="0" fontId="11" fillId="2" borderId="9" xfId="0" applyFont="1" applyFill="1" applyBorder="1" applyAlignment="1" applyProtection="1">
      <alignment horizontal="left" vertical="center" wrapText="1" indent="1"/>
    </xf>
    <xf numFmtId="0" fontId="11" fillId="2" borderId="2" xfId="0" applyFont="1" applyFill="1" applyBorder="1" applyAlignment="1" applyProtection="1">
      <alignment horizontal="left" vertical="center" wrapText="1" indent="1"/>
    </xf>
    <xf numFmtId="166" fontId="2" fillId="2" borderId="9" xfId="1" applyNumberFormat="1" applyFont="1" applyFill="1" applyBorder="1" applyAlignment="1" applyProtection="1">
      <alignment horizontal="center" vertical="center"/>
    </xf>
    <xf numFmtId="166" fontId="2" fillId="2" borderId="0" xfId="1" applyNumberFormat="1" applyFont="1" applyFill="1" applyBorder="1" applyAlignment="1" applyProtection="1">
      <alignment horizontal="center" vertical="center"/>
    </xf>
    <xf numFmtId="0" fontId="11" fillId="2" borderId="9" xfId="0" applyFont="1" applyFill="1" applyBorder="1" applyAlignment="1" applyProtection="1">
      <alignment horizontal="left" vertical="center" wrapText="1"/>
    </xf>
    <xf numFmtId="0" fontId="11" fillId="2" borderId="1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1" fillId="2" borderId="17" xfId="0" applyFont="1" applyFill="1" applyBorder="1" applyAlignment="1" applyProtection="1">
      <alignment horizontal="left" vertical="center" wrapText="1"/>
    </xf>
    <xf numFmtId="166" fontId="2" fillId="2" borderId="2" xfId="1" applyNumberFormat="1" applyFont="1" applyFill="1" applyBorder="1" applyAlignment="1" applyProtection="1">
      <alignment horizontal="left" vertical="center"/>
    </xf>
    <xf numFmtId="166" fontId="2" fillId="2" borderId="19" xfId="1"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wrapText="1" indent="1"/>
    </xf>
    <xf numFmtId="0" fontId="11" fillId="2" borderId="20" xfId="0" applyFont="1" applyFill="1" applyBorder="1" applyAlignment="1" applyProtection="1">
      <alignment horizontal="left" vertical="center" wrapText="1" indent="1"/>
    </xf>
    <xf numFmtId="166" fontId="2" fillId="2" borderId="180" xfId="1" applyNumberFormat="1" applyFont="1" applyFill="1" applyBorder="1" applyAlignment="1" applyProtection="1">
      <alignment vertical="center"/>
    </xf>
    <xf numFmtId="166" fontId="2" fillId="2" borderId="19" xfId="1" applyNumberFormat="1" applyFont="1" applyFill="1" applyBorder="1" applyAlignment="1" applyProtection="1">
      <alignment vertical="center"/>
    </xf>
    <xf numFmtId="0" fontId="11" fillId="2" borderId="45" xfId="0" applyFont="1" applyFill="1" applyBorder="1" applyAlignment="1" applyProtection="1">
      <alignment horizontal="left" vertical="center" wrapText="1"/>
    </xf>
    <xf numFmtId="0" fontId="11" fillId="2" borderId="181" xfId="0" applyFont="1" applyFill="1" applyBorder="1" applyAlignment="1" applyProtection="1">
      <alignment horizontal="left" vertical="center" wrapText="1"/>
    </xf>
    <xf numFmtId="0" fontId="11" fillId="2" borderId="20" xfId="0" applyFont="1" applyFill="1" applyBorder="1" applyAlignment="1" applyProtection="1">
      <alignment horizontal="left" vertical="center" wrapText="1"/>
    </xf>
    <xf numFmtId="0" fontId="11" fillId="2" borderId="178" xfId="0" applyFont="1" applyFill="1" applyBorder="1" applyAlignment="1" applyProtection="1">
      <alignment horizontal="left" vertical="center" wrapText="1"/>
    </xf>
    <xf numFmtId="0" fontId="2" fillId="0" borderId="8" xfId="0" applyFont="1" applyBorder="1" applyAlignment="1" applyProtection="1">
      <alignment horizontal="left" indent="1"/>
    </xf>
    <xf numFmtId="0" fontId="115" fillId="0" borderId="462" xfId="0" applyFont="1" applyBorder="1" applyAlignment="1" applyProtection="1">
      <alignment horizontal="center" vertical="center"/>
    </xf>
    <xf numFmtId="166" fontId="2" fillId="12" borderId="470" xfId="1" applyNumberFormat="1" applyFont="1" applyFill="1" applyBorder="1" applyAlignment="1" applyProtection="1">
      <alignment horizontal="center" vertical="center"/>
      <protection locked="0"/>
    </xf>
    <xf numFmtId="166" fontId="2" fillId="12" borderId="472" xfId="1" applyNumberFormat="1" applyFont="1" applyFill="1" applyBorder="1" applyAlignment="1" applyProtection="1">
      <alignment horizontal="center" vertical="center"/>
      <protection locked="0"/>
    </xf>
    <xf numFmtId="0" fontId="2" fillId="2" borderId="0" xfId="1" applyNumberFormat="1" applyFont="1" applyFill="1" applyBorder="1" applyAlignment="1" applyProtection="1">
      <alignment horizontal="right" vertical="center" indent="1"/>
    </xf>
    <xf numFmtId="166" fontId="2" fillId="12" borderId="465" xfId="1" applyNumberFormat="1" applyFont="1" applyFill="1" applyBorder="1" applyAlignment="1" applyProtection="1">
      <alignment horizontal="center" vertical="center"/>
      <protection locked="0"/>
    </xf>
    <xf numFmtId="166" fontId="2" fillId="12" borderId="466" xfId="1" applyNumberFormat="1" applyFont="1" applyFill="1" applyBorder="1" applyAlignment="1" applyProtection="1">
      <alignment horizontal="center" vertical="center"/>
      <protection locked="0"/>
    </xf>
    <xf numFmtId="166" fontId="2" fillId="12" borderId="467" xfId="1" applyNumberFormat="1" applyFont="1" applyFill="1" applyBorder="1" applyAlignment="1" applyProtection="1">
      <alignment horizontal="center" vertical="center"/>
      <protection locked="0"/>
    </xf>
    <xf numFmtId="166" fontId="2" fillId="12" borderId="469" xfId="1" applyNumberFormat="1" applyFont="1" applyFill="1" applyBorder="1" applyAlignment="1" applyProtection="1">
      <alignment horizontal="center" vertical="center"/>
      <protection locked="0"/>
    </xf>
    <xf numFmtId="0" fontId="76" fillId="3" borderId="446" xfId="0" applyFont="1" applyFill="1" applyBorder="1" applyAlignment="1" applyProtection="1">
      <alignment horizontal="center" vertical="center"/>
    </xf>
    <xf numFmtId="0" fontId="76" fillId="3" borderId="447" xfId="0" applyFont="1" applyFill="1" applyBorder="1" applyAlignment="1" applyProtection="1">
      <alignment horizontal="center" vertical="center"/>
    </xf>
    <xf numFmtId="172" fontId="76" fillId="3" borderId="432" xfId="0" applyNumberFormat="1" applyFont="1" applyFill="1" applyBorder="1" applyAlignment="1" applyProtection="1">
      <alignment horizontal="center" vertical="center"/>
    </xf>
    <xf numFmtId="172" fontId="76" fillId="3" borderId="449" xfId="0" applyNumberFormat="1" applyFont="1" applyFill="1" applyBorder="1" applyAlignment="1" applyProtection="1">
      <alignment horizontal="center" vertical="center"/>
    </xf>
    <xf numFmtId="0" fontId="66" fillId="32" borderId="443" xfId="0" applyFont="1" applyFill="1" applyBorder="1" applyAlignment="1" applyProtection="1">
      <alignment horizontal="left" vertical="center" wrapText="1" indent="1"/>
      <protection locked="0"/>
    </xf>
    <xf numFmtId="0" fontId="66" fillId="32" borderId="442" xfId="0" applyFont="1" applyFill="1" applyBorder="1" applyAlignment="1" applyProtection="1">
      <alignment horizontal="left" vertical="center" wrapText="1" indent="1"/>
      <protection locked="0"/>
    </xf>
    <xf numFmtId="0" fontId="66" fillId="32" borderId="444" xfId="0" applyFont="1" applyFill="1" applyBorder="1" applyAlignment="1" applyProtection="1">
      <alignment horizontal="left" vertical="center" wrapText="1" indent="1"/>
      <protection locked="0"/>
    </xf>
    <xf numFmtId="0" fontId="66" fillId="32" borderId="443" xfId="0" applyFont="1" applyFill="1" applyBorder="1" applyAlignment="1" applyProtection="1">
      <alignment horizontal="left" vertical="center" wrapText="1" indent="1"/>
    </xf>
    <xf numFmtId="0" fontId="66" fillId="32" borderId="442" xfId="0" applyFont="1" applyFill="1" applyBorder="1" applyAlignment="1" applyProtection="1">
      <alignment horizontal="left" vertical="center" wrapText="1" indent="1"/>
    </xf>
    <xf numFmtId="0" fontId="66" fillId="32" borderId="444" xfId="0" applyFont="1" applyFill="1" applyBorder="1" applyAlignment="1" applyProtection="1">
      <alignment horizontal="left" vertical="center" wrapText="1" indent="1"/>
    </xf>
    <xf numFmtId="0" fontId="45" fillId="0" borderId="0" xfId="0" applyFont="1" applyBorder="1" applyAlignment="1" applyProtection="1">
      <alignment horizontal="left"/>
    </xf>
    <xf numFmtId="0" fontId="45" fillId="0" borderId="98" xfId="0" applyFont="1" applyBorder="1" applyAlignment="1" applyProtection="1">
      <alignment horizontal="left"/>
    </xf>
    <xf numFmtId="0" fontId="12" fillId="3" borderId="464" xfId="0" applyFont="1" applyFill="1" applyBorder="1" applyAlignment="1" applyProtection="1">
      <alignment horizontal="left" vertical="center"/>
    </xf>
    <xf numFmtId="0" fontId="12" fillId="3" borderId="446" xfId="0" applyFont="1" applyFill="1" applyBorder="1" applyAlignment="1" applyProtection="1">
      <alignment horizontal="left" vertical="center"/>
    </xf>
    <xf numFmtId="0" fontId="12" fillId="3" borderId="448" xfId="0" applyFont="1" applyFill="1" applyBorder="1" applyAlignment="1" applyProtection="1">
      <alignment horizontal="left" vertical="center"/>
    </xf>
    <xf numFmtId="0" fontId="12" fillId="3" borderId="432" xfId="0" applyFont="1" applyFill="1" applyBorder="1" applyAlignment="1" applyProtection="1">
      <alignment horizontal="left" vertical="center"/>
    </xf>
    <xf numFmtId="0" fontId="66" fillId="32" borderId="470" xfId="0" applyFont="1" applyFill="1" applyBorder="1" applyAlignment="1" applyProtection="1">
      <alignment horizontal="left" vertical="center" wrapText="1" indent="1"/>
      <protection locked="0"/>
    </xf>
    <xf numFmtId="0" fontId="66" fillId="32" borderId="471" xfId="0" applyFont="1" applyFill="1" applyBorder="1" applyAlignment="1" applyProtection="1">
      <alignment horizontal="left" vertical="center" wrapText="1" indent="1"/>
      <protection locked="0"/>
    </xf>
    <xf numFmtId="0" fontId="66" fillId="32" borderId="472" xfId="0" applyFont="1" applyFill="1" applyBorder="1" applyAlignment="1" applyProtection="1">
      <alignment horizontal="left" vertical="center" wrapText="1" indent="1"/>
      <protection locked="0"/>
    </xf>
    <xf numFmtId="0" fontId="66" fillId="32" borderId="467" xfId="0" applyFont="1" applyFill="1" applyBorder="1" applyAlignment="1" applyProtection="1">
      <alignment horizontal="left" vertical="center" wrapText="1" indent="1"/>
      <protection locked="0"/>
    </xf>
    <xf numFmtId="0" fontId="66" fillId="32" borderId="468" xfId="0" applyFont="1" applyFill="1" applyBorder="1" applyAlignment="1" applyProtection="1">
      <alignment horizontal="left" vertical="center" wrapText="1" indent="1"/>
      <protection locked="0"/>
    </xf>
    <xf numFmtId="0" fontId="66" fillId="32" borderId="469" xfId="0" applyFont="1" applyFill="1" applyBorder="1" applyAlignment="1" applyProtection="1">
      <alignment horizontal="left" vertical="center" wrapText="1" indent="1"/>
      <protection locked="0"/>
    </xf>
    <xf numFmtId="167" fontId="66" fillId="32" borderId="443" xfId="0" applyNumberFormat="1" applyFont="1" applyFill="1" applyBorder="1" applyAlignment="1" applyProtection="1">
      <alignment horizontal="left" vertical="center" indent="1"/>
      <protection locked="0"/>
    </xf>
    <xf numFmtId="167" fontId="66" fillId="32" borderId="442" xfId="0" applyNumberFormat="1" applyFont="1" applyFill="1" applyBorder="1" applyAlignment="1" applyProtection="1">
      <alignment horizontal="left" vertical="center" indent="1"/>
      <protection locked="0"/>
    </xf>
    <xf numFmtId="167" fontId="66" fillId="32" borderId="444" xfId="0" applyNumberFormat="1" applyFont="1" applyFill="1" applyBorder="1" applyAlignment="1" applyProtection="1">
      <alignment horizontal="left" vertical="center" indent="1"/>
      <protection locked="0"/>
    </xf>
    <xf numFmtId="0" fontId="0" fillId="41" borderId="463" xfId="0" applyFill="1" applyBorder="1" applyAlignment="1" applyProtection="1">
      <alignment horizontal="center" vertical="center"/>
    </xf>
    <xf numFmtId="0" fontId="0" fillId="41" borderId="350" xfId="0" applyFill="1" applyBorder="1" applyAlignment="1" applyProtection="1">
      <alignment horizontal="center" vertical="center"/>
    </xf>
    <xf numFmtId="0" fontId="0" fillId="41" borderId="351" xfId="0" applyFill="1" applyBorder="1" applyAlignment="1" applyProtection="1">
      <alignment horizontal="center" vertical="center"/>
    </xf>
    <xf numFmtId="0" fontId="45" fillId="12" borderId="464" xfId="0" applyFont="1" applyFill="1" applyBorder="1" applyAlignment="1" applyProtection="1">
      <alignment horizontal="center" wrapText="1"/>
      <protection locked="0"/>
    </xf>
    <xf numFmtId="0" fontId="45" fillId="12" borderId="447" xfId="0" applyFont="1" applyFill="1" applyBorder="1" applyAlignment="1" applyProtection="1">
      <alignment horizontal="center" wrapText="1"/>
      <protection locked="0"/>
    </xf>
    <xf numFmtId="0" fontId="45" fillId="12" borderId="448" xfId="0" applyFont="1" applyFill="1" applyBorder="1" applyAlignment="1" applyProtection="1">
      <alignment horizontal="center" wrapText="1"/>
      <protection locked="0"/>
    </xf>
    <xf numFmtId="0" fontId="45" fillId="12" borderId="449" xfId="0" applyFont="1" applyFill="1" applyBorder="1" applyAlignment="1" applyProtection="1">
      <alignment horizontal="center" wrapText="1"/>
      <protection locked="0"/>
    </xf>
    <xf numFmtId="0" fontId="0" fillId="8" borderId="463" xfId="0" applyFill="1" applyBorder="1" applyAlignment="1" applyProtection="1">
      <alignment horizontal="center" vertical="center" wrapText="1"/>
    </xf>
    <xf numFmtId="0" fontId="0" fillId="8" borderId="350" xfId="0" applyFill="1" applyBorder="1" applyAlignment="1" applyProtection="1">
      <alignment horizontal="center" vertical="center" wrapText="1"/>
    </xf>
    <xf numFmtId="0" fontId="0" fillId="8" borderId="531" xfId="0" applyFill="1" applyBorder="1" applyAlignment="1" applyProtection="1">
      <alignment horizontal="center" vertical="center" wrapText="1"/>
    </xf>
    <xf numFmtId="0" fontId="0" fillId="11" borderId="530" xfId="0" applyFill="1" applyBorder="1" applyAlignment="1" applyProtection="1">
      <alignment horizontal="center" vertical="center" wrapText="1"/>
    </xf>
    <xf numFmtId="0" fontId="0" fillId="11" borderId="350" xfId="0" applyFill="1" applyBorder="1" applyAlignment="1" applyProtection="1">
      <alignment horizontal="center" vertical="center" wrapText="1"/>
    </xf>
    <xf numFmtId="0" fontId="0" fillId="11" borderId="351" xfId="0" applyFill="1" applyBorder="1" applyAlignment="1" applyProtection="1">
      <alignment horizontal="center" vertical="center" wrapText="1"/>
    </xf>
    <xf numFmtId="0" fontId="0" fillId="8" borderId="530" xfId="0" applyFill="1" applyBorder="1" applyAlignment="1" applyProtection="1">
      <alignment horizontal="center" vertical="center" wrapText="1"/>
    </xf>
    <xf numFmtId="0" fontId="0" fillId="12" borderId="474" xfId="0" applyFill="1" applyBorder="1" applyAlignment="1" applyProtection="1">
      <alignment horizontal="center"/>
      <protection locked="0"/>
    </xf>
    <xf numFmtId="0" fontId="0" fillId="12" borderId="475" xfId="0" applyFill="1" applyBorder="1" applyAlignment="1" applyProtection="1">
      <alignment horizontal="center"/>
      <protection locked="0"/>
    </xf>
    <xf numFmtId="0" fontId="45" fillId="0" borderId="49" xfId="0" applyFont="1" applyBorder="1" applyAlignment="1" applyProtection="1">
      <alignment horizontal="left"/>
    </xf>
    <xf numFmtId="0" fontId="2" fillId="2" borderId="0" xfId="1" applyNumberFormat="1" applyFont="1" applyFill="1" applyBorder="1" applyAlignment="1" applyProtection="1">
      <alignment horizontal="left" vertical="center"/>
    </xf>
    <xf numFmtId="0" fontId="0" fillId="11" borderId="531" xfId="0" applyFill="1" applyBorder="1" applyAlignment="1" applyProtection="1">
      <alignment horizontal="center" vertical="center" wrapText="1"/>
    </xf>
    <xf numFmtId="0" fontId="30" fillId="4" borderId="0" xfId="0" applyFont="1" applyFill="1" applyBorder="1" applyAlignment="1" applyProtection="1">
      <alignment horizontal="center"/>
      <protection locked="0"/>
    </xf>
    <xf numFmtId="0" fontId="30" fillId="4" borderId="177" xfId="0" applyFont="1" applyFill="1" applyBorder="1" applyAlignment="1" applyProtection="1">
      <alignment horizontal="center"/>
      <protection locked="0"/>
    </xf>
    <xf numFmtId="0" fontId="0" fillId="10" borderId="530" xfId="0" applyFill="1" applyBorder="1" applyAlignment="1" applyProtection="1">
      <alignment horizontal="center" vertical="center" wrapText="1"/>
    </xf>
    <xf numFmtId="0" fontId="0" fillId="10" borderId="350" xfId="0" applyFill="1" applyBorder="1" applyAlignment="1" applyProtection="1">
      <alignment horizontal="center" vertical="center" wrapText="1"/>
    </xf>
    <xf numFmtId="0" fontId="0" fillId="10" borderId="531" xfId="0" applyFill="1" applyBorder="1" applyAlignment="1" applyProtection="1">
      <alignment horizontal="center" vertical="center" wrapText="1"/>
    </xf>
    <xf numFmtId="0" fontId="15" fillId="0" borderId="86"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87" xfId="0" applyFont="1" applyBorder="1" applyAlignment="1" applyProtection="1">
      <alignment horizontal="left" vertical="center"/>
    </xf>
    <xf numFmtId="0" fontId="15" fillId="8" borderId="86" xfId="0" applyFont="1" applyFill="1" applyBorder="1" applyAlignment="1" applyProtection="1">
      <alignment horizontal="left" vertical="center" wrapText="1"/>
    </xf>
    <xf numFmtId="0" fontId="15" fillId="8" borderId="0" xfId="0" applyFont="1" applyFill="1" applyBorder="1" applyAlignment="1" applyProtection="1">
      <alignment horizontal="left" vertical="center" wrapText="1"/>
    </xf>
    <xf numFmtId="0" fontId="15" fillId="8" borderId="87" xfId="0" applyFont="1" applyFill="1" applyBorder="1" applyAlignment="1" applyProtection="1">
      <alignment horizontal="left" vertical="center" wrapText="1"/>
    </xf>
    <xf numFmtId="0" fontId="15" fillId="4" borderId="91" xfId="0" applyFont="1" applyFill="1" applyBorder="1" applyAlignment="1" applyProtection="1">
      <alignment horizontal="left" vertical="center"/>
    </xf>
    <xf numFmtId="0" fontId="15" fillId="4" borderId="92" xfId="0" applyFont="1" applyFill="1" applyBorder="1" applyAlignment="1" applyProtection="1">
      <alignment horizontal="left" vertical="center"/>
    </xf>
    <xf numFmtId="0" fontId="15" fillId="4" borderId="93" xfId="0" applyFont="1" applyFill="1" applyBorder="1" applyAlignment="1" applyProtection="1">
      <alignment horizontal="left" vertical="center"/>
    </xf>
    <xf numFmtId="0" fontId="15" fillId="0" borderId="220" xfId="0" applyFont="1" applyBorder="1" applyAlignment="1" applyProtection="1">
      <alignment horizontal="center" vertical="center" wrapText="1"/>
    </xf>
    <xf numFmtId="0" fontId="15" fillId="0" borderId="221" xfId="0" applyFont="1" applyBorder="1" applyAlignment="1" applyProtection="1">
      <alignment horizontal="center" vertical="center" wrapText="1"/>
    </xf>
    <xf numFmtId="0" fontId="15" fillId="0" borderId="222" xfId="0" applyFont="1" applyBorder="1" applyAlignment="1" applyProtection="1">
      <alignment horizontal="center" vertical="center" wrapText="1"/>
    </xf>
    <xf numFmtId="0" fontId="15" fillId="8" borderId="86" xfId="0" applyFont="1" applyFill="1" applyBorder="1" applyAlignment="1" applyProtection="1">
      <alignment horizontal="left" vertical="center"/>
    </xf>
    <xf numFmtId="0" fontId="15" fillId="8" borderId="0" xfId="0" applyFont="1" applyFill="1" applyBorder="1" applyAlignment="1" applyProtection="1">
      <alignment horizontal="left" vertical="center"/>
    </xf>
    <xf numFmtId="0" fontId="15" fillId="8" borderId="87" xfId="0" applyFont="1" applyFill="1" applyBorder="1" applyAlignment="1" applyProtection="1">
      <alignment horizontal="left" vertical="center"/>
    </xf>
    <xf numFmtId="0" fontId="15" fillId="8" borderId="91" xfId="0" applyFont="1" applyFill="1" applyBorder="1" applyAlignment="1" applyProtection="1">
      <alignment horizontal="left" vertical="center"/>
    </xf>
    <xf numFmtId="0" fontId="15" fillId="8" borderId="92" xfId="0" applyFont="1" applyFill="1" applyBorder="1" applyAlignment="1" applyProtection="1">
      <alignment horizontal="left" vertical="center"/>
    </xf>
    <xf numFmtId="0" fontId="15" fillId="8" borderId="93" xfId="0" applyFont="1" applyFill="1" applyBorder="1" applyAlignment="1" applyProtection="1">
      <alignment horizontal="left" vertical="center"/>
    </xf>
    <xf numFmtId="168" fontId="30" fillId="8" borderId="0" xfId="5" applyNumberFormat="1" applyFont="1" applyFill="1" applyBorder="1" applyAlignment="1" applyProtection="1">
      <alignment horizontal="center"/>
      <protection locked="0"/>
    </xf>
    <xf numFmtId="168" fontId="30" fillId="8" borderId="87" xfId="5" applyNumberFormat="1" applyFont="1" applyFill="1" applyBorder="1" applyAlignment="1" applyProtection="1">
      <alignment horizontal="center"/>
      <protection locked="0"/>
    </xf>
    <xf numFmtId="0" fontId="15" fillId="2" borderId="41" xfId="0" applyFont="1" applyFill="1" applyBorder="1" applyAlignment="1" applyProtection="1">
      <alignment horizontal="left"/>
    </xf>
    <xf numFmtId="0" fontId="15" fillId="2" borderId="39" xfId="0" applyFont="1" applyFill="1" applyBorder="1" applyAlignment="1" applyProtection="1">
      <alignment horizontal="left"/>
    </xf>
    <xf numFmtId="0" fontId="15" fillId="0" borderId="88" xfId="0" applyFont="1" applyFill="1" applyBorder="1" applyAlignment="1" applyProtection="1">
      <alignment horizontal="center" vertical="center" wrapText="1"/>
    </xf>
    <xf numFmtId="0" fontId="15" fillId="0" borderId="91" xfId="0" applyFont="1" applyFill="1" applyBorder="1" applyAlignment="1" applyProtection="1">
      <alignment horizontal="center" vertical="center" wrapText="1"/>
    </xf>
    <xf numFmtId="0" fontId="15" fillId="0" borderId="89" xfId="0" applyFont="1" applyFill="1" applyBorder="1" applyAlignment="1" applyProtection="1">
      <alignment horizontal="center" vertical="center"/>
    </xf>
    <xf numFmtId="0" fontId="15" fillId="0" borderId="92" xfId="0" applyFont="1" applyFill="1" applyBorder="1" applyAlignment="1" applyProtection="1">
      <alignment horizontal="center" vertical="center"/>
    </xf>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wrapText="1"/>
    </xf>
    <xf numFmtId="0" fontId="23" fillId="0" borderId="89" xfId="0" applyFont="1" applyFill="1" applyBorder="1" applyAlignment="1" applyProtection="1">
      <alignment horizontal="center" vertical="center" wrapText="1"/>
    </xf>
    <xf numFmtId="0" fontId="23" fillId="0" borderId="92" xfId="0" applyFont="1" applyFill="1" applyBorder="1" applyAlignment="1" applyProtection="1">
      <alignment horizontal="center" vertical="center" wrapText="1"/>
    </xf>
    <xf numFmtId="0" fontId="23" fillId="0" borderId="90" xfId="0" applyFont="1" applyFill="1" applyBorder="1" applyAlignment="1" applyProtection="1">
      <alignment horizontal="center" vertical="center" wrapText="1"/>
    </xf>
    <xf numFmtId="0" fontId="23" fillId="0" borderId="93" xfId="0" applyFont="1" applyFill="1" applyBorder="1" applyAlignment="1" applyProtection="1">
      <alignment horizontal="center" vertical="center" wrapText="1"/>
    </xf>
    <xf numFmtId="0" fontId="30" fillId="8" borderId="0" xfId="0" applyFont="1" applyFill="1" applyBorder="1" applyAlignment="1" applyProtection="1">
      <alignment horizontal="center"/>
      <protection locked="0"/>
    </xf>
    <xf numFmtId="0" fontId="30" fillId="8" borderId="87"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30" fillId="0" borderId="87" xfId="0" applyFont="1" applyFill="1" applyBorder="1" applyAlignment="1" applyProtection="1">
      <alignment horizontal="center"/>
      <protection locked="0"/>
    </xf>
    <xf numFmtId="0" fontId="30" fillId="8" borderId="92" xfId="0" applyFont="1" applyFill="1" applyBorder="1" applyAlignment="1" applyProtection="1">
      <alignment horizontal="center"/>
      <protection locked="0"/>
    </xf>
    <xf numFmtId="0" fontId="30" fillId="8" borderId="93" xfId="0" applyFont="1" applyFill="1" applyBorder="1" applyAlignment="1" applyProtection="1">
      <alignment horizontal="center"/>
      <protection locked="0"/>
    </xf>
    <xf numFmtId="0" fontId="36" fillId="0" borderId="116" xfId="6" applyBorder="1" applyAlignment="1" applyProtection="1">
      <alignment horizontal="center" vertical="center" wrapText="1"/>
      <protection locked="0"/>
    </xf>
    <xf numFmtId="0" fontId="36" fillId="0" borderId="117" xfId="6" applyBorder="1" applyAlignment="1" applyProtection="1">
      <alignment horizontal="center" vertical="center" wrapText="1"/>
      <protection locked="0"/>
    </xf>
    <xf numFmtId="17" fontId="15"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6" fillId="0" borderId="0" xfId="6" applyBorder="1" applyAlignment="1" applyProtection="1">
      <alignment horizontal="center" vertical="center" wrapText="1"/>
    </xf>
    <xf numFmtId="0" fontId="14" fillId="0" borderId="21" xfId="0" applyFont="1" applyBorder="1" applyAlignment="1" applyProtection="1">
      <alignment horizontal="center" vertical="center"/>
    </xf>
    <xf numFmtId="0" fontId="14" fillId="0" borderId="22" xfId="0" applyFont="1" applyBorder="1" applyAlignment="1" applyProtection="1">
      <alignment horizontal="center" vertical="center"/>
    </xf>
    <xf numFmtId="0" fontId="14" fillId="0" borderId="23" xfId="0" applyFont="1" applyBorder="1" applyAlignment="1" applyProtection="1">
      <alignment horizontal="center" vertical="center"/>
    </xf>
    <xf numFmtId="0" fontId="16" fillId="0" borderId="88" xfId="0" applyFont="1" applyFill="1" applyBorder="1" applyAlignment="1" applyProtection="1">
      <alignment horizontal="center"/>
    </xf>
    <xf numFmtId="0" fontId="16" fillId="0" borderId="89" xfId="0" applyFont="1" applyFill="1" applyBorder="1" applyAlignment="1" applyProtection="1">
      <alignment horizontal="center"/>
    </xf>
    <xf numFmtId="0" fontId="16" fillId="0" borderId="86" xfId="0" applyFont="1" applyFill="1" applyBorder="1" applyAlignment="1" applyProtection="1">
      <alignment horizontal="center"/>
    </xf>
    <xf numFmtId="0" fontId="16" fillId="0" borderId="0" xfId="0" applyFont="1" applyFill="1" applyBorder="1" applyAlignment="1" applyProtection="1">
      <alignment horizontal="center"/>
    </xf>
    <xf numFmtId="166" fontId="15" fillId="2" borderId="26" xfId="1" applyNumberFormat="1" applyFont="1" applyFill="1" applyBorder="1" applyAlignment="1" applyProtection="1">
      <alignment horizontal="left" vertical="center"/>
    </xf>
    <xf numFmtId="166" fontId="15" fillId="2" borderId="0"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xf>
    <xf numFmtId="0" fontId="16" fillId="2" borderId="28"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30" xfId="0" applyFont="1" applyFill="1" applyBorder="1" applyAlignment="1" applyProtection="1">
      <alignment horizontal="left" vertical="center" wrapText="1"/>
    </xf>
    <xf numFmtId="166" fontId="15" fillId="2" borderId="2" xfId="1" applyNumberFormat="1" applyFont="1" applyFill="1" applyBorder="1" applyAlignment="1" applyProtection="1">
      <alignment horizontal="left" vertical="center"/>
    </xf>
    <xf numFmtId="166" fontId="15" fillId="2" borderId="32" xfId="1" applyNumberFormat="1" applyFont="1" applyFill="1" applyBorder="1" applyAlignment="1" applyProtection="1">
      <alignment horizontal="left" vertical="center"/>
    </xf>
    <xf numFmtId="0" fontId="16" fillId="2" borderId="0" xfId="0" applyFont="1" applyFill="1" applyBorder="1" applyAlignment="1" applyProtection="1">
      <alignment horizontal="left" vertical="center" wrapText="1" indent="1"/>
    </xf>
    <xf numFmtId="0" fontId="16" fillId="2" borderId="33" xfId="0" applyFont="1" applyFill="1" applyBorder="1" applyAlignment="1" applyProtection="1">
      <alignment horizontal="left" vertical="center" wrapText="1" indent="1"/>
    </xf>
    <xf numFmtId="166" fontId="15" fillId="2" borderId="25" xfId="1" applyNumberFormat="1" applyFont="1" applyFill="1" applyBorder="1" applyAlignment="1" applyProtection="1">
      <alignment horizontal="left" vertical="center"/>
    </xf>
    <xf numFmtId="166" fontId="15" fillId="2" borderId="3"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indent="1"/>
    </xf>
    <xf numFmtId="0" fontId="16" fillId="2" borderId="2" xfId="0" applyFont="1" applyFill="1" applyBorder="1" applyAlignment="1" applyProtection="1">
      <alignment horizontal="left" vertical="center" wrapText="1" indent="1"/>
    </xf>
    <xf numFmtId="0" fontId="4" fillId="5" borderId="49" xfId="0" applyFont="1" applyFill="1" applyBorder="1" applyAlignment="1" applyProtection="1">
      <alignment horizontal="left" vertical="center"/>
    </xf>
    <xf numFmtId="0" fontId="4" fillId="5" borderId="0" xfId="0" applyFont="1" applyFill="1" applyBorder="1" applyAlignment="1" applyProtection="1">
      <alignment horizontal="left" vertical="center"/>
    </xf>
    <xf numFmtId="0" fontId="15" fillId="0" borderId="90" xfId="0" applyFont="1" applyFill="1" applyBorder="1" applyAlignment="1" applyProtection="1">
      <alignment horizontal="center" vertical="center"/>
    </xf>
    <xf numFmtId="0" fontId="15" fillId="0" borderId="87" xfId="0" applyFont="1" applyFill="1" applyBorder="1" applyAlignment="1" applyProtection="1">
      <alignment horizontal="center" vertical="center"/>
    </xf>
    <xf numFmtId="0" fontId="15" fillId="0" borderId="93" xfId="0" applyFont="1" applyFill="1" applyBorder="1" applyAlignment="1" applyProtection="1">
      <alignment horizontal="center" vertical="center"/>
    </xf>
    <xf numFmtId="166" fontId="15" fillId="2" borderId="182" xfId="1" applyNumberFormat="1" applyFont="1" applyFill="1" applyBorder="1" applyAlignment="1" applyProtection="1">
      <alignment vertical="center"/>
    </xf>
    <xf numFmtId="166" fontId="15" fillId="2" borderId="184" xfId="1" applyNumberFormat="1" applyFont="1" applyFill="1" applyBorder="1" applyAlignment="1" applyProtection="1">
      <alignment vertical="center"/>
    </xf>
    <xf numFmtId="0" fontId="16" fillId="2" borderId="45" xfId="0" applyFont="1" applyFill="1" applyBorder="1" applyAlignment="1" applyProtection="1">
      <alignment horizontal="left" vertical="center" wrapText="1"/>
    </xf>
    <xf numFmtId="0" fontId="16" fillId="2" borderId="183" xfId="0" applyFont="1" applyFill="1" applyBorder="1" applyAlignment="1" applyProtection="1">
      <alignment horizontal="left" vertical="center" wrapText="1"/>
    </xf>
    <xf numFmtId="0" fontId="16" fillId="2" borderId="92" xfId="0" applyFont="1" applyFill="1" applyBorder="1" applyAlignment="1" applyProtection="1">
      <alignment horizontal="left" vertical="center" wrapText="1"/>
    </xf>
    <xf numFmtId="0" fontId="16" fillId="2" borderId="93" xfId="0" applyFont="1" applyFill="1" applyBorder="1" applyAlignment="1" applyProtection="1">
      <alignment horizontal="left" vertical="center" wrapText="1"/>
    </xf>
    <xf numFmtId="0" fontId="81" fillId="8" borderId="0" xfId="0" applyFont="1" applyFill="1" applyAlignment="1" applyProtection="1">
      <alignment horizontal="left" vertical="center"/>
    </xf>
    <xf numFmtId="0" fontId="43" fillId="0" borderId="46" xfId="0"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15" fillId="0" borderId="221" xfId="0" applyFont="1" applyFill="1" applyBorder="1" applyAlignment="1" applyProtection="1">
      <alignment horizontal="center" vertical="center" wrapText="1"/>
    </xf>
    <xf numFmtId="0" fontId="30" fillId="8" borderId="89" xfId="0" applyFont="1" applyFill="1" applyBorder="1" applyAlignment="1" applyProtection="1">
      <alignment horizontal="center"/>
      <protection locked="0"/>
    </xf>
    <xf numFmtId="0" fontId="4" fillId="5" borderId="0" xfId="0" applyFont="1" applyFill="1" applyAlignment="1" applyProtection="1">
      <alignment horizontal="left" vertical="center"/>
    </xf>
    <xf numFmtId="0" fontId="15" fillId="0" borderId="221" xfId="0" applyFont="1" applyFill="1" applyBorder="1" applyAlignment="1" applyProtection="1">
      <alignment horizontal="center" vertical="center"/>
    </xf>
    <xf numFmtId="0" fontId="15" fillId="0" borderId="222" xfId="0" applyFont="1" applyFill="1" applyBorder="1" applyAlignment="1" applyProtection="1">
      <alignment horizontal="center" vertical="center"/>
    </xf>
    <xf numFmtId="0" fontId="30" fillId="8" borderId="90" xfId="0" applyFont="1" applyFill="1" applyBorder="1" applyAlignment="1" applyProtection="1">
      <alignment horizontal="center"/>
      <protection locked="0"/>
    </xf>
    <xf numFmtId="0" fontId="15" fillId="8" borderId="86" xfId="0" applyFont="1" applyFill="1" applyBorder="1" applyAlignment="1" applyProtection="1">
      <alignment horizontal="left"/>
    </xf>
    <xf numFmtId="0" fontId="15" fillId="8" borderId="0" xfId="0" applyFont="1" applyFill="1" applyBorder="1" applyAlignment="1" applyProtection="1">
      <alignment horizontal="left"/>
    </xf>
    <xf numFmtId="0" fontId="15" fillId="0" borderId="86" xfId="0" applyFont="1" applyFill="1" applyBorder="1" applyAlignment="1" applyProtection="1">
      <alignment horizontal="left" indent="2"/>
    </xf>
    <xf numFmtId="0" fontId="15" fillId="0" borderId="0" xfId="0" applyFont="1" applyFill="1" applyBorder="1" applyAlignment="1" applyProtection="1">
      <alignment horizontal="left" indent="2"/>
    </xf>
    <xf numFmtId="168" fontId="30" fillId="0" borderId="0" xfId="5" applyNumberFormat="1" applyFont="1" applyFill="1" applyBorder="1" applyAlignment="1" applyProtection="1">
      <alignment horizontal="center"/>
      <protection locked="0"/>
    </xf>
    <xf numFmtId="168" fontId="30" fillId="0" borderId="87" xfId="5" applyNumberFormat="1" applyFont="1" applyFill="1" applyBorder="1" applyAlignment="1" applyProtection="1">
      <alignment horizontal="center"/>
      <protection locked="0"/>
    </xf>
    <xf numFmtId="0" fontId="55" fillId="8" borderId="0" xfId="0" applyFont="1" applyFill="1" applyAlignment="1" applyProtection="1">
      <alignment horizontal="left" vertical="center" wrapText="1"/>
    </xf>
    <xf numFmtId="0" fontId="15" fillId="8" borderId="86" xfId="0" applyFont="1" applyFill="1" applyBorder="1" applyAlignment="1" applyProtection="1">
      <alignment horizontal="left" indent="4"/>
    </xf>
    <xf numFmtId="0" fontId="15" fillId="8" borderId="0" xfId="0" applyFont="1" applyFill="1" applyBorder="1" applyAlignment="1" applyProtection="1">
      <alignment horizontal="left" indent="4"/>
    </xf>
    <xf numFmtId="0" fontId="15" fillId="0" borderId="91" xfId="0" applyFont="1" applyFill="1" applyBorder="1" applyAlignment="1" applyProtection="1">
      <alignment horizontal="left" indent="4"/>
    </xf>
    <xf numFmtId="0" fontId="15" fillId="0" borderId="92" xfId="0" applyFont="1" applyFill="1" applyBorder="1" applyAlignment="1" applyProtection="1">
      <alignment horizontal="left" indent="4"/>
    </xf>
    <xf numFmtId="0" fontId="15" fillId="0" borderId="86" xfId="0" applyFont="1" applyFill="1" applyBorder="1" applyAlignment="1" applyProtection="1">
      <alignment horizontal="left" indent="4"/>
    </xf>
    <xf numFmtId="0" fontId="15" fillId="0" borderId="0" xfId="0" applyFont="1" applyFill="1" applyBorder="1" applyAlignment="1" applyProtection="1">
      <alignment horizontal="left" indent="4"/>
    </xf>
    <xf numFmtId="168" fontId="30" fillId="0" borderId="92" xfId="5" applyNumberFormat="1" applyFont="1" applyFill="1" applyBorder="1" applyAlignment="1" applyProtection="1">
      <alignment horizontal="center"/>
      <protection locked="0"/>
    </xf>
    <xf numFmtId="168" fontId="30" fillId="0" borderId="93" xfId="5" applyNumberFormat="1" applyFont="1" applyFill="1" applyBorder="1" applyAlignment="1" applyProtection="1">
      <alignment horizontal="center"/>
      <protection locked="0"/>
    </xf>
    <xf numFmtId="0" fontId="29" fillId="0" borderId="94" xfId="0" applyNumberFormat="1" applyFont="1" applyBorder="1" applyAlignment="1" applyProtection="1">
      <alignment horizontal="center" vertical="center" wrapText="1"/>
    </xf>
    <xf numFmtId="0" fontId="29" fillId="0" borderId="95" xfId="0" applyNumberFormat="1" applyFont="1" applyBorder="1" applyAlignment="1" applyProtection="1">
      <alignment horizontal="center" vertical="center" wrapText="1"/>
    </xf>
    <xf numFmtId="0" fontId="15" fillId="4" borderId="343" xfId="0" applyFont="1" applyFill="1" applyBorder="1" applyAlignment="1" applyProtection="1">
      <alignment horizontal="center" vertical="center"/>
    </xf>
    <xf numFmtId="0" fontId="15" fillId="4" borderId="343" xfId="0" applyNumberFormat="1" applyFont="1" applyFill="1" applyBorder="1" applyAlignment="1" applyProtection="1">
      <alignment horizontal="center" vertical="center"/>
    </xf>
    <xf numFmtId="0" fontId="16" fillId="4" borderId="532" xfId="0" applyFont="1" applyFill="1" applyBorder="1" applyAlignment="1" applyProtection="1">
      <alignment horizontal="center" vertical="center"/>
    </xf>
    <xf numFmtId="0" fontId="16" fillId="4" borderId="343" xfId="0" applyNumberFormat="1" applyFont="1" applyFill="1" applyBorder="1" applyAlignment="1" applyProtection="1">
      <alignment horizontal="center" vertical="center"/>
    </xf>
    <xf numFmtId="0" fontId="17" fillId="8" borderId="276" xfId="0" applyFont="1" applyFill="1" applyBorder="1" applyAlignment="1" applyProtection="1">
      <alignment horizontal="left" vertical="center"/>
      <protection locked="0"/>
    </xf>
    <xf numFmtId="0" fontId="17" fillId="8" borderId="0" xfId="0" applyFont="1" applyFill="1" applyBorder="1" applyAlignment="1" applyProtection="1">
      <alignment horizontal="left" vertical="center"/>
      <protection locked="0"/>
    </xf>
    <xf numFmtId="0" fontId="17" fillId="0" borderId="276"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7" fillId="0" borderId="278" xfId="0" applyFont="1" applyFill="1" applyBorder="1" applyAlignment="1" applyProtection="1">
      <alignment horizontal="left" vertical="center"/>
      <protection locked="0"/>
    </xf>
    <xf numFmtId="0" fontId="17" fillId="0" borderId="279" xfId="0" applyFont="1" applyFill="1" applyBorder="1" applyAlignment="1" applyProtection="1">
      <alignment horizontal="left" vertical="center"/>
      <protection locked="0"/>
    </xf>
    <xf numFmtId="0" fontId="17" fillId="8" borderId="277" xfId="0" applyFont="1" applyFill="1" applyBorder="1" applyAlignment="1" applyProtection="1">
      <alignment horizontal="left" vertical="center"/>
      <protection locked="0"/>
    </xf>
    <xf numFmtId="0" fontId="29" fillId="0" borderId="220" xfId="0" applyNumberFormat="1" applyFont="1" applyBorder="1" applyAlignment="1" applyProtection="1">
      <alignment horizontal="center" vertical="center"/>
    </xf>
    <xf numFmtId="0" fontId="29" fillId="0" borderId="222" xfId="5" applyNumberFormat="1" applyFont="1" applyBorder="1" applyAlignment="1" applyProtection="1">
      <alignment horizontal="center" vertical="center"/>
    </xf>
    <xf numFmtId="0" fontId="29" fillId="0" borderId="88" xfId="0" applyFont="1" applyBorder="1" applyAlignment="1" applyProtection="1">
      <alignment horizontal="center" vertical="center"/>
    </xf>
    <xf numFmtId="0" fontId="29" fillId="0" borderId="434" xfId="0" applyFont="1" applyBorder="1" applyAlignment="1" applyProtection="1">
      <alignment horizontal="center" vertical="center"/>
    </xf>
    <xf numFmtId="0" fontId="29" fillId="0" borderId="89" xfId="0" applyFont="1" applyBorder="1" applyAlignment="1" applyProtection="1">
      <alignment horizontal="center" vertical="center"/>
    </xf>
    <xf numFmtId="0" fontId="29" fillId="0" borderId="86" xfId="0" applyFont="1" applyBorder="1" applyAlignment="1" applyProtection="1">
      <alignment horizontal="center" vertical="center"/>
    </xf>
    <xf numFmtId="0" fontId="29" fillId="0" borderId="0" xfId="0" applyFont="1" applyBorder="1" applyAlignment="1" applyProtection="1">
      <alignment horizontal="center" vertical="center"/>
    </xf>
    <xf numFmtId="0" fontId="29" fillId="0" borderId="88" xfId="0" applyFont="1" applyBorder="1" applyAlignment="1" applyProtection="1">
      <alignment horizontal="center" vertical="center" wrapText="1"/>
    </xf>
    <xf numFmtId="0" fontId="29" fillId="0" borderId="89" xfId="0" applyFont="1" applyBorder="1" applyAlignment="1" applyProtection="1">
      <alignment horizontal="center" vertical="center" wrapText="1"/>
    </xf>
    <xf numFmtId="0" fontId="29" fillId="0" borderId="86"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17" fillId="8" borderId="274" xfId="0" applyFont="1" applyFill="1" applyBorder="1" applyAlignment="1" applyProtection="1">
      <alignment horizontal="left" vertical="center"/>
      <protection locked="0"/>
    </xf>
    <xf numFmtId="0" fontId="17" fillId="8" borderId="275" xfId="0" applyFont="1" applyFill="1" applyBorder="1" applyAlignment="1" applyProtection="1">
      <alignment horizontal="left" vertical="center"/>
      <protection locked="0"/>
    </xf>
    <xf numFmtId="0" fontId="15" fillId="0" borderId="220" xfId="5" applyNumberFormat="1" applyFont="1" applyBorder="1" applyAlignment="1" applyProtection="1">
      <alignment horizontal="center" vertical="center"/>
    </xf>
    <xf numFmtId="0" fontId="15" fillId="0" borderId="221" xfId="0" applyNumberFormat="1" applyFont="1" applyBorder="1" applyAlignment="1" applyProtection="1">
      <alignment horizontal="center" vertical="center"/>
    </xf>
    <xf numFmtId="0" fontId="15" fillId="0" borderId="222" xfId="5" applyNumberFormat="1" applyFont="1" applyBorder="1" applyAlignment="1" applyProtection="1">
      <alignment horizontal="center" vertical="center"/>
    </xf>
    <xf numFmtId="0" fontId="15" fillId="0" borderId="221" xfId="5" applyNumberFormat="1" applyFont="1" applyBorder="1" applyAlignment="1" applyProtection="1">
      <alignment horizontal="center" vertical="center"/>
    </xf>
    <xf numFmtId="0" fontId="29" fillId="0" borderId="90" xfId="0" applyFont="1" applyBorder="1" applyAlignment="1" applyProtection="1">
      <alignment horizontal="center" vertical="center" wrapText="1"/>
    </xf>
    <xf numFmtId="0" fontId="29" fillId="0" borderId="435" xfId="0" applyFont="1" applyBorder="1" applyAlignment="1" applyProtection="1">
      <alignment horizontal="center" vertical="center" wrapText="1"/>
    </xf>
    <xf numFmtId="0" fontId="31" fillId="5" borderId="88" xfId="0" applyFont="1" applyFill="1" applyBorder="1" applyAlignment="1" applyProtection="1">
      <alignment horizontal="center" vertical="center"/>
    </xf>
    <xf numFmtId="0" fontId="31" fillId="5" borderId="91" xfId="0" applyFont="1" applyFill="1" applyBorder="1" applyAlignment="1" applyProtection="1">
      <alignment horizontal="center" vertical="center"/>
    </xf>
    <xf numFmtId="0" fontId="17" fillId="0" borderId="277" xfId="0" applyFont="1" applyFill="1" applyBorder="1" applyAlignment="1" applyProtection="1">
      <alignment horizontal="left" vertical="center"/>
      <protection locked="0"/>
    </xf>
    <xf numFmtId="0" fontId="17" fillId="0" borderId="276" xfId="0"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0" fontId="27" fillId="5" borderId="89" xfId="0" applyFont="1" applyFill="1" applyBorder="1" applyAlignment="1" applyProtection="1">
      <alignment horizontal="center" vertical="center"/>
    </xf>
    <xf numFmtId="0" fontId="27" fillId="5" borderId="92" xfId="0" applyFont="1" applyFill="1" applyBorder="1" applyAlignment="1" applyProtection="1">
      <alignment horizontal="center" vertical="center"/>
    </xf>
    <xf numFmtId="0" fontId="36" fillId="0" borderId="124" xfId="6" applyBorder="1" applyAlignment="1" applyProtection="1">
      <alignment horizontal="center" vertical="center"/>
      <protection locked="0"/>
    </xf>
    <xf numFmtId="0" fontId="36" fillId="0" borderId="126" xfId="6" applyBorder="1" applyAlignment="1" applyProtection="1">
      <alignment horizontal="center" vertical="center"/>
      <protection locked="0"/>
    </xf>
    <xf numFmtId="0" fontId="17" fillId="8" borderId="276" xfId="0" applyFont="1" applyFill="1" applyBorder="1" applyAlignment="1" applyProtection="1">
      <alignment vertical="center"/>
      <protection locked="0"/>
    </xf>
    <xf numFmtId="0" fontId="17" fillId="8" borderId="0" xfId="0" applyFont="1" applyFill="1" applyBorder="1" applyAlignment="1" applyProtection="1">
      <alignment vertical="center"/>
      <protection locked="0"/>
    </xf>
    <xf numFmtId="0" fontId="17" fillId="8" borderId="277" xfId="0" applyFont="1" applyFill="1" applyBorder="1" applyAlignment="1" applyProtection="1">
      <alignment vertical="center"/>
      <protection locked="0"/>
    </xf>
    <xf numFmtId="0" fontId="36" fillId="0" borderId="124" xfId="6" applyBorder="1" applyAlignment="1" applyProtection="1">
      <alignment horizontal="center" vertical="center" wrapText="1"/>
      <protection locked="0"/>
    </xf>
    <xf numFmtId="0" fontId="36" fillId="0" borderId="126" xfId="6" applyBorder="1" applyAlignment="1" applyProtection="1">
      <alignment horizontal="center" vertical="center" wrapText="1"/>
      <protection locked="0"/>
    </xf>
    <xf numFmtId="0" fontId="4" fillId="5" borderId="298" xfId="0" applyFont="1" applyFill="1" applyBorder="1" applyAlignment="1" applyProtection="1">
      <alignment horizontal="left" vertical="center"/>
    </xf>
    <xf numFmtId="0" fontId="4" fillId="5" borderId="299" xfId="0" applyFont="1" applyFill="1" applyBorder="1" applyAlignment="1" applyProtection="1">
      <alignment horizontal="left" vertical="center"/>
    </xf>
    <xf numFmtId="0" fontId="36" fillId="0" borderId="477" xfId="6" applyBorder="1" applyAlignment="1" applyProtection="1">
      <alignment horizontal="center" vertical="center" wrapText="1"/>
      <protection locked="0"/>
    </xf>
    <xf numFmtId="165" fontId="36" fillId="0" borderId="116" xfId="5" applyFont="1" applyBorder="1" applyAlignment="1" applyProtection="1">
      <alignment horizontal="center" vertical="center" wrapText="1"/>
      <protection locked="0"/>
    </xf>
    <xf numFmtId="165" fontId="36" fillId="0" borderId="117" xfId="5" applyFont="1" applyBorder="1" applyAlignment="1" applyProtection="1">
      <alignment horizontal="center" vertical="center" wrapText="1"/>
      <protection locked="0"/>
    </xf>
    <xf numFmtId="0" fontId="15" fillId="2" borderId="182" xfId="1" applyNumberFormat="1" applyFont="1" applyFill="1" applyBorder="1" applyAlignment="1" applyProtection="1">
      <alignment horizontal="left" vertical="center"/>
    </xf>
    <xf numFmtId="0" fontId="15" fillId="2" borderId="184" xfId="1" applyNumberFormat="1" applyFont="1" applyFill="1" applyBorder="1" applyAlignment="1" applyProtection="1">
      <alignment horizontal="left" vertical="center"/>
    </xf>
    <xf numFmtId="0" fontId="43" fillId="0" borderId="46"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3" fillId="0" borderId="98" xfId="0" applyFont="1" applyFill="1" applyBorder="1" applyAlignment="1" applyProtection="1">
      <alignment horizontal="left" vertical="center" wrapText="1"/>
    </xf>
    <xf numFmtId="0" fontId="17" fillId="8" borderId="274" xfId="0" applyFont="1" applyFill="1" applyBorder="1" applyAlignment="1" applyProtection="1">
      <alignment vertical="center"/>
      <protection locked="0"/>
    </xf>
    <xf numFmtId="0" fontId="17" fillId="8" borderId="275" xfId="0" applyFont="1" applyFill="1" applyBorder="1" applyAlignment="1" applyProtection="1">
      <alignment vertical="center"/>
      <protection locked="0"/>
    </xf>
    <xf numFmtId="0" fontId="15" fillId="2" borderId="25" xfId="1" applyNumberFormat="1" applyFont="1" applyFill="1" applyBorder="1" applyAlignment="1" applyProtection="1">
      <alignment horizontal="left" vertical="center"/>
    </xf>
    <xf numFmtId="0" fontId="15" fillId="2" borderId="3" xfId="1" applyNumberFormat="1" applyFont="1" applyFill="1" applyBorder="1" applyAlignment="1" applyProtection="1">
      <alignment horizontal="left" vertical="center"/>
    </xf>
    <xf numFmtId="0" fontId="16" fillId="2" borderId="2" xfId="0" applyFont="1" applyFill="1" applyBorder="1" applyAlignment="1" applyProtection="1">
      <alignment horizontal="left" vertical="center" wrapText="1"/>
    </xf>
    <xf numFmtId="0" fontId="15" fillId="2" borderId="26" xfId="1" applyNumberFormat="1" applyFont="1" applyFill="1" applyBorder="1" applyAlignment="1" applyProtection="1">
      <alignment horizontal="left" vertical="center"/>
    </xf>
    <xf numFmtId="0" fontId="15" fillId="2" borderId="0" xfId="1" applyNumberFormat="1" applyFont="1" applyFill="1" applyBorder="1" applyAlignment="1" applyProtection="1">
      <alignment horizontal="left" vertical="center"/>
    </xf>
    <xf numFmtId="0" fontId="15" fillId="2" borderId="2" xfId="1" applyNumberFormat="1" applyFont="1" applyFill="1" applyBorder="1" applyAlignment="1" applyProtection="1">
      <alignment horizontal="left" vertical="center"/>
    </xf>
    <xf numFmtId="0" fontId="15" fillId="2" borderId="32" xfId="1" applyNumberFormat="1" applyFont="1" applyFill="1" applyBorder="1" applyAlignment="1" applyProtection="1">
      <alignment horizontal="left" vertical="center"/>
    </xf>
    <xf numFmtId="0" fontId="16" fillId="2" borderId="33" xfId="0" applyFont="1" applyFill="1" applyBorder="1" applyAlignment="1" applyProtection="1">
      <alignment horizontal="left" vertical="center" wrapText="1"/>
    </xf>
    <xf numFmtId="0" fontId="4" fillId="5" borderId="296" xfId="0" applyFont="1" applyFill="1" applyBorder="1" applyAlignment="1" applyProtection="1">
      <alignment horizontal="left" vertical="center"/>
    </xf>
    <xf numFmtId="0" fontId="4" fillId="5" borderId="297" xfId="0" applyFont="1" applyFill="1" applyBorder="1" applyAlignment="1" applyProtection="1">
      <alignment horizontal="left" vertical="center"/>
    </xf>
    <xf numFmtId="0" fontId="17" fillId="0" borderId="277" xfId="0" applyFont="1" applyFill="1" applyBorder="1" applyAlignment="1" applyProtection="1">
      <alignment vertical="center"/>
      <protection locked="0"/>
    </xf>
    <xf numFmtId="0" fontId="17" fillId="0" borderId="278" xfId="0" applyFont="1" applyFill="1" applyBorder="1" applyAlignment="1" applyProtection="1">
      <alignment vertical="center"/>
      <protection locked="0"/>
    </xf>
    <xf numFmtId="0" fontId="17" fillId="0" borderId="279" xfId="0" applyFont="1" applyFill="1" applyBorder="1" applyAlignment="1" applyProtection="1">
      <alignment vertical="center"/>
      <protection locked="0"/>
    </xf>
    <xf numFmtId="0" fontId="17" fillId="8" borderId="433" xfId="0" applyFont="1" applyFill="1" applyBorder="1" applyAlignment="1" applyProtection="1">
      <alignment horizontal="left" vertical="center"/>
      <protection locked="0"/>
    </xf>
    <xf numFmtId="0" fontId="29" fillId="0" borderId="94" xfId="5" applyNumberFormat="1" applyFont="1" applyBorder="1" applyAlignment="1" applyProtection="1">
      <alignment horizontal="center" vertical="center"/>
    </xf>
    <xf numFmtId="0" fontId="29" fillId="0" borderId="95" xfId="5" applyNumberFormat="1" applyFont="1" applyBorder="1" applyAlignment="1" applyProtection="1">
      <alignment horizontal="center" vertical="center"/>
    </xf>
    <xf numFmtId="0" fontId="17" fillId="0" borderId="431" xfId="0" applyFont="1" applyFill="1" applyBorder="1" applyAlignment="1" applyProtection="1">
      <alignment horizontal="left" vertical="center"/>
      <protection locked="0"/>
    </xf>
    <xf numFmtId="0" fontId="16" fillId="4" borderId="343" xfId="0" applyFont="1" applyFill="1" applyBorder="1" applyAlignment="1" applyProtection="1">
      <alignment horizontal="center" vertical="center"/>
    </xf>
    <xf numFmtId="0" fontId="16" fillId="2" borderId="4" xfId="0" applyFont="1" applyFill="1" applyBorder="1" applyAlignment="1" applyProtection="1">
      <alignment horizontal="left" vertical="center" wrapText="1"/>
    </xf>
    <xf numFmtId="0" fontId="15" fillId="2" borderId="182" xfId="1" applyNumberFormat="1" applyFont="1" applyFill="1" applyBorder="1" applyAlignment="1" applyProtection="1">
      <alignment vertical="center"/>
    </xf>
    <xf numFmtId="0" fontId="15" fillId="2" borderId="184" xfId="1" applyNumberFormat="1" applyFont="1" applyFill="1" applyBorder="1" applyAlignment="1" applyProtection="1">
      <alignment vertical="center"/>
    </xf>
    <xf numFmtId="0" fontId="29" fillId="0" borderId="90" xfId="0" applyFont="1" applyBorder="1" applyAlignment="1" applyProtection="1">
      <alignment horizontal="center" vertical="center"/>
    </xf>
    <xf numFmtId="0" fontId="29" fillId="0" borderId="94" xfId="0" applyFont="1" applyBorder="1" applyAlignment="1" applyProtection="1">
      <alignment horizontal="center" vertical="center"/>
    </xf>
    <xf numFmtId="0" fontId="29" fillId="0" borderId="95" xfId="0" applyFont="1" applyBorder="1" applyAlignment="1" applyProtection="1">
      <alignment horizontal="center" vertical="center"/>
    </xf>
    <xf numFmtId="0" fontId="17" fillId="8" borderId="86" xfId="0" applyFont="1" applyFill="1" applyBorder="1" applyAlignment="1" applyProtection="1">
      <alignment horizontal="left" vertical="center"/>
      <protection locked="0"/>
    </xf>
    <xf numFmtId="0" fontId="17" fillId="0" borderId="86" xfId="0" applyFont="1" applyFill="1" applyBorder="1" applyAlignment="1" applyProtection="1">
      <alignment horizontal="left" vertical="center"/>
      <protection locked="0"/>
    </xf>
    <xf numFmtId="0" fontId="17" fillId="8" borderId="91" xfId="0" applyFont="1" applyFill="1" applyBorder="1" applyAlignment="1" applyProtection="1">
      <alignment horizontal="left" vertical="center"/>
      <protection locked="0"/>
    </xf>
    <xf numFmtId="0" fontId="17" fillId="8" borderId="92" xfId="0" applyFont="1" applyFill="1" applyBorder="1" applyAlignment="1" applyProtection="1">
      <alignment horizontal="left" vertical="center"/>
      <protection locked="0"/>
    </xf>
    <xf numFmtId="0" fontId="14" fillId="0" borderId="220" xfId="0" applyFont="1" applyBorder="1" applyAlignment="1" applyProtection="1">
      <alignment horizontal="center" vertical="center"/>
    </xf>
    <xf numFmtId="0" fontId="14" fillId="0" borderId="221" xfId="0" applyFont="1" applyBorder="1" applyAlignment="1" applyProtection="1">
      <alignment horizontal="center" vertical="center"/>
    </xf>
    <xf numFmtId="0" fontId="14" fillId="0" borderId="222" xfId="0" applyFont="1" applyBorder="1" applyAlignment="1" applyProtection="1">
      <alignment horizontal="center" vertical="center"/>
    </xf>
    <xf numFmtId="0" fontId="15" fillId="2" borderId="228" xfId="1" applyNumberFormat="1" applyFont="1" applyFill="1" applyBorder="1" applyAlignment="1" applyProtection="1">
      <alignment horizontal="left" vertical="center"/>
    </xf>
    <xf numFmtId="0" fontId="29" fillId="0" borderId="93" xfId="0" applyFont="1" applyBorder="1" applyAlignment="1" applyProtection="1">
      <alignment horizontal="center" vertical="center" wrapText="1"/>
    </xf>
    <xf numFmtId="0" fontId="31" fillId="5" borderId="223" xfId="0" applyFont="1" applyFill="1" applyBorder="1" applyAlignment="1" applyProtection="1">
      <alignment horizontal="center" vertical="center"/>
    </xf>
    <xf numFmtId="0" fontId="31" fillId="5" borderId="224" xfId="0" applyFont="1" applyFill="1" applyBorder="1" applyAlignment="1" applyProtection="1">
      <alignment horizontal="center" vertical="center"/>
    </xf>
    <xf numFmtId="0" fontId="29" fillId="0" borderId="92" xfId="0" applyFont="1" applyBorder="1" applyAlignment="1" applyProtection="1">
      <alignment horizontal="center" vertical="center"/>
    </xf>
    <xf numFmtId="0" fontId="15" fillId="2" borderId="232" xfId="1" applyNumberFormat="1" applyFont="1" applyFill="1" applyBorder="1" applyAlignment="1" applyProtection="1">
      <alignment horizontal="left" vertical="center"/>
    </xf>
    <xf numFmtId="0" fontId="29" fillId="0" borderId="91" xfId="0" applyFont="1" applyBorder="1" applyAlignment="1" applyProtection="1">
      <alignment horizontal="center" vertical="center"/>
    </xf>
    <xf numFmtId="0" fontId="16" fillId="2" borderId="89" xfId="0" applyFont="1" applyFill="1" applyBorder="1" applyAlignment="1" applyProtection="1">
      <alignment horizontal="left" vertical="center"/>
    </xf>
    <xf numFmtId="0" fontId="16" fillId="2" borderId="90" xfId="0" applyFont="1" applyFill="1" applyBorder="1" applyAlignment="1" applyProtection="1">
      <alignment horizontal="left" vertical="center"/>
    </xf>
    <xf numFmtId="0" fontId="16" fillId="2" borderId="47" xfId="0" applyFont="1" applyFill="1" applyBorder="1" applyAlignment="1" applyProtection="1">
      <alignment horizontal="left" vertical="center"/>
    </xf>
    <xf numFmtId="0" fontId="16" fillId="2" borderId="230" xfId="0" applyFont="1" applyFill="1" applyBorder="1" applyAlignment="1" applyProtection="1">
      <alignment horizontal="left" vertical="center"/>
    </xf>
    <xf numFmtId="0" fontId="16" fillId="2" borderId="45" xfId="0" applyFont="1" applyFill="1" applyBorder="1" applyAlignment="1" applyProtection="1">
      <alignment horizontal="left" vertical="center"/>
    </xf>
    <xf numFmtId="0" fontId="16" fillId="2" borderId="183" xfId="0" applyFont="1" applyFill="1" applyBorder="1" applyAlignment="1" applyProtection="1">
      <alignment horizontal="left" vertical="center"/>
    </xf>
    <xf numFmtId="0" fontId="16" fillId="2" borderId="92" xfId="0" applyFont="1" applyFill="1" applyBorder="1" applyAlignment="1" applyProtection="1">
      <alignment horizontal="left" vertical="center"/>
    </xf>
    <xf numFmtId="0" fontId="16" fillId="2" borderId="93" xfId="0" applyFont="1" applyFill="1" applyBorder="1" applyAlignment="1" applyProtection="1">
      <alignment horizontal="left" vertical="center"/>
    </xf>
    <xf numFmtId="0" fontId="27" fillId="5" borderId="225" xfId="0" applyFont="1" applyFill="1" applyBorder="1" applyAlignment="1" applyProtection="1">
      <alignment horizontal="left" vertical="center"/>
    </xf>
    <xf numFmtId="0" fontId="27" fillId="5" borderId="50" xfId="0" applyFont="1" applyFill="1" applyBorder="1" applyAlignment="1" applyProtection="1">
      <alignment horizontal="left" vertical="center"/>
    </xf>
    <xf numFmtId="0" fontId="27" fillId="5" borderId="114" xfId="0" applyFont="1" applyFill="1" applyBorder="1" applyAlignment="1" applyProtection="1">
      <alignment horizontal="left" vertical="center"/>
    </xf>
    <xf numFmtId="0" fontId="27" fillId="5" borderId="226" xfId="0" applyFont="1" applyFill="1" applyBorder="1" applyAlignment="1" applyProtection="1">
      <alignment horizontal="left" vertical="center"/>
    </xf>
    <xf numFmtId="0" fontId="27" fillId="5" borderId="97" xfId="0" applyFont="1" applyFill="1" applyBorder="1" applyAlignment="1" applyProtection="1">
      <alignment horizontal="left" vertical="center"/>
    </xf>
    <xf numFmtId="0" fontId="27" fillId="5" borderId="99" xfId="0" applyFont="1" applyFill="1" applyBorder="1" applyAlignment="1" applyProtection="1">
      <alignment horizontal="left" vertical="center"/>
    </xf>
    <xf numFmtId="0" fontId="29" fillId="0" borderId="218" xfId="0" applyFont="1" applyBorder="1" applyAlignment="1" applyProtection="1">
      <alignment horizontal="center" vertical="center" wrapText="1"/>
    </xf>
    <xf numFmtId="0" fontId="29" fillId="0" borderId="203" xfId="0" applyFont="1" applyBorder="1" applyAlignment="1" applyProtection="1">
      <alignment horizontal="center" vertical="center" wrapText="1"/>
    </xf>
    <xf numFmtId="0" fontId="16" fillId="2" borderId="89" xfId="0" applyFont="1" applyFill="1" applyBorder="1" applyAlignment="1" applyProtection="1">
      <alignment horizontal="left" vertical="center" wrapText="1"/>
    </xf>
    <xf numFmtId="0" fontId="15" fillId="2" borderId="89" xfId="1" applyNumberFormat="1" applyFont="1" applyFill="1" applyBorder="1" applyAlignment="1" applyProtection="1">
      <alignment horizontal="left" vertical="center"/>
    </xf>
    <xf numFmtId="0" fontId="17" fillId="0" borderId="91" xfId="0" applyFont="1" applyFill="1" applyBorder="1" applyAlignment="1" applyProtection="1">
      <alignment horizontal="left" vertical="center"/>
      <protection locked="0"/>
    </xf>
    <xf numFmtId="0" fontId="17" fillId="0" borderId="92" xfId="0" applyFont="1" applyFill="1" applyBorder="1" applyAlignment="1" applyProtection="1">
      <alignment horizontal="left" vertical="center"/>
      <protection locked="0"/>
    </xf>
    <xf numFmtId="0" fontId="17" fillId="0" borderId="93" xfId="0" applyFont="1" applyFill="1" applyBorder="1" applyAlignment="1" applyProtection="1">
      <alignment horizontal="left" vertical="center"/>
      <protection locked="0"/>
    </xf>
    <xf numFmtId="0" fontId="29" fillId="0" borderId="213" xfId="0" applyFont="1" applyBorder="1" applyAlignment="1" applyProtection="1">
      <alignment horizontal="center" vertical="center"/>
    </xf>
    <xf numFmtId="0" fontId="29" fillId="0" borderId="212" xfId="0" applyFont="1" applyBorder="1" applyAlignment="1" applyProtection="1">
      <alignment horizontal="center" vertical="center"/>
    </xf>
    <xf numFmtId="0" fontId="17" fillId="8" borderId="86" xfId="0" applyFont="1" applyFill="1" applyBorder="1" applyAlignment="1" applyProtection="1">
      <alignment vertical="center"/>
      <protection locked="0"/>
    </xf>
    <xf numFmtId="0" fontId="17" fillId="8" borderId="87" xfId="0" applyFont="1" applyFill="1" applyBorder="1" applyAlignment="1" applyProtection="1">
      <alignment vertical="center"/>
      <protection locked="0"/>
    </xf>
    <xf numFmtId="0" fontId="17" fillId="0" borderId="86" xfId="0" applyFont="1" applyBorder="1" applyAlignment="1" applyProtection="1">
      <alignment vertical="center"/>
      <protection locked="0"/>
    </xf>
    <xf numFmtId="0" fontId="17" fillId="0" borderId="0" xfId="0" applyFont="1" applyBorder="1" applyAlignment="1" applyProtection="1">
      <alignment vertical="center"/>
      <protection locked="0"/>
    </xf>
    <xf numFmtId="0" fontId="17" fillId="0" borderId="87" xfId="0" applyFont="1" applyBorder="1" applyAlignment="1" applyProtection="1">
      <alignment vertical="center"/>
      <protection locked="0"/>
    </xf>
    <xf numFmtId="0" fontId="29" fillId="0" borderId="209" xfId="0" applyFont="1" applyBorder="1" applyAlignment="1" applyProtection="1">
      <alignment horizontal="center" vertical="center"/>
    </xf>
    <xf numFmtId="0" fontId="29" fillId="0" borderId="91" xfId="0" applyFont="1" applyBorder="1" applyAlignment="1" applyProtection="1">
      <alignment horizontal="center" vertical="center" wrapText="1"/>
    </xf>
    <xf numFmtId="0" fontId="29" fillId="0" borderId="92" xfId="0" applyFont="1" applyBorder="1" applyAlignment="1" applyProtection="1">
      <alignment horizontal="center" vertical="center" wrapText="1"/>
    </xf>
    <xf numFmtId="0" fontId="15" fillId="0" borderId="211" xfId="0" applyFont="1" applyBorder="1" applyAlignment="1" applyProtection="1">
      <alignment horizontal="center" vertical="center"/>
    </xf>
    <xf numFmtId="0" fontId="15" fillId="0" borderId="209" xfId="0" applyFont="1" applyBorder="1" applyAlignment="1" applyProtection="1">
      <alignment horizontal="center" vertical="center"/>
    </xf>
    <xf numFmtId="0" fontId="36" fillId="0" borderId="123" xfId="6" applyBorder="1" applyAlignment="1" applyProtection="1">
      <alignment horizontal="center" vertical="center" wrapText="1"/>
      <protection locked="0"/>
    </xf>
    <xf numFmtId="0" fontId="36" fillId="0" borderId="125" xfId="6" applyBorder="1" applyAlignment="1" applyProtection="1">
      <alignment horizontal="center" vertical="center" wrapText="1"/>
      <protection locked="0"/>
    </xf>
    <xf numFmtId="0" fontId="17" fillId="8" borderId="87" xfId="0" applyFont="1" applyFill="1" applyBorder="1" applyAlignment="1" applyProtection="1">
      <alignment horizontal="left" vertical="center"/>
      <protection locked="0"/>
    </xf>
    <xf numFmtId="0" fontId="17" fillId="8" borderId="205" xfId="0" applyFont="1" applyFill="1" applyBorder="1" applyAlignment="1" applyProtection="1">
      <alignment horizontal="left" vertical="center"/>
      <protection locked="0"/>
    </xf>
    <xf numFmtId="0" fontId="15" fillId="0" borderId="89" xfId="0" applyFont="1" applyBorder="1" applyAlignment="1" applyProtection="1">
      <alignment horizontal="center" vertical="center"/>
    </xf>
    <xf numFmtId="0" fontId="15" fillId="0" borderId="90" xfId="0" applyFont="1" applyBorder="1" applyAlignment="1" applyProtection="1">
      <alignment horizontal="center" vertical="center"/>
    </xf>
    <xf numFmtId="0" fontId="15" fillId="0" borderId="88" xfId="0" applyFont="1" applyBorder="1" applyAlignment="1" applyProtection="1">
      <alignment horizontal="center" vertical="center"/>
    </xf>
    <xf numFmtId="0" fontId="17" fillId="8" borderId="205" xfId="0" applyFont="1" applyFill="1" applyBorder="1" applyAlignment="1" applyProtection="1">
      <alignment vertical="center"/>
      <protection locked="0"/>
    </xf>
    <xf numFmtId="0" fontId="17" fillId="0" borderId="202" xfId="0" applyFont="1" applyBorder="1" applyAlignment="1" applyProtection="1">
      <alignment horizontal="left" vertical="center"/>
      <protection locked="0"/>
    </xf>
    <xf numFmtId="0" fontId="17" fillId="0" borderId="92" xfId="0" applyFont="1" applyBorder="1" applyAlignment="1" applyProtection="1">
      <alignment horizontal="left" vertical="center"/>
      <protection locked="0"/>
    </xf>
    <xf numFmtId="0" fontId="17" fillId="0" borderId="205" xfId="0" applyFont="1" applyBorder="1" applyAlignment="1" applyProtection="1">
      <alignment horizontal="left" vertical="center"/>
      <protection locked="0"/>
    </xf>
    <xf numFmtId="0" fontId="17" fillId="0" borderId="0" xfId="0" applyFont="1" applyBorder="1" applyAlignment="1" applyProtection="1">
      <alignment horizontal="left" vertical="center"/>
      <protection locked="0"/>
    </xf>
    <xf numFmtId="0" fontId="17" fillId="0" borderId="87" xfId="0" applyFont="1" applyFill="1" applyBorder="1" applyAlignment="1" applyProtection="1">
      <alignment horizontal="left" vertical="center"/>
      <protection locked="0"/>
    </xf>
    <xf numFmtId="0" fontId="17" fillId="0" borderId="86" xfId="0" applyFont="1" applyFill="1" applyBorder="1" applyAlignment="1" applyProtection="1">
      <alignment vertical="center"/>
      <protection locked="0"/>
    </xf>
    <xf numFmtId="0" fontId="17" fillId="8" borderId="436" xfId="0" applyFont="1" applyFill="1" applyBorder="1" applyAlignment="1" applyProtection="1">
      <alignment vertical="center"/>
      <protection locked="0"/>
    </xf>
    <xf numFmtId="0" fontId="17" fillId="8" borderId="33" xfId="0" applyFont="1" applyFill="1" applyBorder="1" applyAlignment="1" applyProtection="1">
      <alignment vertical="center"/>
      <protection locked="0"/>
    </xf>
    <xf numFmtId="0" fontId="17" fillId="0" borderId="205" xfId="0" applyFont="1" applyFill="1" applyBorder="1" applyAlignment="1" applyProtection="1">
      <alignment vertical="center"/>
      <protection locked="0"/>
    </xf>
    <xf numFmtId="0" fontId="17" fillId="8" borderId="30" xfId="0" applyFont="1" applyFill="1" applyBorder="1" applyAlignment="1" applyProtection="1">
      <alignment vertical="center"/>
      <protection locked="0"/>
    </xf>
    <xf numFmtId="0" fontId="17" fillId="0" borderId="30" xfId="0" applyFont="1" applyFill="1" applyBorder="1" applyAlignment="1" applyProtection="1">
      <alignment vertical="center"/>
      <protection locked="0"/>
    </xf>
    <xf numFmtId="0" fontId="17" fillId="8" borderId="200" xfId="0" applyFont="1" applyFill="1" applyBorder="1" applyAlignment="1" applyProtection="1">
      <alignment vertical="center"/>
      <protection locked="0"/>
    </xf>
    <xf numFmtId="0" fontId="15" fillId="0" borderId="218" xfId="0" applyFont="1" applyBorder="1" applyAlignment="1" applyProtection="1">
      <alignment horizontal="center" vertical="center"/>
    </xf>
    <xf numFmtId="0" fontId="17" fillId="8" borderId="88" xfId="0" applyFont="1" applyFill="1" applyBorder="1" applyAlignment="1" applyProtection="1">
      <alignment horizontal="left" vertical="center"/>
      <protection locked="0"/>
    </xf>
    <xf numFmtId="0" fontId="17" fillId="8" borderId="89" xfId="0" applyFont="1" applyFill="1" applyBorder="1" applyAlignment="1" applyProtection="1">
      <alignment horizontal="left" vertical="center"/>
      <protection locked="0"/>
    </xf>
    <xf numFmtId="0" fontId="17" fillId="8" borderId="90" xfId="0" applyFont="1" applyFill="1" applyBorder="1" applyAlignment="1" applyProtection="1">
      <alignment horizontal="left" vertical="center"/>
      <protection locked="0"/>
    </xf>
    <xf numFmtId="0" fontId="29" fillId="0" borderId="26" xfId="0" applyFont="1" applyBorder="1" applyAlignment="1" applyProtection="1">
      <alignment horizontal="center" vertical="center"/>
    </xf>
    <xf numFmtId="0" fontId="17" fillId="8" borderId="204" xfId="0" applyFont="1" applyFill="1" applyBorder="1" applyAlignment="1" applyProtection="1">
      <alignment horizontal="left" vertical="center"/>
      <protection locked="0"/>
    </xf>
    <xf numFmtId="0" fontId="29" fillId="0" borderId="26" xfId="0" applyFont="1" applyBorder="1" applyAlignment="1" applyProtection="1">
      <alignment horizontal="center" vertical="center" wrapText="1"/>
    </xf>
    <xf numFmtId="0" fontId="29" fillId="0" borderId="440" xfId="0" applyFont="1" applyBorder="1" applyAlignment="1" applyProtection="1">
      <alignment horizontal="center" vertical="center" wrapText="1"/>
    </xf>
    <xf numFmtId="0" fontId="29" fillId="0" borderId="93" xfId="0" applyFont="1" applyBorder="1" applyAlignment="1" applyProtection="1">
      <alignment horizontal="center" vertical="center"/>
    </xf>
    <xf numFmtId="0" fontId="17" fillId="0" borderId="87" xfId="0" applyFont="1" applyFill="1" applyBorder="1" applyAlignment="1" applyProtection="1">
      <alignment vertical="center"/>
      <protection locked="0"/>
    </xf>
    <xf numFmtId="0" fontId="29" fillId="0" borderId="439" xfId="0" applyFont="1" applyBorder="1" applyAlignment="1" applyProtection="1">
      <alignment horizontal="center" vertical="center"/>
    </xf>
    <xf numFmtId="0" fontId="17" fillId="0" borderId="86" xfId="0" applyFont="1" applyBorder="1" applyAlignment="1" applyProtection="1">
      <alignment horizontal="left" vertical="center"/>
      <protection locked="0"/>
    </xf>
    <xf numFmtId="0" fontId="29" fillId="0" borderId="201" xfId="0" applyFont="1" applyBorder="1" applyAlignment="1" applyProtection="1">
      <alignment horizontal="center" vertical="center"/>
    </xf>
    <xf numFmtId="0" fontId="29" fillId="0" borderId="440" xfId="0" applyFont="1" applyBorder="1" applyAlignment="1" applyProtection="1">
      <alignment horizontal="center" vertical="center"/>
    </xf>
    <xf numFmtId="0" fontId="29" fillId="0" borderId="202" xfId="0" applyFont="1" applyBorder="1" applyAlignment="1" applyProtection="1">
      <alignment horizontal="center" vertical="center"/>
    </xf>
    <xf numFmtId="0" fontId="36" fillId="0" borderId="137" xfId="6" applyFont="1" applyBorder="1" applyAlignment="1" applyProtection="1">
      <alignment horizontal="center" vertical="center" wrapText="1"/>
    </xf>
    <xf numFmtId="0" fontId="36" fillId="0" borderId="138" xfId="6" applyFont="1" applyBorder="1" applyAlignment="1" applyProtection="1">
      <alignment horizontal="center" vertical="center" wrapText="1"/>
    </xf>
    <xf numFmtId="0" fontId="17" fillId="16" borderId="86" xfId="0" applyFont="1" applyFill="1" applyBorder="1" applyAlignment="1" applyProtection="1">
      <alignment horizontal="left" vertical="center"/>
      <protection locked="0"/>
    </xf>
    <xf numFmtId="0" fontId="17" fillId="16" borderId="0" xfId="0" applyFont="1" applyFill="1" applyBorder="1" applyAlignment="1" applyProtection="1">
      <alignment horizontal="left" vertical="center"/>
      <protection locked="0"/>
    </xf>
    <xf numFmtId="0" fontId="17" fillId="16" borderId="87" xfId="0" applyFont="1" applyFill="1" applyBorder="1" applyAlignment="1" applyProtection="1">
      <alignment horizontal="left" vertical="center"/>
      <protection locked="0"/>
    </xf>
    <xf numFmtId="0" fontId="17" fillId="15" borderId="86" xfId="0" applyFont="1" applyFill="1" applyBorder="1" applyAlignment="1" applyProtection="1">
      <alignment horizontal="left" vertical="center"/>
      <protection locked="0"/>
    </xf>
    <xf numFmtId="0" fontId="17" fillId="15" borderId="0" xfId="0" applyFont="1" applyFill="1" applyBorder="1" applyAlignment="1" applyProtection="1">
      <alignment horizontal="left" vertical="center"/>
      <protection locked="0"/>
    </xf>
    <xf numFmtId="0" fontId="17" fillId="15" borderId="87" xfId="0" applyFont="1" applyFill="1" applyBorder="1" applyAlignment="1" applyProtection="1">
      <alignment horizontal="left" vertical="center"/>
      <protection locked="0"/>
    </xf>
    <xf numFmtId="0" fontId="17" fillId="15" borderId="91" xfId="0" applyFont="1" applyFill="1" applyBorder="1" applyAlignment="1" applyProtection="1">
      <alignment horizontal="left" vertical="center"/>
      <protection locked="0"/>
    </xf>
    <xf numFmtId="0" fontId="17" fillId="15" borderId="92" xfId="0" applyFont="1" applyFill="1" applyBorder="1" applyAlignment="1" applyProtection="1">
      <alignment horizontal="left" vertical="center"/>
      <protection locked="0"/>
    </xf>
    <xf numFmtId="0" fontId="17" fillId="15" borderId="93" xfId="0" applyFont="1" applyFill="1" applyBorder="1" applyAlignment="1" applyProtection="1">
      <alignment horizontal="left" vertical="center"/>
      <protection locked="0"/>
    </xf>
    <xf numFmtId="0" fontId="17" fillId="8" borderId="0" xfId="0" applyFont="1" applyFill="1" applyAlignment="1" applyProtection="1">
      <alignment horizontal="left" vertical="center"/>
      <protection locked="0"/>
    </xf>
    <xf numFmtId="0" fontId="31" fillId="5" borderId="0" xfId="0" applyFont="1" applyFill="1" applyAlignment="1" applyProtection="1">
      <alignment horizontal="center" vertical="center"/>
    </xf>
    <xf numFmtId="0" fontId="27" fillId="5" borderId="0" xfId="0" applyFont="1" applyFill="1" applyAlignment="1" applyProtection="1">
      <alignment horizontal="center" vertical="center"/>
    </xf>
    <xf numFmtId="0" fontId="17" fillId="15" borderId="88" xfId="0" applyFont="1" applyFill="1" applyBorder="1" applyAlignment="1" applyProtection="1">
      <alignment horizontal="left" vertical="center"/>
      <protection locked="0"/>
    </xf>
    <xf numFmtId="0" fontId="17" fillId="15" borderId="89" xfId="0" applyFont="1" applyFill="1" applyBorder="1" applyAlignment="1" applyProtection="1">
      <alignment horizontal="left" vertical="center"/>
      <protection locked="0"/>
    </xf>
    <xf numFmtId="0" fontId="17" fillId="15" borderId="90" xfId="0" applyFont="1" applyFill="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7" fillId="0" borderId="91" xfId="0" applyFont="1" applyBorder="1" applyAlignment="1" applyProtection="1">
      <alignment vertical="center"/>
      <protection locked="0"/>
    </xf>
    <xf numFmtId="0" fontId="17" fillId="0" borderId="92" xfId="0" applyFont="1" applyBorder="1" applyAlignment="1" applyProtection="1">
      <alignment vertical="center"/>
      <protection locked="0"/>
    </xf>
    <xf numFmtId="0" fontId="17" fillId="0" borderId="93" xfId="0" applyFont="1" applyBorder="1" applyAlignment="1" applyProtection="1">
      <alignment vertical="center"/>
      <protection locked="0"/>
    </xf>
    <xf numFmtId="0" fontId="17" fillId="0" borderId="216" xfId="0" applyFont="1" applyFill="1" applyBorder="1" applyAlignment="1" applyProtection="1">
      <alignment vertical="center"/>
      <protection locked="0"/>
    </xf>
    <xf numFmtId="0" fontId="17" fillId="8" borderId="216" xfId="0" applyFont="1" applyFill="1" applyBorder="1" applyAlignment="1" applyProtection="1">
      <alignment vertical="center"/>
      <protection locked="0"/>
    </xf>
    <xf numFmtId="0" fontId="17" fillId="0" borderId="217" xfId="0" applyFont="1" applyFill="1" applyBorder="1" applyAlignment="1" applyProtection="1">
      <alignment vertical="center"/>
      <protection locked="0"/>
    </xf>
    <xf numFmtId="0" fontId="17" fillId="0" borderId="207" xfId="0" applyFont="1" applyFill="1" applyBorder="1" applyAlignment="1" applyProtection="1">
      <alignment vertical="center"/>
      <protection locked="0"/>
    </xf>
    <xf numFmtId="0" fontId="27" fillId="5" borderId="0" xfId="0" applyFont="1" applyFill="1" applyBorder="1" applyAlignment="1" applyProtection="1">
      <alignment horizontal="center" vertical="center"/>
    </xf>
    <xf numFmtId="0" fontId="31" fillId="5" borderId="86" xfId="0" applyFont="1" applyFill="1" applyBorder="1" applyAlignment="1" applyProtection="1">
      <alignment horizontal="center" vertical="center"/>
    </xf>
    <xf numFmtId="0" fontId="17" fillId="8" borderId="204" xfId="0" applyFont="1" applyFill="1" applyBorder="1" applyAlignment="1" applyProtection="1">
      <alignment vertical="center"/>
      <protection locked="0"/>
    </xf>
    <xf numFmtId="0" fontId="17" fillId="8" borderId="89" xfId="0" applyFont="1" applyFill="1" applyBorder="1" applyAlignment="1" applyProtection="1">
      <alignment vertical="center"/>
      <protection locked="0"/>
    </xf>
    <xf numFmtId="0" fontId="17" fillId="8" borderId="90" xfId="0" applyFont="1" applyFill="1" applyBorder="1" applyAlignment="1" applyProtection="1">
      <alignment vertical="center"/>
      <protection locked="0"/>
    </xf>
    <xf numFmtId="0" fontId="17" fillId="0" borderId="205" xfId="0" applyFont="1" applyBorder="1" applyAlignment="1" applyProtection="1">
      <alignment vertical="center"/>
      <protection locked="0"/>
    </xf>
    <xf numFmtId="0" fontId="15" fillId="2" borderId="192" xfId="1" applyNumberFormat="1" applyFont="1" applyFill="1" applyBorder="1" applyAlignment="1" applyProtection="1">
      <alignment vertical="center"/>
    </xf>
    <xf numFmtId="0" fontId="17" fillId="8" borderId="88" xfId="0" applyFont="1" applyFill="1" applyBorder="1" applyAlignment="1" applyProtection="1">
      <alignment vertical="center"/>
      <protection locked="0"/>
    </xf>
    <xf numFmtId="0" fontId="17" fillId="8" borderId="218" xfId="0" applyFont="1" applyFill="1" applyBorder="1" applyAlignment="1" applyProtection="1">
      <alignment vertical="center"/>
      <protection locked="0"/>
    </xf>
    <xf numFmtId="0" fontId="16" fillId="2" borderId="47" xfId="0" applyFont="1" applyFill="1" applyBorder="1" applyAlignment="1" applyProtection="1">
      <alignment horizontal="left" vertical="center" wrapText="1"/>
    </xf>
    <xf numFmtId="0" fontId="16" fillId="2" borderId="196" xfId="0" applyFont="1" applyFill="1" applyBorder="1" applyAlignment="1" applyProtection="1">
      <alignment horizontal="left" vertical="center" wrapText="1"/>
    </xf>
    <xf numFmtId="0" fontId="16" fillId="2" borderId="191" xfId="0" applyFont="1" applyFill="1" applyBorder="1" applyAlignment="1" applyProtection="1">
      <alignment horizontal="left" vertical="center" wrapText="1"/>
    </xf>
    <xf numFmtId="0" fontId="16" fillId="2" borderId="193" xfId="0" applyFont="1" applyFill="1" applyBorder="1" applyAlignment="1" applyProtection="1">
      <alignment horizontal="left" vertical="center" wrapText="1"/>
    </xf>
    <xf numFmtId="0" fontId="17" fillId="0" borderId="87" xfId="0" applyFont="1" applyBorder="1" applyAlignment="1" applyProtection="1">
      <alignment horizontal="left" vertical="center"/>
      <protection locked="0"/>
    </xf>
    <xf numFmtId="0" fontId="17" fillId="8" borderId="91" xfId="0" applyFont="1" applyFill="1" applyBorder="1" applyAlignment="1" applyProtection="1">
      <alignment vertical="center"/>
      <protection locked="0"/>
    </xf>
    <xf numFmtId="0" fontId="17" fillId="8" borderId="92"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29" fillId="0" borderId="210" xfId="0" applyFont="1" applyBorder="1" applyAlignment="1" applyProtection="1">
      <alignment horizontal="center" vertical="center"/>
    </xf>
    <xf numFmtId="0" fontId="29" fillId="0" borderId="203" xfId="0" applyFont="1" applyBorder="1" applyAlignment="1" applyProtection="1">
      <alignment horizontal="center" vertical="center"/>
    </xf>
    <xf numFmtId="0" fontId="15" fillId="0" borderId="204" xfId="0" applyFont="1" applyBorder="1" applyAlignment="1" applyProtection="1">
      <alignment horizontal="center" vertical="center"/>
    </xf>
    <xf numFmtId="0" fontId="29" fillId="0" borderId="208" xfId="0" applyFont="1" applyBorder="1" applyAlignment="1" applyProtection="1">
      <alignment horizontal="center" vertical="center"/>
    </xf>
    <xf numFmtId="0" fontId="29" fillId="0" borderId="215" xfId="0" applyFont="1" applyBorder="1" applyAlignment="1" applyProtection="1">
      <alignment horizontal="center" vertical="center"/>
    </xf>
    <xf numFmtId="0" fontId="17" fillId="8" borderId="0" xfId="0" applyFont="1" applyFill="1" applyAlignment="1" applyProtection="1">
      <alignment vertical="center"/>
      <protection locked="0"/>
    </xf>
    <xf numFmtId="0" fontId="17" fillId="0" borderId="91" xfId="0" applyFont="1" applyBorder="1" applyAlignment="1" applyProtection="1">
      <alignment horizontal="left" vertical="center"/>
      <protection locked="0"/>
    </xf>
    <xf numFmtId="0" fontId="30" fillId="4" borderId="86" xfId="0" applyFont="1" applyFill="1" applyBorder="1" applyAlignment="1" applyProtection="1">
      <alignment horizontal="left" vertical="center"/>
      <protection locked="0"/>
    </xf>
    <xf numFmtId="0" fontId="30" fillId="4" borderId="87" xfId="0" applyFont="1" applyFill="1" applyBorder="1" applyAlignment="1" applyProtection="1">
      <alignment horizontal="left" vertical="center"/>
      <protection locked="0"/>
    </xf>
    <xf numFmtId="0" fontId="30" fillId="8" borderId="86" xfId="0" applyFont="1" applyFill="1" applyBorder="1" applyAlignment="1" applyProtection="1">
      <alignment horizontal="left" vertical="center"/>
      <protection locked="0"/>
    </xf>
    <xf numFmtId="0" fontId="30" fillId="8" borderId="87" xfId="0" applyFont="1" applyFill="1" applyBorder="1" applyAlignment="1" applyProtection="1">
      <alignment horizontal="left" vertical="center"/>
      <protection locked="0"/>
    </xf>
    <xf numFmtId="0" fontId="30" fillId="8" borderId="88" xfId="0" applyFont="1" applyFill="1" applyBorder="1" applyAlignment="1" applyProtection="1">
      <alignment horizontal="left" vertical="center"/>
      <protection locked="0"/>
    </xf>
    <xf numFmtId="0" fontId="30" fillId="8" borderId="90" xfId="0" applyFont="1" applyFill="1" applyBorder="1" applyAlignment="1" applyProtection="1">
      <alignment horizontal="left" vertical="center"/>
      <protection locked="0"/>
    </xf>
    <xf numFmtId="0" fontId="30" fillId="4" borderId="91" xfId="0" applyFont="1" applyFill="1" applyBorder="1" applyAlignment="1" applyProtection="1">
      <alignment horizontal="left" vertical="center"/>
      <protection locked="0"/>
    </xf>
    <xf numFmtId="0" fontId="30" fillId="4" borderId="93" xfId="0" applyFont="1" applyFill="1" applyBorder="1" applyAlignment="1" applyProtection="1">
      <alignment horizontal="left" vertical="center"/>
      <protection locked="0"/>
    </xf>
    <xf numFmtId="0" fontId="30" fillId="8" borderId="91" xfId="0" applyFont="1" applyFill="1" applyBorder="1" applyAlignment="1" applyProtection="1">
      <alignment horizontal="left" vertical="center"/>
      <protection locked="0"/>
    </xf>
    <xf numFmtId="0" fontId="30" fillId="8" borderId="93" xfId="0" applyFont="1" applyFill="1" applyBorder="1" applyAlignment="1" applyProtection="1">
      <alignment horizontal="left" vertical="center"/>
      <protection locked="0"/>
    </xf>
    <xf numFmtId="0" fontId="43" fillId="0" borderId="38" xfId="0" applyFont="1" applyFill="1" applyBorder="1" applyAlignment="1" applyProtection="1">
      <alignment horizontal="left" vertical="center" wrapText="1"/>
    </xf>
    <xf numFmtId="0" fontId="43" fillId="0" borderId="47" xfId="0" applyFont="1" applyFill="1" applyBorder="1" applyAlignment="1" applyProtection="1">
      <alignment horizontal="left" vertical="center" wrapText="1"/>
    </xf>
    <xf numFmtId="0" fontId="43" fillId="0" borderId="86" xfId="0" applyFont="1" applyFill="1" applyBorder="1" applyAlignment="1" applyProtection="1">
      <alignment horizontal="left" vertical="center" wrapText="1"/>
    </xf>
    <xf numFmtId="168" fontId="30" fillId="0" borderId="361" xfId="5" applyNumberFormat="1" applyFont="1" applyFill="1" applyBorder="1" applyAlignment="1" applyProtection="1">
      <alignment horizontal="center"/>
    </xf>
    <xf numFmtId="168" fontId="30" fillId="0" borderId="362" xfId="5" applyNumberFormat="1" applyFont="1" applyFill="1" applyBorder="1" applyAlignment="1" applyProtection="1">
      <alignment horizontal="center"/>
    </xf>
    <xf numFmtId="0" fontId="21" fillId="0" borderId="0" xfId="0" applyFont="1" applyFill="1" applyBorder="1" applyAlignment="1" applyProtection="1">
      <alignment horizontal="left" indent="4"/>
    </xf>
    <xf numFmtId="0" fontId="30" fillId="0" borderId="0" xfId="0" applyFont="1" applyFill="1" applyBorder="1" applyAlignment="1" applyProtection="1">
      <alignment horizontal="center"/>
    </xf>
    <xf numFmtId="0" fontId="21" fillId="0" borderId="358" xfId="0" applyFont="1" applyFill="1" applyBorder="1" applyAlignment="1" applyProtection="1">
      <alignment horizontal="left" indent="2"/>
    </xf>
    <xf numFmtId="0" fontId="21" fillId="0" borderId="0" xfId="0" applyFont="1" applyFill="1" applyBorder="1" applyAlignment="1" applyProtection="1">
      <alignment horizontal="left" indent="2"/>
    </xf>
    <xf numFmtId="0" fontId="21" fillId="31" borderId="358" xfId="0" applyFont="1" applyFill="1" applyBorder="1" applyAlignment="1" applyProtection="1">
      <alignment horizontal="left" indent="4"/>
    </xf>
    <xf numFmtId="0" fontId="21" fillId="31" borderId="0" xfId="0" applyFont="1" applyFill="1" applyBorder="1" applyAlignment="1" applyProtection="1">
      <alignment horizontal="left" indent="4"/>
    </xf>
    <xf numFmtId="0" fontId="21" fillId="0" borderId="358" xfId="0" applyFont="1" applyFill="1" applyBorder="1" applyAlignment="1" applyProtection="1">
      <alignment horizontal="left" indent="4"/>
    </xf>
    <xf numFmtId="0" fontId="21" fillId="31" borderId="358" xfId="0" applyFont="1" applyFill="1" applyBorder="1" applyAlignment="1" applyProtection="1">
      <alignment horizontal="left"/>
    </xf>
    <xf numFmtId="0" fontId="21" fillId="31" borderId="0" xfId="0" applyFont="1" applyFill="1" applyBorder="1" applyAlignment="1" applyProtection="1">
      <alignment horizontal="left"/>
    </xf>
    <xf numFmtId="0" fontId="21" fillId="0" borderId="358" xfId="0" applyFont="1" applyFill="1" applyBorder="1" applyAlignment="1" applyProtection="1">
      <alignment horizontal="left"/>
    </xf>
    <xf numFmtId="0" fontId="21" fillId="0" borderId="0" xfId="0" applyFont="1" applyFill="1" applyBorder="1" applyAlignment="1" applyProtection="1">
      <alignment horizontal="left"/>
    </xf>
    <xf numFmtId="168" fontId="30" fillId="0" borderId="0" xfId="5" applyNumberFormat="1" applyFont="1" applyFill="1" applyBorder="1" applyAlignment="1" applyProtection="1">
      <alignment horizontal="center"/>
    </xf>
    <xf numFmtId="168" fontId="30" fillId="0" borderId="359" xfId="5" applyNumberFormat="1" applyFont="1" applyFill="1" applyBorder="1" applyAlignment="1" applyProtection="1">
      <alignment horizontal="center"/>
    </xf>
    <xf numFmtId="168" fontId="30" fillId="31" borderId="0" xfId="5" applyNumberFormat="1" applyFont="1" applyFill="1" applyBorder="1" applyAlignment="1" applyProtection="1">
      <alignment horizontal="center"/>
    </xf>
    <xf numFmtId="168" fontId="30" fillId="31" borderId="359" xfId="5" applyNumberFormat="1" applyFont="1" applyFill="1" applyBorder="1" applyAlignment="1" applyProtection="1">
      <alignment horizontal="center"/>
    </xf>
    <xf numFmtId="0" fontId="21" fillId="31" borderId="358" xfId="0" applyFont="1" applyFill="1" applyBorder="1" applyAlignment="1" applyProtection="1">
      <alignment horizontal="left" indent="2"/>
    </xf>
    <xf numFmtId="0" fontId="21" fillId="31" borderId="0" xfId="0" applyFont="1" applyFill="1" applyBorder="1" applyAlignment="1" applyProtection="1">
      <alignment horizontal="left" indent="2"/>
    </xf>
    <xf numFmtId="0" fontId="4" fillId="6" borderId="49" xfId="0" applyFont="1" applyFill="1" applyBorder="1" applyAlignment="1" applyProtection="1">
      <alignment horizontal="left" vertical="center"/>
    </xf>
    <xf numFmtId="0" fontId="4" fillId="6" borderId="0" xfId="0" applyFont="1" applyFill="1" applyBorder="1" applyAlignment="1" applyProtection="1">
      <alignment horizontal="left" vertical="center"/>
    </xf>
    <xf numFmtId="0" fontId="21" fillId="0" borderId="356" xfId="0" applyFont="1" applyFill="1" applyBorder="1" applyAlignment="1" applyProtection="1">
      <alignment horizontal="center" vertical="center" wrapText="1"/>
    </xf>
    <xf numFmtId="0" fontId="21" fillId="0" borderId="35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359" xfId="0" applyFont="1" applyFill="1" applyBorder="1" applyAlignment="1" applyProtection="1">
      <alignment horizontal="center" vertical="center" wrapText="1"/>
    </xf>
    <xf numFmtId="0" fontId="21" fillId="0" borderId="361" xfId="0" applyFont="1" applyFill="1" applyBorder="1" applyAlignment="1" applyProtection="1">
      <alignment horizontal="center" vertical="center" wrapText="1"/>
    </xf>
    <xf numFmtId="0" fontId="21" fillId="0" borderId="362" xfId="0" applyFont="1" applyFill="1" applyBorder="1" applyAlignment="1" applyProtection="1">
      <alignment horizontal="center" vertical="center" wrapText="1"/>
    </xf>
    <xf numFmtId="168" fontId="30" fillId="31" borderId="356" xfId="5" applyNumberFormat="1" applyFont="1" applyFill="1" applyBorder="1" applyAlignment="1" applyProtection="1">
      <alignment horizontal="center" vertical="center"/>
    </xf>
    <xf numFmtId="168" fontId="30" fillId="31" borderId="357" xfId="5" applyNumberFormat="1" applyFont="1" applyFill="1" applyBorder="1" applyAlignment="1" applyProtection="1">
      <alignment horizontal="center" vertical="center"/>
    </xf>
    <xf numFmtId="10" fontId="58" fillId="0" borderId="0" xfId="2" applyNumberFormat="1" applyFont="1" applyFill="1" applyBorder="1" applyAlignment="1" applyProtection="1">
      <alignment horizontal="center" vertical="center"/>
    </xf>
    <xf numFmtId="10" fontId="58" fillId="0" borderId="359" xfId="2" applyNumberFormat="1" applyFont="1" applyFill="1" applyBorder="1" applyAlignment="1" applyProtection="1">
      <alignment horizontal="center" vertical="center"/>
    </xf>
    <xf numFmtId="10" fontId="58" fillId="31" borderId="0" xfId="2" applyNumberFormat="1" applyFont="1" applyFill="1" applyBorder="1" applyAlignment="1" applyProtection="1">
      <alignment horizontal="center" vertical="center"/>
    </xf>
    <xf numFmtId="10" fontId="58" fillId="31" borderId="359" xfId="2" applyNumberFormat="1" applyFont="1" applyFill="1" applyBorder="1" applyAlignment="1" applyProtection="1">
      <alignment horizontal="center" vertical="center"/>
    </xf>
    <xf numFmtId="0" fontId="21" fillId="31" borderId="361" xfId="0" applyFont="1" applyFill="1" applyBorder="1" applyAlignment="1" applyProtection="1">
      <alignment horizontal="center"/>
    </xf>
    <xf numFmtId="0" fontId="16" fillId="0" borderId="355" xfId="0" applyFont="1" applyFill="1" applyBorder="1" applyAlignment="1" applyProtection="1">
      <alignment horizontal="center"/>
    </xf>
    <xf numFmtId="0" fontId="16" fillId="0" borderId="356" xfId="0" applyFont="1" applyFill="1" applyBorder="1" applyAlignment="1" applyProtection="1">
      <alignment horizontal="center"/>
    </xf>
    <xf numFmtId="0" fontId="16" fillId="0" borderId="358" xfId="0" applyFont="1" applyFill="1" applyBorder="1" applyAlignment="1" applyProtection="1">
      <alignment horizontal="center"/>
    </xf>
    <xf numFmtId="0" fontId="21" fillId="0" borderId="356"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360" xfId="0" applyFont="1" applyFill="1" applyBorder="1" applyAlignment="1" applyProtection="1">
      <alignment horizontal="left"/>
    </xf>
    <xf numFmtId="0" fontId="21" fillId="0" borderId="361" xfId="0" applyFont="1" applyFill="1" applyBorder="1" applyAlignment="1" applyProtection="1">
      <alignment horizontal="left"/>
    </xf>
    <xf numFmtId="0" fontId="21" fillId="31" borderId="360" xfId="0" applyFont="1" applyFill="1" applyBorder="1" applyAlignment="1" applyProtection="1">
      <alignment horizontal="left"/>
    </xf>
    <xf numFmtId="0" fontId="21" fillId="31" borderId="361" xfId="0" applyFont="1" applyFill="1" applyBorder="1" applyAlignment="1" applyProtection="1">
      <alignment horizontal="left"/>
    </xf>
    <xf numFmtId="0" fontId="21" fillId="31" borderId="361" xfId="0" applyFont="1" applyFill="1" applyBorder="1" applyAlignment="1" applyProtection="1">
      <alignment horizontal="center"/>
      <protection locked="0"/>
    </xf>
    <xf numFmtId="0" fontId="4" fillId="6" borderId="105" xfId="0" applyFont="1" applyFill="1" applyBorder="1" applyAlignment="1" applyProtection="1">
      <alignment horizontal="left" vertical="center"/>
    </xf>
    <xf numFmtId="0" fontId="4" fillId="6" borderId="50" xfId="0" applyFont="1" applyFill="1" applyBorder="1" applyAlignment="1" applyProtection="1">
      <alignment horizontal="left" vertical="center"/>
    </xf>
    <xf numFmtId="0" fontId="4" fillId="6" borderId="114" xfId="0" applyFont="1" applyFill="1" applyBorder="1" applyAlignment="1" applyProtection="1">
      <alignment horizontal="left" vertical="center"/>
    </xf>
    <xf numFmtId="0" fontId="4" fillId="6" borderId="106" xfId="0" applyFont="1" applyFill="1" applyBorder="1" applyAlignment="1" applyProtection="1">
      <alignment horizontal="left" vertical="center"/>
    </xf>
    <xf numFmtId="0" fontId="4" fillId="6" borderId="97" xfId="0" applyFont="1" applyFill="1" applyBorder="1" applyAlignment="1" applyProtection="1">
      <alignment horizontal="left" vertical="center"/>
    </xf>
    <xf numFmtId="0" fontId="4" fillId="6" borderId="99" xfId="0" applyFont="1" applyFill="1" applyBorder="1" applyAlignment="1" applyProtection="1">
      <alignment horizontal="left" vertical="center"/>
    </xf>
    <xf numFmtId="0" fontId="21" fillId="31" borderId="360" xfId="0" applyFont="1" applyFill="1" applyBorder="1" applyAlignment="1" applyProtection="1">
      <alignment horizontal="center"/>
    </xf>
    <xf numFmtId="166" fontId="21" fillId="2" borderId="182" xfId="1" applyNumberFormat="1" applyFont="1" applyFill="1" applyBorder="1" applyAlignment="1" applyProtection="1">
      <alignment vertical="center"/>
    </xf>
    <xf numFmtId="166" fontId="21" fillId="2" borderId="186" xfId="1" applyNumberFormat="1" applyFont="1" applyFill="1" applyBorder="1" applyAlignment="1" applyProtection="1">
      <alignment vertical="center"/>
    </xf>
    <xf numFmtId="0" fontId="20" fillId="2" borderId="45" xfId="0" applyFont="1" applyFill="1" applyBorder="1" applyAlignment="1" applyProtection="1">
      <alignment horizontal="left" vertical="center" wrapText="1"/>
    </xf>
    <xf numFmtId="0" fontId="20" fillId="2" borderId="185" xfId="0" applyFont="1" applyFill="1" applyBorder="1" applyAlignment="1" applyProtection="1">
      <alignment horizontal="left" vertical="center" wrapText="1"/>
    </xf>
    <xf numFmtId="0" fontId="20" fillId="2" borderId="64" xfId="0" applyFont="1" applyFill="1" applyBorder="1" applyAlignment="1" applyProtection="1">
      <alignment horizontal="left" vertical="center" wrapText="1"/>
    </xf>
    <xf numFmtId="0" fontId="20" fillId="2" borderId="103" xfId="0" applyFont="1" applyFill="1" applyBorder="1" applyAlignment="1" applyProtection="1">
      <alignment horizontal="left" vertical="center" wrapText="1"/>
    </xf>
    <xf numFmtId="0" fontId="0" fillId="4" borderId="0" xfId="0" applyFont="1" applyFill="1" applyAlignment="1" applyProtection="1">
      <alignment horizontal="left" vertical="center" wrapText="1"/>
    </xf>
    <xf numFmtId="0" fontId="13" fillId="0" borderId="52" xfId="0" applyFont="1" applyBorder="1" applyAlignment="1" applyProtection="1">
      <alignment horizontal="center" vertical="center"/>
    </xf>
    <xf numFmtId="0" fontId="13" fillId="0" borderId="53" xfId="0" applyFont="1" applyBorder="1" applyAlignment="1" applyProtection="1">
      <alignment horizontal="center" vertical="center"/>
    </xf>
    <xf numFmtId="0" fontId="13" fillId="0" borderId="54" xfId="0" applyFont="1" applyBorder="1" applyAlignment="1" applyProtection="1">
      <alignment horizontal="center" vertical="center"/>
    </xf>
    <xf numFmtId="166" fontId="21" fillId="2" borderId="56" xfId="1" applyNumberFormat="1" applyFont="1" applyFill="1" applyBorder="1" applyAlignment="1" applyProtection="1">
      <alignment horizontal="left" vertical="center"/>
    </xf>
    <xf numFmtId="166" fontId="21" fillId="2" borderId="3" xfId="1" applyNumberFormat="1" applyFont="1" applyFill="1" applyBorder="1" applyAlignment="1" applyProtection="1">
      <alignment horizontal="left" vertical="center"/>
    </xf>
    <xf numFmtId="0" fontId="20" fillId="2" borderId="57" xfId="0" applyFont="1" applyFill="1" applyBorder="1" applyAlignment="1" applyProtection="1">
      <alignment horizontal="left" vertical="center" wrapText="1" indent="1"/>
    </xf>
    <xf numFmtId="0" fontId="20" fillId="2" borderId="2" xfId="0" applyFont="1" applyFill="1" applyBorder="1" applyAlignment="1" applyProtection="1">
      <alignment horizontal="left" vertical="center" wrapText="1" indent="1"/>
    </xf>
    <xf numFmtId="166" fontId="21" fillId="2" borderId="57" xfId="1" applyNumberFormat="1" applyFont="1" applyFill="1" applyBorder="1" applyAlignment="1" applyProtection="1">
      <alignment horizontal="left" vertical="center"/>
    </xf>
    <xf numFmtId="166" fontId="21" fillId="2" borderId="0" xfId="1" applyNumberFormat="1" applyFont="1" applyFill="1" applyBorder="1" applyAlignment="1" applyProtection="1">
      <alignment horizontal="left" vertical="center"/>
    </xf>
    <xf numFmtId="0" fontId="20" fillId="2" borderId="57" xfId="0" applyFont="1" applyFill="1" applyBorder="1" applyAlignment="1" applyProtection="1">
      <alignment horizontal="left" vertical="center" wrapText="1"/>
    </xf>
    <xf numFmtId="0" fontId="20" fillId="2" borderId="59"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0" fontId="20" fillId="2" borderId="61" xfId="0" applyFont="1" applyFill="1" applyBorder="1" applyAlignment="1" applyProtection="1">
      <alignment horizontal="left" vertical="center" wrapText="1"/>
    </xf>
    <xf numFmtId="0" fontId="36" fillId="0" borderId="119" xfId="6" applyBorder="1" applyAlignment="1" applyProtection="1">
      <alignment horizontal="center" vertical="center" wrapText="1"/>
      <protection locked="0"/>
    </xf>
    <xf numFmtId="0" fontId="36" fillId="0" borderId="120" xfId="6" applyBorder="1" applyAlignment="1" applyProtection="1">
      <alignment horizontal="center" vertical="center" wrapText="1"/>
      <protection locked="0"/>
    </xf>
    <xf numFmtId="0" fontId="21" fillId="0" borderId="355" xfId="0" applyFont="1" applyFill="1" applyBorder="1" applyAlignment="1" applyProtection="1">
      <alignment horizontal="center" vertical="center"/>
    </xf>
    <xf numFmtId="0" fontId="21" fillId="0" borderId="358" xfId="0" applyFont="1" applyFill="1" applyBorder="1" applyAlignment="1" applyProtection="1">
      <alignment horizontal="center" vertical="center"/>
    </xf>
    <xf numFmtId="0" fontId="21" fillId="0" borderId="360" xfId="0" applyFont="1" applyFill="1" applyBorder="1" applyAlignment="1" applyProtection="1">
      <alignment horizontal="center" vertical="center"/>
    </xf>
    <xf numFmtId="0" fontId="21" fillId="0" borderId="361" xfId="0" applyFont="1" applyFill="1" applyBorder="1" applyAlignment="1" applyProtection="1">
      <alignment horizontal="center" vertical="center"/>
    </xf>
    <xf numFmtId="0" fontId="21" fillId="0" borderId="359" xfId="0" applyFont="1" applyFill="1" applyBorder="1" applyAlignment="1" applyProtection="1">
      <alignment horizontal="center" vertical="center"/>
    </xf>
    <xf numFmtId="0" fontId="21" fillId="0" borderId="357" xfId="0" applyFont="1" applyFill="1" applyBorder="1" applyAlignment="1" applyProtection="1">
      <alignment horizontal="center" vertical="center"/>
    </xf>
    <xf numFmtId="171" fontId="21" fillId="31" borderId="361" xfId="0" applyNumberFormat="1" applyFont="1" applyFill="1" applyBorder="1" applyAlignment="1" applyProtection="1">
      <alignment horizontal="center"/>
      <protection locked="0"/>
    </xf>
    <xf numFmtId="171" fontId="21" fillId="31" borderId="362" xfId="0" applyNumberFormat="1" applyFont="1" applyFill="1" applyBorder="1" applyAlignment="1" applyProtection="1">
      <alignment horizontal="center"/>
      <protection locked="0"/>
    </xf>
    <xf numFmtId="0" fontId="36" fillId="0" borderId="168" xfId="6" applyBorder="1" applyAlignment="1" applyProtection="1">
      <alignment horizontal="center" vertical="center" wrapText="1"/>
      <protection locked="0"/>
    </xf>
    <xf numFmtId="0" fontId="36" fillId="0" borderId="478" xfId="6" applyBorder="1" applyAlignment="1" applyProtection="1">
      <alignment horizontal="center" vertical="center" wrapText="1"/>
      <protection locked="0"/>
    </xf>
    <xf numFmtId="166" fontId="21" fillId="2" borderId="2" xfId="1" applyNumberFormat="1" applyFont="1" applyFill="1" applyBorder="1" applyAlignment="1" applyProtection="1">
      <alignment horizontal="left" vertical="center"/>
    </xf>
    <xf numFmtId="166" fontId="21" fillId="2" borderId="63" xfId="1" applyNumberFormat="1" applyFont="1" applyFill="1" applyBorder="1" applyAlignment="1" applyProtection="1">
      <alignment horizontal="left" vertical="center"/>
    </xf>
    <xf numFmtId="0" fontId="20" fillId="2" borderId="0" xfId="0" applyFont="1" applyFill="1" applyBorder="1" applyAlignment="1" applyProtection="1">
      <alignment horizontal="left" vertical="center" wrapText="1" indent="1"/>
    </xf>
    <xf numFmtId="0" fontId="20" fillId="2" borderId="64" xfId="0" applyFont="1" applyFill="1" applyBorder="1" applyAlignment="1" applyProtection="1">
      <alignment horizontal="left" vertical="center" wrapText="1" indent="1"/>
    </xf>
    <xf numFmtId="0" fontId="32" fillId="0" borderId="387" xfId="0" applyFont="1" applyBorder="1" applyAlignment="1" applyProtection="1">
      <alignment horizontal="center" vertical="center" wrapText="1"/>
    </xf>
    <xf numFmtId="0" fontId="32" fillId="0" borderId="388" xfId="0" applyFont="1" applyBorder="1" applyAlignment="1" applyProtection="1">
      <alignment horizontal="center" vertical="center" wrapText="1"/>
    </xf>
    <xf numFmtId="0" fontId="17" fillId="11" borderId="239" xfId="0" applyFont="1" applyFill="1" applyBorder="1" applyAlignment="1" applyProtection="1">
      <alignment horizontal="left" vertical="center"/>
      <protection locked="0"/>
    </xf>
    <xf numFmtId="0" fontId="17" fillId="11" borderId="0" xfId="0" applyFont="1" applyFill="1" applyBorder="1" applyAlignment="1" applyProtection="1">
      <alignment horizontal="left" vertical="center"/>
      <protection locked="0"/>
    </xf>
    <xf numFmtId="0" fontId="17" fillId="11" borderId="240" xfId="0" applyFont="1" applyFill="1" applyBorder="1" applyAlignment="1" applyProtection="1">
      <alignment horizontal="left" vertical="center"/>
      <protection locked="0"/>
    </xf>
    <xf numFmtId="0" fontId="17" fillId="0" borderId="241" xfId="0" applyFont="1" applyFill="1" applyBorder="1" applyAlignment="1" applyProtection="1">
      <alignment horizontal="left" vertical="center"/>
      <protection locked="0"/>
    </xf>
    <xf numFmtId="0" fontId="17" fillId="0" borderId="242" xfId="0" applyFont="1" applyFill="1" applyBorder="1" applyAlignment="1" applyProtection="1">
      <alignment horizontal="left" vertical="center"/>
      <protection locked="0"/>
    </xf>
    <xf numFmtId="0" fontId="17" fillId="0" borderId="245" xfId="0" applyFont="1" applyFill="1" applyBorder="1" applyAlignment="1" applyProtection="1">
      <alignment horizontal="left" vertical="center"/>
      <protection locked="0"/>
    </xf>
    <xf numFmtId="0" fontId="17" fillId="0" borderId="239" xfId="0" applyFont="1" applyFill="1" applyBorder="1" applyAlignment="1" applyProtection="1">
      <alignment horizontal="left" vertical="center"/>
      <protection locked="0"/>
    </xf>
    <xf numFmtId="0" fontId="17" fillId="0" borderId="240" xfId="0" applyFont="1" applyFill="1" applyBorder="1" applyAlignment="1" applyProtection="1">
      <alignment horizontal="left" vertical="center"/>
      <protection locked="0"/>
    </xf>
    <xf numFmtId="0" fontId="17" fillId="11" borderId="0" xfId="0" applyFont="1" applyFill="1" applyAlignment="1" applyProtection="1">
      <alignment horizontal="left" vertical="center"/>
      <protection locked="0"/>
    </xf>
    <xf numFmtId="0" fontId="32" fillId="19" borderId="234" xfId="0" applyFont="1" applyFill="1" applyBorder="1" applyAlignment="1" applyProtection="1">
      <alignment horizontal="center" vertical="center"/>
    </xf>
    <xf numFmtId="0" fontId="32" fillId="19" borderId="242" xfId="0" applyFont="1" applyFill="1" applyBorder="1" applyAlignment="1" applyProtection="1">
      <alignment horizontal="center" vertical="center"/>
    </xf>
    <xf numFmtId="0" fontId="32" fillId="19" borderId="237" xfId="0" applyFont="1" applyFill="1" applyBorder="1" applyAlignment="1" applyProtection="1">
      <alignment horizontal="center" vertical="center"/>
    </xf>
    <xf numFmtId="0" fontId="32" fillId="19" borderId="245" xfId="0" applyFont="1" applyFill="1" applyBorder="1" applyAlignment="1" applyProtection="1">
      <alignment horizontal="center" vertical="center"/>
    </xf>
    <xf numFmtId="0" fontId="31" fillId="6" borderId="101" xfId="0" applyFont="1" applyFill="1" applyBorder="1" applyAlignment="1" applyProtection="1">
      <alignment horizontal="center" vertical="center"/>
    </xf>
    <xf numFmtId="0" fontId="31" fillId="6" borderId="102" xfId="0" applyFont="1" applyFill="1" applyBorder="1" applyAlignment="1" applyProtection="1">
      <alignment horizontal="center" vertical="center"/>
    </xf>
    <xf numFmtId="0" fontId="27" fillId="6" borderId="57" xfId="0" applyFont="1" applyFill="1" applyBorder="1" applyAlignment="1" applyProtection="1">
      <alignment horizontal="center" vertical="center"/>
    </xf>
    <xf numFmtId="0" fontId="27" fillId="6" borderId="64" xfId="0" applyFont="1" applyFill="1" applyBorder="1" applyAlignment="1" applyProtection="1">
      <alignment horizontal="center" vertical="center"/>
    </xf>
    <xf numFmtId="0" fontId="32" fillId="19" borderId="250" xfId="0" applyFont="1" applyFill="1" applyBorder="1" applyAlignment="1" applyProtection="1">
      <alignment horizontal="center" vertical="center"/>
    </xf>
    <xf numFmtId="0" fontId="32" fillId="19" borderId="251" xfId="0" applyFont="1" applyFill="1" applyBorder="1" applyAlignment="1" applyProtection="1">
      <alignment horizontal="center" vertical="center"/>
    </xf>
    <xf numFmtId="0" fontId="32" fillId="19" borderId="283" xfId="0" applyFont="1" applyFill="1" applyBorder="1" applyAlignment="1" applyProtection="1">
      <alignment horizontal="center" vertical="center"/>
    </xf>
    <xf numFmtId="0" fontId="32" fillId="19" borderId="252" xfId="0" applyFont="1" applyFill="1" applyBorder="1" applyAlignment="1" applyProtection="1">
      <alignment horizontal="center" vertical="center"/>
    </xf>
    <xf numFmtId="0" fontId="32" fillId="19" borderId="253" xfId="0" applyFont="1" applyFill="1" applyBorder="1" applyAlignment="1" applyProtection="1">
      <alignment horizontal="center" vertical="center"/>
    </xf>
    <xf numFmtId="0" fontId="32" fillId="19" borderId="284" xfId="0" applyFont="1" applyFill="1" applyBorder="1" applyAlignment="1" applyProtection="1">
      <alignment horizontal="center" vertical="center"/>
    </xf>
    <xf numFmtId="0" fontId="17" fillId="0" borderId="0" xfId="0" applyFont="1" applyFill="1" applyBorder="1" applyAlignment="1" applyProtection="1">
      <alignment horizontal="left" vertical="center"/>
    </xf>
    <xf numFmtId="0" fontId="17" fillId="0" borderId="64" xfId="0"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341" xfId="0" applyFont="1" applyFill="1" applyBorder="1" applyAlignment="1" applyProtection="1">
      <alignment horizontal="center" vertical="center"/>
    </xf>
    <xf numFmtId="0" fontId="21" fillId="0" borderId="246" xfId="5" applyNumberFormat="1" applyFont="1" applyBorder="1" applyAlignment="1" applyProtection="1">
      <alignment horizontal="center" vertical="center"/>
    </xf>
    <xf numFmtId="0" fontId="21" fillId="0" borderId="247" xfId="0" applyNumberFormat="1" applyFont="1" applyBorder="1" applyAlignment="1" applyProtection="1">
      <alignment horizontal="center" vertical="center"/>
    </xf>
    <xf numFmtId="0" fontId="21" fillId="0" borderId="247" xfId="5" applyNumberFormat="1" applyFont="1" applyBorder="1" applyAlignment="1" applyProtection="1">
      <alignment horizontal="center" vertical="center"/>
    </xf>
    <xf numFmtId="0" fontId="32" fillId="4" borderId="237" xfId="0" applyFont="1" applyFill="1" applyBorder="1" applyAlignment="1" applyProtection="1">
      <alignment horizontal="center" vertical="center"/>
    </xf>
    <xf numFmtId="0" fontId="32" fillId="4" borderId="245" xfId="0" applyFont="1" applyFill="1" applyBorder="1" applyAlignment="1" applyProtection="1">
      <alignment horizontal="center" vertical="center"/>
    </xf>
    <xf numFmtId="0" fontId="21" fillId="0" borderId="409" xfId="5" applyNumberFormat="1" applyFont="1" applyBorder="1" applyAlignment="1" applyProtection="1">
      <alignment horizontal="center" vertical="center"/>
    </xf>
    <xf numFmtId="0" fontId="21" fillId="0" borderId="410" xfId="5" applyNumberFormat="1" applyFont="1" applyBorder="1" applyAlignment="1" applyProtection="1">
      <alignment horizontal="center" vertical="center"/>
    </xf>
    <xf numFmtId="0" fontId="21" fillId="0" borderId="248" xfId="5" applyNumberFormat="1" applyFont="1" applyBorder="1" applyAlignment="1" applyProtection="1">
      <alignment horizontal="center" vertical="center"/>
    </xf>
    <xf numFmtId="0" fontId="32" fillId="0" borderId="234" xfId="0" applyFont="1" applyBorder="1" applyAlignment="1" applyProtection="1">
      <alignment horizontal="center" vertical="center"/>
    </xf>
    <xf numFmtId="0" fontId="32" fillId="0" borderId="235" xfId="0" applyFont="1" applyBorder="1" applyAlignment="1" applyProtection="1">
      <alignment horizontal="center" vertical="center"/>
    </xf>
    <xf numFmtId="0" fontId="32" fillId="0" borderId="387" xfId="0" applyFont="1" applyBorder="1" applyAlignment="1" applyProtection="1">
      <alignment horizontal="center" vertical="center"/>
    </xf>
    <xf numFmtId="0" fontId="32" fillId="0" borderId="388" xfId="0" applyFont="1" applyBorder="1" applyAlignment="1" applyProtection="1">
      <alignment horizontal="center" vertical="center"/>
    </xf>
    <xf numFmtId="0" fontId="36" fillId="0" borderId="168" xfId="6" applyBorder="1" applyAlignment="1" applyProtection="1">
      <alignment horizontal="center" vertical="center" wrapText="1"/>
    </xf>
    <xf numFmtId="0" fontId="36" fillId="0" borderId="170" xfId="6" applyBorder="1" applyAlignment="1" applyProtection="1">
      <alignment horizontal="center" vertical="center" wrapText="1"/>
    </xf>
    <xf numFmtId="0" fontId="32" fillId="19" borderId="333" xfId="0" applyFont="1" applyFill="1" applyBorder="1" applyAlignment="1" applyProtection="1">
      <alignment horizontal="center" vertical="center"/>
    </xf>
    <xf numFmtId="0" fontId="32" fillId="19" borderId="334" xfId="0" applyFont="1" applyFill="1" applyBorder="1" applyAlignment="1" applyProtection="1">
      <alignment horizontal="center" vertical="center"/>
    </xf>
    <xf numFmtId="0" fontId="36" fillId="0" borderId="170" xfId="6" applyBorder="1" applyAlignment="1" applyProtection="1">
      <alignment horizontal="center" vertical="center" wrapText="1"/>
      <protection locked="0"/>
    </xf>
    <xf numFmtId="0" fontId="32" fillId="19" borderId="233" xfId="0" applyFont="1" applyFill="1" applyBorder="1" applyAlignment="1" applyProtection="1">
      <alignment horizontal="center" vertical="center"/>
    </xf>
    <xf numFmtId="0" fontId="32" fillId="19" borderId="241" xfId="0" applyFont="1" applyFill="1" applyBorder="1" applyAlignment="1" applyProtection="1">
      <alignment horizontal="center" vertical="center"/>
    </xf>
    <xf numFmtId="0" fontId="17" fillId="11" borderId="233" xfId="0" applyFont="1" applyFill="1" applyBorder="1" applyAlignment="1" applyProtection="1">
      <alignment horizontal="left" vertical="center"/>
      <protection locked="0"/>
    </xf>
    <xf numFmtId="0" fontId="17" fillId="11" borderId="234" xfId="0" applyFont="1" applyFill="1" applyBorder="1" applyAlignment="1" applyProtection="1">
      <alignment horizontal="left" vertical="center"/>
      <protection locked="0"/>
    </xf>
    <xf numFmtId="0" fontId="4" fillId="6" borderId="289" xfId="0" applyFont="1" applyFill="1" applyBorder="1" applyAlignment="1" applyProtection="1">
      <alignment horizontal="left" vertical="center"/>
    </xf>
    <xf numFmtId="0" fontId="4" fillId="6" borderId="290" xfId="0" applyFont="1" applyFill="1" applyBorder="1" applyAlignment="1" applyProtection="1">
      <alignment horizontal="left" vertical="center"/>
    </xf>
    <xf numFmtId="0" fontId="4" fillId="6" borderId="291" xfId="0" applyFont="1" applyFill="1" applyBorder="1" applyAlignment="1" applyProtection="1">
      <alignment horizontal="left" vertical="center"/>
    </xf>
    <xf numFmtId="0" fontId="4" fillId="6" borderId="292" xfId="0" applyFont="1" applyFill="1" applyBorder="1" applyAlignment="1" applyProtection="1">
      <alignment horizontal="left" vertical="center"/>
    </xf>
    <xf numFmtId="0" fontId="21" fillId="2" borderId="56" xfId="1" applyNumberFormat="1" applyFont="1" applyFill="1" applyBorder="1" applyAlignment="1" applyProtection="1">
      <alignment horizontal="left" vertical="center"/>
    </xf>
    <xf numFmtId="0" fontId="21" fillId="2" borderId="3" xfId="1" applyNumberFormat="1" applyFont="1" applyFill="1" applyBorder="1" applyAlignment="1" applyProtection="1">
      <alignment horizontal="left" vertical="center"/>
    </xf>
    <xf numFmtId="0" fontId="20" fillId="2" borderId="2" xfId="0" applyFont="1" applyFill="1" applyBorder="1" applyAlignment="1" applyProtection="1">
      <alignment horizontal="left" vertical="center" wrapText="1"/>
    </xf>
    <xf numFmtId="0" fontId="32" fillId="0" borderId="233" xfId="0" applyFont="1" applyBorder="1" applyAlignment="1" applyProtection="1">
      <alignment horizontal="center" vertical="center"/>
    </xf>
    <xf numFmtId="0" fontId="32" fillId="0" borderId="241" xfId="0" applyFont="1" applyBorder="1" applyAlignment="1" applyProtection="1">
      <alignment horizontal="center" vertical="center"/>
    </xf>
    <xf numFmtId="0" fontId="21" fillId="0" borderId="246" xfId="0" applyFont="1" applyFill="1" applyBorder="1" applyAlignment="1" applyProtection="1">
      <alignment horizontal="center" vertical="center"/>
    </xf>
    <xf numFmtId="0" fontId="21" fillId="0" borderId="247" xfId="0" applyFont="1" applyFill="1" applyBorder="1" applyAlignment="1" applyProtection="1">
      <alignment horizontal="center" vertical="center"/>
    </xf>
    <xf numFmtId="0" fontId="21" fillId="0" borderId="248" xfId="0" applyFont="1" applyFill="1" applyBorder="1" applyAlignment="1" applyProtection="1">
      <alignment horizontal="center" vertical="center"/>
    </xf>
    <xf numFmtId="0" fontId="36" fillId="0" borderId="167" xfId="6" applyBorder="1" applyAlignment="1" applyProtection="1">
      <alignment horizontal="center" vertical="center" wrapText="1"/>
      <protection locked="0"/>
    </xf>
    <xf numFmtId="0" fontId="36" fillId="0" borderId="169" xfId="6" applyBorder="1" applyAlignment="1" applyProtection="1">
      <alignment horizontal="center" vertical="center" wrapText="1"/>
      <protection locked="0"/>
    </xf>
    <xf numFmtId="0" fontId="21" fillId="2" borderId="134" xfId="1" applyNumberFormat="1" applyFont="1" applyFill="1" applyBorder="1" applyAlignment="1" applyProtection="1">
      <alignment horizontal="left" vertical="center"/>
    </xf>
    <xf numFmtId="0" fontId="21" fillId="2" borderId="281" xfId="1" applyNumberFormat="1" applyFont="1" applyFill="1" applyBorder="1" applyAlignment="1" applyProtection="1">
      <alignment horizontal="left" vertical="center"/>
    </xf>
    <xf numFmtId="0" fontId="21" fillId="2" borderId="165" xfId="1" applyNumberFormat="1" applyFont="1" applyFill="1" applyBorder="1" applyAlignment="1" applyProtection="1">
      <alignment horizontal="left" vertical="center"/>
    </xf>
    <xf numFmtId="0" fontId="21" fillId="2" borderId="282" xfId="1" applyNumberFormat="1" applyFont="1" applyFill="1" applyBorder="1" applyAlignment="1" applyProtection="1">
      <alignment horizontal="left" vertical="center"/>
    </xf>
    <xf numFmtId="0" fontId="4" fillId="21" borderId="289" xfId="0" applyFont="1" applyFill="1" applyBorder="1" applyAlignment="1" applyProtection="1">
      <alignment horizontal="left" vertical="center"/>
    </xf>
    <xf numFmtId="0" fontId="4" fillId="21" borderId="290" xfId="0" applyFont="1" applyFill="1" applyBorder="1" applyAlignment="1" applyProtection="1">
      <alignment horizontal="left" vertical="center"/>
    </xf>
    <xf numFmtId="0" fontId="4" fillId="21" borderId="291" xfId="0" applyFont="1" applyFill="1" applyBorder="1" applyAlignment="1" applyProtection="1">
      <alignment horizontal="left" vertical="center"/>
    </xf>
    <xf numFmtId="0" fontId="4" fillId="21" borderId="292" xfId="0" applyFont="1" applyFill="1" applyBorder="1" applyAlignment="1" applyProtection="1">
      <alignment horizontal="left" vertical="center"/>
    </xf>
    <xf numFmtId="0" fontId="21" fillId="2" borderId="2" xfId="1" applyNumberFormat="1" applyFont="1" applyFill="1" applyBorder="1" applyAlignment="1" applyProtection="1">
      <alignment horizontal="left" vertical="center"/>
    </xf>
    <xf numFmtId="0" fontId="21" fillId="2" borderId="63" xfId="1" applyNumberFormat="1" applyFont="1" applyFill="1" applyBorder="1" applyAlignment="1" applyProtection="1">
      <alignment horizontal="left" vertical="center"/>
    </xf>
    <xf numFmtId="0" fontId="32" fillId="0" borderId="250" xfId="0" applyFont="1" applyBorder="1" applyAlignment="1" applyProtection="1">
      <alignment horizontal="center" vertical="center"/>
    </xf>
    <xf numFmtId="0" fontId="32" fillId="0" borderId="251" xfId="0" applyFont="1" applyBorder="1" applyAlignment="1" applyProtection="1">
      <alignment horizontal="center" vertical="center"/>
    </xf>
    <xf numFmtId="0" fontId="32" fillId="0" borderId="333" xfId="0" applyFont="1" applyBorder="1" applyAlignment="1" applyProtection="1">
      <alignment horizontal="center" vertical="center"/>
    </xf>
    <xf numFmtId="0" fontId="32" fillId="0" borderId="252" xfId="0" applyFont="1" applyBorder="1" applyAlignment="1" applyProtection="1">
      <alignment horizontal="center" vertical="center"/>
    </xf>
    <xf numFmtId="0" fontId="32" fillId="0" borderId="253" xfId="0" applyFont="1" applyBorder="1" applyAlignment="1" applyProtection="1">
      <alignment horizontal="center" vertical="center"/>
    </xf>
    <xf numFmtId="0" fontId="32" fillId="0" borderId="334" xfId="0" applyFont="1" applyBorder="1" applyAlignment="1" applyProtection="1">
      <alignment horizontal="center" vertical="center"/>
    </xf>
    <xf numFmtId="0" fontId="32" fillId="0" borderId="287" xfId="0" applyFont="1" applyBorder="1" applyAlignment="1" applyProtection="1">
      <alignment horizontal="center" vertical="center"/>
    </xf>
    <xf numFmtId="0" fontId="32" fillId="0" borderId="283" xfId="0" applyFont="1" applyBorder="1" applyAlignment="1" applyProtection="1">
      <alignment horizontal="center" vertical="center"/>
    </xf>
    <xf numFmtId="0" fontId="32" fillId="0" borderId="288" xfId="0" applyFont="1" applyBorder="1" applyAlignment="1" applyProtection="1">
      <alignment horizontal="center" vertical="center"/>
    </xf>
    <xf numFmtId="0" fontId="32" fillId="0" borderId="284" xfId="0" applyFont="1" applyBorder="1" applyAlignment="1" applyProtection="1">
      <alignment horizontal="center" vertical="center"/>
    </xf>
    <xf numFmtId="0" fontId="27" fillId="21" borderId="57" xfId="0" applyFont="1" applyFill="1" applyBorder="1" applyAlignment="1" applyProtection="1">
      <alignment horizontal="center" vertical="center"/>
    </xf>
    <xf numFmtId="0" fontId="27" fillId="21" borderId="64" xfId="0" applyFont="1" applyFill="1" applyBorder="1" applyAlignment="1" applyProtection="1">
      <alignment horizontal="center" vertical="center"/>
    </xf>
    <xf numFmtId="0" fontId="31" fillId="21" borderId="101" xfId="0" applyFont="1" applyFill="1" applyBorder="1" applyAlignment="1" applyProtection="1">
      <alignment horizontal="center" vertical="center"/>
    </xf>
    <xf numFmtId="0" fontId="31" fillId="21" borderId="102" xfId="0" applyFont="1" applyFill="1" applyBorder="1" applyAlignment="1" applyProtection="1">
      <alignment horizontal="center" vertical="center"/>
    </xf>
    <xf numFmtId="0" fontId="32" fillId="0" borderId="597" xfId="0" applyFont="1" applyBorder="1" applyAlignment="1" applyProtection="1">
      <alignment horizontal="center" vertical="center"/>
    </xf>
    <xf numFmtId="0" fontId="32" fillId="0" borderId="598" xfId="0" applyFont="1" applyBorder="1" applyAlignment="1" applyProtection="1">
      <alignment horizontal="center" vertical="center"/>
    </xf>
    <xf numFmtId="0" fontId="21" fillId="18" borderId="246" xfId="0" applyFont="1" applyFill="1" applyBorder="1" applyAlignment="1" applyProtection="1">
      <alignment horizontal="center" vertical="center"/>
    </xf>
    <xf numFmtId="0" fontId="21" fillId="18" borderId="247" xfId="0" applyFont="1" applyFill="1" applyBorder="1" applyAlignment="1" applyProtection="1">
      <alignment horizontal="center" vertical="center"/>
    </xf>
    <xf numFmtId="0" fontId="21" fillId="18" borderId="248" xfId="0" applyFont="1" applyFill="1" applyBorder="1" applyAlignment="1" applyProtection="1">
      <alignment horizontal="center" vertical="center"/>
    </xf>
    <xf numFmtId="0" fontId="32" fillId="0" borderId="597" xfId="0" applyFont="1" applyFill="1" applyBorder="1" applyAlignment="1" applyProtection="1">
      <alignment horizontal="center" vertical="center"/>
    </xf>
    <xf numFmtId="0" fontId="32" fillId="0" borderId="598" xfId="0" applyFont="1" applyFill="1" applyBorder="1" applyAlignment="1" applyProtection="1">
      <alignment horizontal="center" vertical="center"/>
    </xf>
    <xf numFmtId="0" fontId="21" fillId="0" borderId="412" xfId="0" applyFont="1" applyBorder="1" applyAlignment="1" applyProtection="1">
      <alignment horizontal="center" vertical="center"/>
    </xf>
    <xf numFmtId="0" fontId="21" fillId="0" borderId="413" xfId="0" applyFont="1" applyBorder="1" applyAlignment="1" applyProtection="1">
      <alignment horizontal="center" vertical="center"/>
    </xf>
    <xf numFmtId="0" fontId="21" fillId="0" borderId="414" xfId="0" applyFont="1" applyBorder="1" applyAlignment="1" applyProtection="1">
      <alignment horizontal="center" vertical="center"/>
    </xf>
    <xf numFmtId="0" fontId="21" fillId="0" borderId="52" xfId="0" applyFont="1" applyBorder="1" applyAlignment="1" applyProtection="1">
      <alignment horizontal="center" vertical="center"/>
    </xf>
    <xf numFmtId="0" fontId="21" fillId="0" borderId="53" xfId="0" applyFont="1" applyBorder="1" applyAlignment="1" applyProtection="1">
      <alignment horizontal="center" vertical="center"/>
    </xf>
    <xf numFmtId="0" fontId="21" fillId="0" borderId="54" xfId="0" applyFont="1" applyBorder="1" applyAlignment="1" applyProtection="1">
      <alignment horizontal="center" vertical="center"/>
    </xf>
    <xf numFmtId="0" fontId="21" fillId="0" borderId="411" xfId="0" applyFont="1" applyBorder="1" applyAlignment="1" applyProtection="1">
      <alignment horizontal="center" vertical="center"/>
    </xf>
    <xf numFmtId="0" fontId="21" fillId="0" borderId="247" xfId="0" applyFont="1" applyBorder="1" applyAlignment="1" applyProtection="1">
      <alignment horizontal="center" vertical="center"/>
    </xf>
    <xf numFmtId="0" fontId="21" fillId="0" borderId="248" xfId="0" applyFont="1" applyBorder="1" applyAlignment="1" applyProtection="1">
      <alignment horizontal="center" vertical="center"/>
    </xf>
    <xf numFmtId="0" fontId="32" fillId="0" borderId="254" xfId="0" applyFont="1" applyBorder="1" applyAlignment="1" applyProtection="1">
      <alignment horizontal="center" vertical="center"/>
    </xf>
    <xf numFmtId="0" fontId="32" fillId="0" borderId="389" xfId="0" applyFont="1" applyBorder="1" applyAlignment="1" applyProtection="1">
      <alignment horizontal="center" vertical="center"/>
    </xf>
    <xf numFmtId="0" fontId="21" fillId="0" borderId="246" xfId="0" applyFont="1" applyBorder="1" applyAlignment="1" applyProtection="1">
      <alignment horizontal="center" vertical="center"/>
    </xf>
    <xf numFmtId="0" fontId="32" fillId="0" borderId="236" xfId="0" applyFont="1" applyBorder="1" applyAlignment="1" applyProtection="1">
      <alignment horizontal="center" vertical="center"/>
    </xf>
    <xf numFmtId="0" fontId="32" fillId="0" borderId="235" xfId="0" applyFont="1" applyBorder="1" applyAlignment="1" applyProtection="1">
      <alignment horizontal="center" vertical="center" wrapText="1"/>
    </xf>
    <xf numFmtId="0" fontId="32" fillId="0" borderId="103" xfId="0" applyFont="1" applyBorder="1" applyAlignment="1" applyProtection="1">
      <alignment horizontal="center" vertical="center" wrapText="1"/>
    </xf>
    <xf numFmtId="0" fontId="32" fillId="0" borderId="57" xfId="0" applyFont="1" applyBorder="1" applyAlignment="1" applyProtection="1">
      <alignment horizontal="center" vertical="center"/>
    </xf>
    <xf numFmtId="0" fontId="32" fillId="0" borderId="59" xfId="0" applyFont="1" applyBorder="1" applyAlignment="1" applyProtection="1">
      <alignment horizontal="center" vertical="center"/>
    </xf>
    <xf numFmtId="0" fontId="32" fillId="0" borderId="103" xfId="0" applyFont="1" applyBorder="1" applyAlignment="1" applyProtection="1">
      <alignment horizontal="center" vertical="center"/>
    </xf>
    <xf numFmtId="0" fontId="32" fillId="0" borderId="234" xfId="0" applyFont="1" applyBorder="1" applyAlignment="1" applyProtection="1">
      <alignment horizontal="center" vertical="center" wrapText="1"/>
    </xf>
    <xf numFmtId="0" fontId="17" fillId="25" borderId="239" xfId="0" applyFont="1" applyFill="1" applyBorder="1" applyAlignment="1" applyProtection="1">
      <alignment horizontal="left" vertical="center"/>
      <protection locked="0"/>
    </xf>
    <xf numFmtId="0" fontId="17" fillId="25" borderId="0" xfId="0" applyFont="1" applyFill="1" applyAlignment="1" applyProtection="1">
      <alignment horizontal="left" vertical="center"/>
      <protection locked="0"/>
    </xf>
    <xf numFmtId="0" fontId="17" fillId="25" borderId="240" xfId="0" applyFont="1" applyFill="1" applyBorder="1" applyAlignment="1" applyProtection="1">
      <alignment horizontal="left" vertical="center"/>
      <protection locked="0"/>
    </xf>
    <xf numFmtId="0" fontId="17" fillId="0" borderId="239" xfId="0" applyFont="1" applyBorder="1" applyAlignment="1" applyProtection="1">
      <alignment horizontal="left" vertical="center"/>
      <protection locked="0"/>
    </xf>
    <xf numFmtId="0" fontId="17" fillId="0" borderId="240" xfId="0" applyFont="1" applyBorder="1" applyAlignment="1" applyProtection="1">
      <alignment horizontal="left" vertical="center"/>
      <protection locked="0"/>
    </xf>
    <xf numFmtId="0" fontId="17" fillId="26" borderId="239" xfId="0" applyFont="1" applyFill="1" applyBorder="1" applyAlignment="1" applyProtection="1">
      <alignment horizontal="left" vertical="center"/>
      <protection locked="0"/>
    </xf>
    <xf numFmtId="0" fontId="17" fillId="26" borderId="0" xfId="0" applyFont="1" applyFill="1" applyBorder="1" applyAlignment="1" applyProtection="1">
      <alignment horizontal="left" vertical="center"/>
      <protection locked="0"/>
    </xf>
    <xf numFmtId="0" fontId="17" fillId="26" borderId="240" xfId="0" applyFont="1" applyFill="1" applyBorder="1" applyAlignment="1" applyProtection="1">
      <alignment horizontal="left" vertical="center"/>
      <protection locked="0"/>
    </xf>
    <xf numFmtId="0" fontId="17" fillId="26" borderId="0" xfId="0" applyFont="1" applyFill="1" applyAlignment="1" applyProtection="1">
      <alignment horizontal="left" vertical="center"/>
      <protection locked="0"/>
    </xf>
    <xf numFmtId="0" fontId="17" fillId="25" borderId="241" xfId="0" applyFont="1" applyFill="1" applyBorder="1" applyAlignment="1" applyProtection="1">
      <alignment horizontal="left" vertical="center"/>
      <protection locked="0"/>
    </xf>
    <xf numFmtId="0" fontId="17" fillId="25" borderId="242" xfId="0" applyFont="1" applyFill="1" applyBorder="1" applyAlignment="1" applyProtection="1">
      <alignment horizontal="left" vertical="center"/>
      <protection locked="0"/>
    </xf>
    <xf numFmtId="0" fontId="17" fillId="25" borderId="245" xfId="0" applyFont="1" applyFill="1" applyBorder="1" applyAlignment="1" applyProtection="1">
      <alignment horizontal="left" vertical="center"/>
      <protection locked="0"/>
    </xf>
    <xf numFmtId="0" fontId="17" fillId="25" borderId="0" xfId="0" applyFont="1" applyFill="1" applyBorder="1" applyAlignment="1" applyProtection="1">
      <alignment horizontal="left" vertical="center"/>
      <protection locked="0"/>
    </xf>
    <xf numFmtId="0" fontId="21" fillId="2" borderId="57" xfId="1" applyNumberFormat="1" applyFont="1" applyFill="1" applyBorder="1" applyAlignment="1" applyProtection="1">
      <alignment horizontal="left" vertical="center"/>
    </xf>
    <xf numFmtId="0" fontId="21" fillId="2" borderId="0" xfId="1" applyNumberFormat="1" applyFont="1" applyFill="1" applyBorder="1" applyAlignment="1" applyProtection="1">
      <alignment horizontal="left" vertical="center"/>
    </xf>
    <xf numFmtId="165" fontId="36" fillId="0" borderId="119" xfId="5" applyFont="1" applyBorder="1" applyAlignment="1" applyProtection="1">
      <alignment horizontal="center" vertical="center" wrapText="1"/>
    </xf>
    <xf numFmtId="165" fontId="36" fillId="0" borderId="120" xfId="5" applyFont="1" applyBorder="1" applyAlignment="1" applyProtection="1">
      <alignment horizontal="center" vertical="center" wrapText="1"/>
    </xf>
    <xf numFmtId="0" fontId="21" fillId="2" borderId="182" xfId="1" applyNumberFormat="1" applyFont="1" applyFill="1" applyBorder="1" applyAlignment="1" applyProtection="1">
      <alignment vertical="center"/>
    </xf>
    <xf numFmtId="0" fontId="21" fillId="2" borderId="186" xfId="1" applyNumberFormat="1" applyFont="1" applyFill="1" applyBorder="1" applyAlignment="1" applyProtection="1">
      <alignment vertical="center"/>
    </xf>
    <xf numFmtId="168" fontId="36" fillId="0" borderId="119" xfId="5" applyNumberFormat="1" applyFont="1" applyBorder="1" applyAlignment="1" applyProtection="1">
      <alignment horizontal="center" vertical="center" wrapText="1"/>
    </xf>
    <xf numFmtId="168" fontId="36" fillId="0" borderId="120" xfId="5" applyNumberFormat="1" applyFont="1" applyBorder="1" applyAlignment="1" applyProtection="1">
      <alignment horizontal="center" vertical="center" wrapText="1"/>
    </xf>
    <xf numFmtId="0" fontId="32" fillId="0" borderId="64" xfId="0" applyFont="1" applyBorder="1" applyAlignment="1" applyProtection="1">
      <alignment horizontal="center" vertical="center"/>
    </xf>
    <xf numFmtId="0" fontId="36" fillId="0" borderId="478" xfId="6" applyBorder="1" applyAlignment="1" applyProtection="1">
      <alignment horizontal="center" vertical="center" wrapText="1"/>
    </xf>
    <xf numFmtId="0" fontId="32" fillId="0" borderId="237" xfId="0" applyFont="1" applyBorder="1" applyAlignment="1" applyProtection="1">
      <alignment horizontal="center" vertical="center"/>
    </xf>
    <xf numFmtId="0" fontId="32" fillId="0" borderId="238" xfId="0" applyFont="1" applyBorder="1" applyAlignment="1" applyProtection="1">
      <alignment horizontal="center" vertical="center"/>
    </xf>
    <xf numFmtId="0" fontId="32" fillId="0" borderId="415" xfId="0" applyFont="1" applyBorder="1" applyAlignment="1" applyProtection="1">
      <alignment horizontal="center" vertical="center"/>
    </xf>
    <xf numFmtId="0" fontId="32" fillId="0" borderId="233" xfId="0" applyFont="1" applyBorder="1" applyAlignment="1" applyProtection="1">
      <alignment horizontal="center" vertical="center" wrapText="1"/>
    </xf>
    <xf numFmtId="0" fontId="32" fillId="0" borderId="237" xfId="0" applyFont="1" applyBorder="1" applyAlignment="1" applyProtection="1">
      <alignment horizontal="center" vertical="center" wrapText="1"/>
    </xf>
    <xf numFmtId="0" fontId="32" fillId="0" borderId="238" xfId="0" applyFont="1" applyBorder="1" applyAlignment="1" applyProtection="1">
      <alignment horizontal="center" vertical="center" wrapText="1"/>
    </xf>
    <xf numFmtId="0" fontId="32" fillId="0" borderId="64" xfId="0" applyFont="1" applyBorder="1" applyAlignment="1" applyProtection="1">
      <alignment horizontal="center" vertical="center" wrapText="1"/>
    </xf>
    <xf numFmtId="0" fontId="32" fillId="0" borderId="415" xfId="0" applyFont="1" applyBorder="1" applyAlignment="1" applyProtection="1">
      <alignment horizontal="center" vertical="center" wrapText="1"/>
    </xf>
    <xf numFmtId="0" fontId="17" fillId="11" borderId="237" xfId="0" applyFont="1" applyFill="1" applyBorder="1" applyAlignment="1" applyProtection="1">
      <alignment horizontal="left" vertical="center"/>
      <protection locked="0"/>
    </xf>
    <xf numFmtId="0" fontId="17" fillId="25" borderId="233" xfId="0" applyFont="1" applyFill="1" applyBorder="1" applyAlignment="1" applyProtection="1">
      <alignment horizontal="left" vertical="center"/>
      <protection locked="0"/>
    </xf>
    <xf numFmtId="0" fontId="17" fillId="25" borderId="234" xfId="0" applyFont="1" applyFill="1" applyBorder="1" applyAlignment="1" applyProtection="1">
      <alignment horizontal="left" vertical="center"/>
      <protection locked="0"/>
    </xf>
    <xf numFmtId="0" fontId="17" fillId="25" borderId="237" xfId="0" applyFont="1" applyFill="1" applyBorder="1" applyAlignment="1" applyProtection="1">
      <alignment horizontal="left" vertical="center"/>
      <protection locked="0"/>
    </xf>
    <xf numFmtId="0" fontId="32" fillId="0" borderId="242" xfId="0" applyFont="1" applyBorder="1" applyAlignment="1" applyProtection="1">
      <alignment horizontal="center" vertical="center"/>
    </xf>
    <xf numFmtId="0" fontId="32" fillId="0" borderId="245" xfId="0" applyFont="1" applyBorder="1" applyAlignment="1" applyProtection="1">
      <alignment horizontal="center" vertical="center"/>
    </xf>
    <xf numFmtId="0" fontId="32" fillId="0" borderId="241" xfId="0" applyFont="1" applyBorder="1" applyAlignment="1" applyProtection="1">
      <alignment horizontal="center" vertical="center" wrapText="1"/>
    </xf>
    <xf numFmtId="0" fontId="32" fillId="0" borderId="242" xfId="0" applyFont="1" applyBorder="1" applyAlignment="1" applyProtection="1">
      <alignment horizontal="center" vertical="center" wrapText="1"/>
    </xf>
    <xf numFmtId="0" fontId="32" fillId="0" borderId="245" xfId="0" applyFont="1" applyBorder="1" applyAlignment="1" applyProtection="1">
      <alignment horizontal="center" vertical="center" wrapText="1"/>
    </xf>
    <xf numFmtId="0" fontId="31" fillId="6" borderId="128" xfId="0" applyFont="1" applyFill="1" applyBorder="1" applyAlignment="1" applyProtection="1">
      <alignment horizontal="center" vertical="center"/>
    </xf>
    <xf numFmtId="0" fontId="31" fillId="6" borderId="130" xfId="0" applyFont="1" applyFill="1" applyBorder="1" applyAlignment="1" applyProtection="1">
      <alignment horizontal="center" vertical="center"/>
    </xf>
    <xf numFmtId="0" fontId="17" fillId="0" borderId="241" xfId="0" applyFont="1" applyBorder="1" applyAlignment="1" applyProtection="1">
      <alignment horizontal="left" vertical="center"/>
      <protection locked="0"/>
    </xf>
    <xf numFmtId="0" fontId="17" fillId="0" borderId="242" xfId="0" applyFont="1" applyBorder="1" applyAlignment="1" applyProtection="1">
      <alignment horizontal="left" vertical="center"/>
      <protection locked="0"/>
    </xf>
    <xf numFmtId="0" fontId="17" fillId="0" borderId="245" xfId="0" applyFont="1" applyBorder="1" applyAlignment="1" applyProtection="1">
      <alignment horizontal="left" vertical="center"/>
      <protection locked="0"/>
    </xf>
    <xf numFmtId="0" fontId="17" fillId="26" borderId="241" xfId="0" applyFont="1" applyFill="1" applyBorder="1" applyAlignment="1" applyProtection="1">
      <alignment horizontal="left" vertical="center"/>
      <protection locked="0"/>
    </xf>
    <xf numFmtId="0" fontId="17" fillId="26" borderId="242" xfId="0" applyFont="1" applyFill="1" applyBorder="1" applyAlignment="1" applyProtection="1">
      <alignment horizontal="left" vertical="center"/>
      <protection locked="0"/>
    </xf>
    <xf numFmtId="0" fontId="17" fillId="26" borderId="245" xfId="0" applyFont="1" applyFill="1" applyBorder="1" applyAlignment="1" applyProtection="1">
      <alignment horizontal="left" vertical="center"/>
      <protection locked="0"/>
    </xf>
    <xf numFmtId="0" fontId="32" fillId="0" borderId="61" xfId="0" applyFont="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01" xfId="0" applyFont="1" applyBorder="1" applyAlignment="1" applyProtection="1">
      <alignment horizontal="center" vertical="center"/>
    </xf>
    <xf numFmtId="0" fontId="32" fillId="0" borderId="104" xfId="0" applyFont="1" applyBorder="1" applyAlignment="1" applyProtection="1">
      <alignment horizontal="center" vertical="center"/>
    </xf>
    <xf numFmtId="0" fontId="32" fillId="0" borderId="239"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240" xfId="0" applyFont="1" applyBorder="1" applyAlignment="1" applyProtection="1">
      <alignment horizontal="center" vertical="center" wrapText="1"/>
    </xf>
    <xf numFmtId="0" fontId="17" fillId="11" borderId="241" xfId="0" applyFont="1" applyFill="1" applyBorder="1" applyAlignment="1" applyProtection="1">
      <alignment horizontal="left" vertical="center"/>
      <protection locked="0"/>
    </xf>
    <xf numFmtId="0" fontId="17" fillId="11" borderId="242" xfId="0" applyFont="1" applyFill="1" applyBorder="1" applyAlignment="1" applyProtection="1">
      <alignment horizontal="left" vertical="center"/>
      <protection locked="0"/>
    </xf>
    <xf numFmtId="0" fontId="17" fillId="11" borderId="245" xfId="0" applyFont="1" applyFill="1" applyBorder="1" applyAlignment="1" applyProtection="1">
      <alignment horizontal="left" vertical="center"/>
      <protection locked="0"/>
    </xf>
    <xf numFmtId="0" fontId="4" fillId="6" borderId="47" xfId="0" applyFont="1" applyFill="1" applyBorder="1" applyAlignment="1" applyProtection="1">
      <alignment horizontal="left" vertical="center"/>
    </xf>
    <xf numFmtId="0" fontId="4" fillId="6" borderId="45" xfId="0" applyFont="1" applyFill="1" applyBorder="1" applyAlignment="1" applyProtection="1">
      <alignment horizontal="left" vertical="center"/>
    </xf>
    <xf numFmtId="0" fontId="27" fillId="6" borderId="127" xfId="0" applyFont="1" applyFill="1" applyBorder="1" applyAlignment="1" applyProtection="1">
      <alignment horizontal="center" vertical="center"/>
    </xf>
    <xf numFmtId="0" fontId="27" fillId="6" borderId="131" xfId="0" applyFont="1" applyFill="1" applyBorder="1" applyAlignment="1" applyProtection="1">
      <alignment horizontal="center" vertical="center"/>
    </xf>
    <xf numFmtId="0" fontId="21" fillId="0" borderId="614" xfId="0" applyFont="1" applyBorder="1" applyAlignment="1" applyProtection="1">
      <alignment horizontal="center" vertical="center"/>
    </xf>
    <xf numFmtId="0" fontId="31" fillId="6" borderId="0" xfId="0" applyFont="1" applyFill="1" applyBorder="1" applyAlignment="1" applyProtection="1">
      <alignment horizontal="center" vertical="center"/>
    </xf>
    <xf numFmtId="0" fontId="31" fillId="6" borderId="64" xfId="0" applyFont="1" applyFill="1" applyBorder="1" applyAlignment="1" applyProtection="1">
      <alignment horizontal="center" vertical="center"/>
    </xf>
    <xf numFmtId="0" fontId="27" fillId="6" borderId="0" xfId="0" applyFont="1" applyFill="1" applyAlignment="1" applyProtection="1">
      <alignment horizontal="center" vertical="center"/>
    </xf>
    <xf numFmtId="0" fontId="26" fillId="11" borderId="421" xfId="0" applyFont="1" applyFill="1" applyBorder="1" applyAlignment="1" applyProtection="1">
      <alignment horizontal="left" vertical="center"/>
      <protection locked="0"/>
    </xf>
    <xf numFmtId="0" fontId="26" fillId="11" borderId="424" xfId="0" applyFont="1" applyFill="1" applyBorder="1" applyAlignment="1" applyProtection="1">
      <alignment horizontal="left" vertical="center"/>
      <protection locked="0"/>
    </xf>
    <xf numFmtId="0" fontId="72" fillId="0" borderId="46"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left" vertical="center" wrapText="1"/>
      <protection locked="0"/>
    </xf>
    <xf numFmtId="0" fontId="72" fillId="0" borderId="98" xfId="0" applyFont="1" applyFill="1" applyBorder="1" applyAlignment="1" applyProtection="1">
      <alignment horizontal="left" vertical="center" wrapText="1"/>
      <protection locked="0"/>
    </xf>
    <xf numFmtId="0" fontId="26" fillId="0" borderId="373" xfId="0" applyFont="1" applyFill="1" applyBorder="1" applyAlignment="1" applyProtection="1">
      <alignment horizontal="center" vertical="center" wrapText="1"/>
    </xf>
    <xf numFmtId="0" fontId="26" fillId="0" borderId="375" xfId="0" applyFont="1" applyFill="1" applyBorder="1" applyAlignment="1" applyProtection="1">
      <alignment horizontal="center" vertical="center" wrapText="1"/>
    </xf>
    <xf numFmtId="0" fontId="26" fillId="0" borderId="371" xfId="0" applyFont="1" applyFill="1" applyBorder="1" applyAlignment="1" applyProtection="1">
      <alignment horizontal="center" vertical="center" wrapText="1"/>
    </xf>
    <xf numFmtId="0" fontId="26" fillId="0" borderId="374" xfId="0" applyFont="1" applyFill="1" applyBorder="1" applyAlignment="1" applyProtection="1">
      <alignment horizontal="left" vertical="center" wrapText="1"/>
    </xf>
    <xf numFmtId="0" fontId="26" fillId="0" borderId="376" xfId="0" applyFont="1" applyFill="1" applyBorder="1" applyAlignment="1" applyProtection="1">
      <alignment horizontal="left" vertical="center" wrapText="1"/>
    </xf>
    <xf numFmtId="0" fontId="26" fillId="0" borderId="425" xfId="0" applyFont="1" applyFill="1" applyBorder="1" applyAlignment="1" applyProtection="1">
      <alignment horizontal="left" vertical="center" wrapText="1"/>
    </xf>
    <xf numFmtId="0" fontId="26" fillId="0" borderId="426" xfId="0" applyFont="1" applyFill="1" applyBorder="1" applyAlignment="1" applyProtection="1">
      <alignment horizontal="left" vertical="center" wrapText="1"/>
    </xf>
    <xf numFmtId="0" fontId="26" fillId="0" borderId="372" xfId="0" applyFont="1" applyFill="1" applyBorder="1" applyAlignment="1" applyProtection="1">
      <alignment horizontal="left" vertical="center" wrapText="1"/>
    </xf>
    <xf numFmtId="0" fontId="26" fillId="0" borderId="0" xfId="0" applyFont="1" applyFill="1" applyBorder="1" applyAlignment="1" applyProtection="1">
      <alignment horizontal="center" vertical="center"/>
    </xf>
    <xf numFmtId="0" fontId="26" fillId="0" borderId="367" xfId="0" applyFont="1" applyFill="1" applyBorder="1" applyAlignment="1" applyProtection="1">
      <alignment horizontal="center" vertical="center"/>
    </xf>
    <xf numFmtId="0" fontId="26" fillId="0" borderId="176" xfId="0" applyFont="1" applyFill="1" applyBorder="1" applyAlignment="1" applyProtection="1">
      <alignment horizontal="center" vertical="center" wrapText="1"/>
    </xf>
    <xf numFmtId="0" fontId="26" fillId="0" borderId="364" xfId="0" applyFont="1" applyFill="1" applyBorder="1" applyAlignment="1" applyProtection="1">
      <alignment horizontal="center" vertical="center"/>
    </xf>
    <xf numFmtId="0" fontId="26" fillId="0" borderId="365" xfId="0" applyFont="1" applyFill="1" applyBorder="1" applyAlignment="1" applyProtection="1">
      <alignment horizontal="center" vertical="center"/>
    </xf>
    <xf numFmtId="0" fontId="26" fillId="0" borderId="363" xfId="0" applyFont="1" applyFill="1" applyBorder="1" applyAlignment="1" applyProtection="1">
      <alignment horizontal="center" vertical="center"/>
    </xf>
    <xf numFmtId="0" fontId="26" fillId="0" borderId="366" xfId="0" applyFont="1" applyFill="1" applyBorder="1" applyAlignment="1" applyProtection="1">
      <alignment horizontal="center" vertical="center"/>
    </xf>
    <xf numFmtId="0" fontId="26" fillId="0" borderId="364"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wrapText="1"/>
    </xf>
    <xf numFmtId="17" fontId="26" fillId="0" borderId="367" xfId="0" applyNumberFormat="1"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xf>
    <xf numFmtId="0" fontId="26" fillId="0" borderId="366" xfId="0" applyFont="1" applyFill="1" applyBorder="1" applyAlignment="1" applyProtection="1">
      <alignment horizontal="left" vertical="center"/>
    </xf>
    <xf numFmtId="0" fontId="26" fillId="0" borderId="0" xfId="0" applyFont="1" applyFill="1" applyBorder="1" applyAlignment="1" applyProtection="1">
      <alignment horizontal="left" vertical="center"/>
    </xf>
    <xf numFmtId="0" fontId="26" fillId="0" borderId="368" xfId="0" applyFont="1" applyFill="1" applyBorder="1" applyAlignment="1" applyProtection="1">
      <alignment horizontal="left" vertical="center"/>
    </xf>
    <xf numFmtId="0" fontId="26" fillId="0" borderId="369" xfId="0" applyFont="1" applyFill="1" applyBorder="1" applyAlignment="1" applyProtection="1">
      <alignment horizontal="left" vertical="center"/>
    </xf>
    <xf numFmtId="0" fontId="26" fillId="11" borderId="176" xfId="0" applyFont="1" applyFill="1" applyBorder="1" applyAlignment="1" applyProtection="1">
      <alignment horizontal="left"/>
    </xf>
    <xf numFmtId="0" fontId="77" fillId="11" borderId="457" xfId="0" applyFont="1" applyFill="1" applyBorder="1" applyAlignment="1" applyProtection="1">
      <alignment horizontal="center" vertical="center"/>
    </xf>
    <xf numFmtId="0" fontId="77" fillId="11" borderId="458" xfId="0" applyFont="1" applyFill="1" applyBorder="1" applyAlignment="1" applyProtection="1">
      <alignment horizontal="center" vertical="center"/>
    </xf>
    <xf numFmtId="0" fontId="30" fillId="11" borderId="0" xfId="0" applyFont="1" applyFill="1" applyBorder="1" applyAlignment="1" applyProtection="1">
      <alignment horizontal="center"/>
      <protection locked="0"/>
    </xf>
    <xf numFmtId="0" fontId="30" fillId="11" borderId="367" xfId="0" applyFont="1" applyFill="1" applyBorder="1" applyAlignment="1" applyProtection="1">
      <alignment horizontal="center"/>
      <protection locked="0"/>
    </xf>
    <xf numFmtId="0" fontId="30" fillId="0" borderId="367" xfId="0" applyFont="1" applyFill="1" applyBorder="1" applyAlignment="1" applyProtection="1">
      <alignment horizontal="center"/>
      <protection locked="0"/>
    </xf>
    <xf numFmtId="0" fontId="26" fillId="0" borderId="366" xfId="0" applyFont="1" applyFill="1" applyBorder="1" applyAlignment="1" applyProtection="1">
      <alignment horizontal="left" indent="6"/>
    </xf>
    <xf numFmtId="0" fontId="26" fillId="0" borderId="0" xfId="0" applyFont="1" applyFill="1" applyBorder="1" applyAlignment="1" applyProtection="1">
      <alignment horizontal="left" indent="6"/>
    </xf>
    <xf numFmtId="0" fontId="26" fillId="11" borderId="366" xfId="0" applyFont="1" applyFill="1" applyBorder="1" applyAlignment="1" applyProtection="1">
      <alignment horizontal="left" indent="6"/>
    </xf>
    <xf numFmtId="0" fontId="26" fillId="11" borderId="0" xfId="0" applyFont="1" applyFill="1" applyBorder="1" applyAlignment="1" applyProtection="1">
      <alignment horizontal="left" indent="6"/>
    </xf>
    <xf numFmtId="0" fontId="4" fillId="7" borderId="0" xfId="0" applyFont="1" applyFill="1" applyBorder="1" applyAlignment="1" applyProtection="1">
      <alignment horizontal="left" vertical="center"/>
    </xf>
    <xf numFmtId="0" fontId="26" fillId="11" borderId="368" xfId="0" applyFont="1" applyFill="1" applyBorder="1" applyAlignment="1" applyProtection="1">
      <alignment horizontal="left"/>
    </xf>
    <xf numFmtId="0" fontId="26" fillId="11" borderId="369" xfId="0" applyFont="1" applyFill="1" applyBorder="1" applyAlignment="1" applyProtection="1">
      <alignment horizontal="left"/>
    </xf>
    <xf numFmtId="0" fontId="26" fillId="11" borderId="366" xfId="0" applyFont="1" applyFill="1" applyBorder="1" applyAlignment="1" applyProtection="1">
      <alignment horizontal="left"/>
    </xf>
    <xf numFmtId="0" fontId="26" fillId="11" borderId="0" xfId="0" applyFont="1" applyFill="1" applyBorder="1" applyAlignment="1" applyProtection="1">
      <alignment horizontal="left"/>
    </xf>
    <xf numFmtId="0" fontId="26" fillId="0" borderId="366" xfId="0" applyFont="1" applyFill="1" applyBorder="1" applyAlignment="1" applyProtection="1">
      <alignment horizontal="left"/>
    </xf>
    <xf numFmtId="0" fontId="26" fillId="0" borderId="0" xfId="0" applyFont="1" applyFill="1" applyBorder="1" applyAlignment="1" applyProtection="1">
      <alignment horizontal="left"/>
    </xf>
    <xf numFmtId="10" fontId="30" fillId="0" borderId="366" xfId="2" applyNumberFormat="1" applyFont="1" applyFill="1" applyBorder="1" applyAlignment="1" applyProtection="1">
      <alignment horizontal="center"/>
      <protection locked="0"/>
    </xf>
    <xf numFmtId="10" fontId="30" fillId="0" borderId="0" xfId="2" applyNumberFormat="1" applyFont="1" applyFill="1" applyBorder="1" applyAlignment="1" applyProtection="1">
      <alignment horizontal="center"/>
      <protection locked="0"/>
    </xf>
    <xf numFmtId="10" fontId="30" fillId="0" borderId="450" xfId="2" applyNumberFormat="1" applyFont="1" applyFill="1" applyBorder="1" applyAlignment="1" applyProtection="1">
      <alignment horizontal="center"/>
      <protection locked="0"/>
    </xf>
    <xf numFmtId="10" fontId="30" fillId="11" borderId="366" xfId="2" applyNumberFormat="1" applyFont="1" applyFill="1" applyBorder="1" applyAlignment="1" applyProtection="1">
      <alignment horizontal="center"/>
      <protection locked="0"/>
    </xf>
    <xf numFmtId="10" fontId="30" fillId="11" borderId="0" xfId="2" applyNumberFormat="1" applyFont="1" applyFill="1" applyBorder="1" applyAlignment="1" applyProtection="1">
      <alignment horizontal="center"/>
      <protection locked="0"/>
    </xf>
    <xf numFmtId="10" fontId="30" fillId="11" borderId="450" xfId="2" applyNumberFormat="1" applyFont="1" applyFill="1" applyBorder="1" applyAlignment="1" applyProtection="1">
      <alignment horizontal="center"/>
      <protection locked="0"/>
    </xf>
    <xf numFmtId="10" fontId="30" fillId="11" borderId="368" xfId="2" applyNumberFormat="1" applyFont="1" applyFill="1" applyBorder="1" applyAlignment="1" applyProtection="1">
      <alignment horizontal="center"/>
      <protection locked="0"/>
    </xf>
    <xf numFmtId="10" fontId="30" fillId="11" borderId="369" xfId="2" applyNumberFormat="1" applyFont="1" applyFill="1" applyBorder="1" applyAlignment="1" applyProtection="1">
      <alignment horizontal="center"/>
      <protection locked="0"/>
    </xf>
    <xf numFmtId="10" fontId="30" fillId="11" borderId="452" xfId="2" applyNumberFormat="1" applyFont="1" applyFill="1" applyBorder="1" applyAlignment="1" applyProtection="1">
      <alignment horizontal="center"/>
      <protection locked="0"/>
    </xf>
    <xf numFmtId="0" fontId="44" fillId="0" borderId="416" xfId="0" applyFont="1" applyFill="1" applyBorder="1" applyAlignment="1" applyProtection="1">
      <alignment horizontal="left" vertical="center" wrapText="1"/>
      <protection locked="0"/>
    </xf>
    <xf numFmtId="0" fontId="44" fillId="0" borderId="72" xfId="0" applyFont="1" applyFill="1" applyBorder="1" applyAlignment="1" applyProtection="1">
      <alignment horizontal="left" vertical="center" wrapText="1"/>
      <protection locked="0"/>
    </xf>
    <xf numFmtId="0" fontId="44" fillId="0" borderId="417" xfId="0" applyFont="1" applyFill="1" applyBorder="1" applyAlignment="1" applyProtection="1">
      <alignment horizontal="left" vertical="center" wrapText="1"/>
      <protection locked="0"/>
    </xf>
    <xf numFmtId="0" fontId="26" fillId="0" borderId="451" xfId="0" applyFont="1" applyFill="1" applyBorder="1" applyAlignment="1" applyProtection="1">
      <alignment horizontal="center" vertical="center"/>
    </xf>
    <xf numFmtId="0" fontId="26" fillId="0" borderId="366" xfId="0" applyFont="1" applyFill="1" applyBorder="1" applyAlignment="1" applyProtection="1">
      <alignment horizontal="left" indent="4"/>
    </xf>
    <xf numFmtId="0" fontId="26" fillId="0" borderId="0" xfId="0" applyFont="1" applyFill="1" applyBorder="1" applyAlignment="1" applyProtection="1">
      <alignment horizontal="left" indent="4"/>
    </xf>
    <xf numFmtId="0" fontId="26" fillId="0" borderId="450" xfId="0" applyFont="1" applyFill="1" applyBorder="1" applyAlignment="1" applyProtection="1">
      <alignment horizontal="center" vertical="center"/>
    </xf>
    <xf numFmtId="0" fontId="36" fillId="0" borderId="121" xfId="6" applyFont="1" applyBorder="1" applyAlignment="1" applyProtection="1">
      <alignment horizontal="center" vertical="center" wrapText="1"/>
      <protection locked="0"/>
    </xf>
    <xf numFmtId="0" fontId="36" fillId="0" borderId="122" xfId="6" applyFont="1" applyBorder="1" applyAlignment="1" applyProtection="1">
      <alignment horizontal="center" vertical="center" wrapText="1"/>
      <protection locked="0"/>
    </xf>
    <xf numFmtId="0" fontId="26" fillId="0" borderId="369" xfId="0" applyFont="1" applyFill="1" applyBorder="1" applyAlignment="1" applyProtection="1">
      <alignment horizontal="center" vertical="center" wrapText="1"/>
    </xf>
    <xf numFmtId="0" fontId="24" fillId="0" borderId="81" xfId="0" applyFont="1" applyBorder="1" applyAlignment="1" applyProtection="1">
      <alignment horizontal="center" vertical="center"/>
    </xf>
    <xf numFmtId="0" fontId="24" fillId="0" borderId="82" xfId="0" applyFont="1" applyBorder="1" applyAlignment="1" applyProtection="1">
      <alignment horizontal="center" vertical="center"/>
    </xf>
    <xf numFmtId="0" fontId="24" fillId="0" borderId="83" xfId="0" applyFont="1" applyBorder="1" applyAlignment="1" applyProtection="1">
      <alignment horizontal="center" vertical="center"/>
    </xf>
    <xf numFmtId="0" fontId="25" fillId="2" borderId="72"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25" fillId="2" borderId="175" xfId="0" applyFont="1" applyFill="1" applyBorder="1" applyAlignment="1" applyProtection="1">
      <alignment horizontal="left" vertical="center" wrapText="1"/>
    </xf>
    <xf numFmtId="166" fontId="26" fillId="2" borderId="174" xfId="1" applyNumberFormat="1" applyFont="1" applyFill="1" applyBorder="1" applyAlignment="1" applyProtection="1">
      <alignment horizontal="left" vertical="center"/>
    </xf>
    <xf numFmtId="166" fontId="26" fillId="2" borderId="72" xfId="1" applyNumberFormat="1" applyFont="1" applyFill="1" applyBorder="1" applyAlignment="1" applyProtection="1">
      <alignment horizontal="left" vertical="center"/>
    </xf>
    <xf numFmtId="166" fontId="26" fillId="2" borderId="106" xfId="1" applyNumberFormat="1" applyFont="1" applyFill="1" applyBorder="1" applyAlignment="1" applyProtection="1">
      <alignment horizontal="left" vertical="center"/>
    </xf>
    <xf numFmtId="166" fontId="26" fillId="2" borderId="97" xfId="1" applyNumberFormat="1" applyFont="1" applyFill="1" applyBorder="1" applyAlignment="1" applyProtection="1">
      <alignment horizontal="left" vertical="center"/>
    </xf>
    <xf numFmtId="0" fontId="36" fillId="0" borderId="121" xfId="6" applyBorder="1" applyAlignment="1" applyProtection="1">
      <alignment horizontal="center" vertical="center" wrapText="1"/>
      <protection locked="0"/>
    </xf>
    <xf numFmtId="0" fontId="36" fillId="0" borderId="122" xfId="6" applyBorder="1" applyAlignment="1" applyProtection="1">
      <alignment horizontal="center" vertical="center" wrapText="1"/>
      <protection locked="0"/>
    </xf>
    <xf numFmtId="0" fontId="36" fillId="0" borderId="481" xfId="6" applyBorder="1" applyAlignment="1" applyProtection="1">
      <alignment horizontal="center" vertical="center" wrapText="1"/>
      <protection locked="0"/>
    </xf>
    <xf numFmtId="0" fontId="36" fillId="0" borderId="172" xfId="6" applyBorder="1" applyAlignment="1" applyProtection="1">
      <alignment horizontal="center" vertical="center" wrapText="1"/>
      <protection locked="0"/>
    </xf>
    <xf numFmtId="0" fontId="36" fillId="0" borderId="0" xfId="6" applyBorder="1" applyAlignment="1" applyProtection="1">
      <alignment horizontal="center" vertical="center" wrapText="1"/>
      <protection locked="0"/>
    </xf>
    <xf numFmtId="0" fontId="36" fillId="0" borderId="482" xfId="6" applyBorder="1" applyAlignment="1" applyProtection="1">
      <alignment horizontal="center" vertical="center" wrapText="1"/>
      <protection locked="0"/>
    </xf>
    <xf numFmtId="166" fontId="26" fillId="2" borderId="2" xfId="1" applyNumberFormat="1" applyFont="1" applyFill="1" applyBorder="1" applyAlignment="1" applyProtection="1">
      <alignment horizontal="left" vertical="center"/>
    </xf>
    <xf numFmtId="166" fontId="26" fillId="2" borderId="78" xfId="1" applyNumberFormat="1" applyFont="1" applyFill="1" applyBorder="1" applyAlignment="1" applyProtection="1">
      <alignment horizontal="left" vertical="center"/>
    </xf>
    <xf numFmtId="0" fontId="25" fillId="2" borderId="0" xfId="0" applyFont="1" applyFill="1" applyBorder="1" applyAlignment="1" applyProtection="1">
      <alignment horizontal="left" vertical="center" wrapText="1" indent="1"/>
    </xf>
    <xf numFmtId="0" fontId="25" fillId="2" borderId="79" xfId="0" applyFont="1" applyFill="1" applyBorder="1" applyAlignment="1" applyProtection="1">
      <alignment horizontal="left" vertical="center" wrapText="1" indent="1"/>
    </xf>
    <xf numFmtId="166" fontId="26" fillId="2" borderId="71" xfId="1" applyNumberFormat="1" applyFont="1" applyFill="1" applyBorder="1" applyAlignment="1" applyProtection="1">
      <alignment horizontal="left" vertical="center"/>
    </xf>
    <xf numFmtId="166" fontId="26" fillId="2" borderId="3" xfId="1" applyNumberFormat="1" applyFont="1" applyFill="1" applyBorder="1" applyAlignment="1" applyProtection="1">
      <alignment horizontal="left" vertical="center"/>
    </xf>
    <xf numFmtId="0" fontId="25" fillId="2" borderId="45" xfId="0" applyFont="1" applyFill="1" applyBorder="1" applyAlignment="1" applyProtection="1">
      <alignment horizontal="left" vertical="center" wrapText="1"/>
    </xf>
    <xf numFmtId="0" fontId="25" fillId="2" borderId="187"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166" fontId="26" fillId="2" borderId="49" xfId="1" applyNumberFormat="1" applyFont="1" applyFill="1" applyBorder="1" applyAlignment="1" applyProtection="1">
      <alignment horizontal="left" vertical="center"/>
    </xf>
    <xf numFmtId="166" fontId="26" fillId="2" borderId="0" xfId="1" applyNumberFormat="1" applyFont="1" applyFill="1" applyBorder="1" applyAlignment="1" applyProtection="1">
      <alignment horizontal="left" vertical="center"/>
    </xf>
    <xf numFmtId="166" fontId="26" fillId="2" borderId="188" xfId="1" applyNumberFormat="1" applyFont="1" applyFill="1" applyBorder="1" applyAlignment="1" applyProtection="1">
      <alignment horizontal="left" vertical="center"/>
    </xf>
    <xf numFmtId="166" fontId="26" fillId="2" borderId="79" xfId="1" applyNumberFormat="1" applyFont="1" applyFill="1" applyBorder="1" applyAlignment="1" applyProtection="1">
      <alignment horizontal="left" vertical="center"/>
    </xf>
    <xf numFmtId="0" fontId="25" fillId="2" borderId="72" xfId="0" applyFont="1" applyFill="1" applyBorder="1" applyAlignment="1" applyProtection="1">
      <alignment horizontal="left" vertical="center" wrapText="1" indent="1"/>
    </xf>
    <xf numFmtId="0" fontId="25" fillId="2" borderId="2" xfId="0" applyFont="1" applyFill="1" applyBorder="1" applyAlignment="1" applyProtection="1">
      <alignment horizontal="left" vertical="center" wrapText="1" indent="1"/>
    </xf>
    <xf numFmtId="0" fontId="16" fillId="0" borderId="363" xfId="0" applyFont="1" applyFill="1" applyBorder="1" applyAlignment="1" applyProtection="1">
      <alignment horizontal="center"/>
    </xf>
    <xf numFmtId="0" fontId="16" fillId="0" borderId="364" xfId="0" applyFont="1" applyFill="1" applyBorder="1" applyAlignment="1" applyProtection="1">
      <alignment horizontal="center"/>
    </xf>
    <xf numFmtId="0" fontId="16" fillId="0" borderId="366" xfId="0" applyFont="1" applyFill="1" applyBorder="1" applyAlignment="1" applyProtection="1">
      <alignment horizontal="center"/>
    </xf>
    <xf numFmtId="0" fontId="26" fillId="0" borderId="366" xfId="0" applyFont="1" applyFill="1" applyBorder="1" applyAlignment="1" applyProtection="1">
      <alignment horizontal="left" indent="2"/>
    </xf>
    <xf numFmtId="0" fontId="26" fillId="0" borderId="0" xfId="0" applyFont="1" applyFill="1" applyBorder="1" applyAlignment="1" applyProtection="1">
      <alignment horizontal="left" indent="2"/>
    </xf>
    <xf numFmtId="0" fontId="26" fillId="11" borderId="366" xfId="0" applyFont="1" applyFill="1" applyBorder="1" applyAlignment="1" applyProtection="1">
      <alignment horizontal="left" indent="4"/>
    </xf>
    <xf numFmtId="0" fontId="26" fillId="11" borderId="0" xfId="0" applyFont="1" applyFill="1" applyBorder="1" applyAlignment="1" applyProtection="1">
      <alignment horizontal="left" indent="4"/>
    </xf>
    <xf numFmtId="0" fontId="26" fillId="11" borderId="366" xfId="0" applyFont="1" applyFill="1" applyBorder="1" applyAlignment="1" applyProtection="1">
      <alignment horizontal="left" indent="2"/>
    </xf>
    <xf numFmtId="0" fontId="26" fillId="11" borderId="0" xfId="0" applyFont="1" applyFill="1" applyBorder="1" applyAlignment="1" applyProtection="1">
      <alignment horizontal="left" indent="2"/>
    </xf>
    <xf numFmtId="10" fontId="30" fillId="11" borderId="363" xfId="2" applyNumberFormat="1" applyFont="1" applyFill="1" applyBorder="1" applyAlignment="1" applyProtection="1">
      <alignment horizontal="center"/>
      <protection locked="0"/>
    </xf>
    <xf numFmtId="10" fontId="30" fillId="11" borderId="364" xfId="2" applyNumberFormat="1" applyFont="1" applyFill="1" applyBorder="1" applyAlignment="1" applyProtection="1">
      <alignment horizontal="center"/>
      <protection locked="0"/>
    </xf>
    <xf numFmtId="10" fontId="30" fillId="11" borderId="365" xfId="2" applyNumberFormat="1" applyFont="1" applyFill="1" applyBorder="1" applyAlignment="1" applyProtection="1">
      <alignment horizontal="center"/>
      <protection locked="0"/>
    </xf>
    <xf numFmtId="10" fontId="30" fillId="0" borderId="367" xfId="2" applyNumberFormat="1" applyFont="1" applyFill="1" applyBorder="1" applyAlignment="1" applyProtection="1">
      <alignment horizontal="center"/>
      <protection locked="0"/>
    </xf>
    <xf numFmtId="0" fontId="4" fillId="7" borderId="454" xfId="0" applyFont="1" applyFill="1" applyBorder="1" applyAlignment="1" applyProtection="1">
      <alignment horizontal="left" vertical="center"/>
    </xf>
    <xf numFmtId="0" fontId="4" fillId="7" borderId="455" xfId="0" applyFont="1" applyFill="1" applyBorder="1" applyAlignment="1" applyProtection="1">
      <alignment horizontal="left" vertical="center"/>
    </xf>
    <xf numFmtId="0" fontId="4" fillId="7" borderId="369" xfId="0" applyFont="1" applyFill="1" applyBorder="1" applyAlignment="1" applyProtection="1">
      <alignment horizontal="left" vertical="center"/>
    </xf>
    <xf numFmtId="0" fontId="4" fillId="7" borderId="452" xfId="0" applyFont="1" applyFill="1" applyBorder="1" applyAlignment="1" applyProtection="1">
      <alignment horizontal="left" vertical="center"/>
    </xf>
    <xf numFmtId="10" fontId="30" fillId="11" borderId="370" xfId="2" applyNumberFormat="1" applyFont="1" applyFill="1" applyBorder="1" applyAlignment="1" applyProtection="1">
      <alignment horizontal="center"/>
      <protection locked="0"/>
    </xf>
    <xf numFmtId="0" fontId="44" fillId="0" borderId="453" xfId="0" applyFont="1" applyFill="1" applyBorder="1" applyAlignment="1" applyProtection="1">
      <alignment horizontal="left" vertical="center" wrapText="1"/>
      <protection locked="0"/>
    </xf>
    <xf numFmtId="0" fontId="26" fillId="0" borderId="386" xfId="0" applyFont="1" applyFill="1" applyBorder="1" applyAlignment="1" applyProtection="1">
      <alignment horizontal="left" vertical="center" wrapText="1" indent="3"/>
    </xf>
    <xf numFmtId="0" fontId="26" fillId="0" borderId="381" xfId="0" applyFont="1" applyFill="1" applyBorder="1" applyAlignment="1" applyProtection="1">
      <alignment horizontal="left" vertical="center" wrapText="1" indent="3"/>
    </xf>
    <xf numFmtId="0" fontId="26" fillId="0" borderId="385" xfId="0" applyFont="1" applyFill="1" applyBorder="1" applyAlignment="1" applyProtection="1">
      <alignment horizontal="left" vertical="center" wrapText="1" indent="3"/>
    </xf>
    <xf numFmtId="0" fontId="26" fillId="0" borderId="383" xfId="0" applyFont="1" applyFill="1" applyBorder="1" applyAlignment="1" applyProtection="1">
      <alignment horizontal="left" vertical="center" wrapText="1" indent="3"/>
    </xf>
    <xf numFmtId="0" fontId="26" fillId="0" borderId="353" xfId="0" applyFont="1" applyFill="1" applyBorder="1" applyAlignment="1" applyProtection="1">
      <alignment horizontal="left" vertical="center" wrapText="1" indent="3"/>
    </xf>
    <xf numFmtId="0" fontId="26" fillId="0" borderId="456" xfId="0" applyFont="1" applyFill="1" applyBorder="1" applyAlignment="1" applyProtection="1">
      <alignment horizontal="left" vertical="center" wrapText="1" indent="3"/>
    </xf>
    <xf numFmtId="0" fontId="26" fillId="0" borderId="378" xfId="0" applyFont="1" applyFill="1" applyBorder="1" applyAlignment="1" applyProtection="1">
      <alignment horizontal="center" vertical="center"/>
    </xf>
    <xf numFmtId="0" fontId="26" fillId="0" borderId="352" xfId="0" applyFont="1" applyFill="1" applyBorder="1" applyAlignment="1" applyProtection="1">
      <alignment horizontal="center" vertical="center"/>
    </xf>
    <xf numFmtId="0" fontId="26" fillId="0" borderId="354" xfId="0" applyFont="1" applyFill="1" applyBorder="1" applyAlignment="1" applyProtection="1">
      <alignment horizontal="center" vertical="center"/>
    </xf>
    <xf numFmtId="0" fontId="26" fillId="0" borderId="377" xfId="0" applyFont="1" applyFill="1" applyBorder="1" applyAlignment="1" applyProtection="1">
      <alignment horizontal="center" vertical="center"/>
    </xf>
    <xf numFmtId="0" fontId="26" fillId="0" borderId="76" xfId="0" applyFont="1" applyFill="1" applyBorder="1" applyAlignment="1" applyProtection="1">
      <alignment horizontal="center" vertical="center"/>
    </xf>
    <xf numFmtId="168" fontId="30" fillId="11" borderId="176" xfId="5" applyNumberFormat="1" applyFont="1" applyFill="1" applyBorder="1" applyAlignment="1" applyProtection="1">
      <alignment horizontal="center"/>
      <protection locked="0"/>
    </xf>
    <xf numFmtId="168" fontId="30" fillId="0" borderId="367" xfId="5" applyNumberFormat="1" applyFont="1" applyFill="1" applyBorder="1" applyAlignment="1" applyProtection="1">
      <alignment horizontal="center"/>
      <protection locked="0"/>
    </xf>
    <xf numFmtId="0" fontId="26" fillId="0" borderId="384" xfId="0" applyFont="1" applyFill="1" applyBorder="1" applyAlignment="1" applyProtection="1">
      <alignment horizontal="left" vertical="center" wrapText="1" indent="3"/>
    </xf>
    <xf numFmtId="10" fontId="30" fillId="0" borderId="176" xfId="2" applyNumberFormat="1" applyFont="1" applyFill="1" applyBorder="1" applyAlignment="1" applyProtection="1">
      <alignment vertical="center" wrapText="1"/>
      <protection locked="0"/>
    </xf>
    <xf numFmtId="0" fontId="25" fillId="0" borderId="176" xfId="0" applyFont="1" applyFill="1" applyBorder="1" applyAlignment="1" applyProtection="1">
      <alignment horizontal="center" vertical="center"/>
      <protection locked="0"/>
    </xf>
    <xf numFmtId="0" fontId="47" fillId="11" borderId="461" xfId="0" applyFont="1" applyFill="1" applyBorder="1" applyAlignment="1" applyProtection="1">
      <alignment horizontal="center" vertical="center"/>
      <protection locked="0"/>
    </xf>
    <xf numFmtId="0" fontId="26" fillId="0" borderId="374" xfId="0" applyFont="1" applyFill="1" applyBorder="1" applyAlignment="1" applyProtection="1">
      <alignment horizontal="left" vertical="center"/>
      <protection locked="0"/>
    </xf>
    <xf numFmtId="0" fontId="26" fillId="0" borderId="376" xfId="0" applyFont="1" applyFill="1" applyBorder="1" applyAlignment="1" applyProtection="1">
      <alignment horizontal="left" vertical="center"/>
      <protection locked="0"/>
    </xf>
    <xf numFmtId="0" fontId="26" fillId="11" borderId="376" xfId="0" applyFont="1" applyFill="1" applyBorder="1" applyAlignment="1" applyProtection="1">
      <alignment horizontal="left" vertical="center"/>
      <protection locked="0"/>
    </xf>
    <xf numFmtId="0" fontId="26" fillId="11" borderId="372" xfId="0" applyFont="1" applyFill="1" applyBorder="1" applyAlignment="1" applyProtection="1">
      <alignment horizontal="left" vertical="center"/>
      <protection locked="0"/>
    </xf>
    <xf numFmtId="0" fontId="26" fillId="0" borderId="385" xfId="0" applyFont="1" applyFill="1" applyBorder="1" applyAlignment="1" applyProtection="1">
      <alignment horizontal="left" vertical="center"/>
    </xf>
    <xf numFmtId="0" fontId="26" fillId="0" borderId="384" xfId="0" applyFont="1" applyFill="1" applyBorder="1" applyAlignment="1" applyProtection="1">
      <alignment horizontal="left" vertical="center"/>
    </xf>
    <xf numFmtId="0" fontId="26" fillId="0" borderId="352"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4" fillId="0" borderId="76" xfId="0" applyFont="1" applyFill="1" applyBorder="1" applyAlignment="1" applyProtection="1">
      <alignment horizontal="center" vertical="center"/>
    </xf>
    <xf numFmtId="0" fontId="26" fillId="11" borderId="111" xfId="0" applyFont="1" applyFill="1" applyBorder="1" applyAlignment="1" applyProtection="1">
      <alignment horizontal="left" vertical="center"/>
    </xf>
    <xf numFmtId="0" fontId="26" fillId="11" borderId="72" xfId="0" applyFont="1" applyFill="1" applyBorder="1" applyAlignment="1" applyProtection="1">
      <alignment horizontal="left" vertical="center"/>
    </xf>
    <xf numFmtId="10" fontId="3" fillId="0" borderId="378" xfId="2" applyNumberFormat="1" applyFont="1" applyFill="1" applyBorder="1" applyAlignment="1" applyProtection="1">
      <alignment horizontal="center" vertical="center"/>
      <protection locked="0"/>
    </xf>
    <xf numFmtId="10" fontId="3" fillId="0" borderId="352" xfId="2" applyNumberFormat="1" applyFont="1" applyFill="1" applyBorder="1" applyAlignment="1" applyProtection="1">
      <alignment horizontal="center" vertical="center"/>
      <protection locked="0"/>
    </xf>
    <xf numFmtId="10" fontId="3" fillId="0" borderId="354" xfId="2" applyNumberFormat="1" applyFont="1" applyFill="1" applyBorder="1" applyAlignment="1" applyProtection="1">
      <alignment horizontal="center" vertical="center"/>
      <protection locked="0"/>
    </xf>
    <xf numFmtId="10" fontId="3" fillId="11" borderId="377" xfId="2" applyNumberFormat="1" applyFont="1" applyFill="1" applyBorder="1" applyAlignment="1" applyProtection="1">
      <alignment horizontal="center" vertical="center"/>
      <protection locked="0"/>
    </xf>
    <xf numFmtId="10" fontId="3" fillId="11" borderId="0" xfId="2" applyNumberFormat="1" applyFont="1" applyFill="1" applyBorder="1" applyAlignment="1" applyProtection="1">
      <alignment horizontal="center" vertical="center"/>
      <protection locked="0"/>
    </xf>
    <xf numFmtId="10" fontId="3" fillId="11" borderId="76" xfId="2" applyNumberFormat="1" applyFont="1" applyFill="1" applyBorder="1" applyAlignment="1" applyProtection="1">
      <alignment horizontal="center" vertical="center"/>
      <protection locked="0"/>
    </xf>
    <xf numFmtId="10" fontId="3" fillId="0" borderId="377" xfId="2" applyNumberFormat="1" applyFont="1" applyFill="1" applyBorder="1" applyAlignment="1" applyProtection="1">
      <alignment horizontal="center" vertical="center"/>
      <protection locked="0"/>
    </xf>
    <xf numFmtId="10" fontId="3" fillId="0" borderId="0" xfId="2" applyNumberFormat="1" applyFont="1" applyFill="1" applyBorder="1" applyAlignment="1" applyProtection="1">
      <alignment horizontal="center" vertical="center"/>
      <protection locked="0"/>
    </xf>
    <xf numFmtId="10" fontId="3" fillId="0" borderId="76" xfId="2" applyNumberFormat="1" applyFont="1" applyFill="1" applyBorder="1" applyAlignment="1" applyProtection="1">
      <alignment horizontal="center" vertical="center"/>
      <protection locked="0"/>
    </xf>
    <xf numFmtId="10" fontId="3" fillId="11" borderId="421" xfId="2" applyNumberFormat="1" applyFont="1" applyFill="1" applyBorder="1" applyAlignment="1" applyProtection="1">
      <alignment horizontal="center" vertical="center"/>
      <protection locked="0"/>
    </xf>
    <xf numFmtId="10" fontId="3" fillId="11" borderId="422" xfId="2" applyNumberFormat="1" applyFont="1" applyFill="1" applyBorder="1" applyAlignment="1" applyProtection="1">
      <alignment horizontal="center" vertical="center"/>
      <protection locked="0"/>
    </xf>
    <xf numFmtId="10" fontId="3" fillId="11" borderId="423" xfId="2" applyNumberFormat="1" applyFont="1" applyFill="1" applyBorder="1" applyAlignment="1" applyProtection="1">
      <alignment horizontal="center" vertical="center"/>
      <protection locked="0"/>
    </xf>
    <xf numFmtId="10" fontId="3" fillId="11" borderId="379" xfId="2" applyNumberFormat="1" applyFont="1" applyFill="1" applyBorder="1" applyAlignment="1" applyProtection="1">
      <alignment horizontal="center" vertical="center"/>
      <protection locked="0"/>
    </xf>
    <xf numFmtId="10" fontId="3" fillId="11" borderId="380" xfId="2" applyNumberFormat="1" applyFont="1" applyFill="1" applyBorder="1" applyAlignment="1" applyProtection="1">
      <alignment horizontal="center" vertical="center"/>
      <protection locked="0"/>
    </xf>
    <xf numFmtId="10" fontId="3" fillId="11" borderId="382" xfId="2" applyNumberFormat="1" applyFont="1" applyFill="1" applyBorder="1" applyAlignment="1" applyProtection="1">
      <alignment horizontal="center" vertical="center"/>
      <protection locked="0"/>
    </xf>
    <xf numFmtId="0" fontId="83" fillId="4" borderId="337" xfId="0" applyFont="1" applyFill="1" applyBorder="1" applyAlignment="1" applyProtection="1">
      <alignment horizontal="center" vertical="center"/>
    </xf>
    <xf numFmtId="0" fontId="84" fillId="4" borderId="337" xfId="0" applyFont="1" applyFill="1" applyBorder="1" applyAlignment="1" applyProtection="1">
      <alignment horizontal="center" vertical="center"/>
    </xf>
    <xf numFmtId="0" fontId="17" fillId="10" borderId="267" xfId="0" applyFont="1" applyFill="1" applyBorder="1" applyAlignment="1" applyProtection="1">
      <alignment horizontal="left" vertical="center"/>
      <protection locked="0"/>
    </xf>
    <xf numFmtId="0" fontId="17" fillId="10" borderId="0" xfId="0" applyFont="1" applyFill="1" applyBorder="1" applyAlignment="1" applyProtection="1">
      <alignment horizontal="left" vertical="center"/>
      <protection locked="0"/>
    </xf>
    <xf numFmtId="0" fontId="17" fillId="10" borderId="268" xfId="0" applyFont="1" applyFill="1" applyBorder="1" applyAlignment="1" applyProtection="1">
      <alignment horizontal="left" vertical="center"/>
      <protection locked="0"/>
    </xf>
    <xf numFmtId="0" fontId="17" fillId="0" borderId="267" xfId="0" applyFont="1" applyFill="1" applyBorder="1" applyAlignment="1" applyProtection="1">
      <alignment horizontal="left" vertical="center"/>
      <protection locked="0"/>
    </xf>
    <xf numFmtId="0" fontId="17" fillId="0" borderId="268" xfId="0" applyFont="1" applyFill="1" applyBorder="1" applyAlignment="1" applyProtection="1">
      <alignment horizontal="left" vertical="center"/>
      <protection locked="0"/>
    </xf>
    <xf numFmtId="0" fontId="0" fillId="4" borderId="0" xfId="0" applyFill="1" applyAlignment="1" applyProtection="1">
      <alignment horizontal="left" vertical="top"/>
      <protection locked="0"/>
    </xf>
    <xf numFmtId="0" fontId="0" fillId="4" borderId="268"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268" xfId="0" applyFill="1" applyBorder="1" applyAlignment="1" applyProtection="1">
      <alignment horizontal="left" vertical="top"/>
      <protection locked="0"/>
    </xf>
    <xf numFmtId="0" fontId="36" fillId="0" borderId="173" xfId="6" applyBorder="1" applyAlignment="1" applyProtection="1">
      <alignment horizontal="center" vertical="center" wrapText="1"/>
      <protection locked="0"/>
    </xf>
    <xf numFmtId="0" fontId="31" fillId="7" borderId="111" xfId="0" applyFont="1" applyFill="1" applyBorder="1" applyAlignment="1" applyProtection="1">
      <alignment horizontal="center" vertical="center"/>
    </xf>
    <xf numFmtId="0" fontId="31" fillId="7" borderId="112" xfId="0" applyFont="1" applyFill="1" applyBorder="1" applyAlignment="1" applyProtection="1">
      <alignment horizontal="center" vertical="center"/>
    </xf>
    <xf numFmtId="0" fontId="0" fillId="4" borderId="265" xfId="0" applyFill="1" applyBorder="1" applyAlignment="1" applyProtection="1">
      <alignment horizontal="left" vertical="top"/>
      <protection locked="0"/>
    </xf>
    <xf numFmtId="0" fontId="0" fillId="4" borderId="266" xfId="0" applyFill="1" applyBorder="1" applyAlignment="1" applyProtection="1">
      <alignment horizontal="left" vertical="top"/>
      <protection locked="0"/>
    </xf>
    <xf numFmtId="0" fontId="35" fillId="0" borderId="72" xfId="0" applyFont="1" applyBorder="1" applyAlignment="1" applyProtection="1">
      <alignment horizontal="center" vertical="center"/>
    </xf>
    <xf numFmtId="0" fontId="35" fillId="0" borderId="74" xfId="0" applyFont="1" applyBorder="1" applyAlignment="1" applyProtection="1">
      <alignment horizontal="center" vertical="center"/>
    </xf>
    <xf numFmtId="0" fontId="35" fillId="0" borderId="262" xfId="0" applyFont="1" applyBorder="1" applyAlignment="1" applyProtection="1">
      <alignment horizontal="center" vertical="center"/>
    </xf>
    <xf numFmtId="0" fontId="35" fillId="0" borderId="0" xfId="0" applyFont="1" applyBorder="1" applyAlignment="1" applyProtection="1">
      <alignment horizontal="center" vertical="center"/>
    </xf>
    <xf numFmtId="0" fontId="35" fillId="0" borderId="261" xfId="0" applyFont="1" applyBorder="1" applyAlignment="1" applyProtection="1">
      <alignment horizontal="center" vertical="center"/>
    </xf>
    <xf numFmtId="0" fontId="35" fillId="0" borderId="263" xfId="0" applyFont="1" applyBorder="1" applyAlignment="1" applyProtection="1">
      <alignment horizontal="center" vertical="center"/>
    </xf>
    <xf numFmtId="0" fontId="35" fillId="0" borderId="267" xfId="0" applyFont="1" applyBorder="1" applyAlignment="1" applyProtection="1">
      <alignment horizontal="center" vertical="center"/>
    </xf>
    <xf numFmtId="0" fontId="35" fillId="0" borderId="268" xfId="0" applyFont="1" applyBorder="1" applyAlignment="1" applyProtection="1">
      <alignment horizontal="center" vertical="center"/>
    </xf>
    <xf numFmtId="0" fontId="35" fillId="0" borderId="261" xfId="0" applyFont="1" applyBorder="1" applyAlignment="1" applyProtection="1">
      <alignment horizontal="center" vertical="center" wrapText="1"/>
    </xf>
    <xf numFmtId="0" fontId="35" fillId="0" borderId="262" xfId="0" applyFont="1" applyBorder="1" applyAlignment="1" applyProtection="1">
      <alignment horizontal="center" vertical="center" wrapText="1"/>
    </xf>
    <xf numFmtId="0" fontId="35" fillId="0" borderId="263" xfId="0" applyFont="1" applyBorder="1" applyAlignment="1" applyProtection="1">
      <alignment horizontal="center" vertical="center" wrapText="1"/>
    </xf>
    <xf numFmtId="0" fontId="35" fillId="0" borderId="264" xfId="0" applyFont="1" applyBorder="1" applyAlignment="1" applyProtection="1">
      <alignment horizontal="center" vertical="center" wrapText="1"/>
    </xf>
    <xf numFmtId="0" fontId="35" fillId="0" borderId="265" xfId="0" applyFont="1" applyBorder="1" applyAlignment="1" applyProtection="1">
      <alignment horizontal="center" vertical="center" wrapText="1"/>
    </xf>
    <xf numFmtId="0" fontId="35" fillId="0" borderId="266" xfId="0" applyFont="1" applyBorder="1" applyAlignment="1" applyProtection="1">
      <alignment horizontal="center" vertical="center" wrapText="1"/>
    </xf>
    <xf numFmtId="0" fontId="35" fillId="4" borderId="263" xfId="0" applyFont="1" applyFill="1" applyBorder="1" applyAlignment="1" applyProtection="1">
      <alignment horizontal="center" vertical="center"/>
    </xf>
    <xf numFmtId="0" fontId="35" fillId="4" borderId="268" xfId="0" applyFont="1" applyFill="1" applyBorder="1" applyAlignment="1" applyProtection="1">
      <alignment horizontal="center" vertical="center"/>
    </xf>
    <xf numFmtId="0" fontId="26" fillId="0" borderId="255" xfId="0" applyFont="1" applyBorder="1" applyAlignment="1" applyProtection="1">
      <alignment horizontal="center" vertical="center"/>
    </xf>
    <xf numFmtId="0" fontId="26" fillId="0" borderId="256" xfId="0" applyFont="1" applyBorder="1" applyAlignment="1" applyProtection="1">
      <alignment horizontal="center" vertical="center"/>
    </xf>
    <xf numFmtId="0" fontId="26" fillId="0" borderId="257" xfId="0" applyFont="1" applyBorder="1" applyAlignment="1" applyProtection="1">
      <alignment horizontal="center" vertical="center"/>
    </xf>
    <xf numFmtId="0" fontId="17" fillId="10" borderId="261" xfId="0" applyFont="1" applyFill="1" applyBorder="1" applyAlignment="1" applyProtection="1">
      <alignment horizontal="left" vertical="center"/>
      <protection locked="0"/>
    </xf>
    <xf numFmtId="0" fontId="17" fillId="10" borderId="262" xfId="0" applyFont="1" applyFill="1" applyBorder="1" applyAlignment="1" applyProtection="1">
      <alignment horizontal="left" vertical="center"/>
      <protection locked="0"/>
    </xf>
    <xf numFmtId="0" fontId="17" fillId="10" borderId="263" xfId="0" applyFont="1" applyFill="1" applyBorder="1" applyAlignment="1" applyProtection="1">
      <alignment horizontal="left" vertical="center"/>
      <protection locked="0"/>
    </xf>
    <xf numFmtId="0" fontId="27" fillId="7" borderId="72" xfId="0" applyFont="1" applyFill="1" applyBorder="1" applyAlignment="1" applyProtection="1">
      <alignment horizontal="center" vertical="center"/>
    </xf>
    <xf numFmtId="0" fontId="27" fillId="7" borderId="79" xfId="0" applyFont="1" applyFill="1" applyBorder="1" applyAlignment="1" applyProtection="1">
      <alignment horizontal="center" vertical="center"/>
    </xf>
    <xf numFmtId="0" fontId="4" fillId="7" borderId="300" xfId="0" applyFont="1" applyFill="1" applyBorder="1" applyAlignment="1" applyProtection="1">
      <alignment horizontal="left" vertical="center"/>
    </xf>
    <xf numFmtId="0" fontId="4" fillId="7" borderId="301" xfId="0" applyFont="1" applyFill="1" applyBorder="1" applyAlignment="1" applyProtection="1">
      <alignment horizontal="left" vertical="center"/>
    </xf>
    <xf numFmtId="0" fontId="4" fillId="33" borderId="302" xfId="0" applyFont="1" applyFill="1" applyBorder="1" applyAlignment="1" applyProtection="1">
      <alignment horizontal="left" vertical="center"/>
    </xf>
    <xf numFmtId="0" fontId="4" fillId="33" borderId="303" xfId="0" applyFont="1" applyFill="1" applyBorder="1" applyAlignment="1" applyProtection="1">
      <alignment horizontal="left" vertical="center"/>
    </xf>
    <xf numFmtId="0" fontId="26" fillId="2" borderId="182" xfId="1" applyNumberFormat="1" applyFont="1" applyFill="1" applyBorder="1" applyAlignment="1" applyProtection="1">
      <alignment vertical="center"/>
    </xf>
    <xf numFmtId="0" fontId="26" fillId="2" borderId="189" xfId="1" applyNumberFormat="1" applyFont="1" applyFill="1" applyBorder="1" applyAlignment="1" applyProtection="1">
      <alignment vertical="center"/>
    </xf>
    <xf numFmtId="0" fontId="26" fillId="2" borderId="72" xfId="1" applyNumberFormat="1" applyFont="1" applyFill="1" applyBorder="1" applyAlignment="1" applyProtection="1">
      <alignment horizontal="left" vertical="center"/>
    </xf>
    <xf numFmtId="0" fontId="26" fillId="2" borderId="0" xfId="1" applyNumberFormat="1"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26" fillId="2" borderId="2" xfId="1" applyNumberFormat="1" applyFont="1" applyFill="1" applyBorder="1" applyAlignment="1" applyProtection="1">
      <alignment horizontal="left" vertical="center"/>
    </xf>
    <xf numFmtId="0" fontId="26" fillId="2" borderId="78" xfId="1" applyNumberFormat="1" applyFont="1" applyFill="1" applyBorder="1" applyAlignment="1" applyProtection="1">
      <alignment horizontal="left" vertical="center"/>
    </xf>
    <xf numFmtId="0" fontId="26" fillId="2" borderId="71" xfId="1" applyNumberFormat="1" applyFont="1" applyFill="1" applyBorder="1" applyAlignment="1" applyProtection="1">
      <alignment horizontal="left" vertical="center"/>
    </xf>
    <xf numFmtId="0" fontId="26" fillId="2" borderId="3" xfId="1" applyNumberFormat="1" applyFont="1" applyFill="1" applyBorder="1" applyAlignment="1" applyProtection="1">
      <alignment horizontal="left" vertical="center"/>
    </xf>
    <xf numFmtId="0" fontId="25" fillId="2" borderId="2" xfId="0" applyFont="1" applyFill="1" applyBorder="1" applyAlignment="1" applyProtection="1">
      <alignment horizontal="left" vertical="center" wrapText="1"/>
    </xf>
    <xf numFmtId="0" fontId="17" fillId="0" borderId="264" xfId="0" applyFont="1" applyFill="1" applyBorder="1" applyAlignment="1" applyProtection="1">
      <alignment horizontal="left" vertical="center"/>
      <protection locked="0"/>
    </xf>
    <xf numFmtId="0" fontId="17" fillId="0" borderId="265" xfId="0" applyFont="1" applyFill="1" applyBorder="1" applyAlignment="1" applyProtection="1">
      <alignment horizontal="left" vertical="center"/>
      <protection locked="0"/>
    </xf>
    <xf numFmtId="0" fontId="17" fillId="0" borderId="266" xfId="0" applyFont="1" applyFill="1" applyBorder="1" applyAlignment="1" applyProtection="1">
      <alignment horizontal="left" vertical="center"/>
      <protection locked="0"/>
    </xf>
    <xf numFmtId="0" fontId="26" fillId="0" borderId="261" xfId="0" applyFont="1" applyBorder="1" applyAlignment="1" applyProtection="1">
      <alignment horizontal="center" vertical="center"/>
    </xf>
    <xf numFmtId="0" fontId="26" fillId="0" borderId="262" xfId="0" applyFont="1" applyBorder="1" applyAlignment="1" applyProtection="1">
      <alignment horizontal="center" vertical="center"/>
    </xf>
    <xf numFmtId="0" fontId="26" fillId="0" borderId="263" xfId="0" applyFont="1" applyBorder="1" applyAlignment="1" applyProtection="1">
      <alignment horizontal="center" vertical="center"/>
    </xf>
    <xf numFmtId="0" fontId="17" fillId="10" borderId="264" xfId="0" applyFont="1" applyFill="1" applyBorder="1" applyAlignment="1" applyProtection="1">
      <alignment horizontal="left" vertical="center"/>
      <protection locked="0"/>
    </xf>
    <xf numFmtId="0" fontId="17" fillId="10" borderId="265" xfId="0" applyFont="1" applyFill="1" applyBorder="1" applyAlignment="1" applyProtection="1">
      <alignment horizontal="left" vertical="center"/>
      <protection locked="0"/>
    </xf>
    <xf numFmtId="0" fontId="17" fillId="10" borderId="266" xfId="0" applyFont="1" applyFill="1" applyBorder="1" applyAlignment="1" applyProtection="1">
      <alignment horizontal="left" vertical="center"/>
      <protection locked="0"/>
    </xf>
    <xf numFmtId="0" fontId="4" fillId="33" borderId="300" xfId="0" applyFont="1" applyFill="1" applyBorder="1" applyAlignment="1" applyProtection="1">
      <alignment horizontal="left" vertical="center"/>
    </xf>
    <xf numFmtId="0" fontId="4" fillId="33" borderId="301" xfId="0" applyFont="1" applyFill="1" applyBorder="1" applyAlignment="1" applyProtection="1">
      <alignment horizontal="left" vertical="center"/>
    </xf>
    <xf numFmtId="0" fontId="35" fillId="0" borderId="265" xfId="0" applyFont="1" applyBorder="1" applyAlignment="1" applyProtection="1">
      <alignment horizontal="center" vertical="center"/>
    </xf>
    <xf numFmtId="0" fontId="35" fillId="4" borderId="266" xfId="0" applyFont="1" applyFill="1" applyBorder="1" applyAlignment="1" applyProtection="1">
      <alignment horizontal="center" vertical="center"/>
    </xf>
    <xf numFmtId="0" fontId="17" fillId="10" borderId="261" xfId="0" applyFont="1" applyFill="1" applyBorder="1" applyAlignment="1" applyProtection="1">
      <alignment horizontal="left" vertical="top"/>
      <protection locked="0"/>
    </xf>
    <xf numFmtId="0" fontId="17" fillId="10" borderId="262" xfId="0" applyFont="1" applyFill="1" applyBorder="1" applyAlignment="1" applyProtection="1">
      <alignment horizontal="left" vertical="top"/>
      <protection locked="0"/>
    </xf>
    <xf numFmtId="0" fontId="10" fillId="4" borderId="0" xfId="0" applyFont="1" applyFill="1" applyAlignment="1" applyProtection="1">
      <alignment horizontal="left" vertical="top"/>
      <protection locked="0"/>
    </xf>
    <xf numFmtId="0" fontId="10" fillId="4" borderId="268" xfId="0" applyFont="1" applyFill="1" applyBorder="1" applyAlignment="1" applyProtection="1">
      <alignment horizontal="left" vertical="top"/>
      <protection locked="0"/>
    </xf>
    <xf numFmtId="0" fontId="17" fillId="10" borderId="267" xfId="0" applyFont="1" applyFill="1" applyBorder="1" applyAlignment="1" applyProtection="1">
      <alignment horizontal="left" vertical="top"/>
      <protection locked="0"/>
    </xf>
    <xf numFmtId="0" fontId="17" fillId="10" borderId="0" xfId="0" applyFont="1" applyFill="1" applyBorder="1" applyAlignment="1" applyProtection="1">
      <alignment horizontal="left" vertical="top"/>
      <protection locked="0"/>
    </xf>
    <xf numFmtId="0" fontId="17" fillId="10" borderId="264" xfId="0" applyFont="1" applyFill="1" applyBorder="1" applyAlignment="1" applyProtection="1">
      <alignment horizontal="left" vertical="top"/>
      <protection locked="0"/>
    </xf>
    <xf numFmtId="0" fontId="17" fillId="10" borderId="265" xfId="0" applyFont="1" applyFill="1" applyBorder="1" applyAlignment="1" applyProtection="1">
      <alignment horizontal="left" vertical="top"/>
      <protection locked="0"/>
    </xf>
    <xf numFmtId="0" fontId="53" fillId="4" borderId="337" xfId="0" applyFont="1" applyFill="1" applyBorder="1" applyAlignment="1" applyProtection="1">
      <alignment horizontal="center" vertical="center"/>
    </xf>
    <xf numFmtId="0" fontId="52" fillId="4" borderId="337" xfId="0" applyFont="1" applyFill="1" applyBorder="1" applyAlignment="1" applyProtection="1">
      <alignment horizontal="center" vertical="center"/>
    </xf>
    <xf numFmtId="0" fontId="35" fillId="0" borderId="390" xfId="0" applyFont="1" applyFill="1" applyBorder="1" applyAlignment="1" applyProtection="1">
      <alignment horizontal="center" vertical="center" wrapText="1"/>
    </xf>
    <xf numFmtId="0" fontId="35" fillId="0" borderId="391" xfId="0" applyFont="1" applyFill="1" applyBorder="1" applyAlignment="1" applyProtection="1">
      <alignment horizontal="center" vertical="center" wrapText="1"/>
    </xf>
    <xf numFmtId="0" fontId="35" fillId="0" borderId="390" xfId="0" applyFont="1" applyFill="1" applyBorder="1" applyAlignment="1" applyProtection="1">
      <alignment horizontal="center" vertical="center"/>
    </xf>
    <xf numFmtId="0" fontId="35" fillId="0" borderId="391" xfId="0" applyFont="1" applyFill="1" applyBorder="1" applyAlignment="1" applyProtection="1">
      <alignment horizontal="center" vertical="center"/>
    </xf>
    <xf numFmtId="0" fontId="35" fillId="0" borderId="264" xfId="0" applyFont="1" applyBorder="1" applyAlignment="1" applyProtection="1">
      <alignment horizontal="center" vertical="center"/>
    </xf>
    <xf numFmtId="0" fontId="35" fillId="0" borderId="266" xfId="0" applyFont="1" applyBorder="1" applyAlignment="1" applyProtection="1">
      <alignment horizontal="center" vertical="center"/>
    </xf>
    <xf numFmtId="0" fontId="35" fillId="0" borderId="603" xfId="0" applyFont="1" applyBorder="1" applyAlignment="1" applyProtection="1">
      <alignment horizontal="center" vertical="center"/>
    </xf>
    <xf numFmtId="0" fontId="35" fillId="0" borderId="604" xfId="0" applyFont="1" applyBorder="1" applyAlignment="1" applyProtection="1">
      <alignment horizontal="center" vertical="center"/>
    </xf>
    <xf numFmtId="0" fontId="17" fillId="4" borderId="267" xfId="0" applyFont="1" applyFill="1" applyBorder="1" applyAlignment="1" applyProtection="1">
      <alignment horizontal="left" vertical="center"/>
      <protection locked="0"/>
    </xf>
    <xf numFmtId="0" fontId="17" fillId="4" borderId="0" xfId="0" applyFont="1" applyFill="1" applyBorder="1" applyAlignment="1" applyProtection="1">
      <alignment horizontal="left" vertical="center"/>
      <protection locked="0"/>
    </xf>
    <xf numFmtId="0" fontId="17" fillId="4" borderId="268" xfId="0" applyFont="1" applyFill="1" applyBorder="1" applyAlignment="1" applyProtection="1">
      <alignment horizontal="left" vertical="center"/>
      <protection locked="0"/>
    </xf>
    <xf numFmtId="0" fontId="0" fillId="10" borderId="265" xfId="0" applyFill="1" applyBorder="1" applyAlignment="1" applyProtection="1">
      <alignment horizontal="left" vertical="top"/>
      <protection locked="0"/>
    </xf>
    <xf numFmtId="0" fontId="0" fillId="10" borderId="266" xfId="0" applyFill="1" applyBorder="1" applyAlignment="1" applyProtection="1">
      <alignment horizontal="left" vertical="top"/>
      <protection locked="0"/>
    </xf>
    <xf numFmtId="0" fontId="17" fillId="4" borderId="267" xfId="0" applyFont="1" applyFill="1" applyBorder="1" applyAlignment="1" applyProtection="1">
      <alignment vertical="center"/>
      <protection locked="0"/>
    </xf>
    <xf numFmtId="0" fontId="17" fillId="4" borderId="0" xfId="0" applyFont="1" applyFill="1" applyBorder="1" applyAlignment="1" applyProtection="1">
      <alignment vertical="center"/>
      <protection locked="0"/>
    </xf>
    <xf numFmtId="0" fontId="17" fillId="4" borderId="268" xfId="0" applyFont="1" applyFill="1" applyBorder="1" applyAlignment="1" applyProtection="1">
      <alignment vertical="center"/>
      <protection locked="0"/>
    </xf>
    <xf numFmtId="0" fontId="17" fillId="0" borderId="267" xfId="0" applyFont="1" applyBorder="1" applyAlignment="1" applyProtection="1">
      <alignment horizontal="left" vertical="center"/>
      <protection locked="0"/>
    </xf>
    <xf numFmtId="0" fontId="36" fillId="0" borderId="122" xfId="6" applyBorder="1" applyAlignment="1" applyProtection="1">
      <alignment horizontal="center" vertical="center"/>
      <protection locked="0"/>
    </xf>
    <xf numFmtId="0" fontId="36" fillId="0" borderId="173" xfId="6" applyBorder="1" applyAlignment="1" applyProtection="1">
      <alignment horizontal="center" vertical="center"/>
      <protection locked="0"/>
    </xf>
    <xf numFmtId="0" fontId="4" fillId="7" borderId="302" xfId="0" applyFont="1" applyFill="1" applyBorder="1" applyAlignment="1" applyProtection="1">
      <alignment horizontal="left" vertical="center"/>
    </xf>
    <xf numFmtId="0" fontId="4" fillId="7" borderId="303" xfId="0" applyFont="1" applyFill="1" applyBorder="1" applyAlignment="1" applyProtection="1">
      <alignment horizontal="left" vertical="center"/>
    </xf>
    <xf numFmtId="0" fontId="50" fillId="0" borderId="262" xfId="0" applyFont="1" applyBorder="1" applyAlignment="1" applyProtection="1">
      <alignment horizontal="center" vertical="center" wrapText="1"/>
    </xf>
    <xf numFmtId="0" fontId="50" fillId="0" borderId="265" xfId="0" applyFont="1" applyBorder="1" applyAlignment="1" applyProtection="1">
      <alignment horizontal="center" vertical="center" wrapText="1"/>
    </xf>
    <xf numFmtId="0" fontId="17" fillId="0" borderId="268" xfId="0" applyFont="1" applyBorder="1" applyAlignment="1" applyProtection="1">
      <alignment horizontal="left" vertical="center"/>
      <protection locked="0"/>
    </xf>
    <xf numFmtId="0" fontId="17" fillId="26" borderId="267" xfId="0" applyFont="1" applyFill="1" applyBorder="1" applyAlignment="1" applyProtection="1">
      <alignment horizontal="left" vertical="center"/>
      <protection locked="0"/>
    </xf>
    <xf numFmtId="0" fontId="17" fillId="26" borderId="268" xfId="0" applyFont="1" applyFill="1" applyBorder="1" applyAlignment="1" applyProtection="1">
      <alignment horizontal="left" vertical="center"/>
      <protection locked="0"/>
    </xf>
    <xf numFmtId="0" fontId="17" fillId="27" borderId="267" xfId="0" applyFont="1" applyFill="1" applyBorder="1" applyAlignment="1" applyProtection="1">
      <alignment horizontal="left" vertical="center"/>
      <protection locked="0"/>
    </xf>
    <xf numFmtId="0" fontId="17" fillId="27" borderId="0" xfId="0" applyFont="1" applyFill="1" applyBorder="1" applyAlignment="1" applyProtection="1">
      <alignment horizontal="left" vertical="center"/>
      <protection locked="0"/>
    </xf>
    <xf numFmtId="0" fontId="17" fillId="27" borderId="268" xfId="0" applyFont="1" applyFill="1" applyBorder="1" applyAlignment="1" applyProtection="1">
      <alignment horizontal="left" vertical="center"/>
      <protection locked="0"/>
    </xf>
    <xf numFmtId="0" fontId="17" fillId="10" borderId="264" xfId="0" applyFont="1" applyFill="1" applyBorder="1" applyAlignment="1" applyProtection="1">
      <alignment vertical="center"/>
      <protection locked="0"/>
    </xf>
    <xf numFmtId="0" fontId="17" fillId="10" borderId="265" xfId="0" applyFont="1" applyFill="1" applyBorder="1" applyAlignment="1" applyProtection="1">
      <alignment vertical="center"/>
      <protection locked="0"/>
    </xf>
    <xf numFmtId="0" fontId="17" fillId="10" borderId="266" xfId="0" applyFont="1" applyFill="1" applyBorder="1" applyAlignment="1" applyProtection="1">
      <alignment vertical="center"/>
      <protection locked="0"/>
    </xf>
    <xf numFmtId="0" fontId="17" fillId="10" borderId="267" xfId="0" applyFont="1" applyFill="1" applyBorder="1" applyAlignment="1" applyProtection="1">
      <alignment vertical="center"/>
      <protection locked="0"/>
    </xf>
    <xf numFmtId="0" fontId="17" fillId="10" borderId="0" xfId="0" applyFont="1" applyFill="1" applyBorder="1" applyAlignment="1" applyProtection="1">
      <alignment vertical="center"/>
      <protection locked="0"/>
    </xf>
    <xf numFmtId="0" fontId="17" fillId="10" borderId="268" xfId="0" applyFont="1" applyFill="1" applyBorder="1" applyAlignment="1" applyProtection="1">
      <alignment vertical="center"/>
      <protection locked="0"/>
    </xf>
    <xf numFmtId="0" fontId="17" fillId="27" borderId="264" xfId="0" applyFont="1" applyFill="1" applyBorder="1" applyAlignment="1" applyProtection="1">
      <alignment horizontal="left" vertical="center"/>
      <protection locked="0"/>
    </xf>
    <xf numFmtId="0" fontId="17" fillId="27" borderId="265" xfId="0" applyFont="1" applyFill="1" applyBorder="1" applyAlignment="1" applyProtection="1">
      <alignment horizontal="left" vertical="center"/>
      <protection locked="0"/>
    </xf>
    <xf numFmtId="0" fontId="17" fillId="27" borderId="266" xfId="0" applyFont="1" applyFill="1" applyBorder="1" applyAlignment="1" applyProtection="1">
      <alignment horizontal="left" vertical="center"/>
      <protection locked="0"/>
    </xf>
    <xf numFmtId="0" fontId="35" fillId="0" borderId="255" xfId="0" applyFont="1" applyBorder="1" applyAlignment="1" applyProtection="1">
      <alignment horizontal="center" vertical="center"/>
    </xf>
    <xf numFmtId="0" fontId="35" fillId="0" borderId="257" xfId="0" applyFont="1" applyBorder="1" applyAlignment="1" applyProtection="1">
      <alignment horizontal="center" vertical="center"/>
    </xf>
    <xf numFmtId="0" fontId="17" fillId="10" borderId="261" xfId="0" applyFont="1" applyFill="1" applyBorder="1" applyAlignment="1" applyProtection="1">
      <alignment vertical="center"/>
      <protection locked="0"/>
    </xf>
    <xf numFmtId="0" fontId="17" fillId="10" borderId="262" xfId="0" applyFont="1" applyFill="1" applyBorder="1" applyAlignment="1" applyProtection="1">
      <alignment vertical="center"/>
      <protection locked="0"/>
    </xf>
    <xf numFmtId="0" fontId="17" fillId="10" borderId="263" xfId="0" applyFont="1" applyFill="1" applyBorder="1" applyAlignment="1" applyProtection="1">
      <alignment vertical="center"/>
      <protection locked="0"/>
    </xf>
    <xf numFmtId="0" fontId="17" fillId="27" borderId="261" xfId="0" applyFont="1" applyFill="1" applyBorder="1" applyAlignment="1" applyProtection="1">
      <alignment horizontal="left" vertical="center"/>
      <protection locked="0"/>
    </xf>
    <xf numFmtId="0" fontId="17" fillId="27" borderId="262" xfId="0" applyFont="1" applyFill="1" applyBorder="1" applyAlignment="1" applyProtection="1">
      <alignment horizontal="left" vertical="center"/>
      <protection locked="0"/>
    </xf>
    <xf numFmtId="0" fontId="17" fillId="27" borderId="263" xfId="0" applyFont="1" applyFill="1" applyBorder="1" applyAlignment="1" applyProtection="1">
      <alignment horizontal="left" vertical="center"/>
      <protection locked="0"/>
    </xf>
    <xf numFmtId="0" fontId="50" fillId="0" borderId="263" xfId="0" applyFont="1" applyBorder="1" applyAlignment="1" applyProtection="1">
      <alignment horizontal="center" vertical="center" wrapText="1"/>
    </xf>
    <xf numFmtId="0" fontId="50" fillId="0" borderId="266" xfId="0" applyFont="1" applyBorder="1" applyAlignment="1" applyProtection="1">
      <alignment horizontal="center" vertical="center" wrapText="1"/>
    </xf>
    <xf numFmtId="0" fontId="35" fillId="0" borderId="271" xfId="0" applyFont="1" applyBorder="1" applyAlignment="1" applyProtection="1">
      <alignment horizontal="center" vertical="center"/>
    </xf>
    <xf numFmtId="0" fontId="35" fillId="0" borderId="270" xfId="0" applyFont="1" applyBorder="1" applyAlignment="1" applyProtection="1">
      <alignment horizontal="center" vertical="center"/>
    </xf>
    <xf numFmtId="0" fontId="26" fillId="0" borderId="270" xfId="0" applyFont="1" applyBorder="1" applyAlignment="1" applyProtection="1">
      <alignment horizontal="center" vertical="center"/>
    </xf>
    <xf numFmtId="0" fontId="26" fillId="0" borderId="271" xfId="0" applyFont="1" applyBorder="1" applyAlignment="1" applyProtection="1">
      <alignment horizontal="center" vertical="center"/>
    </xf>
    <xf numFmtId="0" fontId="26" fillId="0" borderId="610" xfId="0" applyFont="1" applyBorder="1" applyAlignment="1" applyProtection="1">
      <alignment horizontal="center" vertical="center"/>
    </xf>
    <xf numFmtId="0" fontId="26" fillId="0" borderId="611" xfId="0" applyFont="1" applyBorder="1" applyAlignment="1" applyProtection="1">
      <alignment horizontal="center" vertical="center"/>
    </xf>
    <xf numFmtId="0" fontId="26" fillId="0" borderId="612" xfId="0" applyFont="1" applyBorder="1" applyAlignment="1" applyProtection="1">
      <alignment horizontal="center" vertical="center"/>
    </xf>
    <xf numFmtId="0" fontId="17" fillId="28" borderId="267" xfId="0" applyFont="1" applyFill="1" applyBorder="1" applyAlignment="1" applyProtection="1">
      <alignment horizontal="left" vertical="center"/>
      <protection locked="0"/>
    </xf>
    <xf numFmtId="0" fontId="17" fillId="28" borderId="0" xfId="0" applyFont="1" applyFill="1" applyBorder="1" applyAlignment="1" applyProtection="1">
      <alignment horizontal="left" vertical="center"/>
      <protection locked="0"/>
    </xf>
    <xf numFmtId="0" fontId="17" fillId="28" borderId="268" xfId="0" applyFont="1" applyFill="1" applyBorder="1" applyAlignment="1" applyProtection="1">
      <alignment horizontal="left" vertical="center"/>
      <protection locked="0"/>
    </xf>
    <xf numFmtId="0" fontId="50" fillId="0" borderId="72"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26" fillId="0" borderId="280" xfId="0" applyFont="1" applyBorder="1" applyAlignment="1" applyProtection="1">
      <alignment horizontal="center" vertical="center"/>
    </xf>
    <xf numFmtId="0" fontId="26" fillId="0" borderId="72" xfId="0" applyFont="1" applyBorder="1" applyAlignment="1" applyProtection="1">
      <alignment horizontal="center" vertical="center"/>
    </xf>
    <xf numFmtId="0" fontId="26" fillId="0" borderId="258" xfId="0" applyFont="1" applyBorder="1" applyAlignment="1" applyProtection="1">
      <alignment horizontal="center" vertical="center"/>
    </xf>
    <xf numFmtId="0" fontId="30" fillId="10" borderId="261" xfId="0" applyFont="1" applyFill="1" applyBorder="1" applyAlignment="1" applyProtection="1">
      <alignment horizontal="left" vertical="top"/>
      <protection locked="0"/>
    </xf>
    <xf numFmtId="0" fontId="30" fillId="10" borderId="262" xfId="0" applyFont="1" applyFill="1" applyBorder="1" applyAlignment="1" applyProtection="1">
      <alignment horizontal="left" vertical="top"/>
      <protection locked="0"/>
    </xf>
    <xf numFmtId="0" fontId="35" fillId="0" borderId="280" xfId="0" applyFont="1" applyBorder="1" applyAlignment="1" applyProtection="1">
      <alignment horizontal="center" vertical="center" wrapText="1"/>
    </xf>
    <xf numFmtId="0" fontId="35" fillId="0" borderId="72" xfId="0" applyFont="1" applyBorder="1" applyAlignment="1" applyProtection="1">
      <alignment horizontal="center" vertical="center" wrapText="1"/>
    </xf>
    <xf numFmtId="0" fontId="35" fillId="0" borderId="258" xfId="0" applyFont="1" applyBorder="1" applyAlignment="1" applyProtection="1">
      <alignment horizontal="center" vertical="center" wrapText="1"/>
    </xf>
    <xf numFmtId="0" fontId="35" fillId="0" borderId="267" xfId="0" applyFont="1" applyBorder="1" applyAlignment="1" applyProtection="1">
      <alignment horizontal="center" vertical="center" wrapText="1"/>
    </xf>
    <xf numFmtId="0" fontId="35" fillId="0" borderId="0" xfId="0" applyFont="1" applyBorder="1" applyAlignment="1" applyProtection="1">
      <alignment horizontal="center" vertical="center" wrapText="1"/>
    </xf>
    <xf numFmtId="0" fontId="35" fillId="0" borderId="268" xfId="0" applyFont="1" applyBorder="1" applyAlignment="1" applyProtection="1">
      <alignment horizontal="center" vertical="center" wrapText="1"/>
    </xf>
    <xf numFmtId="0" fontId="17" fillId="0" borderId="264" xfId="0" applyFont="1" applyFill="1" applyBorder="1" applyAlignment="1" applyProtection="1">
      <alignment horizontal="center" vertical="center"/>
      <protection locked="0"/>
    </xf>
    <xf numFmtId="0" fontId="17" fillId="0" borderId="265" xfId="0" applyFont="1" applyFill="1" applyBorder="1" applyAlignment="1" applyProtection="1">
      <alignment horizontal="center" vertical="center"/>
      <protection locked="0"/>
    </xf>
    <xf numFmtId="0" fontId="17" fillId="28" borderId="264" xfId="0" applyFont="1" applyFill="1" applyBorder="1" applyAlignment="1" applyProtection="1">
      <alignment horizontal="center" vertical="center"/>
      <protection locked="0"/>
    </xf>
    <xf numFmtId="0" fontId="17" fillId="28" borderId="265" xfId="0" applyFont="1" applyFill="1" applyBorder="1" applyAlignment="1" applyProtection="1">
      <alignment horizontal="center" vertical="center"/>
      <protection locked="0"/>
    </xf>
    <xf numFmtId="0" fontId="17" fillId="28" borderId="266" xfId="0" applyFont="1" applyFill="1" applyBorder="1" applyAlignment="1" applyProtection="1">
      <alignment horizontal="center" vertical="center"/>
      <protection locked="0"/>
    </xf>
    <xf numFmtId="168" fontId="36" fillId="0" borderId="121" xfId="5" applyNumberFormat="1" applyFont="1" applyBorder="1" applyAlignment="1" applyProtection="1">
      <alignment horizontal="center" vertical="center" wrapText="1"/>
      <protection locked="0"/>
    </xf>
    <xf numFmtId="168" fontId="36" fillId="0" borderId="122" xfId="5" applyNumberFormat="1" applyFont="1" applyBorder="1" applyAlignment="1" applyProtection="1">
      <alignment horizontal="center" vertical="center" wrapText="1"/>
      <protection locked="0"/>
    </xf>
    <xf numFmtId="0" fontId="24" fillId="4" borderId="81" xfId="0" applyFont="1" applyFill="1" applyBorder="1" applyAlignment="1" applyProtection="1">
      <alignment horizontal="center" vertical="center"/>
    </xf>
    <xf numFmtId="0" fontId="24" fillId="4" borderId="82" xfId="0" applyFont="1" applyFill="1" applyBorder="1" applyAlignment="1" applyProtection="1">
      <alignment horizontal="center" vertical="center"/>
    </xf>
    <xf numFmtId="0" fontId="24" fillId="4" borderId="83" xfId="0" applyFont="1" applyFill="1" applyBorder="1" applyAlignment="1" applyProtection="1">
      <alignment horizontal="center" vertical="center"/>
    </xf>
    <xf numFmtId="0" fontId="94" fillId="4" borderId="337" xfId="0" applyFont="1" applyFill="1" applyBorder="1" applyAlignment="1" applyProtection="1">
      <alignment horizontal="center" vertical="center"/>
    </xf>
    <xf numFmtId="0" fontId="93" fillId="4" borderId="337" xfId="0" applyFont="1" applyFill="1" applyBorder="1" applyAlignment="1" applyProtection="1">
      <alignment horizontal="center" vertical="center"/>
    </xf>
    <xf numFmtId="0" fontId="35" fillId="0" borderId="390" xfId="0" applyFont="1" applyBorder="1" applyAlignment="1" applyProtection="1">
      <alignment horizontal="center" vertical="center" wrapText="1"/>
    </xf>
    <xf numFmtId="0" fontId="35" fillId="0" borderId="391" xfId="0" applyFont="1" applyBorder="1" applyAlignment="1" applyProtection="1">
      <alignment horizontal="center" vertical="center" wrapText="1"/>
    </xf>
    <xf numFmtId="0" fontId="106" fillId="0" borderId="543" xfId="12" applyFont="1" applyBorder="1" applyAlignment="1">
      <alignment horizontal="center" vertical="center" wrapText="1"/>
    </xf>
    <xf numFmtId="0" fontId="105" fillId="39" borderId="565" xfId="12" applyFont="1" applyFill="1" applyBorder="1" applyAlignment="1" applyProtection="1">
      <alignment horizontal="left" vertical="center"/>
      <protection locked="0"/>
    </xf>
    <xf numFmtId="0" fontId="105" fillId="39" borderId="566" xfId="12" applyFont="1" applyFill="1" applyBorder="1" applyAlignment="1" applyProtection="1">
      <alignment horizontal="left" vertical="center"/>
      <protection locked="0"/>
    </xf>
    <xf numFmtId="0" fontId="108" fillId="0" borderId="544" xfId="12" applyFont="1" applyBorder="1" applyAlignment="1">
      <alignment horizontal="center" vertical="center"/>
    </xf>
    <xf numFmtId="0" fontId="108" fillId="0" borderId="545" xfId="12" applyFont="1" applyBorder="1" applyAlignment="1">
      <alignment horizontal="center" vertical="center"/>
    </xf>
    <xf numFmtId="0" fontId="108" fillId="0" borderId="546" xfId="12" applyFont="1" applyBorder="1" applyAlignment="1">
      <alignment horizontal="center" vertical="center"/>
    </xf>
    <xf numFmtId="0" fontId="106" fillId="10" borderId="547" xfId="12" applyFont="1" applyFill="1" applyBorder="1" applyAlignment="1">
      <alignment horizontal="center" vertical="center"/>
    </xf>
    <xf numFmtId="0" fontId="106" fillId="10" borderId="572" xfId="12" applyFont="1" applyFill="1" applyBorder="1" applyAlignment="1">
      <alignment horizontal="center" vertical="center"/>
    </xf>
    <xf numFmtId="166" fontId="106" fillId="2" borderId="558" xfId="1" applyNumberFormat="1" applyFont="1" applyFill="1" applyBorder="1" applyAlignment="1" applyProtection="1">
      <alignment horizontal="left" vertical="center"/>
    </xf>
    <xf numFmtId="166" fontId="106" fillId="2" borderId="3" xfId="1" applyNumberFormat="1" applyFont="1" applyFill="1" applyBorder="1" applyAlignment="1" applyProtection="1">
      <alignment horizontal="left" vertical="center"/>
    </xf>
    <xf numFmtId="0" fontId="105" fillId="2" borderId="549" xfId="12" applyFont="1" applyFill="1" applyBorder="1" applyAlignment="1">
      <alignment horizontal="left" vertical="center" wrapText="1"/>
    </xf>
    <xf numFmtId="0" fontId="105" fillId="2" borderId="2" xfId="12" applyFont="1" applyFill="1" applyBorder="1" applyAlignment="1">
      <alignment horizontal="left" vertical="center" wrapText="1"/>
    </xf>
    <xf numFmtId="166" fontId="106" fillId="2" borderId="549" xfId="1" applyNumberFormat="1" applyFont="1" applyFill="1" applyBorder="1" applyAlignment="1" applyProtection="1">
      <alignment horizontal="left" vertical="center"/>
    </xf>
    <xf numFmtId="166" fontId="106" fillId="2" borderId="0" xfId="1" applyNumberFormat="1" applyFont="1" applyFill="1" applyBorder="1" applyAlignment="1" applyProtection="1">
      <alignment horizontal="left" vertical="center"/>
    </xf>
    <xf numFmtId="0" fontId="105" fillId="2" borderId="549" xfId="12" applyFont="1" applyFill="1" applyBorder="1" applyAlignment="1">
      <alignment horizontal="left" vertical="center"/>
    </xf>
    <xf numFmtId="0" fontId="105" fillId="2" borderId="550" xfId="12" applyFont="1" applyFill="1" applyBorder="1" applyAlignment="1">
      <alignment horizontal="left" vertical="center"/>
    </xf>
    <xf numFmtId="0" fontId="105" fillId="2" borderId="47" xfId="12" applyFont="1" applyFill="1" applyBorder="1" applyAlignment="1">
      <alignment horizontal="left" vertical="center"/>
    </xf>
    <xf numFmtId="0" fontId="105" fillId="2" borderId="560" xfId="12" applyFont="1" applyFill="1" applyBorder="1" applyAlignment="1">
      <alignment horizontal="left" vertical="center"/>
    </xf>
    <xf numFmtId="166" fontId="106" fillId="2" borderId="2" xfId="1" applyNumberFormat="1" applyFont="1" applyFill="1" applyBorder="1" applyAlignment="1" applyProtection="1">
      <alignment horizontal="left" vertical="center"/>
    </xf>
    <xf numFmtId="166" fontId="106" fillId="2" borderId="563" xfId="1" applyNumberFormat="1" applyFont="1" applyFill="1" applyBorder="1" applyAlignment="1" applyProtection="1">
      <alignment horizontal="left" vertical="center"/>
    </xf>
    <xf numFmtId="0" fontId="105" fillId="2" borderId="4" xfId="12" applyFont="1" applyFill="1" applyBorder="1" applyAlignment="1">
      <alignment horizontal="left" vertical="center" wrapText="1"/>
    </xf>
    <xf numFmtId="0" fontId="105" fillId="2" borderId="552" xfId="12" applyFont="1" applyFill="1" applyBorder="1" applyAlignment="1">
      <alignment horizontal="left" vertical="center" wrapText="1"/>
    </xf>
    <xf numFmtId="166" fontId="106" fillId="2" borderId="182" xfId="1" applyNumberFormat="1" applyFont="1" applyFill="1" applyBorder="1" applyAlignment="1" applyProtection="1">
      <alignment vertical="center"/>
    </xf>
    <xf numFmtId="166" fontId="106" fillId="2" borderId="564" xfId="1" applyNumberFormat="1" applyFont="1" applyFill="1" applyBorder="1" applyAlignment="1" applyProtection="1">
      <alignment vertical="center"/>
    </xf>
    <xf numFmtId="0" fontId="105" fillId="2" borderId="45" xfId="12" applyFont="1" applyFill="1" applyBorder="1" applyAlignment="1">
      <alignment horizontal="left" vertical="center"/>
    </xf>
    <xf numFmtId="0" fontId="105" fillId="2" borderId="561" xfId="12" applyFont="1" applyFill="1" applyBorder="1" applyAlignment="1">
      <alignment horizontal="left" vertical="center"/>
    </xf>
    <xf numFmtId="0" fontId="105" fillId="2" borderId="552" xfId="12" applyFont="1" applyFill="1" applyBorder="1" applyAlignment="1">
      <alignment horizontal="left" vertical="center"/>
    </xf>
    <xf numFmtId="0" fontId="105" fillId="2" borderId="553" xfId="12" applyFont="1" applyFill="1" applyBorder="1" applyAlignment="1">
      <alignment horizontal="left" vertical="center"/>
    </xf>
    <xf numFmtId="0" fontId="107" fillId="37" borderId="50" xfId="12" applyFont="1" applyFill="1" applyBorder="1" applyAlignment="1">
      <alignment horizontal="center" vertical="center"/>
    </xf>
    <xf numFmtId="0" fontId="107" fillId="37" borderId="97" xfId="12" applyFont="1" applyFill="1" applyBorder="1" applyAlignment="1">
      <alignment horizontal="center" vertical="center"/>
    </xf>
    <xf numFmtId="0" fontId="107" fillId="37" borderId="50" xfId="12" applyFont="1" applyFill="1" applyBorder="1" applyAlignment="1">
      <alignment horizontal="left" vertical="center"/>
    </xf>
    <xf numFmtId="0" fontId="107" fillId="37" borderId="114" xfId="12" applyFont="1" applyFill="1" applyBorder="1" applyAlignment="1">
      <alignment horizontal="left" vertical="center"/>
    </xf>
    <xf numFmtId="0" fontId="107" fillId="37" borderId="97" xfId="12" applyFont="1" applyFill="1" applyBorder="1" applyAlignment="1">
      <alignment horizontal="left" vertical="center"/>
    </xf>
    <xf numFmtId="0" fontId="107" fillId="37" borderId="99" xfId="12" applyFont="1" applyFill="1" applyBorder="1" applyAlignment="1">
      <alignment horizontal="left" vertical="center"/>
    </xf>
    <xf numFmtId="0" fontId="113" fillId="0" borderId="46" xfId="12" applyFont="1" applyBorder="1" applyAlignment="1" applyProtection="1">
      <alignment horizontal="left" vertical="center" wrapText="1"/>
      <protection locked="0"/>
    </xf>
    <xf numFmtId="0" fontId="113" fillId="0" borderId="0" xfId="12" applyFont="1" applyAlignment="1" applyProtection="1">
      <alignment horizontal="left" vertical="center" wrapText="1"/>
      <protection locked="0"/>
    </xf>
    <xf numFmtId="0" fontId="113" fillId="0" borderId="98" xfId="12" applyFont="1" applyBorder="1" applyAlignment="1" applyProtection="1">
      <alignment horizontal="left" vertical="center" wrapText="1"/>
      <protection locked="0"/>
    </xf>
    <xf numFmtId="0" fontId="106" fillId="0" borderId="543" xfId="12" applyFont="1" applyBorder="1" applyAlignment="1">
      <alignment horizontal="center" vertical="center"/>
    </xf>
    <xf numFmtId="0" fontId="105" fillId="4" borderId="176" xfId="12" applyFont="1" applyFill="1" applyBorder="1" applyAlignment="1">
      <alignment horizontal="center" vertical="center"/>
    </xf>
    <xf numFmtId="0" fontId="105" fillId="0" borderId="565" xfId="12" applyFont="1" applyBorder="1" applyAlignment="1" applyProtection="1">
      <alignment horizontal="left" vertical="center"/>
      <protection locked="0"/>
    </xf>
    <xf numFmtId="0" fontId="105" fillId="0" borderId="566" xfId="12" applyFont="1" applyBorder="1" applyAlignment="1" applyProtection="1">
      <alignment horizontal="left" vertical="center"/>
      <protection locked="0"/>
    </xf>
    <xf numFmtId="0" fontId="105" fillId="39" borderId="573" xfId="12" applyFont="1" applyFill="1" applyBorder="1" applyAlignment="1" applyProtection="1">
      <alignment horizontal="left" vertical="center"/>
      <protection locked="0"/>
    </xf>
    <xf numFmtId="0" fontId="105" fillId="39" borderId="571" xfId="12" applyFont="1" applyFill="1" applyBorder="1" applyAlignment="1" applyProtection="1">
      <alignment horizontal="left" vertical="center"/>
      <protection locked="0"/>
    </xf>
    <xf numFmtId="0" fontId="106" fillId="0" borderId="543" xfId="4" applyNumberFormat="1" applyFont="1" applyBorder="1" applyAlignment="1" applyProtection="1">
      <alignment horizontal="center" vertical="center"/>
    </xf>
    <xf numFmtId="0" fontId="106" fillId="0" borderId="546" xfId="12" applyFont="1" applyBorder="1" applyAlignment="1">
      <alignment horizontal="center" vertical="center"/>
    </xf>
    <xf numFmtId="0" fontId="106" fillId="0" borderId="544" xfId="12" applyFont="1" applyBorder="1" applyAlignment="1">
      <alignment horizontal="center" vertical="center"/>
    </xf>
    <xf numFmtId="0" fontId="106" fillId="0" borderId="569" xfId="12" applyFont="1" applyBorder="1" applyAlignment="1">
      <alignment horizontal="center" vertical="center"/>
    </xf>
    <xf numFmtId="0" fontId="106" fillId="0" borderId="570" xfId="12" applyFont="1" applyBorder="1" applyAlignment="1">
      <alignment horizontal="center" vertical="center"/>
    </xf>
    <xf numFmtId="0" fontId="106" fillId="0" borderId="567" xfId="12" applyFont="1" applyBorder="1" applyAlignment="1">
      <alignment horizontal="center" vertical="center"/>
    </xf>
    <xf numFmtId="0" fontId="106" fillId="0" borderId="568" xfId="12" applyFont="1" applyBorder="1" applyAlignment="1">
      <alignment horizontal="center" vertical="center"/>
    </xf>
    <xf numFmtId="0" fontId="105" fillId="39" borderId="567" xfId="12" applyFont="1" applyFill="1" applyBorder="1" applyAlignment="1" applyProtection="1">
      <alignment horizontal="left" vertical="center"/>
      <protection locked="0"/>
    </xf>
    <xf numFmtId="0" fontId="105" fillId="39" borderId="568" xfId="12" applyFont="1" applyFill="1" applyBorder="1" applyAlignment="1" applyProtection="1">
      <alignment horizontal="left" vertical="center"/>
      <protection locked="0"/>
    </xf>
    <xf numFmtId="0" fontId="101" fillId="37" borderId="50" xfId="12" applyFont="1" applyFill="1" applyBorder="1" applyAlignment="1">
      <alignment horizontal="center" vertical="center"/>
    </xf>
    <xf numFmtId="0" fontId="101" fillId="37" borderId="92" xfId="12" applyFont="1" applyFill="1" applyBorder="1" applyAlignment="1">
      <alignment horizontal="center" vertical="center"/>
    </xf>
    <xf numFmtId="0" fontId="62" fillId="4" borderId="49" xfId="12" applyFont="1" applyFill="1" applyBorder="1" applyAlignment="1">
      <alignment horizontal="center" vertical="center"/>
    </xf>
    <xf numFmtId="0" fontId="106" fillId="0" borderId="547" xfId="12" applyFont="1" applyBorder="1" applyAlignment="1">
      <alignment horizontal="center" vertical="center"/>
    </xf>
    <xf numFmtId="0" fontId="106" fillId="0" borderId="572" xfId="12" applyFont="1" applyBorder="1" applyAlignment="1">
      <alignment horizontal="center" vertical="center"/>
    </xf>
    <xf numFmtId="0" fontId="62" fillId="0" borderId="555" xfId="12" applyFont="1" applyBorder="1" applyAlignment="1">
      <alignment horizontal="center" vertical="center"/>
    </xf>
    <xf numFmtId="0" fontId="62" fillId="0" borderId="556" xfId="12" applyFont="1" applyBorder="1" applyAlignment="1">
      <alignment horizontal="center" vertical="center"/>
    </xf>
    <xf numFmtId="0" fontId="101" fillId="37" borderId="0" xfId="12" applyFont="1" applyFill="1" applyBorder="1" applyAlignment="1">
      <alignment horizontal="center" vertical="center"/>
    </xf>
    <xf numFmtId="0" fontId="106" fillId="0" borderId="548" xfId="12" applyFont="1" applyBorder="1" applyAlignment="1">
      <alignment horizontal="center" vertical="center"/>
    </xf>
    <xf numFmtId="0" fontId="106" fillId="0" borderId="549" xfId="12" applyFont="1" applyBorder="1" applyAlignment="1">
      <alignment horizontal="center" vertical="center"/>
    </xf>
    <xf numFmtId="0" fontId="106" fillId="0" borderId="550" xfId="12" applyFont="1" applyBorder="1" applyAlignment="1">
      <alignment horizontal="center" vertical="center"/>
    </xf>
    <xf numFmtId="0" fontId="106" fillId="0" borderId="573" xfId="12" applyFont="1" applyBorder="1" applyAlignment="1">
      <alignment horizontal="center" vertical="center"/>
    </xf>
    <xf numFmtId="0" fontId="106" fillId="0" borderId="0" xfId="12" applyFont="1" applyBorder="1" applyAlignment="1">
      <alignment horizontal="center" vertical="center"/>
    </xf>
    <xf numFmtId="0" fontId="106" fillId="0" borderId="571" xfId="12" applyFont="1" applyBorder="1" applyAlignment="1">
      <alignment horizontal="center" vertical="center"/>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10" fontId="78" fillId="9" borderId="394" xfId="2" applyNumberFormat="1" applyFont="1" applyFill="1" applyBorder="1" applyAlignment="1" applyProtection="1">
      <alignment horizontal="right" vertical="center"/>
      <protection locked="0"/>
    </xf>
    <xf numFmtId="10" fontId="54" fillId="9" borderId="144" xfId="2" applyNumberFormat="1" applyFont="1" applyFill="1" applyBorder="1" applyAlignment="1" applyProtection="1">
      <alignment horizontal="center" vertical="center" wrapText="1"/>
    </xf>
    <xf numFmtId="10" fontId="54" fillId="9" borderId="151" xfId="2" applyNumberFormat="1" applyFont="1" applyFill="1" applyBorder="1" applyAlignment="1" applyProtection="1">
      <alignment horizontal="center" vertical="center" wrapText="1"/>
    </xf>
    <xf numFmtId="0" fontId="40" fillId="9" borderId="312" xfId="0" applyFont="1" applyFill="1" applyBorder="1" applyAlignment="1" applyProtection="1">
      <alignment horizontal="left" vertical="center"/>
    </xf>
    <xf numFmtId="0" fontId="40" fillId="0" borderId="312" xfId="0" applyFont="1" applyBorder="1" applyAlignment="1" applyProtection="1">
      <alignment horizontal="left" vertical="center"/>
    </xf>
    <xf numFmtId="0" fontId="51" fillId="0" borderId="319" xfId="0" applyFont="1" applyFill="1" applyBorder="1" applyAlignment="1" applyProtection="1">
      <alignment horizontal="center" vertical="center"/>
    </xf>
    <xf numFmtId="0" fontId="51" fillId="0" borderId="312" xfId="0" applyFont="1" applyFill="1" applyBorder="1" applyAlignment="1" applyProtection="1">
      <alignment horizontal="center" vertical="center"/>
    </xf>
    <xf numFmtId="0" fontId="32" fillId="0" borderId="319" xfId="0" applyFont="1" applyFill="1" applyBorder="1" applyAlignment="1" applyProtection="1">
      <alignment horizontal="center" vertical="center"/>
    </xf>
    <xf numFmtId="0" fontId="32" fillId="0" borderId="312" xfId="0" applyFont="1" applyFill="1" applyBorder="1" applyAlignment="1" applyProtection="1">
      <alignment horizontal="center" vertical="center"/>
    </xf>
    <xf numFmtId="0" fontId="40" fillId="0" borderId="312" xfId="0" applyFont="1" applyFill="1" applyBorder="1" applyAlignment="1" applyProtection="1">
      <alignment horizontal="left" vertical="center"/>
    </xf>
    <xf numFmtId="0" fontId="35" fillId="0" borderId="319" xfId="0" applyFont="1" applyFill="1" applyBorder="1" applyAlignment="1" applyProtection="1">
      <alignment horizontal="center" vertical="center"/>
    </xf>
    <xf numFmtId="0" fontId="35" fillId="0" borderId="312" xfId="0" applyFont="1" applyFill="1" applyBorder="1" applyAlignment="1" applyProtection="1">
      <alignment horizontal="center" vertical="center"/>
    </xf>
    <xf numFmtId="0" fontId="51" fillId="0" borderId="314" xfId="0" applyFont="1" applyFill="1" applyBorder="1" applyAlignment="1" applyProtection="1">
      <alignment horizontal="center" vertical="center" wrapText="1"/>
    </xf>
    <xf numFmtId="0" fontId="51" fillId="0" borderId="315" xfId="0" applyFont="1" applyFill="1" applyBorder="1" applyAlignment="1" applyProtection="1">
      <alignment horizontal="center" vertical="center" wrapText="1"/>
    </xf>
    <xf numFmtId="0" fontId="51" fillId="0" borderId="319" xfId="0" applyFont="1" applyFill="1" applyBorder="1" applyAlignment="1" applyProtection="1">
      <alignment horizontal="center" vertical="center" wrapText="1"/>
    </xf>
    <xf numFmtId="0" fontId="51" fillId="0" borderId="312" xfId="0" applyFont="1" applyFill="1" applyBorder="1" applyAlignment="1" applyProtection="1">
      <alignment horizontal="center" vertical="center" wrapText="1"/>
    </xf>
    <xf numFmtId="0" fontId="35" fillId="0" borderId="340" xfId="0" applyFont="1" applyFill="1" applyBorder="1" applyAlignment="1" applyProtection="1">
      <alignment horizontal="center" vertical="center" wrapText="1"/>
    </xf>
    <xf numFmtId="0" fontId="35" fillId="0" borderId="397" xfId="0" applyFont="1" applyFill="1" applyBorder="1" applyAlignment="1" applyProtection="1">
      <alignment horizontal="center" vertical="center" wrapText="1"/>
    </xf>
    <xf numFmtId="0" fontId="35" fillId="0" borderId="155" xfId="0" applyFont="1" applyFill="1" applyBorder="1" applyAlignment="1" applyProtection="1">
      <alignment horizontal="center" vertical="center" wrapText="1"/>
    </xf>
    <xf numFmtId="0" fontId="35" fillId="0" borderId="398" xfId="0" applyFont="1" applyFill="1" applyBorder="1" applyAlignment="1" applyProtection="1">
      <alignment horizontal="center" vertical="center" wrapText="1"/>
    </xf>
    <xf numFmtId="0" fontId="35" fillId="0" borderId="400" xfId="0" applyFont="1" applyFill="1" applyBorder="1" applyAlignment="1" applyProtection="1">
      <alignment horizontal="center" vertical="center" wrapText="1"/>
    </xf>
    <xf numFmtId="0" fontId="35" fillId="0" borderId="402" xfId="0" applyFont="1" applyFill="1" applyBorder="1" applyAlignment="1" applyProtection="1">
      <alignment horizontal="center" vertical="center" wrapText="1"/>
    </xf>
    <xf numFmtId="0" fontId="40" fillId="0" borderId="312" xfId="0" applyNumberFormat="1" applyFont="1" applyFill="1" applyBorder="1" applyAlignment="1" applyProtection="1">
      <alignment horizontal="left" vertical="center"/>
    </xf>
    <xf numFmtId="0" fontId="40" fillId="0" borderId="312" xfId="0" applyFont="1" applyFill="1" applyBorder="1" applyAlignment="1" applyProtection="1">
      <alignment horizontal="left"/>
    </xf>
    <xf numFmtId="0" fontId="40" fillId="0" borderId="315" xfId="0" applyFont="1" applyFill="1" applyBorder="1" applyAlignment="1" applyProtection="1">
      <alignment horizontal="left" vertical="center"/>
    </xf>
    <xf numFmtId="0" fontId="40" fillId="0" borderId="401" xfId="0" applyFont="1" applyFill="1" applyBorder="1" applyAlignment="1" applyProtection="1">
      <alignment horizontal="left" vertical="center"/>
    </xf>
    <xf numFmtId="0" fontId="70" fillId="0" borderId="151" xfId="0" applyFont="1" applyFill="1" applyBorder="1" applyAlignment="1" applyProtection="1">
      <alignment horizontal="left" vertical="center"/>
    </xf>
    <xf numFmtId="10" fontId="54" fillId="9" borderId="316" xfId="2" applyNumberFormat="1" applyFont="1" applyFill="1" applyBorder="1" applyAlignment="1" applyProtection="1">
      <alignment horizontal="center" vertical="center" wrapText="1"/>
    </xf>
    <xf numFmtId="10" fontId="54" fillId="9" borderId="320" xfId="2" applyNumberFormat="1" applyFont="1" applyFill="1" applyBorder="1" applyAlignment="1" applyProtection="1">
      <alignment horizontal="center" vertical="center" wrapText="1"/>
    </xf>
    <xf numFmtId="10" fontId="54" fillId="9" borderId="323" xfId="2" applyNumberFormat="1" applyFont="1" applyFill="1" applyBorder="1" applyAlignment="1" applyProtection="1">
      <alignment horizontal="center" vertical="center" wrapText="1"/>
    </xf>
    <xf numFmtId="0" fontId="40" fillId="0" borderId="154" xfId="0" applyFont="1" applyBorder="1" applyAlignment="1" applyProtection="1">
      <alignment horizontal="center" vertical="center"/>
    </xf>
    <xf numFmtId="0" fontId="40" fillId="0" borderId="144" xfId="0" applyFont="1" applyBorder="1" applyAlignment="1" applyProtection="1">
      <alignment horizontal="center" vertical="center"/>
    </xf>
    <xf numFmtId="0" fontId="40" fillId="0" borderId="526" xfId="0" applyFont="1" applyBorder="1" applyAlignment="1" applyProtection="1">
      <alignment horizontal="center" vertical="center"/>
    </xf>
    <xf numFmtId="0" fontId="40" fillId="0" borderId="156" xfId="0" applyFont="1" applyBorder="1" applyAlignment="1" applyProtection="1">
      <alignment horizontal="center" vertical="center"/>
    </xf>
    <xf numFmtId="0" fontId="40" fillId="0" borderId="151" xfId="0" applyFont="1" applyBorder="1" applyAlignment="1" applyProtection="1">
      <alignment horizontal="center" vertical="center"/>
    </xf>
    <xf numFmtId="0" fontId="40" fillId="0" borderId="527" xfId="0" applyFont="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6" xfId="0" applyFont="1" applyFill="1" applyBorder="1" applyAlignment="1" applyProtection="1">
      <alignment horizontal="center" vertical="center"/>
    </xf>
    <xf numFmtId="0" fontId="40" fillId="0" borderId="151" xfId="0" applyFont="1" applyFill="1" applyBorder="1" applyAlignment="1" applyProtection="1">
      <alignment horizontal="center" vertical="center"/>
    </xf>
    <xf numFmtId="0" fontId="40" fillId="0" borderId="157" xfId="0" applyFont="1" applyFill="1" applyBorder="1" applyAlignment="1" applyProtection="1">
      <alignment horizontal="center" vertical="center"/>
    </xf>
    <xf numFmtId="0" fontId="40" fillId="0" borderId="344" xfId="0" applyFont="1" applyBorder="1" applyAlignment="1" applyProtection="1">
      <alignment horizontal="center" vertical="center"/>
    </xf>
    <xf numFmtId="0" fontId="40" fillId="0" borderId="339" xfId="0" applyFont="1" applyBorder="1" applyAlignment="1" applyProtection="1">
      <alignment horizontal="center" vertical="center"/>
    </xf>
    <xf numFmtId="0" fontId="40" fillId="0" borderId="146" xfId="0" applyFont="1" applyBorder="1" applyAlignment="1" applyProtection="1">
      <alignment horizontal="center" vertical="center"/>
    </xf>
    <xf numFmtId="0" fontId="40" fillId="0" borderId="157" xfId="0" applyFont="1" applyBorder="1" applyAlignment="1" applyProtection="1">
      <alignment horizontal="center" vertical="center"/>
    </xf>
    <xf numFmtId="0" fontId="40" fillId="0" borderId="154" xfId="0" applyFont="1" applyFill="1" applyBorder="1" applyAlignment="1" applyProtection="1">
      <alignment horizontal="center" vertical="center"/>
    </xf>
    <xf numFmtId="0" fontId="40" fillId="0" borderId="344" xfId="0" applyFont="1" applyFill="1" applyBorder="1" applyAlignment="1" applyProtection="1">
      <alignment horizontal="center" vertical="center"/>
    </xf>
    <xf numFmtId="0" fontId="40" fillId="0" borderId="156" xfId="0" applyFont="1" applyFill="1" applyBorder="1" applyAlignment="1" applyProtection="1">
      <alignment horizontal="center" vertical="center"/>
    </xf>
    <xf numFmtId="0" fontId="40" fillId="0" borderId="339" xfId="0" applyFont="1" applyFill="1" applyBorder="1" applyAlignment="1" applyProtection="1">
      <alignment horizontal="center" vertical="center"/>
    </xf>
    <xf numFmtId="0" fontId="35" fillId="0" borderId="319" xfId="0" applyFont="1" applyFill="1" applyBorder="1" applyAlignment="1" applyProtection="1">
      <alignment horizontal="center" vertical="center" wrapText="1"/>
    </xf>
    <xf numFmtId="0" fontId="35" fillId="0" borderId="312" xfId="0" applyFont="1" applyFill="1" applyBorder="1" applyAlignment="1" applyProtection="1">
      <alignment horizontal="center" vertical="center" wrapText="1"/>
    </xf>
    <xf numFmtId="0" fontId="35" fillId="0" borderId="405" xfId="0" applyFont="1" applyFill="1" applyBorder="1" applyAlignment="1" applyProtection="1">
      <alignment horizontal="center" vertical="center" wrapText="1"/>
    </xf>
    <xf numFmtId="0" fontId="35" fillId="0" borderId="401" xfId="0" applyFont="1" applyFill="1" applyBorder="1" applyAlignment="1" applyProtection="1">
      <alignment horizontal="center" vertical="center" wrapText="1"/>
    </xf>
    <xf numFmtId="0" fontId="31" fillId="13" borderId="105" xfId="0" applyFont="1" applyFill="1" applyBorder="1" applyAlignment="1" applyProtection="1">
      <alignment horizontal="center" vertical="center"/>
    </xf>
    <xf numFmtId="0" fontId="31" fillId="13" borderId="106" xfId="0" applyFont="1" applyFill="1" applyBorder="1" applyAlignment="1" applyProtection="1">
      <alignment horizontal="center" vertical="center"/>
    </xf>
    <xf numFmtId="0" fontId="40" fillId="0" borderId="314" xfId="0" applyFont="1" applyFill="1" applyBorder="1" applyAlignment="1" applyProtection="1">
      <alignment horizontal="center" vertical="center" wrapText="1"/>
    </xf>
    <xf numFmtId="0" fontId="40" fillId="0" borderId="315" xfId="0" applyFont="1" applyFill="1" applyBorder="1" applyAlignment="1" applyProtection="1">
      <alignment horizontal="center" vertical="center" wrapText="1"/>
    </xf>
    <xf numFmtId="0" fontId="40" fillId="0" borderId="319" xfId="0" applyFont="1" applyFill="1" applyBorder="1" applyAlignment="1" applyProtection="1">
      <alignment horizontal="center" vertical="center" wrapText="1"/>
    </xf>
    <xf numFmtId="0" fontId="40" fillId="0" borderId="312" xfId="0" applyFont="1" applyFill="1" applyBorder="1" applyAlignment="1" applyProtection="1">
      <alignment horizontal="center" vertical="center" wrapText="1"/>
    </xf>
    <xf numFmtId="0" fontId="40" fillId="0" borderId="321" xfId="0" applyFont="1" applyFill="1" applyBorder="1" applyAlignment="1" applyProtection="1">
      <alignment horizontal="center" vertical="center" wrapText="1"/>
    </xf>
    <xf numFmtId="0" fontId="40" fillId="0" borderId="322" xfId="0" applyFont="1" applyFill="1" applyBorder="1" applyAlignment="1" applyProtection="1">
      <alignment horizontal="center" vertical="center" wrapText="1"/>
    </xf>
    <xf numFmtId="10" fontId="54" fillId="9" borderId="146" xfId="2" applyNumberFormat="1" applyFont="1" applyFill="1" applyBorder="1" applyAlignment="1" applyProtection="1">
      <alignment horizontal="center" vertical="center" wrapText="1"/>
    </xf>
    <xf numFmtId="10" fontId="54" fillId="9" borderId="157" xfId="2" applyNumberFormat="1" applyFont="1" applyFill="1" applyBorder="1" applyAlignment="1" applyProtection="1">
      <alignment horizontal="center" vertical="center" wrapText="1"/>
    </xf>
    <xf numFmtId="0" fontId="40" fillId="9" borderId="403" xfId="0" applyFont="1" applyFill="1" applyBorder="1" applyAlignment="1" applyProtection="1">
      <alignment horizontal="left" vertical="center"/>
    </xf>
    <xf numFmtId="0" fontId="27" fillId="13" borderId="50" xfId="0" applyFont="1" applyFill="1" applyBorder="1" applyAlignment="1" applyProtection="1">
      <alignment horizontal="center" vertical="center"/>
    </xf>
    <xf numFmtId="0" fontId="27" fillId="13" borderId="97" xfId="0" applyFont="1" applyFill="1" applyBorder="1" applyAlignment="1" applyProtection="1">
      <alignment horizontal="center" vertical="center"/>
    </xf>
    <xf numFmtId="0" fontId="40" fillId="9" borderId="322" xfId="0" applyFont="1" applyFill="1" applyBorder="1" applyAlignment="1" applyProtection="1">
      <alignment horizontal="left" vertical="center"/>
    </xf>
    <xf numFmtId="0" fontId="40" fillId="9" borderId="313" xfId="0" applyFont="1" applyFill="1" applyBorder="1" applyAlignment="1" applyProtection="1">
      <alignment horizontal="left" vertical="center"/>
    </xf>
    <xf numFmtId="0" fontId="36" fillId="0" borderId="152" xfId="6" applyBorder="1" applyAlignment="1" applyProtection="1">
      <alignment horizontal="center" vertical="center" wrapText="1"/>
      <protection locked="0"/>
    </xf>
    <xf numFmtId="0" fontId="36" fillId="0" borderId="152" xfId="6" applyBorder="1" applyAlignment="1" applyProtection="1">
      <alignment horizontal="center" vertical="center"/>
      <protection locked="0"/>
    </xf>
    <xf numFmtId="0" fontId="36" fillId="0" borderId="153" xfId="6" applyBorder="1" applyAlignment="1" applyProtection="1">
      <alignment horizontal="center" vertical="center"/>
      <protection locked="0"/>
    </xf>
    <xf numFmtId="0" fontId="71" fillId="0" borderId="151" xfId="0" applyFont="1" applyFill="1" applyBorder="1" applyAlignment="1" applyProtection="1">
      <alignment horizontal="left" vertical="center"/>
    </xf>
    <xf numFmtId="0" fontId="40" fillId="0" borderId="324" xfId="0" applyFont="1" applyFill="1" applyBorder="1" applyAlignment="1" applyProtection="1">
      <alignment horizontal="center" vertical="center"/>
    </xf>
    <xf numFmtId="0" fontId="40" fillId="0" borderId="325" xfId="0" applyFont="1" applyFill="1" applyBorder="1" applyAlignment="1" applyProtection="1">
      <alignment horizontal="center" vertical="center"/>
    </xf>
    <xf numFmtId="0" fontId="38" fillId="2" borderId="45" xfId="0" applyFont="1" applyFill="1" applyBorder="1" applyAlignment="1" applyProtection="1">
      <alignment horizontal="left" vertical="center" wrapText="1"/>
    </xf>
    <xf numFmtId="0" fontId="38" fillId="2" borderId="190" xfId="0" applyFont="1" applyFill="1" applyBorder="1" applyAlignment="1" applyProtection="1">
      <alignment horizontal="left" vertical="center" wrapText="1"/>
    </xf>
    <xf numFmtId="0" fontId="38" fillId="2" borderId="151" xfId="0" applyFont="1" applyFill="1" applyBorder="1" applyAlignment="1" applyProtection="1">
      <alignment horizontal="left" vertical="center" wrapText="1"/>
    </xf>
    <xf numFmtId="0" fontId="38" fillId="2" borderId="157" xfId="0" applyFont="1" applyFill="1" applyBorder="1" applyAlignment="1" applyProtection="1">
      <alignment horizontal="left" vertical="center" wrapText="1"/>
    </xf>
    <xf numFmtId="166" fontId="39" fillId="2" borderId="4" xfId="1" applyNumberFormat="1" applyFont="1" applyFill="1" applyBorder="1" applyAlignment="1" applyProtection="1">
      <alignment horizontal="left" vertical="center"/>
    </xf>
    <xf numFmtId="166" fontId="39" fillId="2" borderId="151" xfId="1" applyNumberFormat="1" applyFont="1" applyFill="1" applyBorder="1" applyAlignment="1" applyProtection="1">
      <alignment horizontal="left" vertical="center"/>
    </xf>
    <xf numFmtId="0" fontId="37" fillId="0" borderId="139" xfId="0" applyFont="1" applyBorder="1" applyAlignment="1" applyProtection="1">
      <alignment horizontal="center" vertical="center"/>
    </xf>
    <xf numFmtId="0" fontId="37" fillId="0" borderId="140" xfId="0" applyFont="1" applyBorder="1" applyAlignment="1" applyProtection="1">
      <alignment horizontal="center" vertical="center"/>
    </xf>
    <xf numFmtId="0" fontId="37" fillId="0" borderId="141" xfId="0" applyFont="1" applyBorder="1" applyAlignment="1" applyProtection="1">
      <alignment horizontal="center" vertical="center"/>
    </xf>
    <xf numFmtId="0" fontId="36" fillId="0" borderId="153" xfId="6" applyBorder="1" applyAlignment="1" applyProtection="1">
      <alignment horizontal="center" vertical="center" wrapText="1"/>
      <protection locked="0"/>
    </xf>
    <xf numFmtId="0" fontId="38" fillId="2" borderId="144" xfId="0" applyFont="1" applyFill="1" applyBorder="1" applyAlignment="1" applyProtection="1">
      <alignment horizontal="left" vertical="center" wrapText="1"/>
    </xf>
    <xf numFmtId="0" fontId="38" fillId="2" borderId="146" xfId="0"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0" fontId="38" fillId="2" borderId="148" xfId="0" applyFont="1" applyFill="1" applyBorder="1" applyAlignment="1" applyProtection="1">
      <alignment horizontal="left" vertical="center" wrapText="1"/>
    </xf>
    <xf numFmtId="166" fontId="39" fillId="2" borderId="2" xfId="1" applyNumberFormat="1" applyFont="1" applyFill="1" applyBorder="1" applyAlignment="1" applyProtection="1">
      <alignment horizontal="left" vertical="center"/>
    </xf>
    <xf numFmtId="166" fontId="39" fillId="2" borderId="150" xfId="1" applyNumberFormat="1" applyFont="1" applyFill="1" applyBorder="1" applyAlignment="1" applyProtection="1">
      <alignment horizontal="left" vertical="center"/>
    </xf>
    <xf numFmtId="0" fontId="38" fillId="2" borderId="0" xfId="0" applyFont="1" applyFill="1" applyBorder="1" applyAlignment="1" applyProtection="1">
      <alignment horizontal="left" vertical="center" wrapText="1" indent="1"/>
    </xf>
    <xf numFmtId="0" fontId="38" fillId="2" borderId="151" xfId="0" applyFont="1" applyFill="1" applyBorder="1" applyAlignment="1" applyProtection="1">
      <alignment horizontal="left" vertical="center" wrapText="1" indent="1"/>
    </xf>
    <xf numFmtId="0" fontId="36" fillId="0" borderId="486" xfId="6" applyBorder="1" applyAlignment="1" applyProtection="1">
      <alignment horizontal="center" vertical="center" wrapText="1"/>
      <protection locked="0"/>
    </xf>
    <xf numFmtId="166" fontId="39" fillId="2" borderId="143" xfId="1" applyNumberFormat="1" applyFont="1" applyFill="1" applyBorder="1" applyAlignment="1" applyProtection="1">
      <alignment horizontal="left" vertical="center"/>
    </xf>
    <xf numFmtId="166" fontId="39" fillId="2" borderId="3" xfId="1" applyNumberFormat="1" applyFont="1" applyFill="1" applyBorder="1" applyAlignment="1" applyProtection="1">
      <alignment horizontal="left" vertical="center"/>
    </xf>
    <xf numFmtId="0" fontId="38" fillId="2" borderId="144" xfId="0" applyFont="1" applyFill="1" applyBorder="1" applyAlignment="1" applyProtection="1">
      <alignment horizontal="left" vertical="center" wrapText="1" indent="1"/>
    </xf>
    <xf numFmtId="0" fontId="38" fillId="2" borderId="2" xfId="0" applyFont="1" applyFill="1" applyBorder="1" applyAlignment="1" applyProtection="1">
      <alignment horizontal="left" vertical="center" wrapText="1" indent="1"/>
    </xf>
    <xf numFmtId="166" fontId="39" fillId="2" borderId="164" xfId="1" applyNumberFormat="1" applyFont="1" applyFill="1" applyBorder="1" applyAlignment="1" applyProtection="1">
      <alignment horizontal="left" vertical="center"/>
    </xf>
    <xf numFmtId="166" fontId="39" fillId="2" borderId="144" xfId="1" applyNumberFormat="1" applyFont="1" applyFill="1" applyBorder="1" applyAlignment="1" applyProtection="1">
      <alignment horizontal="left" vertical="center"/>
    </xf>
    <xf numFmtId="166" fontId="39" fillId="2" borderId="286" xfId="1" applyNumberFormat="1" applyFont="1" applyFill="1" applyBorder="1" applyAlignment="1" applyProtection="1">
      <alignment horizontal="left" vertical="center"/>
    </xf>
    <xf numFmtId="0" fontId="73" fillId="9" borderId="418" xfId="0" applyFont="1" applyFill="1" applyBorder="1" applyAlignment="1" applyProtection="1">
      <alignment horizontal="left" vertical="center" wrapText="1"/>
    </xf>
    <xf numFmtId="0" fontId="73" fillId="9" borderId="419" xfId="0" applyFont="1" applyFill="1" applyBorder="1" applyAlignment="1" applyProtection="1">
      <alignment horizontal="left" vertical="center" wrapText="1"/>
    </xf>
    <xf numFmtId="0" fontId="73" fillId="9" borderId="420" xfId="0" applyFont="1" applyFill="1" applyBorder="1" applyAlignment="1" applyProtection="1">
      <alignment horizontal="left" vertical="center" wrapText="1"/>
    </xf>
    <xf numFmtId="0" fontId="40" fillId="0" borderId="504" xfId="0" applyFont="1" applyBorder="1" applyAlignment="1" applyProtection="1">
      <alignment horizontal="center" vertical="center"/>
    </xf>
    <xf numFmtId="0" fontId="40" fillId="0" borderId="492" xfId="0" applyFont="1" applyBorder="1" applyAlignment="1" applyProtection="1">
      <alignment horizontal="center" vertical="center"/>
    </xf>
    <xf numFmtId="0" fontId="40" fillId="0" borderId="498" xfId="0" applyFont="1" applyBorder="1" applyAlignment="1" applyProtection="1">
      <alignment horizontal="center" vertical="center"/>
    </xf>
    <xf numFmtId="0" fontId="40" fillId="0" borderId="505" xfId="0" applyFont="1" applyBorder="1" applyAlignment="1" applyProtection="1">
      <alignment horizontal="center" vertical="center"/>
      <protection locked="0"/>
    </xf>
    <xf numFmtId="0" fontId="40" fillId="0" borderId="506" xfId="0" applyFont="1" applyBorder="1" applyAlignment="1" applyProtection="1">
      <alignment horizontal="center" vertical="center"/>
      <protection locked="0"/>
    </xf>
    <xf numFmtId="0" fontId="40" fillId="0" borderId="509" xfId="0" applyFont="1" applyBorder="1" applyAlignment="1" applyProtection="1">
      <alignment horizontal="center" vertical="center"/>
      <protection locked="0"/>
    </xf>
    <xf numFmtId="0" fontId="40" fillId="0" borderId="501" xfId="0" applyFont="1" applyBorder="1" applyAlignment="1" applyProtection="1">
      <alignment horizontal="center" vertical="center" wrapText="1"/>
    </xf>
    <xf numFmtId="0" fontId="40" fillId="0" borderId="502" xfId="0" applyFont="1" applyBorder="1" applyAlignment="1" applyProtection="1">
      <alignment horizontal="center" vertical="center" wrapText="1"/>
    </xf>
    <xf numFmtId="170" fontId="40" fillId="0" borderId="510" xfId="0" applyNumberFormat="1" applyFont="1" applyBorder="1" applyAlignment="1" applyProtection="1">
      <alignment horizontal="center" vertical="center"/>
    </xf>
    <xf numFmtId="170" fontId="40" fillId="0" borderId="511" xfId="0" applyNumberFormat="1" applyFont="1" applyBorder="1" applyAlignment="1" applyProtection="1">
      <alignment horizontal="center" vertical="center"/>
    </xf>
    <xf numFmtId="170" fontId="40" fillId="0" borderId="144" xfId="0" applyNumberFormat="1" applyFont="1" applyBorder="1" applyAlignment="1" applyProtection="1">
      <alignment horizontal="center" vertical="center"/>
    </xf>
    <xf numFmtId="170" fontId="40" fillId="0" borderId="151" xfId="0" applyNumberFormat="1" applyFont="1" applyBorder="1" applyAlignment="1" applyProtection="1">
      <alignment horizontal="center" vertical="center"/>
    </xf>
    <xf numFmtId="0" fontId="40" fillId="0" borderId="505" xfId="0" applyFont="1" applyBorder="1" applyAlignment="1" applyProtection="1">
      <alignment horizontal="center" vertical="center" wrapText="1"/>
    </xf>
    <xf numFmtId="0" fontId="40" fillId="0" borderId="506" xfId="0" applyFont="1" applyBorder="1" applyAlignment="1" applyProtection="1">
      <alignment horizontal="center" vertical="center" wrapText="1"/>
    </xf>
    <xf numFmtId="170" fontId="40" fillId="0" borderId="513" xfId="0" applyNumberFormat="1" applyFont="1" applyBorder="1" applyAlignment="1" applyProtection="1">
      <alignment horizontal="center" vertical="center"/>
    </xf>
    <xf numFmtId="170" fontId="40" fillId="0" borderId="519" xfId="0" applyNumberFormat="1" applyFont="1" applyBorder="1" applyAlignment="1" applyProtection="1">
      <alignment horizontal="center" vertical="center"/>
    </xf>
    <xf numFmtId="170" fontId="40" fillId="0" borderId="521" xfId="0" applyNumberFormat="1" applyFont="1" applyBorder="1" applyAlignment="1" applyProtection="1">
      <alignment horizontal="center" vertical="center"/>
    </xf>
    <xf numFmtId="0" fontId="36" fillId="0" borderId="304" xfId="6" applyBorder="1" applyAlignment="1" applyProtection="1">
      <alignment horizontal="center" vertical="center" wrapText="1"/>
      <protection locked="0"/>
    </xf>
    <xf numFmtId="0" fontId="36" fillId="0" borderId="305" xfId="6" applyBorder="1" applyAlignment="1" applyProtection="1">
      <alignment horizontal="center" vertical="center"/>
      <protection locked="0"/>
    </xf>
    <xf numFmtId="0" fontId="36" fillId="0" borderId="306" xfId="6" applyBorder="1" applyAlignment="1" applyProtection="1">
      <alignment horizontal="center" vertical="center"/>
      <protection locked="0"/>
    </xf>
    <xf numFmtId="0" fontId="36" fillId="0" borderId="307" xfId="6" applyBorder="1" applyAlignment="1" applyProtection="1">
      <alignment horizontal="center" vertical="center"/>
      <protection locked="0"/>
    </xf>
    <xf numFmtId="0" fontId="40" fillId="12" borderId="156" xfId="0" applyFont="1" applyFill="1" applyBorder="1" applyAlignment="1" applyProtection="1">
      <alignment horizontal="left"/>
      <protection locked="0"/>
    </xf>
    <xf numFmtId="0" fontId="40" fillId="12" borderId="151" xfId="0" applyFont="1" applyFill="1" applyBorder="1" applyAlignment="1" applyProtection="1">
      <alignment horizontal="left"/>
      <protection locked="0"/>
    </xf>
    <xf numFmtId="0" fontId="40" fillId="12" borderId="157" xfId="0" applyFont="1" applyFill="1" applyBorder="1" applyAlignment="1" applyProtection="1">
      <alignment horizontal="left"/>
      <protection locked="0"/>
    </xf>
    <xf numFmtId="0" fontId="18" fillId="12" borderId="151" xfId="0" applyFont="1" applyFill="1" applyBorder="1" applyAlignment="1" applyProtection="1">
      <alignment horizontal="center" wrapText="1"/>
      <protection locked="0"/>
    </xf>
    <xf numFmtId="0" fontId="18" fillId="12" borderId="157" xfId="0" applyFont="1" applyFill="1" applyBorder="1" applyAlignment="1" applyProtection="1">
      <alignment horizontal="center" wrapText="1"/>
      <protection locked="0"/>
    </xf>
    <xf numFmtId="0" fontId="40" fillId="4" borderId="155" xfId="0" applyFont="1" applyFill="1" applyBorder="1" applyAlignment="1" applyProtection="1">
      <alignment horizontal="left"/>
      <protection locked="0"/>
    </xf>
    <xf numFmtId="0" fontId="40" fillId="4" borderId="0" xfId="0" applyFont="1" applyFill="1" applyBorder="1" applyAlignment="1" applyProtection="1">
      <alignment horizontal="left"/>
      <protection locked="0"/>
    </xf>
    <xf numFmtId="0" fontId="40" fillId="4" borderId="148" xfId="0" applyFont="1" applyFill="1" applyBorder="1" applyAlignment="1" applyProtection="1">
      <alignment horizontal="left"/>
      <protection locked="0"/>
    </xf>
    <xf numFmtId="0" fontId="18" fillId="0" borderId="0" xfId="0" applyFont="1" applyFill="1" applyBorder="1" applyAlignment="1" applyProtection="1">
      <alignment horizontal="center" wrapText="1"/>
      <protection locked="0"/>
    </xf>
    <xf numFmtId="0" fontId="18" fillId="0" borderId="148" xfId="0" applyFont="1" applyFill="1" applyBorder="1" applyAlignment="1" applyProtection="1">
      <alignment horizontal="center" wrapText="1"/>
      <protection locked="0"/>
    </xf>
    <xf numFmtId="0" fontId="40" fillId="12" borderId="155" xfId="0" applyFont="1" applyFill="1" applyBorder="1" applyAlignment="1" applyProtection="1">
      <alignment horizontal="left"/>
      <protection locked="0"/>
    </xf>
    <xf numFmtId="0" fontId="40" fillId="12" borderId="0" xfId="0" applyFont="1" applyFill="1" applyBorder="1" applyAlignment="1" applyProtection="1">
      <alignment horizontal="left"/>
      <protection locked="0"/>
    </xf>
    <xf numFmtId="0" fontId="40" fillId="12" borderId="148" xfId="0" applyFont="1" applyFill="1" applyBorder="1" applyAlignment="1" applyProtection="1">
      <alignment horizontal="left"/>
      <protection locked="0"/>
    </xf>
    <xf numFmtId="0" fontId="18" fillId="12" borderId="0" xfId="0" applyFont="1" applyFill="1" applyBorder="1" applyAlignment="1" applyProtection="1">
      <alignment horizontal="center" wrapText="1"/>
      <protection locked="0"/>
    </xf>
    <xf numFmtId="0" fontId="18" fillId="12" borderId="148" xfId="0" applyFont="1" applyFill="1" applyBorder="1" applyAlignment="1" applyProtection="1">
      <alignment horizontal="center" wrapText="1"/>
      <protection locked="0"/>
    </xf>
    <xf numFmtId="0" fontId="40" fillId="0" borderId="154" xfId="0" applyFont="1" applyBorder="1" applyAlignment="1" applyProtection="1">
      <alignment horizontal="center" vertical="center"/>
      <protection locked="0"/>
    </xf>
    <xf numFmtId="0" fontId="40" fillId="0" borderId="144" xfId="0" applyFont="1" applyBorder="1" applyAlignment="1" applyProtection="1">
      <alignment horizontal="center" vertical="center"/>
      <protection locked="0"/>
    </xf>
    <xf numFmtId="0" fontId="40" fillId="0" borderId="146" xfId="0" applyFont="1" applyBorder="1" applyAlignment="1" applyProtection="1">
      <alignment horizontal="center" vertical="center"/>
      <protection locked="0"/>
    </xf>
    <xf numFmtId="0" fontId="40" fillId="0" borderId="156" xfId="0" applyFont="1" applyBorder="1" applyAlignment="1" applyProtection="1">
      <alignment horizontal="center" vertical="center"/>
      <protection locked="0"/>
    </xf>
    <xf numFmtId="0" fontId="40" fillId="0" borderId="151" xfId="0" applyFont="1" applyBorder="1" applyAlignment="1" applyProtection="1">
      <alignment horizontal="center" vertical="center"/>
      <protection locked="0"/>
    </xf>
    <xf numFmtId="0" fontId="40" fillId="0" borderId="157" xfId="0" applyFont="1" applyBorder="1" applyAlignment="1" applyProtection="1">
      <alignment horizontal="center" vertical="center"/>
      <protection locked="0"/>
    </xf>
    <xf numFmtId="0" fontId="40" fillId="0" borderId="144" xfId="0" applyFont="1" applyBorder="1" applyAlignment="1" applyProtection="1">
      <alignment horizontal="center" vertical="center" wrapText="1"/>
    </xf>
    <xf numFmtId="0" fontId="40" fillId="0" borderId="146" xfId="0" applyFont="1" applyBorder="1" applyAlignment="1" applyProtection="1">
      <alignment horizontal="center" vertical="center" wrapText="1"/>
    </xf>
    <xf numFmtId="0" fontId="40" fillId="0" borderId="151" xfId="0" applyFont="1" applyBorder="1" applyAlignment="1" applyProtection="1">
      <alignment horizontal="center" vertical="center" wrapText="1"/>
    </xf>
    <xf numFmtId="0" fontId="40" fillId="0" borderId="157" xfId="0" applyFont="1" applyBorder="1" applyAlignment="1" applyProtection="1">
      <alignment horizontal="center" vertical="center" wrapText="1"/>
    </xf>
    <xf numFmtId="0" fontId="40" fillId="0" borderId="155" xfId="0" applyFont="1" applyFill="1" applyBorder="1" applyAlignment="1" applyProtection="1">
      <alignment horizontal="left"/>
      <protection locked="0"/>
    </xf>
    <xf numFmtId="0" fontId="40" fillId="0" borderId="0" xfId="0" applyFont="1" applyFill="1" applyBorder="1" applyAlignment="1" applyProtection="1">
      <alignment horizontal="left"/>
      <protection locked="0"/>
    </xf>
    <xf numFmtId="0" fontId="40" fillId="0" borderId="148" xfId="0" applyFont="1" applyFill="1" applyBorder="1" applyAlignment="1" applyProtection="1">
      <alignment horizontal="left"/>
      <protection locked="0"/>
    </xf>
    <xf numFmtId="0" fontId="27" fillId="13" borderId="144" xfId="0" applyFont="1" applyFill="1" applyBorder="1" applyAlignment="1" applyProtection="1">
      <alignment horizontal="left" vertical="center"/>
    </xf>
    <xf numFmtId="0" fontId="27" fillId="13" borderId="146" xfId="0" applyFont="1" applyFill="1" applyBorder="1" applyAlignment="1" applyProtection="1">
      <alignment horizontal="left" vertical="center"/>
    </xf>
    <xf numFmtId="0" fontId="27" fillId="13" borderId="151" xfId="0" applyFont="1" applyFill="1" applyBorder="1" applyAlignment="1" applyProtection="1">
      <alignment horizontal="left" vertical="center"/>
    </xf>
    <xf numFmtId="0" fontId="27" fillId="13" borderId="157" xfId="0" applyFont="1" applyFill="1" applyBorder="1" applyAlignment="1" applyProtection="1">
      <alignment horizontal="left" vertical="center"/>
    </xf>
    <xf numFmtId="0" fontId="31" fillId="13" borderId="154" xfId="0" applyFont="1" applyFill="1" applyBorder="1" applyAlignment="1" applyProtection="1">
      <alignment horizontal="center" vertical="center"/>
    </xf>
    <xf numFmtId="0" fontId="31" fillId="13" borderId="156" xfId="0" applyFont="1" applyFill="1" applyBorder="1" applyAlignment="1" applyProtection="1">
      <alignment horizontal="center" vertical="center"/>
    </xf>
    <xf numFmtId="0" fontId="36" fillId="0" borderId="152" xfId="6" applyBorder="1" applyAlignment="1" applyProtection="1">
      <alignment horizontal="center" vertical="center" wrapText="1"/>
    </xf>
    <xf numFmtId="0" fontId="36" fillId="0" borderId="153" xfId="6" applyBorder="1" applyAlignment="1" applyProtection="1">
      <alignment horizontal="center" vertical="center" wrapText="1"/>
    </xf>
    <xf numFmtId="0" fontId="36" fillId="0" borderId="304" xfId="6" applyBorder="1" applyAlignment="1" applyProtection="1">
      <alignment horizontal="center" vertical="center" wrapText="1"/>
    </xf>
    <xf numFmtId="0" fontId="36" fillId="0" borderId="305" xfId="6" applyBorder="1" applyAlignment="1" applyProtection="1">
      <alignment horizontal="center" vertical="center"/>
    </xf>
    <xf numFmtId="0" fontId="36" fillId="0" borderId="306" xfId="6" applyBorder="1" applyAlignment="1" applyProtection="1">
      <alignment horizontal="center" vertical="center"/>
    </xf>
    <xf numFmtId="0" fontId="36" fillId="0" borderId="307" xfId="6" applyBorder="1" applyAlignment="1" applyProtection="1">
      <alignment horizontal="center" vertical="center"/>
    </xf>
    <xf numFmtId="0" fontId="10" fillId="0" borderId="105" xfId="0" applyFont="1" applyBorder="1" applyAlignment="1" applyProtection="1">
      <alignment horizontal="left" vertical="center" wrapText="1"/>
    </xf>
    <xf numFmtId="0" fontId="10" fillId="0" borderId="50" xfId="0" applyFont="1" applyBorder="1" applyAlignment="1" applyProtection="1">
      <alignment horizontal="left" vertical="center" wrapText="1"/>
    </xf>
    <xf numFmtId="0" fontId="10" fillId="0" borderId="114" xfId="0" applyFont="1" applyBorder="1" applyAlignment="1" applyProtection="1">
      <alignment horizontal="left" vertical="center" wrapText="1"/>
    </xf>
    <xf numFmtId="0" fontId="27" fillId="13" borderId="50" xfId="0" applyFont="1" applyFill="1" applyBorder="1" applyAlignment="1" applyProtection="1">
      <alignment horizontal="left" vertical="center"/>
    </xf>
    <xf numFmtId="0" fontId="27" fillId="13" borderId="114" xfId="0" applyFont="1" applyFill="1" applyBorder="1" applyAlignment="1" applyProtection="1">
      <alignment horizontal="left" vertical="center"/>
    </xf>
    <xf numFmtId="0" fontId="27" fillId="13" borderId="97" xfId="0" applyFont="1" applyFill="1" applyBorder="1" applyAlignment="1" applyProtection="1">
      <alignment horizontal="left" vertical="center"/>
    </xf>
    <xf numFmtId="0" fontId="27" fillId="13" borderId="99" xfId="0" applyFont="1" applyFill="1" applyBorder="1" applyAlignment="1" applyProtection="1">
      <alignment horizontal="left" vertical="center"/>
    </xf>
    <xf numFmtId="0" fontId="36" fillId="0" borderId="486" xfId="6" applyBorder="1" applyAlignment="1" applyProtection="1">
      <alignment horizontal="center" vertical="center" wrapText="1"/>
    </xf>
    <xf numFmtId="0" fontId="36" fillId="0" borderId="152" xfId="6" applyBorder="1" applyAlignment="1" applyProtection="1">
      <alignment horizontal="center" vertical="center"/>
    </xf>
    <xf numFmtId="0" fontId="36" fillId="0" borderId="153" xfId="6" applyBorder="1" applyAlignment="1" applyProtection="1">
      <alignment horizontal="center" vertical="center"/>
    </xf>
    <xf numFmtId="0" fontId="5" fillId="0" borderId="0" xfId="0" applyFont="1" applyAlignment="1">
      <alignment horizontal="left"/>
    </xf>
  </cellXfs>
  <cellStyles count="14">
    <cellStyle name="Comma 2 10" xfId="4" xr:uid="{00000000-0005-0000-0000-000000000000}"/>
    <cellStyle name="Hipervínculo" xfId="6" builtinId="8"/>
    <cellStyle name="Millares" xfId="5" builtinId="3"/>
    <cellStyle name="Moneda" xfId="13" builtinId="4"/>
    <cellStyle name="Normal" xfId="0" builtinId="0"/>
    <cellStyle name="Normal 2" xfId="3" xr:uid="{00000000-0005-0000-0000-000004000000}"/>
    <cellStyle name="Normal 2 2" xfId="8" xr:uid="{00000000-0005-0000-0000-000005000000}"/>
    <cellStyle name="Normal 2 3" xfId="12" xr:uid="{00000000-0005-0000-0000-000006000000}"/>
    <cellStyle name="Normal 2 6" xfId="9" xr:uid="{00000000-0005-0000-0000-000007000000}"/>
    <cellStyle name="Normal 3" xfId="10" xr:uid="{00000000-0005-0000-0000-000008000000}"/>
    <cellStyle name="Normal 4" xfId="7" xr:uid="{00000000-0005-0000-0000-000009000000}"/>
    <cellStyle name="Normal 5" xfId="11" xr:uid="{00000000-0005-0000-0000-00000A000000}"/>
    <cellStyle name="Porcentaje" xfId="2" builtinId="5"/>
    <cellStyle name="Título 3" xfId="1" builtinId="18"/>
  </cellStyles>
  <dxfs count="878">
    <dxf>
      <alignment vertical="center"/>
    </dxf>
    <dxf>
      <alignment vertical="center"/>
    </dxf>
    <dxf>
      <alignment vertical="center"/>
    </dxf>
    <dxf>
      <alignment vertical="center"/>
    </dxf>
    <dxf>
      <alignment wrapText="1"/>
    </dxf>
    <dxf>
      <alignment horizontal="center"/>
    </dxf>
    <dxf>
      <numFmt numFmtId="165"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165" formatCode="_(* #,##0.00_);_(* \(#,##0.00\);_(* &quot;-&quot;??_);_(@_)"/>
    </dxf>
    <dxf>
      <numFmt numFmtId="165"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165"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165"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5" formatCode="_(* #,##0.00_);_(* \(#,##0.00\);_(* &quot;-&quot;??_);_(@_)"/>
    </dxf>
    <dxf>
      <alignment horizontal="center"/>
    </dxf>
    <dxf>
      <alignment wrapText="1"/>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5"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5" formatCode="_(* #,##0.00_);_(* \(#,##0.00\);_(* &quot;-&quot;??_);_(@_)"/>
    </dxf>
    <dxf>
      <numFmt numFmtId="165" formatCode="_(* #,##0.00_);_(* \(#,##0.00\);_(* &quot;-&quot;??_);_(@_)"/>
    </dxf>
    <dxf>
      <numFmt numFmtId="4" formatCode="#,##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5" formatCode="_(* #,##0.00_);_(* \(#,##0.00\);_(* &quot;-&quot;??_);_(@_)"/>
    </dxf>
    <dxf>
      <numFmt numFmtId="4" formatCode="#,##0.00"/>
    </dxf>
    <dxf>
      <font>
        <sz val="10"/>
      </font>
    </dxf>
    <dxf>
      <font>
        <sz val="10"/>
      </font>
    </dxf>
    <dxf>
      <font>
        <sz val="10"/>
      </font>
    </dxf>
    <dxf>
      <font>
        <sz val="10"/>
      </font>
    </dxf>
    <dxf>
      <font>
        <sz val="10"/>
      </font>
    </dxf>
    <dxf>
      <font>
        <sz val="10"/>
      </font>
    </dxf>
    <dxf>
      <numFmt numFmtId="165" formatCode="_(* #,##0.00_);_(* \(#,##0.00\);_(* &quot;-&quot;??_);_(@_)"/>
    </dxf>
    <dxf>
      <numFmt numFmtId="4" formatCode="#,##0.00"/>
    </dxf>
    <dxf>
      <font>
        <b/>
        <i val="0"/>
        <strike val="0"/>
        <condense val="0"/>
        <extend val="0"/>
        <outline val="0"/>
        <shadow val="0"/>
        <u val="none"/>
        <vertAlign val="baseline"/>
        <sz val="11"/>
        <color auto="1"/>
        <name val="Calibri"/>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fill>
        <patternFill patternType="solid">
          <fgColor indexed="64"/>
          <bgColor theme="1"/>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mediumGray"/>
      </fill>
    </dxf>
    <dxf>
      <font>
        <color rgb="FFFF0000"/>
      </font>
    </dxf>
    <dxf>
      <font>
        <color rgb="FFFF0000"/>
      </font>
    </dxf>
    <dxf>
      <fill>
        <patternFill patternType="mediumGray"/>
      </fill>
    </dxf>
    <dxf>
      <fill>
        <patternFill patternType="mediumGray"/>
      </fill>
    </dxf>
    <dxf>
      <font>
        <color rgb="FFFF0000"/>
      </font>
    </dxf>
    <dxf>
      <fill>
        <patternFill patternType="mediumGray"/>
      </fill>
    </dxf>
    <dxf>
      <fill>
        <patternFill patternType="mediumGray"/>
      </fill>
    </dxf>
    <dxf>
      <fill>
        <patternFill patternType="mediumGray"/>
      </fill>
    </dxf>
    <dxf>
      <fill>
        <patternFill patternType="mediumGray"/>
      </fill>
    </dxf>
    <dxf>
      <fill>
        <patternFill>
          <bgColor theme="5"/>
        </patternFill>
      </fill>
    </dxf>
    <dxf>
      <font>
        <color rgb="FFFF0000"/>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solid">
          <fgColor rgb="FFF2F2F2"/>
          <bgColor rgb="FF000000"/>
        </patternFill>
      </fill>
    </dxf>
    <dxf>
      <font>
        <b/>
        <i val="0"/>
        <strike val="0"/>
        <condense val="0"/>
        <extend val="0"/>
        <outline val="0"/>
        <shadow val="0"/>
        <u val="none"/>
        <vertAlign val="baseline"/>
        <sz val="10"/>
        <color theme="0" tint="-0.34998626667073579"/>
        <name val="Calibri"/>
        <scheme val="minor"/>
      </font>
      <numFmt numFmtId="168"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outline="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u val="none"/>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tint="-0.34998626667073579"/>
        <name val="Calibri"/>
        <scheme val="minor"/>
      </font>
      <numFmt numFmtId="168"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outline val="0"/>
        <shadow val="0"/>
        <u val="none"/>
        <vertAlign val="baseline"/>
        <sz val="10"/>
        <color rgb="FFCC0099"/>
        <name val="Calibri"/>
        <scheme val="minor"/>
      </font>
      <numFmt numFmtId="0" formatCode="General"/>
      <alignment vertical="center" textRotation="0" indent="0" justifyLastLine="0" shrinkToFit="0" readingOrder="0"/>
      <border diagonalUp="0" diagonalDown="0">
        <left style="medium">
          <color auto="1"/>
        </left>
        <right/>
        <top style="medium">
          <color auto="1"/>
        </top>
        <bottom style="medium">
          <color auto="1"/>
        </bottom>
        <vertical style="medium">
          <color auto="1"/>
        </vertical>
        <horizontal style="medium">
          <color auto="1"/>
        </horizontal>
      </border>
      <protection locked="1" hidden="0"/>
    </dxf>
    <dxf>
      <font>
        <strike val="0"/>
        <outline val="0"/>
        <shadow val="0"/>
        <u val="none"/>
        <vertAlign val="baseline"/>
        <sz val="10"/>
        <color rgb="FFCC0099"/>
        <name val="Calibri"/>
        <scheme val="minor"/>
      </font>
      <numFmt numFmtId="165" formatCode="_(* #,##0.00_);_(* \(#,##0.00\);_(* &quot;-&quot;??_);_(@_)"/>
      <alignment vertical="center" textRotation="0" indent="0" justifyLastLine="0" shrinkToFit="0" readingOrder="0"/>
      <border diagonalUp="0" diagonalDown="0">
        <left/>
        <right style="medium">
          <color rgb="FFCC0099"/>
        </right>
        <top/>
        <bottom/>
        <vertical/>
        <horizontal/>
      </border>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left style="medium">
          <color rgb="FFCC0099"/>
        </left>
        <right/>
        <top/>
        <bottom/>
        <vertical/>
        <horizontal/>
      </border>
      <protection locked="1" hidden="0"/>
    </dxf>
    <dxf>
      <font>
        <strike val="0"/>
        <outline val="0"/>
        <shadow val="0"/>
        <u val="none"/>
        <vertAlign val="baseline"/>
        <sz val="10"/>
        <color rgb="FFCC0099"/>
        <name val="Calibri"/>
        <scheme val="minor"/>
      </font>
      <numFmt numFmtId="165" formatCode="_(* #,##0.00_);_(* \(#,##0.00\);_(* &quot;-&quot;??_);_(@_)"/>
      <alignment vertical="center" textRotation="0" indent="0" justifyLastLine="0" shrinkToFit="0" readingOrder="0"/>
      <border diagonalUp="0" diagonalDown="0">
        <left style="medium">
          <color auto="1"/>
        </left>
        <right style="medium">
          <color auto="1"/>
        </right>
        <top style="medium">
          <color auto="1"/>
        </top>
        <bottom style="medium">
          <color auto="1"/>
        </bottom>
        <vertical style="medium">
          <color auto="1"/>
        </vertical>
        <horizontal style="medium">
          <color auto="1"/>
        </horizontal>
      </border>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outline="0">
        <left/>
        <right style="medium">
          <color auto="1"/>
        </right>
        <top style="medium">
          <color auto="1"/>
        </top>
        <bottom style="medium">
          <color auto="1"/>
        </bottom>
      </border>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style="medium">
          <color auto="1"/>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5" formatCode="_(* #,##0.00_);_(* \(#,##0.00\);_(* &quot;-&quot;??_);_(@_)"/>
      <alignment vertical="center" textRotation="0" indent="0" justifyLastLine="0" shrinkToFit="0" readingOrder="0"/>
      <border diagonalUp="0" diagonalDown="0">
        <left style="medium">
          <color auto="1"/>
        </left>
        <right/>
        <top style="medium">
          <color auto="1"/>
        </top>
        <bottom style="medium">
          <color auto="1"/>
        </bottom>
      </border>
      <protection locked="0" hidden="0"/>
    </dxf>
    <dxf>
      <font>
        <strike val="0"/>
        <outline val="0"/>
        <shadow val="0"/>
        <u val="none"/>
        <vertAlign val="baseline"/>
        <sz val="10"/>
        <color rgb="FFCC0099"/>
        <name val="Calibri"/>
        <scheme val="minor"/>
      </font>
      <numFmt numFmtId="165" formatCode="_(* #,##0.00_);_(* \(#,##0.00\);_(* &quot;-&quot;??_);_(@_)"/>
      <alignment horizontal="general" vertical="center" textRotation="0" wrapText="0" indent="0" justifyLastLine="0" shrinkToFit="0" readingOrder="0"/>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outline="0">
        <left/>
        <right style="medium">
          <color auto="1"/>
        </right>
        <top style="medium">
          <color auto="1"/>
        </top>
        <bottom style="medium">
          <color auto="1"/>
        </bottom>
      </border>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style="medium">
          <color auto="1"/>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5" formatCode="_(* #,##0.00_);_(* \(#,##0.00\);_(* &quot;-&quot;??_);_(@_)"/>
      <alignment vertical="center" textRotation="0" indent="0" justifyLastLine="0" shrinkToFit="0" readingOrder="0"/>
      <border diagonalUp="0" diagonalDown="0">
        <left style="medium">
          <color auto="1"/>
        </left>
        <right/>
        <top style="medium">
          <color auto="1"/>
        </top>
        <bottom style="medium">
          <color auto="1"/>
        </bottom>
      </border>
      <protection locked="0" hidden="0"/>
    </dxf>
    <dxf>
      <font>
        <strike val="0"/>
        <outline val="0"/>
        <shadow val="0"/>
        <u val="none"/>
        <vertAlign val="baseline"/>
        <sz val="10"/>
        <color rgb="FFCC0099"/>
        <name val="Calibri"/>
        <scheme val="minor"/>
      </font>
      <numFmt numFmtId="165" formatCode="_(* #,##0.00_);_(* \(#,##0.00\);_(* &quot;-&quot;??_);_(@_)"/>
      <alignment vertical="center" textRotation="0" indent="0" justifyLastLine="0" shrinkToFit="0" readingOrder="0"/>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5" formatCode="_(* #,##0.00_);_(* \(#,##0.00\);_(* &quot;-&quot;??_);_(@_)"/>
      <alignment vertical="center" textRotation="0" indent="0" justifyLastLine="0" shrinkToFit="0" readingOrder="0"/>
      <border diagonalUp="0" diagonalDown="0">
        <left style="medium">
          <color rgb="FFCC0099"/>
        </left>
        <right/>
        <top/>
        <bottom/>
      </border>
      <protection locked="0" hidden="0"/>
    </dxf>
    <dxf>
      <border diagonalUp="0" diagonalDown="0">
        <left style="medium">
          <color rgb="FFCC0099"/>
        </left>
        <right style="medium">
          <color rgb="FFCC0099"/>
        </right>
        <top style="medium">
          <color rgb="FFCC0099"/>
        </top>
        <bottom style="medium">
          <color rgb="FFCC0099"/>
        </bottom>
      </border>
    </dxf>
    <dxf>
      <font>
        <strike val="0"/>
        <outline val="0"/>
        <shadow val="0"/>
        <u val="none"/>
        <vertAlign val="baseline"/>
        <sz val="10"/>
        <color rgb="FFCC0099"/>
        <name val="Calibri"/>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rgb="FFCC0099"/>
        <name val="Calibri"/>
        <scheme val="minor"/>
      </font>
      <alignment vertical="center" textRotation="0" indent="0" justifyLastLine="0" shrinkToFit="0" readingOrder="0"/>
      <border diagonalUp="0" diagonalDown="0">
        <left style="medium">
          <color rgb="FFCC0099"/>
        </left>
        <right style="medium">
          <color rgb="FFCC0099"/>
        </right>
        <top/>
        <bottom/>
        <vertical style="medium">
          <color rgb="FFCC0099"/>
        </vertical>
        <horizontal style="medium">
          <color rgb="FFCC0099"/>
        </horizontal>
      </border>
      <protection locked="1" hidden="0"/>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vertical/>
        <horizontal/>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border>
        <left style="dashDot">
          <color rgb="FFFF0000"/>
        </left>
        <right style="dashDot">
          <color rgb="FFFF0000"/>
        </right>
        <top style="dashDot">
          <color rgb="FFFF0000"/>
        </top>
        <bottom style="dashDot">
          <color rgb="FFFF0000"/>
        </bottom>
        <vertical/>
        <horizontal/>
      </border>
    </dxf>
    <dxf>
      <border>
        <left style="dashDotDot">
          <color rgb="FFFF0000"/>
        </left>
        <right style="dashDotDot">
          <color rgb="FFFF0000"/>
        </right>
        <top style="dashDotDot">
          <color rgb="FFFF0000"/>
        </top>
        <bottom style="dashDot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Dot">
          <color rgb="FFFF0000"/>
        </left>
        <right style="dashDotDot">
          <color rgb="FFFF0000"/>
        </right>
        <top style="dashDotDot">
          <color rgb="FFFF0000"/>
        </top>
        <bottom style="dashDot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double">
          <color theme="9" tint="-0.249977111117893"/>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diagonalUp="0" diagonalDown="0">
        <left style="medium">
          <color theme="9"/>
        </left>
        <right style="medium">
          <color theme="9"/>
        </right>
        <top style="medium">
          <color theme="9"/>
        </top>
        <bottom style="medium">
          <color theme="9"/>
        </bottom>
      </border>
    </dxf>
    <dxf>
      <font>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medium">
          <color theme="9"/>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fill>
        <patternFill patternType="solid">
          <fgColor indexed="64"/>
          <bgColor theme="1"/>
        </patternFill>
      </fill>
    </dxf>
    <dxf>
      <border>
        <left style="dashDot">
          <color rgb="FFFF0000"/>
        </left>
        <right style="dashDot">
          <color rgb="FFFF0000"/>
        </right>
        <top style="dashDot">
          <color rgb="FFFF0000"/>
        </top>
        <bottom style="dashDot">
          <color rgb="FFFF0000"/>
        </bottom>
        <vertical/>
        <horizontal/>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s>
  <tableStyles count="0" defaultTableStyle="TableStyleLight4" defaultPivotStyle="PivotStyleLight16"/>
  <colors>
    <mruColors>
      <color rgb="FFFFCCFF"/>
      <color rgb="FFCC0099"/>
      <color rgb="FFFCE8F8"/>
      <color rgb="FFF8D0EF"/>
      <color rgb="FF339933"/>
      <color rgb="FFCC0000"/>
      <color rgb="FF0000FF"/>
      <color rgb="FFEAAD00"/>
      <color rgb="FF00FF00"/>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pivotCacheDefinition" Target="pivotCache/pivotCacheDefinition3.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3" Type="http://schemas.openxmlformats.org/officeDocument/2006/relationships/customXml" Target="../customXml/item1.xml"/></Relationships>
</file>

<file path=xl/ctrlProps/ctrlProp1.xml><?xml version="1.0" encoding="utf-8"?>
<formControlPr xmlns="http://schemas.microsoft.com/office/spreadsheetml/2009/9/main" objectType="CheckBox" fmlaLink="$N$22" lockText="1" noThreeD="1"/>
</file>

<file path=xl/ctrlProps/ctrlProp10.xml><?xml version="1.0" encoding="utf-8"?>
<formControlPr xmlns="http://schemas.microsoft.com/office/spreadsheetml/2009/9/main" objectType="CheckBox" fmlaLink="$N$9" lockText="1" noThreeD="1"/>
</file>

<file path=xl/ctrlProps/ctrlProp11.xml><?xml version="1.0" encoding="utf-8"?>
<formControlPr xmlns="http://schemas.microsoft.com/office/spreadsheetml/2009/9/main" objectType="CheckBox" fmlaLink="$N$10" lockText="1" noThreeD="1"/>
</file>

<file path=xl/ctrlProps/ctrlProp12.xml><?xml version="1.0" encoding="utf-8"?>
<formControlPr xmlns="http://schemas.microsoft.com/office/spreadsheetml/2009/9/main" objectType="CheckBox" fmlaLink="$N$11" lockText="1" noThreeD="1"/>
</file>

<file path=xl/ctrlProps/ctrlProp13.xml><?xml version="1.0" encoding="utf-8"?>
<formControlPr xmlns="http://schemas.microsoft.com/office/spreadsheetml/2009/9/main" objectType="CheckBox" fmlaLink="$N$12" lockText="1" noThreeD="1"/>
</file>

<file path=xl/ctrlProps/ctrlProp14.xml><?xml version="1.0" encoding="utf-8"?>
<formControlPr xmlns="http://schemas.microsoft.com/office/spreadsheetml/2009/9/main" objectType="CheckBox" fmlaLink="$N$13" lockText="1" noThreeD="1"/>
</file>

<file path=xl/ctrlProps/ctrlProp15.xml><?xml version="1.0" encoding="utf-8"?>
<formControlPr xmlns="http://schemas.microsoft.com/office/spreadsheetml/2009/9/main" objectType="CheckBox" fmlaLink="$N$22" lockText="1" noThreeD="1"/>
</file>

<file path=xl/ctrlProps/ctrlProp16.xml><?xml version="1.0" encoding="utf-8"?>
<formControlPr xmlns="http://schemas.microsoft.com/office/spreadsheetml/2009/9/main" objectType="CheckBox" fmlaLink="$N$20" lockText="1" noThreeD="1"/>
</file>

<file path=xl/ctrlProps/ctrlProp17.xml><?xml version="1.0" encoding="utf-8"?>
<formControlPr xmlns="http://schemas.microsoft.com/office/spreadsheetml/2009/9/main" objectType="CheckBox" fmlaLink="$N$19" lockText="1" noThreeD="1"/>
</file>

<file path=xl/ctrlProps/ctrlProp18.xml><?xml version="1.0" encoding="utf-8"?>
<formControlPr xmlns="http://schemas.microsoft.com/office/spreadsheetml/2009/9/main" objectType="CheckBox" fmlaLink="$N$17" lockText="1" noThreeD="1"/>
</file>

<file path=xl/ctrlProps/ctrlProp19.xml><?xml version="1.0" encoding="utf-8"?>
<formControlPr xmlns="http://schemas.microsoft.com/office/spreadsheetml/2009/9/main" objectType="CheckBox" fmlaLink="$N$18" lockText="1" noThreeD="1"/>
</file>

<file path=xl/ctrlProps/ctrlProp2.xml><?xml version="1.0" encoding="utf-8"?>
<formControlPr xmlns="http://schemas.microsoft.com/office/spreadsheetml/2009/9/main" objectType="CheckBox" fmlaLink="$N$20" lockText="1" noThreeD="1"/>
</file>

<file path=xl/ctrlProps/ctrlProp20.xml><?xml version="1.0" encoding="utf-8"?>
<formControlPr xmlns="http://schemas.microsoft.com/office/spreadsheetml/2009/9/main" objectType="CheckBox" fmlaLink="$N$21" lockText="1" noThreeD="1"/>
</file>

<file path=xl/ctrlProps/ctrlProp21.xml><?xml version="1.0" encoding="utf-8"?>
<formControlPr xmlns="http://schemas.microsoft.com/office/spreadsheetml/2009/9/main" objectType="CheckBox" fmlaLink="$N$14" lockText="1" noThreeD="1"/>
</file>

<file path=xl/ctrlProps/ctrlProp22.xml><?xml version="1.0" encoding="utf-8"?>
<formControlPr xmlns="http://schemas.microsoft.com/office/spreadsheetml/2009/9/main" objectType="CheckBox" fmlaLink="$N$15" lockText="1" noThreeD="1"/>
</file>

<file path=xl/ctrlProps/ctrlProp23.xml><?xml version="1.0" encoding="utf-8"?>
<formControlPr xmlns="http://schemas.microsoft.com/office/spreadsheetml/2009/9/main" objectType="CheckBox" fmlaLink="$N$16" lockText="1" noThreeD="1"/>
</file>

<file path=xl/ctrlProps/ctrlProp24.xml><?xml version="1.0" encoding="utf-8"?>
<formControlPr xmlns="http://schemas.microsoft.com/office/spreadsheetml/2009/9/main" objectType="CheckBox" fmlaLink="$N$9" lockText="1" noThreeD="1"/>
</file>

<file path=xl/ctrlProps/ctrlProp25.xml><?xml version="1.0" encoding="utf-8"?>
<formControlPr xmlns="http://schemas.microsoft.com/office/spreadsheetml/2009/9/main" objectType="CheckBox" fmlaLink="$N$10" lockText="1" noThreeD="1"/>
</file>

<file path=xl/ctrlProps/ctrlProp26.xml><?xml version="1.0" encoding="utf-8"?>
<formControlPr xmlns="http://schemas.microsoft.com/office/spreadsheetml/2009/9/main" objectType="CheckBox" fmlaLink="$N$11" lockText="1" noThreeD="1"/>
</file>

<file path=xl/ctrlProps/ctrlProp27.xml><?xml version="1.0" encoding="utf-8"?>
<formControlPr xmlns="http://schemas.microsoft.com/office/spreadsheetml/2009/9/main" objectType="CheckBox" fmlaLink="$N$12" lockText="1" noThreeD="1"/>
</file>

<file path=xl/ctrlProps/ctrlProp28.xml><?xml version="1.0" encoding="utf-8"?>
<formControlPr xmlns="http://schemas.microsoft.com/office/spreadsheetml/2009/9/main" objectType="CheckBox" fmlaLink="$N$13" lockText="1" noThreeD="1"/>
</file>

<file path=xl/ctrlProps/ctrlProp29.xml><?xml version="1.0" encoding="utf-8"?>
<formControlPr xmlns="http://schemas.microsoft.com/office/spreadsheetml/2009/9/main" objectType="CheckBox" fmlaLink="$N$22" lockText="1" noThreeD="1"/>
</file>

<file path=xl/ctrlProps/ctrlProp3.xml><?xml version="1.0" encoding="utf-8"?>
<formControlPr xmlns="http://schemas.microsoft.com/office/spreadsheetml/2009/9/main" objectType="CheckBox" fmlaLink="$N$19" lockText="1" noThreeD="1"/>
</file>

<file path=xl/ctrlProps/ctrlProp30.xml><?xml version="1.0" encoding="utf-8"?>
<formControlPr xmlns="http://schemas.microsoft.com/office/spreadsheetml/2009/9/main" objectType="CheckBox" fmlaLink="$N$20" lockText="1" noThreeD="1"/>
</file>

<file path=xl/ctrlProps/ctrlProp31.xml><?xml version="1.0" encoding="utf-8"?>
<formControlPr xmlns="http://schemas.microsoft.com/office/spreadsheetml/2009/9/main" objectType="CheckBox" fmlaLink="$N$19" lockText="1" noThreeD="1"/>
</file>

<file path=xl/ctrlProps/ctrlProp32.xml><?xml version="1.0" encoding="utf-8"?>
<formControlPr xmlns="http://schemas.microsoft.com/office/spreadsheetml/2009/9/main" objectType="CheckBox" fmlaLink="$N$17" lockText="1" noThreeD="1"/>
</file>

<file path=xl/ctrlProps/ctrlProp33.xml><?xml version="1.0" encoding="utf-8"?>
<formControlPr xmlns="http://schemas.microsoft.com/office/spreadsheetml/2009/9/main" objectType="CheckBox" fmlaLink="$N$18" lockText="1" noThreeD="1"/>
</file>

<file path=xl/ctrlProps/ctrlProp34.xml><?xml version="1.0" encoding="utf-8"?>
<formControlPr xmlns="http://schemas.microsoft.com/office/spreadsheetml/2009/9/main" objectType="CheckBox" fmlaLink="$N$21" lockText="1" noThreeD="1"/>
</file>

<file path=xl/ctrlProps/ctrlProp35.xml><?xml version="1.0" encoding="utf-8"?>
<formControlPr xmlns="http://schemas.microsoft.com/office/spreadsheetml/2009/9/main" objectType="CheckBox" fmlaLink="$N$14" lockText="1" noThreeD="1"/>
</file>

<file path=xl/ctrlProps/ctrlProp36.xml><?xml version="1.0" encoding="utf-8"?>
<formControlPr xmlns="http://schemas.microsoft.com/office/spreadsheetml/2009/9/main" objectType="CheckBox" fmlaLink="$N$15" lockText="1" noThreeD="1"/>
</file>

<file path=xl/ctrlProps/ctrlProp37.xml><?xml version="1.0" encoding="utf-8"?>
<formControlPr xmlns="http://schemas.microsoft.com/office/spreadsheetml/2009/9/main" objectType="CheckBox" fmlaLink="$N$16" lockText="1" noThreeD="1"/>
</file>

<file path=xl/ctrlProps/ctrlProp38.xml><?xml version="1.0" encoding="utf-8"?>
<formControlPr xmlns="http://schemas.microsoft.com/office/spreadsheetml/2009/9/main" objectType="CheckBox" fmlaLink="$N$9" lockText="1" noThreeD="1"/>
</file>

<file path=xl/ctrlProps/ctrlProp39.xml><?xml version="1.0" encoding="utf-8"?>
<formControlPr xmlns="http://schemas.microsoft.com/office/spreadsheetml/2009/9/main" objectType="CheckBox" fmlaLink="$N$10" lockText="1" noThreeD="1"/>
</file>

<file path=xl/ctrlProps/ctrlProp4.xml><?xml version="1.0" encoding="utf-8"?>
<formControlPr xmlns="http://schemas.microsoft.com/office/spreadsheetml/2009/9/main" objectType="CheckBox" fmlaLink="$N$17" lockText="1" noThreeD="1"/>
</file>

<file path=xl/ctrlProps/ctrlProp40.xml><?xml version="1.0" encoding="utf-8"?>
<formControlPr xmlns="http://schemas.microsoft.com/office/spreadsheetml/2009/9/main" objectType="CheckBox" fmlaLink="$N$11" lockText="1" noThreeD="1"/>
</file>

<file path=xl/ctrlProps/ctrlProp41.xml><?xml version="1.0" encoding="utf-8"?>
<formControlPr xmlns="http://schemas.microsoft.com/office/spreadsheetml/2009/9/main" objectType="CheckBox" fmlaLink="$N$12" lockText="1" noThreeD="1"/>
</file>

<file path=xl/ctrlProps/ctrlProp42.xml><?xml version="1.0" encoding="utf-8"?>
<formControlPr xmlns="http://schemas.microsoft.com/office/spreadsheetml/2009/9/main" objectType="CheckBox" fmlaLink="$N$13" lockText="1" noThreeD="1"/>
</file>

<file path=xl/ctrlProps/ctrlProp5.xml><?xml version="1.0" encoding="utf-8"?>
<formControlPr xmlns="http://schemas.microsoft.com/office/spreadsheetml/2009/9/main" objectType="CheckBox" fmlaLink="$N$18" lockText="1" noThreeD="1"/>
</file>

<file path=xl/ctrlProps/ctrlProp6.xml><?xml version="1.0" encoding="utf-8"?>
<formControlPr xmlns="http://schemas.microsoft.com/office/spreadsheetml/2009/9/main" objectType="CheckBox" fmlaLink="$N$21" lockText="1" noThreeD="1"/>
</file>

<file path=xl/ctrlProps/ctrlProp7.xml><?xml version="1.0" encoding="utf-8"?>
<formControlPr xmlns="http://schemas.microsoft.com/office/spreadsheetml/2009/9/main" objectType="CheckBox" fmlaLink="$N$14" lockText="1" noThreeD="1"/>
</file>

<file path=xl/ctrlProps/ctrlProp8.xml><?xml version="1.0" encoding="utf-8"?>
<formControlPr xmlns="http://schemas.microsoft.com/office/spreadsheetml/2009/9/main" objectType="CheckBox" fmlaLink="$N$15" lockText="1" noThreeD="1"/>
</file>

<file path=xl/ctrlProps/ctrlProp9.xml><?xml version="1.0" encoding="utf-8"?>
<formControlPr xmlns="http://schemas.microsoft.com/office/spreadsheetml/2009/9/main" objectType="CheckBox" fmlaLink="$N$1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1.jpeg"/><Relationship Id="rId5" Type="http://schemas.openxmlformats.org/officeDocument/2006/relationships/image" Target="../media/image20.png"/><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2.png"/><Relationship Id="rId5" Type="http://schemas.openxmlformats.org/officeDocument/2006/relationships/image" Target="../media/image10.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22.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5.png"/><Relationship Id="rId5" Type="http://schemas.openxmlformats.org/officeDocument/2006/relationships/image" Target="../media/image2.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10.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171450</xdr:colOff>
          <xdr:row>19</xdr:row>
          <xdr:rowOff>209550</xdr:rowOff>
        </xdr:from>
        <xdr:to>
          <xdr:col>0</xdr:col>
          <xdr:colOff>361950</xdr:colOff>
          <xdr:row>19</xdr:row>
          <xdr:rowOff>476250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0000-000001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381000</xdr:rowOff>
        </xdr:from>
        <xdr:to>
          <xdr:col>0</xdr:col>
          <xdr:colOff>374650</xdr:colOff>
          <xdr:row>18</xdr:row>
          <xdr:rowOff>679450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000-000002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222250</xdr:rowOff>
        </xdr:from>
        <xdr:to>
          <xdr:col>0</xdr:col>
          <xdr:colOff>374650</xdr:colOff>
          <xdr:row>18</xdr:row>
          <xdr:rowOff>38100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000-000003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336550</xdr:rowOff>
        </xdr:from>
        <xdr:to>
          <xdr:col>0</xdr:col>
          <xdr:colOff>374650</xdr:colOff>
          <xdr:row>15</xdr:row>
          <xdr:rowOff>628650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000-000004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69850</xdr:rowOff>
        </xdr:from>
        <xdr:to>
          <xdr:col>0</xdr:col>
          <xdr:colOff>342900</xdr:colOff>
          <xdr:row>16</xdr:row>
          <xdr:rowOff>361950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000-000005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171450</xdr:colOff>
          <xdr:row>18</xdr:row>
          <xdr:rowOff>990600</xdr:rowOff>
        </xdr:from>
        <xdr:to>
          <xdr:col>0</xdr:col>
          <xdr:colOff>374650</xdr:colOff>
          <xdr:row>19</xdr:row>
          <xdr:rowOff>152400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000-000006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107950</xdr:rowOff>
        </xdr:from>
        <xdr:to>
          <xdr:col>0</xdr:col>
          <xdr:colOff>374650</xdr:colOff>
          <xdr:row>13</xdr:row>
          <xdr:rowOff>412750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000-000007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603250</xdr:rowOff>
        </xdr:from>
        <xdr:to>
          <xdr:col>0</xdr:col>
          <xdr:colOff>342900</xdr:colOff>
          <xdr:row>14</xdr:row>
          <xdr:rowOff>260350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0000-000008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336550</xdr:rowOff>
        </xdr:from>
        <xdr:to>
          <xdr:col>0</xdr:col>
          <xdr:colOff>342900</xdr:colOff>
          <xdr:row>15</xdr:row>
          <xdr:rowOff>260350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000-000009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146050</xdr:colOff>
          <xdr:row>8</xdr:row>
          <xdr:rowOff>152400</xdr:rowOff>
        </xdr:from>
        <xdr:to>
          <xdr:col>0</xdr:col>
          <xdr:colOff>342900</xdr:colOff>
          <xdr:row>8</xdr:row>
          <xdr:rowOff>457200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000-00000A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146050</xdr:colOff>
          <xdr:row>9</xdr:row>
          <xdr:rowOff>0</xdr:rowOff>
        </xdr:from>
        <xdr:to>
          <xdr:col>0</xdr:col>
          <xdr:colOff>342900</xdr:colOff>
          <xdr:row>9</xdr:row>
          <xdr:rowOff>304800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0000-00000B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19050</xdr:rowOff>
        </xdr:from>
        <xdr:to>
          <xdr:col>0</xdr:col>
          <xdr:colOff>342900</xdr:colOff>
          <xdr:row>10</xdr:row>
          <xdr:rowOff>336550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000-00000C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31750</xdr:rowOff>
        </xdr:from>
        <xdr:to>
          <xdr:col>0</xdr:col>
          <xdr:colOff>374650</xdr:colOff>
          <xdr:row>11</xdr:row>
          <xdr:rowOff>323850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000-00000D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76200</xdr:rowOff>
        </xdr:from>
        <xdr:to>
          <xdr:col>0</xdr:col>
          <xdr:colOff>374650</xdr:colOff>
          <xdr:row>12</xdr:row>
          <xdr:rowOff>361950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000-00000E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48038</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933" y="112061"/>
          <a:ext cx="3118328" cy="4312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401320</xdr:colOff>
      <xdr:row>126</xdr:row>
      <xdr:rowOff>0</xdr:rowOff>
    </xdr:from>
    <xdr:to>
      <xdr:col>1</xdr:col>
      <xdr:colOff>49900</xdr:colOff>
      <xdr:row>127</xdr:row>
      <xdr:rowOff>144463</xdr:rowOff>
    </xdr:to>
    <xdr:pic>
      <xdr:nvPicPr>
        <xdr:cNvPr id="7" name="Picture 6" descr="Image result for icon drug">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401320" y="15935325"/>
          <a:ext cx="23595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xdr:row>
      <xdr:rowOff>19050</xdr:rowOff>
    </xdr:from>
    <xdr:to>
      <xdr:col>1</xdr:col>
      <xdr:colOff>77787</xdr:colOff>
      <xdr:row>8</xdr:row>
      <xdr:rowOff>160337</xdr:rowOff>
    </xdr:to>
    <xdr:pic>
      <xdr:nvPicPr>
        <xdr:cNvPr id="8" name="Picture 7" descr="Image result for icon drug bottle">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533525"/>
          <a:ext cx="31115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34</xdr:row>
      <xdr:rowOff>19050</xdr:rowOff>
    </xdr:from>
    <xdr:to>
      <xdr:col>1</xdr:col>
      <xdr:colOff>77787</xdr:colOff>
      <xdr:row>35</xdr:row>
      <xdr:rowOff>160337</xdr:rowOff>
    </xdr:to>
    <xdr:pic>
      <xdr:nvPicPr>
        <xdr:cNvPr id="6" name="Picture 7" descr="Image result for icon drug bottle">
          <a:extLst>
            <a:ext uri="{FF2B5EF4-FFF2-40B4-BE49-F238E27FC236}">
              <a16:creationId xmlns:a16="http://schemas.microsoft.com/office/drawing/2014/main" id="{00000000-0008-0000-0A00-000006000000}"/>
            </a:ext>
            <a:ext uri="{147F2762-F138-4A5C-976F-8EAC2B608ADB}">
              <a16:predDERef xmlns:a16="http://schemas.microsoft.com/office/drawing/2014/main" pred="{4ED1B43F-7AA8-46EE-9342-D319775BB452}"/>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8132109"/>
          <a:ext cx="319274" cy="33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83</xdr:row>
      <xdr:rowOff>19050</xdr:rowOff>
    </xdr:from>
    <xdr:to>
      <xdr:col>1</xdr:col>
      <xdr:colOff>77787</xdr:colOff>
      <xdr:row>84</xdr:row>
      <xdr:rowOff>160337</xdr:rowOff>
    </xdr:to>
    <xdr:pic>
      <xdr:nvPicPr>
        <xdr:cNvPr id="9" name="Picture 7" descr="Image result for icon drug bottle">
          <a:extLst>
            <a:ext uri="{FF2B5EF4-FFF2-40B4-BE49-F238E27FC236}">
              <a16:creationId xmlns:a16="http://schemas.microsoft.com/office/drawing/2014/main" id="{00000000-0008-0000-0A00-000009000000}"/>
            </a:ext>
            <a:ext uri="{147F2762-F138-4A5C-976F-8EAC2B608ADB}">
              <a16:predDERef xmlns:a16="http://schemas.microsoft.com/office/drawing/2014/main" pred="{C47B4395-DA64-4022-8031-EF73CD9C7DFF}"/>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8912168"/>
          <a:ext cx="319274" cy="33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36625"/>
          <a:ext cx="313810" cy="311150"/>
        </a:xfrm>
        <a:prstGeom prst="rect">
          <a:avLst/>
        </a:prstGeom>
      </xdr:spPr>
    </xdr:pic>
    <xdr:clientData/>
  </xdr:oneCellAnchor>
  <xdr:twoCellAnchor editAs="oneCell">
    <xdr:from>
      <xdr:col>0</xdr:col>
      <xdr:colOff>554072</xdr:colOff>
      <xdr:row>7</xdr:row>
      <xdr:rowOff>31128</xdr:rowOff>
    </xdr:from>
    <xdr:to>
      <xdr:col>1</xdr:col>
      <xdr:colOff>254849</xdr:colOff>
      <xdr:row>8</xdr:row>
      <xdr:rowOff>112525</xdr:rowOff>
    </xdr:to>
    <xdr:pic>
      <xdr:nvPicPr>
        <xdr:cNvPr id="5" name="Picture 4" descr="Image result for microscope icon">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554072" y="1506569"/>
          <a:ext cx="307700" cy="31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578393</xdr:colOff>
      <xdr:row>84</xdr:row>
      <xdr:rowOff>69579</xdr:rowOff>
    </xdr:from>
    <xdr:to>
      <xdr:col>1</xdr:col>
      <xdr:colOff>245720</xdr:colOff>
      <xdr:row>85</xdr:row>
      <xdr:rowOff>151244</xdr:rowOff>
    </xdr:to>
    <xdr:pic>
      <xdr:nvPicPr>
        <xdr:cNvPr id="6" name="Picture 5" descr="Image result for ICON TUBE LAB">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rcRect/>
        <a:stretch>
          <a:fillRect/>
        </a:stretch>
      </xdr:blipFill>
      <xdr:spPr bwMode="auto">
        <a:xfrm rot="3090004">
          <a:off x="578393" y="12712429"/>
          <a:ext cx="272165" cy="272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xdr:colOff>
      <xdr:row>131</xdr:row>
      <xdr:rowOff>44450</xdr:rowOff>
    </xdr:from>
    <xdr:to>
      <xdr:col>1</xdr:col>
      <xdr:colOff>312737</xdr:colOff>
      <xdr:row>132</xdr:row>
      <xdr:rowOff>141287</xdr:rowOff>
    </xdr:to>
    <xdr:pic>
      <xdr:nvPicPr>
        <xdr:cNvPr id="7" name="Picture 6" descr="Image result for ICON dna">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cstate="print">
          <a:lum bright="70000" contrast="-70000"/>
          <a:extLst>
            <a:ext uri="{28A0092B-C50C-407E-A947-70E740481C1C}">
              <a14:useLocalDpi xmlns:a14="http://schemas.microsoft.com/office/drawing/2010/main" val="0"/>
            </a:ext>
          </a:extLst>
        </a:blip>
        <a:srcRect/>
        <a:stretch>
          <a:fillRect/>
        </a:stretch>
      </xdr:blipFill>
      <xdr:spPr bwMode="auto">
        <a:xfrm>
          <a:off x="635000" y="15074900"/>
          <a:ext cx="292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xdr:colOff>
      <xdr:row>62</xdr:row>
      <xdr:rowOff>69850</xdr:rowOff>
    </xdr:from>
    <xdr:to>
      <xdr:col>1</xdr:col>
      <xdr:colOff>293687</xdr:colOff>
      <xdr:row>63</xdr:row>
      <xdr:rowOff>55437</xdr:rowOff>
    </xdr:to>
    <xdr:pic>
      <xdr:nvPicPr>
        <xdr:cNvPr id="8" name="Picture 7" descr="Image result for ICON machin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lum bright="70000" contrast="-70000"/>
          <a:extLst>
            <a:ext uri="{28A0092B-C50C-407E-A947-70E740481C1C}">
              <a14:useLocalDpi xmlns:a14="http://schemas.microsoft.com/office/drawing/2010/main" val="0"/>
            </a:ext>
          </a:extLst>
        </a:blip>
        <a:srcRect/>
        <a:stretch>
          <a:fillRect/>
        </a:stretch>
      </xdr:blipFill>
      <xdr:spPr bwMode="auto">
        <a:xfrm>
          <a:off x="641350" y="5448300"/>
          <a:ext cx="260350" cy="254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30542</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40</xdr:row>
      <xdr:rowOff>38100</xdr:rowOff>
    </xdr:from>
    <xdr:to>
      <xdr:col>0</xdr:col>
      <xdr:colOff>457200</xdr:colOff>
      <xdr:row>41</xdr:row>
      <xdr:rowOff>143046</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duotone>
            <a:schemeClr val="accent4">
              <a:shade val="45000"/>
              <a:satMod val="135000"/>
            </a:schemeClr>
            <a:prstClr val="white"/>
          </a:duotone>
        </a:blip>
        <a:stretch>
          <a:fillRect/>
        </a:stretch>
      </xdr:blipFill>
      <xdr:spPr>
        <a:xfrm>
          <a:off x="146051" y="4318000"/>
          <a:ext cx="311149" cy="285921"/>
        </a:xfrm>
        <a:prstGeom prst="rect">
          <a:avLst/>
        </a:prstGeom>
      </xdr:spPr>
    </xdr:pic>
    <xdr:clientData/>
  </xdr:twoCellAnchor>
  <xdr:twoCellAnchor editAs="oneCell">
    <xdr:from>
      <xdr:col>0</xdr:col>
      <xdr:colOff>152400</xdr:colOff>
      <xdr:row>52</xdr:row>
      <xdr:rowOff>21915</xdr:rowOff>
    </xdr:from>
    <xdr:to>
      <xdr:col>0</xdr:col>
      <xdr:colOff>504824</xdr:colOff>
      <xdr:row>53</xdr:row>
      <xdr:rowOff>192485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schemeClr val="accent4">
              <a:shade val="45000"/>
              <a:satMod val="135000"/>
            </a:schemeClr>
            <a:prstClr val="white"/>
          </a:duotone>
        </a:blip>
        <a:stretch>
          <a:fillRect/>
        </a:stretch>
      </xdr:blipFill>
      <xdr:spPr>
        <a:xfrm>
          <a:off x="152400" y="6003615"/>
          <a:ext cx="349249" cy="345648"/>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30543</xdr:rowOff>
    </xdr:to>
    <xdr:pic>
      <xdr:nvPicPr>
        <xdr:cNvPr id="8" name="Picture 3">
          <a:extLst>
            <a:ext uri="{FF2B5EF4-FFF2-40B4-BE49-F238E27FC236}">
              <a16:creationId xmlns:a16="http://schemas.microsoft.com/office/drawing/2014/main" id="{00000000-0008-0000-0C00-000008000000}"/>
            </a:ext>
            <a:ext uri="{147F2762-F138-4A5C-976F-8EAC2B608ADB}">
              <a16:predDERef xmlns:a16="http://schemas.microsoft.com/office/drawing/2014/main" pred="{00000000-0008-0000-1200-000007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61</xdr:row>
      <xdr:rowOff>0</xdr:rowOff>
    </xdr:from>
    <xdr:to>
      <xdr:col>1</xdr:col>
      <xdr:colOff>239712</xdr:colOff>
      <xdr:row>63</xdr:row>
      <xdr:rowOff>28045</xdr:rowOff>
    </xdr:to>
    <xdr:pic>
      <xdr:nvPicPr>
        <xdr:cNvPr id="5" name="Picture 4" descr="Image result for icon drug">
          <a:extLst>
            <a:ext uri="{FF2B5EF4-FFF2-40B4-BE49-F238E27FC236}">
              <a16:creationId xmlns:a16="http://schemas.microsoft.com/office/drawing/2014/main" id="{00000000-0008-0000-0D00-000005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9824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530225</xdr:colOff>
      <xdr:row>7</xdr:row>
      <xdr:rowOff>139140</xdr:rowOff>
    </xdr:from>
    <xdr:to>
      <xdr:col>1</xdr:col>
      <xdr:colOff>258762</xdr:colOff>
      <xdr:row>8</xdr:row>
      <xdr:rowOff>191527</xdr:rowOff>
    </xdr:to>
    <xdr:pic>
      <xdr:nvPicPr>
        <xdr:cNvPr id="6" name="Picture 5" descr="Image result for icon drug bottle">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30225" y="1663140"/>
          <a:ext cx="322449" cy="34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3</xdr:row>
      <xdr:rowOff>179387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77900"/>
          <a:ext cx="313810" cy="311150"/>
        </a:xfrm>
        <a:prstGeom prst="rect">
          <a:avLst/>
        </a:prstGeom>
      </xdr:spPr>
    </xdr:pic>
    <xdr:clientData/>
  </xdr:oneCellAnchor>
  <xdr:twoCellAnchor editAs="oneCell">
    <xdr:from>
      <xdr:col>0</xdr:col>
      <xdr:colOff>487397</xdr:colOff>
      <xdr:row>7</xdr:row>
      <xdr:rowOff>31128</xdr:rowOff>
    </xdr:from>
    <xdr:to>
      <xdr:col>1</xdr:col>
      <xdr:colOff>181824</xdr:colOff>
      <xdr:row>8</xdr:row>
      <xdr:rowOff>154174</xdr:rowOff>
    </xdr:to>
    <xdr:pic>
      <xdr:nvPicPr>
        <xdr:cNvPr id="4" name="Picture 3" descr="Image result for microscope icon">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487397" y="1545603"/>
          <a:ext cx="288152" cy="308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422275</xdr:colOff>
      <xdr:row>35</xdr:row>
      <xdr:rowOff>25400</xdr:rowOff>
    </xdr:from>
    <xdr:to>
      <xdr:col>1</xdr:col>
      <xdr:colOff>144189</xdr:colOff>
      <xdr:row>36</xdr:row>
      <xdr:rowOff>171783</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422275" y="7073900"/>
          <a:ext cx="309289" cy="336883"/>
        </a:xfrm>
        <a:prstGeom prst="rect">
          <a:avLst/>
        </a:prstGeom>
      </xdr:spPr>
    </xdr:pic>
    <xdr:clientData/>
  </xdr:twoCellAnchor>
  <xdr:twoCellAnchor editAs="oneCell">
    <xdr:from>
      <xdr:col>0</xdr:col>
      <xdr:colOff>422275</xdr:colOff>
      <xdr:row>57</xdr:row>
      <xdr:rowOff>28575</xdr:rowOff>
    </xdr:from>
    <xdr:to>
      <xdr:col>1</xdr:col>
      <xdr:colOff>169861</xdr:colOff>
      <xdr:row>58</xdr:row>
      <xdr:rowOff>143696</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lum bright="70000" contrast="-70000"/>
        </a:blip>
        <a:stretch>
          <a:fillRect/>
        </a:stretch>
      </xdr:blipFill>
      <xdr:spPr>
        <a:xfrm>
          <a:off x="422275" y="11468100"/>
          <a:ext cx="330199" cy="3524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2</xdr:row>
      <xdr:rowOff>6350</xdr:rowOff>
    </xdr:from>
    <xdr:to>
      <xdr:col>0</xdr:col>
      <xdr:colOff>485775</xdr:colOff>
      <xdr:row>4</xdr:row>
      <xdr:rowOff>7613</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80975" y="520700"/>
          <a:ext cx="304800" cy="391788"/>
        </a:xfrm>
        <a:prstGeom prst="rect">
          <a:avLst/>
        </a:prstGeom>
      </xdr:spPr>
    </xdr:pic>
    <xdr:clientData/>
  </xdr:twoCellAnchor>
  <xdr:oneCellAnchor>
    <xdr:from>
      <xdr:col>0</xdr:col>
      <xdr:colOff>171450</xdr:colOff>
      <xdr:row>4</xdr:row>
      <xdr:rowOff>63500</xdr:rowOff>
    </xdr:from>
    <xdr:ext cx="313810" cy="250825"/>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71450" y="930275"/>
          <a:ext cx="313810" cy="25082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46150"/>
          <a:ext cx="313810" cy="31115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11175"/>
          <a:ext cx="304800" cy="387026"/>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58850"/>
          <a:ext cx="313810" cy="3111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152400</xdr:colOff>
          <xdr:row>19</xdr:row>
          <xdr:rowOff>69850</xdr:rowOff>
        </xdr:from>
        <xdr:to>
          <xdr:col>0</xdr:col>
          <xdr:colOff>342900</xdr:colOff>
          <xdr:row>19</xdr:row>
          <xdr:rowOff>342900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100-000001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209550</xdr:rowOff>
        </xdr:from>
        <xdr:to>
          <xdr:col>0</xdr:col>
          <xdr:colOff>361950</xdr:colOff>
          <xdr:row>18</xdr:row>
          <xdr:rowOff>400050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100-000002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19050</xdr:rowOff>
        </xdr:from>
        <xdr:to>
          <xdr:col>0</xdr:col>
          <xdr:colOff>361950</xdr:colOff>
          <xdr:row>18</xdr:row>
          <xdr:rowOff>209550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100-000003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209550</xdr:rowOff>
        </xdr:from>
        <xdr:to>
          <xdr:col>0</xdr:col>
          <xdr:colOff>361950</xdr:colOff>
          <xdr:row>16</xdr:row>
          <xdr:rowOff>133350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100-000004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228600</xdr:rowOff>
        </xdr:from>
        <xdr:to>
          <xdr:col>0</xdr:col>
          <xdr:colOff>342900</xdr:colOff>
          <xdr:row>17</xdr:row>
          <xdr:rowOff>146050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100-000005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400050</xdr:rowOff>
        </xdr:from>
        <xdr:to>
          <xdr:col>0</xdr:col>
          <xdr:colOff>374650</xdr:colOff>
          <xdr:row>18</xdr:row>
          <xdr:rowOff>609600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100-000006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152400</xdr:rowOff>
        </xdr:from>
        <xdr:to>
          <xdr:col>0</xdr:col>
          <xdr:colOff>361950</xdr:colOff>
          <xdr:row>13</xdr:row>
          <xdr:rowOff>476250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100-000007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38100</xdr:rowOff>
        </xdr:from>
        <xdr:to>
          <xdr:col>0</xdr:col>
          <xdr:colOff>342900</xdr:colOff>
          <xdr:row>14</xdr:row>
          <xdr:rowOff>336550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100-000008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419100</xdr:rowOff>
        </xdr:from>
        <xdr:to>
          <xdr:col>0</xdr:col>
          <xdr:colOff>342900</xdr:colOff>
          <xdr:row>15</xdr:row>
          <xdr:rowOff>133350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100-000009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8</xdr:row>
          <xdr:rowOff>152400</xdr:rowOff>
        </xdr:from>
        <xdr:to>
          <xdr:col>0</xdr:col>
          <xdr:colOff>342900</xdr:colOff>
          <xdr:row>8</xdr:row>
          <xdr:rowOff>476250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100-00000A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9</xdr:row>
          <xdr:rowOff>38100</xdr:rowOff>
        </xdr:from>
        <xdr:to>
          <xdr:col>0</xdr:col>
          <xdr:colOff>342900</xdr:colOff>
          <xdr:row>9</xdr:row>
          <xdr:rowOff>336550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100-00000B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57150</xdr:rowOff>
        </xdr:from>
        <xdr:to>
          <xdr:col>0</xdr:col>
          <xdr:colOff>342900</xdr:colOff>
          <xdr:row>10</xdr:row>
          <xdr:rowOff>342900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100-00000C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69850</xdr:rowOff>
        </xdr:from>
        <xdr:to>
          <xdr:col>0</xdr:col>
          <xdr:colOff>361950</xdr:colOff>
          <xdr:row>11</xdr:row>
          <xdr:rowOff>342900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100-00000D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133350</xdr:rowOff>
        </xdr:from>
        <xdr:to>
          <xdr:col>0</xdr:col>
          <xdr:colOff>361950</xdr:colOff>
          <xdr:row>13</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100-00000E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48038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933" y="112061"/>
          <a:ext cx="3118328" cy="431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171450</xdr:colOff>
          <xdr:row>21</xdr:row>
          <xdr:rowOff>419100</xdr:rowOff>
        </xdr:from>
        <xdr:to>
          <xdr:col>0</xdr:col>
          <xdr:colOff>361950</xdr:colOff>
          <xdr:row>21</xdr:row>
          <xdr:rowOff>704850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19</xdr:row>
          <xdr:rowOff>228600</xdr:rowOff>
        </xdr:from>
        <xdr:to>
          <xdr:col>0</xdr:col>
          <xdr:colOff>361950</xdr:colOff>
          <xdr:row>19</xdr:row>
          <xdr:rowOff>514350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200-000007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228600</xdr:rowOff>
        </xdr:from>
        <xdr:to>
          <xdr:col>0</xdr:col>
          <xdr:colOff>361950</xdr:colOff>
          <xdr:row>18</xdr:row>
          <xdr:rowOff>533400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200-000008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38100</xdr:rowOff>
        </xdr:from>
        <xdr:to>
          <xdr:col>0</xdr:col>
          <xdr:colOff>361950</xdr:colOff>
          <xdr:row>16</xdr:row>
          <xdr:rowOff>342900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200-000009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57150</xdr:rowOff>
        </xdr:from>
        <xdr:to>
          <xdr:col>0</xdr:col>
          <xdr:colOff>342900</xdr:colOff>
          <xdr:row>17</xdr:row>
          <xdr:rowOff>361950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200-00000A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171450</xdr:colOff>
          <xdr:row>20</xdr:row>
          <xdr:rowOff>133350</xdr:rowOff>
        </xdr:from>
        <xdr:to>
          <xdr:col>0</xdr:col>
          <xdr:colOff>374650</xdr:colOff>
          <xdr:row>20</xdr:row>
          <xdr:rowOff>419100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200-00000B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171450</xdr:rowOff>
        </xdr:from>
        <xdr:to>
          <xdr:col>0</xdr:col>
          <xdr:colOff>361950</xdr:colOff>
          <xdr:row>13</xdr:row>
          <xdr:rowOff>476250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200-00000C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38100</xdr:rowOff>
        </xdr:from>
        <xdr:to>
          <xdr:col>0</xdr:col>
          <xdr:colOff>342900</xdr:colOff>
          <xdr:row>14</xdr:row>
          <xdr:rowOff>342900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200-00000D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38100</xdr:rowOff>
        </xdr:from>
        <xdr:to>
          <xdr:col>0</xdr:col>
          <xdr:colOff>342900</xdr:colOff>
          <xdr:row>15</xdr:row>
          <xdr:rowOff>342900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200-00000E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8</xdr:row>
          <xdr:rowOff>171450</xdr:rowOff>
        </xdr:from>
        <xdr:to>
          <xdr:col>0</xdr:col>
          <xdr:colOff>342900</xdr:colOff>
          <xdr:row>8</xdr:row>
          <xdr:rowOff>476250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200-00000F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9</xdr:row>
          <xdr:rowOff>38100</xdr:rowOff>
        </xdr:from>
        <xdr:to>
          <xdr:col>0</xdr:col>
          <xdr:colOff>342900</xdr:colOff>
          <xdr:row>9</xdr:row>
          <xdr:rowOff>342900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200-000010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57150</xdr:rowOff>
        </xdr:from>
        <xdr:to>
          <xdr:col>0</xdr:col>
          <xdr:colOff>342900</xdr:colOff>
          <xdr:row>10</xdr:row>
          <xdr:rowOff>361950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200-000011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76200</xdr:rowOff>
        </xdr:from>
        <xdr:to>
          <xdr:col>0</xdr:col>
          <xdr:colOff>361950</xdr:colOff>
          <xdr:row>11</xdr:row>
          <xdr:rowOff>361950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200-000012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133350</xdr:rowOff>
        </xdr:from>
        <xdr:to>
          <xdr:col>0</xdr:col>
          <xdr:colOff>361950</xdr:colOff>
          <xdr:row>13</xdr:row>
          <xdr:rowOff>38100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200-000013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41688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4661" y="112061"/>
          <a:ext cx="3331240" cy="411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654050</xdr:colOff>
      <xdr:row>1</xdr:row>
      <xdr:rowOff>171450</xdr:rowOff>
    </xdr:from>
    <xdr:to>
      <xdr:col>2</xdr:col>
      <xdr:colOff>963612</xdr:colOff>
      <xdr:row>2</xdr:row>
      <xdr:rowOff>238569</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blip>
        <a:stretch>
          <a:fillRect/>
        </a:stretch>
      </xdr:blipFill>
      <xdr:spPr>
        <a:xfrm>
          <a:off x="4184650" y="488950"/>
          <a:ext cx="307975" cy="367976"/>
        </a:xfrm>
        <a:prstGeom prst="rect">
          <a:avLst/>
        </a:prstGeom>
      </xdr:spPr>
    </xdr:pic>
    <xdr:clientData/>
  </xdr:twoCellAnchor>
  <xdr:twoCellAnchor editAs="oneCell">
    <xdr:from>
      <xdr:col>2</xdr:col>
      <xdr:colOff>654050</xdr:colOff>
      <xdr:row>3</xdr:row>
      <xdr:rowOff>50800</xdr:rowOff>
    </xdr:from>
    <xdr:to>
      <xdr:col>2</xdr:col>
      <xdr:colOff>983397</xdr:colOff>
      <xdr:row>3</xdr:row>
      <xdr:rowOff>360054</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duotone>
            <a:schemeClr val="accent1">
              <a:shade val="45000"/>
              <a:satMod val="135000"/>
            </a:schemeClr>
            <a:prstClr val="white"/>
          </a:duotone>
        </a:blip>
        <a:stretch>
          <a:fillRect/>
        </a:stretch>
      </xdr:blipFill>
      <xdr:spPr>
        <a:xfrm>
          <a:off x="4184650" y="1003300"/>
          <a:ext cx="327760" cy="304492"/>
        </a:xfrm>
        <a:prstGeom prst="rect">
          <a:avLst/>
        </a:prstGeom>
      </xdr:spPr>
    </xdr:pic>
    <xdr:clientData/>
  </xdr:twoCellAnchor>
  <xdr:twoCellAnchor editAs="oneCell">
    <xdr:from>
      <xdr:col>2</xdr:col>
      <xdr:colOff>683080</xdr:colOff>
      <xdr:row>4</xdr:row>
      <xdr:rowOff>52613</xdr:rowOff>
    </xdr:from>
    <xdr:to>
      <xdr:col>2</xdr:col>
      <xdr:colOff>998992</xdr:colOff>
      <xdr:row>4</xdr:row>
      <xdr:rowOff>363763</xdr:rowOff>
    </xdr:to>
    <xdr:pic>
      <xdr:nvPicPr>
        <xdr:cNvPr id="12" name="Picture 11" descr="Related image">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13680" y="1436913"/>
          <a:ext cx="314325" cy="31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704850</xdr:colOff>
      <xdr:row>5</xdr:row>
      <xdr:rowOff>63500</xdr:rowOff>
    </xdr:from>
    <xdr:ext cx="313810" cy="311150"/>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a:duotone>
            <a:schemeClr val="accent1">
              <a:shade val="45000"/>
              <a:satMod val="135000"/>
            </a:schemeClr>
            <a:prstClr val="white"/>
          </a:duotone>
        </a:blip>
        <a:stretch>
          <a:fillRect/>
        </a:stretch>
      </xdr:blipFill>
      <xdr:spPr>
        <a:xfrm>
          <a:off x="4235450" y="1879600"/>
          <a:ext cx="313810" cy="311150"/>
        </a:xfrm>
        <a:prstGeom prst="rect">
          <a:avLst/>
        </a:prstGeom>
      </xdr:spPr>
    </xdr:pic>
    <xdr:clientData/>
  </xdr:oneCellAnchor>
  <xdr:oneCellAnchor>
    <xdr:from>
      <xdr:col>2</xdr:col>
      <xdr:colOff>704850</xdr:colOff>
      <xdr:row>6</xdr:row>
      <xdr:rowOff>19050</xdr:rowOff>
    </xdr:from>
    <xdr:ext cx="225144" cy="317858"/>
    <xdr:sp macro="" textlink="">
      <xdr:nvSpPr>
        <xdr:cNvPr id="18" name="Person icon" descr="&quot;&quot;" title="Person icon">
          <a:extLst>
            <a:ext uri="{FF2B5EF4-FFF2-40B4-BE49-F238E27FC236}">
              <a16:creationId xmlns:a16="http://schemas.microsoft.com/office/drawing/2014/main" id="{00000000-0008-0000-0300-000012000000}"/>
            </a:ext>
          </a:extLst>
        </xdr:cNvPr>
        <xdr:cNvSpPr>
          <a:spLocks noChangeAspect="1"/>
        </xdr:cNvSpPr>
      </xdr:nvSpPr>
      <xdr:spPr bwMode="auto">
        <a:xfrm>
          <a:off x="4235450" y="2266950"/>
          <a:ext cx="225144" cy="317858"/>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solidFill>
          <a:schemeClr val="accent1">
            <a:lumMod val="75000"/>
          </a:schemeClr>
        </a:solidFill>
        <a:ln w="0">
          <a:solidFill>
            <a:schemeClr val="accent1"/>
          </a:solidFill>
          <a:prstDash val="solid"/>
          <a:round/>
          <a:headEnd/>
          <a:tailEnd/>
        </a:ln>
      </xdr:spPr>
    </xdr:sp>
    <xdr:clientData/>
  </xdr:oneCellAnchor>
  <xdr:oneCellAnchor>
    <xdr:from>
      <xdr:col>2</xdr:col>
      <xdr:colOff>673099</xdr:colOff>
      <xdr:row>8</xdr:row>
      <xdr:rowOff>114300</xdr:rowOff>
    </xdr:from>
    <xdr:ext cx="343209" cy="292100"/>
    <xdr:grpSp>
      <xdr:nvGrpSpPr>
        <xdr:cNvPr id="19" name="Envelope icon group" descr="&quot;&quot;" title="Envelope icon">
          <a:extLst>
            <a:ext uri="{FF2B5EF4-FFF2-40B4-BE49-F238E27FC236}">
              <a16:creationId xmlns:a16="http://schemas.microsoft.com/office/drawing/2014/main" id="{00000000-0008-0000-0300-000013000000}"/>
            </a:ext>
          </a:extLst>
        </xdr:cNvPr>
        <xdr:cNvGrpSpPr>
          <a:grpSpLocks noChangeAspect="1"/>
        </xdr:cNvGrpSpPr>
      </xdr:nvGrpSpPr>
      <xdr:grpSpPr>
        <a:xfrm>
          <a:off x="1322055" y="3191608"/>
          <a:ext cx="343209" cy="292100"/>
          <a:chOff x="1847850" y="4562475"/>
          <a:chExt cx="447675" cy="381000"/>
        </a:xfrm>
        <a:solidFill>
          <a:schemeClr val="accent1">
            <a:lumMod val="75000"/>
          </a:schemeClr>
        </a:solidFill>
      </xdr:grpSpPr>
      <xdr:sp macro="" textlink="">
        <xdr:nvSpPr>
          <xdr:cNvPr id="20" name="Freeform 16">
            <a:extLst>
              <a:ext uri="{FF2B5EF4-FFF2-40B4-BE49-F238E27FC236}">
                <a16:creationId xmlns:a16="http://schemas.microsoft.com/office/drawing/2014/main" id="{00000000-0008-0000-0300-000014000000}"/>
              </a:ext>
            </a:extLst>
          </xdr:cNvPr>
          <xdr:cNvSpPr>
            <a:spLocks/>
          </xdr:cNvSpPr>
        </xdr:nvSpPr>
        <xdr:spPr bwMode="auto">
          <a:xfrm>
            <a:off x="1847850" y="4695825"/>
            <a:ext cx="447675" cy="247650"/>
          </a:xfrm>
          <a:custGeom>
            <a:avLst/>
            <a:gdLst>
              <a:gd name="T0" fmla="*/ 6 w 517"/>
              <a:gd name="T1" fmla="*/ 0 h 280"/>
              <a:gd name="T2" fmla="*/ 218 w 517"/>
              <a:gd name="T3" fmla="*/ 172 h 280"/>
              <a:gd name="T4" fmla="*/ 218 w 517"/>
              <a:gd name="T5" fmla="*/ 173 h 280"/>
              <a:gd name="T6" fmla="*/ 230 w 517"/>
              <a:gd name="T7" fmla="*/ 180 h 280"/>
              <a:gd name="T8" fmla="*/ 245 w 517"/>
              <a:gd name="T9" fmla="*/ 184 h 280"/>
              <a:gd name="T10" fmla="*/ 259 w 517"/>
              <a:gd name="T11" fmla="*/ 186 h 280"/>
              <a:gd name="T12" fmla="*/ 273 w 517"/>
              <a:gd name="T13" fmla="*/ 184 h 280"/>
              <a:gd name="T14" fmla="*/ 287 w 517"/>
              <a:gd name="T15" fmla="*/ 179 h 280"/>
              <a:gd name="T16" fmla="*/ 300 w 517"/>
              <a:gd name="T17" fmla="*/ 172 h 280"/>
              <a:gd name="T18" fmla="*/ 300 w 517"/>
              <a:gd name="T19" fmla="*/ 171 h 280"/>
              <a:gd name="T20" fmla="*/ 379 w 517"/>
              <a:gd name="T21" fmla="*/ 108 h 280"/>
              <a:gd name="T22" fmla="*/ 492 w 517"/>
              <a:gd name="T23" fmla="*/ 16 h 280"/>
              <a:gd name="T24" fmla="*/ 511 w 517"/>
              <a:gd name="T25" fmla="*/ 0 h 280"/>
              <a:gd name="T26" fmla="*/ 515 w 517"/>
              <a:gd name="T27" fmla="*/ 11 h 280"/>
              <a:gd name="T28" fmla="*/ 516 w 517"/>
              <a:gd name="T29" fmla="*/ 21 h 280"/>
              <a:gd name="T30" fmla="*/ 517 w 517"/>
              <a:gd name="T31" fmla="*/ 232 h 280"/>
              <a:gd name="T32" fmla="*/ 515 w 517"/>
              <a:gd name="T33" fmla="*/ 246 h 280"/>
              <a:gd name="T34" fmla="*/ 508 w 517"/>
              <a:gd name="T35" fmla="*/ 259 h 280"/>
              <a:gd name="T36" fmla="*/ 373 w 517"/>
              <a:gd name="T37" fmla="*/ 158 h 280"/>
              <a:gd name="T38" fmla="*/ 371 w 517"/>
              <a:gd name="T39" fmla="*/ 157 h 280"/>
              <a:gd name="T40" fmla="*/ 368 w 517"/>
              <a:gd name="T41" fmla="*/ 156 h 280"/>
              <a:gd name="T42" fmla="*/ 366 w 517"/>
              <a:gd name="T43" fmla="*/ 157 h 280"/>
              <a:gd name="T44" fmla="*/ 364 w 517"/>
              <a:gd name="T45" fmla="*/ 159 h 280"/>
              <a:gd name="T46" fmla="*/ 362 w 517"/>
              <a:gd name="T47" fmla="*/ 163 h 280"/>
              <a:gd name="T48" fmla="*/ 362 w 517"/>
              <a:gd name="T49" fmla="*/ 165 h 280"/>
              <a:gd name="T50" fmla="*/ 363 w 517"/>
              <a:gd name="T51" fmla="*/ 168 h 280"/>
              <a:gd name="T52" fmla="*/ 365 w 517"/>
              <a:gd name="T53" fmla="*/ 170 h 280"/>
              <a:gd name="T54" fmla="*/ 499 w 517"/>
              <a:gd name="T55" fmla="*/ 269 h 280"/>
              <a:gd name="T56" fmla="*/ 485 w 517"/>
              <a:gd name="T57" fmla="*/ 277 h 280"/>
              <a:gd name="T58" fmla="*/ 468 w 517"/>
              <a:gd name="T59" fmla="*/ 280 h 280"/>
              <a:gd name="T60" fmla="*/ 49 w 517"/>
              <a:gd name="T61" fmla="*/ 280 h 280"/>
              <a:gd name="T62" fmla="*/ 33 w 517"/>
              <a:gd name="T63" fmla="*/ 278 h 280"/>
              <a:gd name="T64" fmla="*/ 20 w 517"/>
              <a:gd name="T65" fmla="*/ 270 h 280"/>
              <a:gd name="T66" fmla="*/ 153 w 517"/>
              <a:gd name="T67" fmla="*/ 170 h 280"/>
              <a:gd name="T68" fmla="*/ 155 w 517"/>
              <a:gd name="T69" fmla="*/ 168 h 280"/>
              <a:gd name="T70" fmla="*/ 156 w 517"/>
              <a:gd name="T71" fmla="*/ 165 h 280"/>
              <a:gd name="T72" fmla="*/ 156 w 517"/>
              <a:gd name="T73" fmla="*/ 163 h 280"/>
              <a:gd name="T74" fmla="*/ 155 w 517"/>
              <a:gd name="T75" fmla="*/ 159 h 280"/>
              <a:gd name="T76" fmla="*/ 153 w 517"/>
              <a:gd name="T77" fmla="*/ 157 h 280"/>
              <a:gd name="T78" fmla="*/ 150 w 517"/>
              <a:gd name="T79" fmla="*/ 156 h 280"/>
              <a:gd name="T80" fmla="*/ 148 w 517"/>
              <a:gd name="T81" fmla="*/ 157 h 280"/>
              <a:gd name="T82" fmla="*/ 145 w 517"/>
              <a:gd name="T83" fmla="*/ 158 h 280"/>
              <a:gd name="T84" fmla="*/ 10 w 517"/>
              <a:gd name="T85" fmla="*/ 260 h 280"/>
              <a:gd name="T86" fmla="*/ 2 w 517"/>
              <a:gd name="T87" fmla="*/ 247 h 280"/>
              <a:gd name="T88" fmla="*/ 0 w 517"/>
              <a:gd name="T89" fmla="*/ 232 h 280"/>
              <a:gd name="T90" fmla="*/ 0 w 517"/>
              <a:gd name="T91" fmla="*/ 228 h 280"/>
              <a:gd name="T92" fmla="*/ 0 w 517"/>
              <a:gd name="T93" fmla="*/ 218 h 280"/>
              <a:gd name="T94" fmla="*/ 0 w 517"/>
              <a:gd name="T95" fmla="*/ 203 h 280"/>
              <a:gd name="T96" fmla="*/ 0 w 517"/>
              <a:gd name="T97" fmla="*/ 184 h 280"/>
              <a:gd name="T98" fmla="*/ 0 w 517"/>
              <a:gd name="T99" fmla="*/ 163 h 280"/>
              <a:gd name="T100" fmla="*/ 0 w 517"/>
              <a:gd name="T101" fmla="*/ 139 h 280"/>
              <a:gd name="T102" fmla="*/ 0 w 517"/>
              <a:gd name="T103" fmla="*/ 115 h 280"/>
              <a:gd name="T104" fmla="*/ 0 w 517"/>
              <a:gd name="T105" fmla="*/ 91 h 280"/>
              <a:gd name="T106" fmla="*/ 0 w 517"/>
              <a:gd name="T107" fmla="*/ 69 h 280"/>
              <a:gd name="T108" fmla="*/ 0 w 517"/>
              <a:gd name="T109" fmla="*/ 50 h 280"/>
              <a:gd name="T110" fmla="*/ 0 w 517"/>
              <a:gd name="T111" fmla="*/ 35 h 280"/>
              <a:gd name="T112" fmla="*/ 0 w 517"/>
              <a:gd name="T113" fmla="*/ 25 h 280"/>
              <a:gd name="T114" fmla="*/ 0 w 517"/>
              <a:gd name="T115" fmla="*/ 21 h 280"/>
              <a:gd name="T116" fmla="*/ 1 w 517"/>
              <a:gd name="T117" fmla="*/ 10 h 280"/>
              <a:gd name="T118" fmla="*/ 6 w 517"/>
              <a:gd name="T119" fmla="*/ 0 h 2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17" h="280">
                <a:moveTo>
                  <a:pt x="6" y="0"/>
                </a:moveTo>
                <a:lnTo>
                  <a:pt x="218" y="172"/>
                </a:lnTo>
                <a:lnTo>
                  <a:pt x="218" y="173"/>
                </a:lnTo>
                <a:lnTo>
                  <a:pt x="230" y="180"/>
                </a:lnTo>
                <a:lnTo>
                  <a:pt x="245" y="184"/>
                </a:lnTo>
                <a:lnTo>
                  <a:pt x="259" y="186"/>
                </a:lnTo>
                <a:lnTo>
                  <a:pt x="273" y="184"/>
                </a:lnTo>
                <a:lnTo>
                  <a:pt x="287" y="179"/>
                </a:lnTo>
                <a:lnTo>
                  <a:pt x="300" y="172"/>
                </a:lnTo>
                <a:lnTo>
                  <a:pt x="300" y="171"/>
                </a:lnTo>
                <a:lnTo>
                  <a:pt x="379" y="108"/>
                </a:lnTo>
                <a:lnTo>
                  <a:pt x="492" y="16"/>
                </a:lnTo>
                <a:lnTo>
                  <a:pt x="511" y="0"/>
                </a:lnTo>
                <a:lnTo>
                  <a:pt x="515" y="11"/>
                </a:lnTo>
                <a:lnTo>
                  <a:pt x="516" y="21"/>
                </a:lnTo>
                <a:lnTo>
                  <a:pt x="517" y="232"/>
                </a:lnTo>
                <a:lnTo>
                  <a:pt x="515" y="246"/>
                </a:lnTo>
                <a:lnTo>
                  <a:pt x="508" y="259"/>
                </a:lnTo>
                <a:lnTo>
                  <a:pt x="373" y="158"/>
                </a:lnTo>
                <a:lnTo>
                  <a:pt x="371" y="157"/>
                </a:lnTo>
                <a:lnTo>
                  <a:pt x="368" y="156"/>
                </a:lnTo>
                <a:lnTo>
                  <a:pt x="366" y="157"/>
                </a:lnTo>
                <a:lnTo>
                  <a:pt x="364" y="159"/>
                </a:lnTo>
                <a:lnTo>
                  <a:pt x="362" y="163"/>
                </a:lnTo>
                <a:lnTo>
                  <a:pt x="362" y="165"/>
                </a:lnTo>
                <a:lnTo>
                  <a:pt x="363" y="168"/>
                </a:lnTo>
                <a:lnTo>
                  <a:pt x="365" y="170"/>
                </a:lnTo>
                <a:lnTo>
                  <a:pt x="499" y="269"/>
                </a:lnTo>
                <a:lnTo>
                  <a:pt x="485" y="277"/>
                </a:lnTo>
                <a:lnTo>
                  <a:pt x="468" y="280"/>
                </a:lnTo>
                <a:lnTo>
                  <a:pt x="49" y="280"/>
                </a:lnTo>
                <a:lnTo>
                  <a:pt x="33" y="278"/>
                </a:lnTo>
                <a:lnTo>
                  <a:pt x="20" y="270"/>
                </a:lnTo>
                <a:lnTo>
                  <a:pt x="153" y="170"/>
                </a:lnTo>
                <a:lnTo>
                  <a:pt x="155" y="168"/>
                </a:lnTo>
                <a:lnTo>
                  <a:pt x="156" y="165"/>
                </a:lnTo>
                <a:lnTo>
                  <a:pt x="156" y="163"/>
                </a:lnTo>
                <a:lnTo>
                  <a:pt x="155" y="159"/>
                </a:lnTo>
                <a:lnTo>
                  <a:pt x="153" y="157"/>
                </a:lnTo>
                <a:lnTo>
                  <a:pt x="150" y="156"/>
                </a:lnTo>
                <a:lnTo>
                  <a:pt x="148" y="157"/>
                </a:lnTo>
                <a:lnTo>
                  <a:pt x="145" y="158"/>
                </a:lnTo>
                <a:lnTo>
                  <a:pt x="10" y="260"/>
                </a:lnTo>
                <a:lnTo>
                  <a:pt x="2" y="247"/>
                </a:lnTo>
                <a:lnTo>
                  <a:pt x="0" y="232"/>
                </a:lnTo>
                <a:lnTo>
                  <a:pt x="0" y="228"/>
                </a:lnTo>
                <a:lnTo>
                  <a:pt x="0" y="218"/>
                </a:lnTo>
                <a:lnTo>
                  <a:pt x="0" y="203"/>
                </a:lnTo>
                <a:lnTo>
                  <a:pt x="0" y="184"/>
                </a:lnTo>
                <a:lnTo>
                  <a:pt x="0" y="163"/>
                </a:lnTo>
                <a:lnTo>
                  <a:pt x="0" y="139"/>
                </a:lnTo>
                <a:lnTo>
                  <a:pt x="0" y="115"/>
                </a:lnTo>
                <a:lnTo>
                  <a:pt x="0" y="91"/>
                </a:lnTo>
                <a:lnTo>
                  <a:pt x="0" y="69"/>
                </a:lnTo>
                <a:lnTo>
                  <a:pt x="0" y="50"/>
                </a:lnTo>
                <a:lnTo>
                  <a:pt x="0" y="35"/>
                </a:lnTo>
                <a:lnTo>
                  <a:pt x="0" y="25"/>
                </a:lnTo>
                <a:lnTo>
                  <a:pt x="0" y="21"/>
                </a:lnTo>
                <a:lnTo>
                  <a:pt x="1" y="10"/>
                </a:lnTo>
                <a:lnTo>
                  <a:pt x="6" y="0"/>
                </a:lnTo>
                <a:close/>
              </a:path>
            </a:pathLst>
          </a:custGeom>
          <a:grpFill/>
          <a:ln w="0">
            <a:solidFill>
              <a:schemeClr val="accent1"/>
            </a:solidFill>
            <a:prstDash val="solid"/>
            <a:round/>
            <a:headEnd/>
            <a:tailEnd/>
          </a:ln>
        </xdr:spPr>
      </xdr:sp>
      <xdr:sp macro="" textlink="">
        <xdr:nvSpPr>
          <xdr:cNvPr id="21" name="Freeform 17">
            <a:extLst>
              <a:ext uri="{FF2B5EF4-FFF2-40B4-BE49-F238E27FC236}">
                <a16:creationId xmlns:a16="http://schemas.microsoft.com/office/drawing/2014/main" id="{00000000-0008-0000-0300-000015000000}"/>
              </a:ext>
            </a:extLst>
          </xdr:cNvPr>
          <xdr:cNvSpPr>
            <a:spLocks/>
          </xdr:cNvSpPr>
        </xdr:nvSpPr>
        <xdr:spPr bwMode="auto">
          <a:xfrm>
            <a:off x="1866900" y="4562475"/>
            <a:ext cx="409575" cy="209550"/>
          </a:xfrm>
          <a:custGeom>
            <a:avLst/>
            <a:gdLst>
              <a:gd name="T0" fmla="*/ 234 w 467"/>
              <a:gd name="T1" fmla="*/ 0 h 245"/>
              <a:gd name="T2" fmla="*/ 248 w 467"/>
              <a:gd name="T3" fmla="*/ 1 h 245"/>
              <a:gd name="T4" fmla="*/ 261 w 467"/>
              <a:gd name="T5" fmla="*/ 6 h 245"/>
              <a:gd name="T6" fmla="*/ 274 w 467"/>
              <a:gd name="T7" fmla="*/ 13 h 245"/>
              <a:gd name="T8" fmla="*/ 467 w 467"/>
              <a:gd name="T9" fmla="*/ 139 h 245"/>
              <a:gd name="T10" fmla="*/ 397 w 467"/>
              <a:gd name="T11" fmla="*/ 195 h 245"/>
              <a:gd name="T12" fmla="*/ 310 w 467"/>
              <a:gd name="T13" fmla="*/ 127 h 245"/>
              <a:gd name="T14" fmla="*/ 310 w 467"/>
              <a:gd name="T15" fmla="*/ 191 h 245"/>
              <a:gd name="T16" fmla="*/ 312 w 467"/>
              <a:gd name="T17" fmla="*/ 202 h 245"/>
              <a:gd name="T18" fmla="*/ 318 w 467"/>
              <a:gd name="T19" fmla="*/ 210 h 245"/>
              <a:gd name="T20" fmla="*/ 326 w 467"/>
              <a:gd name="T21" fmla="*/ 215 h 245"/>
              <a:gd name="T22" fmla="*/ 336 w 467"/>
              <a:gd name="T23" fmla="*/ 217 h 245"/>
              <a:gd name="T24" fmla="*/ 371 w 467"/>
              <a:gd name="T25" fmla="*/ 217 h 245"/>
              <a:gd name="T26" fmla="*/ 354 w 467"/>
              <a:gd name="T27" fmla="*/ 231 h 245"/>
              <a:gd name="T28" fmla="*/ 337 w 467"/>
              <a:gd name="T29" fmla="*/ 245 h 245"/>
              <a:gd name="T30" fmla="*/ 336 w 467"/>
              <a:gd name="T31" fmla="*/ 245 h 245"/>
              <a:gd name="T32" fmla="*/ 319 w 467"/>
              <a:gd name="T33" fmla="*/ 242 h 245"/>
              <a:gd name="T34" fmla="*/ 304 w 467"/>
              <a:gd name="T35" fmla="*/ 234 h 245"/>
              <a:gd name="T36" fmla="*/ 293 w 467"/>
              <a:gd name="T37" fmla="*/ 223 h 245"/>
              <a:gd name="T38" fmla="*/ 285 w 467"/>
              <a:gd name="T39" fmla="*/ 209 h 245"/>
              <a:gd name="T40" fmla="*/ 283 w 467"/>
              <a:gd name="T41" fmla="*/ 191 h 245"/>
              <a:gd name="T42" fmla="*/ 283 w 467"/>
              <a:gd name="T43" fmla="*/ 124 h 245"/>
              <a:gd name="T44" fmla="*/ 106 w 467"/>
              <a:gd name="T45" fmla="*/ 124 h 245"/>
              <a:gd name="T46" fmla="*/ 91 w 467"/>
              <a:gd name="T47" fmla="*/ 127 h 245"/>
              <a:gd name="T48" fmla="*/ 80 w 467"/>
              <a:gd name="T49" fmla="*/ 134 h 245"/>
              <a:gd name="T50" fmla="*/ 73 w 467"/>
              <a:gd name="T51" fmla="*/ 146 h 245"/>
              <a:gd name="T52" fmla="*/ 70 w 467"/>
              <a:gd name="T53" fmla="*/ 160 h 245"/>
              <a:gd name="T54" fmla="*/ 70 w 467"/>
              <a:gd name="T55" fmla="*/ 195 h 245"/>
              <a:gd name="T56" fmla="*/ 0 w 467"/>
              <a:gd name="T57" fmla="*/ 139 h 245"/>
              <a:gd name="T58" fmla="*/ 194 w 467"/>
              <a:gd name="T59" fmla="*/ 12 h 245"/>
              <a:gd name="T60" fmla="*/ 194 w 467"/>
              <a:gd name="T61" fmla="*/ 12 h 245"/>
              <a:gd name="T62" fmla="*/ 206 w 467"/>
              <a:gd name="T63" fmla="*/ 5 h 245"/>
              <a:gd name="T64" fmla="*/ 220 w 467"/>
              <a:gd name="T65" fmla="*/ 1 h 245"/>
              <a:gd name="T66" fmla="*/ 234 w 467"/>
              <a:gd name="T67" fmla="*/ 0 h 2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467" h="245">
                <a:moveTo>
                  <a:pt x="234" y="0"/>
                </a:moveTo>
                <a:lnTo>
                  <a:pt x="248" y="1"/>
                </a:lnTo>
                <a:lnTo>
                  <a:pt x="261" y="6"/>
                </a:lnTo>
                <a:lnTo>
                  <a:pt x="274" y="13"/>
                </a:lnTo>
                <a:lnTo>
                  <a:pt x="467" y="139"/>
                </a:lnTo>
                <a:lnTo>
                  <a:pt x="397" y="195"/>
                </a:lnTo>
                <a:lnTo>
                  <a:pt x="310" y="127"/>
                </a:lnTo>
                <a:lnTo>
                  <a:pt x="310" y="191"/>
                </a:lnTo>
                <a:lnTo>
                  <a:pt x="312" y="202"/>
                </a:lnTo>
                <a:lnTo>
                  <a:pt x="318" y="210"/>
                </a:lnTo>
                <a:lnTo>
                  <a:pt x="326" y="215"/>
                </a:lnTo>
                <a:lnTo>
                  <a:pt x="336" y="217"/>
                </a:lnTo>
                <a:lnTo>
                  <a:pt x="371" y="217"/>
                </a:lnTo>
                <a:lnTo>
                  <a:pt x="354" y="231"/>
                </a:lnTo>
                <a:lnTo>
                  <a:pt x="337" y="245"/>
                </a:lnTo>
                <a:lnTo>
                  <a:pt x="336" y="245"/>
                </a:lnTo>
                <a:lnTo>
                  <a:pt x="319" y="242"/>
                </a:lnTo>
                <a:lnTo>
                  <a:pt x="304" y="234"/>
                </a:lnTo>
                <a:lnTo>
                  <a:pt x="293" y="223"/>
                </a:lnTo>
                <a:lnTo>
                  <a:pt x="285" y="209"/>
                </a:lnTo>
                <a:lnTo>
                  <a:pt x="283" y="191"/>
                </a:lnTo>
                <a:lnTo>
                  <a:pt x="283" y="124"/>
                </a:lnTo>
                <a:lnTo>
                  <a:pt x="106" y="124"/>
                </a:lnTo>
                <a:lnTo>
                  <a:pt x="91" y="127"/>
                </a:lnTo>
                <a:lnTo>
                  <a:pt x="80" y="134"/>
                </a:lnTo>
                <a:lnTo>
                  <a:pt x="73" y="146"/>
                </a:lnTo>
                <a:lnTo>
                  <a:pt x="70" y="160"/>
                </a:lnTo>
                <a:lnTo>
                  <a:pt x="70" y="195"/>
                </a:lnTo>
                <a:lnTo>
                  <a:pt x="0" y="139"/>
                </a:lnTo>
                <a:lnTo>
                  <a:pt x="194" y="12"/>
                </a:lnTo>
                <a:lnTo>
                  <a:pt x="194" y="12"/>
                </a:lnTo>
                <a:lnTo>
                  <a:pt x="206" y="5"/>
                </a:lnTo>
                <a:lnTo>
                  <a:pt x="220" y="1"/>
                </a:lnTo>
                <a:lnTo>
                  <a:pt x="234" y="0"/>
                </a:lnTo>
                <a:close/>
              </a:path>
            </a:pathLst>
          </a:custGeom>
          <a:grpFill/>
          <a:ln w="0">
            <a:solidFill>
              <a:schemeClr val="accent1"/>
            </a:solidFill>
            <a:prstDash val="solid"/>
            <a:round/>
            <a:headEnd/>
            <a:tailEnd/>
          </a:ln>
        </xdr:spPr>
      </xdr:sp>
    </xdr:grpSp>
    <xdr:clientData/>
  </xdr:oneCellAnchor>
  <xdr:twoCellAnchor editAs="oneCell">
    <xdr:from>
      <xdr:col>2</xdr:col>
      <xdr:colOff>715202</xdr:colOff>
      <xdr:row>13</xdr:row>
      <xdr:rowOff>6350</xdr:rowOff>
    </xdr:from>
    <xdr:to>
      <xdr:col>2</xdr:col>
      <xdr:colOff>1020577</xdr:colOff>
      <xdr:row>14</xdr:row>
      <xdr:rowOff>125870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1309114" y="3603438"/>
          <a:ext cx="297438" cy="313196"/>
        </a:xfrm>
        <a:prstGeom prst="rect">
          <a:avLst/>
        </a:prstGeom>
      </xdr:spPr>
    </xdr:pic>
    <xdr:clientData/>
  </xdr:twoCellAnchor>
  <xdr:twoCellAnchor editAs="oneCell">
    <xdr:from>
      <xdr:col>0</xdr:col>
      <xdr:colOff>157504</xdr:colOff>
      <xdr:row>16</xdr:row>
      <xdr:rowOff>164648</xdr:rowOff>
    </xdr:from>
    <xdr:to>
      <xdr:col>0</xdr:col>
      <xdr:colOff>544853</xdr:colOff>
      <xdr:row>18</xdr:row>
      <xdr:rowOff>134215</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duotone>
            <a:schemeClr val="accent1">
              <a:shade val="45000"/>
              <a:satMod val="135000"/>
            </a:schemeClr>
            <a:prstClr val="white"/>
          </a:duotone>
        </a:blip>
        <a:stretch>
          <a:fillRect/>
        </a:stretch>
      </xdr:blipFill>
      <xdr:spPr>
        <a:xfrm>
          <a:off x="157504" y="3593648"/>
          <a:ext cx="387349" cy="354397"/>
        </a:xfrm>
        <a:prstGeom prst="rect">
          <a:avLst/>
        </a:prstGeom>
      </xdr:spPr>
    </xdr:pic>
    <xdr:clientData/>
  </xdr:twoCellAnchor>
  <xdr:twoCellAnchor editAs="oneCell">
    <xdr:from>
      <xdr:col>7</xdr:col>
      <xdr:colOff>577849</xdr:colOff>
      <xdr:row>3</xdr:row>
      <xdr:rowOff>25400</xdr:rowOff>
    </xdr:from>
    <xdr:to>
      <xdr:col>7</xdr:col>
      <xdr:colOff>865959</xdr:colOff>
      <xdr:row>3</xdr:row>
      <xdr:rowOff>322064</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a:duotone>
            <a:schemeClr val="accent1">
              <a:shade val="45000"/>
              <a:satMod val="135000"/>
            </a:schemeClr>
            <a:prstClr val="white"/>
          </a:duotone>
        </a:blip>
        <a:stretch>
          <a:fillRect/>
        </a:stretch>
      </xdr:blipFill>
      <xdr:spPr>
        <a:xfrm>
          <a:off x="11296649" y="977900"/>
          <a:ext cx="286523" cy="285552"/>
        </a:xfrm>
        <a:prstGeom prst="rect">
          <a:avLst/>
        </a:prstGeom>
      </xdr:spPr>
    </xdr:pic>
    <xdr:clientData/>
  </xdr:twoCellAnchor>
  <xdr:twoCellAnchor editAs="oneCell">
    <xdr:from>
      <xdr:col>0</xdr:col>
      <xdr:colOff>73269</xdr:colOff>
      <xdr:row>0</xdr:row>
      <xdr:rowOff>62802</xdr:rowOff>
    </xdr:from>
    <xdr:to>
      <xdr:col>3</xdr:col>
      <xdr:colOff>983053</xdr:colOff>
      <xdr:row>0</xdr:row>
      <xdr:rowOff>494079</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269" y="62802"/>
          <a:ext cx="3118328" cy="4312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64801"/>
        </a:xfrm>
        <a:prstGeom prst="rect">
          <a:avLst/>
        </a:prstGeom>
      </xdr:spPr>
    </xdr:pic>
    <xdr:clientData/>
  </xdr:twoCellAnchor>
  <xdr:oneCellAnchor>
    <xdr:from>
      <xdr:col>0</xdr:col>
      <xdr:colOff>171450</xdr:colOff>
      <xdr:row>4</xdr:row>
      <xdr:rowOff>63500</xdr:rowOff>
    </xdr:from>
    <xdr:ext cx="313810" cy="31115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7</xdr:row>
      <xdr:rowOff>38100</xdr:rowOff>
    </xdr:from>
    <xdr:to>
      <xdr:col>0</xdr:col>
      <xdr:colOff>516119</xdr:colOff>
      <xdr:row>9</xdr:row>
      <xdr:rowOff>26593</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46051" y="1682750"/>
          <a:ext cx="365306" cy="371174"/>
        </a:xfrm>
        <a:prstGeom prst="rect">
          <a:avLst/>
        </a:prstGeom>
      </xdr:spPr>
    </xdr:pic>
    <xdr:clientData/>
  </xdr:twoCellAnchor>
  <xdr:twoCellAnchor editAs="oneCell">
    <xdr:from>
      <xdr:col>0</xdr:col>
      <xdr:colOff>146051</xdr:colOff>
      <xdr:row>21</xdr:row>
      <xdr:rowOff>38100</xdr:rowOff>
    </xdr:from>
    <xdr:to>
      <xdr:col>0</xdr:col>
      <xdr:colOff>457200</xdr:colOff>
      <xdr:row>22</xdr:row>
      <xdr:rowOff>143046</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duotone>
            <a:schemeClr val="accent6">
              <a:shade val="45000"/>
              <a:satMod val="135000"/>
            </a:schemeClr>
            <a:prstClr val="white"/>
          </a:duotone>
        </a:blip>
        <a:stretch>
          <a:fillRect/>
        </a:stretch>
      </xdr:blipFill>
      <xdr:spPr>
        <a:xfrm>
          <a:off x="146051" y="4121150"/>
          <a:ext cx="311149" cy="285921"/>
        </a:xfrm>
        <a:prstGeom prst="rect">
          <a:avLst/>
        </a:prstGeom>
      </xdr:spPr>
    </xdr:pic>
    <xdr:clientData/>
  </xdr:twoCellAnchor>
  <xdr:twoCellAnchor editAs="oneCell">
    <xdr:from>
      <xdr:col>10</xdr:col>
      <xdr:colOff>641350</xdr:colOff>
      <xdr:row>24</xdr:row>
      <xdr:rowOff>114300</xdr:rowOff>
    </xdr:from>
    <xdr:to>
      <xdr:col>10</xdr:col>
      <xdr:colOff>1011418</xdr:colOff>
      <xdr:row>24</xdr:row>
      <xdr:rowOff>369586</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1042650" y="4768850"/>
          <a:ext cx="365306" cy="3711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100</xdr:row>
      <xdr:rowOff>0</xdr:rowOff>
    </xdr:from>
    <xdr:to>
      <xdr:col>1</xdr:col>
      <xdr:colOff>239712</xdr:colOff>
      <xdr:row>102</xdr:row>
      <xdr:rowOff>29632</xdr:rowOff>
    </xdr:to>
    <xdr:pic>
      <xdr:nvPicPr>
        <xdr:cNvPr id="12" name="Picture 11" descr="Image result for icon drug">
          <a:extLst>
            <a:ext uri="{FF2B5EF4-FFF2-40B4-BE49-F238E27FC236}">
              <a16:creationId xmlns:a16="http://schemas.microsoft.com/office/drawing/2014/main" id="{00000000-0008-0000-0600-00000C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7919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549276</xdr:colOff>
      <xdr:row>7</xdr:row>
      <xdr:rowOff>12847</xdr:rowOff>
    </xdr:from>
    <xdr:to>
      <xdr:col>1</xdr:col>
      <xdr:colOff>278293</xdr:colOff>
      <xdr:row>8</xdr:row>
      <xdr:rowOff>154762</xdr:rowOff>
    </xdr:to>
    <xdr:pic>
      <xdr:nvPicPr>
        <xdr:cNvPr id="6" name="Picture 5" descr="Image result for icon drug bottle">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49276" y="1485899"/>
          <a:ext cx="34290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512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7420"/>
          <a:ext cx="313810" cy="3111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428064</xdr:colOff>
      <xdr:row>7</xdr:row>
      <xdr:rowOff>21575</xdr:rowOff>
    </xdr:from>
    <xdr:to>
      <xdr:col>1</xdr:col>
      <xdr:colOff>199464</xdr:colOff>
      <xdr:row>8</xdr:row>
      <xdr:rowOff>169566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duotone>
            <a:schemeClr val="accent6">
              <a:shade val="45000"/>
              <a:satMod val="135000"/>
            </a:schemeClr>
            <a:prstClr val="white"/>
          </a:duotone>
        </a:blip>
        <a:stretch>
          <a:fillRect/>
        </a:stretch>
      </xdr:blipFill>
      <xdr:spPr>
        <a:xfrm>
          <a:off x="428064" y="1545575"/>
          <a:ext cx="365312" cy="338491"/>
        </a:xfrm>
        <a:prstGeom prst="rect">
          <a:avLst/>
        </a:prstGeom>
      </xdr:spPr>
    </xdr:pic>
    <xdr:clientData/>
  </xdr:twoCellAnchor>
  <xdr:twoCellAnchor editAs="oneCell">
    <xdr:from>
      <xdr:col>0</xdr:col>
      <xdr:colOff>533400</xdr:colOff>
      <xdr:row>42</xdr:row>
      <xdr:rowOff>19050</xdr:rowOff>
    </xdr:from>
    <xdr:to>
      <xdr:col>1</xdr:col>
      <xdr:colOff>258489</xdr:colOff>
      <xdr:row>43</xdr:row>
      <xdr:rowOff>163845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lum bright="70000" contrast="-70000"/>
        </a:blip>
        <a:stretch>
          <a:fillRect/>
        </a:stretch>
      </xdr:blipFill>
      <xdr:spPr>
        <a:xfrm>
          <a:off x="533400" y="6864350"/>
          <a:ext cx="328339" cy="336883"/>
        </a:xfrm>
        <a:prstGeom prst="rect">
          <a:avLst/>
        </a:prstGeom>
      </xdr:spPr>
    </xdr:pic>
    <xdr:clientData/>
  </xdr:twoCellAnchor>
  <xdr:twoCellAnchor editAs="oneCell">
    <xdr:from>
      <xdr:col>0</xdr:col>
      <xdr:colOff>539750</xdr:colOff>
      <xdr:row>76</xdr:row>
      <xdr:rowOff>57150</xdr:rowOff>
    </xdr:from>
    <xdr:to>
      <xdr:col>1</xdr:col>
      <xdr:colOff>211213</xdr:colOff>
      <xdr:row>77</xdr:row>
      <xdr:rowOff>144237</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539750" y="12490450"/>
          <a:ext cx="281063" cy="269650"/>
        </a:xfrm>
        <a:prstGeom prst="rect">
          <a:avLst/>
        </a:prstGeom>
      </xdr:spPr>
    </xdr:pic>
    <xdr:clientData/>
  </xdr:twoCellAnchor>
  <xdr:twoCellAnchor editAs="oneCell">
    <xdr:from>
      <xdr:col>0</xdr:col>
      <xdr:colOff>173182</xdr:colOff>
      <xdr:row>2</xdr:row>
      <xdr:rowOff>17318</xdr:rowOff>
    </xdr:from>
    <xdr:to>
      <xdr:col>0</xdr:col>
      <xdr:colOff>477982</xdr:colOff>
      <xdr:row>4</xdr:row>
      <xdr:rowOff>8047</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a:duotone>
            <a:schemeClr val="accent6">
              <a:shade val="45000"/>
              <a:satMod val="135000"/>
            </a:schemeClr>
            <a:prstClr val="white"/>
          </a:duotone>
        </a:blip>
        <a:stretch>
          <a:fillRect/>
        </a:stretch>
      </xdr:blipFill>
      <xdr:spPr>
        <a:xfrm>
          <a:off x="173182" y="513773"/>
          <a:ext cx="304800" cy="383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26592</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37</xdr:row>
      <xdr:rowOff>38100</xdr:rowOff>
    </xdr:from>
    <xdr:to>
      <xdr:col>0</xdr:col>
      <xdr:colOff>457200</xdr:colOff>
      <xdr:row>38</xdr:row>
      <xdr:rowOff>143045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duotone>
            <a:schemeClr val="accent2">
              <a:shade val="45000"/>
              <a:satMod val="135000"/>
            </a:schemeClr>
            <a:prstClr val="white"/>
          </a:duotone>
        </a:blip>
        <a:stretch>
          <a:fillRect/>
        </a:stretch>
      </xdr:blipFill>
      <xdr:spPr>
        <a:xfrm>
          <a:off x="146051" y="3949700"/>
          <a:ext cx="311149" cy="285921"/>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26592</xdr:rowOff>
    </xdr:to>
    <xdr:pic>
      <xdr:nvPicPr>
        <xdr:cNvPr id="6" name="Picture 3">
          <a:extLst>
            <a:ext uri="{FF2B5EF4-FFF2-40B4-BE49-F238E27FC236}">
              <a16:creationId xmlns:a16="http://schemas.microsoft.com/office/drawing/2014/main" id="{00000000-0008-0000-0900-000006000000}"/>
            </a:ext>
            <a:ext uri="{147F2762-F138-4A5C-976F-8EAC2B608ADB}">
              <a16:predDERef xmlns:a16="http://schemas.microsoft.com/office/drawing/2014/main" pred="{00000000-0008-0000-0A00-000005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TU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imali/5.%20MDU%20GGM-SE/15.%20TGF-HPMT/Original%20Versions/Spanish%20HPMT%202020%20Master%20Z%20V1%20for%20translation_COM-200602-001_Del_ESP_PD%20RC%20Jul%2011%202020%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imali/5.%20MDU%20GGM-SE/15.%20TGF-HPMT/Original%20Versions/French%20HPMT%202020%20Master%20Z%20Version%201%20for%20translation_COM-200602-001_Del_FRA_revC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ezl%201/Documents/Documents%20-%20Liezl&#8217;s%20MacBook%20Pro/TGF/NFM%203/Final%20versions/HPMT%20version%201.1/HPMT%202020_Master%20Z_Version%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OS"/>
      <sheetName val="CONFIGURACIÓN"/>
      <sheetName val="Búsqueda de productos"/>
      <sheetName val="VIH, información clave"/>
      <sheetName val="VIH, prod. farmacéuticos"/>
      <sheetName val="VIH, equipamiento"/>
      <sheetName val="VIH, otros PS"/>
      <sheetName val="EBS-H"/>
      <sheetName val="HIV-Pharma"/>
      <sheetName val="HIV-Equip"/>
      <sheetName val="HIV-Other HP"/>
      <sheetName val="TB, información clave"/>
      <sheetName val="TB, prod. farmacéuticos"/>
      <sheetName val="TB, equip. y otros PS"/>
      <sheetName val="TB-Pharma"/>
      <sheetName val="Extended Budget Sheet - TB"/>
      <sheetName val="TB-Other HPs"/>
      <sheetName val="Malaria, información clave"/>
      <sheetName val="Malaria, prod. farmacéuticos"/>
      <sheetName val="Malaria, equip. y otros PS"/>
      <sheetName val="Extended Budget Sheet - Malaria"/>
      <sheetName val="Malaria-Pharma"/>
      <sheetName val="Malaria-Other HPs"/>
      <sheetName val="Costos de GPS"/>
      <sheetName val="SSRS-GPS y sistemas de laborat"/>
      <sheetName val="Presupuesto detallado"/>
      <sheetName val="Insumo de costos SB"/>
      <sheetName val="Mod Int SB"/>
      <sheetName val="Mod Int con VIH PC SB"/>
      <sheetName val="VIH Agregación SB"/>
      <sheetName val="Población SB"/>
      <sheetName val="Tabla dinámica en blanco"/>
      <sheetName val="HPM LIST"/>
      <sheetName val="LISTS"/>
      <sheetName val="PR_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H2" t="str">
            <v>Malaria Antigen P.f , HRP2/pLDH, Kit, 25 Tests</v>
          </cell>
        </row>
        <row r="3">
          <cell r="H3" t="str">
            <v>Malaria Antigen P.f / P.v, HRP2, pLDH, Kit, 10 Tests</v>
          </cell>
        </row>
        <row r="4">
          <cell r="H4" t="str">
            <v>Malaria Rapid Diagnostic Test Kit - PAN - 25 tests</v>
          </cell>
        </row>
        <row r="5">
          <cell r="H5" t="str">
            <v>Malaria Rapid Diagnostic Test Kit - Pf/Pv - 25 tests</v>
          </cell>
        </row>
        <row r="6">
          <cell r="H6" t="str">
            <v>Malaria Rapid Diagnostic Test Kit - Pf only - 25 tests</v>
          </cell>
        </row>
        <row r="7">
          <cell r="H7" t="str">
            <v>Malaria Rapid Diagnostic Test Kit - Pf/PAN - 25 tests</v>
          </cell>
        </row>
        <row r="8">
          <cell r="H8" t="str">
            <v>Malaria Rapid Diagnostic Test Kit - Pf/VOM - 25 tests</v>
          </cell>
        </row>
        <row r="9">
          <cell r="H9" t="str">
            <v xml:space="preserve">[enter specifications manually] </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A2" t="str">
            <v>Policy, strategy, governance</v>
          </cell>
        </row>
        <row r="3">
          <cell r="A3" t="str">
            <v>Storage and distribution capacity</v>
          </cell>
        </row>
        <row r="4">
          <cell r="A4" t="str">
            <v xml:space="preserve">Procurement capacity </v>
          </cell>
        </row>
        <row r="5">
          <cell r="A5" t="str">
            <v xml:space="preserve">Regulatory/quality assurance support </v>
          </cell>
        </row>
        <row r="6">
          <cell r="A6" t="str">
            <v>Avoidance, reduction and management of health care waste</v>
          </cell>
        </row>
      </sheetData>
      <sheetData sheetId="33">
        <row r="3">
          <cell r="E3">
            <v>0</v>
          </cell>
          <cell r="F3" t="str">
            <v>PPM</v>
          </cell>
          <cell r="J3" t="str">
            <v xml:space="preserve">Abbott </v>
          </cell>
          <cell r="K3" t="str">
            <v xml:space="preserve">Abbott </v>
          </cell>
          <cell r="M3" t="str">
            <v>DBS</v>
          </cell>
          <cell r="O3" t="str">
            <v>Yes</v>
          </cell>
          <cell r="S3" t="str">
            <v>Unit</v>
          </cell>
        </row>
        <row r="4">
          <cell r="E4">
            <v>1</v>
          </cell>
          <cell r="F4" t="str">
            <v>non-PPM</v>
          </cell>
          <cell r="J4" t="str">
            <v>bioMerieux</v>
          </cell>
          <cell r="M4" t="str">
            <v>Plasma</v>
          </cell>
          <cell r="O4" t="str">
            <v>No</v>
          </cell>
          <cell r="S4" t="str">
            <v>Pack</v>
          </cell>
        </row>
        <row r="5">
          <cell r="E5">
            <v>2</v>
          </cell>
          <cell r="F5" t="str">
            <v>GDF</v>
          </cell>
          <cell r="J5" t="str">
            <v>Cepheid</v>
          </cell>
          <cell r="M5" t="str">
            <v>Whole blood</v>
          </cell>
          <cell r="S5" t="str">
            <v>Kit</v>
          </cell>
        </row>
        <row r="6">
          <cell r="E6">
            <v>3</v>
          </cell>
          <cell r="F6" t="str">
            <v>UN-agency</v>
          </cell>
          <cell r="J6" t="str">
            <v>DRW</v>
          </cell>
          <cell r="K6" t="str">
            <v>bioMerieux</v>
          </cell>
        </row>
        <row r="7">
          <cell r="E7">
            <v>4</v>
          </cell>
          <cell r="J7" t="str">
            <v>Hologic</v>
          </cell>
        </row>
        <row r="8">
          <cell r="E8">
            <v>5</v>
          </cell>
          <cell r="J8" t="str">
            <v>Qiagen</v>
          </cell>
        </row>
        <row r="9">
          <cell r="E9">
            <v>6</v>
          </cell>
          <cell r="F9" t="str">
            <v>Upfront</v>
          </cell>
          <cell r="J9" t="str">
            <v xml:space="preserve">Roche </v>
          </cell>
          <cell r="K9" t="str">
            <v>Cepheid</v>
          </cell>
        </row>
        <row r="10">
          <cell r="E10">
            <v>7</v>
          </cell>
          <cell r="F10" t="str">
            <v>At delivery</v>
          </cell>
          <cell r="J10" t="str">
            <v>Other</v>
          </cell>
          <cell r="K10" t="str">
            <v>DRW</v>
          </cell>
        </row>
        <row r="11">
          <cell r="E11">
            <v>8</v>
          </cell>
        </row>
        <row r="12">
          <cell r="E12">
            <v>9</v>
          </cell>
          <cell r="K12" t="str">
            <v>Hologic</v>
          </cell>
        </row>
        <row r="13">
          <cell r="E13">
            <v>10</v>
          </cell>
          <cell r="K13" t="str">
            <v>Qiagen</v>
          </cell>
        </row>
        <row r="14">
          <cell r="E14">
            <v>11</v>
          </cell>
          <cell r="K14" t="str">
            <v xml:space="preserve">Roche </v>
          </cell>
        </row>
        <row r="15">
          <cell r="E15">
            <v>12</v>
          </cell>
        </row>
        <row r="16">
          <cell r="E16">
            <v>13</v>
          </cell>
        </row>
        <row r="17">
          <cell r="E17">
            <v>14</v>
          </cell>
        </row>
        <row r="18">
          <cell r="E18">
            <v>15</v>
          </cell>
        </row>
        <row r="19">
          <cell r="E19">
            <v>16</v>
          </cell>
        </row>
        <row r="20">
          <cell r="E20">
            <v>17</v>
          </cell>
          <cell r="K20" t="str">
            <v>Other</v>
          </cell>
        </row>
        <row r="21">
          <cell r="E21">
            <v>18</v>
          </cell>
        </row>
        <row r="22">
          <cell r="E22">
            <v>19</v>
          </cell>
        </row>
        <row r="23">
          <cell r="E23">
            <v>20</v>
          </cell>
        </row>
        <row r="24">
          <cell r="E24">
            <v>21</v>
          </cell>
        </row>
        <row r="25">
          <cell r="E25">
            <v>22</v>
          </cell>
        </row>
        <row r="26">
          <cell r="E26">
            <v>23</v>
          </cell>
        </row>
        <row r="27">
          <cell r="E27">
            <v>24</v>
          </cell>
        </row>
        <row r="28">
          <cell r="E28">
            <v>25</v>
          </cell>
        </row>
        <row r="29">
          <cell r="E29">
            <v>26</v>
          </cell>
        </row>
        <row r="30">
          <cell r="E30">
            <v>27</v>
          </cell>
        </row>
        <row r="31">
          <cell r="E31">
            <v>28</v>
          </cell>
        </row>
        <row r="32">
          <cell r="E32">
            <v>29</v>
          </cell>
        </row>
        <row r="33">
          <cell r="E33">
            <v>30</v>
          </cell>
        </row>
        <row r="34">
          <cell r="E34">
            <v>31</v>
          </cell>
        </row>
        <row r="35">
          <cell r="E35">
            <v>32</v>
          </cell>
        </row>
        <row r="36">
          <cell r="E36">
            <v>33</v>
          </cell>
        </row>
        <row r="37">
          <cell r="E37">
            <v>34</v>
          </cell>
        </row>
        <row r="38">
          <cell r="E38">
            <v>35</v>
          </cell>
        </row>
        <row r="39">
          <cell r="E39">
            <v>36</v>
          </cell>
        </row>
        <row r="40">
          <cell r="E40">
            <v>37</v>
          </cell>
        </row>
        <row r="41">
          <cell r="E41">
            <v>38</v>
          </cell>
        </row>
        <row r="42">
          <cell r="E42">
            <v>39</v>
          </cell>
        </row>
        <row r="43">
          <cell r="E43">
            <v>40</v>
          </cell>
        </row>
        <row r="44">
          <cell r="E44">
            <v>41</v>
          </cell>
        </row>
        <row r="45">
          <cell r="E45">
            <v>42</v>
          </cell>
        </row>
        <row r="46">
          <cell r="E46">
            <v>43</v>
          </cell>
        </row>
        <row r="47">
          <cell r="E47">
            <v>44</v>
          </cell>
        </row>
        <row r="48">
          <cell r="E48">
            <v>45</v>
          </cell>
        </row>
        <row r="49">
          <cell r="E49">
            <v>46</v>
          </cell>
        </row>
        <row r="50">
          <cell r="E50">
            <v>47</v>
          </cell>
        </row>
        <row r="51">
          <cell r="E51">
            <v>48</v>
          </cell>
        </row>
        <row r="52">
          <cell r="E52">
            <v>49</v>
          </cell>
        </row>
        <row r="53">
          <cell r="E53">
            <v>50</v>
          </cell>
        </row>
        <row r="54">
          <cell r="E54">
            <v>51</v>
          </cell>
        </row>
        <row r="55">
          <cell r="E55">
            <v>52</v>
          </cell>
        </row>
        <row r="56">
          <cell r="E56">
            <v>53</v>
          </cell>
        </row>
        <row r="57">
          <cell r="E57">
            <v>54</v>
          </cell>
        </row>
        <row r="58">
          <cell r="E58">
            <v>55</v>
          </cell>
        </row>
        <row r="59">
          <cell r="E59">
            <v>56</v>
          </cell>
        </row>
        <row r="60">
          <cell r="E60">
            <v>57</v>
          </cell>
        </row>
        <row r="61">
          <cell r="E61">
            <v>58</v>
          </cell>
        </row>
        <row r="62">
          <cell r="E62">
            <v>59</v>
          </cell>
        </row>
        <row r="63">
          <cell r="E63">
            <v>60</v>
          </cell>
        </row>
        <row r="64">
          <cell r="E64">
            <v>61</v>
          </cell>
        </row>
        <row r="65">
          <cell r="E65">
            <v>62</v>
          </cell>
        </row>
        <row r="66">
          <cell r="E66">
            <v>63</v>
          </cell>
        </row>
        <row r="67">
          <cell r="E67">
            <v>64</v>
          </cell>
        </row>
        <row r="68">
          <cell r="E68">
            <v>65</v>
          </cell>
        </row>
        <row r="69">
          <cell r="E69">
            <v>66</v>
          </cell>
        </row>
        <row r="70">
          <cell r="E70">
            <v>67</v>
          </cell>
        </row>
        <row r="71">
          <cell r="E71">
            <v>68</v>
          </cell>
        </row>
        <row r="72">
          <cell r="E72">
            <v>69</v>
          </cell>
        </row>
        <row r="73">
          <cell r="E73">
            <v>70</v>
          </cell>
        </row>
        <row r="74">
          <cell r="E74">
            <v>71</v>
          </cell>
        </row>
        <row r="75">
          <cell r="E75">
            <v>72</v>
          </cell>
        </row>
        <row r="76">
          <cell r="E76">
            <v>73</v>
          </cell>
        </row>
        <row r="77">
          <cell r="E77">
            <v>74</v>
          </cell>
        </row>
        <row r="78">
          <cell r="E78">
            <v>75</v>
          </cell>
        </row>
        <row r="79">
          <cell r="E79">
            <v>76</v>
          </cell>
        </row>
        <row r="80">
          <cell r="E80">
            <v>77</v>
          </cell>
        </row>
        <row r="81">
          <cell r="E81">
            <v>78</v>
          </cell>
        </row>
        <row r="82">
          <cell r="E82">
            <v>79</v>
          </cell>
        </row>
        <row r="83">
          <cell r="E83">
            <v>80</v>
          </cell>
        </row>
        <row r="84">
          <cell r="E84">
            <v>81</v>
          </cell>
        </row>
        <row r="85">
          <cell r="E85">
            <v>82</v>
          </cell>
        </row>
        <row r="86">
          <cell r="E86">
            <v>83</v>
          </cell>
        </row>
        <row r="87">
          <cell r="E87">
            <v>84</v>
          </cell>
        </row>
        <row r="88">
          <cell r="E88">
            <v>85</v>
          </cell>
        </row>
        <row r="89">
          <cell r="E89">
            <v>86</v>
          </cell>
        </row>
        <row r="90">
          <cell r="E90">
            <v>87</v>
          </cell>
        </row>
        <row r="91">
          <cell r="E91">
            <v>88</v>
          </cell>
        </row>
        <row r="92">
          <cell r="E92">
            <v>89</v>
          </cell>
        </row>
        <row r="93">
          <cell r="E93">
            <v>90</v>
          </cell>
        </row>
        <row r="94">
          <cell r="E94">
            <v>91</v>
          </cell>
        </row>
        <row r="95">
          <cell r="E95">
            <v>92</v>
          </cell>
        </row>
        <row r="96">
          <cell r="E96">
            <v>93</v>
          </cell>
        </row>
        <row r="97">
          <cell r="E97">
            <v>94</v>
          </cell>
        </row>
        <row r="98">
          <cell r="E98">
            <v>95</v>
          </cell>
        </row>
        <row r="99">
          <cell r="E99">
            <v>96</v>
          </cell>
        </row>
        <row r="100">
          <cell r="E100">
            <v>97</v>
          </cell>
        </row>
        <row r="101">
          <cell r="E101">
            <v>98</v>
          </cell>
        </row>
        <row r="102">
          <cell r="E102">
            <v>99</v>
          </cell>
        </row>
        <row r="103">
          <cell r="E103">
            <v>100</v>
          </cell>
        </row>
        <row r="104">
          <cell r="E104">
            <v>101</v>
          </cell>
        </row>
        <row r="105">
          <cell r="E105">
            <v>102</v>
          </cell>
        </row>
        <row r="106">
          <cell r="E106">
            <v>103</v>
          </cell>
        </row>
        <row r="107">
          <cell r="E107">
            <v>104</v>
          </cell>
        </row>
        <row r="108">
          <cell r="E108">
            <v>105</v>
          </cell>
        </row>
        <row r="109">
          <cell r="E109">
            <v>106</v>
          </cell>
        </row>
        <row r="110">
          <cell r="E110">
            <v>107</v>
          </cell>
        </row>
        <row r="111">
          <cell r="E111">
            <v>108</v>
          </cell>
        </row>
        <row r="112">
          <cell r="E112">
            <v>109</v>
          </cell>
        </row>
        <row r="113">
          <cell r="E113">
            <v>110</v>
          </cell>
        </row>
        <row r="114">
          <cell r="E114" t="str">
            <v>&gt;110</v>
          </cell>
        </row>
      </sheetData>
      <sheetData sheetId="34">
        <row r="2">
          <cell r="I2" t="str">
            <v>Afghanistan</v>
          </cell>
        </row>
        <row r="3">
          <cell r="I3" t="str">
            <v>Africa</v>
          </cell>
        </row>
        <row r="4">
          <cell r="I4" t="str">
            <v>Albania</v>
          </cell>
        </row>
        <row r="5">
          <cell r="I5" t="str">
            <v>Algeria</v>
          </cell>
        </row>
        <row r="6">
          <cell r="I6" t="str">
            <v>Americas</v>
          </cell>
        </row>
        <row r="7">
          <cell r="I7" t="str">
            <v>Angola</v>
          </cell>
        </row>
        <row r="8">
          <cell r="I8" t="str">
            <v>Argentina</v>
          </cell>
        </row>
        <row r="9">
          <cell r="I9" t="str">
            <v>Armenia</v>
          </cell>
        </row>
        <row r="10">
          <cell r="I10" t="str">
            <v>Asia</v>
          </cell>
        </row>
        <row r="11">
          <cell r="I11" t="str">
            <v>Azerbaijan</v>
          </cell>
        </row>
        <row r="12">
          <cell r="I12" t="str">
            <v>Bangladesh</v>
          </cell>
        </row>
        <row r="13">
          <cell r="I13" t="str">
            <v>Belarus</v>
          </cell>
        </row>
        <row r="14">
          <cell r="I14" t="str">
            <v>Belize</v>
          </cell>
        </row>
        <row r="15">
          <cell r="I15" t="str">
            <v>Benin</v>
          </cell>
        </row>
        <row r="16">
          <cell r="I16" t="str">
            <v>Bhutan</v>
          </cell>
        </row>
        <row r="17">
          <cell r="I17" t="str">
            <v>Bolivia (Plurinational State)</v>
          </cell>
        </row>
        <row r="18">
          <cell r="I18" t="str">
            <v>Bosnia and Herzegovina</v>
          </cell>
        </row>
        <row r="19">
          <cell r="I19" t="str">
            <v>Botswana</v>
          </cell>
        </row>
        <row r="20">
          <cell r="I20" t="str">
            <v>Brazil</v>
          </cell>
        </row>
        <row r="21">
          <cell r="I21" t="str">
            <v>Bulgaria</v>
          </cell>
        </row>
        <row r="22">
          <cell r="I22" t="str">
            <v>Burkina Faso</v>
          </cell>
        </row>
        <row r="23">
          <cell r="I23" t="str">
            <v>Burundi</v>
          </cell>
        </row>
        <row r="24">
          <cell r="I24" t="str">
            <v>Cabo Verde</v>
          </cell>
        </row>
        <row r="25">
          <cell r="I25" t="str">
            <v>Cambodia</v>
          </cell>
        </row>
        <row r="26">
          <cell r="I26" t="str">
            <v>Cameroon</v>
          </cell>
        </row>
        <row r="27">
          <cell r="I27" t="str">
            <v>Caribbean</v>
          </cell>
        </row>
        <row r="28">
          <cell r="I28" t="str">
            <v>Central African Republic</v>
          </cell>
        </row>
        <row r="29">
          <cell r="I29" t="str">
            <v>Central America</v>
          </cell>
        </row>
        <row r="30">
          <cell r="I30" t="str">
            <v>Chad</v>
          </cell>
        </row>
        <row r="31">
          <cell r="I31" t="str">
            <v>Chile</v>
          </cell>
        </row>
        <row r="32">
          <cell r="I32" t="str">
            <v>China</v>
          </cell>
        </row>
        <row r="33">
          <cell r="I33" t="str">
            <v>Colombia</v>
          </cell>
        </row>
        <row r="34">
          <cell r="I34" t="str">
            <v>Comoros</v>
          </cell>
        </row>
        <row r="35">
          <cell r="I35" t="str">
            <v>Congo</v>
          </cell>
        </row>
        <row r="36">
          <cell r="I36" t="str">
            <v>Congo (Democratic Republic)</v>
          </cell>
        </row>
        <row r="37">
          <cell r="I37" t="str">
            <v>Costa Rica</v>
          </cell>
        </row>
        <row r="38">
          <cell r="I38" t="str">
            <v>Côte d'Ivoire</v>
          </cell>
        </row>
        <row r="39">
          <cell r="I39" t="str">
            <v>Croatia</v>
          </cell>
        </row>
        <row r="40">
          <cell r="I40" t="str">
            <v>Cuba</v>
          </cell>
        </row>
        <row r="41">
          <cell r="I41" t="str">
            <v>Djibouti</v>
          </cell>
        </row>
        <row r="42">
          <cell r="I42" t="str">
            <v>Dominican Republic</v>
          </cell>
        </row>
        <row r="43">
          <cell r="I43" t="str">
            <v>Eastern Africa</v>
          </cell>
        </row>
        <row r="44">
          <cell r="I44" t="str">
            <v>Ecuador</v>
          </cell>
        </row>
        <row r="45">
          <cell r="I45" t="str">
            <v>Egypt</v>
          </cell>
        </row>
        <row r="46">
          <cell r="I46" t="str">
            <v>El Salvador</v>
          </cell>
        </row>
        <row r="47">
          <cell r="I47" t="str">
            <v>Equatorial Guinea</v>
          </cell>
        </row>
        <row r="48">
          <cell r="I48" t="str">
            <v>Eritrea</v>
          </cell>
        </row>
        <row r="49">
          <cell r="I49" t="str">
            <v>Estonia</v>
          </cell>
        </row>
        <row r="50">
          <cell r="I50" t="str">
            <v>Eswatini</v>
          </cell>
        </row>
        <row r="51">
          <cell r="I51" t="str">
            <v>Ethiopia</v>
          </cell>
        </row>
        <row r="52">
          <cell r="I52" t="str">
            <v>Fiji</v>
          </cell>
        </row>
        <row r="53">
          <cell r="I53" t="str">
            <v>Gabon</v>
          </cell>
        </row>
        <row r="54">
          <cell r="I54" t="str">
            <v>Gambia</v>
          </cell>
        </row>
        <row r="55">
          <cell r="I55" t="str">
            <v>Georgia</v>
          </cell>
        </row>
        <row r="56">
          <cell r="I56" t="str">
            <v>Ghana</v>
          </cell>
        </row>
        <row r="57">
          <cell r="I57" t="str">
            <v>Guatemala</v>
          </cell>
        </row>
        <row r="58">
          <cell r="I58" t="str">
            <v>Guinea</v>
          </cell>
        </row>
        <row r="59">
          <cell r="I59" t="str">
            <v>Guinea-Bissau</v>
          </cell>
        </row>
        <row r="60">
          <cell r="I60" t="str">
            <v>Guyana</v>
          </cell>
        </row>
        <row r="61">
          <cell r="I61" t="str">
            <v>Haiti</v>
          </cell>
        </row>
        <row r="62">
          <cell r="I62" t="str">
            <v>Honduras</v>
          </cell>
        </row>
        <row r="63">
          <cell r="I63" t="str">
            <v>India</v>
          </cell>
        </row>
        <row r="64">
          <cell r="I64" t="str">
            <v>Indonesia</v>
          </cell>
        </row>
        <row r="65">
          <cell r="I65" t="str">
            <v>Iran (Islamic Republic)</v>
          </cell>
        </row>
        <row r="66">
          <cell r="I66" t="str">
            <v>Iraq</v>
          </cell>
        </row>
        <row r="67">
          <cell r="I67" t="str">
            <v>Jamaica</v>
          </cell>
        </row>
        <row r="68">
          <cell r="I68" t="str">
            <v>Jordan</v>
          </cell>
        </row>
        <row r="69">
          <cell r="I69" t="str">
            <v>Kazakhstan</v>
          </cell>
        </row>
        <row r="70">
          <cell r="I70" t="str">
            <v>Kenya</v>
          </cell>
        </row>
        <row r="71">
          <cell r="I71" t="str">
            <v>Korea (Democratic Peoples Republic)</v>
          </cell>
        </row>
        <row r="72">
          <cell r="I72" t="str">
            <v>Kosovo</v>
          </cell>
        </row>
        <row r="73">
          <cell r="I73" t="str">
            <v>Kyrgyzstan</v>
          </cell>
        </row>
        <row r="74">
          <cell r="I74" t="str">
            <v>Lao (Peoples Democratic Republic)</v>
          </cell>
        </row>
        <row r="75">
          <cell r="I75" t="str">
            <v>Lesotho</v>
          </cell>
        </row>
        <row r="76">
          <cell r="I76" t="str">
            <v>Liberia</v>
          </cell>
        </row>
        <row r="77">
          <cell r="I77" t="str">
            <v>Madagascar</v>
          </cell>
        </row>
        <row r="78">
          <cell r="I78" t="str">
            <v>Malawi</v>
          </cell>
        </row>
        <row r="79">
          <cell r="I79" t="str">
            <v>Malaysia</v>
          </cell>
        </row>
        <row r="80">
          <cell r="I80" t="str">
            <v>Maldives</v>
          </cell>
        </row>
        <row r="81">
          <cell r="I81" t="str">
            <v>Mali</v>
          </cell>
        </row>
        <row r="82">
          <cell r="I82" t="str">
            <v>Mauritania</v>
          </cell>
        </row>
        <row r="83">
          <cell r="I83" t="str">
            <v>Mauritius</v>
          </cell>
        </row>
        <row r="84">
          <cell r="I84" t="str">
            <v>Mexico</v>
          </cell>
        </row>
        <row r="85">
          <cell r="I85" t="str">
            <v>Moldova</v>
          </cell>
        </row>
        <row r="86">
          <cell r="I86" t="str">
            <v>Mongolia</v>
          </cell>
        </row>
        <row r="87">
          <cell r="I87" t="str">
            <v>Montenegro</v>
          </cell>
        </row>
        <row r="88">
          <cell r="I88" t="str">
            <v>Morocco</v>
          </cell>
        </row>
        <row r="89">
          <cell r="I89" t="str">
            <v>Mozambique</v>
          </cell>
        </row>
        <row r="90">
          <cell r="I90" t="str">
            <v>Myanmar</v>
          </cell>
        </row>
        <row r="91">
          <cell r="I91" t="str">
            <v>Namibia</v>
          </cell>
        </row>
        <row r="92">
          <cell r="I92" t="str">
            <v>Nepal</v>
          </cell>
        </row>
        <row r="93">
          <cell r="I93" t="str">
            <v>Nicaragua</v>
          </cell>
        </row>
        <row r="94">
          <cell r="I94" t="str">
            <v>Niger</v>
          </cell>
        </row>
        <row r="95">
          <cell r="I95" t="str">
            <v>Nigeria</v>
          </cell>
        </row>
        <row r="96">
          <cell r="I96" t="str">
            <v>North Macedonia</v>
          </cell>
        </row>
        <row r="97">
          <cell r="I97" t="str">
            <v>Oceania</v>
          </cell>
        </row>
        <row r="98">
          <cell r="I98" t="str">
            <v>Pakistan</v>
          </cell>
        </row>
        <row r="99">
          <cell r="I99" t="str">
            <v>Palestine</v>
          </cell>
        </row>
        <row r="100">
          <cell r="I100" t="str">
            <v>Panama</v>
          </cell>
        </row>
        <row r="101">
          <cell r="I101" t="str">
            <v>Papua New Guinea</v>
          </cell>
        </row>
        <row r="102">
          <cell r="I102" t="str">
            <v>Paraguay</v>
          </cell>
        </row>
        <row r="103">
          <cell r="I103" t="str">
            <v>Peru</v>
          </cell>
        </row>
        <row r="104">
          <cell r="I104" t="str">
            <v>Philippines</v>
          </cell>
        </row>
        <row r="105">
          <cell r="I105" t="str">
            <v>Romania</v>
          </cell>
        </row>
        <row r="106">
          <cell r="I106" t="str">
            <v>Russian Federation</v>
          </cell>
        </row>
        <row r="107">
          <cell r="I107" t="str">
            <v>Rwanda</v>
          </cell>
        </row>
        <row r="108">
          <cell r="I108" t="str">
            <v>Sao Tome and Principe</v>
          </cell>
        </row>
        <row r="109">
          <cell r="I109" t="str">
            <v>Senegal</v>
          </cell>
        </row>
        <row r="110">
          <cell r="I110" t="str">
            <v>Serbia</v>
          </cell>
        </row>
        <row r="111">
          <cell r="I111" t="str">
            <v>Sierra Leone</v>
          </cell>
        </row>
        <row r="112">
          <cell r="I112" t="str">
            <v>Solomon Islands</v>
          </cell>
        </row>
        <row r="113">
          <cell r="I113" t="str">
            <v>Somalia</v>
          </cell>
        </row>
        <row r="114">
          <cell r="I114" t="str">
            <v>South Africa</v>
          </cell>
        </row>
        <row r="115">
          <cell r="I115" t="str">
            <v>South America</v>
          </cell>
        </row>
        <row r="116">
          <cell r="I116" t="str">
            <v>South Sudan</v>
          </cell>
        </row>
        <row r="117">
          <cell r="I117" t="str">
            <v>South-Eastern Asia</v>
          </cell>
        </row>
        <row r="118">
          <cell r="I118" t="str">
            <v>Southern Asia</v>
          </cell>
        </row>
        <row r="119">
          <cell r="I119" t="str">
            <v>Southern Europe</v>
          </cell>
        </row>
        <row r="120">
          <cell r="I120" t="str">
            <v>Sri Lanka</v>
          </cell>
        </row>
        <row r="121">
          <cell r="I121" t="str">
            <v>Sudan</v>
          </cell>
        </row>
        <row r="122">
          <cell r="I122" t="str">
            <v>Suriname</v>
          </cell>
        </row>
        <row r="123">
          <cell r="I123" t="str">
            <v>Syrian Arab Republic</v>
          </cell>
        </row>
        <row r="124">
          <cell r="I124" t="str">
            <v>Tajikistan</v>
          </cell>
        </row>
        <row r="125">
          <cell r="I125" t="str">
            <v>Tanzania</v>
          </cell>
        </row>
        <row r="126">
          <cell r="I126" t="str">
            <v>Thailand</v>
          </cell>
        </row>
        <row r="127">
          <cell r="I127" t="str">
            <v>Timor-Leste</v>
          </cell>
        </row>
        <row r="128">
          <cell r="I128" t="str">
            <v>Togo</v>
          </cell>
        </row>
        <row r="129">
          <cell r="I129" t="str">
            <v>Tunisia</v>
          </cell>
        </row>
        <row r="130">
          <cell r="I130" t="str">
            <v>Turkey</v>
          </cell>
        </row>
        <row r="131">
          <cell r="I131" t="str">
            <v>Turkmenistan</v>
          </cell>
        </row>
        <row r="132">
          <cell r="I132" t="str">
            <v>Uganda</v>
          </cell>
        </row>
        <row r="133">
          <cell r="I133" t="str">
            <v>Ukraine</v>
          </cell>
        </row>
        <row r="134">
          <cell r="I134" t="str">
            <v>Uruguay</v>
          </cell>
        </row>
        <row r="135">
          <cell r="I135" t="str">
            <v>Uzbekistan</v>
          </cell>
        </row>
        <row r="136">
          <cell r="I136" t="str">
            <v>Venezuela</v>
          </cell>
        </row>
        <row r="137">
          <cell r="I137" t="str">
            <v>Viet Nam</v>
          </cell>
        </row>
        <row r="138">
          <cell r="I138" t="str">
            <v>Western Africa</v>
          </cell>
        </row>
        <row r="139">
          <cell r="I139" t="str">
            <v>Western Asia</v>
          </cell>
        </row>
        <row r="140">
          <cell r="I140" t="str">
            <v>World</v>
          </cell>
        </row>
        <row r="141">
          <cell r="I141" t="str">
            <v>Yemen</v>
          </cell>
        </row>
        <row r="142">
          <cell r="I142" t="str">
            <v>Zambia</v>
          </cell>
        </row>
        <row r="143">
          <cell r="I143" t="str">
            <v>Zanzibar</v>
          </cell>
        </row>
        <row r="144">
          <cell r="I144" t="str">
            <v>Zimbabwe</v>
          </cell>
        </row>
        <row r="145">
          <cell r="I145" t="str">
            <v>XXXXX</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S"/>
      <sheetName val="PARAMETRES"/>
      <sheetName val="Rechercher un produit"/>
      <sheetName val="VIH-Infos clés"/>
      <sheetName val="VIH-Prod. pharmaceutiques"/>
      <sheetName val="VIH-Équipements"/>
      <sheetName val="VIH-Autres PS"/>
      <sheetName val="Sheet1"/>
      <sheetName val="Sheet2"/>
      <sheetName val="EBS-H"/>
      <sheetName val="HIV-Pharma"/>
      <sheetName val="HIV-Equip"/>
      <sheetName val="HIV-Other HP"/>
      <sheetName val="TB-Infos clés"/>
      <sheetName val="TB-Prod. pharmaceutiques"/>
      <sheetName val="TB-ÉQUIPEMENTS ET AUTRES PS"/>
      <sheetName val="TB-Pharma"/>
      <sheetName val="Extended Budget Sheet - TB"/>
      <sheetName val="TB-Other HPs"/>
      <sheetName val="Paludisme-Infos clés"/>
      <sheetName val="Paludisme-Prod. pharmaceutiques"/>
      <sheetName val="Paludisme-Équip. &amp; autres PS"/>
      <sheetName val="Extended Budget Sheet - Malaria"/>
      <sheetName val="Malaria-Pharma"/>
      <sheetName val="Malaria-Other HPs"/>
      <sheetName val="Coûts GAS"/>
      <sheetName val="SRPS - GAS et système de lab."/>
      <sheetName val="Budget détaillé"/>
      <sheetName val="Entrée de coûts BR"/>
      <sheetName val="BR Mod Int"/>
      <sheetName val="BR Mod Int avec PC VIH"/>
      <sheetName val="BR population"/>
      <sheetName val="Tableau croisé dynamique vierge"/>
      <sheetName val="BR total VIH"/>
      <sheetName val="HPM LIST"/>
      <sheetName val="LISTS"/>
      <sheetName val="PR_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H2" t="str">
            <v>Malaria Antigen P.f , HRP2/pLDH, Kit, 25 Tests</v>
          </cell>
        </row>
        <row r="3">
          <cell r="H3" t="str">
            <v>Malaria Antigen P.f / P.v, HRP2, pLDH, Kit, 10 Tests</v>
          </cell>
        </row>
        <row r="4">
          <cell r="H4" t="str">
            <v>Malaria Rapid Diagnostic Test Kit - PAN - 25 tests</v>
          </cell>
        </row>
        <row r="5">
          <cell r="H5" t="str">
            <v>Malaria Rapid Diagnostic Test Kit - Pf/Pv - 25 tests</v>
          </cell>
        </row>
        <row r="6">
          <cell r="H6" t="str">
            <v>Malaria Rapid Diagnostic Test Kit - Pf only - 25 tests</v>
          </cell>
        </row>
        <row r="7">
          <cell r="H7" t="str">
            <v>Malaria Rapid Diagnostic Test Kit - Pf/PAN - 25 tests</v>
          </cell>
        </row>
        <row r="8">
          <cell r="H8" t="str">
            <v>Malaria Rapid Diagnostic Test Kit - Pf/VOM - 25 tests</v>
          </cell>
        </row>
        <row r="9">
          <cell r="H9" t="str">
            <v xml:space="preserve">[enter specifications manually]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Policy, strategy, governance</v>
          </cell>
        </row>
        <row r="3">
          <cell r="A3" t="str">
            <v>Storage and distribution capacity</v>
          </cell>
        </row>
        <row r="4">
          <cell r="A4" t="str">
            <v xml:space="preserve">Procurement capacity </v>
          </cell>
        </row>
        <row r="5">
          <cell r="A5" t="str">
            <v xml:space="preserve">Regulatory/quality assurance support </v>
          </cell>
        </row>
        <row r="6">
          <cell r="A6" t="str">
            <v>Avoidance, reduction and management of health care waste</v>
          </cell>
        </row>
      </sheetData>
      <sheetData sheetId="35">
        <row r="3">
          <cell r="E3">
            <v>0</v>
          </cell>
          <cell r="F3" t="str">
            <v>PPM</v>
          </cell>
          <cell r="J3" t="str">
            <v xml:space="preserve">Abbott </v>
          </cell>
          <cell r="K3" t="str">
            <v xml:space="preserve">Abbott </v>
          </cell>
          <cell r="M3" t="str">
            <v>DBS</v>
          </cell>
          <cell r="O3" t="str">
            <v>Yes</v>
          </cell>
          <cell r="S3" t="str">
            <v>Unit</v>
          </cell>
        </row>
        <row r="4">
          <cell r="E4">
            <v>1</v>
          </cell>
          <cell r="F4" t="str">
            <v>non-PPM</v>
          </cell>
          <cell r="J4" t="str">
            <v>bioMerieux</v>
          </cell>
          <cell r="M4" t="str">
            <v>Plasma</v>
          </cell>
          <cell r="O4" t="str">
            <v>No</v>
          </cell>
          <cell r="S4" t="str">
            <v>Pack</v>
          </cell>
        </row>
        <row r="5">
          <cell r="E5">
            <v>2</v>
          </cell>
          <cell r="F5" t="str">
            <v>GDF</v>
          </cell>
          <cell r="J5" t="str">
            <v>Cepheid</v>
          </cell>
          <cell r="M5" t="str">
            <v>Whole blood</v>
          </cell>
          <cell r="S5" t="str">
            <v>Kit</v>
          </cell>
        </row>
        <row r="6">
          <cell r="E6">
            <v>3</v>
          </cell>
          <cell r="F6" t="str">
            <v>UN-agency</v>
          </cell>
          <cell r="J6" t="str">
            <v>DRW</v>
          </cell>
          <cell r="K6" t="str">
            <v>bioMerieux</v>
          </cell>
        </row>
        <row r="7">
          <cell r="E7">
            <v>4</v>
          </cell>
          <cell r="J7" t="str">
            <v>Hologic</v>
          </cell>
        </row>
        <row r="8">
          <cell r="E8">
            <v>5</v>
          </cell>
          <cell r="J8" t="str">
            <v>Qiagen</v>
          </cell>
        </row>
        <row r="9">
          <cell r="E9">
            <v>6</v>
          </cell>
          <cell r="F9" t="str">
            <v>Upfront</v>
          </cell>
          <cell r="J9" t="str">
            <v xml:space="preserve">Roche </v>
          </cell>
          <cell r="K9" t="str">
            <v>Cepheid</v>
          </cell>
        </row>
        <row r="10">
          <cell r="E10">
            <v>7</v>
          </cell>
          <cell r="F10" t="str">
            <v>At delivery</v>
          </cell>
          <cell r="J10" t="str">
            <v>Other</v>
          </cell>
          <cell r="K10" t="str">
            <v>DRW</v>
          </cell>
        </row>
        <row r="11">
          <cell r="E11">
            <v>8</v>
          </cell>
        </row>
        <row r="12">
          <cell r="E12">
            <v>9</v>
          </cell>
          <cell r="K12" t="str">
            <v>Hologic</v>
          </cell>
        </row>
        <row r="13">
          <cell r="E13">
            <v>10</v>
          </cell>
          <cell r="K13" t="str">
            <v>Qiagen</v>
          </cell>
        </row>
        <row r="14">
          <cell r="E14">
            <v>11</v>
          </cell>
          <cell r="K14" t="str">
            <v xml:space="preserve">Roche </v>
          </cell>
        </row>
        <row r="15">
          <cell r="E15">
            <v>12</v>
          </cell>
        </row>
        <row r="16">
          <cell r="E16">
            <v>13</v>
          </cell>
        </row>
        <row r="17">
          <cell r="E17">
            <v>14</v>
          </cell>
        </row>
        <row r="18">
          <cell r="E18">
            <v>15</v>
          </cell>
        </row>
        <row r="19">
          <cell r="E19">
            <v>16</v>
          </cell>
        </row>
        <row r="20">
          <cell r="E20">
            <v>17</v>
          </cell>
          <cell r="K20" t="str">
            <v>Other</v>
          </cell>
        </row>
        <row r="21">
          <cell r="E21">
            <v>18</v>
          </cell>
        </row>
        <row r="22">
          <cell r="E22">
            <v>19</v>
          </cell>
        </row>
        <row r="23">
          <cell r="E23">
            <v>20</v>
          </cell>
        </row>
        <row r="24">
          <cell r="E24">
            <v>21</v>
          </cell>
        </row>
        <row r="25">
          <cell r="E25">
            <v>22</v>
          </cell>
        </row>
        <row r="26">
          <cell r="E26">
            <v>23</v>
          </cell>
        </row>
        <row r="27">
          <cell r="E27">
            <v>24</v>
          </cell>
        </row>
        <row r="28">
          <cell r="E28">
            <v>25</v>
          </cell>
        </row>
        <row r="29">
          <cell r="E29">
            <v>26</v>
          </cell>
        </row>
        <row r="30">
          <cell r="E30">
            <v>27</v>
          </cell>
        </row>
        <row r="31">
          <cell r="E31">
            <v>28</v>
          </cell>
        </row>
        <row r="32">
          <cell r="E32">
            <v>29</v>
          </cell>
        </row>
        <row r="33">
          <cell r="E33">
            <v>30</v>
          </cell>
        </row>
        <row r="34">
          <cell r="E34">
            <v>31</v>
          </cell>
        </row>
        <row r="35">
          <cell r="E35">
            <v>32</v>
          </cell>
        </row>
        <row r="36">
          <cell r="E36">
            <v>33</v>
          </cell>
        </row>
        <row r="37">
          <cell r="E37">
            <v>34</v>
          </cell>
        </row>
        <row r="38">
          <cell r="E38">
            <v>35</v>
          </cell>
        </row>
        <row r="39">
          <cell r="E39">
            <v>36</v>
          </cell>
        </row>
        <row r="40">
          <cell r="E40">
            <v>37</v>
          </cell>
        </row>
        <row r="41">
          <cell r="E41">
            <v>38</v>
          </cell>
        </row>
        <row r="42">
          <cell r="E42">
            <v>39</v>
          </cell>
        </row>
        <row r="43">
          <cell r="E43">
            <v>40</v>
          </cell>
        </row>
        <row r="44">
          <cell r="E44">
            <v>41</v>
          </cell>
        </row>
        <row r="45">
          <cell r="E45">
            <v>42</v>
          </cell>
        </row>
        <row r="46">
          <cell r="E46">
            <v>43</v>
          </cell>
        </row>
        <row r="47">
          <cell r="E47">
            <v>44</v>
          </cell>
        </row>
        <row r="48">
          <cell r="E48">
            <v>45</v>
          </cell>
        </row>
        <row r="49">
          <cell r="E49">
            <v>46</v>
          </cell>
        </row>
        <row r="50">
          <cell r="E50">
            <v>47</v>
          </cell>
        </row>
        <row r="51">
          <cell r="E51">
            <v>48</v>
          </cell>
        </row>
        <row r="52">
          <cell r="E52">
            <v>49</v>
          </cell>
        </row>
        <row r="53">
          <cell r="E53">
            <v>50</v>
          </cell>
        </row>
        <row r="54">
          <cell r="E54">
            <v>51</v>
          </cell>
        </row>
        <row r="55">
          <cell r="E55">
            <v>52</v>
          </cell>
        </row>
        <row r="56">
          <cell r="E56">
            <v>53</v>
          </cell>
        </row>
        <row r="57">
          <cell r="E57">
            <v>54</v>
          </cell>
        </row>
        <row r="58">
          <cell r="E58">
            <v>55</v>
          </cell>
        </row>
        <row r="59">
          <cell r="E59">
            <v>56</v>
          </cell>
        </row>
        <row r="60">
          <cell r="E60">
            <v>57</v>
          </cell>
        </row>
        <row r="61">
          <cell r="E61">
            <v>58</v>
          </cell>
        </row>
        <row r="62">
          <cell r="E62">
            <v>59</v>
          </cell>
        </row>
        <row r="63">
          <cell r="E63">
            <v>60</v>
          </cell>
        </row>
        <row r="64">
          <cell r="E64">
            <v>61</v>
          </cell>
        </row>
        <row r="65">
          <cell r="E65">
            <v>62</v>
          </cell>
        </row>
        <row r="66">
          <cell r="E66">
            <v>63</v>
          </cell>
        </row>
        <row r="67">
          <cell r="E67">
            <v>64</v>
          </cell>
        </row>
        <row r="68">
          <cell r="E68">
            <v>65</v>
          </cell>
        </row>
        <row r="69">
          <cell r="E69">
            <v>66</v>
          </cell>
        </row>
        <row r="70">
          <cell r="E70">
            <v>67</v>
          </cell>
        </row>
        <row r="71">
          <cell r="E71">
            <v>68</v>
          </cell>
        </row>
        <row r="72">
          <cell r="E72">
            <v>69</v>
          </cell>
        </row>
        <row r="73">
          <cell r="E73">
            <v>70</v>
          </cell>
        </row>
        <row r="74">
          <cell r="E74">
            <v>71</v>
          </cell>
        </row>
        <row r="75">
          <cell r="E75">
            <v>72</v>
          </cell>
        </row>
        <row r="76">
          <cell r="E76">
            <v>73</v>
          </cell>
        </row>
        <row r="77">
          <cell r="E77">
            <v>74</v>
          </cell>
        </row>
        <row r="78">
          <cell r="E78">
            <v>75</v>
          </cell>
        </row>
        <row r="79">
          <cell r="E79">
            <v>76</v>
          </cell>
        </row>
        <row r="80">
          <cell r="E80">
            <v>77</v>
          </cell>
        </row>
        <row r="81">
          <cell r="E81">
            <v>78</v>
          </cell>
        </row>
        <row r="82">
          <cell r="E82">
            <v>79</v>
          </cell>
        </row>
        <row r="83">
          <cell r="E83">
            <v>80</v>
          </cell>
        </row>
        <row r="84">
          <cell r="E84">
            <v>81</v>
          </cell>
        </row>
        <row r="85">
          <cell r="E85">
            <v>82</v>
          </cell>
        </row>
        <row r="86">
          <cell r="E86">
            <v>83</v>
          </cell>
        </row>
        <row r="87">
          <cell r="E87">
            <v>84</v>
          </cell>
        </row>
        <row r="88">
          <cell r="E88">
            <v>85</v>
          </cell>
        </row>
        <row r="89">
          <cell r="E89">
            <v>86</v>
          </cell>
        </row>
        <row r="90">
          <cell r="E90">
            <v>87</v>
          </cell>
        </row>
        <row r="91">
          <cell r="E91">
            <v>88</v>
          </cell>
        </row>
        <row r="92">
          <cell r="E92">
            <v>89</v>
          </cell>
        </row>
        <row r="93">
          <cell r="E93">
            <v>90</v>
          </cell>
        </row>
        <row r="94">
          <cell r="E94">
            <v>91</v>
          </cell>
        </row>
        <row r="95">
          <cell r="E95">
            <v>92</v>
          </cell>
        </row>
        <row r="96">
          <cell r="E96">
            <v>93</v>
          </cell>
        </row>
        <row r="97">
          <cell r="E97">
            <v>94</v>
          </cell>
        </row>
        <row r="98">
          <cell r="E98">
            <v>95</v>
          </cell>
        </row>
        <row r="99">
          <cell r="E99">
            <v>96</v>
          </cell>
        </row>
        <row r="100">
          <cell r="E100">
            <v>97</v>
          </cell>
        </row>
        <row r="101">
          <cell r="E101">
            <v>98</v>
          </cell>
        </row>
        <row r="102">
          <cell r="E102">
            <v>99</v>
          </cell>
        </row>
        <row r="103">
          <cell r="E103">
            <v>100</v>
          </cell>
        </row>
        <row r="104">
          <cell r="E104">
            <v>101</v>
          </cell>
        </row>
        <row r="105">
          <cell r="E105">
            <v>102</v>
          </cell>
        </row>
        <row r="106">
          <cell r="E106">
            <v>103</v>
          </cell>
        </row>
        <row r="107">
          <cell r="E107">
            <v>104</v>
          </cell>
        </row>
        <row r="108">
          <cell r="E108">
            <v>105</v>
          </cell>
        </row>
        <row r="109">
          <cell r="E109">
            <v>106</v>
          </cell>
        </row>
        <row r="110">
          <cell r="E110">
            <v>107</v>
          </cell>
        </row>
        <row r="111">
          <cell r="E111">
            <v>108</v>
          </cell>
        </row>
        <row r="112">
          <cell r="E112">
            <v>109</v>
          </cell>
        </row>
        <row r="113">
          <cell r="E113">
            <v>110</v>
          </cell>
        </row>
        <row r="114">
          <cell r="E114" t="str">
            <v>&gt;110</v>
          </cell>
        </row>
      </sheetData>
      <sheetData sheetId="36">
        <row r="2">
          <cell r="I2" t="str">
            <v>Afghanistan</v>
          </cell>
        </row>
        <row r="3">
          <cell r="I3" t="str">
            <v>Africa</v>
          </cell>
        </row>
        <row r="4">
          <cell r="I4" t="str">
            <v>Albania</v>
          </cell>
        </row>
        <row r="5">
          <cell r="I5" t="str">
            <v>Algeria</v>
          </cell>
        </row>
        <row r="6">
          <cell r="I6" t="str">
            <v>Americas</v>
          </cell>
        </row>
        <row r="7">
          <cell r="I7" t="str">
            <v>Angola</v>
          </cell>
        </row>
        <row r="8">
          <cell r="I8" t="str">
            <v>Argentina</v>
          </cell>
        </row>
        <row r="9">
          <cell r="I9" t="str">
            <v>Armenia</v>
          </cell>
        </row>
        <row r="10">
          <cell r="I10" t="str">
            <v>Asia</v>
          </cell>
        </row>
        <row r="11">
          <cell r="I11" t="str">
            <v>Azerbaijan</v>
          </cell>
        </row>
        <row r="12">
          <cell r="I12" t="str">
            <v>Bangladesh</v>
          </cell>
        </row>
        <row r="13">
          <cell r="I13" t="str">
            <v>Belarus</v>
          </cell>
        </row>
        <row r="14">
          <cell r="I14" t="str">
            <v>Belize</v>
          </cell>
        </row>
        <row r="15">
          <cell r="I15" t="str">
            <v>Benin</v>
          </cell>
        </row>
        <row r="16">
          <cell r="I16" t="str">
            <v>Bhutan</v>
          </cell>
        </row>
        <row r="17">
          <cell r="I17" t="str">
            <v>Bolivia (Plurinational State)</v>
          </cell>
        </row>
        <row r="18">
          <cell r="I18" t="str">
            <v>Bosnia and Herzegovina</v>
          </cell>
        </row>
        <row r="19">
          <cell r="I19" t="str">
            <v>Botswana</v>
          </cell>
        </row>
        <row r="20">
          <cell r="I20" t="str">
            <v>Brazil</v>
          </cell>
        </row>
        <row r="21">
          <cell r="I21" t="str">
            <v>Bulgaria</v>
          </cell>
        </row>
        <row r="22">
          <cell r="I22" t="str">
            <v>Burkina Faso</v>
          </cell>
        </row>
        <row r="23">
          <cell r="I23" t="str">
            <v>Burundi</v>
          </cell>
        </row>
        <row r="24">
          <cell r="I24" t="str">
            <v>Cabo Verde</v>
          </cell>
        </row>
        <row r="25">
          <cell r="I25" t="str">
            <v>Cambodia</v>
          </cell>
        </row>
        <row r="26">
          <cell r="I26" t="str">
            <v>Cameroon</v>
          </cell>
        </row>
        <row r="27">
          <cell r="I27" t="str">
            <v>Caribbean</v>
          </cell>
        </row>
        <row r="28">
          <cell r="I28" t="str">
            <v>Central African Republic</v>
          </cell>
        </row>
        <row r="29">
          <cell r="I29" t="str">
            <v>Central America</v>
          </cell>
        </row>
        <row r="30">
          <cell r="I30" t="str">
            <v>Chad</v>
          </cell>
        </row>
        <row r="31">
          <cell r="I31" t="str">
            <v>Chile</v>
          </cell>
        </row>
        <row r="32">
          <cell r="I32" t="str">
            <v>China</v>
          </cell>
        </row>
        <row r="33">
          <cell r="I33" t="str">
            <v>Colombia</v>
          </cell>
        </row>
        <row r="34">
          <cell r="I34" t="str">
            <v>Comoros</v>
          </cell>
        </row>
        <row r="35">
          <cell r="I35" t="str">
            <v>Congo</v>
          </cell>
        </row>
        <row r="36">
          <cell r="I36" t="str">
            <v>Congo (Democratic Republic)</v>
          </cell>
        </row>
        <row r="37">
          <cell r="I37" t="str">
            <v>Costa Rica</v>
          </cell>
        </row>
        <row r="38">
          <cell r="I38" t="str">
            <v>Côte d'Ivoire</v>
          </cell>
        </row>
        <row r="39">
          <cell r="I39" t="str">
            <v>Croatia</v>
          </cell>
        </row>
        <row r="40">
          <cell r="I40" t="str">
            <v>Cuba</v>
          </cell>
        </row>
        <row r="41">
          <cell r="I41" t="str">
            <v>Djibouti</v>
          </cell>
        </row>
        <row r="42">
          <cell r="I42" t="str">
            <v>Dominican Republic</v>
          </cell>
        </row>
        <row r="43">
          <cell r="I43" t="str">
            <v>Eastern Africa</v>
          </cell>
        </row>
        <row r="44">
          <cell r="I44" t="str">
            <v>Ecuador</v>
          </cell>
        </row>
        <row r="45">
          <cell r="I45" t="str">
            <v>Egypt</v>
          </cell>
        </row>
        <row r="46">
          <cell r="I46" t="str">
            <v>El Salvador</v>
          </cell>
        </row>
        <row r="47">
          <cell r="I47" t="str">
            <v>Equatorial Guinea</v>
          </cell>
        </row>
        <row r="48">
          <cell r="I48" t="str">
            <v>Eritrea</v>
          </cell>
        </row>
        <row r="49">
          <cell r="I49" t="str">
            <v>Estonia</v>
          </cell>
        </row>
        <row r="50">
          <cell r="I50" t="str">
            <v>Eswatini</v>
          </cell>
        </row>
        <row r="51">
          <cell r="I51" t="str">
            <v>Ethiopia</v>
          </cell>
        </row>
        <row r="52">
          <cell r="I52" t="str">
            <v>Fiji</v>
          </cell>
        </row>
        <row r="53">
          <cell r="I53" t="str">
            <v>Gabon</v>
          </cell>
        </row>
        <row r="54">
          <cell r="I54" t="str">
            <v>Gambia</v>
          </cell>
        </row>
        <row r="55">
          <cell r="I55" t="str">
            <v>Georgia</v>
          </cell>
        </row>
        <row r="56">
          <cell r="I56" t="str">
            <v>Ghana</v>
          </cell>
        </row>
        <row r="57">
          <cell r="I57" t="str">
            <v>Guatemala</v>
          </cell>
        </row>
        <row r="58">
          <cell r="I58" t="str">
            <v>Guinea</v>
          </cell>
        </row>
        <row r="59">
          <cell r="I59" t="str">
            <v>Guinea-Bissau</v>
          </cell>
        </row>
        <row r="60">
          <cell r="I60" t="str">
            <v>Guyana</v>
          </cell>
        </row>
        <row r="61">
          <cell r="I61" t="str">
            <v>Haiti</v>
          </cell>
        </row>
        <row r="62">
          <cell r="I62" t="str">
            <v>Honduras</v>
          </cell>
        </row>
        <row r="63">
          <cell r="I63" t="str">
            <v>India</v>
          </cell>
        </row>
        <row r="64">
          <cell r="I64" t="str">
            <v>Indonesia</v>
          </cell>
        </row>
        <row r="65">
          <cell r="I65" t="str">
            <v>Iran (Islamic Republic)</v>
          </cell>
        </row>
        <row r="66">
          <cell r="I66" t="str">
            <v>Iraq</v>
          </cell>
        </row>
        <row r="67">
          <cell r="I67" t="str">
            <v>Jamaica</v>
          </cell>
        </row>
        <row r="68">
          <cell r="I68" t="str">
            <v>Jordan</v>
          </cell>
        </row>
        <row r="69">
          <cell r="I69" t="str">
            <v>Kazakhstan</v>
          </cell>
        </row>
        <row r="70">
          <cell r="I70" t="str">
            <v>Kenya</v>
          </cell>
        </row>
        <row r="71">
          <cell r="I71" t="str">
            <v>Korea (Democratic Peoples Republic)</v>
          </cell>
        </row>
        <row r="72">
          <cell r="I72" t="str">
            <v>Kosovo</v>
          </cell>
        </row>
        <row r="73">
          <cell r="I73" t="str">
            <v>Kyrgyzstan</v>
          </cell>
        </row>
        <row r="74">
          <cell r="I74" t="str">
            <v>Lao (Peoples Democratic Republic)</v>
          </cell>
        </row>
        <row r="75">
          <cell r="I75" t="str">
            <v>Lesotho</v>
          </cell>
        </row>
        <row r="76">
          <cell r="I76" t="str">
            <v>Liberia</v>
          </cell>
        </row>
        <row r="77">
          <cell r="I77" t="str">
            <v>Madagascar</v>
          </cell>
        </row>
        <row r="78">
          <cell r="I78" t="str">
            <v>Malawi</v>
          </cell>
        </row>
        <row r="79">
          <cell r="I79" t="str">
            <v>Malaysia</v>
          </cell>
        </row>
        <row r="80">
          <cell r="I80" t="str">
            <v>Maldives</v>
          </cell>
        </row>
        <row r="81">
          <cell r="I81" t="str">
            <v>Mali</v>
          </cell>
        </row>
        <row r="82">
          <cell r="I82" t="str">
            <v>Mauritania</v>
          </cell>
        </row>
        <row r="83">
          <cell r="I83" t="str">
            <v>Mauritius</v>
          </cell>
        </row>
        <row r="84">
          <cell r="I84" t="str">
            <v>Mexico</v>
          </cell>
        </row>
        <row r="85">
          <cell r="I85" t="str">
            <v>Moldova</v>
          </cell>
        </row>
        <row r="86">
          <cell r="I86" t="str">
            <v>Mongolia</v>
          </cell>
        </row>
        <row r="87">
          <cell r="I87" t="str">
            <v>Montenegro</v>
          </cell>
        </row>
        <row r="88">
          <cell r="I88" t="str">
            <v>Morocco</v>
          </cell>
        </row>
        <row r="89">
          <cell r="I89" t="str">
            <v>Mozambique</v>
          </cell>
        </row>
        <row r="90">
          <cell r="I90" t="str">
            <v>Myanmar</v>
          </cell>
        </row>
        <row r="91">
          <cell r="I91" t="str">
            <v>Namibia</v>
          </cell>
        </row>
        <row r="92">
          <cell r="I92" t="str">
            <v>Nepal</v>
          </cell>
        </row>
        <row r="93">
          <cell r="I93" t="str">
            <v>Nicaragua</v>
          </cell>
        </row>
        <row r="94">
          <cell r="I94" t="str">
            <v>Niger</v>
          </cell>
        </row>
        <row r="95">
          <cell r="I95" t="str">
            <v>Nigeria</v>
          </cell>
        </row>
        <row r="96">
          <cell r="I96" t="str">
            <v>North Macedonia</v>
          </cell>
        </row>
        <row r="97">
          <cell r="I97" t="str">
            <v>Oceania</v>
          </cell>
        </row>
        <row r="98">
          <cell r="I98" t="str">
            <v>Pakistan</v>
          </cell>
        </row>
        <row r="99">
          <cell r="I99" t="str">
            <v>Palestine</v>
          </cell>
        </row>
        <row r="100">
          <cell r="I100" t="str">
            <v>Panama</v>
          </cell>
        </row>
        <row r="101">
          <cell r="I101" t="str">
            <v>Papua New Guinea</v>
          </cell>
        </row>
        <row r="102">
          <cell r="I102" t="str">
            <v>Paraguay</v>
          </cell>
        </row>
        <row r="103">
          <cell r="I103" t="str">
            <v>Peru</v>
          </cell>
        </row>
        <row r="104">
          <cell r="I104" t="str">
            <v>Philippines</v>
          </cell>
        </row>
        <row r="105">
          <cell r="I105" t="str">
            <v>Romania</v>
          </cell>
        </row>
        <row r="106">
          <cell r="I106" t="str">
            <v>Russian Federation</v>
          </cell>
        </row>
        <row r="107">
          <cell r="I107" t="str">
            <v>Rwanda</v>
          </cell>
        </row>
        <row r="108">
          <cell r="I108" t="str">
            <v>Sao Tome and Principe</v>
          </cell>
        </row>
        <row r="109">
          <cell r="I109" t="str">
            <v>Senegal</v>
          </cell>
        </row>
        <row r="110">
          <cell r="I110" t="str">
            <v>Serbia</v>
          </cell>
        </row>
        <row r="111">
          <cell r="I111" t="str">
            <v>Sierra Leone</v>
          </cell>
        </row>
        <row r="112">
          <cell r="I112" t="str">
            <v>Solomon Islands</v>
          </cell>
        </row>
        <row r="113">
          <cell r="I113" t="str">
            <v>Somalia</v>
          </cell>
        </row>
        <row r="114">
          <cell r="I114" t="str">
            <v>South Africa</v>
          </cell>
        </row>
        <row r="115">
          <cell r="I115" t="str">
            <v>South America</v>
          </cell>
        </row>
        <row r="116">
          <cell r="I116" t="str">
            <v>South Sudan</v>
          </cell>
        </row>
        <row r="117">
          <cell r="I117" t="str">
            <v>South-Eastern Asia</v>
          </cell>
        </row>
        <row r="118">
          <cell r="I118" t="str">
            <v>Southern Asia</v>
          </cell>
        </row>
        <row r="119">
          <cell r="I119" t="str">
            <v>Southern Europe</v>
          </cell>
        </row>
        <row r="120">
          <cell r="I120" t="str">
            <v>Sri Lanka</v>
          </cell>
        </row>
        <row r="121">
          <cell r="I121" t="str">
            <v>Sudan</v>
          </cell>
        </row>
        <row r="122">
          <cell r="I122" t="str">
            <v>Suriname</v>
          </cell>
        </row>
        <row r="123">
          <cell r="I123" t="str">
            <v>Syrian Arab Republic</v>
          </cell>
        </row>
        <row r="124">
          <cell r="I124" t="str">
            <v>Tajikistan</v>
          </cell>
        </row>
        <row r="125">
          <cell r="I125" t="str">
            <v>Tanzania</v>
          </cell>
        </row>
        <row r="126">
          <cell r="I126" t="str">
            <v>Thailand</v>
          </cell>
        </row>
        <row r="127">
          <cell r="I127" t="str">
            <v>Timor-Leste</v>
          </cell>
        </row>
        <row r="128">
          <cell r="I128" t="str">
            <v>Togo</v>
          </cell>
        </row>
        <row r="129">
          <cell r="I129" t="str">
            <v>Tunisia</v>
          </cell>
        </row>
        <row r="130">
          <cell r="I130" t="str">
            <v>Turkey</v>
          </cell>
        </row>
        <row r="131">
          <cell r="I131" t="str">
            <v>Turkmenistan</v>
          </cell>
        </row>
        <row r="132">
          <cell r="I132" t="str">
            <v>Uganda</v>
          </cell>
        </row>
        <row r="133">
          <cell r="I133" t="str">
            <v>Ukraine</v>
          </cell>
        </row>
        <row r="134">
          <cell r="I134" t="str">
            <v>Uruguay</v>
          </cell>
        </row>
        <row r="135">
          <cell r="I135" t="str">
            <v>Uzbekistan</v>
          </cell>
        </row>
        <row r="136">
          <cell r="I136" t="str">
            <v>Venezuela</v>
          </cell>
        </row>
        <row r="137">
          <cell r="I137" t="str">
            <v>Viet Nam</v>
          </cell>
        </row>
        <row r="138">
          <cell r="I138" t="str">
            <v>Western Africa</v>
          </cell>
        </row>
        <row r="139">
          <cell r="I139" t="str">
            <v>Western Asia</v>
          </cell>
        </row>
        <row r="140">
          <cell r="I140" t="str">
            <v>World</v>
          </cell>
        </row>
        <row r="141">
          <cell r="I141" t="str">
            <v>Yemen</v>
          </cell>
        </row>
        <row r="142">
          <cell r="I142" t="str">
            <v>Zambia</v>
          </cell>
        </row>
        <row r="143">
          <cell r="I143" t="str">
            <v>Zanzibar</v>
          </cell>
        </row>
        <row r="144">
          <cell r="I144" t="str">
            <v>Zimbabwe</v>
          </cell>
        </row>
        <row r="145">
          <cell r="I145" t="str">
            <v>XXXXX</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LISTS"/>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ONDOS EXTERNOS" refreshedDate="44232.820155439818" createdVersion="6" refreshedVersion="6" minRefreshableVersion="3" recordCount="1276" xr:uid="{00000000-000A-0000-FFFF-FFFF00000000}">
  <cacheSource type="worksheet">
    <worksheetSource name="PMtbl"/>
  </cacheSource>
  <cacheFields count="10">
    <cacheField name="Component" numFmtId="0">
      <sharedItems containsBlank="1"/>
    </cacheField>
    <cacheField name="WKst" numFmtId="0">
      <sharedItems containsBlank="1" count="11">
        <s v="COVID"/>
        <s v="HIV-Equipment"/>
        <s v="HIV-Other HPs"/>
        <s v="HIV-Pharmaceuticals"/>
        <s v="Malaria-Equipment &amp; Other HPs"/>
        <s v="Malaria-Pharmaceuticals"/>
        <s v="TB-EQUIPMENT &amp; OTHER HPs"/>
        <s v="TB-Pharmaceuticals"/>
        <m/>
        <s v="Malaria Non-Pharmaceuticals" u="1"/>
        <s v="TB Non-Pharmaceuticals" u="1"/>
      </sharedItems>
    </cacheField>
    <cacheField name="Sec" numFmtId="0">
      <sharedItems containsString="0" containsBlank="1" containsNumber="1" containsInteger="1" minValue="1" maxValue="4" count="5">
        <n v="1"/>
        <n v="2"/>
        <n v="3"/>
        <n v="4"/>
        <m/>
      </sharedItems>
    </cacheField>
    <cacheField name="Logistics Cost Category" numFmtId="0">
      <sharedItems containsBlank="1"/>
    </cacheField>
    <cacheField name="Category" numFmtId="0">
      <sharedItems containsBlank="1" count="54">
        <s v="COVID Diagnostics reagents &amp; consumables"/>
        <s v="COVID Equipment"/>
        <s v="COVID Pharmaceuticals"/>
        <s v="COVID PPE &amp; consumables"/>
        <s v="GeneXpert - Equipment &amp; cartridges for HIV program"/>
        <s v="Laboratory equipment for HIV program"/>
        <s v="TB-LAMP Loop-Mediated Isothermal Amplification for HIV program"/>
        <s v="TrueNat for HIV program"/>
        <s v="Waste management for HIV: Equipment"/>
        <s v="Condoms"/>
        <s v="Lubricants"/>
        <s v="RDTs for HIV"/>
        <s v="RDTs for STIs, OIs &amp; hepatitis"/>
        <s v="RDTs for TB for HIV program"/>
        <s v="HIV VL/EID Laboratory reagents"/>
        <s v="Consumables for HIV program"/>
        <s v="HIV Laboratory reagents"/>
        <s v="Other Laboratory reagents_HIV program"/>
        <s v="Waste management for HIV: Reagents &amp; Consumables"/>
        <s v="ARVs"/>
        <s v="Opioid substitute medicines"/>
        <s v="OIs, STIs &amp; other medicines in HIV"/>
        <s v="TB medicines for Prevention for HIV program"/>
        <s v="Malaria Microscopy - Equipment &amp; reagents"/>
        <s v="RDTs for Malaria"/>
        <s v="IRS equipment &amp; insecticides"/>
        <s v="LLINs (mass campaigns)"/>
        <s v="LLINs (routine distributions)"/>
        <s v="Malaria Other health equipment"/>
        <s v="Malaria Consumables"/>
        <s v="Malaria Laboratory equipment"/>
        <s v="Malaria Laboratory reagents"/>
        <s v="Waste management for Malaria"/>
        <s v="Antimalaria medicines - treatment"/>
        <s v="Antimalaria medicines - prevention"/>
        <s v="TB Microscopy - Equipment &amp; reagents"/>
        <s v="GeneXpert - Equipment &amp; cartridges for TB program"/>
        <s v="RDTs for TB"/>
        <s v="TB-LAMP Loop-Mediated Isothermal Amplification for TB program"/>
        <s v="TrueNat for TB program"/>
        <s v="Culture/DST/LPA - Equipment &amp; reagents"/>
        <s v="Consumables for TB program"/>
        <s v="Laboratory equipment for TB program"/>
        <s v="Other health equipment for TB program"/>
        <s v="Other Laboratory reagents_TB program"/>
        <s v="RDTS for HIV testing in TB program"/>
        <s v="Waste management for TB"/>
        <s v="TB medicines for Sensitive TB"/>
        <s v="TB medicines for Resistant TB"/>
        <s v="TB medicines for Prevention"/>
        <s v="OIs, STIs &amp; other medicines in TB"/>
        <m/>
        <s v="Section 3 - Malaria Other health equipment" u="1"/>
        <s v="COVID Diagnostic reagents &amp; consumables" u="1"/>
      </sharedItems>
    </cacheField>
    <cacheField name="INN" numFmtId="0">
      <sharedItems containsBlank="1" count="289">
        <s v="COVID Tests / Diagnotic Consumables"/>
        <s v="COVID Tests / Diagnotic Reagents"/>
        <s v="COVID Equipment"/>
        <s v="Dexamethasone"/>
        <s v="Other medicines"/>
        <s v="Apron"/>
        <s v="Faceshield"/>
        <s v="Gloves"/>
        <s v="Goggles"/>
        <s v="Gowns"/>
        <s v="Masks"/>
        <s v="Other COVID consumables"/>
        <s v="Respirator"/>
        <s v="GeneXpert: Equipment"/>
        <s v="Autoclave for laboratory"/>
        <s v="Automated blood culture system, system for incubating and processing blood cultures"/>
        <s v="Biological Safety Cabinet"/>
        <s v="Centrifuges"/>
        <s v="DNA extraction, amplification, isolation, purification, detection and sequencing analyzers"/>
        <s v="Equipment: other"/>
        <s v="Flow cytometry analyzer (CD4)"/>
        <s v="Hematology or biochemistry analyzers"/>
        <s v="Incubator"/>
        <s v="Laboratory freezer"/>
        <s v="Laboratory refrigerator"/>
        <s v="Microbiology analyzers"/>
        <s v="Microcentrifuge"/>
        <s v="Refrigerated bench top centrifuge"/>
        <s v="Spectrofluorimeters or fluorimeters"/>
        <s v="Viral load and/or EID analyzer"/>
        <s v="HumaHeat"/>
        <s v="Humaloop T"/>
        <s v="HumaTurb C+ HumaTurb A"/>
        <s v="HuMax ITA microcentrifuge"/>
        <s v="Truelab Uno Dx"/>
        <s v="Trueprep"/>
        <s v="Waste management: Autoclave"/>
        <s v="Waste management: Other equipment"/>
        <s v="Female condom"/>
        <s v="Male condom"/>
        <s v="Lubricant"/>
        <s v="Rapid Diagnostic Test - HIV"/>
        <s v="Rapid Diagnostic Test - HIV/Syphilis"/>
        <s v="Rapid Diagnostic Test - Cryptococcus"/>
        <s v="Rapid Diagnostic Test - HBV"/>
        <s v="Rapid Diagnostic Test - HCV"/>
        <s v="Rapid Diagnostic Test - Syphilis"/>
        <s v="GeneXpert - Equipment &amp; cartridges"/>
        <s v="Rapid Diagnostic Test - TB"/>
        <s v="TB-LAMP Loop-Mediated Isothermal Amplification"/>
        <s v="TrueNat"/>
        <s v="HIV Early Infant Diagnosis"/>
        <s v="HIV Viral Load test"/>
        <s v="Alere - PIMA Consumables"/>
        <s v="BD - FACS"/>
        <s v="BD - FACS Consumables"/>
        <s v="BD - FACSCount"/>
        <s v="BD - FACSPresto"/>
        <s v="Consumables: Blood collection"/>
        <s v="Consumables: DBS collection"/>
        <s v="Consumables: Infection prevention and control"/>
        <s v="Consumables: Laboratory Other"/>
        <s v="Consumables: Other"/>
        <s v="Consumables: Other (non-laboratory)"/>
        <s v="Consumables: Specimen processing &amp; transport supplies"/>
        <s v="Consumables: Sputum sample collection"/>
        <s v="GeneXpert: Consumables"/>
        <s v="Syringes and needles for HARM REDUCTION"/>
        <s v="Sysmex - Partec Cyflow Consumables"/>
        <s v="VMMC kits"/>
        <s v="Alere - PIMA"/>
        <s v="Alere - PIMA Other reagents"/>
        <s v="BD - FACS Other reagents"/>
        <s v="BD - Multicheck"/>
        <s v="Hematology or biochemistry reagents: : Roche - Cobas c/Integra"/>
        <s v="Hematology or biochemistry reagents: Coulter"/>
        <s v="Hematology or biochemistry reagents: ELITechGroup"/>
        <s v="Hematology or biochemistry reagents: Roche - Cobas c111"/>
        <s v="Hematology or biochemistry reagents: Sysmex"/>
        <s v="Sysmex - Partec Cyflow"/>
        <s v="Sysmex - Partec Cyflow Other reagents"/>
        <s v="Laboratory reagents: Other"/>
        <s v="Waste management supplies: Consumables"/>
        <s v="Waste management supplies: Reagents"/>
        <s v="Abacavir"/>
        <s v="Abacavir/Dolutegravir/Lamivudine"/>
        <s v="Abacavir/Lamivudine"/>
        <s v="Abacavir/Lamivudine/Zidovudine"/>
        <s v="Atazanavir"/>
        <s v="Atazanavir/Ritonavir"/>
        <s v="Darunavir"/>
        <s v="Darunavir/Ritonavir"/>
        <s v="Dolutegravir"/>
        <s v="Dolutegravir/Lamivudine/Tenofovir"/>
        <s v="Efavirenz"/>
        <s v="Efavirenz/Emtricitabine/Tenofovir"/>
        <s v="Efavirenz/Lamivudine/Tenofovir"/>
        <s v="Emtricitabine"/>
        <s v="Emtricitabine/Tenofovir"/>
        <s v="Etravirine"/>
        <s v="Lamivudine"/>
        <s v="Lamivudine/Nevirapine/Zidovudine"/>
        <s v="Lamivudine/Tenofovir"/>
        <s v="Lamivudine/Zidovudine"/>
        <s v="Lopinavir/Ritonavir"/>
        <s v="Nevirapine"/>
        <s v="Other ARV medicines"/>
        <s v="Raltegravir"/>
        <s v="Ritonavir"/>
        <s v="Tenofovir"/>
        <s v="Zidovudine"/>
        <s v="Buprenorphine-opioid substitute"/>
        <s v="Methadone-opioid substitute"/>
        <s v="Other-opioid substitute medicine"/>
        <s v="Aciclovir"/>
        <s v="Amitriptyline (as hydrochloride)"/>
        <s v="Amoxicillin"/>
        <s v="Amoxicillin/Clavulanic acid"/>
        <s v="Amphotericin b deoxycholate"/>
        <s v="Amphotericin b liposomal"/>
        <s v="Ampicillin"/>
        <s v="Azithromycin"/>
        <s v="Benzathine penicillin"/>
        <s v="Betamethasone"/>
        <s v="Bleomycin"/>
        <s v="Ceftriaxone"/>
        <s v="Cetirizine"/>
        <s v="Chloramphenicol"/>
        <s v="Chlorphenamine maleate"/>
        <s v="Cimetidine"/>
        <s v="Ciprofloxacin"/>
        <s v="Clindamycin"/>
        <s v="Clotrimzole"/>
        <s v="Codeine (as phosphate)"/>
        <s v="Daclatasvir"/>
        <s v="Dapsone"/>
        <s v="Diclofenac (as sodium)"/>
        <s v="Diphenhydramine"/>
        <s v="Doxorubicin (as hydrochloride)"/>
        <s v="Doxycycline (as hyclate)"/>
        <s v="Entecavir "/>
        <s v="Erythromycin"/>
        <s v="Erythromycin (as stearate)"/>
        <s v="Fluconazole"/>
        <s v="Flucytosine"/>
        <s v="Flucytosine injection"/>
        <s v="Folic acid"/>
        <s v="Ganciclovir"/>
        <s v="Gentamicin"/>
        <s v="Hydrocortisone"/>
        <s v="Ibuprofen"/>
        <s v="Itraconazole"/>
        <s v="Lactulose (as liquid)"/>
        <s v="Loperamide"/>
        <s v="Magnesium sulphate"/>
        <s v="Metoclopramide"/>
        <s v="Metronidazole"/>
        <s v="Multivitamin"/>
        <s v="Naloxone"/>
        <s v="Nystatin"/>
        <s v="Omeprazole"/>
        <s v="Oral rehydration salt"/>
        <s v="Other essential medicines"/>
        <s v="Other OI/STI medicines"/>
        <s v="Pantoprazole"/>
        <s v="Paracetamol"/>
        <s v="Pegylated liposomal doxorubicin"/>
        <s v="Phenoxymethylpenicillin"/>
        <s v="Podophyllotoxin"/>
        <s v="Potassium chloride"/>
        <s v="Prednisolone"/>
        <s v="Prednisone"/>
        <s v="Promethazine"/>
        <s v="Pvp iodine"/>
        <s v="Pyrimethamine"/>
        <s v="Ranitidine"/>
        <s v="Ribavirin"/>
        <s v="Salbutamol"/>
        <s v="Sodium dichloroisocyanurate"/>
        <s v="Sofosbuvir"/>
        <s v="Sofosbuvir/ Ledipasvir"/>
        <s v="Sofosbuvir/Velpatasvir"/>
        <s v="Sofosbuvir+Daclatasvir"/>
        <s v="Sulfadiazine"/>
        <s v="Sulfamethoxazole/Trimethoprim (Co-trimoxazole)"/>
        <s v="Therapeutic food products"/>
        <s v="Therapeutic milk F100 powder"/>
        <s v="Valganciclovir"/>
        <s v="Vincristine (as sulfate)"/>
        <s v="Vitamin B-6 (pyridoxine as hydrochloride)"/>
        <s v="Water for injection"/>
        <s v="Zinc sulfate"/>
        <s v="Isoniazid"/>
        <s v="Isoniazid/Pyridoxine hydrochloride/Sulfamethoxazole/Trimethoprim"/>
        <s v="Isoniazid/Rifampicin"/>
        <s v="Levofloxacin"/>
        <s v="Other TB medicine for TB Prevention"/>
        <s v="Rifabutin"/>
        <s v="Rifampicin"/>
        <s v="Rifapentine"/>
        <s v="Rifapentine/Isoniazid"/>
        <s v="Microscope: Equipment"/>
        <s v="Microscopy: Malaria smear microscopy - other reagents"/>
        <s v="Microscopy: Malaria smear microscopy reagents"/>
        <s v="Rapid Diagnostic Test - Malaria"/>
        <s v="Equipment for IRS"/>
        <s v="Insecticides for purposes other than IRS"/>
        <s v="IRS Sprayers: hand-operated compression sprayers"/>
        <s v="IRS-Insecticides"/>
        <s v="LLINs (mass campaign)"/>
        <s v="LLINs (routine distributions)"/>
        <s v="Vector control equipment for purposes other than IRS"/>
        <s v="Consumables: Other (laboratory)"/>
        <s v="IRS: Personal Protective Equipment (PPE)"/>
        <s v="Microscopy: Malaria consumables"/>
        <s v="Microscopy: Malaria other consumables"/>
        <s v="G6PD Diagnostic Test"/>
        <s v="Amodiaquine+Sulfadoxine/Pyrimethamine"/>
        <s v="Artemether"/>
        <s v="Artemether/Lumefantrine"/>
        <s v="Artesunate"/>
        <s v="Artesunate/amodiaquine"/>
        <s v="Artesunate/Mefloquine"/>
        <s v="Artesunate/Pyronaridine"/>
        <s v="Artesunate+Sulfadoxine/Pyrimethamine"/>
        <s v="Chloroquine"/>
        <s v="Other antimalaria medicine for treatment"/>
        <s v="Piperaquine/Dihydroartemisinin"/>
        <s v="Primaquine"/>
        <s v="Proguanil"/>
        <s v="Quinine"/>
        <s v="Atovaquone-Proguanil"/>
        <s v="Doxycycline"/>
        <s v="Mefloquine"/>
        <s v="Other antimalaria medicine for prevention"/>
        <s v="Sulfadoxine/Pyrimethamine"/>
        <s v="Microscopy: TB smear microscopy - other reagents"/>
        <s v="Microscopy: TB smear microscopy reagent kits"/>
        <s v="Microscopy: TB smear microscopy reagents"/>
        <s v="Laboratory Equipment-BACTEC MGIT"/>
        <s v="Laboratory Equipment-BACTEC MGIT 320 system"/>
        <s v="Laboratory Equipment-BACTEC MGIT 960 system"/>
        <s v="Liquid culture and DST: Media,Reagents,Antibiotics"/>
        <s v="Liquid culture and DST-Other reagents (not consumables)"/>
        <s v="Liquid culture and DST-Reagents kits"/>
        <s v="Molecular diagnosis: LPA-Chemicals"/>
        <s v="Molecular diagnosis: LPA-Equipment"/>
        <s v="Molecular diagnosis: LPA-Other equipment required"/>
        <s v="Molecular diagnosis: LPA-Other reagents (no consumables)"/>
        <s v="Molecular diagnosis: LPA-Reagents kits"/>
        <s v="MTB/MPT64 identification - Other reagents"/>
        <s v="MTB/MPT64 identification - Rapid test"/>
        <s v="Solid culture and DST: Media,Reagents,Antibiotics"/>
        <s v="Solid culture and DST: Other reagents (no consumables)"/>
        <s v="Consumables: TB specimen processing"/>
        <s v="Microscopy: TB consumables"/>
        <s v="Microscopy: TB other consumables"/>
        <s v="Electrocardiogram (ECG) digital monitor and recorder"/>
        <s v="X-ray: Equipment"/>
        <s v="TB specimen processing: Reagents"/>
        <s v="Ethambutol"/>
        <s v="Ethambutol/Isoniazid/Pyrazinamide/Rifampicin"/>
        <s v="Ethambutol/Isoniazid/Rifampicin"/>
        <s v="Isoniazid/Pyrazinamide/Rifampicin"/>
        <s v="Other TB medicine for Sensitive TB"/>
        <s v="Pyrazinamide"/>
        <s v="TB Cat I+III Patient Kit A"/>
        <s v="Amikacin"/>
        <s v="Bedaquiline"/>
        <s v="Clofazimine"/>
        <s v="Cycloserine"/>
        <s v="Delamanid"/>
        <s v="Ethionamide"/>
        <s v="Imipenem/Cilastatin"/>
        <s v="Linezolide"/>
        <s v="Meropenem"/>
        <s v="Moxifloxacin"/>
        <s v="Other TB medicine for Resistant TB"/>
        <s v="Para-AminoSalicylate Acid"/>
        <s v="Para-AminoSalicylate Sodium"/>
        <s v="Pretomanid"/>
        <s v="Prothionamide"/>
        <s v="Streptomycin"/>
        <s v="Syringes and needles"/>
        <s v="Syringes and needles kit"/>
        <s v="Terizidone"/>
        <m/>
        <s v="Apron " u="1"/>
        <s v="IRS Sprayers: hand-operated compression sprayers " u="1"/>
      </sharedItems>
    </cacheField>
    <cacheField name="Specification" numFmtId="0">
      <sharedItems containsBlank="1"/>
    </cacheField>
    <cacheField name="Cost Input*" numFmtId="0">
      <sharedItems containsString="0" containsBlank="1" containsNumber="1" minValue="4.0999999999999996" maxValue="6.6"/>
    </cacheField>
    <cacheField name="Unit of measure*" numFmtId="0">
      <sharedItems containsBlank="1"/>
    </cacheField>
    <cacheField name="Remar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ONDOS EXTERNOS" refreshedDate="44232.82015590278" createdVersion="6" refreshedVersion="6" minRefreshableVersion="3" recordCount="522" xr:uid="{00000000-000A-0000-FFFF-FFFF03000000}">
  <cacheSource type="worksheet">
    <worksheetSource name="Grant"/>
  </cacheSource>
  <cacheFields count="11">
    <cacheField name="Geography ID" numFmtId="0">
      <sharedItems containsString="0" containsBlank="1" containsNumber="1" containsInteger="1" minValue="24" maxValue="247"/>
    </cacheField>
    <cacheField name="Country" numFmtId="0">
      <sharedItems count="219">
        <s v="Afghanistan"/>
        <s v="Albania"/>
        <s v="Algeria"/>
        <s v="Andorra"/>
        <s v="Angola"/>
        <s v="Antigua and Barbuda"/>
        <s v="Argentina"/>
        <s v="Armenia"/>
        <s v="Aruba"/>
        <s v="Australia"/>
        <s v="Austria"/>
        <s v="Azerbaijan"/>
        <s v="Bahamas"/>
        <s v="Bahrain"/>
        <s v="Bangladesh"/>
        <s v="Barbados"/>
        <s v="Belarus"/>
        <s v="Belgium"/>
        <s v="Belize"/>
        <s v="Benin"/>
        <s v="Bhutan"/>
        <s v="Bolivia (Plurinational State)"/>
        <s v="Bosnia and Herzegovina"/>
        <s v="Botswana"/>
        <s v="Brazil"/>
        <s v="Brunei Darussalam"/>
        <s v="Bulgaria"/>
        <s v="Burkina Faso"/>
        <s v="Burundi"/>
        <s v="Cabo Verde"/>
        <s v="Cambodia"/>
        <s v="Cameroon"/>
        <s v="Canada"/>
        <s v="Central African Republic"/>
        <s v="Chad"/>
        <s v="Chile"/>
        <s v="China"/>
        <s v="Colombia"/>
        <s v="Comoros"/>
        <s v="Congo"/>
        <s v="Congo (Democratic Republic)"/>
        <s v="Cook Islands"/>
        <s v="Costa Rica"/>
        <s v="Côte d'Ivoire"/>
        <s v="Croatia"/>
        <s v="Cuba"/>
        <s v="Curacao"/>
        <s v="Cyprus"/>
        <s v="Czechia"/>
        <s v="Denmark"/>
        <s v="Djibouti"/>
        <s v="Dominica"/>
        <s v="Dominican Republic"/>
        <s v="Ecuador"/>
        <s v="Egypt"/>
        <s v="El Salvador"/>
        <s v="Equatorial Guinea"/>
        <s v="Eritrea"/>
        <s v="Estonia"/>
        <s v="Eswatini"/>
        <s v="Ethiopia"/>
        <s v="Faeroe Islands"/>
        <s v="Fiji"/>
        <s v="Finland"/>
        <s v="France"/>
        <s v="Gabon"/>
        <s v="Gambia"/>
        <s v="Georgia"/>
        <s v="Germany"/>
        <s v="Ghana"/>
        <s v="Greece"/>
        <s v="Greenland"/>
        <s v="Grenada"/>
        <s v="Guatemala"/>
        <s v="Guinea"/>
        <s v="Guinea-Bissau"/>
        <s v="Guyana"/>
        <s v="Haiti"/>
        <s v="Holy See"/>
        <s v="Honduras"/>
        <s v="Hungary"/>
        <s v="Iceland"/>
        <s v="India"/>
        <s v="Indonesia"/>
        <s v="Iran (Islamic Republic)"/>
        <s v="Iraq"/>
        <s v="Ireland"/>
        <s v="Israel"/>
        <s v="Italy"/>
        <s v="Jamaica"/>
        <s v="Japan"/>
        <s v="Jordan"/>
        <s v="Kazakhstan"/>
        <s v="Kenya"/>
        <s v="Kiribati"/>
        <s v="Korea (Democratic Peoples Republic)"/>
        <s v="Korea (Republic)"/>
        <s v="Kosovo"/>
        <s v="Kuwait"/>
        <s v="Kyrgyzstan"/>
        <s v="Lao (Peoples Democratic Republic)"/>
        <s v="Latvia"/>
        <s v="Lebanon"/>
        <s v="Lesotho"/>
        <s v="Liberia"/>
        <s v="Libya"/>
        <s v="Liechtenstein"/>
        <s v="Lithuania"/>
        <s v="Luxembourg"/>
        <s v="Madagascar"/>
        <s v="Malawi"/>
        <s v="Malaysia"/>
        <s v="Maldives"/>
        <s v="Mali"/>
        <s v="Malta"/>
        <s v="Marshall Islands"/>
        <s v="Mauritania"/>
        <s v="Mauritius"/>
        <s v="Mexico"/>
        <s v="Micronesia (Federated States)"/>
        <s v="Moldova"/>
        <s v="Monaco"/>
        <s v="Mongolia"/>
        <s v="Montenegro"/>
        <s v="Morocco"/>
        <s v="Mozambique"/>
        <s v="Myanmar"/>
        <s v="Namibia"/>
        <s v="Nauru"/>
        <s v="Nepal"/>
        <s v="Netherlands"/>
        <s v="New Zealand"/>
        <s v="Nicaragua"/>
        <s v="Niger"/>
        <s v="Nigeria"/>
        <s v="Niue"/>
        <s v="North Macedonia"/>
        <s v="Norway"/>
        <s v="Oman"/>
        <s v="Pakistan"/>
        <s v="Palau"/>
        <s v="Palestine"/>
        <s v="Panama"/>
        <s v="Papua New Guinea"/>
        <s v="Paraguay"/>
        <s v="Peru"/>
        <s v="Philippines"/>
        <s v="Poland"/>
        <s v="Portugal"/>
        <s v="Qatar"/>
        <s v="Romania"/>
        <s v="Russian Federation"/>
        <s v="Rwanda"/>
        <s v="Saint Kitts and Nevis"/>
        <s v="Saint Lucia"/>
        <s v="Saint Vincent and Grenadines"/>
        <s v="Samoa"/>
        <s v="San Marino"/>
        <s v="Sao Tome and Principe"/>
        <s v="Saudi Arabia"/>
        <s v="Senegal"/>
        <s v="Serbia"/>
        <s v="Seychelles"/>
        <s v="Sierra Leone"/>
        <s v="Singapore"/>
        <s v="Sint Maarten (Dutch part)"/>
        <s v="Slovakia"/>
        <s v="Slovenia"/>
        <s v="Solomon Islands"/>
        <s v="Somalia"/>
        <s v="South Africa"/>
        <s v="South Sudan"/>
        <s v="Spain"/>
        <s v="Sri Lanka"/>
        <s v="Sudan"/>
        <s v="Suriname"/>
        <s v="Sweden"/>
        <s v="Switzerland"/>
        <s v="Syrian Arab Republic"/>
        <s v="Taiwan"/>
        <s v="Tajikistan"/>
        <s v="Tanzania (United Republic)"/>
        <s v="Thailand"/>
        <s v="Timor-Leste"/>
        <s v="Togo"/>
        <s v="Tokelau"/>
        <s v="Tonga"/>
        <s v="Trinidad and Tobago"/>
        <s v="Tunisia"/>
        <s v="Turkey"/>
        <s v="Turkmenistan"/>
        <s v="Tuvalu"/>
        <s v="Uganda"/>
        <s v="Ukraine"/>
        <s v="United Arab Emirates"/>
        <s v="United Kingdom"/>
        <s v="United States"/>
        <s v="Uruguay"/>
        <s v="Uzbekistan"/>
        <s v="Vanuatu"/>
        <s v="Venezuela"/>
        <s v="Viet Nam"/>
        <s v="Western Sahara"/>
        <s v="Yemen"/>
        <s v="Zambia"/>
        <s v="Zanzibar"/>
        <s v="Zimbabwe"/>
        <s v="Western Asia" u="1"/>
        <s v="World" u="1"/>
        <s v="Americas" u="1"/>
        <s v="Southern Asia" u="1"/>
        <s v="Asia" u="1"/>
        <s v="Africa" u="1"/>
        <s v="Western Africa" u="1"/>
        <s v="Oceania" u="1"/>
        <s v="Eastern Africa" u="1"/>
        <s v="South-Eastern Asia" u="1"/>
        <s v="Caribbean" u="1"/>
        <s v="Central America" u="1"/>
      </sharedItems>
    </cacheField>
    <cacheField name="Currency ID" numFmtId="0">
      <sharedItems containsString="0" containsBlank="1" containsNumber="1" containsInteger="1" minValue="1" maxValue="2"/>
    </cacheField>
    <cacheField name="Currency" numFmtId="0">
      <sharedItems containsBlank="1"/>
    </cacheField>
    <cacheField name="Component ID" numFmtId="0">
      <sharedItems containsString="0" containsBlank="1" containsNumber="1" containsInteger="1" minValue="1" maxValue="6"/>
    </cacheField>
    <cacheField name="Component" numFmtId="0">
      <sharedItems containsBlank="1" count="5">
        <s v="HIV"/>
        <s v="Malaria"/>
        <s v="TB"/>
        <s v="Multi"/>
        <m/>
      </sharedItems>
    </cacheField>
    <cacheField name="Organization ID" numFmtId="0">
      <sharedItems containsBlank="1"/>
    </cacheField>
    <cacheField name="PR Organization" numFmtId="0">
      <sharedItems containsBlank="1" count="245">
        <s v="Ministry of Public Health of the Islamic Republic of Afghanistan"/>
        <s v="United Nations Development Programme"/>
        <s v="Ministry of Health of the Republic of Albania"/>
        <s v="Ministry of Health, Population and Hospital Reform of the People's Democratic Republic of Algeria"/>
        <m/>
        <s v="Ministry of Health of the Republic of Angola"/>
        <s v="World Vision International"/>
        <s v="Ministry of Health of the Republic of Armenia"/>
        <s v="Ministry of Health of the Republic of Azerbaijan"/>
        <s v="Economic Relations Division, Ministry of Finance of the People's Republic of Bangladesh"/>
        <s v="International Centre for Diarrhoeal Disease Research, Bangladesh"/>
        <s v="Save the Children Federation, Inc."/>
        <s v="BRAC"/>
        <s v="Republican Scientific and Practical Center for Medical Technologies, Informatization, Administration and Management of Health"/>
        <s v="Plan International, Inc."/>
        <s v="Programme santé de lutte contre le Sida"/>
        <s v="Programme National de Lutte contre le Paludisme de la République du Bénin"/>
        <s v="Conseil National de Lutte contre le VIH/SIDA, la Tuberculose, le Paludisme, les Hépatites, les Infections sexuellement transmissibles et les Epidémies"/>
        <s v="Health System Performance Program"/>
        <s v="Programme National contre la Tuberculose de la République du Bénin"/>
        <s v="Ministry of Health of the Royal Government of Bhutan"/>
        <s v="Humanist Institute for Co-operation with Developing Countries"/>
        <s v="Ministry of Health of the Republic of Botswana"/>
        <s v="African Comprehensive HIV/AIDS Partnerships"/>
        <s v="Secrétariat Permanent du Conseil National de Lutte contre le Sida et les IST du Burkina Faso"/>
        <s v="Programme d'Appui au Développement Sanitaire du Burkina Faso"/>
        <s v="Initiative Privée et Communautaire contre le VIH/SIDA au Burkina Faso"/>
        <s v="Ministry of Public Health and Fight against AIDS of the Republic of Burundi"/>
        <s v="Secrétariat Exécutif Permanent du Conseil National de Lutte contre le SIDA"/>
        <s v="National Integrated Programme Against Leprosy and Tuberculosis"/>
        <s v="Coordination Committee of the Fight against AIDS of Cabo Verde"/>
        <s v="Cambodia Ministry of Economy and Finance"/>
        <s v="Cameroon National Association for Family Welfare"/>
        <s v="Ministry of Public Health of the Republic of Cameroon"/>
        <s v="National Coordination of the National AIDS Control Committee of the Government of the Central African Republic (CN-CNLS)"/>
        <s v="World Vision International (CAR Branch office)"/>
        <s v="La Croix-Rouge française"/>
        <s v="The Ministry of Public Heath, Population and the Fight Against HIV/AIDS of the Central African Republic"/>
        <s v="Association of Social Marketing in Chad (AMASOT)"/>
        <s v="Fonds de soutien aux activités en matière de population et de lutte contre le Sida de la République du Tchad"/>
        <s v="Ministry of Public Health Chad"/>
        <s v="National Union of Diocesan Associations (UNAD)"/>
        <s v="Empresa Nacional Promotora del Desarrollo Territorial"/>
        <s v="Ministry of Health, Solidarity and Gender Promotion of the Union of the Comoros"/>
        <s v="Association Comorienne pour le Bien-Être de la Famille"/>
        <s v="Programme National de Lutte contre la Tuberculose et la Lepre"/>
        <s v="Catholic Relief Services, United States Conference of Catholic Bishops"/>
        <s v="Ministry of Health and Population of the Government of the Republic of Congo"/>
        <s v="Ministry of Health and Population of the Democratic Republic of Congo"/>
        <s v="SANRU Asbl"/>
        <s v="Stichting Cordaid"/>
        <s v="Population Services International"/>
        <s v="Alliance Nationale pour la Santé et le Développement en Côte D'Ivoire"/>
        <s v="Ministry of Health and Public Hygiene of the Republic of Côte d'Ivoire - PNLS"/>
        <s v="Ministry of Health and Public Hygiene of the Republic of Côte d'Ivoire - PNLP"/>
        <s v="Ministry of Health and Public Hygiene of the Republic of Côte d'Ivoire - PNLT"/>
        <s v="Consejo Nacional para el VIH y el SIDA"/>
        <s v="Instituto Dermatológico y Cirugía de Piel ‘Dr. Huberto Bogaert Díaz’"/>
        <s v="Ministry of Public Health and Social Assistance of the Dominican Republic"/>
        <s v="Corporación Kimirina"/>
        <s v="Ministry of Public Health of the Republic of Ecuador"/>
        <s v="Ministry of Health of the Republic of El Salvador"/>
        <s v="Medical Care Development International"/>
        <s v="Ministry of Health of the State of Eritrea"/>
        <s v="Coordinating Assembly of Non Governmental Organisation"/>
        <s v="National Emergency Response Council on HIV and AIDS"/>
        <s v="HIV/AIDS Prevention and Control Office"/>
        <s v="Federal Ministry of Health of the Federal Democratic Republic of Ethiopia"/>
        <s v="UNICEF Ethiopia"/>
        <s v="Ministry of Health and Medical Services of the Republic of Fiji"/>
        <s v="Centre de Recherches Médicales de Lambaréné"/>
        <s v="Ministry of Health, Social Welfare and National Solidarity of the Gabonese Republic"/>
        <s v="ActionAid International The Gambia"/>
        <s v="The National AIDS Secretariat of the Republic of The Gambia"/>
        <s v="Catholic Relief Services - United States Conference of Catholic Bishops"/>
        <s v="Ministry of Health and Social Welfare of the Republic of Gambia"/>
        <s v="National Center For Disease Control and Public Health"/>
        <s v="Ghana AIDS Commission"/>
        <s v="Ministry of Health of the Republic of Ghana"/>
        <s v="West African Program to Combat AIDS and STI"/>
        <s v="AngloGold Ashanti (Ghana) Malaria Control Limited"/>
        <s v="Instituto de Nutrición de Centro América y Panamá (INCAP)"/>
        <s v="Ministry of Health and Social Assistance of the Republic of Guatemala"/>
        <s v="Secrétariat Exécutif du Comité National de Lutte contre le Sida de la République de Guinée"/>
        <s v="The Ministry of Public Health of the Republic of Guinea"/>
        <s v="Catholic Relief Services-United States Conference of Catholic Bishops"/>
        <s v="National Secretariat to Fight AIDS of Guinea-Bissau"/>
        <s v="Ministry of Health of the Republic of Guinea-Bissau"/>
        <s v="Ministry of Public Health of the Co-operative Republic Republic of Guyana"/>
        <s v="Ministère de la Santé Publique et de la Population (Unité de Gestion des Projets)"/>
        <s v="Cooperative Housing Foundation"/>
        <s v="Ministry of Health of the Republic of Honduras"/>
        <s v="Department of Economic Affairs, Ministry of Finance of India"/>
        <s v="India HIV/AIDS Alliance"/>
        <s v="Plan International (India Chapter)"/>
        <s v="Solidarity and Action Against The HIV Infection in India"/>
        <s v="William J Clinton Foundation"/>
        <s v="Centre for Health Research and Innovation"/>
        <s v="Foundation for Innovative New Diagnostics India"/>
        <s v="International Bank for Reconstruction and Development"/>
        <s v="International Union Against Tuberculosis and Lung Disease"/>
        <s v="Directorate General of Disease Prevention and Control, Ministry of Health of The Republic of Indonesia"/>
        <s v="Indonesia Planned Parenthood Association"/>
        <s v="Yayasan Spiritia"/>
        <s v="Persatuan Karya Dharma Kesehatan Indonesia (also known as “PERDHAKI”, Association of Voluntary Health Services of Indonesia)"/>
        <s v="Central Board of ‘Aisyiyah"/>
        <s v="Ministry of Health and Wellness, Jamaica"/>
        <s v="Kazakh scientific center of dermatology and infectious diseases of the Ministry of Health of the Republic of Kazakhstan"/>
        <s v="RSE on REU “National Scientific Center of Phthisiopulmonology of the Republic of Kazakhstan” of the Ministry of Health of the Republic of Kazakhstan"/>
        <s v="Kenya Red Cross Society"/>
        <s v="National Treasury of the Republic of Kenya"/>
        <s v="Amref Health Africa in Kenya"/>
        <s v="United Nations Children's Fund"/>
        <s v="Community Development Fund"/>
        <s v="Ministry of Health of the Lao People's Democratic Republic"/>
        <s v="Ministry of Finance of the Kingdom of Lesotho"/>
        <s v="Pact Lesotho"/>
        <s v="Ministry of Health and Social Welfare of the Republic of Liberia"/>
        <s v="Sécrétariat Exécutif du Comité National de Lutte Contre le VIH/SIDA de la République de Madagascar"/>
        <s v="Ministry of Public Health of the Republic of Madagascar"/>
        <s v="Office National de Nutrition"/>
        <s v="The Registered Trustees of the National AIDS Commission Trust of the Republic of Malawi"/>
        <s v="Ministry of Health of the Republic of Malawi"/>
        <s v="World Vision Malawi"/>
        <s v="ActionAid International Malawi"/>
        <s v="Malaysian AIDS Council"/>
        <s v="National High Council for the Fight against AIDS"/>
        <s v="The Ministry of Health of the Republic of Mali"/>
        <s v="Secrétariat Exécutif National de Lutte contre le SIDA de la République Islamique de Mauritanie"/>
        <s v="Ministry of Health and Quality of Life (implementing through the National AIDS Secretariat) of the Republic of Mauritius"/>
        <s v="Prévention Information Lutte contre le Sida"/>
        <s v="Public Institution - Coordination, Implementation and Monitoring Unit of the Health System Projects"/>
        <s v="Center for Health Policies and Studies"/>
        <s v="Ministry of Health of Mongolia"/>
        <s v="Ministry of Health of Montenegro"/>
        <s v="Ministry of Health of the Kingdom of Morocco"/>
        <s v="Fundação para o Desenvolvimento da Comunidade"/>
        <s v="Ministry of Health of Mozambique"/>
        <s v="World Vision Mozambique"/>
        <s v="Centro de Colaboração em Saúde"/>
        <s v="United Nations Office for Project Services Head Quarters"/>
        <s v="Namibia Network of AIDS Service Organizations"/>
        <s v="Ministry of Health and Social Services of Namibia"/>
        <s v="The Ministry of Health and Population of Nepal"/>
        <s v="World Vision International para Nicaragua"/>
        <s v="Federación Red NICASALUD"/>
        <s v="Cellule Nationale de Coordination Technique de la Riposte Nationale au Sida et aux Hépatites"/>
        <s v="Ministry of Public Health of Niger"/>
        <s v="Family Health International (FHI360)"/>
        <s v="National Agency for the Control of AIDS"/>
        <s v="Society For Family Health"/>
        <s v="National Malaria Elimination Programme of the Federal Ministry of Health of the Federal Republic of Nigeria"/>
        <s v="Lagos State Ministry of Health"/>
        <s v="Management Sciences for Health"/>
        <s v="Association For Reproductive And Family Health"/>
        <s v="Institute of Human Virology Nigeria"/>
        <s v="National Tuberculosis &amp; Leprosy Control Programme"/>
        <s v="Ministry of National Health Services, Regulations and Coordination of Pakistan"/>
        <s v="Nai Zindagi"/>
        <s v="Directorate of Malaria Control, Ministry of National Health Services, Regulations and Coordination of Pakistan"/>
        <s v="The Indus Hospital"/>
        <s v="Mercy Corps"/>
        <s v="National TB Control Programme Pakistan"/>
        <s v="The Rotary Club of Port Moresby Inc."/>
        <s v="World Vision (PNG) Trust"/>
        <s v="Centro de Información y Recursos para el Desarrollo"/>
        <s v="Alter Vida - Centro de Estudios y Formación para el Ecodesarrollo"/>
        <s v="CARE Peru"/>
        <s v="Pathfinder International"/>
        <s v="Socios en Salud sucursal Peru"/>
        <s v="Pilipinas Shell Foundation, Inc."/>
        <s v="Philippine Business for Social Progress, Inc."/>
        <s v="Ministry of Health of Romania"/>
        <s v="Ministry of Health of the Republic of Rwanda"/>
        <s v="Alliance Nationale des Communautés pour la Santé - Sénégal"/>
        <s v="Conseil National de Lutte contre le SIDA de la République du Sénégal"/>
        <s v="Ministry of Health, Prevention and Public Hygiene of the Republic of Senegal - AIDS Division"/>
        <s v="Ministry of Health and Social Action of the Republic of Senegal"/>
        <s v="Ministry of Health of Republic of Serbia"/>
        <s v="National HIV/AIDS Secretariat"/>
        <s v="Ministry of Health and Sanitation of Sierra Leone"/>
        <s v="Solomon Islands Ministry of Health and Medical Services"/>
        <s v="World Vision Somalia"/>
        <s v="AIDS Foundation South Africa"/>
        <s v="Beyond Zero NPC"/>
        <s v="Kheth'Impilo AIDS Free Living"/>
        <s v="KwaZulu Natal Provincial Treasury"/>
        <s v="National Department of Health of the Republic of South Africa"/>
        <s v="Networking HIV, AIDS Community of South Africa NPC"/>
        <s v="Western Cape Government: Health"/>
        <s v="Ministry of Health and Indigenous Medical Services of the Democratic Socialist Republic of Sri Lanka"/>
        <s v="The Family Planning Association of Sri Lanka"/>
        <s v="Federal Ministry of Health of the Republic of Sudan"/>
        <s v="Ministry of Health of the Republic of Suriname"/>
        <s v="Republican Center of Tuberculosis Control - Tajikistan"/>
        <s v="Ministry of Finance and Planning of the United Republic of Tanzania"/>
        <s v="Amref Health Africa, Tanzania"/>
        <s v="Department of Disease Control, Ministry of Public Health of the Royal Government of Thailand"/>
        <s v="Raks Thai Foundation"/>
        <s v="Ministry of Health of the Democratic Republic of Timor-Leste"/>
        <s v="Primature de la République Togolaise"/>
        <s v="Office National de la Famille et de la Population de la République de Tunisie"/>
        <s v="Basic Health Care Directorate"/>
        <s v="Ministry of Finance, Planning and Economic Development of the Republic of Uganda"/>
        <s v="The AIDS Support Organisation (Uganda) Limited"/>
        <s v="Charitable Organization &quot;All-Ukrainian Network of People Living with HIV/AIDS&quot;"/>
        <s v="International Charitable Foundation “Alliance for Public Health”"/>
        <s v="State Institution &quot;Public Health Center of the Ministry of Health of Ukraine&quot;"/>
        <s v="Republican Center to Fight AIDS"/>
        <s v="Republican Center of State Sanitary-Epidemiological Surveillance of the Republic of Uzbekistan"/>
        <s v="Republican DOTS Centre Ministry of Health of the Republic of Uzbekistan"/>
        <s v="Viet Nam Authority of HIV/AIDS Control"/>
        <s v="Viet Nam Union of Science and Technology Associations"/>
        <s v="Viet Nam National Lung Hospital"/>
        <s v="The National Tuberculosis Control Program"/>
        <s v="Churches Health Association of Zambia"/>
        <s v="Ministry of Health of the Republic of Zambia"/>
        <s v="Ministry of Health of the Revolutionary Government of Zanzibar"/>
        <s v="The Ministry of Health and Child Care of the Republic of Zimbabwe"/>
        <s v="Non-Profit Association &quot;Southern Africa Malaria Elimination Eight Initiative Sectretariat&quot;" u="1"/>
        <s v="Wits Health Consortium (Pty) Ltd" u="1"/>
        <s v="International Organization for Migration" u="1"/>
        <s v="East, Central and Southern Africa Health Community" u="1"/>
        <s v="Caribbean Vulnerable Communities Coalition" u="1"/>
        <s v="Lubombo Spatial Development Initiative 2 NPC" u="1"/>
        <s v="Inter-American Development Bank" u="1"/>
        <s v="Caribbean Community Secretariat" u="1"/>
        <s v="Public Institution - Coordination, Implementation and Monitoring Unit of the Health  System Projects" u="1"/>
        <s v="International Treatment Preparedness Coalition" u="1"/>
        <s v="Australian Federation Of AIDS Organisations Limited" u="1"/>
        <s v="Handicap International Federation" u="1"/>
        <s v="RSE on REU “National Scientific Center of Phthisiopulmonology of the Republic of  Kazakhstan” of the Ministry of Health of the Republic of  Kazakhstan" u="1"/>
        <s v="African Network for the Care of Children Affected by HIV/AIDS" u="1"/>
        <s v="Republican DOTS Centre  Ministry of Health of the Republic of Uzbekistan" u="1"/>
        <s v="Southern African Development Community Secretariat" u="1"/>
        <s v="Eurasian Coalition on Male Health" u="1"/>
        <s v="ICO East Europe and Central Asia Union of People Living with HIV" u="1"/>
        <s v="Frontline AIDS" u="1"/>
        <s v="Secretaría de la Integración Social Centroamericana" u="1"/>
        <s v="Ministry of Health and Wellness,  Jamaica" u="1"/>
        <s v="Organismo Andino de Salud - Convenio Hipólito Unanue" u="1"/>
        <s v="Partners In Health" u="1"/>
        <s v="Abidjan-Lagos Corridor Organization" u="1"/>
        <s v="Organisation of Eastern Caribbean States" u="1"/>
        <s v="Intergovernmental Authority on Development" u="1"/>
      </sharedItems>
    </cacheField>
    <cacheField name="GOSGrantID" numFmtId="0">
      <sharedItems containsBlank="1"/>
    </cacheField>
    <cacheField name="GrantName" numFmtId="0">
      <sharedItems containsBlank="1" count="465">
        <s v="AFG-708-G04-H"/>
        <s v="AFG-H-UNDP"/>
        <s v="AFG-M-UNDP"/>
        <s v="AFG-T-MOPH"/>
        <s v="AFG-T-UNDP"/>
        <s v="ALB-C-MOH"/>
        <s v="DZA-H-MOH"/>
        <m/>
        <s v="AGO-H-UNDP"/>
        <s v="AGO-M-MOH"/>
        <s v="AGO-M-WVI"/>
        <s v="AGO-Z-UNDP"/>
        <s v="AGO-911-G05-T"/>
        <s v="AGO-T-MOH"/>
        <s v="ARM-H-MOH"/>
        <s v="ARM-C-MOH"/>
        <s v="AZE-H-MOH"/>
        <s v="AZE-C-MOH"/>
        <s v="AZE-T-MOH"/>
        <s v="BGD-H-NASP"/>
        <s v="BGD-H-ICDDRB"/>
        <s v="BGD-H-SC"/>
        <s v="BGD-M-BRAC"/>
        <s v="BGD-M-NMCP"/>
        <s v="BGD-T-BRAC"/>
        <s v="BGD-T-NTP"/>
        <s v="BLR-C-RSPCMT"/>
        <s v="BLR-T-RSPCMT"/>
        <s v="BLZ-C-UNDP"/>
        <s v="BEN-H-PlanBen"/>
        <s v="BEN-H-PSLS"/>
        <s v="BEN-M-PNLP"/>
        <s v="BEN-S-CNLS-TP"/>
        <s v="BEN-S-PRPSS"/>
        <s v="BEN-T-PNT"/>
        <s v="BTN-H-MOH"/>
        <s v="BTN-M-MOH"/>
        <s v="BTN-T-MOH"/>
        <s v="BOL-H-HIVOS"/>
        <s v="BOL-M-UNDP"/>
        <s v="BOL-T-UNDP"/>
        <s v="BWA-M-BMOH"/>
        <s v="BWA-C-ACHAP"/>
        <s v="BWA-C-BMoH"/>
        <s v="BFA-H-SPCNLS"/>
        <s v="BFA-M-PADS"/>
        <s v="BUR-809-G08-M"/>
        <s v="BFA-C-IPC"/>
        <s v="BFA-T-PADS"/>
        <s v="BDI-H-PNLS"/>
        <s v="BRN-809-G07-H"/>
        <s v="BRN-813-G11-H"/>
        <s v="BDI-M-PNILP"/>
        <s v="BDI-M-SEPCNLS"/>
        <s v="BDI-M-UNDP"/>
        <s v="BDI-C-UNDP"/>
        <s v="BDI-T-PNILT"/>
        <s v="BRN-708-G06-T"/>
        <s v="CPV-Z-CCSSIDA"/>
        <s v="KHM-C-MEF"/>
        <s v="KHM-S-MEF"/>
        <s v="CMR-H-CMF"/>
        <s v="CMR-H-MOH"/>
        <s v="CMR-011-G11-H"/>
        <s v="CMR-M-MOH"/>
        <s v="CMR-C-CMF"/>
        <s v="CMR-T-MOH"/>
        <s v="CAF-708-G05-H"/>
        <s v="CAF-M-WVI"/>
        <s v="CAF-C-CRF"/>
        <s v="CAF-911-G09-T"/>
        <s v="TCD-810-G04-H"/>
        <s v="TCD-810-G05-H"/>
        <s v="TCD-H-FOSAP"/>
        <s v="TCD-H-MOH"/>
        <s v="TCD-810-G06-H"/>
        <s v="TCD-T13-G09-M"/>
        <s v="TCD-M-UNDP"/>
        <s v="TCD-810-G07-T"/>
        <s v="TCD-T-FOSAP"/>
        <s v="TCD-T-MOH"/>
        <s v="COL-H-ENTerritorio"/>
        <s v="COM-H-DNLS"/>
        <s v="COM-910-G04-H"/>
        <s v="COM-810-G03-M"/>
        <s v="COM-M-PNLP"/>
        <s v="COM-T-ASCOBEF"/>
        <s v="COM-T-PNLT"/>
        <s v="COG-H-CRF"/>
        <s v="COG-M-CRS"/>
        <s v="COG-C-CRF"/>
        <s v="COG-T-MSP"/>
        <s v="COD-H-MOH"/>
        <s v="COD-H-SANRU"/>
        <s v="COD-H-CORDAID"/>
        <s v="COD-M-MOH"/>
        <s v="ZAR-M-MOH"/>
        <s v="COD-M-PSI"/>
        <s v="COD-M-SANRU"/>
        <s v="ZAR-S-MOH"/>
        <s v="COD-C-CORDAID"/>
        <s v="COD-T-MOH"/>
        <s v="ZAR-911-G13-T"/>
        <s v="CRI-H-HIVOS"/>
        <s v="CIV-910-G13-H"/>
        <s v="CIV-H-ACI"/>
        <s v="CIV-H-MOH"/>
        <s v="CIV-M-MOH"/>
        <s v="CIV-M-SCI"/>
        <s v="CIV-C-ACI"/>
        <s v="CIV-T-ACI"/>
        <s v="CIV-T-MOH"/>
        <s v="CUB-H-UNDP"/>
        <s v="DJI-M-UNDP"/>
        <s v="DJI-C-UNDP"/>
        <s v="DOM-H-CONAVIH"/>
        <s v="DOM-H-IDCP"/>
        <s v="DOM-T-MSPAS"/>
        <s v="ECU-H-KIMI"/>
        <s v="ECU-H-MOH"/>
        <s v="EGY-C-UNDP"/>
        <s v="SLV-H-MOH"/>
        <s v="SLV-M-MOH"/>
        <s v="SLV-T-MOH"/>
        <s v="GNQ-506-G02-M"/>
        <s v="ERI-H-MOH"/>
        <s v="ERI-M-MOH"/>
        <s v="ERI-T-MOH"/>
        <s v="SWZ-H-CANGO"/>
        <s v="SWZ-H-NERCHA"/>
        <s v="SWZ-M-NERCHA"/>
        <s v="SWZ-C-CANGO"/>
        <s v="SWZ-C-NERCHA"/>
        <s v="SWZ-T-NERCHA"/>
        <s v="ETH-H-HAPCO"/>
        <s v="ETH-M-FMOH"/>
        <s v="ETH-M-UNICEF"/>
        <s v="ETH-S-FMOH"/>
        <s v="ETH-T-FMOH"/>
        <s v="FJI-T-MHMS"/>
        <s v="GAB-T-CERMEL"/>
        <s v="GAB-T-MSPS"/>
        <s v="GMB-H-ActionAid"/>
        <s v="GMB-H-NAS"/>
        <s v="GMB-M-CRS"/>
        <s v="GMB-M-MOH"/>
        <s v="GMB-C-AAITG"/>
        <s v="GMB-C-NAS"/>
        <s v="GEO-H-NCDC"/>
        <s v="GEO-T-NCDC"/>
        <s v="GHA-H-GAC"/>
        <s v="GHA-H-MOH"/>
        <s v="GHA-H-WAPCAS"/>
        <s v="GHA-M-AGAMal"/>
        <s v="GHA-M-MOH"/>
        <s v="GHA-C-MOH"/>
        <s v="GHA-T-MOH"/>
        <s v="GTM-H-INCAP"/>
        <s v="GTM-M-MSPAS"/>
        <s v="GTM-T-MSPAS"/>
        <s v="GIN-H-CNLS"/>
        <s v="GIN-H-MOH"/>
        <s v="GIN-M-CRS"/>
        <s v="GIN-C-PLAN"/>
        <s v="GNB-708-G05-H"/>
        <s v="GNB-H-SNLS"/>
        <s v="GNB-M-UNDP"/>
        <s v="GNB-C-MOH"/>
        <s v="GNB-T-MINSAP"/>
        <s v="GYA-304-G01-H"/>
        <s v="GUY-H-MOH"/>
        <s v="GUY-M-MOH"/>
        <s v="GUY-T-MOH"/>
        <s v="HTI-M-PSI"/>
        <s v="HTI-M-UNDP"/>
        <s v="HTI-S-UGP"/>
        <s v="HTI-C-PSI"/>
        <s v="HTI-C-WV"/>
        <s v="HND-H-CHF"/>
        <s v="HND-M-CHF"/>
        <s v="HND-C-CHF"/>
        <s v="HND-T-UAFCE"/>
        <s v="IND-H-NACO"/>
        <s v="IND-H-IHAA"/>
        <s v="IND-H-PLAN"/>
        <s v="IND-H-SAATHII"/>
        <s v="IND-M-NVBDCP"/>
        <s v="IND-C-WJCF"/>
        <s v="IND-T-CHRI"/>
        <s v="IND-T-CTD"/>
        <s v="IND-T-FIND"/>
        <s v="IND-T-IBRD"/>
        <s v="IND-T-IUATLD"/>
        <s v="IDN-H-MOH"/>
        <s v="IND-H-IPPA"/>
        <s v="IDN-H-SPIRITI"/>
        <s v="IDN-M-MOH"/>
        <s v="IDN-M-PERDHAK"/>
        <s v="IDN-T-AISYIYA"/>
        <s v="IDN-T-MOH"/>
        <s v="IRN-H-UNDP"/>
        <s v="JAM-H-MOH"/>
        <s v="KAZ-H-RAC"/>
        <s v="KAZ-T-NCTP"/>
        <s v="KEN-H-KRCS"/>
        <s v="KEN-H-TNT"/>
        <s v="KEN-M-AMREF"/>
        <s v="KEN-M-TNT"/>
        <s v="KEN-T-AMREF"/>
        <s v="KEN-T-TNT"/>
        <s v="PRK-Z-UNICEF"/>
        <s v="QNA-H-CDF"/>
        <s v="QNA-T-CDF"/>
        <s v="KGZ-C-UNDP"/>
        <s v="LAO-H-GFMOH"/>
        <s v="LAO-M-GFMOH"/>
        <s v="LAO-C-MOH"/>
        <s v="LAO-T-GFMOH"/>
        <s v="LSO-C-MOF"/>
        <s v="LSO-C-PACT"/>
        <s v="LBR-810-G07-H"/>
        <s v="LBR-H-PSI"/>
        <s v="LBR-M-MOH"/>
        <s v="LBR-M-PII"/>
        <s v="LBR-C-MOH"/>
        <s v="LBR-C-PLAN"/>
        <s v="LBR-T-MOH"/>
        <s v="MDG-H-PSI"/>
        <s v="MDG-H-SECNLS"/>
        <s v="MDG-M-MOH"/>
        <s v="MDG-M-PSI"/>
        <s v="MDG-T-CRS"/>
        <s v="MDG-T-ONN"/>
        <s v="MLW-H-NAC"/>
        <s v="MWI-M-MOH"/>
        <s v="MWI-M-WVM"/>
        <s v="MWI-C-AA"/>
        <s v="MWI-C-MOH"/>
        <s v="MWI-C-WVM"/>
        <s v="MYS-H-MAC"/>
        <s v="MAL-809-G08-H"/>
        <s v="MAL-405-G02-H"/>
        <s v="MLI-H-HCNLS"/>
        <s v="MLI-H-PLAN"/>
        <s v="MLI-M-PSI"/>
        <s v="MLI-C-MOH"/>
        <s v="MLI-S-MOH"/>
        <s v="MLI-T-CRS"/>
        <s v="MRT-H-SENLS"/>
        <s v="MRT-M-SENLS"/>
        <s v="MRT-Z-SENLS"/>
        <s v="MRT-T-SENLS"/>
        <s v="MUS-H-NAS"/>
        <s v="MUS-H-PILS"/>
        <s v="MDA-C-PCIMU"/>
        <s v="MDA-T-PAS"/>
        <s v="MNG-H-MOH"/>
        <s v="MNG-C-MOH"/>
        <s v="MNG-T-MOH"/>
        <s v="MNE-H-MoH"/>
        <s v="MAR-H-MOH"/>
        <s v="MAR-C-MOH"/>
        <s v="MAR-S-MOH"/>
        <s v="MAR-T-MOH"/>
        <s v="MOZ-H-FDC"/>
        <s v="MOZ-H-MOH"/>
        <s v="MOZ-M-MOH"/>
        <s v="MOZ-M-WV"/>
        <s v="MOZ-C-CCS"/>
        <s v="MOZ-C-FDC"/>
        <s v="MOZ-809-G08-S"/>
        <s v="MOZ-T-MOH"/>
        <s v="MOZ-708-G07-T"/>
        <s v="MMR-H-SCF"/>
        <s v="MMR-H-UNOPS"/>
        <s v="MMR-T-SCF"/>
        <s v="MMR-T-UNOPS"/>
        <s v="NMB-202-G07-H"/>
        <s v="NAM-M-MOH"/>
        <s v="NAM-C-MOH"/>
        <s v="NAM-Z-MOH"/>
        <s v="NAM-C-NANASO"/>
        <s v="NPL-H-SCF"/>
        <s v="NEP-H-NCASC"/>
        <s v="NPL-M-SCF"/>
        <s v="NEP-M-EDCD"/>
        <s v="NPL-T-SCF"/>
        <s v="NEP-T-NTC"/>
        <s v="NIC-H-WVI"/>
        <s v="NIC-M-REDNICA"/>
        <s v="NIC-T-WVI"/>
        <s v="NER-H-CNCTRN"/>
        <s v="NER-H-MSP"/>
        <s v="NER-M-CRS"/>
        <s v="NGR-506-G04-M"/>
        <s v="NER-T-MSP"/>
        <s v="NER-T-SCF"/>
        <s v="NGR-506-G05-T"/>
        <s v="NGA-H-FHI360"/>
        <s v="NGA-H-NACA"/>
        <s v="NGA-H-SFHNG"/>
        <s v="NGA-M-CRS"/>
        <s v="NGA-M-NMEP"/>
        <s v="NGA-C-LSMOH"/>
        <s v="NGA-S-MSH"/>
        <s v="NGA-T-ARFH"/>
        <s v="NGA-T-IHVN"/>
        <s v="NGA-T-LSMOH"/>
        <s v="NGA-T-NTBLCP"/>
        <s v="PAK-H-NACP"/>
        <s v="PAK-H-NZT"/>
        <s v="PAK-M-DOMC"/>
        <s v="PAK-M-TIH"/>
        <s v="PAK-S-HPSIU"/>
        <s v="PAK-T-MC"/>
        <s v="PAK-T-NTP"/>
        <s v="PAK-T-TIH"/>
        <s v="PAN-C-UNDP"/>
        <s v="PNG-M-RAM"/>
        <s v="PNG-C-WV"/>
        <s v="PRY-H-CIRD"/>
        <s v="PRY-T-AV"/>
        <s v="PER-H-CARE"/>
        <s v="PER-H-PATH"/>
        <s v="PER-T-SES"/>
        <s v="PHL-H-PSFI"/>
        <s v="PHL-H-SC"/>
        <s v="PHL-M-PSFI"/>
        <s v="PHL-T-PBSP"/>
        <s v="ROU-T-MOH"/>
        <s v="RWA-H-MOH"/>
        <s v="RWA-M-MOH"/>
        <s v="RWA-C-MOH"/>
        <s v="RWA-T-MOH"/>
        <s v="STP-Z-UNDP"/>
        <s v="SEN-H-ANCS"/>
        <s v="SEN-H-CNLS"/>
        <s v="SNG-H-DLSI"/>
        <s v="SEN-M-PNLP"/>
        <s v="SEN-S-MOH"/>
        <s v="SEN-Z-MOH"/>
        <s v="SNG-T-PNT"/>
        <s v="SRB-H-MOH"/>
        <s v="SLE-H-NAS"/>
        <s v="SLE-M-CRS"/>
        <s v="SLE-M-MOHS"/>
        <s v="SLE-Z-MOHS"/>
        <s v="SLB-M-MHMS"/>
        <s v="SLB-C-MOH"/>
        <s v="SLB-T-MOH"/>
        <s v="SOM-H-UNICEF"/>
        <s v="SOM-M-UNICEF"/>
        <s v="SOM-T-WV"/>
        <s v="ZAF-C-AFSA"/>
        <s v="ZAF-C-BZ"/>
        <s v="ZAF-C-KHETH"/>
        <s v="ZAF-C-KZN"/>
        <s v="ZAF-C-NDOH"/>
        <s v="ZAF-C-NACOSA"/>
        <s v="ZAF-C-WCDOH"/>
        <s v="SSD-H-UNDP"/>
        <s v="SSD-M-PSI"/>
        <s v="SSD-C-UNDP"/>
        <s v="SSD-T-UNDP"/>
        <s v="LKA-H-MOH"/>
        <s v="LKA-H-FPA"/>
        <s v="LKA-M-MOH"/>
        <s v="LKA-T-MOH"/>
        <s v="SDN-H-UNDP"/>
        <s v="SUD-011-G15-H"/>
        <s v="SDN-M-MOH"/>
        <s v="SDN-M-UNDP"/>
        <s v="SUD-011-G16-M"/>
        <s v="SUD-708-G10-M"/>
        <s v="SDN-S-FMOH"/>
        <s v="SUD-T-UNDP"/>
        <s v="SDN-T-UNDP"/>
        <s v="SUR-M-MoH"/>
        <s v="SUR-C-MOH"/>
        <s v="TJK-H-UNDP"/>
        <s v="TJK-C-UNDP"/>
        <s v="TJK-T-RCTC"/>
        <s v="TZA-H-MOF"/>
        <s v="TNZ-405-G06-H"/>
        <s v="TZA-M-MOFP"/>
        <s v="TZA-C-Amref"/>
        <s v="TZA-C-STC"/>
        <s v="TZA-T-MOF"/>
        <s v="THA-C-DDC"/>
        <s v="THA-C-RTF"/>
        <s v="TLS-H-MOH"/>
        <s v="TLS-M-MOH"/>
        <s v="TLS-T-MOH"/>
        <s v="TGO-H-PMT"/>
        <s v="TGO-M-PMT"/>
        <s v="TGO-T-PMT"/>
        <s v="TUN-H-ONFP"/>
        <s v="TUN-607-G01-H"/>
        <s v="TUN-810-G02-T"/>
        <s v="TKM-T-UNDP"/>
        <s v="UGA-H-MoFPED"/>
        <s v="UGA-M-MoFPED"/>
        <s v="UGA-M-TASO"/>
        <s v="UGA-C-TASO"/>
        <s v="UGA-S-TASO"/>
        <s v="UGA-T-MoFPED"/>
        <s v="UKR-C-AUN"/>
        <s v="UKR-C-AUA"/>
        <s v="UKR-C-PHC"/>
        <s v="UZB-H-RAC"/>
        <s v="UZB-M-RCSSES"/>
        <s v="UZB-T-RDC"/>
        <s v="VNM-H-VAAC"/>
        <s v="VNM-H-VUSTA"/>
        <s v="VNM-T-NTP"/>
        <s v="YEM-911-G07-T"/>
        <s v="ZAM-H-UNDP"/>
        <s v="ZMB-M-CHAZ"/>
        <s v="ZMB-M-MOH"/>
        <s v="ZMB-C-CHAZ"/>
        <s v="ZMB-C-MOH"/>
        <s v="QNB-M-MoH"/>
        <s v="QNB-C-MOH"/>
        <s v="ZWE-H-UNDP"/>
        <s v="ZWE-M-MOHCC"/>
        <s v="ZWE-T-MOHCC"/>
        <s v="QSA-H-IHAA" u="1"/>
        <s v="QMZ-H-ECOM" u="1"/>
        <s v="QPA-T-IGAD" u="1"/>
        <s v="QMZ-H-AUA" u="1"/>
        <s v="QUA-M-UNDP" u="1"/>
        <s v="QRB-C-OECS" u="1"/>
        <s v="QSE-M-UNOPS" u="1"/>
        <s v="QRA-T-PIH" u="1"/>
        <s v="QPA-H-HIVOS" u="1"/>
        <s v="QPA-T-WHC" u="1"/>
        <s v="QSE-H-AFAO" u="1"/>
        <s v="QRA-H-CVC" u="1"/>
        <s v="QPA-H-UNDP" u="1"/>
        <s v="QMZ-H-ECUO" u="1"/>
        <s v="QMZ-H-FA" u="1"/>
        <s v="QMZ-T-PAS" u="1"/>
        <s v="QPA-M-LSDI" u="1"/>
        <s v="QSA-H-SCF" u="1"/>
        <s v="QPA-M-E8S" u="1"/>
        <s v="QRA-T-ORAS" u="1"/>
        <s v="QMZ-T-UNOPS" u="1"/>
        <s v="QMZ-T-PNT" u="1"/>
        <s v="QMZ-T-UNDP" u="1"/>
        <s v="QRA-H-HIVOS2" u="1"/>
        <s v="QPF-H-HandINT" u="1"/>
        <s v="QPA-H-SADC" u="1"/>
        <s v="QPF-C-ANCS" u="1"/>
        <s v="QMZ-C-APH" u="1"/>
        <s v="QUA-C-UNDP" u="1"/>
        <s v="QRA-H-CARICOM" u="1"/>
        <s v="QPA-C-IGAD" u="1"/>
        <s v="QRA-M-IDB" u="1"/>
        <s v="QPA-H-ANECCA" u="1"/>
        <s v="QMZ-H-AFAO" u="1"/>
        <s v="QPF-H-ITPC" u="1"/>
        <s v="QSF-Z-IOM" u="1"/>
        <s v="QPA-T-ECSA" u="1"/>
        <s v="QRC-H-SISCA" u="1"/>
        <s v="QPF-H-ALCO" u="1"/>
      </sharedItems>
    </cacheField>
    <cacheField name="Combi" numFmtId="0" formula="Country&amp;Component&amp;'PR Organization'"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ONDOS EXTERNOS" refreshedDate="44232.822916666664" createdVersion="6" refreshedVersion="6" minRefreshableVersion="3" recordCount="560" xr:uid="{00000000-000A-0000-FFFF-FFFF01000000}">
  <cacheSource type="worksheet">
    <worksheetSource ref="A1:BS561" sheet="Detailed Budget"/>
  </cacheSource>
  <cacheFields count="71">
    <cacheField name="S.No" numFmtId="0">
      <sharedItems containsString="0" containsBlank="1" containsNumber="1" containsInteger="1" minValue="1" maxValue="1121"/>
    </cacheField>
    <cacheField name="Module" numFmtId="0">
      <sharedItems count="10">
        <s v="Vector Control"/>
        <s v="Case management"/>
        <s v="Specific prevention interventions (SPI)"/>
        <s v="TB care and prevention"/>
        <s v="MDR-TB"/>
        <s v="Prevention"/>
        <s v="PMTCT"/>
        <s v="Differentiated HIV Testing Services"/>
        <s v="Treatment, care and support"/>
        <s v="COVID-19"/>
      </sharedItems>
    </cacheField>
    <cacheField name="Intervention en" numFmtId="0">
      <sharedItems count="31">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haredItems>
    </cacheField>
    <cacheField name="Activity Decsription" numFmtId="0">
      <sharedItems/>
    </cacheField>
    <cacheField name="Cost Input" numFmtId="0">
      <sharedItems count="27">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haredItems>
    </cacheField>
    <cacheField name="Implementer" numFmtId="1">
      <sharedItems containsNonDate="0" containsString="0" containsBlank="1"/>
    </cacheField>
    <cacheField name="Geography/Location" numFmtId="1">
      <sharedItems containsBlank="1"/>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165">
      <sharedItems containsBlank="1"/>
    </cacheField>
    <cacheField name="Y1 Unit Cost (Grant Currency)" numFmtId="165">
      <sharedItems containsBlank="1"/>
    </cacheField>
    <cacheField name="Q1 Quantity" numFmtId="2">
      <sharedItems containsBlank="1"/>
    </cacheField>
    <cacheField name="Q1 Cash Flows" numFmtId="165">
      <sharedItems containsSemiMixedTypes="0" containsString="0" containsNumber="1" containsInteger="1" minValue="0" maxValue="0"/>
    </cacheField>
    <cacheField name="Q2 Quantity" numFmtId="165">
      <sharedItems containsBlank="1"/>
    </cacheField>
    <cacheField name="Q2 Cash Flows" numFmtId="165">
      <sharedItems containsSemiMixedTypes="0" containsString="0" containsNumber="1" minValue="0" maxValue="380413.43999999994"/>
    </cacheField>
    <cacheField name="Q3 Quantity" numFmtId="165">
      <sharedItems containsBlank="1"/>
    </cacheField>
    <cacheField name="Q3 Cash Flow" numFmtId="165">
      <sharedItems containsSemiMixedTypes="0" containsString="0" containsNumber="1" minValue="0" maxValue="1136451"/>
    </cacheField>
    <cacheField name="Q4 Quantity" numFmtId="165">
      <sharedItems containsBlank="1"/>
    </cacheField>
    <cacheField name="Q4 Cash Flow" numFmtId="165">
      <sharedItems containsSemiMixedTypes="0" containsString="0" containsNumber="1" containsInteger="1" minValue="0" maxValue="0"/>
    </cacheField>
    <cacheField name="Y1 Total Quantity" numFmtId="165">
      <sharedItems containsNonDate="0" containsString="0" containsBlank="1"/>
    </cacheField>
    <cacheField name="Y1 Total Cash Outflow" numFmtId="165">
      <sharedItems containsSemiMixedTypes="0" containsString="0" containsNumber="1" minValue="0" maxValue="1516864.44"/>
    </cacheField>
    <cacheField name="Blank" numFmtId="165">
      <sharedItems containsNonDate="0" containsString="0" containsBlank="1"/>
    </cacheField>
    <cacheField name="Y2 Unit Cost (Payment Currency)" numFmtId="165">
      <sharedItems containsNonDate="0" containsString="0" containsBlank="1"/>
    </cacheField>
    <cacheField name="Y2 Unit Cost (Grant Currency)" numFmtId="165">
      <sharedItems containsNonDate="0" containsString="0" containsBlank="1"/>
    </cacheField>
    <cacheField name="Q5 Quantity" numFmtId="165">
      <sharedItems containsNonDate="0" containsString="0" containsBlank="1"/>
    </cacheField>
    <cacheField name="Q5 Cash Flow" numFmtId="165">
      <sharedItems containsSemiMixedTypes="0" containsString="0" containsNumber="1" containsInteger="1" minValue="0" maxValue="0"/>
    </cacheField>
    <cacheField name="Q6 Quantity" numFmtId="165">
      <sharedItems containsNonDate="0" containsString="0" containsBlank="1"/>
    </cacheField>
    <cacheField name="Q6 Cash Flow" numFmtId="165">
      <sharedItems containsSemiMixedTypes="0" containsString="0" containsNumber="1" minValue="0" maxValue="1644015.38"/>
    </cacheField>
    <cacheField name="Q7 Quantity" numFmtId="165">
      <sharedItems containsNonDate="0" containsString="0" containsBlank="1"/>
    </cacheField>
    <cacheField name="Q7 Cash Flow" numFmtId="165">
      <sharedItems containsSemiMixedTypes="0" containsString="0" containsNumber="1" containsInteger="1" minValue="0" maxValue="0"/>
    </cacheField>
    <cacheField name="Q8 Quantity" numFmtId="165">
      <sharedItems containsNonDate="0" containsString="0" containsBlank="1"/>
    </cacheField>
    <cacheField name="Q8 Cash Flow" numFmtId="165">
      <sharedItems containsSemiMixedTypes="0" containsString="0" containsNumber="1" containsInteger="1" minValue="0" maxValue="0"/>
    </cacheField>
    <cacheField name="Y2 Total Quantity" numFmtId="165">
      <sharedItems containsNonDate="0" containsString="0" containsBlank="1"/>
    </cacheField>
    <cacheField name="Y2 Total Cash Outflow" numFmtId="165">
      <sharedItems containsSemiMixedTypes="0" containsString="0" containsNumber="1" minValue="0" maxValue="1644015.38"/>
    </cacheField>
    <cacheField name="Blank2" numFmtId="165">
      <sharedItems containsNonDate="0" containsString="0" containsBlank="1"/>
    </cacheField>
    <cacheField name="Y3 Unit Cost (Payment Currency)" numFmtId="165">
      <sharedItems containsNonDate="0" containsString="0" containsBlank="1"/>
    </cacheField>
    <cacheField name="Y3 Unit Cost (Grant Currency)" numFmtId="165">
      <sharedItems containsNonDate="0" containsString="0" containsBlank="1"/>
    </cacheField>
    <cacheField name="Q9 Quantity" numFmtId="165">
      <sharedItems containsNonDate="0" containsString="0" containsBlank="1"/>
    </cacheField>
    <cacheField name="Q9 Cash Flow" numFmtId="165">
      <sharedItems containsSemiMixedTypes="0" containsString="0" containsNumber="1" containsInteger="1" minValue="0" maxValue="0"/>
    </cacheField>
    <cacheField name="Q10 Quantity" numFmtId="165">
      <sharedItems containsNonDate="0" containsString="0" containsBlank="1"/>
    </cacheField>
    <cacheField name="Q10 Cash Flow" numFmtId="165">
      <sharedItems containsSemiMixedTypes="0" containsString="0" containsNumber="1" minValue="0" maxValue="1789812.6"/>
    </cacheField>
    <cacheField name="Q11 Quantity" numFmtId="165">
      <sharedItems containsNonDate="0" containsString="0" containsBlank="1"/>
    </cacheField>
    <cacheField name="Q11 Cash Flow" numFmtId="165">
      <sharedItems containsSemiMixedTypes="0" containsString="0" containsNumber="1" containsInteger="1" minValue="0" maxValue="0"/>
    </cacheField>
    <cacheField name="Q12 Quantity" numFmtId="165">
      <sharedItems containsNonDate="0" containsString="0" containsBlank="1"/>
    </cacheField>
    <cacheField name="Q12 Cash Flow" numFmtId="165">
      <sharedItems containsSemiMixedTypes="0" containsString="0" containsNumber="1" containsInteger="1" minValue="0" maxValue="0"/>
    </cacheField>
    <cacheField name="Y3 Total Quantity" numFmtId="165">
      <sharedItems containsNonDate="0" containsString="0" containsBlank="1"/>
    </cacheField>
    <cacheField name="Y3 Total Cash Outflow" numFmtId="165">
      <sharedItems containsSemiMixedTypes="0" containsString="0" containsNumber="1" minValue="0" maxValue="1789812.6"/>
    </cacheField>
    <cacheField name="Blank 3" numFmtId="165">
      <sharedItems containsNonDate="0" containsString="0" containsBlank="1"/>
    </cacheField>
    <cacheField name="Y4 Unit Cost (Payment Currency)" numFmtId="165">
      <sharedItems containsNonDate="0" containsString="0" containsBlank="1"/>
    </cacheField>
    <cacheField name="Y4 Unit Cost (Grant Currency)" numFmtId="165">
      <sharedItems containsNonDate="0" containsString="0" containsBlank="1"/>
    </cacheField>
    <cacheField name="Q13 Quantity" numFmtId="165">
      <sharedItems containsNonDate="0" containsString="0" containsBlank="1"/>
    </cacheField>
    <cacheField name="Q13 Cash Flow" numFmtId="165">
      <sharedItems containsString="0" containsBlank="1" containsNumber="1" containsInteger="1" minValue="0" maxValue="0"/>
    </cacheField>
    <cacheField name="Q14 Quantity" numFmtId="165">
      <sharedItems containsString="0" containsBlank="1" containsNumber="1" containsInteger="1" minValue="0" maxValue="0"/>
    </cacheField>
    <cacheField name="Q14 Cash Flow" numFmtId="165">
      <sharedItems containsString="0" containsBlank="1" containsNumber="1" containsInteger="1" minValue="0" maxValue="0"/>
    </cacheField>
    <cacheField name="Q15 Quantity" numFmtId="165">
      <sharedItems containsString="0" containsBlank="1" containsNumber="1" containsInteger="1" minValue="0" maxValue="0"/>
    </cacheField>
    <cacheField name="Q15 Cash Flow" numFmtId="165">
      <sharedItems containsString="0" containsBlank="1" containsNumber="1" containsInteger="1" minValue="0" maxValue="0"/>
    </cacheField>
    <cacheField name="Q16 Quantity" numFmtId="165">
      <sharedItems containsString="0" containsBlank="1" containsNumber="1" containsInteger="1" minValue="0" maxValue="0"/>
    </cacheField>
    <cacheField name="Q16 Cash Flow" numFmtId="165">
      <sharedItems containsString="0" containsBlank="1" containsNumber="1" containsInteger="1" minValue="0" maxValue="0"/>
    </cacheField>
    <cacheField name="Y4 Total Quantity" numFmtId="165">
      <sharedItems containsString="0" containsBlank="1" containsNumber="1" containsInteger="1" minValue="0" maxValue="0"/>
    </cacheField>
    <cacheField name="Y4 Total Cash Outflow" numFmtId="165">
      <sharedItems containsString="0" containsBlank="1" containsNumber="1" containsInteger="1" minValue="0" maxValue="0"/>
    </cacheField>
    <cacheField name="Blank 4" numFmtId="165">
      <sharedItems containsNonDate="0" containsString="0" containsBlank="1"/>
    </cacheField>
    <cacheField name="Y1-4 Total  Quantity" numFmtId="165">
      <sharedItems containsString="0" containsBlank="1" containsNumber="1" containsInteger="1" minValue="0" maxValue="0"/>
    </cacheField>
    <cacheField name="Y1-4 Total Cash Outflow" numFmtId="165">
      <sharedItems containsSemiMixedTypes="0" containsString="0" containsNumber="1" minValue="0" maxValue="4950692.42"/>
    </cacheField>
    <cacheField name="Assumptions to Support Unit Cost" numFmtId="165">
      <sharedItems containsNonDate="0" containsString="0" containsBlank="1"/>
    </cacheField>
    <cacheField name="Justification/Comments" numFmtId="165">
      <sharedItems containsNonDate="0" containsString="0" containsBlank="1"/>
    </cacheField>
    <cacheField name="Key Population" numFmtId="165">
      <sharedItems containsBlank="1" containsMixedTypes="1" containsNumber="1" containsInteger="1" minValue="0" maxValue="0"/>
    </cacheField>
    <cacheField name="Component" numFmtId="165">
      <sharedItems/>
    </cacheField>
    <cacheField name="Activity Decsription Less Key Pops" numFmtId="165">
      <sharedItems count="32">
        <s v="Procurement of LLINs (or ITNs) for mass campaigns"/>
        <s v="PSM costs"/>
        <s v="Procurement of LLINs (or ITNs) for continuous distribution"/>
        <s v="Procurement of IRS insecticides"/>
        <s v="Procurement of IRS equipment, spare parts and accessories"/>
        <s v="Procurement of antimalaria medicines for treatment"/>
        <s v="Procurement of RDTs to diagnose malaria"/>
        <s v="Procurement of microscope equipment, spare parts and accessories"/>
        <s v="Procurement of other health equipment"/>
        <s v="Procurement of consumables"/>
        <s v="Procurement of laboratory reagents"/>
        <s v="Procurement of antimalaria medicines for prevention"/>
        <s v="Procurement of RDTs to diagnose TB"/>
        <s v="Procurement of TB Molecular Test equipment"/>
        <s v="Maintenance and service contracts"/>
        <s v="Treatment of drug-sensitive TB"/>
        <s v="Procurement of anti-TB medicines for prevention"/>
        <s v="Treatment of drug-resistant TB"/>
        <s v="Management of side-effects"/>
        <s v="Procurement of condoms &amp; lubricants"/>
        <s v="NSP for People who inject drugs and their partners"/>
        <s v="OST for People who inject drugs and their partners"/>
        <s v="Procurement of RDTs to diagnose HIV, co-infections, and co-morbidities"/>
        <s v="Procurement of Antiretroviral medicines"/>
        <s v="Procurement of CD4 machines and accessories"/>
        <s v="Procurement of VL machines and accessories"/>
        <s v="Procurement of OI and STI medicines"/>
        <s v="Procurement of other medicines"/>
        <s v="Procurement of medicines"/>
        <s v="Procurement of diagnostic reagents &amp; consumables"/>
        <s v="Procurement of PPE &amp; consumables"/>
        <s v="Procurement of medical &amp; laboratory equipment"/>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ONDOS EXTERNOS" refreshedDate="44232.914303587961" createdVersion="6" refreshedVersion="6" minRefreshableVersion="3" recordCount="560" xr:uid="{00000000-000A-0000-FFFF-FFFF02000000}">
  <cacheSource type="worksheet">
    <worksheetSource ref="A1:BR561" sheet="Detailed Budget"/>
  </cacheSource>
  <cacheFields count="70">
    <cacheField name="S.No" numFmtId="0">
      <sharedItems containsString="0" containsBlank="1" containsNumber="1" containsInteger="1" minValue="1" maxValue="1121"/>
    </cacheField>
    <cacheField name="Module" numFmtId="0">
      <sharedItems count="10">
        <s v="Vector Control"/>
        <s v="Case management"/>
        <s v="Specific prevention interventions (SPI)"/>
        <s v="TB care and prevention"/>
        <s v="MDR-TB"/>
        <s v="Prevention"/>
        <s v="PMTCT"/>
        <s v="Differentiated HIV Testing Services"/>
        <s v="Treatment, care and support"/>
        <s v="COVID-19"/>
      </sharedItems>
    </cacheField>
    <cacheField name="Intervention en" numFmtId="0">
      <sharedItems count="31">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haredItems>
    </cacheField>
    <cacheField name="Activity Decsription" numFmtId="0">
      <sharedItems/>
    </cacheField>
    <cacheField name="Cost Input" numFmtId="0">
      <sharedItems count="27">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haredItems>
    </cacheField>
    <cacheField name="Implementer" numFmtId="1">
      <sharedItems containsNonDate="0" containsString="0" containsBlank="1"/>
    </cacheField>
    <cacheField name="Geography/Location" numFmtId="1">
      <sharedItems containsBlank="1"/>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165">
      <sharedItems containsBlank="1"/>
    </cacheField>
    <cacheField name="Y1 Unit Cost (Grant Currency)" numFmtId="165">
      <sharedItems containsBlank="1"/>
    </cacheField>
    <cacheField name="Q1 Quantity" numFmtId="2">
      <sharedItems containsBlank="1"/>
    </cacheField>
    <cacheField name="Q1 Cash Flows" numFmtId="165">
      <sharedItems containsSemiMixedTypes="0" containsString="0" containsNumber="1" containsInteger="1" minValue="0" maxValue="0"/>
    </cacheField>
    <cacheField name="Q2 Quantity" numFmtId="165">
      <sharedItems containsBlank="1"/>
    </cacheField>
    <cacheField name="Q2 Cash Flows" numFmtId="165">
      <sharedItems containsSemiMixedTypes="0" containsString="0" containsNumber="1" minValue="0" maxValue="380413.43999999994"/>
    </cacheField>
    <cacheField name="Q3 Quantity" numFmtId="165">
      <sharedItems containsBlank="1"/>
    </cacheField>
    <cacheField name="Q3 Cash Flow" numFmtId="165">
      <sharedItems containsSemiMixedTypes="0" containsString="0" containsNumber="1" minValue="0" maxValue="1136451"/>
    </cacheField>
    <cacheField name="Q4 Quantity" numFmtId="165">
      <sharedItems containsBlank="1"/>
    </cacheField>
    <cacheField name="Q4 Cash Flow" numFmtId="165">
      <sharedItems containsSemiMixedTypes="0" containsString="0" containsNumber="1" containsInteger="1" minValue="0" maxValue="0"/>
    </cacheField>
    <cacheField name="Y1 Total Quantity" numFmtId="165">
      <sharedItems containsNonDate="0" containsString="0" containsBlank="1"/>
    </cacheField>
    <cacheField name="Y1 Total Cash Outflow" numFmtId="165">
      <sharedItems containsSemiMixedTypes="0" containsString="0" containsNumber="1" minValue="0" maxValue="1516864.44"/>
    </cacheField>
    <cacheField name="Blank" numFmtId="165">
      <sharedItems containsNonDate="0" containsString="0" containsBlank="1"/>
    </cacheField>
    <cacheField name="Y2 Unit Cost (Payment Currency)" numFmtId="165">
      <sharedItems containsNonDate="0" containsString="0" containsBlank="1"/>
    </cacheField>
    <cacheField name="Y2 Unit Cost (Grant Currency)" numFmtId="165">
      <sharedItems containsNonDate="0" containsString="0" containsBlank="1"/>
    </cacheField>
    <cacheField name="Q5 Quantity" numFmtId="165">
      <sharedItems containsNonDate="0" containsString="0" containsBlank="1"/>
    </cacheField>
    <cacheField name="Q5 Cash Flow" numFmtId="165">
      <sharedItems containsSemiMixedTypes="0" containsString="0" containsNumber="1" containsInteger="1" minValue="0" maxValue="0"/>
    </cacheField>
    <cacheField name="Q6 Quantity" numFmtId="165">
      <sharedItems containsNonDate="0" containsString="0" containsBlank="1"/>
    </cacheField>
    <cacheField name="Q6 Cash Flow" numFmtId="165">
      <sharedItems containsSemiMixedTypes="0" containsString="0" containsNumber="1" minValue="0" maxValue="1644015.38"/>
    </cacheField>
    <cacheField name="Q7 Quantity" numFmtId="165">
      <sharedItems containsNonDate="0" containsString="0" containsBlank="1"/>
    </cacheField>
    <cacheField name="Q7 Cash Flow" numFmtId="165">
      <sharedItems containsSemiMixedTypes="0" containsString="0" containsNumber="1" containsInteger="1" minValue="0" maxValue="0"/>
    </cacheField>
    <cacheField name="Q8 Quantity" numFmtId="165">
      <sharedItems containsNonDate="0" containsString="0" containsBlank="1"/>
    </cacheField>
    <cacheField name="Q8 Cash Flow" numFmtId="165">
      <sharedItems containsSemiMixedTypes="0" containsString="0" containsNumber="1" containsInteger="1" minValue="0" maxValue="0"/>
    </cacheField>
    <cacheField name="Y2 Total Quantity" numFmtId="165">
      <sharedItems containsNonDate="0" containsString="0" containsBlank="1"/>
    </cacheField>
    <cacheField name="Y2 Total Cash Outflow" numFmtId="165">
      <sharedItems containsSemiMixedTypes="0" containsString="0" containsNumber="1" minValue="0" maxValue="1644015.38"/>
    </cacheField>
    <cacheField name="Blank2" numFmtId="165">
      <sharedItems containsNonDate="0" containsString="0" containsBlank="1"/>
    </cacheField>
    <cacheField name="Y3 Unit Cost (Payment Currency)" numFmtId="165">
      <sharedItems containsNonDate="0" containsString="0" containsBlank="1"/>
    </cacheField>
    <cacheField name="Y3 Unit Cost (Grant Currency)" numFmtId="165">
      <sharedItems containsNonDate="0" containsString="0" containsBlank="1"/>
    </cacheField>
    <cacheField name="Q9 Quantity" numFmtId="165">
      <sharedItems containsNonDate="0" containsString="0" containsBlank="1"/>
    </cacheField>
    <cacheField name="Q9 Cash Flow" numFmtId="165">
      <sharedItems containsSemiMixedTypes="0" containsString="0" containsNumber="1" containsInteger="1" minValue="0" maxValue="0"/>
    </cacheField>
    <cacheField name="Q10 Quantity" numFmtId="165">
      <sharedItems containsNonDate="0" containsString="0" containsBlank="1"/>
    </cacheField>
    <cacheField name="Q10 Cash Flow" numFmtId="165">
      <sharedItems containsSemiMixedTypes="0" containsString="0" containsNumber="1" minValue="0" maxValue="1789812.6"/>
    </cacheField>
    <cacheField name="Q11 Quantity" numFmtId="165">
      <sharedItems containsNonDate="0" containsString="0" containsBlank="1"/>
    </cacheField>
    <cacheField name="Q11 Cash Flow" numFmtId="165">
      <sharedItems containsSemiMixedTypes="0" containsString="0" containsNumber="1" containsInteger="1" minValue="0" maxValue="0"/>
    </cacheField>
    <cacheField name="Q12 Quantity" numFmtId="165">
      <sharedItems containsNonDate="0" containsString="0" containsBlank="1"/>
    </cacheField>
    <cacheField name="Q12 Cash Flow" numFmtId="165">
      <sharedItems containsSemiMixedTypes="0" containsString="0" containsNumber="1" containsInteger="1" minValue="0" maxValue="0"/>
    </cacheField>
    <cacheField name="Y3 Total Quantity" numFmtId="165">
      <sharedItems containsNonDate="0" containsString="0" containsBlank="1"/>
    </cacheField>
    <cacheField name="Y3 Total Cash Outflow" numFmtId="165">
      <sharedItems containsSemiMixedTypes="0" containsString="0" containsNumber="1" minValue="0" maxValue="1789812.6"/>
    </cacheField>
    <cacheField name="Blank 3" numFmtId="165">
      <sharedItems containsNonDate="0" containsString="0" containsBlank="1"/>
    </cacheField>
    <cacheField name="Y4 Unit Cost (Payment Currency)" numFmtId="165">
      <sharedItems containsNonDate="0" containsString="0" containsBlank="1"/>
    </cacheField>
    <cacheField name="Y4 Unit Cost (Grant Currency)" numFmtId="165">
      <sharedItems containsNonDate="0" containsString="0" containsBlank="1"/>
    </cacheField>
    <cacheField name="Q13 Quantity" numFmtId="165">
      <sharedItems containsNonDate="0" containsString="0" containsBlank="1"/>
    </cacheField>
    <cacheField name="Q13 Cash Flow" numFmtId="165">
      <sharedItems containsString="0" containsBlank="1" containsNumber="1" containsInteger="1" minValue="0" maxValue="0"/>
    </cacheField>
    <cacheField name="Q14 Quantity" numFmtId="165">
      <sharedItems containsString="0" containsBlank="1" containsNumber="1" containsInteger="1" minValue="0" maxValue="0"/>
    </cacheField>
    <cacheField name="Q14 Cash Flow" numFmtId="165">
      <sharedItems containsString="0" containsBlank="1" containsNumber="1" containsInteger="1" minValue="0" maxValue="0"/>
    </cacheField>
    <cacheField name="Q15 Quantity" numFmtId="165">
      <sharedItems containsString="0" containsBlank="1" containsNumber="1" containsInteger="1" minValue="0" maxValue="0"/>
    </cacheField>
    <cacheField name="Q15 Cash Flow" numFmtId="165">
      <sharedItems containsString="0" containsBlank="1" containsNumber="1" containsInteger="1" minValue="0" maxValue="0"/>
    </cacheField>
    <cacheField name="Q16 Quantity" numFmtId="165">
      <sharedItems containsString="0" containsBlank="1" containsNumber="1" containsInteger="1" minValue="0" maxValue="0"/>
    </cacheField>
    <cacheField name="Q16 Cash Flow" numFmtId="165">
      <sharedItems containsString="0" containsBlank="1" containsNumber="1" containsInteger="1" minValue="0" maxValue="0"/>
    </cacheField>
    <cacheField name="Y4 Total Quantity" numFmtId="165">
      <sharedItems containsString="0" containsBlank="1" containsNumber="1" containsInteger="1" minValue="0" maxValue="0"/>
    </cacheField>
    <cacheField name="Y4 Total Cash Outflow" numFmtId="165">
      <sharedItems containsString="0" containsBlank="1" containsNumber="1" containsInteger="1" minValue="0" maxValue="0"/>
    </cacheField>
    <cacheField name="Blank 4" numFmtId="165">
      <sharedItems containsNonDate="0" containsString="0" containsBlank="1"/>
    </cacheField>
    <cacheField name="Y1-4 Total  Quantity" numFmtId="165">
      <sharedItems containsString="0" containsBlank="1" containsNumber="1" containsInteger="1" minValue="0" maxValue="0"/>
    </cacheField>
    <cacheField name="Y1-4 Total Cash Outflow" numFmtId="165">
      <sharedItems containsSemiMixedTypes="0" containsString="0" containsNumber="1" minValue="0" maxValue="4950692.42"/>
    </cacheField>
    <cacheField name="Assumptions to Support Unit Cost" numFmtId="165">
      <sharedItems containsNonDate="0" containsString="0" containsBlank="1"/>
    </cacheField>
    <cacheField name="Justification/Comments" numFmtId="165">
      <sharedItems containsBlank="1" longText="1"/>
    </cacheField>
    <cacheField name="Key Population" numFmtId="165">
      <sharedItems containsBlank="1" containsMixedTypes="1" containsNumber="1" containsInteger="1" minValue="0" maxValue="0" count="13">
        <n v="0"/>
        <s v="Men who have sex with men"/>
        <s v="Sex workers and their clients"/>
        <s v="Transgender people"/>
        <s v="People who inject drugs and their partners"/>
        <s v="People in prisons and other closed settings"/>
        <s v="Other vulnerable populations"/>
        <s v="Adolescent girls and young women in high prevalence settings"/>
        <s v="Men in high prevalence settings"/>
        <s v="Non-specified population groups"/>
        <s v="PMTCT"/>
        <s v="Partners of people living with HIV"/>
        <m/>
      </sharedItems>
    </cacheField>
    <cacheField name="Component" numFmtId="165">
      <sharedItems count="4">
        <s v="Malaria"/>
        <s v="TB"/>
        <s v="HIV"/>
        <s v="COVID"/>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6">
  <r>
    <s v="COVID"/>
    <x v="0"/>
    <x v="0"/>
    <s v="COVID Diagnostics reagents &amp; consumables"/>
    <x v="0"/>
    <x v="0"/>
    <s v="Other - Enter details in Comments"/>
    <n v="5.8"/>
    <s v="Pack"/>
    <m/>
  </r>
  <r>
    <s v="COVID"/>
    <x v="0"/>
    <x v="0"/>
    <s v="COVID Diagnostics reagents &amp; consumables"/>
    <x v="0"/>
    <x v="0"/>
    <s v="Sample collection kit: swab and viral transport medium"/>
    <n v="5.8"/>
    <s v="Pack"/>
    <m/>
  </r>
  <r>
    <s v="COVID"/>
    <x v="0"/>
    <x v="0"/>
    <s v="COVID Diagnostics reagents &amp; consumables"/>
    <x v="0"/>
    <x v="0"/>
    <s v="Xpert Nasopharyngeal swab collection kit 100"/>
    <n v="5.8"/>
    <s v="Pack"/>
    <m/>
  </r>
  <r>
    <s v="COVID"/>
    <x v="0"/>
    <x v="0"/>
    <s v="COVID Diagnostics reagents &amp; consumables"/>
    <x v="0"/>
    <x v="1"/>
    <s v="Abbott RealTime SARS-CoV-2 RT-PCR Kit 96 tests"/>
    <n v="5.6"/>
    <s v="Pack"/>
    <m/>
  </r>
  <r>
    <s v="COVID"/>
    <x v="0"/>
    <x v="0"/>
    <s v="COVID Diagnostics reagents &amp; consumables"/>
    <x v="0"/>
    <x v="1"/>
    <s v="Cobas SARS-CoV-2 RT-PCR Kit 96 tests"/>
    <n v="5.6"/>
    <s v="Pack"/>
    <m/>
  </r>
  <r>
    <s v="COVID"/>
    <x v="0"/>
    <x v="0"/>
    <s v="COVID Diagnostics reagents &amp; consumables"/>
    <x v="0"/>
    <x v="1"/>
    <s v="Other automated tests - please specify in the comments column"/>
    <n v="5.6"/>
    <s v="Pack"/>
    <m/>
  </r>
  <r>
    <s v="COVID"/>
    <x v="0"/>
    <x v="0"/>
    <s v="COVID Diagnostics reagents &amp; consumables"/>
    <x v="0"/>
    <x v="1"/>
    <s v="Other manual tests - please specify in the comments column"/>
    <n v="5.6"/>
    <s v="Pack"/>
    <m/>
  </r>
  <r>
    <s v="COVID"/>
    <x v="0"/>
    <x v="0"/>
    <s v="COVID Diagnostics reagents &amp; consumables"/>
    <x v="0"/>
    <x v="1"/>
    <s v="Panther Fusion SARS-CoV-2 Kit 96 tests"/>
    <n v="5.6"/>
    <s v="Pack"/>
    <m/>
  </r>
  <r>
    <s v="COVID"/>
    <x v="0"/>
    <x v="0"/>
    <s v="COVID Diagnostics reagents &amp; consumables"/>
    <x v="0"/>
    <x v="1"/>
    <s v="QIAstat-Dx Respiratory SARSCoV-2 Panel 6 tests"/>
    <n v="5.6"/>
    <s v="Pack"/>
    <m/>
  </r>
  <r>
    <s v="COVID"/>
    <x v="0"/>
    <x v="0"/>
    <s v="COVID Diagnostics reagents &amp; consumables"/>
    <x v="0"/>
    <x v="1"/>
    <s v="Xpert® Xpress SARS-CoV-2 10 tests"/>
    <n v="5.6"/>
    <s v="Pack"/>
    <m/>
  </r>
  <r>
    <s v="COVID"/>
    <x v="0"/>
    <x v="0"/>
    <s v="COVID Equipment"/>
    <x v="1"/>
    <x v="2"/>
    <s v="Equipment"/>
    <n v="6.6"/>
    <s v="Each"/>
    <m/>
  </r>
  <r>
    <s v="COVID"/>
    <x v="0"/>
    <x v="0"/>
    <s v="COVID Equipment"/>
    <x v="1"/>
    <x v="2"/>
    <s v="Spare parts and accessories"/>
    <n v="6.6"/>
    <s v="Each"/>
    <m/>
  </r>
  <r>
    <s v="COVID"/>
    <x v="0"/>
    <x v="0"/>
    <s v="COVID Equipment"/>
    <x v="1"/>
    <x v="2"/>
    <s v="Warranty, maintenance and service"/>
    <n v="6.5"/>
    <s v="Each"/>
    <m/>
  </r>
  <r>
    <s v="COVID"/>
    <x v="0"/>
    <x v="0"/>
    <s v="COVID Pharmaceuticals"/>
    <x v="2"/>
    <x v="3"/>
    <s v="0.5mg 1000"/>
    <n v="4.7"/>
    <s v="Pack"/>
    <m/>
  </r>
  <r>
    <s v="COVID"/>
    <x v="0"/>
    <x v="0"/>
    <s v="COVID Pharmaceuticals"/>
    <x v="2"/>
    <x v="3"/>
    <s v="4mg tablet 100"/>
    <n v="4.7"/>
    <s v="Pack"/>
    <m/>
  </r>
  <r>
    <s v="COVID"/>
    <x v="0"/>
    <x v="0"/>
    <s v="COVID Pharmaceuticals"/>
    <x v="2"/>
    <x v="3"/>
    <s v="4mg/ml vial 1ml ampoule 50"/>
    <n v="4.7"/>
    <s v="Pack"/>
    <m/>
  </r>
  <r>
    <s v="COVID"/>
    <x v="0"/>
    <x v="0"/>
    <s v="COVID Pharmaceuticals"/>
    <x v="2"/>
    <x v="3"/>
    <s v="5mg/ml 1ml ampoule 100"/>
    <n v="4.7"/>
    <s v="Pack"/>
    <m/>
  </r>
  <r>
    <s v="COVID"/>
    <x v="0"/>
    <x v="0"/>
    <s v="COVID Pharmaceuticals"/>
    <x v="2"/>
    <x v="4"/>
    <s v="Other - Enter details in Comments"/>
    <n v="4.7"/>
    <s v="Pack"/>
    <m/>
  </r>
  <r>
    <s v="COVID"/>
    <x v="0"/>
    <x v="0"/>
    <s v="COVID PPE &amp; consumables"/>
    <x v="3"/>
    <x v="5"/>
    <s v="Apron Single-use, disposable 100"/>
    <n v="5.8"/>
    <s v="Pack"/>
    <m/>
  </r>
  <r>
    <s v="COVID"/>
    <x v="0"/>
    <x v="0"/>
    <s v="COVID PPE &amp; consumables"/>
    <x v="3"/>
    <x v="6"/>
    <s v="Faceshield, disposable"/>
    <n v="5.8"/>
    <s v="Piece"/>
    <m/>
  </r>
  <r>
    <s v="COVID"/>
    <x v="0"/>
    <x v="0"/>
    <s v="COVID PPE &amp; consumables"/>
    <x v="3"/>
    <x v="7"/>
    <s v="Gloves, Examination - Latex - non-sterile, single-use, disposable, powder-free 100"/>
    <n v="5.8"/>
    <s v="Pack"/>
    <m/>
  </r>
  <r>
    <s v="COVID"/>
    <x v="0"/>
    <x v="0"/>
    <s v="COVID PPE &amp; consumables"/>
    <x v="3"/>
    <x v="7"/>
    <s v="Gloves, Examination - Nitrile - non-sterile, single-use, disposable, powder-free100"/>
    <n v="5.8"/>
    <s v="Pack"/>
    <m/>
  </r>
  <r>
    <s v="COVID"/>
    <x v="0"/>
    <x v="0"/>
    <s v="COVID PPE &amp; consumables"/>
    <x v="3"/>
    <x v="7"/>
    <s v="Gloves, Surgical - sterile, single-use, disposable, powder-free pair"/>
    <n v="5.8"/>
    <s v="Each"/>
    <m/>
  </r>
  <r>
    <s v="COVID"/>
    <x v="0"/>
    <x v="0"/>
    <s v="COVID PPE &amp; consumables"/>
    <x v="3"/>
    <x v="8"/>
    <s v="Goggles, protective, indirect side-ventilation"/>
    <n v="5.8"/>
    <s v="Piece"/>
    <m/>
  </r>
  <r>
    <s v="COVID"/>
    <x v="0"/>
    <x v="0"/>
    <s v="COVID PPE &amp; consumables"/>
    <x v="3"/>
    <x v="9"/>
    <s v="Gown, Isolation non-sterile, single-use, disposable, blood-borne pathogens"/>
    <n v="5.8"/>
    <s v="Piece "/>
    <m/>
  </r>
  <r>
    <s v="COVID"/>
    <x v="0"/>
    <x v="0"/>
    <s v="COVID PPE &amp; consumables"/>
    <x v="3"/>
    <x v="9"/>
    <s v="Gown, Surgical non-sterile, single-use, disposable, high perfusion"/>
    <n v="5.8"/>
    <s v="Piece "/>
    <m/>
  </r>
  <r>
    <s v="COVID"/>
    <x v="0"/>
    <x v="0"/>
    <s v="COVID PPE &amp; consumables"/>
    <x v="3"/>
    <x v="9"/>
    <s v="Gown, Surgical sterile, single-use, disposable, high perfusion"/>
    <n v="5.8"/>
    <s v="Piece "/>
    <m/>
  </r>
  <r>
    <s v="COVID"/>
    <x v="0"/>
    <x v="0"/>
    <s v="COVID PPE &amp; consumables"/>
    <x v="3"/>
    <x v="9"/>
    <s v="Gown, Surgical sterile, single-use, disposable, standard perfusion"/>
    <n v="5.8"/>
    <s v="Piece "/>
    <m/>
  </r>
  <r>
    <s v="COVID"/>
    <x v="0"/>
    <x v="0"/>
    <s v="COVID PPE &amp; consumables"/>
    <x v="3"/>
    <x v="10"/>
    <s v="Mask, Medical, Type I, single-use, disposable 50"/>
    <n v="5.8"/>
    <s v="Pack"/>
    <m/>
  </r>
  <r>
    <s v="COVID"/>
    <x v="0"/>
    <x v="0"/>
    <s v="COVID PPE &amp; consumables"/>
    <x v="3"/>
    <x v="10"/>
    <s v="Mask, Surgical, Type IIR fluid resistant, single-use, disposable 50"/>
    <n v="5.8"/>
    <s v="Pack"/>
    <m/>
  </r>
  <r>
    <s v="COVID"/>
    <x v="0"/>
    <x v="0"/>
    <s v="COVID PPE &amp; consumables"/>
    <x v="3"/>
    <x v="11"/>
    <s v="Other - Enter details in Comments"/>
    <n v="5.8"/>
    <s v="Pack"/>
    <m/>
  </r>
  <r>
    <s v="COVID"/>
    <x v="0"/>
    <x v="0"/>
    <s v="COVID PPE &amp; consumables"/>
    <x v="3"/>
    <x v="12"/>
    <s v="Respirator, High-filt, FPP2/N95, no-valve, non-sterile 20"/>
    <n v="5.8"/>
    <s v="Pack"/>
    <m/>
  </r>
  <r>
    <s v="COVID"/>
    <x v="0"/>
    <x v="0"/>
    <s v="COVID PPE &amp; consumables"/>
    <x v="3"/>
    <x v="12"/>
    <s v="Respirator, High-filt, FPP2/N95, valve, non-sterile 20"/>
    <n v="5.8"/>
    <s v="Pack"/>
    <m/>
  </r>
  <r>
    <s v="HIV"/>
    <x v="1"/>
    <x v="0"/>
    <s v="HIV Equipment"/>
    <x v="4"/>
    <x v="13"/>
    <s v="GeneXpert 1-module Edge with tablet, barcode reader and auxiliary batteries"/>
    <n v="6.4"/>
    <s v="Each"/>
    <m/>
  </r>
  <r>
    <s v="HIV"/>
    <x v="1"/>
    <x v="0"/>
    <s v="HIV Equipment"/>
    <x v="4"/>
    <x v="13"/>
    <s v="GeneXpert IV-2 modules with desktop computer and barcode reader"/>
    <n v="6.4"/>
    <s v="Each"/>
    <m/>
  </r>
  <r>
    <s v="HIV"/>
    <x v="1"/>
    <x v="0"/>
    <s v="HIV Equipment"/>
    <x v="4"/>
    <x v="13"/>
    <s v="GeneXpert IV-2 modules with laptop computer and barcode reader"/>
    <n v="6.4"/>
    <s v="Each"/>
    <m/>
  </r>
  <r>
    <s v="HIV"/>
    <x v="1"/>
    <x v="0"/>
    <s v="HIV Equipment"/>
    <x v="4"/>
    <x v="13"/>
    <s v="GeneXpert IV-4 modules with desktop computer and barcode reader"/>
    <n v="6.4"/>
    <s v="Each"/>
    <m/>
  </r>
  <r>
    <s v="HIV"/>
    <x v="1"/>
    <x v="0"/>
    <s v="HIV Equipment"/>
    <x v="4"/>
    <x v="13"/>
    <s v="GeneXpert IV-4 modules with laptop computer and barcode reader"/>
    <n v="6.4"/>
    <s v="Each"/>
    <m/>
  </r>
  <r>
    <s v="HIV"/>
    <x v="1"/>
    <x v="0"/>
    <s v="HIV Equipment"/>
    <x v="4"/>
    <x v="13"/>
    <s v="GeneXpert XVI-16 modules with desktop computer and barcode reader"/>
    <n v="6.4"/>
    <s v="Each"/>
    <m/>
  </r>
  <r>
    <s v="HIV"/>
    <x v="1"/>
    <x v="0"/>
    <s v="HIV Equipment"/>
    <x v="4"/>
    <x v="13"/>
    <s v="GeneXpert XVI-16 modules with laptop computer and barcode reader"/>
    <n v="6.4"/>
    <s v="Each"/>
    <m/>
  </r>
  <r>
    <s v="HIV"/>
    <x v="1"/>
    <x v="0"/>
    <s v="HIV Equipment"/>
    <x v="4"/>
    <x v="13"/>
    <s v="Other - Enter details in Comments"/>
    <n v="6.4"/>
    <s v="Each"/>
    <m/>
  </r>
  <r>
    <s v="HIV"/>
    <x v="1"/>
    <x v="0"/>
    <s v="HIV Equipment"/>
    <x v="4"/>
    <x v="13"/>
    <s v="Spare parts and accessories"/>
    <n v="6.4"/>
    <s v="Each"/>
    <m/>
  </r>
  <r>
    <s v="HIV"/>
    <x v="1"/>
    <x v="0"/>
    <s v="HIV Equipment"/>
    <x v="4"/>
    <x v="13"/>
    <s v="Warranty, maintenance and service"/>
    <n v="6.5"/>
    <s v="Each"/>
    <m/>
  </r>
  <r>
    <s v="HIV"/>
    <x v="1"/>
    <x v="0"/>
    <s v="HIV Equipment"/>
    <x v="5"/>
    <x v="14"/>
    <s v="Equipment"/>
    <n v="6.6"/>
    <s v="Each"/>
    <m/>
  </r>
  <r>
    <s v="HIV"/>
    <x v="1"/>
    <x v="0"/>
    <s v="HIV Equipment"/>
    <x v="5"/>
    <x v="14"/>
    <s v="Spare parts and accessories"/>
    <n v="6.6"/>
    <s v="Each"/>
    <m/>
  </r>
  <r>
    <s v="HIV"/>
    <x v="1"/>
    <x v="0"/>
    <s v="HIV Equipment"/>
    <x v="5"/>
    <x v="14"/>
    <s v="Warranty, maintenance and service"/>
    <n v="6.5"/>
    <s v="Each"/>
    <m/>
  </r>
  <r>
    <s v="HIV"/>
    <x v="1"/>
    <x v="0"/>
    <s v="HIV Equipment"/>
    <x v="5"/>
    <x v="15"/>
    <s v="Equipment"/>
    <n v="6.6"/>
    <s v="Each"/>
    <m/>
  </r>
  <r>
    <s v="HIV"/>
    <x v="1"/>
    <x v="0"/>
    <s v="HIV Equipment"/>
    <x v="5"/>
    <x v="15"/>
    <s v="Spare parts and accessories"/>
    <n v="6.6"/>
    <s v="Each"/>
    <m/>
  </r>
  <r>
    <s v="HIV"/>
    <x v="1"/>
    <x v="0"/>
    <s v="HIV Equipment"/>
    <x v="5"/>
    <x v="15"/>
    <s v="Warranty, maintenance and service"/>
    <n v="6.5"/>
    <s v="Each"/>
    <m/>
  </r>
  <r>
    <s v="HIV"/>
    <x v="1"/>
    <x v="0"/>
    <s v="HIV Equipment"/>
    <x v="5"/>
    <x v="16"/>
    <s v="Equipment"/>
    <n v="6.6"/>
    <s v="Each"/>
    <m/>
  </r>
  <r>
    <s v="HIV"/>
    <x v="1"/>
    <x v="0"/>
    <s v="HIV Equipment"/>
    <x v="5"/>
    <x v="16"/>
    <s v="Spare parts and accessories"/>
    <n v="6.6"/>
    <s v="Each"/>
    <m/>
  </r>
  <r>
    <s v="HIV"/>
    <x v="1"/>
    <x v="0"/>
    <s v="HIV Equipment"/>
    <x v="5"/>
    <x v="16"/>
    <s v="Warranty, maintenance and service"/>
    <n v="6.5"/>
    <s v="Each"/>
    <m/>
  </r>
  <r>
    <s v="HIV"/>
    <x v="1"/>
    <x v="0"/>
    <s v="HIV Equipment"/>
    <x v="5"/>
    <x v="17"/>
    <s v="Equipment"/>
    <n v="6.6"/>
    <s v="Each"/>
    <m/>
  </r>
  <r>
    <s v="HIV"/>
    <x v="1"/>
    <x v="0"/>
    <s v="HIV Equipment"/>
    <x v="5"/>
    <x v="17"/>
    <s v="Spare parts and accessories"/>
    <n v="6.6"/>
    <s v="Each"/>
    <m/>
  </r>
  <r>
    <s v="HIV"/>
    <x v="1"/>
    <x v="0"/>
    <s v="HIV Equipment"/>
    <x v="5"/>
    <x v="17"/>
    <s v="Warranty, maintenance and service"/>
    <n v="6.5"/>
    <s v="Each"/>
    <m/>
  </r>
  <r>
    <s v="HIV"/>
    <x v="1"/>
    <x v="0"/>
    <s v="HIV Equipment"/>
    <x v="5"/>
    <x v="18"/>
    <s v="Equipment"/>
    <n v="6.6"/>
    <s v="Each"/>
    <m/>
  </r>
  <r>
    <s v="HIV"/>
    <x v="1"/>
    <x v="0"/>
    <s v="HIV Equipment"/>
    <x v="5"/>
    <x v="18"/>
    <s v="Spare parts and accessories"/>
    <n v="6.6"/>
    <s v="Each"/>
    <m/>
  </r>
  <r>
    <s v="HIV"/>
    <x v="1"/>
    <x v="0"/>
    <s v="HIV Equipment"/>
    <x v="5"/>
    <x v="18"/>
    <s v="Warranty, maintenance and service"/>
    <n v="6.5"/>
    <s v="Each"/>
    <m/>
  </r>
  <r>
    <s v="HIV"/>
    <x v="1"/>
    <x v="0"/>
    <s v="HIV Equipment"/>
    <x v="5"/>
    <x v="19"/>
    <s v="Equipment"/>
    <n v="6.6"/>
    <s v="Each"/>
    <m/>
  </r>
  <r>
    <s v="HIV"/>
    <x v="1"/>
    <x v="0"/>
    <s v="HIV Equipment"/>
    <x v="5"/>
    <x v="19"/>
    <s v="Spare parts and accessories"/>
    <n v="6.6"/>
    <s v="Each"/>
    <m/>
  </r>
  <r>
    <s v="HIV"/>
    <x v="1"/>
    <x v="0"/>
    <s v="HIV Equipment"/>
    <x v="5"/>
    <x v="19"/>
    <s v="Warranty, maintenance and service"/>
    <n v="6.5"/>
    <s v="Each"/>
    <m/>
  </r>
  <r>
    <s v="HIV"/>
    <x v="1"/>
    <x v="0"/>
    <s v="HIV Equipment"/>
    <x v="5"/>
    <x v="20"/>
    <s v="Equipment"/>
    <n v="6.1"/>
    <s v="Each"/>
    <m/>
  </r>
  <r>
    <s v="HIV"/>
    <x v="1"/>
    <x v="0"/>
    <s v="HIV Equipment"/>
    <x v="5"/>
    <x v="20"/>
    <s v="Spare parts and accessories"/>
    <n v="6.1"/>
    <s v="Each"/>
    <m/>
  </r>
  <r>
    <s v="HIV"/>
    <x v="1"/>
    <x v="0"/>
    <s v="HIV Equipment"/>
    <x v="5"/>
    <x v="20"/>
    <s v="Warranty, maintenance and service"/>
    <n v="6.5"/>
    <s v="Each"/>
    <m/>
  </r>
  <r>
    <s v="HIV"/>
    <x v="1"/>
    <x v="0"/>
    <s v="HIV Equipment"/>
    <x v="5"/>
    <x v="21"/>
    <s v="Equipment"/>
    <n v="6.6"/>
    <s v="Each"/>
    <m/>
  </r>
  <r>
    <s v="HIV"/>
    <x v="1"/>
    <x v="0"/>
    <s v="HIV Equipment"/>
    <x v="5"/>
    <x v="21"/>
    <s v="Spare parts and accessories"/>
    <n v="6.6"/>
    <s v="Each"/>
    <m/>
  </r>
  <r>
    <s v="HIV"/>
    <x v="1"/>
    <x v="0"/>
    <s v="HIV Equipment"/>
    <x v="5"/>
    <x v="21"/>
    <s v="Warranty, maintenance and service"/>
    <n v="6.5"/>
    <s v="Each"/>
    <m/>
  </r>
  <r>
    <s v="HIV"/>
    <x v="1"/>
    <x v="0"/>
    <s v="HIV Equipment"/>
    <x v="5"/>
    <x v="22"/>
    <s v="Equipment"/>
    <n v="6.6"/>
    <s v="Each"/>
    <m/>
  </r>
  <r>
    <s v="HIV"/>
    <x v="1"/>
    <x v="0"/>
    <s v="HIV Equipment"/>
    <x v="5"/>
    <x v="22"/>
    <s v="Spare parts and accessories"/>
    <n v="6.6"/>
    <s v="Each"/>
    <m/>
  </r>
  <r>
    <s v="HIV"/>
    <x v="1"/>
    <x v="0"/>
    <s v="HIV Equipment"/>
    <x v="5"/>
    <x v="22"/>
    <s v="Warranty, maintenance and service"/>
    <n v="6.5"/>
    <s v="Each"/>
    <m/>
  </r>
  <r>
    <s v="HIV"/>
    <x v="1"/>
    <x v="0"/>
    <s v="HIV Equipment"/>
    <x v="5"/>
    <x v="23"/>
    <s v="Equipment"/>
    <n v="6.6"/>
    <s v="Each"/>
    <m/>
  </r>
  <r>
    <s v="HIV"/>
    <x v="1"/>
    <x v="0"/>
    <s v="HIV Equipment"/>
    <x v="5"/>
    <x v="23"/>
    <s v="Spare parts and accessories"/>
    <n v="6.6"/>
    <s v="Each"/>
    <m/>
  </r>
  <r>
    <s v="HIV"/>
    <x v="1"/>
    <x v="0"/>
    <s v="HIV Equipment"/>
    <x v="5"/>
    <x v="23"/>
    <s v="Warranty, maintenance and service"/>
    <n v="6.5"/>
    <s v="Each"/>
    <m/>
  </r>
  <r>
    <s v="HIV"/>
    <x v="1"/>
    <x v="0"/>
    <s v="HIV Equipment"/>
    <x v="5"/>
    <x v="24"/>
    <s v="Equipment"/>
    <n v="6.6"/>
    <s v="Each"/>
    <m/>
  </r>
  <r>
    <s v="HIV"/>
    <x v="1"/>
    <x v="0"/>
    <s v="HIV Equipment"/>
    <x v="5"/>
    <x v="24"/>
    <s v="Spare parts and accessories"/>
    <n v="6.6"/>
    <s v="Each"/>
    <m/>
  </r>
  <r>
    <s v="HIV"/>
    <x v="1"/>
    <x v="0"/>
    <s v="HIV Equipment"/>
    <x v="5"/>
    <x v="24"/>
    <s v="Warranty, maintenance and service"/>
    <n v="6.5"/>
    <s v="Each"/>
    <m/>
  </r>
  <r>
    <s v="HIV"/>
    <x v="1"/>
    <x v="0"/>
    <s v="HIV Equipment"/>
    <x v="5"/>
    <x v="25"/>
    <s v="Equipment"/>
    <n v="6.6"/>
    <s v="Each"/>
    <m/>
  </r>
  <r>
    <s v="HIV"/>
    <x v="1"/>
    <x v="0"/>
    <s v="HIV Equipment"/>
    <x v="5"/>
    <x v="25"/>
    <s v="Spare parts and accessories"/>
    <n v="6.6"/>
    <s v="Each"/>
    <m/>
  </r>
  <r>
    <s v="HIV"/>
    <x v="1"/>
    <x v="0"/>
    <s v="HIV Equipment"/>
    <x v="5"/>
    <x v="25"/>
    <s v="Warranty, maintenance and service"/>
    <n v="6.5"/>
    <s v="Each"/>
    <m/>
  </r>
  <r>
    <s v="HIV"/>
    <x v="1"/>
    <x v="0"/>
    <s v="HIV Equipment"/>
    <x v="5"/>
    <x v="26"/>
    <s v="Equipment"/>
    <n v="6.6"/>
    <s v="Each"/>
    <m/>
  </r>
  <r>
    <s v="HIV"/>
    <x v="1"/>
    <x v="0"/>
    <s v="HIV Equipment"/>
    <x v="5"/>
    <x v="26"/>
    <s v="Spare parts and accessories"/>
    <n v="6.6"/>
    <s v="Each"/>
    <m/>
  </r>
  <r>
    <s v="HIV"/>
    <x v="1"/>
    <x v="0"/>
    <s v="HIV Equipment"/>
    <x v="5"/>
    <x v="26"/>
    <s v="Warranty, maintenance and service"/>
    <n v="6.5"/>
    <s v="Each"/>
    <m/>
  </r>
  <r>
    <s v="HIV"/>
    <x v="1"/>
    <x v="0"/>
    <s v="HIV Equipment"/>
    <x v="5"/>
    <x v="27"/>
    <s v="Equipment"/>
    <n v="6.6"/>
    <s v="Each"/>
    <m/>
  </r>
  <r>
    <s v="HIV"/>
    <x v="1"/>
    <x v="0"/>
    <s v="HIV Equipment"/>
    <x v="5"/>
    <x v="27"/>
    <s v="Spare parts and accessories"/>
    <n v="6.6"/>
    <s v="Each"/>
    <m/>
  </r>
  <r>
    <s v="HIV"/>
    <x v="1"/>
    <x v="0"/>
    <s v="HIV Equipment"/>
    <x v="5"/>
    <x v="27"/>
    <s v="Warranty, maintenance and service"/>
    <n v="6.5"/>
    <s v="Each"/>
    <m/>
  </r>
  <r>
    <s v="HIV"/>
    <x v="1"/>
    <x v="0"/>
    <s v="HIV Equipment"/>
    <x v="5"/>
    <x v="28"/>
    <s v="Equipment"/>
    <n v="6.6"/>
    <s v="Each"/>
    <m/>
  </r>
  <r>
    <s v="HIV"/>
    <x v="1"/>
    <x v="0"/>
    <s v="HIV Equipment"/>
    <x v="5"/>
    <x v="28"/>
    <s v="Spare parts and accessories"/>
    <n v="6.6"/>
    <s v="Each"/>
    <m/>
  </r>
  <r>
    <s v="HIV"/>
    <x v="1"/>
    <x v="0"/>
    <s v="HIV Equipment"/>
    <x v="5"/>
    <x v="28"/>
    <s v="Warranty, maintenance and service"/>
    <n v="6.5"/>
    <s v="Each"/>
    <m/>
  </r>
  <r>
    <s v="HIV"/>
    <x v="1"/>
    <x v="0"/>
    <s v="HIV Equipment"/>
    <x v="5"/>
    <x v="29"/>
    <s v="Equipment"/>
    <n v="6.2"/>
    <s v="Each"/>
    <m/>
  </r>
  <r>
    <s v="HIV"/>
    <x v="1"/>
    <x v="0"/>
    <s v="HIV Equipment"/>
    <x v="5"/>
    <x v="29"/>
    <s v="Spare parts and accessories"/>
    <n v="6.2"/>
    <s v="Each"/>
    <m/>
  </r>
  <r>
    <s v="HIV"/>
    <x v="1"/>
    <x v="0"/>
    <s v="HIV Equipment"/>
    <x v="5"/>
    <x v="29"/>
    <s v="Warranty, maintenance and service"/>
    <n v="6.5"/>
    <s v="Each"/>
    <m/>
  </r>
  <r>
    <s v="HIV"/>
    <x v="1"/>
    <x v="0"/>
    <s v="HIV Equipment"/>
    <x v="6"/>
    <x v="30"/>
    <s v="Equipment"/>
    <n v="6.4"/>
    <s v="Each"/>
    <m/>
  </r>
  <r>
    <s v="HIV"/>
    <x v="1"/>
    <x v="0"/>
    <s v="HIV Equipment"/>
    <x v="6"/>
    <x v="30"/>
    <s v="Spare parts and accessories"/>
    <n v="6.4"/>
    <s v="Each"/>
    <m/>
  </r>
  <r>
    <s v="HIV"/>
    <x v="1"/>
    <x v="0"/>
    <s v="HIV Equipment"/>
    <x v="6"/>
    <x v="30"/>
    <s v="Warranty, maintenance and service"/>
    <n v="6.5"/>
    <s v="Each"/>
    <m/>
  </r>
  <r>
    <s v="HIV"/>
    <x v="1"/>
    <x v="0"/>
    <s v="HIV Equipment"/>
    <x v="6"/>
    <x v="31"/>
    <s v="Equipment"/>
    <n v="6.4"/>
    <s v="Each"/>
    <m/>
  </r>
  <r>
    <s v="HIV"/>
    <x v="1"/>
    <x v="0"/>
    <s v="HIV Equipment"/>
    <x v="6"/>
    <x v="31"/>
    <s v="Spare parts and accessories"/>
    <n v="6.4"/>
    <s v="Each"/>
    <m/>
  </r>
  <r>
    <s v="HIV"/>
    <x v="1"/>
    <x v="0"/>
    <s v="HIV Equipment"/>
    <x v="6"/>
    <x v="31"/>
    <s v="Warranty, maintenance and service"/>
    <n v="6.5"/>
    <s v="Each"/>
    <m/>
  </r>
  <r>
    <s v="HIV"/>
    <x v="1"/>
    <x v="0"/>
    <s v="HIV Equipment"/>
    <x v="6"/>
    <x v="32"/>
    <s v="Equipment"/>
    <n v="6.4"/>
    <s v="Each"/>
    <m/>
  </r>
  <r>
    <s v="HIV"/>
    <x v="1"/>
    <x v="0"/>
    <s v="HIV Equipment"/>
    <x v="6"/>
    <x v="32"/>
    <s v="Spare parts and accessories"/>
    <n v="6.4"/>
    <s v="Each"/>
    <m/>
  </r>
  <r>
    <s v="HIV"/>
    <x v="1"/>
    <x v="0"/>
    <s v="HIV Equipment"/>
    <x v="6"/>
    <x v="32"/>
    <s v="Warranty, maintenance and service"/>
    <n v="6.5"/>
    <s v="Each"/>
    <m/>
  </r>
  <r>
    <s v="HIV"/>
    <x v="1"/>
    <x v="0"/>
    <s v="HIV Equipment"/>
    <x v="6"/>
    <x v="33"/>
    <s v="Equipment"/>
    <n v="6.4"/>
    <s v="Each"/>
    <m/>
  </r>
  <r>
    <s v="HIV"/>
    <x v="1"/>
    <x v="0"/>
    <s v="HIV Equipment"/>
    <x v="6"/>
    <x v="33"/>
    <s v="Spare parts and accessories"/>
    <n v="6.4"/>
    <s v="Each"/>
    <m/>
  </r>
  <r>
    <s v="HIV"/>
    <x v="1"/>
    <x v="0"/>
    <s v="HIV Equipment"/>
    <x v="6"/>
    <x v="33"/>
    <s v="Warranty, maintenance and service"/>
    <n v="6.5"/>
    <s v="Each"/>
    <m/>
  </r>
  <r>
    <s v="HIV"/>
    <x v="1"/>
    <x v="0"/>
    <s v="HIV Equipment"/>
    <x v="7"/>
    <x v="34"/>
    <s v="Equipment"/>
    <n v="6.4"/>
    <s v="Each"/>
    <m/>
  </r>
  <r>
    <s v="HIV"/>
    <x v="1"/>
    <x v="0"/>
    <s v="HIV Equipment"/>
    <x v="7"/>
    <x v="34"/>
    <s v="Spare parts and accessories"/>
    <n v="6.4"/>
    <s v="Each"/>
    <m/>
  </r>
  <r>
    <s v="HIV"/>
    <x v="1"/>
    <x v="0"/>
    <s v="HIV Equipment"/>
    <x v="7"/>
    <x v="34"/>
    <s v="Warranty, maintenance and service"/>
    <n v="6.5"/>
    <s v="Each"/>
    <m/>
  </r>
  <r>
    <s v="HIV"/>
    <x v="1"/>
    <x v="0"/>
    <s v="HIV Equipment"/>
    <x v="7"/>
    <x v="35"/>
    <s v="Equipment"/>
    <n v="6.4"/>
    <s v="Each"/>
    <m/>
  </r>
  <r>
    <s v="HIV"/>
    <x v="1"/>
    <x v="0"/>
    <s v="HIV Equipment"/>
    <x v="7"/>
    <x v="35"/>
    <s v="Spare parts and accessories"/>
    <n v="6.4"/>
    <s v="Each"/>
    <m/>
  </r>
  <r>
    <s v="HIV"/>
    <x v="1"/>
    <x v="0"/>
    <s v="HIV Equipment"/>
    <x v="7"/>
    <x v="35"/>
    <s v="Warranty, maintenance and service"/>
    <n v="6.5"/>
    <s v="Each"/>
    <m/>
  </r>
  <r>
    <s v="HIV"/>
    <x v="1"/>
    <x v="0"/>
    <s v="HIV Equipment"/>
    <x v="8"/>
    <x v="36"/>
    <s v="Equipment"/>
    <n v="6.6"/>
    <s v="Each"/>
    <m/>
  </r>
  <r>
    <s v="HIV"/>
    <x v="1"/>
    <x v="0"/>
    <s v="HIV Equipment"/>
    <x v="8"/>
    <x v="36"/>
    <s v="Spare parts and accessories"/>
    <n v="6.6"/>
    <s v="Each"/>
    <m/>
  </r>
  <r>
    <s v="HIV"/>
    <x v="1"/>
    <x v="0"/>
    <s v="HIV Equipment"/>
    <x v="8"/>
    <x v="36"/>
    <s v="Warranty, maintenance and service"/>
    <n v="6.5"/>
    <s v="Each"/>
    <m/>
  </r>
  <r>
    <s v="HIV"/>
    <x v="1"/>
    <x v="0"/>
    <s v="HIV Equipment"/>
    <x v="8"/>
    <x v="37"/>
    <s v="Equipment"/>
    <n v="6.6"/>
    <s v="Each"/>
    <m/>
  </r>
  <r>
    <s v="HIV"/>
    <x v="1"/>
    <x v="0"/>
    <s v="HIV Equipment"/>
    <x v="8"/>
    <x v="37"/>
    <s v="Spare parts and accessories"/>
    <n v="6.6"/>
    <s v="Each"/>
    <m/>
  </r>
  <r>
    <s v="HIV"/>
    <x v="1"/>
    <x v="0"/>
    <s v="HIV Equipment"/>
    <x v="8"/>
    <x v="37"/>
    <s v="Warranty, maintenance and service"/>
    <n v="6.5"/>
    <s v="Each"/>
    <m/>
  </r>
  <r>
    <s v="HIV"/>
    <x v="2"/>
    <x v="0"/>
    <s v="Condoms"/>
    <x v="9"/>
    <x v="38"/>
    <s v="latex - ring"/>
    <n v="5.3"/>
    <s v="Piece"/>
    <m/>
  </r>
  <r>
    <s v="HIV"/>
    <x v="2"/>
    <x v="0"/>
    <s v="Condoms"/>
    <x v="9"/>
    <x v="38"/>
    <s v="latex - sponge"/>
    <n v="5.3"/>
    <s v="Piece"/>
    <m/>
  </r>
  <r>
    <s v="HIV"/>
    <x v="2"/>
    <x v="0"/>
    <s v="Condoms"/>
    <x v="9"/>
    <x v="38"/>
    <s v="nitrile - ring"/>
    <n v="5.3"/>
    <s v="Piece"/>
    <m/>
  </r>
  <r>
    <s v="HIV"/>
    <x v="2"/>
    <x v="0"/>
    <s v="Condoms"/>
    <x v="9"/>
    <x v="38"/>
    <s v="Other - Enter details in Comments"/>
    <n v="5.3"/>
    <s v="Piece"/>
    <m/>
  </r>
  <r>
    <s v="HIV"/>
    <x v="2"/>
    <x v="0"/>
    <s v="Condoms"/>
    <x v="9"/>
    <x v="38"/>
    <s v="polyurethane"/>
    <n v="5.3"/>
    <s v="Piece"/>
    <m/>
  </r>
  <r>
    <s v="HIV"/>
    <x v="2"/>
    <x v="0"/>
    <s v="Condoms"/>
    <x v="9"/>
    <x v="39"/>
    <s v="49 mm - dotted - pack of 144"/>
    <n v="5.2"/>
    <s v="Pack"/>
    <m/>
  </r>
  <r>
    <s v="HIV"/>
    <x v="2"/>
    <x v="0"/>
    <s v="Condoms"/>
    <x v="9"/>
    <x v="39"/>
    <s v="49 mm - plain - pack of 144"/>
    <n v="5.2"/>
    <s v="Pack"/>
    <m/>
  </r>
  <r>
    <s v="HIV"/>
    <x v="2"/>
    <x v="0"/>
    <s v="Condoms"/>
    <x v="9"/>
    <x v="39"/>
    <s v="49 mm - ribbed - pack of 144"/>
    <n v="5.2"/>
    <s v="Pack"/>
    <m/>
  </r>
  <r>
    <s v="HIV"/>
    <x v="2"/>
    <x v="0"/>
    <s v="Condoms"/>
    <x v="9"/>
    <x v="39"/>
    <s v="49 mm - with color - pack of 144"/>
    <n v="5.2"/>
    <s v="Pack"/>
    <m/>
  </r>
  <r>
    <s v="HIV"/>
    <x v="2"/>
    <x v="0"/>
    <s v="Condoms"/>
    <x v="9"/>
    <x v="39"/>
    <s v="49 mm - with flavor/scent - pack of 144"/>
    <n v="5.2"/>
    <s v="Pack"/>
    <m/>
  </r>
  <r>
    <s v="HIV"/>
    <x v="2"/>
    <x v="0"/>
    <s v="Condoms"/>
    <x v="9"/>
    <x v="39"/>
    <s v="52 mm - contoured - pack of 144"/>
    <n v="5.2"/>
    <s v="Pack"/>
    <m/>
  </r>
  <r>
    <s v="HIV"/>
    <x v="2"/>
    <x v="0"/>
    <s v="Condoms"/>
    <x v="9"/>
    <x v="39"/>
    <s v="52 mm - dotted - contoured - pack of 144"/>
    <n v="5.2"/>
    <s v="Pack"/>
    <m/>
  </r>
  <r>
    <s v="HIV"/>
    <x v="2"/>
    <x v="0"/>
    <s v="Condoms"/>
    <x v="9"/>
    <x v="39"/>
    <s v="52 mm - ribbed - contoured - pack of 144"/>
    <n v="5.2"/>
    <s v="Pack"/>
    <m/>
  </r>
  <r>
    <s v="HIV"/>
    <x v="2"/>
    <x v="0"/>
    <s v="Condoms"/>
    <x v="9"/>
    <x v="39"/>
    <s v="53 mm - dotted - pack of 144"/>
    <n v="5.2"/>
    <s v="Pack"/>
    <m/>
  </r>
  <r>
    <s v="HIV"/>
    <x v="2"/>
    <x v="0"/>
    <s v="Condoms"/>
    <x v="9"/>
    <x v="39"/>
    <s v="53 mm - plain - pack of 144"/>
    <n v="5.2"/>
    <s v="Pack"/>
    <m/>
  </r>
  <r>
    <s v="HIV"/>
    <x v="2"/>
    <x v="0"/>
    <s v="Condoms"/>
    <x v="9"/>
    <x v="39"/>
    <s v="53 mm - ribbed - pack of 144"/>
    <n v="5.2"/>
    <s v="Pack"/>
    <m/>
  </r>
  <r>
    <s v="HIV"/>
    <x v="2"/>
    <x v="0"/>
    <s v="Condoms"/>
    <x v="9"/>
    <x v="39"/>
    <s v="53 mm - with color - pack of 144"/>
    <n v="5.2"/>
    <s v="Pack"/>
    <m/>
  </r>
  <r>
    <s v="HIV"/>
    <x v="2"/>
    <x v="0"/>
    <s v="Condoms"/>
    <x v="9"/>
    <x v="39"/>
    <s v="53 mm - with color - with flavor/scent - pack of 144"/>
    <n v="5.2"/>
    <s v="Pack"/>
    <m/>
  </r>
  <r>
    <s v="HIV"/>
    <x v="2"/>
    <x v="0"/>
    <s v="Condoms"/>
    <x v="9"/>
    <x v="39"/>
    <s v="53 mm - with flavor/scent - pack of 144"/>
    <n v="5.2"/>
    <s v="Pack"/>
    <m/>
  </r>
  <r>
    <s v="HIV"/>
    <x v="2"/>
    <x v="0"/>
    <s v="Condoms"/>
    <x v="9"/>
    <x v="39"/>
    <s v="Other - Enter details in Comments"/>
    <n v="5.2"/>
    <s v="Pack"/>
    <m/>
  </r>
  <r>
    <s v="HIV"/>
    <x v="2"/>
    <x v="0"/>
    <s v="Lubricants"/>
    <x v="10"/>
    <x v="40"/>
    <s v="Other - Enter details in Comments"/>
    <n v="5.8"/>
    <s v="Pack"/>
    <m/>
  </r>
  <r>
    <s v="HIV"/>
    <x v="2"/>
    <x v="0"/>
    <s v="Lubricants"/>
    <x v="10"/>
    <x v="40"/>
    <s v="water based 20ml tube"/>
    <n v="5.8"/>
    <s v="Pack"/>
    <m/>
  </r>
  <r>
    <s v="HIV"/>
    <x v="2"/>
    <x v="0"/>
    <s v="Lubricants"/>
    <x v="10"/>
    <x v="40"/>
    <s v="water based 4.3ml sachet 1000"/>
    <n v="5.8"/>
    <s v="Pack"/>
    <m/>
  </r>
  <r>
    <s v="HIV"/>
    <x v="2"/>
    <x v="0"/>
    <s v="Lubricants"/>
    <x v="10"/>
    <x v="40"/>
    <s v="water based 4ml sachet 1000"/>
    <n v="5.8"/>
    <s v="Pack"/>
    <m/>
  </r>
  <r>
    <s v="HIV"/>
    <x v="2"/>
    <x v="0"/>
    <s v="Lubricants"/>
    <x v="10"/>
    <x v="40"/>
    <s v="water based 5ml sachet 1000"/>
    <n v="5.8"/>
    <s v="Pack"/>
    <m/>
  </r>
  <r>
    <s v="HIV"/>
    <x v="2"/>
    <x v="1"/>
    <s v="RDTs for HIV"/>
    <x v="11"/>
    <x v="41"/>
    <s v="Capillary Tubes - EDTA 50uL 100 tubes"/>
    <n v="5.4"/>
    <s v="Pack"/>
    <m/>
  </r>
  <r>
    <s v="HIV"/>
    <x v="2"/>
    <x v="1"/>
    <s v="RDTs for HIV"/>
    <x v="11"/>
    <x v="41"/>
    <s v="HIV 1 - Generic Rapid Diagnostic Test Kit - 1 test"/>
    <n v="5.4"/>
    <s v="Pack"/>
    <m/>
  </r>
  <r>
    <s v="HIV"/>
    <x v="2"/>
    <x v="1"/>
    <s v="RDTs for HIV"/>
    <x v="11"/>
    <x v="41"/>
    <s v="HIV 1/2 - Determine HIV Combo Kit - accessories included - 100 tests"/>
    <n v="5.4"/>
    <s v="Pack"/>
    <m/>
  </r>
  <r>
    <s v="HIV"/>
    <x v="2"/>
    <x v="1"/>
    <s v="RDTs for HIV"/>
    <x v="11"/>
    <x v="41"/>
    <s v="HIV 1/2 - Determine HIV Combo Kit - no accessories - 100 tests"/>
    <n v="5.4"/>
    <s v="Pack"/>
    <m/>
  </r>
  <r>
    <s v="HIV"/>
    <x v="2"/>
    <x v="1"/>
    <s v="RDTs for HIV"/>
    <x v="11"/>
    <x v="41"/>
    <s v="HIV 1/2 - DPP HIV 1/2 Assay - 20 tests"/>
    <n v="5.4"/>
    <s v="Pack"/>
    <m/>
  </r>
  <r>
    <s v="HIV"/>
    <x v="2"/>
    <x v="1"/>
    <s v="RDTs for HIV"/>
    <x v="11"/>
    <x v="41"/>
    <s v="HIV 1/2 - Generic Differentiated Detection Rapid Diagnostic Test Kit - 1 test"/>
    <n v="5.4"/>
    <s v="Pack"/>
    <m/>
  </r>
  <r>
    <s v="HIV"/>
    <x v="2"/>
    <x v="1"/>
    <s v="RDTs for HIV"/>
    <x v="11"/>
    <x v="41"/>
    <s v="HIV 1/2 – MultiSure HIV Rapid Test – 20 tests"/>
    <n v="5.4"/>
    <s v="Pack"/>
    <m/>
  </r>
  <r>
    <s v="HIV"/>
    <x v="2"/>
    <x v="1"/>
    <s v="RDTs for HIV"/>
    <x v="11"/>
    <x v="41"/>
    <s v="HIV 1/2 - SD Bioline 3.0 Kit - accessories included - 25 tests"/>
    <n v="5.4"/>
    <s v="Pack"/>
    <m/>
  </r>
  <r>
    <s v="HIV"/>
    <x v="2"/>
    <x v="1"/>
    <s v="RDTs for HIV"/>
    <x v="11"/>
    <x v="41"/>
    <s v="HIV 1/2 - SD Bioline 3.0 Kit - no accessories - 30 tests"/>
    <n v="5.4"/>
    <s v="Pack"/>
    <m/>
  </r>
  <r>
    <s v="HIV"/>
    <x v="2"/>
    <x v="1"/>
    <s v="RDTs for HIV"/>
    <x v="11"/>
    <x v="41"/>
    <s v="HIV 1/2/O – ABON Tri-Line HIV Rapid Test Kit - 40 tests"/>
    <n v="5.4"/>
    <s v="Pack"/>
    <m/>
  </r>
  <r>
    <s v="HIV"/>
    <x v="2"/>
    <x v="1"/>
    <s v="RDTs for HIV"/>
    <x v="11"/>
    <x v="41"/>
    <s v="HIV 1/2-O - First Response HIV 1-2.0 v.3.0 Cards Kit - 100 tests"/>
    <n v="5.4"/>
    <s v="Pack"/>
    <m/>
  </r>
  <r>
    <s v="HIV"/>
    <x v="2"/>
    <x v="1"/>
    <s v="RDTs for HIV"/>
    <x v="11"/>
    <x v="41"/>
    <s v="HIV 1/2-O - First Response HIV 1-2.0 v.3.0 Cards Kit - accessories included - 25 tests"/>
    <n v="5.4"/>
    <s v="Pack"/>
    <m/>
  </r>
  <r>
    <s v="HIV"/>
    <x v="2"/>
    <x v="1"/>
    <s v="RDTs for HIV"/>
    <x v="11"/>
    <x v="41"/>
    <s v="HIV 1/2-O - First Response HIV 1-2.0 v.3.0 Cards Kit - accessories included - 30 tests"/>
    <n v="5.4"/>
    <s v="Pack"/>
    <m/>
  </r>
  <r>
    <s v="HIV"/>
    <x v="2"/>
    <x v="1"/>
    <s v="RDTs for HIV"/>
    <x v="11"/>
    <x v="41"/>
    <s v="HIV 1+2 - SD Bioline Ag/Ab Combo Kit - no accessories - 30 tests"/>
    <n v="5.4"/>
    <s v="Pack"/>
    <m/>
  </r>
  <r>
    <s v="HIV"/>
    <x v="2"/>
    <x v="1"/>
    <s v="RDTs for HIV"/>
    <x v="11"/>
    <x v="41"/>
    <s v="HIV 1+2 - Determine Chase Buffer - 2.5ml vial - 100 tests"/>
    <n v="5.4"/>
    <s v="Pack"/>
    <m/>
  </r>
  <r>
    <s v="HIV"/>
    <x v="2"/>
    <x v="1"/>
    <s v="RDTs for HIV"/>
    <x v="11"/>
    <x v="41"/>
    <s v="HIV 1+2 - Determine Complete HIV Kit - accessories included - 100 tests"/>
    <n v="5.4"/>
    <s v="Pack"/>
    <m/>
  </r>
  <r>
    <s v="HIV"/>
    <x v="2"/>
    <x v="1"/>
    <s v="RDTs for HIV"/>
    <x v="11"/>
    <x v="41"/>
    <s v="HIV 1+2 - Determine HIV Kit - 20 tests"/>
    <n v="5.4"/>
    <s v="Pack"/>
    <m/>
  </r>
  <r>
    <s v="HIV"/>
    <x v="2"/>
    <x v="1"/>
    <s v="RDTs for HIV"/>
    <x v="11"/>
    <x v="41"/>
    <s v="HIV 1+2 - Determine HIV Kit - no accessories - 100 tests"/>
    <n v="5.4"/>
    <s v="Pack"/>
    <m/>
  </r>
  <r>
    <s v="HIV"/>
    <x v="2"/>
    <x v="1"/>
    <s v="RDTs for HIV"/>
    <x v="11"/>
    <x v="41"/>
    <s v="HIV 1+2 - Generic Combined DetectionRapid Diagnostic Test Kit - 1 test"/>
    <n v="5.4"/>
    <s v="Pack"/>
    <m/>
  </r>
  <r>
    <s v="HIV"/>
    <x v="2"/>
    <x v="1"/>
    <s v="RDTs for HIV"/>
    <x v="11"/>
    <x v="41"/>
    <s v="HIV 1+2 - INSTI HIV Antibody Test Kit - accessories included - 48 tests"/>
    <n v="5.4"/>
    <s v="Pack"/>
    <m/>
  </r>
  <r>
    <s v="HIV"/>
    <x v="2"/>
    <x v="1"/>
    <s v="RDTs for HIV"/>
    <x v="11"/>
    <x v="41"/>
    <s v="HIV 1+2 - OraQuick ADVANCE HIV Rapid Antibody Kit - accessories included - 25 Tests"/>
    <n v="5.4"/>
    <s v="Pack"/>
    <m/>
  </r>
  <r>
    <s v="HIV"/>
    <x v="2"/>
    <x v="1"/>
    <s v="RDTs for HIV"/>
    <x v="11"/>
    <x v="41"/>
    <s v="HIV 1+2 - OraQuick HIV Rapid Antibody Kit - accessories included - 100 Tests"/>
    <n v="5.4"/>
    <s v="Pack"/>
    <m/>
  </r>
  <r>
    <s v="HIV"/>
    <x v="2"/>
    <x v="1"/>
    <s v="RDTs for HIV"/>
    <x v="11"/>
    <x v="41"/>
    <s v="HIV 1+2 - OraQuick HIV Self Test - accessories included - 250 Tests"/>
    <n v="5.4"/>
    <s v="Pack"/>
    <m/>
  </r>
  <r>
    <s v="HIV"/>
    <x v="2"/>
    <x v="1"/>
    <s v="RDTs for HIV"/>
    <x v="11"/>
    <x v="41"/>
    <s v="HIV 1+2 - OraQuick HIV Self Test - accessories included - 50 Tests"/>
    <n v="5.4"/>
    <s v="Pack"/>
    <m/>
  </r>
  <r>
    <s v="HIV"/>
    <x v="2"/>
    <x v="1"/>
    <s v="RDTs for HIV"/>
    <x v="11"/>
    <x v="41"/>
    <s v="HIV 1+2 - Stat-Pak Dipstick Assay Kit - accessories included - 30 tests"/>
    <n v="5.4"/>
    <s v="Pack"/>
    <m/>
  </r>
  <r>
    <s v="HIV"/>
    <x v="2"/>
    <x v="1"/>
    <s v="RDTs for HIV"/>
    <x v="11"/>
    <x v="41"/>
    <s v="HIV 1+2 - Stat-Pak HIV Kit - accessories included - 20 tests"/>
    <n v="5.4"/>
    <s v="Pack"/>
    <m/>
  </r>
  <r>
    <s v="HIV"/>
    <x v="2"/>
    <x v="1"/>
    <s v="RDTs for HIV"/>
    <x v="11"/>
    <x v="41"/>
    <s v="HIV 1+2 - Uni-gold HIV Kit - accessories included - 20 tests"/>
    <n v="5.4"/>
    <s v="Pack"/>
    <m/>
  </r>
  <r>
    <s v="HIV"/>
    <x v="2"/>
    <x v="1"/>
    <s v="RDTs for HIV"/>
    <x v="11"/>
    <x v="41"/>
    <s v="HIV 1+2 Colloidal Gold - accessories included - 50 tests"/>
    <n v="5.4"/>
    <s v="Pack"/>
    <m/>
  </r>
  <r>
    <s v="HIV"/>
    <x v="2"/>
    <x v="1"/>
    <s v="RDTs for HIV"/>
    <x v="11"/>
    <x v="41"/>
    <s v="HIV Self Testing - Generic Rapid Diagnostic Test Kit - 1 test"/>
    <n v="5.4"/>
    <s v="Pack"/>
    <m/>
  </r>
  <r>
    <s v="HIV"/>
    <x v="2"/>
    <x v="1"/>
    <s v="RDTs for HIV"/>
    <x v="11"/>
    <x v="41"/>
    <s v="Other - Enter details in Comments"/>
    <n v="5.4"/>
    <s v="Pack"/>
    <m/>
  </r>
  <r>
    <s v="HIV"/>
    <x v="2"/>
    <x v="1"/>
    <s v="RDTs for HIV"/>
    <x v="11"/>
    <x v="42"/>
    <s v="HIV/Syphilis - Generic RDT - 1 test"/>
    <n v="5.4"/>
    <s v="Pack"/>
    <m/>
  </r>
  <r>
    <s v="HIV"/>
    <x v="2"/>
    <x v="1"/>
    <s v="RDTs for HIV"/>
    <x v="11"/>
    <x v="42"/>
    <s v="HIV/Syphilis - SD Bioline Duo complete kit - accessories included - 25 tests"/>
    <n v="5.4"/>
    <s v="Pack"/>
    <m/>
  </r>
  <r>
    <s v="HIV"/>
    <x v="2"/>
    <x v="1"/>
    <s v="RDTs for STIs, OIs, &amp; hepatitis"/>
    <x v="12"/>
    <x v="43"/>
    <s v="Cryptococcus - Generic RDT - 1 test"/>
    <n v="5.4"/>
    <s v="Pack"/>
    <m/>
  </r>
  <r>
    <s v="HIV"/>
    <x v="2"/>
    <x v="1"/>
    <s v="RDTs for STIs, OIs, &amp; hepatitis"/>
    <x v="12"/>
    <x v="43"/>
    <s v="Cryptococcus - Latex Agglutination Antigen Detection System - 120 Tests"/>
    <n v="5.4"/>
    <s v="Pack"/>
    <m/>
  </r>
  <r>
    <s v="HIV"/>
    <x v="2"/>
    <x v="1"/>
    <s v="RDTs for STIs, OIs, &amp; hepatitis"/>
    <x v="12"/>
    <x v="43"/>
    <s v="Cryptococcus Antigen Latex lateral flow assay, 50 test/kit"/>
    <n v="5.4"/>
    <s v="Pack"/>
    <m/>
  </r>
  <r>
    <s v="HIV"/>
    <x v="2"/>
    <x v="1"/>
    <s v="RDTs for STIs, OIs, &amp; hepatitis"/>
    <x v="12"/>
    <x v="44"/>
    <s v="HBV - Generic Rapid Diagnostic Test Kit - 1 test"/>
    <n v="5.4"/>
    <s v="Pack"/>
    <m/>
  </r>
  <r>
    <s v="HIV"/>
    <x v="2"/>
    <x v="1"/>
    <s v="RDTs for STIs, OIs, &amp; hepatitis"/>
    <x v="12"/>
    <x v="44"/>
    <s v="SD BIOLINE HBsAg WB – 30 tests"/>
    <n v="5.4"/>
    <s v="Pack"/>
    <m/>
  </r>
  <r>
    <s v="HIV"/>
    <x v="2"/>
    <x v="1"/>
    <s v="RDTs for STIs, OIs, &amp; hepatitis"/>
    <x v="12"/>
    <x v="45"/>
    <s v="HCV - Generic Rapid Diagnostic Test Kit - 1 test"/>
    <n v="5.4"/>
    <s v="Pack"/>
    <m/>
  </r>
  <r>
    <s v="HIV"/>
    <x v="2"/>
    <x v="1"/>
    <s v="RDTs for STIs, OIs, &amp; hepatitis"/>
    <x v="12"/>
    <x v="45"/>
    <s v="SD BIOLINE HCV - accessories included - 25 tests"/>
    <n v="5.4"/>
    <s v="Pack"/>
    <m/>
  </r>
  <r>
    <s v="HIV"/>
    <x v="2"/>
    <x v="1"/>
    <s v="RDTs for STIs, OIs, &amp; hepatitis"/>
    <x v="12"/>
    <x v="45"/>
    <s v="Xpert HCV Viral Load Kit ‚ 10 Tests"/>
    <n v="5.4"/>
    <s v="Pack"/>
    <m/>
  </r>
  <r>
    <s v="HIV"/>
    <x v="2"/>
    <x v="1"/>
    <s v="RDTs for STIs, OIs, &amp; hepatitis"/>
    <x v="12"/>
    <x v="46"/>
    <s v="Syphilis - Generic Rapid Diagnostic Test Kit - 1 test"/>
    <n v="5.4"/>
    <s v="Pack"/>
    <m/>
  </r>
  <r>
    <s v="HIV"/>
    <x v="2"/>
    <x v="1"/>
    <s v="RDTs for TB for HIV program"/>
    <x v="13"/>
    <x v="47"/>
    <s v="GeneXpert Cartridge 10"/>
    <n v="5.4"/>
    <s v="Pack"/>
    <m/>
  </r>
  <r>
    <s v="HIV"/>
    <x v="2"/>
    <x v="1"/>
    <s v="RDTs for TB for HIV program"/>
    <x v="13"/>
    <x v="47"/>
    <s v="GeneXpert Cartridge 50"/>
    <n v="5.4"/>
    <s v="Pack"/>
    <m/>
  </r>
  <r>
    <s v="HIV"/>
    <x v="2"/>
    <x v="1"/>
    <s v="RDTs for TB for HIV program"/>
    <x v="13"/>
    <x v="47"/>
    <s v="GeneXpert ULTRA Cartridge 10"/>
    <n v="5.4"/>
    <s v="Pack"/>
    <m/>
  </r>
  <r>
    <s v="HIV"/>
    <x v="2"/>
    <x v="1"/>
    <s v="RDTs for TB for HIV program"/>
    <x v="13"/>
    <x v="47"/>
    <s v="GeneXpert ULTRA Cartridge 50"/>
    <n v="5.4"/>
    <s v="Pack"/>
    <m/>
  </r>
  <r>
    <s v="HIV"/>
    <x v="2"/>
    <x v="1"/>
    <s v="RDTs for TB for HIV program"/>
    <x v="13"/>
    <x v="48"/>
    <s v="Determine TB LAM Ag Test, 100 test/kit"/>
    <n v="5.4"/>
    <s v="Pack"/>
    <m/>
  </r>
  <r>
    <s v="HIV"/>
    <x v="2"/>
    <x v="1"/>
    <s v="RDTs for TB for HIV program"/>
    <x v="13"/>
    <x v="48"/>
    <s v="Other - Enter details in Comments"/>
    <n v="5.4"/>
    <s v="Pack"/>
    <m/>
  </r>
  <r>
    <s v="HIV"/>
    <x v="2"/>
    <x v="1"/>
    <s v="RDTs for TB for HIV program"/>
    <x v="13"/>
    <x v="49"/>
    <s v="Loopamp MTBC Detection Kit 2 x 48 tests"/>
    <n v="5.4"/>
    <s v="Pack"/>
    <m/>
  </r>
  <r>
    <s v="HIV"/>
    <x v="2"/>
    <x v="1"/>
    <s v="RDTs for TB for HIV program"/>
    <x v="13"/>
    <x v="49"/>
    <s v="Loopamp PURE DNA Extraction Kit 90 tests"/>
    <n v="5.4"/>
    <s v="Pack"/>
    <m/>
  </r>
  <r>
    <s v="HIV"/>
    <x v="2"/>
    <x v="1"/>
    <s v="RDTs for TB for HIV program"/>
    <x v="13"/>
    <x v="50"/>
    <s v="Truenat MTB 20 tests"/>
    <n v="5.4"/>
    <s v="Pack"/>
    <m/>
  </r>
  <r>
    <s v="HIV"/>
    <x v="2"/>
    <x v="1"/>
    <s v="RDTs for TB for HIV program"/>
    <x v="13"/>
    <x v="50"/>
    <s v="Truenat MTB Plus 20 tests"/>
    <n v="5.4"/>
    <s v="Pack"/>
    <m/>
  </r>
  <r>
    <s v="HIV"/>
    <x v="2"/>
    <x v="1"/>
    <s v="RDTs for TB for HIV program"/>
    <x v="13"/>
    <x v="50"/>
    <s v="Truenat MTB-RIF Dx 20 tests"/>
    <n v="5.4"/>
    <s v="Pack"/>
    <m/>
  </r>
  <r>
    <s v="HIV"/>
    <x v="2"/>
    <x v="2"/>
    <s v="Reagents for VL &amp; EID"/>
    <x v="14"/>
    <x v="51"/>
    <s v="Abbott Early Infant Diagnosis Test Kit and Consumable Bundle - 96 tests"/>
    <n v="5.6"/>
    <s v="Pack"/>
    <m/>
  </r>
  <r>
    <s v="HIV"/>
    <x v="2"/>
    <x v="2"/>
    <s v="Reagents for VL &amp; EID"/>
    <x v="14"/>
    <x v="51"/>
    <s v="Alere Early Infant Diagnosis Test Kit - 10 tests"/>
    <n v="5.6"/>
    <s v="Pack"/>
    <m/>
  </r>
  <r>
    <s v="HIV"/>
    <x v="2"/>
    <x v="2"/>
    <s v="Reagents for VL &amp; EID"/>
    <x v="14"/>
    <x v="51"/>
    <s v="Alere Early Infant Diagnosis Test Kit - 50 tests"/>
    <n v="5.6"/>
    <s v="Pack"/>
    <m/>
  </r>
  <r>
    <s v="HIV"/>
    <x v="2"/>
    <x v="2"/>
    <s v="Reagents for VL &amp; EID"/>
    <x v="14"/>
    <x v="51"/>
    <s v="Cepheid Early Infant Diagnosis Test Kit - 10 tests"/>
    <n v="5.6"/>
    <s v="Pack"/>
    <m/>
  </r>
  <r>
    <s v="HIV"/>
    <x v="2"/>
    <x v="2"/>
    <s v="Reagents for VL &amp; EID"/>
    <x v="14"/>
    <x v="51"/>
    <s v="DRW Samba I Early Infant Diagnosis Test Kit - 12 tests"/>
    <n v="5.6"/>
    <s v="Pack"/>
    <m/>
  </r>
  <r>
    <s v="HIV"/>
    <x v="2"/>
    <x v="2"/>
    <s v="Reagents for VL &amp; EID"/>
    <x v="14"/>
    <x v="51"/>
    <s v="DRW Samba II Early Infant Diagnosis Test Kit - 12 tests"/>
    <n v="5.6"/>
    <s v="Pack"/>
    <m/>
  </r>
  <r>
    <s v="HIV"/>
    <x v="2"/>
    <x v="2"/>
    <s v="Reagents for VL &amp; EID"/>
    <x v="14"/>
    <x v="51"/>
    <s v="Other - Enter details in Comments"/>
    <n v="5.6"/>
    <s v="Pack"/>
    <m/>
  </r>
  <r>
    <s v="HIV"/>
    <x v="2"/>
    <x v="2"/>
    <s v="Reagents for VL &amp; EID"/>
    <x v="14"/>
    <x v="51"/>
    <s v="Roche Early Infant Diagnosis Test Kit and Consumable Bundle - 48 tests"/>
    <n v="5.6"/>
    <s v="Pack"/>
    <m/>
  </r>
  <r>
    <s v="HIV"/>
    <x v="2"/>
    <x v="2"/>
    <s v="Reagents for VL &amp; EID"/>
    <x v="14"/>
    <x v="52"/>
    <s v="Abbott Viral Load Test Kit and Consumable Bundle - Plasma - 96 tests"/>
    <n v="5.6"/>
    <s v="Pack"/>
    <m/>
  </r>
  <r>
    <s v="HIV"/>
    <x v="2"/>
    <x v="2"/>
    <s v="Reagents for VL &amp; EID"/>
    <x v="14"/>
    <x v="52"/>
    <s v="Biocentric Viral Load Test Kit and Consumable Bundle - 440 tests"/>
    <n v="5.6"/>
    <s v="Pack"/>
    <m/>
  </r>
  <r>
    <s v="HIV"/>
    <x v="2"/>
    <x v="2"/>
    <s v="Reagents for VL &amp; EID"/>
    <x v="14"/>
    <x v="52"/>
    <s v="bioMerieux Viral Load Test Kit and Consumable Bundle - 48 tests"/>
    <n v="5.6"/>
    <s v="Pack"/>
    <m/>
  </r>
  <r>
    <s v="HIV"/>
    <x v="2"/>
    <x v="2"/>
    <s v="Reagents for VL &amp; EID"/>
    <x v="14"/>
    <x v="52"/>
    <s v="Cepheid Viral Load Test Kit - 10 tests"/>
    <n v="5.6"/>
    <s v="Pack"/>
    <m/>
  </r>
  <r>
    <s v="HIV"/>
    <x v="2"/>
    <x v="2"/>
    <s v="Reagents for VL &amp; EID"/>
    <x v="14"/>
    <x v="52"/>
    <s v="DRW Samba I Viral Load Test Kit - 12 tests"/>
    <n v="5.6"/>
    <s v="Pack"/>
    <m/>
  </r>
  <r>
    <s v="HIV"/>
    <x v="2"/>
    <x v="2"/>
    <s v="Reagents for VL &amp; EID"/>
    <x v="14"/>
    <x v="52"/>
    <s v="DRW Samba II Viral Load Test Kit - 12 tests"/>
    <n v="5.6"/>
    <s v="Pack"/>
    <m/>
  </r>
  <r>
    <s v="HIV"/>
    <x v="2"/>
    <x v="2"/>
    <s v="Reagents for VL &amp; EID"/>
    <x v="14"/>
    <x v="52"/>
    <s v="Hologic Viral Load Test Kit - 100 tests"/>
    <n v="5.6"/>
    <s v="Pack"/>
    <m/>
  </r>
  <r>
    <s v="HIV"/>
    <x v="2"/>
    <x v="2"/>
    <s v="Reagents for VL &amp; EID"/>
    <x v="14"/>
    <x v="52"/>
    <s v="Other - Enter details in Comments"/>
    <n v="5.6"/>
    <s v="Pack"/>
    <m/>
  </r>
  <r>
    <s v="HIV"/>
    <x v="2"/>
    <x v="2"/>
    <s v="Reagents for VL &amp; EID"/>
    <x v="14"/>
    <x v="52"/>
    <s v="Qiagen Viral Load Test Kit and Consumable Bundle - 24 tests"/>
    <n v="5.6"/>
    <s v="Pack"/>
    <m/>
  </r>
  <r>
    <s v="HIV"/>
    <x v="2"/>
    <x v="2"/>
    <s v="Reagents for VL &amp; EID"/>
    <x v="14"/>
    <x v="52"/>
    <s v="Qiagen Viral Load Test Kit and Consumable Bundle - 72 tests"/>
    <n v="5.6"/>
    <s v="Pack"/>
    <m/>
  </r>
  <r>
    <s v="HIV"/>
    <x v="2"/>
    <x v="2"/>
    <s v="Reagents for VL &amp; EID"/>
    <x v="14"/>
    <x v="52"/>
    <s v="Roche Viral Load Test Kit and Consumable Bundle - 48 tests"/>
    <n v="5.6"/>
    <s v="Pack"/>
    <m/>
  </r>
  <r>
    <s v="HIV"/>
    <x v="2"/>
    <x v="3"/>
    <s v="Reagents &amp; Consumables"/>
    <x v="15"/>
    <x v="53"/>
    <s v="Other - Enter details in Comments"/>
    <n v="5.8"/>
    <s v="Pack"/>
    <m/>
  </r>
  <r>
    <s v="HIV"/>
    <x v="2"/>
    <x v="3"/>
    <s v="Reagents &amp; Consumables"/>
    <x v="15"/>
    <x v="53"/>
    <s v="Alere - Pima analyzer bag"/>
    <n v="5.8"/>
    <s v="Pack"/>
    <m/>
  </r>
  <r>
    <s v="HIV"/>
    <x v="2"/>
    <x v="3"/>
    <s v="Reagents &amp; Consumables"/>
    <x v="15"/>
    <x v="53"/>
    <s v="Alere - Pima printer - 1 paper roll included"/>
    <n v="5.8"/>
    <s v="Pack"/>
    <m/>
  </r>
  <r>
    <s v="HIV"/>
    <x v="2"/>
    <x v="3"/>
    <s v="Reagents &amp; Consumables"/>
    <x v="15"/>
    <x v="53"/>
    <s v="Alere - PIMA printer paper roll I non-adhesive - 10 rolls"/>
    <n v="5.8"/>
    <s v="Pack"/>
    <m/>
  </r>
  <r>
    <s v="HIV"/>
    <x v="2"/>
    <x v="3"/>
    <s v="Reagents &amp; Consumables"/>
    <x v="15"/>
    <x v="5"/>
    <s v="Apron Single-use, disposable 100"/>
    <n v="5.8"/>
    <s v="Pack"/>
    <m/>
  </r>
  <r>
    <s v="HIV"/>
    <x v="2"/>
    <x v="3"/>
    <s v="Reagents &amp; Consumables"/>
    <x v="15"/>
    <x v="54"/>
    <s v="BD - FACS clean fluid 5L"/>
    <n v="5.8"/>
    <s v="Pack"/>
    <m/>
  </r>
  <r>
    <s v="HIV"/>
    <x v="2"/>
    <x v="3"/>
    <s v="Reagents &amp; Consumables"/>
    <x v="15"/>
    <x v="54"/>
    <s v="BD - FACS lysing fluid 100ml"/>
    <n v="5.8"/>
    <s v="Pack"/>
    <m/>
  </r>
  <r>
    <s v="HIV"/>
    <x v="2"/>
    <x v="3"/>
    <s v="Reagents &amp; Consumables"/>
    <x v="15"/>
    <x v="54"/>
    <s v="BD - FACS rinse fluid 5L"/>
    <n v="5.8"/>
    <s v="Pack"/>
    <m/>
  </r>
  <r>
    <s v="HIV"/>
    <x v="2"/>
    <x v="3"/>
    <s v="Reagents &amp; Consumables"/>
    <x v="15"/>
    <x v="54"/>
    <s v="BD - FACSflow sheath fluid 20L"/>
    <n v="5.8"/>
    <s v="Pack"/>
    <m/>
  </r>
  <r>
    <s v="HIV"/>
    <x v="2"/>
    <x v="3"/>
    <s v="Reagents &amp; Consumables"/>
    <x v="15"/>
    <x v="55"/>
    <s v="Other - Enter details in Comments"/>
    <n v="5.8"/>
    <s v="Pack"/>
    <m/>
  </r>
  <r>
    <s v="HIV"/>
    <x v="2"/>
    <x v="3"/>
    <s v="Reagents &amp; Consumables"/>
    <x v="15"/>
    <x v="56"/>
    <s v="BD - FACSCount control kit - 25 tests"/>
    <n v="5.8"/>
    <s v="Pack"/>
    <m/>
  </r>
  <r>
    <s v="HIV"/>
    <x v="2"/>
    <x v="3"/>
    <s v="Reagents &amp; Consumables"/>
    <x v="15"/>
    <x v="56"/>
    <s v="BD - FACSCount paper roll thermal - 5 rolls"/>
    <n v="5.8"/>
    <s v="Pack"/>
    <m/>
  </r>
  <r>
    <s v="HIV"/>
    <x v="2"/>
    <x v="3"/>
    <s v="Reagents &amp; Consumables"/>
    <x v="15"/>
    <x v="57"/>
    <s v="BD - FACSPresto printer paper roll - 5 rolls"/>
    <n v="5.8"/>
    <s v="Pack"/>
    <m/>
  </r>
  <r>
    <s v="HIV"/>
    <x v="2"/>
    <x v="3"/>
    <s v="Reagents &amp; Consumables"/>
    <x v="15"/>
    <x v="58"/>
    <s v="Other - Enter details in Comments"/>
    <n v="5.8"/>
    <s v="Pack"/>
    <m/>
  </r>
  <r>
    <s v="HIV"/>
    <x v="2"/>
    <x v="3"/>
    <s v="Reagents &amp; Consumables"/>
    <x v="15"/>
    <x v="59"/>
    <s v="Other - Enter details in Comments"/>
    <n v="5.8"/>
    <s v="Pack"/>
    <m/>
  </r>
  <r>
    <s v="HIV"/>
    <x v="2"/>
    <x v="3"/>
    <s v="Reagents &amp; Consumables"/>
    <x v="15"/>
    <x v="60"/>
    <s v="Other - Enter details in Comments"/>
    <n v="5.8"/>
    <s v="Pack"/>
    <m/>
  </r>
  <r>
    <s v="HIV"/>
    <x v="2"/>
    <x v="3"/>
    <s v="Reagents &amp; Consumables"/>
    <x v="15"/>
    <x v="61"/>
    <s v="Other - Enter details in Comments"/>
    <n v="5.8"/>
    <s v="Pack"/>
    <m/>
  </r>
  <r>
    <s v="HIV"/>
    <x v="2"/>
    <x v="3"/>
    <s v="Reagents &amp; Consumables"/>
    <x v="15"/>
    <x v="62"/>
    <s v="Other - Enter details in Comments"/>
    <n v="5.8"/>
    <s v="Pack"/>
    <m/>
  </r>
  <r>
    <s v="HIV"/>
    <x v="2"/>
    <x v="3"/>
    <s v="Reagents &amp; Consumables"/>
    <x v="15"/>
    <x v="63"/>
    <s v="Other - Enter details in Comments"/>
    <n v="5.8"/>
    <s v="Pack"/>
    <m/>
  </r>
  <r>
    <s v="HIV"/>
    <x v="2"/>
    <x v="3"/>
    <s v="Reagents &amp; Consumables"/>
    <x v="15"/>
    <x v="64"/>
    <s v="Other - Enter details in Comments"/>
    <n v="5.8"/>
    <s v="Pack"/>
    <m/>
  </r>
  <r>
    <s v="HIV"/>
    <x v="2"/>
    <x v="3"/>
    <s v="Reagents &amp; Consumables"/>
    <x v="15"/>
    <x v="65"/>
    <s v="Sputum cup 1000 units"/>
    <n v="5.8"/>
    <s v="Pack"/>
    <m/>
  </r>
  <r>
    <s v="HIV"/>
    <x v="2"/>
    <x v="3"/>
    <s v="Reagents &amp; Consumables"/>
    <x v="15"/>
    <x v="6"/>
    <s v="Faceshield, disposable"/>
    <n v="5.8"/>
    <s v="Piece"/>
    <m/>
  </r>
  <r>
    <s v="HIV"/>
    <x v="2"/>
    <x v="3"/>
    <s v="Reagents &amp; Consumables"/>
    <x v="15"/>
    <x v="66"/>
    <s v="Other - Enter details in Comments"/>
    <n v="5.8"/>
    <s v="Pack"/>
    <m/>
  </r>
  <r>
    <s v="HIV"/>
    <x v="2"/>
    <x v="3"/>
    <s v="Reagents &amp; Consumables"/>
    <x v="15"/>
    <x v="7"/>
    <s v="Gloves, Examination - Latex - non-sterile, single-use, disposable, powder-free 100"/>
    <n v="5.8"/>
    <s v="Pack"/>
    <m/>
  </r>
  <r>
    <s v="HIV"/>
    <x v="2"/>
    <x v="3"/>
    <s v="Reagents &amp; Consumables"/>
    <x v="15"/>
    <x v="7"/>
    <s v="Gloves, Examination - Nitrile - non-sterile, single-use, disposable, powder-free100"/>
    <n v="5.8"/>
    <s v="Pack"/>
    <m/>
  </r>
  <r>
    <s v="HIV"/>
    <x v="2"/>
    <x v="3"/>
    <s v="Reagents &amp; Consumables"/>
    <x v="15"/>
    <x v="7"/>
    <s v="Gloves, Surgical - sterile, single-use, disposable, powder-free pair"/>
    <n v="5.8"/>
    <s v="Each"/>
    <m/>
  </r>
  <r>
    <s v="HIV"/>
    <x v="2"/>
    <x v="3"/>
    <s v="Reagents &amp; Consumables"/>
    <x v="15"/>
    <x v="8"/>
    <s v="Goggles, protective, indirect side-ventilation"/>
    <n v="5.8"/>
    <s v="Piece"/>
    <m/>
  </r>
  <r>
    <s v="HIV"/>
    <x v="2"/>
    <x v="3"/>
    <s v="Reagents &amp; Consumables"/>
    <x v="15"/>
    <x v="9"/>
    <s v="Gown, Isolation non-sterile, single-use, disposable, blood-borne pathogens"/>
    <n v="5.8"/>
    <s v="Piece "/>
    <m/>
  </r>
  <r>
    <s v="HIV"/>
    <x v="2"/>
    <x v="3"/>
    <s v="Reagents &amp; Consumables"/>
    <x v="15"/>
    <x v="9"/>
    <s v="Gown, Surgical non-sterile, single-use, disposable, high perfusion"/>
    <n v="5.8"/>
    <s v="Piece "/>
    <m/>
  </r>
  <r>
    <s v="HIV"/>
    <x v="2"/>
    <x v="3"/>
    <s v="Reagents &amp; Consumables"/>
    <x v="15"/>
    <x v="9"/>
    <s v="Gown, Surgical sterile, single-use, disposable, high perfusion"/>
    <n v="5.8"/>
    <s v="Piece "/>
    <m/>
  </r>
  <r>
    <s v="HIV"/>
    <x v="2"/>
    <x v="3"/>
    <s v="Reagents &amp; Consumables"/>
    <x v="15"/>
    <x v="9"/>
    <s v="Gown, Surgical sterile, single-use, disposable, standard perfusion"/>
    <n v="5.8"/>
    <s v="Piece "/>
    <m/>
  </r>
  <r>
    <s v="HIV"/>
    <x v="2"/>
    <x v="3"/>
    <s v="Reagents &amp; Consumables"/>
    <x v="15"/>
    <x v="10"/>
    <s v="Mask, Medical, Type I, single-use, disposable 50"/>
    <n v="5.8"/>
    <s v="Pack"/>
    <m/>
  </r>
  <r>
    <s v="HIV"/>
    <x v="2"/>
    <x v="3"/>
    <s v="Reagents &amp; Consumables"/>
    <x v="15"/>
    <x v="10"/>
    <s v="Mask, Surgical, Type IIR fluid resistant, single-use, disposable 50"/>
    <n v="5.8"/>
    <s v="Pack"/>
    <m/>
  </r>
  <r>
    <s v="HIV"/>
    <x v="2"/>
    <x v="3"/>
    <s v="Reagents &amp; Consumables"/>
    <x v="15"/>
    <x v="12"/>
    <s v="Airflow test set"/>
    <n v="5.8"/>
    <s v="Each"/>
    <m/>
  </r>
  <r>
    <s v="HIV"/>
    <x v="2"/>
    <x v="3"/>
    <s v="Reagents &amp; Consumables"/>
    <x v="15"/>
    <x v="12"/>
    <s v="Refill for airflow test set"/>
    <n v="5.8"/>
    <s v="Each"/>
    <m/>
  </r>
  <r>
    <s v="HIV"/>
    <x v="2"/>
    <x v="3"/>
    <s v="Reagents &amp; Consumables"/>
    <x v="15"/>
    <x v="12"/>
    <s v="Respirator, High-filt, FPP2/N95, no-valve, non-sterile 20"/>
    <n v="5.8"/>
    <s v="Pack"/>
    <m/>
  </r>
  <r>
    <s v="HIV"/>
    <x v="2"/>
    <x v="3"/>
    <s v="Reagents &amp; Consumables"/>
    <x v="15"/>
    <x v="12"/>
    <s v="Respirator, High-filt, FPP2/N95, valve, non-sterile 20"/>
    <n v="5.8"/>
    <s v="Pack"/>
    <m/>
  </r>
  <r>
    <s v="HIV"/>
    <x v="2"/>
    <x v="3"/>
    <s v="Reagents &amp; Consumables"/>
    <x v="15"/>
    <x v="67"/>
    <s v="Other - Enter details in Comments"/>
    <n v="5.7"/>
    <s v="Pack"/>
    <m/>
  </r>
  <r>
    <s v="HIV"/>
    <x v="2"/>
    <x v="3"/>
    <s v="Reagents &amp; Consumables"/>
    <x v="15"/>
    <x v="68"/>
    <s v="Other - Enter details in Comments"/>
    <n v="5.8"/>
    <s v="Pack"/>
    <m/>
  </r>
  <r>
    <s v="HIV"/>
    <x v="2"/>
    <x v="3"/>
    <s v="Reagents &amp; Consumables"/>
    <x v="15"/>
    <x v="68"/>
    <s v="Sysmex - Partec Cyflow paper roll thermal - 5 rolls"/>
    <n v="5.8"/>
    <s v="Pack"/>
    <m/>
  </r>
  <r>
    <s v="HIV"/>
    <x v="2"/>
    <x v="3"/>
    <s v="Reagents &amp; Consumables"/>
    <x v="15"/>
    <x v="68"/>
    <s v="Sysmex - Partec Cyflow cleaning solution 250ml"/>
    <n v="5.8"/>
    <s v="Pack"/>
    <m/>
  </r>
  <r>
    <s v="HIV"/>
    <x v="2"/>
    <x v="3"/>
    <s v="Reagents &amp; Consumables"/>
    <x v="15"/>
    <x v="68"/>
    <s v="Sysmex - Partec Cyflow CountCheck Beads Green - 50 tests"/>
    <n v="5.8"/>
    <s v="Pack"/>
    <m/>
  </r>
  <r>
    <s v="HIV"/>
    <x v="2"/>
    <x v="3"/>
    <s v="Reagents &amp; Consumables"/>
    <x v="15"/>
    <x v="68"/>
    <s v="Sysmex - Partec Cyflow CountCheck Beads Green dry - 100 tests"/>
    <n v="5.8"/>
    <s v="Pack"/>
    <m/>
  </r>
  <r>
    <s v="HIV"/>
    <x v="2"/>
    <x v="3"/>
    <s v="Reagents &amp; Consumables"/>
    <x v="15"/>
    <x v="68"/>
    <s v="Sysmex - Partec Cyflow decontamination solution 250ml"/>
    <n v="5.8"/>
    <s v="Pack"/>
    <m/>
  </r>
  <r>
    <s v="HIV"/>
    <x v="2"/>
    <x v="3"/>
    <s v="Reagents &amp; Consumables"/>
    <x v="15"/>
    <x v="68"/>
    <s v="Sysmex - Partec Cyflow hypochlorite solution 250ml"/>
    <n v="5.8"/>
    <s v="Pack"/>
    <m/>
  </r>
  <r>
    <s v="HIV"/>
    <x v="2"/>
    <x v="3"/>
    <s v="Reagents &amp; Consumables"/>
    <x v="15"/>
    <x v="68"/>
    <s v="Sysmex - Partec Cyflow pipette tips 2-200ul - pack of 1000"/>
    <n v="5.8"/>
    <s v="Pack"/>
    <m/>
  </r>
  <r>
    <s v="HIV"/>
    <x v="2"/>
    <x v="3"/>
    <s v="Reagents &amp; Consumables"/>
    <x v="15"/>
    <x v="68"/>
    <s v="Sysmex - Partec Cyflow pipette tips 50-1000ul - pack of 1000"/>
    <n v="5.8"/>
    <s v="Pack"/>
    <m/>
  </r>
  <r>
    <s v="HIV"/>
    <x v="2"/>
    <x v="3"/>
    <s v="Reagents &amp; Consumables"/>
    <x v="15"/>
    <x v="68"/>
    <s v="Sysmex - Partec Cyflow sheath fluid 5L"/>
    <n v="5.8"/>
    <s v="Pack"/>
    <m/>
  </r>
  <r>
    <s v="HIV"/>
    <x v="2"/>
    <x v="3"/>
    <s v="Reagents &amp; Consumables"/>
    <x v="15"/>
    <x v="68"/>
    <s v="Sysmex - Partec Cyflow tube 3.5ml - 500"/>
    <n v="5.8"/>
    <s v="Pack"/>
    <m/>
  </r>
  <r>
    <s v="HIV"/>
    <x v="2"/>
    <x v="3"/>
    <s v="Reagents &amp; Consumables"/>
    <x v="15"/>
    <x v="69"/>
    <s v="Other - Enter details in Comments"/>
    <n v="5.8"/>
    <s v="Pack"/>
    <m/>
  </r>
  <r>
    <s v="HIV"/>
    <x v="2"/>
    <x v="3"/>
    <s v="Reagents &amp; Consumables"/>
    <x v="16"/>
    <x v="70"/>
    <s v="CD4 cartridge kit - 100 tests"/>
    <n v="5.6"/>
    <s v="Pack"/>
    <m/>
  </r>
  <r>
    <s v="HIV"/>
    <x v="2"/>
    <x v="3"/>
    <s v="Reagents &amp; Consumables"/>
    <x v="16"/>
    <x v="70"/>
    <s v="Pima bead standards - 1 kit"/>
    <n v="5.6"/>
    <s v="Pack"/>
    <m/>
  </r>
  <r>
    <s v="HIV"/>
    <x v="2"/>
    <x v="3"/>
    <s v="Reagents &amp; Consumables"/>
    <x v="16"/>
    <x v="71"/>
    <s v="Other - Enter details in Comments"/>
    <n v="5.6"/>
    <s v="Pack"/>
    <m/>
  </r>
  <r>
    <s v="HIV"/>
    <x v="2"/>
    <x v="3"/>
    <s v="Reagents &amp; Consumables"/>
    <x v="16"/>
    <x v="54"/>
    <s v="Calibrite 3-color beads kit - 25 tests"/>
    <n v="5.6"/>
    <s v="Pack"/>
    <m/>
  </r>
  <r>
    <s v="HIV"/>
    <x v="2"/>
    <x v="3"/>
    <s v="Reagents &amp; Consumables"/>
    <x v="16"/>
    <x v="54"/>
    <s v="CD3/CD4/CD45 reagent tritest - 50 tests"/>
    <n v="5.6"/>
    <s v="Pack"/>
    <m/>
  </r>
  <r>
    <s v="HIV"/>
    <x v="2"/>
    <x v="3"/>
    <s v="Reagents &amp; Consumables"/>
    <x v="16"/>
    <x v="54"/>
    <s v="Trucount controls - 30 tests"/>
    <n v="5.6"/>
    <s v="Pack"/>
    <m/>
  </r>
  <r>
    <s v="HIV"/>
    <x v="2"/>
    <x v="3"/>
    <s v="Reagents &amp; Consumables"/>
    <x v="16"/>
    <x v="72"/>
    <s v="Other - Enter details in Comments"/>
    <n v="5.6"/>
    <s v="Pack"/>
    <m/>
  </r>
  <r>
    <s v="HIV"/>
    <x v="2"/>
    <x v="3"/>
    <s v="Reagents &amp; Consumables"/>
    <x v="16"/>
    <x v="56"/>
    <s v="CD4 reagent kit - 50 tests"/>
    <n v="5.6"/>
    <s v="Pack"/>
    <m/>
  </r>
  <r>
    <s v="HIV"/>
    <x v="2"/>
    <x v="3"/>
    <s v="Reagents &amp; Consumables"/>
    <x v="16"/>
    <x v="56"/>
    <s v="CD4/CD8/CD3 reagent kit - 50 tests"/>
    <n v="5.6"/>
    <s v="Pack"/>
    <m/>
  </r>
  <r>
    <s v="HIV"/>
    <x v="2"/>
    <x v="3"/>
    <s v="Reagents &amp; Consumables"/>
    <x v="16"/>
    <x v="57"/>
    <s v="BD - FACSPresto cartridge kit - 100 tests"/>
    <n v="5.6"/>
    <s v="Pack"/>
    <m/>
  </r>
  <r>
    <s v="HIV"/>
    <x v="2"/>
    <x v="3"/>
    <s v="Reagents &amp; Consumables"/>
    <x v="16"/>
    <x v="73"/>
    <s v="CD4 control (blood) low - 2.5ml - 1 vial"/>
    <n v="5.6"/>
    <s v="Pack"/>
    <m/>
  </r>
  <r>
    <s v="HIV"/>
    <x v="2"/>
    <x v="3"/>
    <s v="Reagents &amp; Consumables"/>
    <x v="16"/>
    <x v="73"/>
    <s v="Control (blood) - 2.5ml - 1 vial"/>
    <n v="5.6"/>
    <s v="Pack"/>
    <m/>
  </r>
  <r>
    <s v="HIV"/>
    <x v="2"/>
    <x v="3"/>
    <s v="Reagents &amp; Consumables"/>
    <x v="16"/>
    <x v="74"/>
    <s v="Other - Enter details in Comments"/>
    <n v="5.6"/>
    <s v="Pack"/>
    <m/>
  </r>
  <r>
    <s v="HIV"/>
    <x v="2"/>
    <x v="3"/>
    <s v="Reagents &amp; Consumables"/>
    <x v="16"/>
    <x v="75"/>
    <s v="Other - Enter details in Comments"/>
    <n v="5.6"/>
    <s v="Pack"/>
    <m/>
  </r>
  <r>
    <s v="HIV"/>
    <x v="2"/>
    <x v="3"/>
    <s v="Reagents &amp; Consumables"/>
    <x v="16"/>
    <x v="76"/>
    <s v="Other - Enter details in Comments"/>
    <n v="5.6"/>
    <s v="Pack"/>
    <m/>
  </r>
  <r>
    <s v="HIV"/>
    <x v="2"/>
    <x v="3"/>
    <s v="Reagents &amp; Consumables"/>
    <x v="16"/>
    <x v="77"/>
    <s v="Other - Enter details in Comments"/>
    <n v="5.6"/>
    <s v="Pack"/>
    <m/>
  </r>
  <r>
    <s v="HIV"/>
    <x v="2"/>
    <x v="3"/>
    <s v="Reagents &amp; Consumables"/>
    <x v="16"/>
    <x v="78"/>
    <s v="Other - Enter details in Comments"/>
    <n v="5.6"/>
    <s v="Pack"/>
    <m/>
  </r>
  <r>
    <s v="HIV"/>
    <x v="2"/>
    <x v="3"/>
    <s v="Reagents &amp; Consumables"/>
    <x v="16"/>
    <x v="79"/>
    <s v="CD4 easy count kit - 100 tests"/>
    <n v="5.6"/>
    <s v="Pack"/>
    <m/>
  </r>
  <r>
    <s v="HIV"/>
    <x v="2"/>
    <x v="3"/>
    <s v="Reagents &amp; Consumables"/>
    <x v="16"/>
    <x v="79"/>
    <s v="CD4 easy count kit dry - 100 tests"/>
    <n v="5.6"/>
    <s v="Pack"/>
    <m/>
  </r>
  <r>
    <s v="HIV"/>
    <x v="2"/>
    <x v="3"/>
    <s v="Reagents &amp; Consumables"/>
    <x v="16"/>
    <x v="79"/>
    <s v="CD4% easy count kit - 100 tests"/>
    <n v="5.6"/>
    <s v="Pack"/>
    <m/>
  </r>
  <r>
    <s v="HIV"/>
    <x v="2"/>
    <x v="3"/>
    <s v="Reagents &amp; Consumables"/>
    <x v="16"/>
    <x v="79"/>
    <s v="CD4% easy count kit dry - 100 tests"/>
    <n v="5.6"/>
    <s v="Pack"/>
    <m/>
  </r>
  <r>
    <s v="HIV"/>
    <x v="2"/>
    <x v="3"/>
    <s v="Reagents &amp; Consumables"/>
    <x v="16"/>
    <x v="80"/>
    <s v="Other - Enter details in Comments"/>
    <n v="5.6"/>
    <s v="Pack"/>
    <m/>
  </r>
  <r>
    <s v="HIV"/>
    <x v="2"/>
    <x v="3"/>
    <s v="Reagents &amp; Consumables"/>
    <x v="17"/>
    <x v="81"/>
    <s v="Other - Enter details in Comments"/>
    <n v="5.6"/>
    <s v="Pack"/>
    <m/>
  </r>
  <r>
    <s v="HIV"/>
    <x v="2"/>
    <x v="3"/>
    <s v="Reagents &amp; Consumables"/>
    <x v="18"/>
    <x v="82"/>
    <s v="Other - Enter details in Comments"/>
    <n v="5.8"/>
    <s v="Pack"/>
    <m/>
  </r>
  <r>
    <s v="HIV"/>
    <x v="2"/>
    <x v="3"/>
    <s v="Reagents &amp; Consumables"/>
    <x v="18"/>
    <x v="82"/>
    <s v="Bag, biohazard 100"/>
    <n v="5.8"/>
    <s v="Pack"/>
    <m/>
  </r>
  <r>
    <s v="HIV"/>
    <x v="2"/>
    <x v="3"/>
    <s v="Reagents &amp; Consumables"/>
    <x v="18"/>
    <x v="82"/>
    <s v="Container, sharps"/>
    <n v="5.8"/>
    <s v="Each"/>
    <m/>
  </r>
  <r>
    <s v="HIV"/>
    <x v="2"/>
    <x v="3"/>
    <s v="Reagents &amp; Consumables"/>
    <x v="18"/>
    <x v="82"/>
    <s v="Container, used needles &amp; syringes"/>
    <n v="5.8"/>
    <s v="Each"/>
    <m/>
  </r>
  <r>
    <s v="HIV"/>
    <x v="2"/>
    <x v="3"/>
    <s v="Reagents &amp; Consumables"/>
    <x v="18"/>
    <x v="83"/>
    <s v="Other - Enter details in Comments"/>
    <n v="5.6"/>
    <s v="Pack"/>
    <m/>
  </r>
  <r>
    <s v="HIV"/>
    <x v="3"/>
    <x v="0"/>
    <s v="ARVs"/>
    <x v="19"/>
    <x v="84"/>
    <s v="20mg/ml oral solution 240ml"/>
    <n v="4.0999999999999996"/>
    <s v="Pack"/>
    <m/>
  </r>
  <r>
    <s v="HIV"/>
    <x v="3"/>
    <x v="0"/>
    <s v="ARVs"/>
    <x v="19"/>
    <x v="84"/>
    <s v="300mg tablet 60"/>
    <n v="4.0999999999999996"/>
    <s v="Pack"/>
    <m/>
  </r>
  <r>
    <s v="HIV"/>
    <x v="3"/>
    <x v="0"/>
    <s v="ARVs"/>
    <x v="19"/>
    <x v="84"/>
    <s v="60mg tablet dispersible 60"/>
    <n v="4.0999999999999996"/>
    <s v="Pack"/>
    <m/>
  </r>
  <r>
    <s v="HIV"/>
    <x v="3"/>
    <x v="0"/>
    <s v="ARVs"/>
    <x v="19"/>
    <x v="85"/>
    <s v="600/50/300mg tablet 30"/>
    <n v="4.0999999999999996"/>
    <s v="Pack"/>
    <m/>
  </r>
  <r>
    <s v="HIV"/>
    <x v="3"/>
    <x v="0"/>
    <s v="ARVs"/>
    <x v="19"/>
    <x v="86"/>
    <s v="120/60mg scored tablet dispersible 30"/>
    <n v="4.0999999999999996"/>
    <s v="Pack"/>
    <m/>
  </r>
  <r>
    <s v="HIV"/>
    <x v="3"/>
    <x v="0"/>
    <s v="ARVs"/>
    <x v="19"/>
    <x v="86"/>
    <s v="60/30mg tablet dispersible 60"/>
    <n v="4.0999999999999996"/>
    <s v="Pack"/>
    <m/>
  </r>
  <r>
    <s v="HIV"/>
    <x v="3"/>
    <x v="0"/>
    <s v="ARVs"/>
    <x v="19"/>
    <x v="86"/>
    <s v="600/300mg tablet 30"/>
    <n v="4.0999999999999996"/>
    <s v="Pack"/>
    <m/>
  </r>
  <r>
    <s v="HIV"/>
    <x v="3"/>
    <x v="0"/>
    <s v="ARVs"/>
    <x v="19"/>
    <x v="87"/>
    <s v="300/150/300mg tablet 60"/>
    <n v="4.0999999999999996"/>
    <s v="Pack"/>
    <m/>
  </r>
  <r>
    <s v="HIV"/>
    <x v="3"/>
    <x v="0"/>
    <s v="ARVs"/>
    <x v="19"/>
    <x v="87"/>
    <s v="60/30/60mg tablet 60"/>
    <n v="4.0999999999999996"/>
    <s v="Pack"/>
    <m/>
  </r>
  <r>
    <s v="HIV"/>
    <x v="3"/>
    <x v="0"/>
    <s v="ARVs"/>
    <x v="19"/>
    <x v="88"/>
    <s v="150mg capsule 60"/>
    <n v="4.0999999999999996"/>
    <s v="Pack"/>
    <m/>
  </r>
  <r>
    <s v="HIV"/>
    <x v="3"/>
    <x v="0"/>
    <s v="ARVs"/>
    <x v="19"/>
    <x v="88"/>
    <s v="200mg capsule 60"/>
    <n v="4.0999999999999996"/>
    <s v="Pack"/>
    <m/>
  </r>
  <r>
    <s v="HIV"/>
    <x v="3"/>
    <x v="0"/>
    <s v="ARVs"/>
    <x v="19"/>
    <x v="88"/>
    <s v="300mg capsule 30"/>
    <n v="4.0999999999999996"/>
    <s v="Pack"/>
    <m/>
  </r>
  <r>
    <s v="HIV"/>
    <x v="3"/>
    <x v="0"/>
    <s v="ARVs"/>
    <x v="19"/>
    <x v="89"/>
    <s v="300/100mg tablet 30"/>
    <n v="4.0999999999999996"/>
    <s v="Pack"/>
    <m/>
  </r>
  <r>
    <s v="HIV"/>
    <x v="3"/>
    <x v="0"/>
    <s v="ARVs"/>
    <x v="19"/>
    <x v="90"/>
    <s v="150mg tablet 240"/>
    <n v="4.0999999999999996"/>
    <s v="Pack"/>
    <m/>
  </r>
  <r>
    <s v="HIV"/>
    <x v="3"/>
    <x v="0"/>
    <s v="ARVs"/>
    <x v="19"/>
    <x v="90"/>
    <s v="400mg tablet 60"/>
    <n v="4.0999999999999996"/>
    <s v="Pack"/>
    <m/>
  </r>
  <r>
    <s v="HIV"/>
    <x v="3"/>
    <x v="0"/>
    <s v="ARVs"/>
    <x v="19"/>
    <x v="90"/>
    <s v="600mg tablet 60"/>
    <n v="4.0999999999999996"/>
    <s v="Pack"/>
    <m/>
  </r>
  <r>
    <s v="HIV"/>
    <x v="3"/>
    <x v="0"/>
    <s v="ARVs"/>
    <x v="19"/>
    <x v="90"/>
    <s v="75mg tablet 480"/>
    <n v="4.0999999999999996"/>
    <s v="Pack"/>
    <m/>
  </r>
  <r>
    <s v="HIV"/>
    <x v="3"/>
    <x v="0"/>
    <s v="ARVs"/>
    <x v="19"/>
    <x v="91"/>
    <s v="400/50mg tablet 60"/>
    <n v="4.0999999999999996"/>
    <s v="Pack"/>
    <m/>
  </r>
  <r>
    <s v="HIV"/>
    <x v="3"/>
    <x v="0"/>
    <s v="ARVs"/>
    <x v="19"/>
    <x v="92"/>
    <s v="10mg tablet 60"/>
    <n v="4.0999999999999996"/>
    <s v="Pack"/>
    <m/>
  </r>
  <r>
    <s v="HIV"/>
    <x v="3"/>
    <x v="0"/>
    <s v="ARVs"/>
    <x v="19"/>
    <x v="92"/>
    <s v="50mg tablet 30"/>
    <n v="4.0999999999999996"/>
    <s v="Pack"/>
    <m/>
  </r>
  <r>
    <s v="HIV"/>
    <x v="3"/>
    <x v="0"/>
    <s v="ARVs"/>
    <x v="19"/>
    <x v="92"/>
    <s v="5mg tablet dispersible 60"/>
    <n v="4.0999999999999996"/>
    <s v="Pack"/>
    <m/>
  </r>
  <r>
    <s v="HIV"/>
    <x v="3"/>
    <x v="0"/>
    <s v="ARVs"/>
    <x v="19"/>
    <x v="93"/>
    <s v="50/300/300mg tablet 180 - no carton"/>
    <n v="4.0999999999999996"/>
    <s v="Pack"/>
    <m/>
  </r>
  <r>
    <s v="HIV"/>
    <x v="3"/>
    <x v="0"/>
    <s v="ARVs"/>
    <x v="19"/>
    <x v="93"/>
    <s v="50/300/300mg tablet 30"/>
    <n v="4.0999999999999996"/>
    <s v="Pack"/>
    <m/>
  </r>
  <r>
    <s v="HIV"/>
    <x v="3"/>
    <x v="0"/>
    <s v="ARVs"/>
    <x v="19"/>
    <x v="93"/>
    <s v="50/300/300mg tablet 30 - no carton"/>
    <n v="4.0999999999999996"/>
    <s v="Pack"/>
    <m/>
  </r>
  <r>
    <s v="HIV"/>
    <x v="3"/>
    <x v="0"/>
    <s v="ARVs"/>
    <x v="19"/>
    <x v="93"/>
    <s v="50/300/300mg tablet 90 - no carton"/>
    <n v="4.0999999999999996"/>
    <s v="Pack"/>
    <m/>
  </r>
  <r>
    <s v="HIV"/>
    <x v="3"/>
    <x v="0"/>
    <s v="ARVs"/>
    <x v="19"/>
    <x v="94"/>
    <s v="200mg tablet 30"/>
    <n v="4.0999999999999996"/>
    <s v="Pack"/>
    <m/>
  </r>
  <r>
    <s v="HIV"/>
    <x v="3"/>
    <x v="0"/>
    <s v="ARVs"/>
    <x v="19"/>
    <x v="94"/>
    <s v="200mg tablet double scored 90"/>
    <n v="4.0999999999999996"/>
    <s v="Pack"/>
    <m/>
  </r>
  <r>
    <s v="HIV"/>
    <x v="3"/>
    <x v="0"/>
    <s v="ARVs"/>
    <x v="19"/>
    <x v="94"/>
    <s v="200mg tablet single scored 90"/>
    <n v="4.0999999999999996"/>
    <s v="Pack"/>
    <m/>
  </r>
  <r>
    <s v="HIV"/>
    <x v="3"/>
    <x v="0"/>
    <s v="ARVs"/>
    <x v="19"/>
    <x v="94"/>
    <s v="50mg tablet 30"/>
    <n v="4.0999999999999996"/>
    <s v="Pack"/>
    <m/>
  </r>
  <r>
    <s v="HIV"/>
    <x v="3"/>
    <x v="0"/>
    <s v="ARVs"/>
    <x v="19"/>
    <x v="94"/>
    <s v="600mg tablet 30"/>
    <n v="4.0999999999999996"/>
    <s v="Pack"/>
    <m/>
  </r>
  <r>
    <s v="HIV"/>
    <x v="3"/>
    <x v="0"/>
    <s v="ARVs"/>
    <x v="19"/>
    <x v="95"/>
    <s v="600/200/300mg tablet 30"/>
    <n v="4.0999999999999996"/>
    <s v="Pack"/>
    <m/>
  </r>
  <r>
    <s v="HIV"/>
    <x v="3"/>
    <x v="0"/>
    <s v="ARVs"/>
    <x v="19"/>
    <x v="95"/>
    <s v="600/200mg/300mg tablet 30 - no carton"/>
    <n v="4.0999999999999996"/>
    <s v="Pack"/>
    <m/>
  </r>
  <r>
    <s v="HIV"/>
    <x v="3"/>
    <x v="0"/>
    <s v="ARVs"/>
    <x v="19"/>
    <x v="96"/>
    <s v="400/300/300mg tablet 180 - no carton"/>
    <n v="4.0999999999999996"/>
    <s v="Pack"/>
    <m/>
  </r>
  <r>
    <s v="HIV"/>
    <x v="3"/>
    <x v="0"/>
    <s v="ARVs"/>
    <x v="19"/>
    <x v="96"/>
    <s v="400/300/300mg tablet 30"/>
    <n v="4.0999999999999996"/>
    <s v="Pack"/>
    <m/>
  </r>
  <r>
    <s v="HIV"/>
    <x v="3"/>
    <x v="0"/>
    <s v="ARVs"/>
    <x v="19"/>
    <x v="96"/>
    <s v="400/300/300mg tablet 30 - no carton"/>
    <n v="4.0999999999999996"/>
    <s v="Pack"/>
    <m/>
  </r>
  <r>
    <s v="HIV"/>
    <x v="3"/>
    <x v="0"/>
    <s v="ARVs"/>
    <x v="19"/>
    <x v="96"/>
    <s v="400/300/300mg tablet 90 - no carton"/>
    <n v="4.0999999999999996"/>
    <s v="Pack"/>
    <m/>
  </r>
  <r>
    <s v="HIV"/>
    <x v="3"/>
    <x v="0"/>
    <s v="ARVs"/>
    <x v="19"/>
    <x v="96"/>
    <s v="600/300/300mg tablet 180 - no carton"/>
    <n v="4.0999999999999996"/>
    <s v="Pack"/>
    <m/>
  </r>
  <r>
    <s v="HIV"/>
    <x v="3"/>
    <x v="0"/>
    <s v="ARVs"/>
    <x v="19"/>
    <x v="96"/>
    <s v="600/300/300mg tablet 30"/>
    <n v="4.0999999999999996"/>
    <s v="Pack"/>
    <m/>
  </r>
  <r>
    <s v="HIV"/>
    <x v="3"/>
    <x v="0"/>
    <s v="ARVs"/>
    <x v="19"/>
    <x v="96"/>
    <s v="600/300/300mg tablet 30 - no carton"/>
    <n v="4.0999999999999996"/>
    <s v="Pack"/>
    <m/>
  </r>
  <r>
    <s v="HIV"/>
    <x v="3"/>
    <x v="0"/>
    <s v="ARVs"/>
    <x v="19"/>
    <x v="96"/>
    <s v="600/300/300mg tablet 90 - no carton"/>
    <n v="4.0999999999999996"/>
    <s v="Pack"/>
    <m/>
  </r>
  <r>
    <s v="HIV"/>
    <x v="3"/>
    <x v="0"/>
    <s v="ARVs"/>
    <x v="19"/>
    <x v="97"/>
    <s v="10mg/ml - Oral solution - Bottle of 170 ml"/>
    <n v="4.0999999999999996"/>
    <s v="Pack"/>
    <m/>
  </r>
  <r>
    <s v="HIV"/>
    <x v="3"/>
    <x v="0"/>
    <s v="ARVs"/>
    <x v="19"/>
    <x v="97"/>
    <s v="200mg - Capsule - Bottle of 30"/>
    <n v="4.0999999999999996"/>
    <s v="Pack"/>
    <m/>
  </r>
  <r>
    <s v="HIV"/>
    <x v="3"/>
    <x v="0"/>
    <s v="ARVs"/>
    <x v="19"/>
    <x v="98"/>
    <s v="200/300mg tablet 30"/>
    <n v="4.0999999999999996"/>
    <s v="Pack"/>
    <m/>
  </r>
  <r>
    <s v="HIV"/>
    <x v="3"/>
    <x v="0"/>
    <s v="ARVs"/>
    <x v="19"/>
    <x v="99"/>
    <s v="100mg tablet 120"/>
    <n v="4.0999999999999996"/>
    <s v="Pack"/>
    <m/>
  </r>
  <r>
    <s v="HIV"/>
    <x v="3"/>
    <x v="0"/>
    <s v="ARVs"/>
    <x v="19"/>
    <x v="99"/>
    <s v="200mg tablet 60"/>
    <n v="4.0999999999999996"/>
    <s v="Pack"/>
    <m/>
  </r>
  <r>
    <s v="HIV"/>
    <x v="3"/>
    <x v="0"/>
    <s v="ARVs"/>
    <x v="19"/>
    <x v="99"/>
    <s v="25mg tablet 120"/>
    <n v="4.0999999999999996"/>
    <s v="Pack"/>
    <m/>
  </r>
  <r>
    <s v="HIV"/>
    <x v="3"/>
    <x v="0"/>
    <s v="ARVs"/>
    <x v="19"/>
    <x v="100"/>
    <s v="10mg/ml oral solution 100ml"/>
    <n v="4.0999999999999996"/>
    <s v="Pack"/>
    <m/>
  </r>
  <r>
    <s v="HIV"/>
    <x v="3"/>
    <x v="0"/>
    <s v="ARVs"/>
    <x v="19"/>
    <x v="100"/>
    <s v="10mg/ml oral solution 240ml"/>
    <n v="4.0999999999999996"/>
    <s v="Pack"/>
    <m/>
  </r>
  <r>
    <s v="HIV"/>
    <x v="3"/>
    <x v="0"/>
    <s v="ARVs"/>
    <x v="19"/>
    <x v="100"/>
    <s v="150mg tablet 60"/>
    <n v="4.0999999999999996"/>
    <s v="Pack"/>
    <m/>
  </r>
  <r>
    <s v="HIV"/>
    <x v="3"/>
    <x v="0"/>
    <s v="ARVs"/>
    <x v="19"/>
    <x v="101"/>
    <s v="30/50/60mg tablet dispersible 60"/>
    <n v="4.0999999999999996"/>
    <s v="Pack"/>
    <m/>
  </r>
  <r>
    <s v="HIV"/>
    <x v="3"/>
    <x v="0"/>
    <s v="ARVs"/>
    <x v="19"/>
    <x v="102"/>
    <s v="300/300mg tablet 30"/>
    <n v="4.0999999999999996"/>
    <s v="Pack"/>
    <m/>
  </r>
  <r>
    <s v="HIV"/>
    <x v="3"/>
    <x v="0"/>
    <s v="ARVs"/>
    <x v="19"/>
    <x v="103"/>
    <s v="150/300mg tablet 60"/>
    <n v="4.0999999999999996"/>
    <s v="Pack"/>
    <m/>
  </r>
  <r>
    <s v="HIV"/>
    <x v="3"/>
    <x v="0"/>
    <s v="ARVs"/>
    <x v="19"/>
    <x v="103"/>
    <s v="30/60mg tablet dispersible 60"/>
    <n v="4.0999999999999996"/>
    <s v="Pack"/>
    <m/>
  </r>
  <r>
    <s v="HIV"/>
    <x v="3"/>
    <x v="0"/>
    <s v="ARVs"/>
    <x v="19"/>
    <x v="104"/>
    <s v="100/25mg tablet 120"/>
    <n v="4.0999999999999996"/>
    <s v="Pack"/>
    <m/>
  </r>
  <r>
    <s v="HIV"/>
    <x v="3"/>
    <x v="0"/>
    <s v="ARVs"/>
    <x v="19"/>
    <x v="104"/>
    <s v="100/25mg tablet 60"/>
    <n v="4.0999999999999996"/>
    <s v="Pack"/>
    <m/>
  </r>
  <r>
    <s v="HIV"/>
    <x v="3"/>
    <x v="0"/>
    <s v="ARVs"/>
    <x v="19"/>
    <x v="104"/>
    <s v="200/50mg tablet 120"/>
    <n v="4.0999999999999996"/>
    <s v="Pack"/>
    <m/>
  </r>
  <r>
    <s v="HIV"/>
    <x v="3"/>
    <x v="0"/>
    <s v="ARVs"/>
    <x v="19"/>
    <x v="104"/>
    <s v="40/10mg capsule (pellets) 120"/>
    <n v="4.0999999999999996"/>
    <s v="Pack"/>
    <m/>
  </r>
  <r>
    <s v="HIV"/>
    <x v="3"/>
    <x v="0"/>
    <s v="ARVs"/>
    <x v="19"/>
    <x v="104"/>
    <s v="40/10mg oral granules - 120 sachets"/>
    <n v="4.0999999999999996"/>
    <s v="Pack"/>
    <m/>
  </r>
  <r>
    <s v="HIV"/>
    <x v="3"/>
    <x v="0"/>
    <s v="ARVs"/>
    <x v="19"/>
    <x v="104"/>
    <s v="80/20mg/ml oral solution 60ml*5"/>
    <n v="4.0999999999999996"/>
    <s v="Pack"/>
    <m/>
  </r>
  <r>
    <s v="HIV"/>
    <x v="3"/>
    <x v="0"/>
    <s v="ARVs"/>
    <x v="19"/>
    <x v="105"/>
    <s v="10mg/ml oral suspension 100ml"/>
    <n v="4.0999999999999996"/>
    <s v="Pack"/>
    <m/>
  </r>
  <r>
    <s v="HIV"/>
    <x v="3"/>
    <x v="0"/>
    <s v="ARVs"/>
    <x v="19"/>
    <x v="105"/>
    <s v="10mg/ml oral suspension 240ml"/>
    <n v="4.0999999999999996"/>
    <s v="Pack"/>
    <m/>
  </r>
  <r>
    <s v="HIV"/>
    <x v="3"/>
    <x v="0"/>
    <s v="ARVs"/>
    <x v="19"/>
    <x v="105"/>
    <s v="50mg tablet dispersible 60"/>
    <n v="4.0999999999999996"/>
    <s v="Pack"/>
    <m/>
  </r>
  <r>
    <s v="HIV"/>
    <x v="3"/>
    <x v="0"/>
    <s v="ARVs"/>
    <x v="19"/>
    <x v="106"/>
    <s v="Other - Enter details in Comments"/>
    <n v="4.0999999999999996"/>
    <s v="Pack"/>
    <m/>
  </r>
  <r>
    <s v="HIV"/>
    <x v="3"/>
    <x v="0"/>
    <s v="ARVs"/>
    <x v="19"/>
    <x v="107"/>
    <s v="100mg tablet chewable 60"/>
    <n v="4.0999999999999996"/>
    <s v="Pack"/>
    <m/>
  </r>
  <r>
    <s v="HIV"/>
    <x v="3"/>
    <x v="0"/>
    <s v="ARVs"/>
    <x v="19"/>
    <x v="107"/>
    <s v="25mg tablet chewable 60"/>
    <n v="4.0999999999999996"/>
    <s v="Pack"/>
    <m/>
  </r>
  <r>
    <s v="HIV"/>
    <x v="3"/>
    <x v="0"/>
    <s v="ARVs"/>
    <x v="19"/>
    <x v="107"/>
    <s v="400mg tablet 60"/>
    <n v="4.0999999999999996"/>
    <s v="Pack"/>
    <m/>
  </r>
  <r>
    <s v="HIV"/>
    <x v="3"/>
    <x v="0"/>
    <s v="ARVs"/>
    <x v="19"/>
    <x v="108"/>
    <s v="100mg tablet 60"/>
    <n v="4.0999999999999996"/>
    <s v="Pack"/>
    <m/>
  </r>
  <r>
    <s v="HIV"/>
    <x v="3"/>
    <x v="0"/>
    <s v="ARVs"/>
    <x v="19"/>
    <x v="108"/>
    <s v="25mg tablet 30"/>
    <n v="4.0999999999999996"/>
    <s v="Pack"/>
    <m/>
  </r>
  <r>
    <s v="HIV"/>
    <x v="3"/>
    <x v="0"/>
    <s v="ARVs"/>
    <x v="19"/>
    <x v="108"/>
    <s v="25mg tablet 60"/>
    <n v="4.0999999999999996"/>
    <s v="Pack"/>
    <m/>
  </r>
  <r>
    <s v="HIV"/>
    <x v="3"/>
    <x v="0"/>
    <s v="ARVs"/>
    <x v="19"/>
    <x v="109"/>
    <s v="300mg tablet 30"/>
    <n v="4.0999999999999996"/>
    <s v="Pack"/>
    <m/>
  </r>
  <r>
    <s v="HIV"/>
    <x v="3"/>
    <x v="0"/>
    <s v="ARVs"/>
    <x v="19"/>
    <x v="110"/>
    <s v="300mg tablet 60"/>
    <n v="4.0999999999999996"/>
    <s v="Pack"/>
    <m/>
  </r>
  <r>
    <s v="HIV"/>
    <x v="3"/>
    <x v="0"/>
    <s v="ARVs"/>
    <x v="19"/>
    <x v="110"/>
    <s v="50mg/5ml Oral solution 100ml"/>
    <n v="4.0999999999999996"/>
    <s v="Pack"/>
    <m/>
  </r>
  <r>
    <s v="HIV"/>
    <x v="3"/>
    <x v="0"/>
    <s v="ARVs"/>
    <x v="19"/>
    <x v="110"/>
    <s v="50mg/5ml Oral solution 240ml"/>
    <n v="4.0999999999999996"/>
    <s v="Pack"/>
    <m/>
  </r>
  <r>
    <s v="HIV"/>
    <x v="3"/>
    <x v="0"/>
    <s v="Opioid substitute medicines"/>
    <x v="20"/>
    <x v="111"/>
    <s v="2 mg - Box or bottle of 28 tab"/>
    <n v="4.4000000000000004"/>
    <s v="Pack"/>
    <m/>
  </r>
  <r>
    <s v="HIV"/>
    <x v="3"/>
    <x v="0"/>
    <s v="Opioid substitute medicines"/>
    <x v="20"/>
    <x v="111"/>
    <s v="8mg - Box or bottle of 28 tab"/>
    <n v="4.4000000000000004"/>
    <s v="Pack"/>
    <m/>
  </r>
  <r>
    <s v="HIV"/>
    <x v="3"/>
    <x v="0"/>
    <s v="Opioid substitute medicines"/>
    <x v="20"/>
    <x v="112"/>
    <s v="10mg - Blister - 100"/>
    <n v="4.4000000000000004"/>
    <s v="Pack"/>
    <m/>
  </r>
  <r>
    <s v="HIV"/>
    <x v="3"/>
    <x v="0"/>
    <s v="Opioid substitute medicines"/>
    <x v="20"/>
    <x v="112"/>
    <s v="10mg/ml oral concentrate 1 Liter"/>
    <n v="4.4000000000000004"/>
    <s v="Pack"/>
    <m/>
  </r>
  <r>
    <s v="HIV"/>
    <x v="3"/>
    <x v="0"/>
    <s v="Opioid substitute medicines"/>
    <x v="20"/>
    <x v="112"/>
    <s v="25mg - Blister - 100"/>
    <n v="4.4000000000000004"/>
    <s v="Pack"/>
    <m/>
  </r>
  <r>
    <s v="HIV"/>
    <x v="3"/>
    <x v="0"/>
    <s v="Opioid substitute medicines"/>
    <x v="20"/>
    <x v="112"/>
    <s v="5mg - Blister - 100"/>
    <n v="4.4000000000000004"/>
    <s v="Pack"/>
    <m/>
  </r>
  <r>
    <s v="HIV"/>
    <x v="3"/>
    <x v="0"/>
    <s v="Opioid substitute medicines"/>
    <x v="20"/>
    <x v="112"/>
    <s v="5mg/ml oral concentrate 1 Liter"/>
    <n v="4.4000000000000004"/>
    <s v="Pack"/>
    <m/>
  </r>
  <r>
    <s v="HIV"/>
    <x v="3"/>
    <x v="0"/>
    <s v="Opioid substitute medicines"/>
    <x v="20"/>
    <x v="113"/>
    <s v="Other - Enter details in Comments"/>
    <n v="4.4000000000000004"/>
    <s v="Pack"/>
    <m/>
  </r>
  <r>
    <s v="HIV"/>
    <x v="3"/>
    <x v="1"/>
    <s v="OIs, STIs &amp; other medicines in HIV"/>
    <x v="21"/>
    <x v="114"/>
    <s v="200mg tablet dispersible 500"/>
    <n v="4.7"/>
    <s v="Pack"/>
    <m/>
  </r>
  <r>
    <s v="HIV"/>
    <x v="3"/>
    <x v="1"/>
    <s v="OIs, STIs &amp; other medicines in HIV"/>
    <x v="21"/>
    <x v="114"/>
    <s v="5% cream 2g - 1 tube"/>
    <n v="4.7"/>
    <s v="Pack"/>
    <m/>
  </r>
  <r>
    <s v="HIV"/>
    <x v="3"/>
    <x v="1"/>
    <s v="OIs, STIs &amp; other medicines in HIV"/>
    <x v="21"/>
    <x v="115"/>
    <s v=" 25mg tablet coated 1000"/>
    <n v="4.7"/>
    <s v="Pack"/>
    <m/>
  </r>
  <r>
    <s v="HIV"/>
    <x v="3"/>
    <x v="1"/>
    <s v="OIs, STIs &amp; other medicines in HIV"/>
    <x v="21"/>
    <x v="116"/>
    <s v="250mg/5ml oral solution 100ml - 40 bottles"/>
    <n v="4.7"/>
    <s v="Pack"/>
    <m/>
  </r>
  <r>
    <s v="HIV"/>
    <x v="3"/>
    <x v="1"/>
    <s v="OIs, STIs &amp; other medicines in HIV"/>
    <x v="21"/>
    <x v="116"/>
    <s v="500mg capsule 1000"/>
    <n v="4.7"/>
    <s v="Pack"/>
    <m/>
  </r>
  <r>
    <s v="HIV"/>
    <x v="3"/>
    <x v="1"/>
    <s v="OIs, STIs &amp; other medicines in HIV"/>
    <x v="21"/>
    <x v="116"/>
    <s v="500mg tablet 1000"/>
    <n v="4.7"/>
    <s v="Pack"/>
    <m/>
  </r>
  <r>
    <s v="HIV"/>
    <x v="3"/>
    <x v="1"/>
    <s v="OIs, STIs &amp; other medicines in HIV"/>
    <x v="21"/>
    <x v="117"/>
    <s v="250/62.5mg per 5ml powder for oral solution 100ml"/>
    <n v="4.7"/>
    <s v="Pack"/>
    <m/>
  </r>
  <r>
    <s v="HIV"/>
    <x v="3"/>
    <x v="1"/>
    <s v="OIs, STIs &amp; other medicines in HIV"/>
    <x v="21"/>
    <x v="117"/>
    <s v="500/125mg tablet 50"/>
    <n v="4.7"/>
    <s v="Pack"/>
    <m/>
  </r>
  <r>
    <s v="HIV"/>
    <x v="3"/>
    <x v="1"/>
    <s v="OIs, STIs &amp; other medicines in HIV"/>
    <x v="21"/>
    <x v="118"/>
    <s v="50mg for injection - 1 vial"/>
    <n v="4.5"/>
    <s v="Pack"/>
    <m/>
  </r>
  <r>
    <s v="HIV"/>
    <x v="3"/>
    <x v="1"/>
    <s v="OIs, STIs &amp; other medicines in HIV"/>
    <x v="21"/>
    <x v="119"/>
    <s v="50mg for injection - 1 vial"/>
    <n v="4.5"/>
    <s v="Pack"/>
    <m/>
  </r>
  <r>
    <s v="HIV"/>
    <x v="3"/>
    <x v="1"/>
    <s v="OIs, STIs &amp; other medicines in HIV"/>
    <x v="21"/>
    <x v="120"/>
    <s v="500mg powder for injection - 50 vial"/>
    <n v="4.7"/>
    <s v="Pack"/>
    <m/>
  </r>
  <r>
    <s v="HIV"/>
    <x v="3"/>
    <x v="1"/>
    <s v="OIs, STIs &amp; other medicines in HIV"/>
    <x v="21"/>
    <x v="121"/>
    <s v="200mg/5ml oral solution 15ml"/>
    <n v="4.7"/>
    <s v="Pack"/>
    <m/>
  </r>
  <r>
    <s v="HIV"/>
    <x v="3"/>
    <x v="1"/>
    <s v="OIs, STIs &amp; other medicines in HIV"/>
    <x v="21"/>
    <x v="121"/>
    <s v="250mg 6 tablet"/>
    <n v="4.7"/>
    <s v="Pack"/>
    <m/>
  </r>
  <r>
    <s v="HIV"/>
    <x v="3"/>
    <x v="1"/>
    <s v="OIs, STIs &amp; other medicines in HIV"/>
    <x v="21"/>
    <x v="121"/>
    <s v="500mg 3 tablet"/>
    <n v="4.7"/>
    <s v="Pack"/>
    <m/>
  </r>
  <r>
    <s v="HIV"/>
    <x v="3"/>
    <x v="1"/>
    <s v="OIs, STIs &amp; other medicines in HIV"/>
    <x v="21"/>
    <x v="122"/>
    <s v="2.4 MIU powder for solution for injection - 50 vials"/>
    <n v="4.7"/>
    <s v="Pack"/>
    <m/>
  </r>
  <r>
    <s v="HIV"/>
    <x v="3"/>
    <x v="1"/>
    <s v="OIs, STIs &amp; other medicines in HIV"/>
    <x v="21"/>
    <x v="123"/>
    <s v="0.1% cream 15g tube"/>
    <n v="4.7"/>
    <s v="Pack"/>
    <m/>
  </r>
  <r>
    <s v="HIV"/>
    <x v="3"/>
    <x v="1"/>
    <s v="OIs, STIs &amp; other medicines in HIV"/>
    <x v="21"/>
    <x v="124"/>
    <s v="Bleomycin 15 USP units - 15,0000 IU powder for injection - 1 vial"/>
    <n v="4.7"/>
    <s v="Pack"/>
    <m/>
  </r>
  <r>
    <s v="HIV"/>
    <x v="3"/>
    <x v="1"/>
    <s v="OIs, STIs &amp; other medicines in HIV"/>
    <x v="21"/>
    <x v="125"/>
    <s v="1g powder for injection - 10 vials"/>
    <n v="4.7"/>
    <s v="Pack"/>
    <m/>
  </r>
  <r>
    <s v="HIV"/>
    <x v="3"/>
    <x v="1"/>
    <s v="OIs, STIs &amp; other medicines in HIV"/>
    <x v="21"/>
    <x v="125"/>
    <s v="500mg powder for injection 10 vial"/>
    <n v="4.7"/>
    <s v="Pack"/>
    <m/>
  </r>
  <r>
    <s v="HIV"/>
    <x v="3"/>
    <x v="1"/>
    <s v="OIs, STIs &amp; other medicines in HIV"/>
    <x v="21"/>
    <x v="126"/>
    <s v="10mg tablet 30"/>
    <n v="4.7"/>
    <s v="Pack"/>
    <m/>
  </r>
  <r>
    <s v="HIV"/>
    <x v="3"/>
    <x v="1"/>
    <s v="OIs, STIs &amp; other medicines in HIV"/>
    <x v="21"/>
    <x v="127"/>
    <s v="250mg capsule 1000"/>
    <n v="4.7"/>
    <s v="Pack"/>
    <m/>
  </r>
  <r>
    <s v="HIV"/>
    <x v="3"/>
    <x v="1"/>
    <s v="OIs, STIs &amp; other medicines in HIV"/>
    <x v="21"/>
    <x v="128"/>
    <s v="10mg/ml solution for injection 1ml - 5 ampoule"/>
    <n v="4.7"/>
    <s v="Pack"/>
    <m/>
  </r>
  <r>
    <s v="HIV"/>
    <x v="3"/>
    <x v="1"/>
    <s v="OIs, STIs &amp; other medicines in HIV"/>
    <x v="21"/>
    <x v="128"/>
    <s v="4mg tablet 1000"/>
    <n v="4.7"/>
    <s v="Pack"/>
    <m/>
  </r>
  <r>
    <s v="HIV"/>
    <x v="3"/>
    <x v="1"/>
    <s v="OIs, STIs &amp; other medicines in HIV"/>
    <x v="21"/>
    <x v="129"/>
    <s v="200mg tablet 100"/>
    <n v="4.7"/>
    <s v="Pack"/>
    <m/>
  </r>
  <r>
    <s v="HIV"/>
    <x v="3"/>
    <x v="1"/>
    <s v="OIs, STIs &amp; other medicines in HIV"/>
    <x v="21"/>
    <x v="130"/>
    <s v="500mg tablet 100"/>
    <n v="4.7"/>
    <s v="Pack"/>
    <m/>
  </r>
  <r>
    <s v="HIV"/>
    <x v="3"/>
    <x v="1"/>
    <s v="OIs, STIs &amp; other medicines in HIV"/>
    <x v="21"/>
    <x v="131"/>
    <s v="150mg capsule 100"/>
    <n v="4.7"/>
    <s v="Pack"/>
    <m/>
  </r>
  <r>
    <s v="HIV"/>
    <x v="3"/>
    <x v="1"/>
    <s v="OIs, STIs &amp; other medicines in HIV"/>
    <x v="21"/>
    <x v="131"/>
    <s v="600mg/4ml injection - 1 ampoule"/>
    <n v="4.7"/>
    <s v="Pack"/>
    <m/>
  </r>
  <r>
    <s v="HIV"/>
    <x v="3"/>
    <x v="1"/>
    <s v="OIs, STIs &amp; other medicines in HIV"/>
    <x v="21"/>
    <x v="132"/>
    <s v="1% cream 30g tube - 10 tubes"/>
    <n v="4.7"/>
    <s v="Pack"/>
    <m/>
  </r>
  <r>
    <s v="HIV"/>
    <x v="3"/>
    <x v="1"/>
    <s v="OIs, STIs &amp; other medicines in HIV"/>
    <x v="21"/>
    <x v="132"/>
    <s v="500mg 1 tablet vaginal"/>
    <n v="4.7"/>
    <s v="Pack"/>
    <m/>
  </r>
  <r>
    <s v="HIV"/>
    <x v="3"/>
    <x v="1"/>
    <s v="OIs, STIs &amp; other medicines in HIV"/>
    <x v="21"/>
    <x v="133"/>
    <s v="30mg tablet 100"/>
    <n v="4.7"/>
    <s v="Pack"/>
    <m/>
  </r>
  <r>
    <s v="HIV"/>
    <x v="3"/>
    <x v="1"/>
    <s v="OIs, STIs &amp; other medicines in HIV"/>
    <x v="21"/>
    <x v="134"/>
    <s v="30mg tablet 28"/>
    <n v="4.7"/>
    <s v="Pack"/>
    <m/>
  </r>
  <r>
    <s v="HIV"/>
    <x v="3"/>
    <x v="1"/>
    <s v="OIs, STIs &amp; other medicines in HIV"/>
    <x v="21"/>
    <x v="134"/>
    <s v="60mg tablet 28"/>
    <n v="4.7"/>
    <s v="Pack"/>
    <m/>
  </r>
  <r>
    <s v="HIV"/>
    <x v="3"/>
    <x v="1"/>
    <s v="OIs, STIs &amp; other medicines in HIV"/>
    <x v="21"/>
    <x v="135"/>
    <s v="100mg 28 tablet"/>
    <n v="4.7"/>
    <s v="Pack"/>
    <m/>
  </r>
  <r>
    <s v="HIV"/>
    <x v="3"/>
    <x v="1"/>
    <s v="OIs, STIs &amp; other medicines in HIV"/>
    <x v="21"/>
    <x v="3"/>
    <s v="0.5mg 1000"/>
    <n v="4.7"/>
    <s v="Pack"/>
    <m/>
  </r>
  <r>
    <s v="HIV"/>
    <x v="3"/>
    <x v="1"/>
    <s v="OIs, STIs &amp; other medicines in HIV"/>
    <x v="21"/>
    <x v="3"/>
    <s v="4mg tablet 100"/>
    <n v="4.7"/>
    <s v="Pack"/>
    <m/>
  </r>
  <r>
    <s v="HIV"/>
    <x v="3"/>
    <x v="1"/>
    <s v="OIs, STIs &amp; other medicines in HIV"/>
    <x v="21"/>
    <x v="3"/>
    <s v="4mg/ml vial 1ml ampoule 50"/>
    <n v="4.7"/>
    <s v="Pack"/>
    <m/>
  </r>
  <r>
    <s v="HIV"/>
    <x v="3"/>
    <x v="1"/>
    <s v="OIs, STIs &amp; other medicines in HIV"/>
    <x v="21"/>
    <x v="3"/>
    <s v="5mg/ml 1ml ampoule 100"/>
    <n v="4.7"/>
    <s v="Pack"/>
    <m/>
  </r>
  <r>
    <s v="HIV"/>
    <x v="3"/>
    <x v="1"/>
    <s v="OIs, STIs &amp; other medicines in HIV"/>
    <x v="21"/>
    <x v="136"/>
    <s v=" 50mg tablet coated enteric 1000"/>
    <n v="4.7"/>
    <s v="Pack"/>
    <m/>
  </r>
  <r>
    <s v="HIV"/>
    <x v="3"/>
    <x v="1"/>
    <s v="OIs, STIs &amp; other medicines in HIV"/>
    <x v="21"/>
    <x v="136"/>
    <s v=" 75mg/3ml injection - 100 ampoules"/>
    <n v="4.7"/>
    <s v="Pack"/>
    <m/>
  </r>
  <r>
    <s v="HIV"/>
    <x v="3"/>
    <x v="1"/>
    <s v="OIs, STIs &amp; other medicines in HIV"/>
    <x v="21"/>
    <x v="137"/>
    <s v="50mg tablet 100"/>
    <n v="4.7"/>
    <s v="Pack"/>
    <m/>
  </r>
  <r>
    <s v="HIV"/>
    <x v="3"/>
    <x v="1"/>
    <s v="OIs, STIs &amp; other medicines in HIV"/>
    <x v="21"/>
    <x v="138"/>
    <s v=" 10mg powder for solution for injection - 1 vial"/>
    <n v="4.7"/>
    <s v="Pack"/>
    <m/>
  </r>
  <r>
    <s v="HIV"/>
    <x v="3"/>
    <x v="1"/>
    <s v="OIs, STIs &amp; other medicines in HIV"/>
    <x v="21"/>
    <x v="138"/>
    <s v=" 50mg powder for solution for injection - 1 vial"/>
    <n v="4.7"/>
    <s v="Pack"/>
    <m/>
  </r>
  <r>
    <s v="HIV"/>
    <x v="3"/>
    <x v="1"/>
    <s v="OIs, STIs &amp; other medicines in HIV"/>
    <x v="21"/>
    <x v="139"/>
    <s v="100mg tablet 500"/>
    <n v="4.7"/>
    <s v="Pack"/>
    <m/>
  </r>
  <r>
    <s v="HIV"/>
    <x v="3"/>
    <x v="1"/>
    <s v="OIs, STIs &amp; other medicines in HIV"/>
    <x v="21"/>
    <x v="140"/>
    <s v="0.5mg tablet 30"/>
    <n v="4.7"/>
    <s v="Pack"/>
    <m/>
  </r>
  <r>
    <s v="HIV"/>
    <x v="3"/>
    <x v="1"/>
    <s v="OIs, STIs &amp; other medicines in HIV"/>
    <x v="21"/>
    <x v="140"/>
    <s v="0.5mg tablet scored 90"/>
    <n v="4.7"/>
    <s v="Pack"/>
    <m/>
  </r>
  <r>
    <s v="HIV"/>
    <x v="3"/>
    <x v="1"/>
    <s v="OIs, STIs &amp; other medicines in HIV"/>
    <x v="21"/>
    <x v="140"/>
    <s v="1mg tablet 30"/>
    <n v="4.7"/>
    <s v="Pack"/>
    <m/>
  </r>
  <r>
    <s v="HIV"/>
    <x v="3"/>
    <x v="1"/>
    <s v="OIs, STIs &amp; other medicines in HIV"/>
    <x v="21"/>
    <x v="140"/>
    <s v="1mg tablet scored 90"/>
    <n v="4.7"/>
    <s v="Pack"/>
    <m/>
  </r>
  <r>
    <s v="HIV"/>
    <x v="3"/>
    <x v="1"/>
    <s v="OIs, STIs &amp; other medicines in HIV"/>
    <x v="21"/>
    <x v="141"/>
    <s v=" 250mg/5ml powder for oral solution 140ml - 20 bottles"/>
    <n v="4.7"/>
    <s v="Pack"/>
    <m/>
  </r>
  <r>
    <s v="HIV"/>
    <x v="3"/>
    <x v="1"/>
    <s v="OIs, STIs &amp; other medicines in HIV"/>
    <x v="21"/>
    <x v="142"/>
    <s v=" 250mg tablet 1000"/>
    <n v="4.7"/>
    <s v="Pack"/>
    <m/>
  </r>
  <r>
    <s v="HIV"/>
    <x v="3"/>
    <x v="1"/>
    <s v="OIs, STIs &amp; other medicines in HIV"/>
    <x v="21"/>
    <x v="142"/>
    <s v=" 500mg tablet 100"/>
    <n v="4.7"/>
    <s v="Pack"/>
    <m/>
  </r>
  <r>
    <s v="HIV"/>
    <x v="3"/>
    <x v="1"/>
    <s v="OIs, STIs &amp; other medicines in HIV"/>
    <x v="21"/>
    <x v="142"/>
    <s v=" 500mg tablet 500"/>
    <n v="4.7"/>
    <s v="Pack"/>
    <m/>
  </r>
  <r>
    <s v="HIV"/>
    <x v="3"/>
    <x v="1"/>
    <s v="OIs, STIs &amp; other medicines in HIV"/>
    <x v="21"/>
    <x v="143"/>
    <s v="200mg capsule 100"/>
    <n v="4.5"/>
    <s v="Pack"/>
    <m/>
  </r>
  <r>
    <s v="HIV"/>
    <x v="3"/>
    <x v="1"/>
    <s v="OIs, STIs &amp; other medicines in HIV"/>
    <x v="21"/>
    <x v="143"/>
    <s v="2mg/ml infusion 100ml - 10 bags"/>
    <n v="4.5"/>
    <s v="Pack"/>
    <m/>
  </r>
  <r>
    <s v="HIV"/>
    <x v="3"/>
    <x v="1"/>
    <s v="OIs, STIs &amp; other medicines in HIV"/>
    <x v="21"/>
    <x v="143"/>
    <s v="50mg capsule 100"/>
    <n v="4.5"/>
    <s v="Pack"/>
    <m/>
  </r>
  <r>
    <s v="HIV"/>
    <x v="3"/>
    <x v="1"/>
    <s v="OIs, STIs &amp; other medicines in HIV"/>
    <x v="21"/>
    <x v="143"/>
    <s v="50mg/5ml powder for oral solution 35ml"/>
    <n v="4.5"/>
    <s v="Pack"/>
    <m/>
  </r>
  <r>
    <s v="HIV"/>
    <x v="3"/>
    <x v="1"/>
    <s v="OIs, STIs &amp; other medicines in HIV"/>
    <x v="21"/>
    <x v="144"/>
    <s v="500mg tablet 100"/>
    <n v="4.5"/>
    <s v="Pack"/>
    <m/>
  </r>
  <r>
    <s v="HIV"/>
    <x v="3"/>
    <x v="1"/>
    <s v="OIs, STIs &amp; other medicines in HIV"/>
    <x v="21"/>
    <x v="145"/>
    <s v="10mg/ml 5 bottles 250ml"/>
    <n v="4.5"/>
    <s v="Pack"/>
    <m/>
  </r>
  <r>
    <s v="HIV"/>
    <x v="3"/>
    <x v="1"/>
    <s v="OIs, STIs &amp; other medicines in HIV"/>
    <x v="21"/>
    <x v="146"/>
    <s v="5mg tablet 1000"/>
    <n v="4.7"/>
    <s v="Pack"/>
    <m/>
  </r>
  <r>
    <s v="HIV"/>
    <x v="3"/>
    <x v="1"/>
    <s v="OIs, STIs &amp; other medicines in HIV"/>
    <x v="21"/>
    <x v="147"/>
    <s v=" 500mg powder for solution for injection - 1 vial"/>
    <n v="4.7"/>
    <s v="Pack"/>
    <m/>
  </r>
  <r>
    <s v="HIV"/>
    <x v="3"/>
    <x v="1"/>
    <s v="OIs, STIs &amp; other medicines in HIV"/>
    <x v="21"/>
    <x v="148"/>
    <s v="80mg/2ml injection - 100 ampoules"/>
    <n v="4.7"/>
    <s v="Pack"/>
    <m/>
  </r>
  <r>
    <s v="HIV"/>
    <x v="3"/>
    <x v="1"/>
    <s v="OIs, STIs &amp; other medicines in HIV"/>
    <x v="21"/>
    <x v="149"/>
    <s v="1% cream and/or ointment 15g tube"/>
    <n v="4.7"/>
    <s v="Pack"/>
    <m/>
  </r>
  <r>
    <s v="HIV"/>
    <x v="3"/>
    <x v="1"/>
    <s v="OIs, STIs &amp; other medicines in HIV"/>
    <x v="21"/>
    <x v="150"/>
    <s v="100mg/5ml oral solution 100ml"/>
    <n v="4.7"/>
    <s v="Pack"/>
    <m/>
  </r>
  <r>
    <s v="HIV"/>
    <x v="3"/>
    <x v="1"/>
    <s v="OIs, STIs &amp; other medicines in HIV"/>
    <x v="21"/>
    <x v="150"/>
    <s v="200mg film coated tablet 1000"/>
    <n v="4.7"/>
    <s v="Pack"/>
    <m/>
  </r>
  <r>
    <s v="HIV"/>
    <x v="3"/>
    <x v="1"/>
    <s v="OIs, STIs &amp; other medicines in HIV"/>
    <x v="21"/>
    <x v="151"/>
    <s v="100mg 15 capsule"/>
    <n v="4.7"/>
    <s v="Pack"/>
    <m/>
  </r>
  <r>
    <s v="HIV"/>
    <x v="3"/>
    <x v="1"/>
    <s v="OIs, STIs &amp; other medicines in HIV"/>
    <x v="21"/>
    <x v="152"/>
    <s v="667mg/ml 200ml"/>
    <n v="4.7"/>
    <s v="Pack"/>
    <m/>
  </r>
  <r>
    <s v="HIV"/>
    <x v="3"/>
    <x v="1"/>
    <s v="OIs, STIs &amp; other medicines in HIV"/>
    <x v="21"/>
    <x v="153"/>
    <s v="2mg tablet 100"/>
    <n v="4.7"/>
    <s v="Pack"/>
    <m/>
  </r>
  <r>
    <s v="HIV"/>
    <x v="3"/>
    <x v="1"/>
    <s v="OIs, STIs &amp; other medicines in HIV"/>
    <x v="21"/>
    <x v="154"/>
    <s v="500mg/ml 10ml ampoule 100"/>
    <n v="4.7"/>
    <s v="Pack"/>
    <m/>
  </r>
  <r>
    <s v="HIV"/>
    <x v="3"/>
    <x v="1"/>
    <s v="OIs, STIs &amp; other medicines in HIV"/>
    <x v="21"/>
    <x v="155"/>
    <s v="10mg tablet 1000"/>
    <n v="4.7"/>
    <s v="Pack"/>
    <m/>
  </r>
  <r>
    <s v="HIV"/>
    <x v="3"/>
    <x v="1"/>
    <s v="OIs, STIs &amp; other medicines in HIV"/>
    <x v="21"/>
    <x v="156"/>
    <s v="200mg tablet 1000"/>
    <n v="4.7"/>
    <s v="Pack"/>
    <m/>
  </r>
  <r>
    <s v="HIV"/>
    <x v="3"/>
    <x v="1"/>
    <s v="OIs, STIs &amp; other medicines in HIV"/>
    <x v="21"/>
    <x v="156"/>
    <s v="250mg tablet 1000"/>
    <n v="4.7"/>
    <s v="Pack"/>
    <m/>
  </r>
  <r>
    <s v="HIV"/>
    <x v="3"/>
    <x v="1"/>
    <s v="OIs, STIs &amp; other medicines in HIV"/>
    <x v="21"/>
    <x v="156"/>
    <s v="5mg/ml oral solution 100ml - 20 bottles"/>
    <n v="4.7"/>
    <s v="Pack"/>
    <m/>
  </r>
  <r>
    <s v="HIV"/>
    <x v="3"/>
    <x v="1"/>
    <s v="OIs, STIs &amp; other medicines in HIV"/>
    <x v="21"/>
    <x v="157"/>
    <s v="tablet 1000"/>
    <n v="4.7"/>
    <s v="Pack"/>
    <m/>
  </r>
  <r>
    <s v="HIV"/>
    <x v="3"/>
    <x v="1"/>
    <s v="OIs, STIs &amp; other medicines in HIV"/>
    <x v="21"/>
    <x v="158"/>
    <s v="0.4mg/ml 1ml ampoule 10"/>
    <n v="4.7"/>
    <s v="Pack"/>
    <m/>
  </r>
  <r>
    <s v="HIV"/>
    <x v="3"/>
    <x v="1"/>
    <s v="OIs, STIs &amp; other medicines in HIV"/>
    <x v="21"/>
    <x v="159"/>
    <s v="100,000 IU 14 tablet"/>
    <n v="4.7"/>
    <s v="Pack"/>
    <m/>
  </r>
  <r>
    <s v="HIV"/>
    <x v="3"/>
    <x v="1"/>
    <s v="OIs, STIs &amp; other medicines in HIV"/>
    <x v="21"/>
    <x v="159"/>
    <s v="100,000 IU/ml oral solution 30ml"/>
    <n v="4.7"/>
    <s v="Pack"/>
    <m/>
  </r>
  <r>
    <s v="HIV"/>
    <x v="3"/>
    <x v="1"/>
    <s v="OIs, STIs &amp; other medicines in HIV"/>
    <x v="21"/>
    <x v="160"/>
    <s v="20mg 10 capsule 10 blister (100)"/>
    <n v="4.7"/>
    <s v="Pack"/>
    <m/>
  </r>
  <r>
    <s v="HIV"/>
    <x v="3"/>
    <x v="1"/>
    <s v="OIs, STIs &amp; other medicines in HIV"/>
    <x v="21"/>
    <x v="161"/>
    <s v="20.5g/l - 100 sachets"/>
    <n v="4.7"/>
    <s v="Pack"/>
    <m/>
  </r>
  <r>
    <s v="HIV"/>
    <x v="3"/>
    <x v="1"/>
    <s v="OIs, STIs &amp; other medicines in HIV"/>
    <x v="21"/>
    <x v="162"/>
    <s v="Other - Enter details in Comments"/>
    <n v="4.7"/>
    <s v="Pack"/>
    <m/>
  </r>
  <r>
    <s v="HIV"/>
    <x v="3"/>
    <x v="1"/>
    <s v="OIs, STIs &amp; other medicines in HIV"/>
    <x v="21"/>
    <x v="163"/>
    <s v="Other - Enter details in Comments"/>
    <n v="4.5"/>
    <s v="Pack"/>
    <m/>
  </r>
  <r>
    <s v="HIV"/>
    <x v="3"/>
    <x v="1"/>
    <s v="OIs, STIs &amp; other medicines in HIV"/>
    <x v="21"/>
    <x v="164"/>
    <s v="20mg 28 tablet"/>
    <n v="4.7"/>
    <s v="Pack"/>
    <m/>
  </r>
  <r>
    <s v="HIV"/>
    <x v="3"/>
    <x v="1"/>
    <s v="OIs, STIs &amp; other medicines in HIV"/>
    <x v="21"/>
    <x v="165"/>
    <s v="120mg/5ml oral solution 60ml - 140 bottles"/>
    <n v="4.7"/>
    <s v="Pack"/>
    <m/>
  </r>
  <r>
    <s v="HIV"/>
    <x v="3"/>
    <x v="1"/>
    <s v="OIs, STIs &amp; other medicines in HIV"/>
    <x v="21"/>
    <x v="165"/>
    <s v="500mg tablet 1000"/>
    <n v="4.7"/>
    <s v="Pack"/>
    <m/>
  </r>
  <r>
    <s v="HIV"/>
    <x v="3"/>
    <x v="1"/>
    <s v="OIs, STIs &amp; other medicines in HIV"/>
    <x v="21"/>
    <x v="166"/>
    <s v="2mg/ml 20mg 1 vial"/>
    <n v="4.5"/>
    <s v="Pack"/>
    <m/>
  </r>
  <r>
    <s v="HIV"/>
    <x v="3"/>
    <x v="1"/>
    <s v="OIs, STIs &amp; other medicines in HIV"/>
    <x v="21"/>
    <x v="166"/>
    <s v="2mg/ml 50mg 1 vial"/>
    <n v="4.5"/>
    <s v="Pack"/>
    <m/>
  </r>
  <r>
    <s v="HIV"/>
    <x v="3"/>
    <x v="1"/>
    <s v="OIs, STIs &amp; other medicines in HIV"/>
    <x v="21"/>
    <x v="167"/>
    <s v=" 500mg tablet 500"/>
    <n v="4.7"/>
    <s v="Pack"/>
    <m/>
  </r>
  <r>
    <s v="HIV"/>
    <x v="3"/>
    <x v="1"/>
    <s v="OIs, STIs &amp; other medicines in HIV"/>
    <x v="21"/>
    <x v="168"/>
    <s v=" 0.5% oral solution 3.5ml"/>
    <n v="4.7"/>
    <s v="Pack"/>
    <m/>
  </r>
  <r>
    <s v="HIV"/>
    <x v="3"/>
    <x v="1"/>
    <s v="OIs, STIs &amp; other medicines in HIV"/>
    <x v="21"/>
    <x v="169"/>
    <s v="10% solution 10ml ampoule 10"/>
    <n v="4.7"/>
    <s v="Pack"/>
    <m/>
  </r>
  <r>
    <s v="HIV"/>
    <x v="3"/>
    <x v="1"/>
    <s v="OIs, STIs &amp; other medicines in HIV"/>
    <x v="21"/>
    <x v="170"/>
    <s v="5mg tablet 100"/>
    <n v="4.7"/>
    <s v="Pack"/>
    <m/>
  </r>
  <r>
    <s v="HIV"/>
    <x v="3"/>
    <x v="1"/>
    <s v="OIs, STIs &amp; other medicines in HIV"/>
    <x v="21"/>
    <x v="171"/>
    <s v="5mg tablet 100"/>
    <n v="4.7"/>
    <s v="Pack"/>
    <m/>
  </r>
  <r>
    <s v="HIV"/>
    <x v="3"/>
    <x v="1"/>
    <s v="OIs, STIs &amp; other medicines in HIV"/>
    <x v="21"/>
    <x v="172"/>
    <s v="25mg tablet 100"/>
    <n v="4.7"/>
    <s v="Pack"/>
    <m/>
  </r>
  <r>
    <s v="HIV"/>
    <x v="3"/>
    <x v="1"/>
    <s v="OIs, STIs &amp; other medicines in HIV"/>
    <x v="21"/>
    <x v="173"/>
    <s v=" 10% solution 200ml"/>
    <n v="4.7"/>
    <s v="Pack"/>
    <m/>
  </r>
  <r>
    <s v="HIV"/>
    <x v="3"/>
    <x v="1"/>
    <s v="OIs, STIs &amp; other medicines in HIV"/>
    <x v="21"/>
    <x v="173"/>
    <s v=" 10% solution gynaecological 500ml"/>
    <n v="4.7"/>
    <s v="Pack"/>
    <m/>
  </r>
  <r>
    <s v="HIV"/>
    <x v="3"/>
    <x v="1"/>
    <s v="OIs, STIs &amp; other medicines in HIV"/>
    <x v="21"/>
    <x v="174"/>
    <s v=" 25mg 30 tablet"/>
    <n v="4.7"/>
    <s v="Pack"/>
    <m/>
  </r>
  <r>
    <s v="HIV"/>
    <x v="3"/>
    <x v="1"/>
    <s v="OIs, STIs &amp; other medicines in HIV"/>
    <x v="21"/>
    <x v="174"/>
    <s v=" 50mg 20 tablet"/>
    <n v="4.7"/>
    <s v="Pack"/>
    <m/>
  </r>
  <r>
    <s v="HIV"/>
    <x v="3"/>
    <x v="1"/>
    <s v="OIs, STIs &amp; other medicines in HIV"/>
    <x v="21"/>
    <x v="175"/>
    <s v="150mg tablet 60"/>
    <n v="4.7"/>
    <s v="Pack"/>
    <m/>
  </r>
  <r>
    <s v="HIV"/>
    <x v="3"/>
    <x v="1"/>
    <s v="OIs, STIs &amp; other medicines in HIV"/>
    <x v="21"/>
    <x v="176"/>
    <s v=" 200mg 42 tablet 1 blister"/>
    <n v="4.7"/>
    <s v="Pack"/>
    <m/>
  </r>
  <r>
    <s v="HIV"/>
    <x v="3"/>
    <x v="1"/>
    <s v="OIs, STIs &amp; other medicines in HIV"/>
    <x v="21"/>
    <x v="177"/>
    <s v=" 4mg tablet 1000"/>
    <n v="4.7"/>
    <s v="Pack"/>
    <m/>
  </r>
  <r>
    <s v="HIV"/>
    <x v="3"/>
    <x v="1"/>
    <s v="OIs, STIs &amp; other medicines in HIV"/>
    <x v="21"/>
    <x v="178"/>
    <s v=" 1.67g tablet 200"/>
    <n v="4.7"/>
    <s v="Pack"/>
    <m/>
  </r>
  <r>
    <s v="HIV"/>
    <x v="3"/>
    <x v="1"/>
    <s v="OIs, STIs &amp; other medicines in HIV"/>
    <x v="21"/>
    <x v="179"/>
    <s v="400mg tablet 28"/>
    <n v="4.7"/>
    <s v="Pack"/>
    <m/>
  </r>
  <r>
    <s v="HIV"/>
    <x v="3"/>
    <x v="1"/>
    <s v="OIs, STIs &amp; other medicines in HIV"/>
    <x v="21"/>
    <x v="180"/>
    <s v="400mg/90mg tablet 28"/>
    <n v="4.7"/>
    <s v="Pack"/>
    <m/>
  </r>
  <r>
    <s v="HIV"/>
    <x v="3"/>
    <x v="1"/>
    <s v="OIs, STIs &amp; other medicines in HIV"/>
    <x v="21"/>
    <x v="181"/>
    <s v="400mg/100mg tablet 28"/>
    <n v="4.7"/>
    <s v="Pack"/>
    <m/>
  </r>
  <r>
    <s v="HIV"/>
    <x v="3"/>
    <x v="1"/>
    <s v="OIs, STIs &amp; other medicines in HIV"/>
    <x v="21"/>
    <x v="182"/>
    <s v="400+60mg tablet co-blistered 28 blister"/>
    <n v="4.7"/>
    <s v="Pack"/>
    <m/>
  </r>
  <r>
    <s v="HIV"/>
    <x v="3"/>
    <x v="1"/>
    <s v="OIs, STIs &amp; other medicines in HIV"/>
    <x v="21"/>
    <x v="183"/>
    <s v=" 500mg 56 tablet"/>
    <n v="4.7"/>
    <s v="Pack"/>
    <m/>
  </r>
  <r>
    <s v="HIV"/>
    <x v="3"/>
    <x v="1"/>
    <s v="OIs, STIs &amp; other medicines in HIV"/>
    <x v="21"/>
    <x v="184"/>
    <s v="100/20mg tablet 1000"/>
    <n v="4.5"/>
    <s v="Pack"/>
    <m/>
  </r>
  <r>
    <s v="HIV"/>
    <x v="3"/>
    <x v="1"/>
    <s v="OIs, STIs &amp; other medicines in HIV"/>
    <x v="21"/>
    <x v="184"/>
    <s v="200/40mg per 5ml oral solution 100ml"/>
    <n v="4.5"/>
    <s v="Pack"/>
    <m/>
  </r>
  <r>
    <s v="HIV"/>
    <x v="3"/>
    <x v="1"/>
    <s v="OIs, STIs &amp; other medicines in HIV"/>
    <x v="21"/>
    <x v="184"/>
    <s v="400/80mg tablet 1000"/>
    <n v="4.5"/>
    <s v="Pack"/>
    <m/>
  </r>
  <r>
    <s v="HIV"/>
    <x v="3"/>
    <x v="1"/>
    <s v="OIs, STIs &amp; other medicines in HIV"/>
    <x v="21"/>
    <x v="184"/>
    <s v="480mg/5ml injection - 10 ampoule"/>
    <n v="4.5"/>
    <s v="Pack"/>
    <m/>
  </r>
  <r>
    <s v="HIV"/>
    <x v="3"/>
    <x v="1"/>
    <s v="OIs, STIs &amp; other medicines in HIV"/>
    <x v="21"/>
    <x v="184"/>
    <s v="800/160mg tablet 1000"/>
    <n v="4.5"/>
    <s v="Pack"/>
    <m/>
  </r>
  <r>
    <s v="HIV"/>
    <x v="3"/>
    <x v="1"/>
    <s v="OIs, STIs &amp; other medicines in HIV"/>
    <x v="21"/>
    <x v="184"/>
    <s v="800/160mg tablet 500"/>
    <n v="4.5"/>
    <s v="Pack"/>
    <m/>
  </r>
  <r>
    <s v="HIV"/>
    <x v="3"/>
    <x v="1"/>
    <s v="OIs, STIs &amp; other medicines in HIV"/>
    <x v="21"/>
    <x v="185"/>
    <s v="Other - Enter details in Comments"/>
    <n v="4.7"/>
    <s v="Pack"/>
    <m/>
  </r>
  <r>
    <s v="HIV"/>
    <x v="3"/>
    <x v="1"/>
    <s v="OIs, STIs &amp; other medicines in HIV"/>
    <x v="21"/>
    <x v="186"/>
    <s v=" 102.5g - 120 sachets"/>
    <n v="4.7"/>
    <s v="Pack"/>
    <m/>
  </r>
  <r>
    <s v="HIV"/>
    <x v="3"/>
    <x v="1"/>
    <s v="OIs, STIs &amp; other medicines in HIV"/>
    <x v="21"/>
    <x v="186"/>
    <s v=" 114g - 90 sachets"/>
    <n v="4.7"/>
    <s v="Pack"/>
    <m/>
  </r>
  <r>
    <s v="HIV"/>
    <x v="3"/>
    <x v="1"/>
    <s v="OIs, STIs &amp; other medicines in HIV"/>
    <x v="21"/>
    <x v="187"/>
    <s v="450mg tablet 60"/>
    <n v="4.5"/>
    <s v="Pack"/>
    <m/>
  </r>
  <r>
    <s v="HIV"/>
    <x v="3"/>
    <x v="1"/>
    <s v="OIs, STIs &amp; other medicines in HIV"/>
    <x v="21"/>
    <x v="188"/>
    <s v=" 1mg/ml injection - 1 vial"/>
    <n v="4.7"/>
    <s v="Pack"/>
    <m/>
  </r>
  <r>
    <s v="HIV"/>
    <x v="3"/>
    <x v="1"/>
    <s v="OIs, STIs &amp; other medicines in HIV"/>
    <x v="21"/>
    <x v="189"/>
    <s v=" 25mg tablet 100"/>
    <n v="4.7"/>
    <s v="Pack"/>
    <m/>
  </r>
  <r>
    <s v="HIV"/>
    <x v="3"/>
    <x v="1"/>
    <s v="OIs, STIs &amp; other medicines in HIV"/>
    <x v="21"/>
    <x v="189"/>
    <s v="100mg tablet 250"/>
    <n v="4.7"/>
    <s v="Pack"/>
    <m/>
  </r>
  <r>
    <s v="HIV"/>
    <x v="3"/>
    <x v="1"/>
    <s v="OIs, STIs &amp; other medicines in HIV"/>
    <x v="21"/>
    <x v="189"/>
    <s v="50 mg tablet 50"/>
    <n v="4.7"/>
    <s v="Pack"/>
    <m/>
  </r>
  <r>
    <s v="HIV"/>
    <x v="3"/>
    <x v="1"/>
    <s v="OIs, STIs &amp; other medicines in HIV"/>
    <x v="21"/>
    <x v="190"/>
    <s v="10ml - 20 ampoules"/>
    <n v="4.7"/>
    <s v="Pack"/>
    <m/>
  </r>
  <r>
    <s v="HIV"/>
    <x v="3"/>
    <x v="1"/>
    <s v="OIs, STIs &amp; other medicines in HIV"/>
    <x v="21"/>
    <x v="190"/>
    <s v="5ml - 1 ampoule"/>
    <n v="4.7"/>
    <s v="Pack"/>
    <m/>
  </r>
  <r>
    <s v="HIV"/>
    <x v="3"/>
    <x v="1"/>
    <s v="OIs, STIs &amp; other medicines in HIV"/>
    <x v="21"/>
    <x v="190"/>
    <s v="5ml - 100 ampoule"/>
    <n v="4.7"/>
    <s v="Pack"/>
    <m/>
  </r>
  <r>
    <s v="HIV"/>
    <x v="3"/>
    <x v="1"/>
    <s v="OIs, STIs &amp; other medicines in HIV"/>
    <x v="21"/>
    <x v="190"/>
    <s v="5ml - 20 vial"/>
    <n v="4.7"/>
    <s v="Pack"/>
    <m/>
  </r>
  <r>
    <s v="HIV"/>
    <x v="3"/>
    <x v="1"/>
    <s v="OIs, STIs &amp; other medicines in HIV"/>
    <x v="21"/>
    <x v="190"/>
    <s v="5ml - 50 vial"/>
    <n v="4.7"/>
    <s v="Pack"/>
    <m/>
  </r>
  <r>
    <s v="HIV"/>
    <x v="3"/>
    <x v="1"/>
    <s v="OIs, STIs &amp; other medicines in HIV"/>
    <x v="21"/>
    <x v="191"/>
    <s v="20mg tablet dispersible 100"/>
    <n v="4.7"/>
    <s v="Pack"/>
    <m/>
  </r>
  <r>
    <s v="HIV"/>
    <x v="3"/>
    <x v="1"/>
    <s v="OIs, STIs &amp; other medicines in HIV"/>
    <x v="22"/>
    <x v="192"/>
    <s v="100mg 10 tablet 10 blister (100)"/>
    <n v="4.2"/>
    <s v="Pack"/>
    <m/>
  </r>
  <r>
    <s v="HIV"/>
    <x v="3"/>
    <x v="1"/>
    <s v="OIs, STIs &amp; other medicines in HIV"/>
    <x v="22"/>
    <x v="192"/>
    <s v="100mg 10 tablet dispersible 10 blister (100)"/>
    <n v="4.2"/>
    <s v="Pack"/>
    <m/>
  </r>
  <r>
    <s v="HIV"/>
    <x v="3"/>
    <x v="1"/>
    <s v="OIs, STIs &amp; other medicines in HIV"/>
    <x v="22"/>
    <x v="192"/>
    <s v="300mg 10 tablet 10 blister (100)"/>
    <n v="4.2"/>
    <s v="Pack"/>
    <m/>
  </r>
  <r>
    <s v="HIV"/>
    <x v="3"/>
    <x v="1"/>
    <s v="OIs, STIs &amp; other medicines in HIV"/>
    <x v="22"/>
    <x v="192"/>
    <s v="300mg 28 tablet 24 blister (672)"/>
    <n v="4.2"/>
    <s v="Pack"/>
    <m/>
  </r>
  <r>
    <s v="HIV"/>
    <x v="3"/>
    <x v="1"/>
    <s v="OIs, STIs &amp; other medicines in HIV"/>
    <x v="22"/>
    <x v="192"/>
    <s v="300mg tablet 30"/>
    <n v="4.2"/>
    <s v="Pack"/>
    <m/>
  </r>
  <r>
    <s v="HIV"/>
    <x v="3"/>
    <x v="1"/>
    <s v="OIs, STIs &amp; other medicines in HIV"/>
    <x v="22"/>
    <x v="193"/>
    <s v="300/25/800/160mg tablet 30"/>
    <n v="4.2"/>
    <s v="Pack"/>
    <m/>
  </r>
  <r>
    <s v="HIV"/>
    <x v="3"/>
    <x v="1"/>
    <s v="OIs, STIs &amp; other medicines in HIV"/>
    <x v="22"/>
    <x v="194"/>
    <s v="50/75mg 10 tablet dispersible 10 blister (100)"/>
    <n v="4.2"/>
    <s v="Pack"/>
    <m/>
  </r>
  <r>
    <s v="HIV"/>
    <x v="3"/>
    <x v="1"/>
    <s v="OIs, STIs &amp; other medicines in HIV"/>
    <x v="22"/>
    <x v="194"/>
    <s v="50/75mg 28 tablet dispersible 3 blister (84)"/>
    <n v="4.2"/>
    <s v="Pack"/>
    <m/>
  </r>
  <r>
    <s v="HIV"/>
    <x v="3"/>
    <x v="1"/>
    <s v="OIs, STIs &amp; other medicines in HIV"/>
    <x v="22"/>
    <x v="194"/>
    <s v="75/150mg 10 tablet 10 blister (100)"/>
    <n v="4.2"/>
    <s v="Pack"/>
    <m/>
  </r>
  <r>
    <s v="HIV"/>
    <x v="3"/>
    <x v="1"/>
    <s v="OIs, STIs &amp; other medicines in HIV"/>
    <x v="22"/>
    <x v="194"/>
    <s v="75/150mg 28 tablet 12 blister (336)"/>
    <n v="4.2"/>
    <s v="Pack"/>
    <m/>
  </r>
  <r>
    <s v="HIV"/>
    <x v="3"/>
    <x v="1"/>
    <s v="OIs, STIs &amp; other medicines in HIV"/>
    <x v="22"/>
    <x v="194"/>
    <s v="75/150mg 28 tablet 24 blister (672)"/>
    <n v="4.2"/>
    <s v="Pack"/>
    <m/>
  </r>
  <r>
    <s v="HIV"/>
    <x v="3"/>
    <x v="1"/>
    <s v="OIs, STIs &amp; other medicines in HIV"/>
    <x v="22"/>
    <x v="195"/>
    <s v="100mg 10 tablet dispersible 10 blister (100)"/>
    <n v="4.2"/>
    <s v="Pack"/>
    <m/>
  </r>
  <r>
    <s v="HIV"/>
    <x v="3"/>
    <x v="1"/>
    <s v="OIs, STIs &amp; other medicines in HIV"/>
    <x v="22"/>
    <x v="195"/>
    <s v="100mg 10 tablet dispersible 10 blister (100)"/>
    <n v="4.2"/>
    <s v="Pack"/>
    <m/>
  </r>
  <r>
    <s v="HIV"/>
    <x v="3"/>
    <x v="1"/>
    <s v="OIs, STIs &amp; other medicines in HIV"/>
    <x v="22"/>
    <x v="195"/>
    <s v="250mg 10 tablet 10 blister (100)"/>
    <n v="4.2"/>
    <s v="Pack"/>
    <m/>
  </r>
  <r>
    <s v="HIV"/>
    <x v="3"/>
    <x v="1"/>
    <s v="OIs, STIs &amp; other medicines in HIV"/>
    <x v="22"/>
    <x v="195"/>
    <s v="250mg 10 tablet 10 blister (100)"/>
    <n v="4.2"/>
    <s v="Pack"/>
    <m/>
  </r>
  <r>
    <s v="HIV"/>
    <x v="3"/>
    <x v="1"/>
    <s v="OIs, STIs &amp; other medicines in HIV"/>
    <x v="22"/>
    <x v="195"/>
    <s v="500mg 10 tablet 10 blister (100)"/>
    <n v="4.2"/>
    <s v="Pack"/>
    <m/>
  </r>
  <r>
    <s v="HIV"/>
    <x v="3"/>
    <x v="1"/>
    <s v="OIs, STIs &amp; other medicines in HIV"/>
    <x v="22"/>
    <x v="195"/>
    <s v="500mg 10 tablet 10 blister (100)"/>
    <n v="4.2"/>
    <s v="Pack"/>
    <m/>
  </r>
  <r>
    <s v="HIV"/>
    <x v="3"/>
    <x v="1"/>
    <s v="OIs, STIs &amp; other medicines in HIV"/>
    <x v="22"/>
    <x v="195"/>
    <s v="750mg 10 tablet 10 blister (100)"/>
    <n v="4.2"/>
    <s v="Pack"/>
    <m/>
  </r>
  <r>
    <s v="HIV"/>
    <x v="3"/>
    <x v="1"/>
    <s v="OIs, STIs &amp; other medicines in HIV"/>
    <x v="22"/>
    <x v="195"/>
    <s v="750mg 10 tablet 10 blister (100)"/>
    <n v="4.2"/>
    <s v="Pack"/>
    <m/>
  </r>
  <r>
    <s v="HIV"/>
    <x v="3"/>
    <x v="1"/>
    <s v="OIs, STIs &amp; other medicines in HIV"/>
    <x v="22"/>
    <x v="196"/>
    <s v="Other - Enter details in Comments"/>
    <n v="4.2"/>
    <s v="Pack"/>
    <m/>
  </r>
  <r>
    <s v="HIV"/>
    <x v="3"/>
    <x v="1"/>
    <s v="OIs, STIs &amp; other medicines in HIV"/>
    <x v="22"/>
    <x v="197"/>
    <s v="150mg capsule 100"/>
    <n v="4.2"/>
    <s v="Pack"/>
    <m/>
  </r>
  <r>
    <s v="HIV"/>
    <x v="3"/>
    <x v="1"/>
    <s v="OIs, STIs &amp; other medicines in HIV"/>
    <x v="22"/>
    <x v="197"/>
    <s v="150mg capsule 100"/>
    <n v="4.2"/>
    <s v="Pack"/>
    <m/>
  </r>
  <r>
    <s v="HIV"/>
    <x v="3"/>
    <x v="1"/>
    <s v="OIs, STIs &amp; other medicines in HIV"/>
    <x v="22"/>
    <x v="198"/>
    <s v="150mg 10 tablet 10 blister (100)"/>
    <n v="4.2"/>
    <s v="Pack"/>
    <m/>
  </r>
  <r>
    <s v="HIV"/>
    <x v="3"/>
    <x v="1"/>
    <s v="OIs, STIs &amp; other medicines in HIV"/>
    <x v="22"/>
    <x v="198"/>
    <s v="300mg 10 tablet 10 blister (100)"/>
    <n v="4.2"/>
    <s v="Pack"/>
    <m/>
  </r>
  <r>
    <s v="HIV"/>
    <x v="3"/>
    <x v="1"/>
    <s v="OIs, STIs &amp; other medicines in HIV"/>
    <x v="22"/>
    <x v="198"/>
    <s v="300mg 10 tablet 10 blister (100)"/>
    <n v="4.2"/>
    <s v="Pack"/>
    <m/>
  </r>
  <r>
    <s v="HIV"/>
    <x v="3"/>
    <x v="1"/>
    <s v="OIs, STIs &amp; other medicines in HIV"/>
    <x v="22"/>
    <x v="199"/>
    <s v="150mg tablet 24 blister"/>
    <n v="4.2"/>
    <s v="Pack"/>
    <m/>
  </r>
  <r>
    <s v="HIV"/>
    <x v="3"/>
    <x v="1"/>
    <s v="OIs, STIs &amp; other medicines in HIV"/>
    <x v="22"/>
    <x v="199"/>
    <s v="150mg tablet 24 blister"/>
    <n v="4.2"/>
    <s v="Pack"/>
    <m/>
  </r>
  <r>
    <s v="HIV"/>
    <x v="3"/>
    <x v="1"/>
    <s v="OIs, STIs &amp; other medicines in HIV"/>
    <x v="22"/>
    <x v="200"/>
    <s v="300/300mg tablet 36 blister"/>
    <n v="4.2"/>
    <s v="Pack"/>
    <m/>
  </r>
  <r>
    <s v="Malaria"/>
    <x v="4"/>
    <x v="0"/>
    <s v="Malaria Microscopy - Equipment &amp; reagents"/>
    <x v="23"/>
    <x v="201"/>
    <s v="LED Microscope"/>
    <n v="6.3"/>
    <s v="Each"/>
    <m/>
  </r>
  <r>
    <s v="Malaria"/>
    <x v="4"/>
    <x v="0"/>
    <s v="Malaria Microscopy - Equipment &amp; reagents"/>
    <x v="23"/>
    <x v="201"/>
    <s v="Light Microscope"/>
    <n v="6.3"/>
    <s v="Each"/>
    <m/>
  </r>
  <r>
    <s v="Malaria"/>
    <x v="4"/>
    <x v="0"/>
    <s v="Malaria Microscopy - Equipment &amp; reagents"/>
    <x v="23"/>
    <x v="201"/>
    <s v="Other type"/>
    <n v="6.3"/>
    <s v="Each"/>
    <m/>
  </r>
  <r>
    <s v="Malaria"/>
    <x v="4"/>
    <x v="0"/>
    <s v="Malaria Microscopy - Equipment &amp; reagents"/>
    <x v="23"/>
    <x v="201"/>
    <s v="Spare parts and accessories"/>
    <n v="6.3"/>
    <s v="Each"/>
    <m/>
  </r>
  <r>
    <s v="Malaria"/>
    <x v="4"/>
    <x v="0"/>
    <s v="Malaria Microscopy - Equipment &amp; reagents"/>
    <x v="23"/>
    <x v="201"/>
    <s v="Warranty, maintenance and service"/>
    <n v="6.5"/>
    <s v="Each"/>
    <m/>
  </r>
  <r>
    <s v="Malaria"/>
    <x v="4"/>
    <x v="0"/>
    <s v="Malaria Microscopy - Equipment &amp; reagents"/>
    <x v="23"/>
    <x v="202"/>
    <s v="Other - Enter details in Comments"/>
    <n v="5.6"/>
    <s v="Pack"/>
    <m/>
  </r>
  <r>
    <s v="Malaria"/>
    <x v="4"/>
    <x v="0"/>
    <s v="Malaria Microscopy - Equipment &amp; reagents"/>
    <x v="23"/>
    <x v="203"/>
    <s v="Buffer pH 7.2 tablet for 1L 100 tablets"/>
    <n v="5.6"/>
    <s v="Pack"/>
    <m/>
  </r>
  <r>
    <s v="Malaria"/>
    <x v="4"/>
    <x v="0"/>
    <s v="Malaria Microscopy - Equipment &amp; reagents"/>
    <x v="23"/>
    <x v="203"/>
    <s v="Giemsa powder 100g"/>
    <n v="5.6"/>
    <s v="Pack"/>
    <m/>
  </r>
  <r>
    <s v="Malaria"/>
    <x v="4"/>
    <x v="0"/>
    <s v="Malaria Microscopy - Equipment &amp; reagents"/>
    <x v="23"/>
    <x v="203"/>
    <s v="Giemsa solution 500ml"/>
    <n v="5.6"/>
    <s v="Pack"/>
    <m/>
  </r>
  <r>
    <s v="Malaria"/>
    <x v="4"/>
    <x v="0"/>
    <s v="Malaria Microscopy - Equipment &amp; reagents"/>
    <x v="23"/>
    <x v="203"/>
    <s v="Glycerin/Glycerol 1L"/>
    <n v="5.6"/>
    <s v="Pack"/>
    <m/>
  </r>
  <r>
    <s v="Malaria"/>
    <x v="4"/>
    <x v="0"/>
    <s v="Malaria Microscopy - Equipment &amp; reagents"/>
    <x v="23"/>
    <x v="203"/>
    <s v="Methanol (methylalcohol) 1L"/>
    <n v="5.6"/>
    <s v="Pack"/>
    <m/>
  </r>
  <r>
    <s v="Malaria"/>
    <x v="4"/>
    <x v="1"/>
    <s v="RDTs for Malaria"/>
    <x v="24"/>
    <x v="204"/>
    <s v="Malaria Antigen P.f , HRP2/pLDH, Kit, 25 Tests"/>
    <n v="5.4"/>
    <s v="Pack"/>
    <m/>
  </r>
  <r>
    <s v="Malaria"/>
    <x v="4"/>
    <x v="1"/>
    <s v="RDTs for Malaria"/>
    <x v="24"/>
    <x v="204"/>
    <s v="Malaria Antigen P.f / P.v, HRP2, pLDH, Kit, 10 Tests"/>
    <n v="5.4"/>
    <s v="Pack"/>
    <m/>
  </r>
  <r>
    <s v="Malaria"/>
    <x v="4"/>
    <x v="1"/>
    <s v="RDTs for Malaria"/>
    <x v="24"/>
    <x v="204"/>
    <s v="Malaria Rapid Diagnostic Test Kit - Antigen Pf / Pv - accessories included - 30 tests"/>
    <n v="5.4"/>
    <s v="Pack"/>
    <m/>
  </r>
  <r>
    <s v="Malaria"/>
    <x v="4"/>
    <x v="1"/>
    <s v="RDTs for Malaria"/>
    <x v="24"/>
    <x v="204"/>
    <s v="Malaria Rapid Diagnostic Test Kit - Pf only - 25 tests"/>
    <n v="5.4"/>
    <s v="Pack"/>
    <m/>
  </r>
  <r>
    <s v="Malaria"/>
    <x v="4"/>
    <x v="1"/>
    <s v="RDTs for Malaria"/>
    <x v="24"/>
    <x v="204"/>
    <s v="Malaria Rapid Diagnostic Test Kit - Pf/PAN - 25 tests"/>
    <n v="5.4"/>
    <s v="Pack"/>
    <m/>
  </r>
  <r>
    <s v="Malaria"/>
    <x v="4"/>
    <x v="1"/>
    <s v="RDTs for Malaria"/>
    <x v="24"/>
    <x v="204"/>
    <s v="Malaria Rapid Diagnostic Test Kit - Pf/Pv - 25 tests"/>
    <n v="5.4"/>
    <s v="Pack"/>
    <m/>
  </r>
  <r>
    <s v="Malaria"/>
    <x v="4"/>
    <x v="1"/>
    <s v="RDTs for Malaria"/>
    <x v="24"/>
    <x v="204"/>
    <s v="Other - Enter details in Comments"/>
    <n v="5.4"/>
    <s v="Pack"/>
    <m/>
  </r>
  <r>
    <s v="Malaria"/>
    <x v="4"/>
    <x v="2"/>
    <s v="IRS equipment &amp; insecticides"/>
    <x v="25"/>
    <x v="205"/>
    <s v="Equipment"/>
    <n v="6.6"/>
    <s v="Each"/>
    <m/>
  </r>
  <r>
    <s v="Malaria"/>
    <x v="4"/>
    <x v="2"/>
    <s v="IRS equipment &amp; insecticides"/>
    <x v="25"/>
    <x v="205"/>
    <s v="Spare parts and accessories"/>
    <n v="6.6"/>
    <s v="Each"/>
    <m/>
  </r>
  <r>
    <s v="Malaria"/>
    <x v="4"/>
    <x v="2"/>
    <s v="IRS equipment &amp; insecticides"/>
    <x v="25"/>
    <x v="205"/>
    <s v="Warranty, maintenance and service"/>
    <n v="6.5"/>
    <s v="Each"/>
    <m/>
  </r>
  <r>
    <s v="Malaria"/>
    <x v="4"/>
    <x v="2"/>
    <s v="IRS equipment &amp; insecticides"/>
    <x v="25"/>
    <x v="206"/>
    <s v="Other - Enter details in Comments"/>
    <n v="5.5"/>
    <s v="Pack"/>
    <m/>
  </r>
  <r>
    <s v="Malaria"/>
    <x v="4"/>
    <x v="2"/>
    <s v="IRS equipment &amp; insecticides"/>
    <x v="25"/>
    <x v="207"/>
    <s v="Equipment"/>
    <n v="6.6"/>
    <s v="Each"/>
    <m/>
  </r>
  <r>
    <s v="Malaria"/>
    <x v="4"/>
    <x v="2"/>
    <s v="IRS equipment &amp; insecticides"/>
    <x v="25"/>
    <x v="207"/>
    <s v="Spare parts and accessories"/>
    <n v="6.6"/>
    <s v="Each"/>
    <m/>
  </r>
  <r>
    <s v="Malaria"/>
    <x v="4"/>
    <x v="2"/>
    <s v="IRS equipment &amp; insecticides"/>
    <x v="25"/>
    <x v="207"/>
    <s v="Warranty, maintenance and service"/>
    <n v="6.5"/>
    <s v="Each"/>
    <m/>
  </r>
  <r>
    <s v="Malaria"/>
    <x v="4"/>
    <x v="2"/>
    <s v="IRS equipment &amp; insecticides"/>
    <x v="25"/>
    <x v="208"/>
    <s v="Alpha-cypermethrin WG-SB, WP, SC"/>
    <n v="5.5"/>
    <s v="Pack"/>
    <m/>
  </r>
  <r>
    <s v="Malaria"/>
    <x v="4"/>
    <x v="2"/>
    <s v="IRS equipment &amp; insecticides"/>
    <x v="25"/>
    <x v="208"/>
    <s v="Bendiocarb WP, WP-SB"/>
    <n v="5.5"/>
    <s v="Pack"/>
    <m/>
  </r>
  <r>
    <s v="Malaria"/>
    <x v="4"/>
    <x v="2"/>
    <s v="IRS equipment &amp; insecticides"/>
    <x v="25"/>
    <x v="208"/>
    <s v="Bifenthrin WP"/>
    <n v="5.5"/>
    <s v="Pack"/>
    <m/>
  </r>
  <r>
    <s v="Malaria"/>
    <x v="4"/>
    <x v="2"/>
    <s v="IRS equipment &amp; insecticides"/>
    <x v="25"/>
    <x v="208"/>
    <s v="Clothianidin &amp; Deltamethrin WP-SB"/>
    <n v="5.5"/>
    <s v="Pack"/>
    <m/>
  </r>
  <r>
    <s v="Malaria"/>
    <x v="4"/>
    <x v="2"/>
    <s v="IRS equipment &amp; insecticides"/>
    <x v="25"/>
    <x v="208"/>
    <s v="Clothianidin WG"/>
    <n v="5.5"/>
    <s v="Pack"/>
    <m/>
  </r>
  <r>
    <s v="Malaria"/>
    <x v="4"/>
    <x v="2"/>
    <s v="IRS equipment &amp; insecticides"/>
    <x v="25"/>
    <x v="208"/>
    <s v="DDT WP"/>
    <n v="5.5"/>
    <s v="Pack"/>
    <m/>
  </r>
  <r>
    <s v="Malaria"/>
    <x v="4"/>
    <x v="2"/>
    <s v="IRS equipment &amp; insecticides"/>
    <x v="25"/>
    <x v="208"/>
    <s v="Deltamethrin SC-PE, WP, WG, WG-SB"/>
    <n v="5.5"/>
    <s v="Pack"/>
    <m/>
  </r>
  <r>
    <s v="Malaria"/>
    <x v="4"/>
    <x v="2"/>
    <s v="IRS equipment &amp; insecticides"/>
    <x v="25"/>
    <x v="208"/>
    <s v="Etofenprox WP"/>
    <n v="5.5"/>
    <s v="Pack"/>
    <m/>
  </r>
  <r>
    <s v="Malaria"/>
    <x v="4"/>
    <x v="2"/>
    <s v="IRS equipment &amp; insecticides"/>
    <x v="25"/>
    <x v="208"/>
    <s v="Lambda-cyhalothrin WP, CS"/>
    <n v="5.5"/>
    <s v="Pack"/>
    <m/>
  </r>
  <r>
    <s v="Malaria"/>
    <x v="4"/>
    <x v="2"/>
    <s v="IRS equipment &amp; insecticides"/>
    <x v="25"/>
    <x v="208"/>
    <s v="Other - Enter details in Comments"/>
    <n v="5.5"/>
    <s v="Pack"/>
    <m/>
  </r>
  <r>
    <s v="Malaria"/>
    <x v="4"/>
    <x v="2"/>
    <s v="IRS equipment &amp; insecticides"/>
    <x v="25"/>
    <x v="208"/>
    <s v="Other insecticide"/>
    <n v="5.5"/>
    <s v="Pack"/>
    <m/>
  </r>
  <r>
    <s v="Malaria"/>
    <x v="4"/>
    <x v="2"/>
    <s v="IRS equipment &amp; insecticides"/>
    <x v="25"/>
    <x v="208"/>
    <s v="Pirimiphos-methyl CS, EC"/>
    <n v="5.5"/>
    <s v="Pack"/>
    <m/>
  </r>
  <r>
    <s v="Malaria"/>
    <x v="4"/>
    <x v="2"/>
    <s v="IRS equipment &amp; insecticides"/>
    <x v="25"/>
    <x v="208"/>
    <s v="Propoxur WP"/>
    <n v="5.5"/>
    <s v="Pack"/>
    <m/>
  </r>
  <r>
    <s v="Malaria"/>
    <x v="4"/>
    <x v="2"/>
    <s v="LLINs (mass campaign)"/>
    <x v="26"/>
    <x v="209"/>
    <s v="180x160x150 Rectangular LLIN"/>
    <n v="5.0999999999999996"/>
    <s v="Piece"/>
    <m/>
  </r>
  <r>
    <s v="Malaria"/>
    <x v="4"/>
    <x v="2"/>
    <s v="LLINs (mass campaign)"/>
    <x v="26"/>
    <x v="209"/>
    <s v="180x160x150 Rectangular PBO LLIN"/>
    <n v="5.0999999999999996"/>
    <s v="Piece"/>
    <m/>
  </r>
  <r>
    <s v="Malaria"/>
    <x v="4"/>
    <x v="2"/>
    <s v="LLINs (mass campaign)"/>
    <x v="26"/>
    <x v="209"/>
    <s v="180x160x170 Rectangular LLIN"/>
    <n v="5.0999999999999996"/>
    <s v="Piece"/>
    <m/>
  </r>
  <r>
    <s v="Malaria"/>
    <x v="4"/>
    <x v="2"/>
    <s v="LLINs (mass campaign)"/>
    <x v="26"/>
    <x v="209"/>
    <s v="180x160x170 Rectangular PBO LLIN"/>
    <n v="5.0999999999999996"/>
    <s v="Piece"/>
    <m/>
  </r>
  <r>
    <s v="Malaria"/>
    <x v="4"/>
    <x v="2"/>
    <s v="LLINs (mass campaign)"/>
    <x v="26"/>
    <x v="209"/>
    <s v="180x160x180 Rectangular LLIN"/>
    <n v="5.0999999999999996"/>
    <s v="Piece"/>
    <m/>
  </r>
  <r>
    <s v="Malaria"/>
    <x v="4"/>
    <x v="2"/>
    <s v="LLINs (mass campaign)"/>
    <x v="26"/>
    <x v="209"/>
    <s v="180x160x180 Rectangular PBO LLIN"/>
    <n v="5.0999999999999996"/>
    <s v="Piece"/>
    <m/>
  </r>
  <r>
    <s v="Malaria"/>
    <x v="4"/>
    <x v="2"/>
    <s v="LLINs (mass campaign)"/>
    <x v="26"/>
    <x v="209"/>
    <s v="180x190x150 Rectangular LLIN"/>
    <n v="5.0999999999999996"/>
    <s v="Piece"/>
    <m/>
  </r>
  <r>
    <s v="Malaria"/>
    <x v="4"/>
    <x v="2"/>
    <s v="LLINs (mass campaign)"/>
    <x v="26"/>
    <x v="209"/>
    <s v="180x190x150 Rectangular PBO LLIN"/>
    <n v="5.0999999999999996"/>
    <s v="Piece"/>
    <m/>
  </r>
  <r>
    <s v="Malaria"/>
    <x v="4"/>
    <x v="2"/>
    <s v="LLINs (mass campaign)"/>
    <x v="26"/>
    <x v="209"/>
    <s v="180x190x160 Rectangular LLIN"/>
    <n v="5.0999999999999996"/>
    <s v="Piece"/>
    <m/>
  </r>
  <r>
    <s v="Malaria"/>
    <x v="4"/>
    <x v="2"/>
    <s v="LLINs (mass campaign)"/>
    <x v="26"/>
    <x v="209"/>
    <s v="180x190x160 Rectangular PBO LLIN"/>
    <n v="5.0999999999999996"/>
    <s v="Piece"/>
    <m/>
  </r>
  <r>
    <s v="Malaria"/>
    <x v="4"/>
    <x v="2"/>
    <s v="LLINs (mass campaign)"/>
    <x v="26"/>
    <x v="209"/>
    <s v="190x180x170 Rectangular LLIN"/>
    <n v="5.0999999999999996"/>
    <s v="Piece"/>
    <m/>
  </r>
  <r>
    <s v="Malaria"/>
    <x v="4"/>
    <x v="2"/>
    <s v="LLINs (mass campaign)"/>
    <x v="26"/>
    <x v="209"/>
    <s v="190x180x170 Rectangular PBO LLIN"/>
    <n v="5.0999999999999996"/>
    <s v="Piece"/>
    <m/>
  </r>
  <r>
    <s v="Malaria"/>
    <x v="4"/>
    <x v="2"/>
    <s v="LLINs (mass campaign)"/>
    <x v="26"/>
    <x v="209"/>
    <s v="190x180x180 Rectangular LLIN"/>
    <n v="5.0999999999999996"/>
    <s v="Piece"/>
    <m/>
  </r>
  <r>
    <s v="Malaria"/>
    <x v="4"/>
    <x v="2"/>
    <s v="LLINs (mass campaign)"/>
    <x v="26"/>
    <x v="209"/>
    <s v="190x180x180 Rectangular PBO LLIN"/>
    <n v="5.0999999999999996"/>
    <s v="Piece"/>
    <m/>
  </r>
  <r>
    <s v="Malaria"/>
    <x v="4"/>
    <x v="2"/>
    <s v="LLINs (mass campaign)"/>
    <x v="26"/>
    <x v="209"/>
    <s v="210x190x180 Rectangular LLIN"/>
    <n v="5.0999999999999996"/>
    <s v="Piece"/>
    <m/>
  </r>
  <r>
    <s v="Malaria"/>
    <x v="4"/>
    <x v="2"/>
    <s v="LLINs (mass campaign)"/>
    <x v="26"/>
    <x v="209"/>
    <s v="210x190x180 Rectangular PBO LLIN"/>
    <n v="5.0999999999999996"/>
    <s v="Piece"/>
    <m/>
  </r>
  <r>
    <s v="Malaria"/>
    <x v="4"/>
    <x v="2"/>
    <s v="LLINs (mass campaign)"/>
    <x v="26"/>
    <x v="209"/>
    <s v="Other - Enter details in Comments"/>
    <n v="5.0999999999999996"/>
    <s v="Piece"/>
    <m/>
  </r>
  <r>
    <s v="Malaria"/>
    <x v="4"/>
    <x v="2"/>
    <s v="LLINs (routine distribution)"/>
    <x v="27"/>
    <x v="210"/>
    <s v="180x160x150 Rectangular LLIN"/>
    <n v="5.0999999999999996"/>
    <s v="Piece"/>
    <m/>
  </r>
  <r>
    <s v="Malaria"/>
    <x v="4"/>
    <x v="2"/>
    <s v="LLINs (routine distribution)"/>
    <x v="27"/>
    <x v="210"/>
    <s v="180x160x150 Rectangular PBO LLIN"/>
    <n v="5.0999999999999996"/>
    <s v="Piece"/>
    <m/>
  </r>
  <r>
    <s v="Malaria"/>
    <x v="4"/>
    <x v="2"/>
    <s v="LLINs (routine distribution)"/>
    <x v="27"/>
    <x v="210"/>
    <s v="180x160x170 Rectangular LLIN"/>
    <n v="5.0999999999999996"/>
    <s v="Piece"/>
    <m/>
  </r>
  <r>
    <s v="Malaria"/>
    <x v="4"/>
    <x v="2"/>
    <s v="LLINs (routine distribution)"/>
    <x v="27"/>
    <x v="210"/>
    <s v="180x160x170 Rectangular PBO LLIN"/>
    <n v="5.0999999999999996"/>
    <s v="Piece"/>
    <m/>
  </r>
  <r>
    <s v="Malaria"/>
    <x v="4"/>
    <x v="2"/>
    <s v="LLINs (routine distribution)"/>
    <x v="27"/>
    <x v="210"/>
    <s v="180x160x180 Rectangular LLIN"/>
    <n v="5.0999999999999996"/>
    <s v="Piece"/>
    <m/>
  </r>
  <r>
    <s v="Malaria"/>
    <x v="4"/>
    <x v="2"/>
    <s v="LLINs (routine distribution)"/>
    <x v="27"/>
    <x v="210"/>
    <s v="180x160x180 Rectangular PBO LLIN"/>
    <n v="5.0999999999999996"/>
    <s v="Piece"/>
    <m/>
  </r>
  <r>
    <s v="Malaria"/>
    <x v="4"/>
    <x v="2"/>
    <s v="LLINs (routine distribution)"/>
    <x v="27"/>
    <x v="210"/>
    <s v="180x190x150 Rectangular LLIN"/>
    <n v="5.0999999999999996"/>
    <s v="Piece"/>
    <m/>
  </r>
  <r>
    <s v="Malaria"/>
    <x v="4"/>
    <x v="2"/>
    <s v="LLINs (routine distribution)"/>
    <x v="27"/>
    <x v="210"/>
    <s v="180x190x150 Rectangular PBO LLIN"/>
    <n v="5.0999999999999996"/>
    <s v="Piece"/>
    <m/>
  </r>
  <r>
    <s v="Malaria"/>
    <x v="4"/>
    <x v="2"/>
    <s v="LLINs (routine distribution)"/>
    <x v="27"/>
    <x v="210"/>
    <s v="180x190x160 Rectangular LLIN"/>
    <n v="5.0999999999999996"/>
    <s v="Piece"/>
    <m/>
  </r>
  <r>
    <s v="Malaria"/>
    <x v="4"/>
    <x v="2"/>
    <s v="LLINs (routine distribution)"/>
    <x v="27"/>
    <x v="210"/>
    <s v="180x190x160 Rectangular PBO LLIN"/>
    <n v="5.0999999999999996"/>
    <s v="Piece"/>
    <m/>
  </r>
  <r>
    <s v="Malaria"/>
    <x v="4"/>
    <x v="2"/>
    <s v="LLINs (routine distribution)"/>
    <x v="27"/>
    <x v="210"/>
    <s v="190x180x170 Rectangular LLIN"/>
    <n v="5.0999999999999996"/>
    <s v="Piece"/>
    <m/>
  </r>
  <r>
    <s v="Malaria"/>
    <x v="4"/>
    <x v="2"/>
    <s v="LLINs (routine distribution)"/>
    <x v="27"/>
    <x v="210"/>
    <s v="190x180x170 Rectangular PBO LLIN"/>
    <n v="5.0999999999999996"/>
    <s v="Piece"/>
    <m/>
  </r>
  <r>
    <s v="Malaria"/>
    <x v="4"/>
    <x v="2"/>
    <s v="LLINs (routine distribution)"/>
    <x v="27"/>
    <x v="210"/>
    <s v="190x180x180 Rectangular LLIN"/>
    <n v="5.0999999999999996"/>
    <s v="Piece"/>
    <m/>
  </r>
  <r>
    <s v="Malaria"/>
    <x v="4"/>
    <x v="2"/>
    <s v="LLINs (routine distribution)"/>
    <x v="27"/>
    <x v="210"/>
    <s v="190x180x180 Rectangular PBO LLIN"/>
    <n v="5.0999999999999996"/>
    <s v="Piece"/>
    <m/>
  </r>
  <r>
    <s v="Malaria"/>
    <x v="4"/>
    <x v="2"/>
    <s v="LLINs (routine distribution)"/>
    <x v="27"/>
    <x v="210"/>
    <s v="210x190x180 Rectangular LLIN"/>
    <n v="5.0999999999999996"/>
    <s v="Piece"/>
    <m/>
  </r>
  <r>
    <s v="Malaria"/>
    <x v="4"/>
    <x v="2"/>
    <s v="LLINs (routine distribution)"/>
    <x v="27"/>
    <x v="210"/>
    <s v="210x190x180 Rectangular PBO LLIN"/>
    <n v="5.0999999999999996"/>
    <s v="Piece"/>
    <m/>
  </r>
  <r>
    <s v="Malaria"/>
    <x v="4"/>
    <x v="2"/>
    <s v="LLINs (routine distribution)"/>
    <x v="27"/>
    <x v="210"/>
    <s v="Other - Enter details in Comments"/>
    <n v="5.0999999999999996"/>
    <s v="Piece"/>
    <m/>
  </r>
  <r>
    <s v="Malaria"/>
    <x v="4"/>
    <x v="3"/>
    <s v="Other equipment for malaria"/>
    <x v="28"/>
    <x v="211"/>
    <s v="Equipment"/>
    <n v="6.6"/>
    <s v="Each"/>
    <m/>
  </r>
  <r>
    <s v="Malaria"/>
    <x v="4"/>
    <x v="3"/>
    <s v="Other equipment for malaria"/>
    <x v="28"/>
    <x v="211"/>
    <s v="Spare parts and accessories"/>
    <n v="6.6"/>
    <s v="Each"/>
    <m/>
  </r>
  <r>
    <s v="Malaria"/>
    <x v="4"/>
    <x v="3"/>
    <s v="Other equipment for malaria"/>
    <x v="28"/>
    <x v="211"/>
    <s v="Warranty, maintenance and service"/>
    <n v="6.5"/>
    <s v="Each"/>
    <m/>
  </r>
  <r>
    <s v="Malaria"/>
    <x v="4"/>
    <x v="3"/>
    <s v="Consumables"/>
    <x v="29"/>
    <x v="5"/>
    <s v="Apron Single-use, disposable 100"/>
    <n v="5.8"/>
    <s v="Pack"/>
    <m/>
  </r>
  <r>
    <s v="Malaria"/>
    <x v="4"/>
    <x v="3"/>
    <s v="Consumables"/>
    <x v="29"/>
    <x v="58"/>
    <s v="Other - Enter details in Comments"/>
    <n v="5.8"/>
    <s v="Pack"/>
    <m/>
  </r>
  <r>
    <s v="Malaria"/>
    <x v="4"/>
    <x v="3"/>
    <s v="Consumables"/>
    <x v="29"/>
    <x v="59"/>
    <s v="Other - Enter details in Comments"/>
    <n v="5.8"/>
    <s v="Pack"/>
    <m/>
  </r>
  <r>
    <s v="Malaria"/>
    <x v="4"/>
    <x v="3"/>
    <s v="Consumables"/>
    <x v="29"/>
    <x v="60"/>
    <s v="Other - Enter details in Comments"/>
    <n v="5.8"/>
    <s v="Pack"/>
    <m/>
  </r>
  <r>
    <s v="Malaria"/>
    <x v="4"/>
    <x v="3"/>
    <s v="Consumables"/>
    <x v="29"/>
    <x v="212"/>
    <s v="Other - Enter details in Comments"/>
    <n v="5.8"/>
    <s v="Pack"/>
    <m/>
  </r>
  <r>
    <s v="Malaria"/>
    <x v="4"/>
    <x v="3"/>
    <s v="Consumables"/>
    <x v="29"/>
    <x v="63"/>
    <s v="Other - Enter details in Comments"/>
    <n v="5.8"/>
    <s v="Pack"/>
    <m/>
  </r>
  <r>
    <s v="Malaria"/>
    <x v="4"/>
    <x v="3"/>
    <s v="Consumables"/>
    <x v="29"/>
    <x v="64"/>
    <s v="Other - Enter details in Comments"/>
    <n v="5.8"/>
    <s v="Pack"/>
    <m/>
  </r>
  <r>
    <s v="Malaria"/>
    <x v="4"/>
    <x v="3"/>
    <s v="Consumables"/>
    <x v="29"/>
    <x v="6"/>
    <s v="Faceshield, disposable"/>
    <n v="5.8"/>
    <s v="Piece"/>
    <m/>
  </r>
  <r>
    <s v="Malaria"/>
    <x v="4"/>
    <x v="3"/>
    <s v="Consumables"/>
    <x v="29"/>
    <x v="7"/>
    <s v="Gloves, Examination - Latex - non-sterile, single-use, disposable, powder-free 100"/>
    <n v="5.8"/>
    <s v="Pack"/>
    <m/>
  </r>
  <r>
    <s v="Malaria"/>
    <x v="4"/>
    <x v="3"/>
    <s v="Consumables"/>
    <x v="29"/>
    <x v="7"/>
    <s v="Gloves, Examination - Nitrile - non-sterile, single-use, disposable, powder-free100"/>
    <n v="5.8"/>
    <s v="Pack"/>
    <m/>
  </r>
  <r>
    <s v="Malaria"/>
    <x v="4"/>
    <x v="3"/>
    <s v="Consumables"/>
    <x v="29"/>
    <x v="7"/>
    <s v="Gloves, Surgical - sterile, single-use, disposable, powder-free pair"/>
    <n v="5.8"/>
    <s v="Each"/>
    <m/>
  </r>
  <r>
    <s v="Malaria"/>
    <x v="4"/>
    <x v="3"/>
    <s v="Consumables"/>
    <x v="29"/>
    <x v="8"/>
    <s v="Goggles, protective, indirect side-ventilation"/>
    <n v="5.8"/>
    <s v="Piece"/>
    <m/>
  </r>
  <r>
    <s v="Malaria"/>
    <x v="4"/>
    <x v="3"/>
    <s v="Consumables"/>
    <x v="29"/>
    <x v="9"/>
    <s v="Gown, Isolation non-sterile, single-use, disposable, blood-borne pathogens"/>
    <n v="5.8"/>
    <s v="Piece "/>
    <m/>
  </r>
  <r>
    <s v="Malaria"/>
    <x v="4"/>
    <x v="3"/>
    <s v="Consumables"/>
    <x v="29"/>
    <x v="9"/>
    <s v="Gown, Surgical non-sterile, single-use, disposable, high perfusion"/>
    <n v="5.8"/>
    <s v="Piece "/>
    <m/>
  </r>
  <r>
    <s v="Malaria"/>
    <x v="4"/>
    <x v="3"/>
    <s v="Consumables"/>
    <x v="29"/>
    <x v="9"/>
    <s v="Gown, Surgical sterile, single-use, disposable, high perfusion"/>
    <n v="5.8"/>
    <s v="Piece "/>
    <m/>
  </r>
  <r>
    <s v="Malaria"/>
    <x v="4"/>
    <x v="3"/>
    <s v="Consumables"/>
    <x v="29"/>
    <x v="9"/>
    <s v="Gown, Surgical sterile, single-use, disposable, standard perfusion"/>
    <n v="5.8"/>
    <s v="Piece "/>
    <m/>
  </r>
  <r>
    <s v="Malaria"/>
    <x v="4"/>
    <x v="3"/>
    <s v="Consumables"/>
    <x v="29"/>
    <x v="213"/>
    <s v="Boots"/>
    <n v="5.8"/>
    <s v="Piece"/>
    <m/>
  </r>
  <r>
    <s v="Malaria"/>
    <x v="4"/>
    <x v="3"/>
    <s v="Consumables"/>
    <x v="29"/>
    <x v="213"/>
    <s v="Face mask/respirator"/>
    <n v="5.8"/>
    <s v="Piece"/>
    <m/>
  </r>
  <r>
    <s v="Malaria"/>
    <x v="4"/>
    <x v="3"/>
    <s v="Consumables"/>
    <x v="29"/>
    <x v="213"/>
    <s v="Face shield"/>
    <n v="5.8"/>
    <s v="Piece"/>
    <m/>
  </r>
  <r>
    <s v="Malaria"/>
    <x v="4"/>
    <x v="3"/>
    <s v="Consumables"/>
    <x v="29"/>
    <x v="213"/>
    <s v="Long sleeved overalls"/>
    <n v="5.8"/>
    <s v="Piece"/>
    <m/>
  </r>
  <r>
    <s v="Malaria"/>
    <x v="4"/>
    <x v="3"/>
    <s v="Consumables"/>
    <x v="29"/>
    <x v="213"/>
    <s v="Other - Enter details in Comments"/>
    <n v="5.8"/>
    <s v="Piece"/>
    <m/>
  </r>
  <r>
    <s v="Malaria"/>
    <x v="4"/>
    <x v="3"/>
    <s v="Consumables"/>
    <x v="29"/>
    <x v="213"/>
    <s v="Protective goggles"/>
    <n v="5.8"/>
    <s v="Piece"/>
    <m/>
  </r>
  <r>
    <s v="Malaria"/>
    <x v="4"/>
    <x v="3"/>
    <s v="Consumables"/>
    <x v="29"/>
    <x v="213"/>
    <s v="Rubber gloves"/>
    <n v="5.8"/>
    <s v="Piece"/>
    <m/>
  </r>
  <r>
    <s v="Malaria"/>
    <x v="4"/>
    <x v="3"/>
    <s v="Consumables"/>
    <x v="29"/>
    <x v="10"/>
    <s v="Mask, Medical, Type I, single-use, disposable 50"/>
    <n v="5.8"/>
    <s v="Pack"/>
    <m/>
  </r>
  <r>
    <s v="Malaria"/>
    <x v="4"/>
    <x v="3"/>
    <s v="Consumables"/>
    <x v="29"/>
    <x v="10"/>
    <s v="Mask, Surgical, Type IIR fluid resistant, single-use, disposable 50"/>
    <n v="5.8"/>
    <s v="Pack"/>
    <m/>
  </r>
  <r>
    <s v="Malaria"/>
    <x v="4"/>
    <x v="3"/>
    <s v="Consumables"/>
    <x v="29"/>
    <x v="214"/>
    <s v="Microscope slides 1000 units"/>
    <n v="5.8"/>
    <s v="Pack"/>
    <m/>
  </r>
  <r>
    <s v="Malaria"/>
    <x v="4"/>
    <x v="3"/>
    <s v="Consumables"/>
    <x v="29"/>
    <x v="215"/>
    <s v="Other - Enter details in Comments"/>
    <n v="5.8"/>
    <s v="Pack"/>
    <m/>
  </r>
  <r>
    <s v="Malaria"/>
    <x v="4"/>
    <x v="3"/>
    <s v="Consumables"/>
    <x v="29"/>
    <x v="12"/>
    <s v="Airflow test set"/>
    <n v="5.8"/>
    <s v="Each"/>
    <m/>
  </r>
  <r>
    <s v="Malaria"/>
    <x v="4"/>
    <x v="3"/>
    <s v="Consumables"/>
    <x v="29"/>
    <x v="12"/>
    <s v="Refill for airflow test set"/>
    <n v="5.8"/>
    <s v="Each"/>
    <m/>
  </r>
  <r>
    <s v="Malaria"/>
    <x v="4"/>
    <x v="3"/>
    <s v="Consumables"/>
    <x v="29"/>
    <x v="12"/>
    <s v="Respirator, High-filt, FPP2/N95, no-valve, non-sterile 20"/>
    <n v="5.8"/>
    <s v="Pack"/>
    <m/>
  </r>
  <r>
    <s v="Malaria"/>
    <x v="4"/>
    <x v="3"/>
    <s v="Consumables"/>
    <x v="29"/>
    <x v="12"/>
    <s v="Respirator, High-filt, FPP2/N95, valve, non-sterile 20"/>
    <n v="5.8"/>
    <s v="Pack"/>
    <m/>
  </r>
  <r>
    <s v="Malaria"/>
    <x v="4"/>
    <x v="3"/>
    <s v="Other equipment for malaria"/>
    <x v="30"/>
    <x v="14"/>
    <s v="Equipment"/>
    <n v="6.6"/>
    <s v="Each"/>
    <m/>
  </r>
  <r>
    <s v="Malaria"/>
    <x v="4"/>
    <x v="3"/>
    <s v="Other equipment for malaria"/>
    <x v="30"/>
    <x v="14"/>
    <s v="Spare parts and accessories"/>
    <n v="6.6"/>
    <s v="Each"/>
    <m/>
  </r>
  <r>
    <s v="Malaria"/>
    <x v="4"/>
    <x v="3"/>
    <s v="Other equipment for malaria"/>
    <x v="30"/>
    <x v="14"/>
    <s v="Warranty, maintenance and service"/>
    <n v="6.5"/>
    <s v="Each"/>
    <m/>
  </r>
  <r>
    <s v="Malaria"/>
    <x v="4"/>
    <x v="3"/>
    <s v="Other equipment for malaria"/>
    <x v="30"/>
    <x v="15"/>
    <s v="Equipment"/>
    <n v="6.6"/>
    <s v="Each"/>
    <m/>
  </r>
  <r>
    <s v="Malaria"/>
    <x v="4"/>
    <x v="3"/>
    <s v="Other equipment for malaria"/>
    <x v="30"/>
    <x v="15"/>
    <s v="Spare parts and accessories"/>
    <n v="6.6"/>
    <s v="Each"/>
    <m/>
  </r>
  <r>
    <s v="Malaria"/>
    <x v="4"/>
    <x v="3"/>
    <s v="Other equipment for malaria"/>
    <x v="30"/>
    <x v="15"/>
    <s v="Warranty, maintenance and service"/>
    <n v="6.5"/>
    <s v="Each"/>
    <m/>
  </r>
  <r>
    <s v="Malaria"/>
    <x v="4"/>
    <x v="3"/>
    <s v="Other equipment for malaria"/>
    <x v="30"/>
    <x v="16"/>
    <s v="Equipment"/>
    <n v="6.6"/>
    <s v="Each"/>
    <m/>
  </r>
  <r>
    <s v="Malaria"/>
    <x v="4"/>
    <x v="3"/>
    <s v="Other equipment for malaria"/>
    <x v="30"/>
    <x v="16"/>
    <s v="Spare parts and accessories"/>
    <n v="6.6"/>
    <s v="Each"/>
    <m/>
  </r>
  <r>
    <s v="Malaria"/>
    <x v="4"/>
    <x v="3"/>
    <s v="Other equipment for malaria"/>
    <x v="30"/>
    <x v="16"/>
    <s v="Warranty, maintenance and service"/>
    <n v="6.5"/>
    <s v="Each"/>
    <m/>
  </r>
  <r>
    <s v="Malaria"/>
    <x v="4"/>
    <x v="3"/>
    <s v="Other equipment for malaria"/>
    <x v="30"/>
    <x v="17"/>
    <s v="Equipment"/>
    <n v="6.6"/>
    <s v="Each"/>
    <m/>
  </r>
  <r>
    <s v="Malaria"/>
    <x v="4"/>
    <x v="3"/>
    <s v="Other equipment for malaria"/>
    <x v="30"/>
    <x v="17"/>
    <s v="Spare parts and accessories"/>
    <n v="6.6"/>
    <s v="Each"/>
    <m/>
  </r>
  <r>
    <s v="Malaria"/>
    <x v="4"/>
    <x v="3"/>
    <s v="Other equipment for malaria"/>
    <x v="30"/>
    <x v="17"/>
    <s v="Warranty, maintenance and service"/>
    <n v="6.5"/>
    <s v="Each"/>
    <m/>
  </r>
  <r>
    <s v="Malaria"/>
    <x v="4"/>
    <x v="3"/>
    <s v="Other equipment for malaria"/>
    <x v="30"/>
    <x v="18"/>
    <s v="Equipment"/>
    <n v="6.6"/>
    <s v="Each"/>
    <m/>
  </r>
  <r>
    <s v="Malaria"/>
    <x v="4"/>
    <x v="3"/>
    <s v="Other equipment for malaria"/>
    <x v="30"/>
    <x v="18"/>
    <s v="Spare parts and accessories"/>
    <n v="6.6"/>
    <s v="Each"/>
    <m/>
  </r>
  <r>
    <s v="Malaria"/>
    <x v="4"/>
    <x v="3"/>
    <s v="Other equipment for malaria"/>
    <x v="30"/>
    <x v="18"/>
    <s v="Warranty, maintenance and service"/>
    <n v="6.5"/>
    <s v="Each"/>
    <m/>
  </r>
  <r>
    <s v="Malaria"/>
    <x v="4"/>
    <x v="3"/>
    <s v="Other equipment for malaria"/>
    <x v="30"/>
    <x v="19"/>
    <s v="Equipment"/>
    <n v="6.6"/>
    <s v="Each"/>
    <m/>
  </r>
  <r>
    <s v="Malaria"/>
    <x v="4"/>
    <x v="3"/>
    <s v="Other equipment for malaria"/>
    <x v="30"/>
    <x v="19"/>
    <s v="Spare parts and accessories"/>
    <n v="6.6"/>
    <s v="Each"/>
    <m/>
  </r>
  <r>
    <s v="Malaria"/>
    <x v="4"/>
    <x v="3"/>
    <s v="Other equipment for malaria"/>
    <x v="30"/>
    <x v="19"/>
    <s v="Warranty, maintenance and service"/>
    <n v="6.5"/>
    <s v="Each"/>
    <m/>
  </r>
  <r>
    <s v="Malaria"/>
    <x v="4"/>
    <x v="3"/>
    <s v="Other equipment for malaria"/>
    <x v="30"/>
    <x v="21"/>
    <s v="Equipment"/>
    <n v="6.6"/>
    <s v="Each"/>
    <m/>
  </r>
  <r>
    <s v="Malaria"/>
    <x v="4"/>
    <x v="3"/>
    <s v="Other equipment for malaria"/>
    <x v="30"/>
    <x v="21"/>
    <s v="Spare parts and accessories"/>
    <n v="6.6"/>
    <s v="Each"/>
    <m/>
  </r>
  <r>
    <s v="Malaria"/>
    <x v="4"/>
    <x v="3"/>
    <s v="Other equipment for malaria"/>
    <x v="30"/>
    <x v="21"/>
    <s v="Warranty, maintenance and service"/>
    <n v="6.5"/>
    <s v="Each"/>
    <m/>
  </r>
  <r>
    <s v="Malaria"/>
    <x v="4"/>
    <x v="3"/>
    <s v="Other equipment for malaria"/>
    <x v="30"/>
    <x v="22"/>
    <s v="Equipment"/>
    <n v="6.6"/>
    <s v="Each"/>
    <m/>
  </r>
  <r>
    <s v="Malaria"/>
    <x v="4"/>
    <x v="3"/>
    <s v="Other equipment for malaria"/>
    <x v="30"/>
    <x v="22"/>
    <s v="Spare parts and accessories"/>
    <n v="6.6"/>
    <s v="Each"/>
    <m/>
  </r>
  <r>
    <s v="Malaria"/>
    <x v="4"/>
    <x v="3"/>
    <s v="Other equipment for malaria"/>
    <x v="30"/>
    <x v="22"/>
    <s v="Warranty, maintenance and service"/>
    <n v="6.5"/>
    <s v="Each"/>
    <m/>
  </r>
  <r>
    <s v="Malaria"/>
    <x v="4"/>
    <x v="3"/>
    <s v="Other equipment for malaria"/>
    <x v="30"/>
    <x v="23"/>
    <s v="Equipment"/>
    <n v="6.6"/>
    <s v="Each"/>
    <m/>
  </r>
  <r>
    <s v="Malaria"/>
    <x v="4"/>
    <x v="3"/>
    <s v="Other equipment for malaria"/>
    <x v="30"/>
    <x v="23"/>
    <s v="Spare parts and accessories"/>
    <n v="6.6"/>
    <s v="Each"/>
    <m/>
  </r>
  <r>
    <s v="Malaria"/>
    <x v="4"/>
    <x v="3"/>
    <s v="Other equipment for malaria"/>
    <x v="30"/>
    <x v="23"/>
    <s v="Warranty, maintenance and service"/>
    <n v="6.5"/>
    <s v="Each"/>
    <m/>
  </r>
  <r>
    <s v="Malaria"/>
    <x v="4"/>
    <x v="3"/>
    <s v="Other equipment for malaria"/>
    <x v="30"/>
    <x v="24"/>
    <s v="Equipment"/>
    <n v="6.6"/>
    <s v="Each"/>
    <m/>
  </r>
  <r>
    <s v="Malaria"/>
    <x v="4"/>
    <x v="3"/>
    <s v="Other equipment for malaria"/>
    <x v="30"/>
    <x v="24"/>
    <s v="Spare parts and accessories"/>
    <n v="6.6"/>
    <s v="Each"/>
    <m/>
  </r>
  <r>
    <s v="Malaria"/>
    <x v="4"/>
    <x v="3"/>
    <s v="Other equipment for malaria"/>
    <x v="30"/>
    <x v="24"/>
    <s v="Warranty, maintenance and service"/>
    <n v="6.5"/>
    <s v="Each"/>
    <m/>
  </r>
  <r>
    <s v="Malaria"/>
    <x v="4"/>
    <x v="3"/>
    <s v="Other equipment for malaria"/>
    <x v="30"/>
    <x v="25"/>
    <s v="Equipment"/>
    <n v="6.6"/>
    <s v="Each"/>
    <m/>
  </r>
  <r>
    <s v="Malaria"/>
    <x v="4"/>
    <x v="3"/>
    <s v="Other equipment for malaria"/>
    <x v="30"/>
    <x v="25"/>
    <s v="Spare parts and accessories"/>
    <n v="6.6"/>
    <s v="Each"/>
    <m/>
  </r>
  <r>
    <s v="Malaria"/>
    <x v="4"/>
    <x v="3"/>
    <s v="Other equipment for malaria"/>
    <x v="30"/>
    <x v="25"/>
    <s v="Warranty, maintenance and service"/>
    <n v="6.5"/>
    <s v="Each"/>
    <m/>
  </r>
  <r>
    <s v="Malaria"/>
    <x v="4"/>
    <x v="3"/>
    <s v="Other equipment for malaria"/>
    <x v="30"/>
    <x v="26"/>
    <s v="Equipment"/>
    <n v="6.6"/>
    <s v="Each"/>
    <m/>
  </r>
  <r>
    <s v="Malaria"/>
    <x v="4"/>
    <x v="3"/>
    <s v="Other equipment for malaria"/>
    <x v="30"/>
    <x v="26"/>
    <s v="Spare parts and accessories"/>
    <n v="6.6"/>
    <s v="Each"/>
    <m/>
  </r>
  <r>
    <s v="Malaria"/>
    <x v="4"/>
    <x v="3"/>
    <s v="Other equipment for malaria"/>
    <x v="30"/>
    <x v="26"/>
    <s v="Warranty, maintenance and service"/>
    <n v="6.5"/>
    <s v="Each"/>
    <m/>
  </r>
  <r>
    <s v="Malaria"/>
    <x v="4"/>
    <x v="3"/>
    <s v="Other equipment for malaria"/>
    <x v="30"/>
    <x v="27"/>
    <s v="Equipment"/>
    <n v="6.6"/>
    <s v="Each"/>
    <m/>
  </r>
  <r>
    <s v="Malaria"/>
    <x v="4"/>
    <x v="3"/>
    <s v="Other equipment for malaria"/>
    <x v="30"/>
    <x v="27"/>
    <s v="Spare parts and accessories"/>
    <n v="6.6"/>
    <s v="Each"/>
    <m/>
  </r>
  <r>
    <s v="Malaria"/>
    <x v="4"/>
    <x v="3"/>
    <s v="Other equipment for malaria"/>
    <x v="30"/>
    <x v="27"/>
    <s v="Warranty, maintenance and service"/>
    <n v="6.5"/>
    <s v="Each"/>
    <m/>
  </r>
  <r>
    <s v="Malaria"/>
    <x v="4"/>
    <x v="3"/>
    <s v="Other equipment for malaria"/>
    <x v="30"/>
    <x v="28"/>
    <s v="Equipment"/>
    <n v="6.6"/>
    <s v="Each"/>
    <m/>
  </r>
  <r>
    <s v="Malaria"/>
    <x v="4"/>
    <x v="3"/>
    <s v="Other equipment for malaria"/>
    <x v="30"/>
    <x v="28"/>
    <s v="Spare parts and accessories"/>
    <n v="6.6"/>
    <s v="Each"/>
    <m/>
  </r>
  <r>
    <s v="Malaria"/>
    <x v="4"/>
    <x v="3"/>
    <s v="Other equipment for malaria"/>
    <x v="30"/>
    <x v="28"/>
    <s v="Warranty, maintenance and service"/>
    <n v="6.5"/>
    <s v="Each"/>
    <m/>
  </r>
  <r>
    <s v="Malaria"/>
    <x v="4"/>
    <x v="3"/>
    <s v="Other equipment for malaria"/>
    <x v="31"/>
    <x v="216"/>
    <s v="Other G6PD - reagents"/>
    <n v="5.6"/>
    <s v="Pack"/>
    <m/>
  </r>
  <r>
    <s v="Malaria"/>
    <x v="4"/>
    <x v="3"/>
    <s v="Other equipment for malaria"/>
    <x v="31"/>
    <x v="216"/>
    <s v="Standard G6PD System - Controls"/>
    <n v="5.6"/>
    <s v="Pack"/>
    <m/>
  </r>
  <r>
    <s v="Malaria"/>
    <x v="4"/>
    <x v="3"/>
    <s v="Other equipment for malaria"/>
    <x v="31"/>
    <x v="216"/>
    <s v="Standard G6PD System - G6PD test 25 tests"/>
    <n v="5.6"/>
    <s v="Pack"/>
    <m/>
  </r>
  <r>
    <s v="Malaria"/>
    <x v="4"/>
    <x v="3"/>
    <s v="Other equipment for malaria"/>
    <x v="32"/>
    <x v="82"/>
    <s v="Other - Enter details in Comments"/>
    <n v="5.8"/>
    <s v="Pack"/>
    <m/>
  </r>
  <r>
    <s v="Malaria"/>
    <x v="4"/>
    <x v="3"/>
    <s v="Other equipment for malaria"/>
    <x v="32"/>
    <x v="82"/>
    <s v="Bag, biohazard 100"/>
    <n v="5.8"/>
    <s v="Pack"/>
    <m/>
  </r>
  <r>
    <s v="Malaria"/>
    <x v="4"/>
    <x v="3"/>
    <s v="Other equipment for malaria"/>
    <x v="32"/>
    <x v="82"/>
    <s v="Container, sharps"/>
    <n v="5.8"/>
    <s v="Each"/>
    <m/>
  </r>
  <r>
    <s v="Malaria"/>
    <x v="4"/>
    <x v="3"/>
    <s v="Other equipment for malaria"/>
    <x v="32"/>
    <x v="82"/>
    <s v="Container, used needles &amp; syringes"/>
    <n v="5.8"/>
    <s v="Each"/>
    <m/>
  </r>
  <r>
    <s v="Malaria"/>
    <x v="4"/>
    <x v="3"/>
    <s v="Other equipment for malaria"/>
    <x v="32"/>
    <x v="83"/>
    <s v="Other - Enter details in Comments"/>
    <n v="5.6"/>
    <s v="Pack"/>
    <m/>
  </r>
  <r>
    <s v="Malaria"/>
    <x v="4"/>
    <x v="3"/>
    <s v="Other equipment for malaria"/>
    <x v="32"/>
    <x v="36"/>
    <s v="Equipment"/>
    <n v="6.6"/>
    <s v="Each"/>
    <m/>
  </r>
  <r>
    <s v="Malaria"/>
    <x v="4"/>
    <x v="3"/>
    <s v="Other equipment for malaria"/>
    <x v="32"/>
    <x v="36"/>
    <s v="Spare parts and accessories"/>
    <n v="6.6"/>
    <s v="Each"/>
    <m/>
  </r>
  <r>
    <s v="Malaria"/>
    <x v="4"/>
    <x v="3"/>
    <s v="Other equipment for malaria"/>
    <x v="32"/>
    <x v="36"/>
    <s v="Warranty, maintenance and service"/>
    <n v="6.5"/>
    <s v="Each"/>
    <m/>
  </r>
  <r>
    <s v="Malaria"/>
    <x v="4"/>
    <x v="3"/>
    <s v="Other equipment for malaria"/>
    <x v="32"/>
    <x v="37"/>
    <s v="Equipment"/>
    <n v="6.6"/>
    <s v="Each"/>
    <m/>
  </r>
  <r>
    <s v="Malaria"/>
    <x v="4"/>
    <x v="3"/>
    <s v="Other equipment for malaria"/>
    <x v="32"/>
    <x v="37"/>
    <s v="Spare parts and accessories"/>
    <n v="6.6"/>
    <s v="Each"/>
    <m/>
  </r>
  <r>
    <s v="Malaria"/>
    <x v="4"/>
    <x v="3"/>
    <s v="Other equipment for malaria"/>
    <x v="32"/>
    <x v="37"/>
    <s v="Warranty, maintenance and service"/>
    <n v="6.5"/>
    <s v="Each"/>
    <m/>
  </r>
  <r>
    <s v="Malaria"/>
    <x v="5"/>
    <x v="0"/>
    <s v="Antimalaria medicines - treatment"/>
    <x v="33"/>
    <x v="217"/>
    <s v="153mg+500/25mg 3+1 tablet dispersible co-blistered 50 blister"/>
    <n v="4.3"/>
    <s v="Pack"/>
    <m/>
  </r>
  <r>
    <s v="Malaria"/>
    <x v="5"/>
    <x v="0"/>
    <s v="Antimalaria medicines - treatment"/>
    <x v="33"/>
    <x v="217"/>
    <s v="76.5mg+250/12.5mg 3+1 tablet dispersible co-blistered 50 blister"/>
    <n v="4.3"/>
    <s v="Pack"/>
    <m/>
  </r>
  <r>
    <s v="Malaria"/>
    <x v="5"/>
    <x v="0"/>
    <s v="Antimalaria medicines - treatment"/>
    <x v="33"/>
    <x v="218"/>
    <s v="80mg/ml Solution for Injection - 1 vial"/>
    <n v="4.3"/>
    <s v="Pack"/>
    <m/>
  </r>
  <r>
    <s v="Malaria"/>
    <x v="5"/>
    <x v="0"/>
    <s v="Antimalaria medicines - treatment"/>
    <x v="33"/>
    <x v="219"/>
    <s v="20/120mg 12 tablet dispersible 30 blister"/>
    <n v="4.3"/>
    <s v="Pack"/>
    <m/>
  </r>
  <r>
    <s v="Malaria"/>
    <x v="5"/>
    <x v="0"/>
    <s v="Antimalaria medicines - treatment"/>
    <x v="33"/>
    <x v="219"/>
    <s v="20/120mg 12 tablet non-dispersible 30 blister"/>
    <n v="4.3"/>
    <s v="Pack"/>
    <m/>
  </r>
  <r>
    <s v="Malaria"/>
    <x v="5"/>
    <x v="0"/>
    <s v="Antimalaria medicines - treatment"/>
    <x v="33"/>
    <x v="219"/>
    <s v="20/120mg 18 tablet non-dispersible 30 blister"/>
    <n v="4.3"/>
    <s v="Pack"/>
    <m/>
  </r>
  <r>
    <s v="Malaria"/>
    <x v="5"/>
    <x v="0"/>
    <s v="Antimalaria medicines - treatment"/>
    <x v="33"/>
    <x v="219"/>
    <s v="20/120mg 24 tablet non-dispersible 30 blister"/>
    <n v="4.3"/>
    <s v="Pack"/>
    <m/>
  </r>
  <r>
    <s v="Malaria"/>
    <x v="5"/>
    <x v="0"/>
    <s v="Antimalaria medicines - treatment"/>
    <x v="33"/>
    <x v="219"/>
    <s v="20/120mg 6 tablet dispersible 30 blister"/>
    <n v="4.3"/>
    <s v="Pack"/>
    <m/>
  </r>
  <r>
    <s v="Malaria"/>
    <x v="5"/>
    <x v="0"/>
    <s v="Antimalaria medicines - treatment"/>
    <x v="33"/>
    <x v="219"/>
    <s v="20/120mg 6 tablet non-dispersible 30 blister"/>
    <n v="4.3"/>
    <s v="Pack"/>
    <m/>
  </r>
  <r>
    <s v="Malaria"/>
    <x v="5"/>
    <x v="0"/>
    <s v="Antimalaria medicines - treatment"/>
    <x v="33"/>
    <x v="219"/>
    <s v="40/240mg 12 tablet 30 blister"/>
    <n v="4.3"/>
    <s v="Pack"/>
    <m/>
  </r>
  <r>
    <s v="Malaria"/>
    <x v="5"/>
    <x v="0"/>
    <s v="Antimalaria medicines - treatment"/>
    <x v="33"/>
    <x v="219"/>
    <s v="40/240mg 6 tablet 1 blister"/>
    <n v="4.3"/>
    <s v="Pack"/>
    <m/>
  </r>
  <r>
    <s v="Malaria"/>
    <x v="5"/>
    <x v="0"/>
    <s v="Antimalaria medicines - treatment"/>
    <x v="33"/>
    <x v="219"/>
    <s v="40/240mg 6 tablet 30 blister"/>
    <n v="4.3"/>
    <s v="Pack"/>
    <m/>
  </r>
  <r>
    <s v="Malaria"/>
    <x v="5"/>
    <x v="0"/>
    <s v="Antimalaria medicines - treatment"/>
    <x v="33"/>
    <x v="219"/>
    <s v="60/360mg 6 tablet 1 blister"/>
    <n v="4.3"/>
    <s v="Pack"/>
    <m/>
  </r>
  <r>
    <s v="Malaria"/>
    <x v="5"/>
    <x v="0"/>
    <s v="Antimalaria medicines - treatment"/>
    <x v="33"/>
    <x v="219"/>
    <s v="60/360mg 6 tablet 30 blister"/>
    <n v="4.3"/>
    <s v="Pack"/>
    <m/>
  </r>
  <r>
    <s v="Malaria"/>
    <x v="5"/>
    <x v="0"/>
    <s v="Antimalaria medicines - treatment"/>
    <x v="33"/>
    <x v="219"/>
    <s v="80/480mg 6 tablet 1 blister"/>
    <n v="4.3"/>
    <s v="Pack"/>
    <m/>
  </r>
  <r>
    <s v="Malaria"/>
    <x v="5"/>
    <x v="0"/>
    <s v="Antimalaria medicines - treatment"/>
    <x v="33"/>
    <x v="219"/>
    <s v="80/480mg 6 tablet 30 blister"/>
    <n v="4.3"/>
    <s v="Pack"/>
    <m/>
  </r>
  <r>
    <s v="Malaria"/>
    <x v="5"/>
    <x v="0"/>
    <s v="Antimalaria medicines - treatment"/>
    <x v="33"/>
    <x v="220"/>
    <s v="100mg 2 suppository pack"/>
    <n v="4.3"/>
    <s v="Pack"/>
    <m/>
  </r>
  <r>
    <s v="Malaria"/>
    <x v="5"/>
    <x v="0"/>
    <s v="Antimalaria medicines - treatment"/>
    <x v="33"/>
    <x v="220"/>
    <s v="120mg powder for solution for injection - 1 vial"/>
    <n v="4.3"/>
    <s v="Pack"/>
    <m/>
  </r>
  <r>
    <s v="Malaria"/>
    <x v="5"/>
    <x v="0"/>
    <s v="Antimalaria medicines - treatment"/>
    <x v="33"/>
    <x v="220"/>
    <s v="30mg powder for solution for injection - 1 vial"/>
    <n v="4.3"/>
    <s v="Pack"/>
    <m/>
  </r>
  <r>
    <s v="Malaria"/>
    <x v="5"/>
    <x v="0"/>
    <s v="Antimalaria medicines - treatment"/>
    <x v="33"/>
    <x v="220"/>
    <s v="60mg powder for solution for injection - 1 vial"/>
    <n v="4.3"/>
    <s v="Pack"/>
    <m/>
  </r>
  <r>
    <s v="Malaria"/>
    <x v="5"/>
    <x v="0"/>
    <s v="Antimalaria medicines - treatment"/>
    <x v="33"/>
    <x v="221"/>
    <s v="100/270mg 3x1 (3) tablet 25 blister"/>
    <n v="4.3"/>
    <s v="Pack"/>
    <m/>
  </r>
  <r>
    <s v="Malaria"/>
    <x v="5"/>
    <x v="0"/>
    <s v="Antimalaria medicines - treatment"/>
    <x v="33"/>
    <x v="221"/>
    <s v="100/270mg 3x2 (6) tablet 25 blister"/>
    <n v="4.3"/>
    <s v="Pack"/>
    <m/>
  </r>
  <r>
    <s v="Malaria"/>
    <x v="5"/>
    <x v="0"/>
    <s v="Antimalaria medicines - treatment"/>
    <x v="33"/>
    <x v="221"/>
    <s v="25/67.5mg 3 tablet 25 blister"/>
    <n v="4.3"/>
    <s v="Pack"/>
    <m/>
  </r>
  <r>
    <s v="Malaria"/>
    <x v="5"/>
    <x v="0"/>
    <s v="Antimalaria medicines - treatment"/>
    <x v="33"/>
    <x v="221"/>
    <s v="50/135mg 3 tablet 25 blister"/>
    <n v="4.3"/>
    <s v="Pack"/>
    <m/>
  </r>
  <r>
    <s v="Malaria"/>
    <x v="5"/>
    <x v="0"/>
    <s v="Antimalaria medicines - treatment"/>
    <x v="33"/>
    <x v="222"/>
    <s v="100/200mg 3 tablet 30 blister"/>
    <n v="4.3"/>
    <s v="Pack"/>
    <m/>
  </r>
  <r>
    <s v="Malaria"/>
    <x v="5"/>
    <x v="0"/>
    <s v="Antimalaria medicines - treatment"/>
    <x v="33"/>
    <x v="222"/>
    <s v="100/200mg 6 tablet 30 blister"/>
    <n v="4.3"/>
    <s v="Pack"/>
    <m/>
  </r>
  <r>
    <s v="Malaria"/>
    <x v="5"/>
    <x v="0"/>
    <s v="Antimalaria medicines - treatment"/>
    <x v="33"/>
    <x v="222"/>
    <s v="25/50mg 3 tablet 30 blister"/>
    <n v="4.3"/>
    <s v="Pack"/>
    <m/>
  </r>
  <r>
    <s v="Malaria"/>
    <x v="5"/>
    <x v="0"/>
    <s v="Antimalaria medicines - treatment"/>
    <x v="33"/>
    <x v="222"/>
    <s v="25/50mg 6 tablet 30 blister"/>
    <n v="4.3"/>
    <s v="Pack"/>
    <m/>
  </r>
  <r>
    <s v="Malaria"/>
    <x v="5"/>
    <x v="0"/>
    <s v="Antimalaria medicines - treatment"/>
    <x v="33"/>
    <x v="223"/>
    <s v="20/60mg 3 sachets for granules (3x1) 30 strip"/>
    <n v="4.3"/>
    <s v="Pack"/>
    <m/>
  </r>
  <r>
    <s v="Malaria"/>
    <x v="5"/>
    <x v="0"/>
    <s v="Antimalaria medicines - treatment"/>
    <x v="33"/>
    <x v="223"/>
    <s v="20/60mg 3 sachets for granules (3x2) 30 strip"/>
    <n v="4.3"/>
    <s v="Pack"/>
    <m/>
  </r>
  <r>
    <s v="Malaria"/>
    <x v="5"/>
    <x v="0"/>
    <s v="Antimalaria medicines - treatment"/>
    <x v="33"/>
    <x v="223"/>
    <s v="20/60mg 3 sachets for granules (3x3) 30 strip"/>
    <n v="4.3"/>
    <s v="Pack"/>
    <m/>
  </r>
  <r>
    <s v="Malaria"/>
    <x v="5"/>
    <x v="0"/>
    <s v="Antimalaria medicines - treatment"/>
    <x v="33"/>
    <x v="223"/>
    <s v="20/60mg granule for oral suspension 90"/>
    <n v="4.3"/>
    <s v="Pack"/>
    <m/>
  </r>
  <r>
    <s v="Malaria"/>
    <x v="5"/>
    <x v="0"/>
    <s v="Antimalaria medicines - treatment"/>
    <x v="33"/>
    <x v="223"/>
    <s v="60/180mg tablet 9 tablet (3x1)10 blister"/>
    <n v="4.3"/>
    <s v="Pack"/>
    <m/>
  </r>
  <r>
    <s v="Malaria"/>
    <x v="5"/>
    <x v="0"/>
    <s v="Antimalaria medicines - treatment"/>
    <x v="33"/>
    <x v="223"/>
    <s v="60/180mg tablet 9 tablet (3x2)10 blister"/>
    <n v="4.3"/>
    <s v="Pack"/>
    <m/>
  </r>
  <r>
    <s v="Malaria"/>
    <x v="5"/>
    <x v="0"/>
    <s v="Antimalaria medicines - treatment"/>
    <x v="33"/>
    <x v="223"/>
    <s v="60/180mg tablet 9 tablet (3x3)10 blister"/>
    <n v="4.3"/>
    <s v="Pack"/>
    <m/>
  </r>
  <r>
    <s v="Malaria"/>
    <x v="5"/>
    <x v="0"/>
    <s v="Antimalaria medicines - treatment"/>
    <x v="33"/>
    <x v="223"/>
    <s v="60/180mg tablet 9 tablet (3x4)10 blister"/>
    <n v="4.3"/>
    <s v="Pack"/>
    <m/>
  </r>
  <r>
    <s v="Malaria"/>
    <x v="5"/>
    <x v="0"/>
    <s v="Antimalaria medicines - treatment"/>
    <x v="33"/>
    <x v="223"/>
    <s v="60/180mg tablet 9 tablet 10 blister"/>
    <n v="4.3"/>
    <s v="Pack"/>
    <m/>
  </r>
  <r>
    <s v="Malaria"/>
    <x v="5"/>
    <x v="0"/>
    <s v="Antimalaria medicines - treatment"/>
    <x v="33"/>
    <x v="224"/>
    <s v="50mg+500/25mg 1x(3+1 tablet co-blistered) 25 blister"/>
    <n v="4.3"/>
    <s v="Pack"/>
    <m/>
  </r>
  <r>
    <s v="Malaria"/>
    <x v="5"/>
    <x v="0"/>
    <s v="Antimalaria medicines - treatment"/>
    <x v="33"/>
    <x v="224"/>
    <s v="50mg+500/25mg 1x(6+2 tablet co-blistered) 25 blister"/>
    <n v="4.3"/>
    <s v="Pack"/>
    <m/>
  </r>
  <r>
    <s v="Malaria"/>
    <x v="5"/>
    <x v="0"/>
    <s v="Antimalaria medicines - treatment"/>
    <x v="33"/>
    <x v="225"/>
    <s v="250mg as phosphate/sulfate (155mg as base) 10 tablet 10 blister (100)"/>
    <n v="4.3"/>
    <s v="Pack"/>
    <m/>
  </r>
  <r>
    <s v="Malaria"/>
    <x v="5"/>
    <x v="0"/>
    <s v="Antimalaria medicines - treatment"/>
    <x v="33"/>
    <x v="225"/>
    <s v="250mg as phosphate/sulfate (155mg as base) 10 tablet 100 blister (1000)"/>
    <n v="4.3"/>
    <s v="Pack"/>
    <m/>
  </r>
  <r>
    <s v="Malaria"/>
    <x v="5"/>
    <x v="0"/>
    <s v="Antimalaria medicines - treatment"/>
    <x v="33"/>
    <x v="225"/>
    <s v="250mg as phosphate/sulfate (155mg as base) 100 tablet"/>
    <n v="4.3"/>
    <s v="Pack"/>
    <m/>
  </r>
  <r>
    <s v="Malaria"/>
    <x v="5"/>
    <x v="0"/>
    <s v="Antimalaria medicines - treatment"/>
    <x v="33"/>
    <x v="225"/>
    <s v="250mg as phosphate/sulfate (155mg as base) 1000 tablet"/>
    <n v="4.3"/>
    <s v="Pack"/>
    <m/>
  </r>
  <r>
    <s v="Malaria"/>
    <x v="5"/>
    <x v="0"/>
    <s v="Antimalaria medicines - treatment"/>
    <x v="33"/>
    <x v="225"/>
    <s v="250mg as phosphate/sulfate (155mg as base) 20 tablet"/>
    <n v="4.3"/>
    <s v="Pack"/>
    <m/>
  </r>
  <r>
    <s v="Malaria"/>
    <x v="5"/>
    <x v="0"/>
    <s v="Antimalaria medicines - treatment"/>
    <x v="33"/>
    <x v="225"/>
    <s v="250mg as phosphate/sulfate (155mg as base) 500 tablet"/>
    <n v="4.3"/>
    <s v="Pack"/>
    <m/>
  </r>
  <r>
    <s v="Malaria"/>
    <x v="5"/>
    <x v="0"/>
    <s v="Antimalaria medicines - treatment"/>
    <x v="33"/>
    <x v="225"/>
    <s v="80mg/5ml as phosphate/sulfate (50mg/5ml as base) 150ml"/>
    <n v="4.3"/>
    <s v="Pack"/>
    <m/>
  </r>
  <r>
    <s v="Malaria"/>
    <x v="5"/>
    <x v="0"/>
    <s v="Antimalaria medicines - treatment"/>
    <x v="33"/>
    <x v="131"/>
    <s v="150mg capsule 100"/>
    <n v="4.3"/>
    <s v="Pack"/>
    <m/>
  </r>
  <r>
    <s v="Malaria"/>
    <x v="5"/>
    <x v="0"/>
    <s v="Antimalaria medicines - treatment"/>
    <x v="33"/>
    <x v="131"/>
    <s v="600mg/4ml injection 1 ampoule"/>
    <n v="4.3"/>
    <s v="Pack"/>
    <m/>
  </r>
  <r>
    <s v="Malaria"/>
    <x v="5"/>
    <x v="0"/>
    <s v="Antimalaria medicines - treatment"/>
    <x v="33"/>
    <x v="226"/>
    <s v="Other - Enter details in Comments"/>
    <n v="4.3"/>
    <s v="Pack"/>
    <m/>
  </r>
  <r>
    <s v="Malaria"/>
    <x v="5"/>
    <x v="0"/>
    <s v="Antimalaria medicines - treatment"/>
    <x v="33"/>
    <x v="227"/>
    <s v="160/20mg 3 dispersible tablet 2 blister"/>
    <n v="4.3"/>
    <s v="Pack"/>
    <m/>
  </r>
  <r>
    <s v="Malaria"/>
    <x v="5"/>
    <x v="0"/>
    <s v="Antimalaria medicines - treatment"/>
    <x v="33"/>
    <x v="227"/>
    <s v="160/20mg 3 dispersible tablet 2 blister"/>
    <n v="4.3"/>
    <s v="Pack"/>
    <m/>
  </r>
  <r>
    <s v="Malaria"/>
    <x v="5"/>
    <x v="0"/>
    <s v="Antimalaria medicines - treatment"/>
    <x v="33"/>
    <x v="227"/>
    <s v="160/20mg 3 dispersible tablet 25 blister"/>
    <n v="4.3"/>
    <s v="Pack"/>
    <m/>
  </r>
  <r>
    <s v="Malaria"/>
    <x v="5"/>
    <x v="0"/>
    <s v="Antimalaria medicines - treatment"/>
    <x v="33"/>
    <x v="227"/>
    <s v="160/20mg 3 dispersible/non-dispersible tablet 1 blister"/>
    <n v="4.3"/>
    <s v="Pack"/>
    <m/>
  </r>
  <r>
    <s v="Malaria"/>
    <x v="5"/>
    <x v="0"/>
    <s v="Antimalaria medicines - treatment"/>
    <x v="33"/>
    <x v="227"/>
    <s v="320/40mg 12 tablet 1 blister"/>
    <n v="4.3"/>
    <s v="Pack"/>
    <m/>
  </r>
  <r>
    <s v="Malaria"/>
    <x v="5"/>
    <x v="0"/>
    <s v="Antimalaria medicines - treatment"/>
    <x v="33"/>
    <x v="227"/>
    <s v="320/40mg 3 dispersible tablet 2 blister"/>
    <n v="4.3"/>
    <s v="Pack"/>
    <m/>
  </r>
  <r>
    <s v="Malaria"/>
    <x v="5"/>
    <x v="0"/>
    <s v="Antimalaria medicines - treatment"/>
    <x v="33"/>
    <x v="227"/>
    <s v="320/40mg 3 dispersible tablet 2 blister"/>
    <n v="4.3"/>
    <s v="Pack"/>
    <m/>
  </r>
  <r>
    <s v="Malaria"/>
    <x v="5"/>
    <x v="0"/>
    <s v="Antimalaria medicines - treatment"/>
    <x v="33"/>
    <x v="227"/>
    <s v="320/40mg 3 dispersible tablet 25 blister"/>
    <n v="4.3"/>
    <s v="Pack"/>
    <m/>
  </r>
  <r>
    <s v="Malaria"/>
    <x v="5"/>
    <x v="0"/>
    <s v="Antimalaria medicines - treatment"/>
    <x v="33"/>
    <x v="227"/>
    <s v="320/40mg 3 dispersible/non-dispersible tablet 1 blister"/>
    <n v="4.3"/>
    <s v="Pack"/>
    <m/>
  </r>
  <r>
    <s v="Malaria"/>
    <x v="5"/>
    <x v="0"/>
    <s v="Antimalaria medicines - treatment"/>
    <x v="33"/>
    <x v="227"/>
    <s v="320/40mg 6 tablet 1 blister"/>
    <n v="4.3"/>
    <s v="Pack"/>
    <m/>
  </r>
  <r>
    <s v="Malaria"/>
    <x v="5"/>
    <x v="0"/>
    <s v="Antimalaria medicines - treatment"/>
    <x v="33"/>
    <x v="227"/>
    <s v="320/40mg 9 tablet 1 blister"/>
    <n v="4.3"/>
    <s v="Pack"/>
    <m/>
  </r>
  <r>
    <s v="Malaria"/>
    <x v="5"/>
    <x v="0"/>
    <s v="Antimalaria medicines - treatment"/>
    <x v="33"/>
    <x v="227"/>
    <s v="320/40mg 9 tablet 25 blister"/>
    <n v="4.3"/>
    <s v="Pack"/>
    <m/>
  </r>
  <r>
    <s v="Malaria"/>
    <x v="5"/>
    <x v="0"/>
    <s v="Antimalaria medicines - treatment"/>
    <x v="33"/>
    <x v="228"/>
    <s v="15mg (as base) (equivalent to 26.4mg Primaquine Phosphate) tablet 100"/>
    <n v="4.3"/>
    <s v="Pack"/>
    <m/>
  </r>
  <r>
    <s v="Malaria"/>
    <x v="5"/>
    <x v="0"/>
    <s v="Antimalaria medicines - treatment"/>
    <x v="33"/>
    <x v="228"/>
    <s v="7.5mg (as base) (equivalent to 13.2mg Primaquine Phosphate) 10 tablet 10 blister (100)"/>
    <n v="4.3"/>
    <s v="Pack"/>
    <m/>
  </r>
  <r>
    <s v="Malaria"/>
    <x v="5"/>
    <x v="0"/>
    <s v="Antimalaria medicines - treatment"/>
    <x v="33"/>
    <x v="228"/>
    <s v="7.5mg (as base) (equivalent to 13.2mg Primaquine Phosphate) 10 tablet 100 blister (1000)"/>
    <n v="4.3"/>
    <s v="Pack"/>
    <m/>
  </r>
  <r>
    <s v="Malaria"/>
    <x v="5"/>
    <x v="0"/>
    <s v="Antimalaria medicines - treatment"/>
    <x v="33"/>
    <x v="228"/>
    <s v="7.5mg (as base) (equivalent to 13.2mg Primaquine Phosphate) tablet 100"/>
    <n v="4.3"/>
    <s v="Pack"/>
    <m/>
  </r>
  <r>
    <s v="Malaria"/>
    <x v="5"/>
    <x v="0"/>
    <s v="Antimalaria medicines - treatment"/>
    <x v="33"/>
    <x v="228"/>
    <s v="7.5mg (as base) (equivalent to 13.2mg Primaquine Phosphate) tablet 1000"/>
    <n v="4.3"/>
    <s v="Pack"/>
    <m/>
  </r>
  <r>
    <s v="Malaria"/>
    <x v="5"/>
    <x v="0"/>
    <s v="Antimalaria medicines - treatment"/>
    <x v="33"/>
    <x v="229"/>
    <s v="100mg tablet 100"/>
    <n v="4.3"/>
    <s v="Pack"/>
    <m/>
  </r>
  <r>
    <s v="Malaria"/>
    <x v="5"/>
    <x v="0"/>
    <s v="Antimalaria medicines - treatment"/>
    <x v="33"/>
    <x v="230"/>
    <s v="300mg 100"/>
    <n v="4.3"/>
    <s v="Pack"/>
    <m/>
  </r>
  <r>
    <s v="Malaria"/>
    <x v="5"/>
    <x v="0"/>
    <s v="Antimalaria medicines - treatment"/>
    <x v="33"/>
    <x v="230"/>
    <s v="300mg 1000"/>
    <n v="4.3"/>
    <s v="Pack"/>
    <m/>
  </r>
  <r>
    <s v="Malaria"/>
    <x v="5"/>
    <x v="0"/>
    <s v="Antimalaria medicines - treatment"/>
    <x v="33"/>
    <x v="230"/>
    <s v="300mg/ml Amp 10 * 2ml"/>
    <n v="4.3"/>
    <s v="Pack"/>
    <m/>
  </r>
  <r>
    <s v="Malaria"/>
    <x v="5"/>
    <x v="0"/>
    <s v="Antimalaria medicines - treatment"/>
    <x v="33"/>
    <x v="230"/>
    <s v="300mg/ml Amp 100 * 2ml"/>
    <n v="4.3"/>
    <s v="Pack"/>
    <m/>
  </r>
  <r>
    <s v="Malaria"/>
    <x v="5"/>
    <x v="1"/>
    <s v="Antimalaria medicines - prevention"/>
    <x v="34"/>
    <x v="217"/>
    <s v="153mg+500/25mg 3+1 tablet dispersible co-blistered 50 blister"/>
    <n v="4.3"/>
    <s v="Pack"/>
    <m/>
  </r>
  <r>
    <s v="Malaria"/>
    <x v="5"/>
    <x v="1"/>
    <s v="Antimalaria medicines - prevention"/>
    <x v="34"/>
    <x v="217"/>
    <s v="76.5mg+250/12.5mg 3+1 tablet dispersible co-blistered 50 blister"/>
    <n v="4.3"/>
    <s v="Pack"/>
    <m/>
  </r>
  <r>
    <s v="Malaria"/>
    <x v="5"/>
    <x v="1"/>
    <s v="Antimalaria medicines - prevention"/>
    <x v="34"/>
    <x v="219"/>
    <s v="20/120mg 12 tablet dispersible 30 blister"/>
    <n v="4.3"/>
    <s v="Pack"/>
    <m/>
  </r>
  <r>
    <s v="Malaria"/>
    <x v="5"/>
    <x v="1"/>
    <s v="Antimalaria medicines - prevention"/>
    <x v="34"/>
    <x v="219"/>
    <s v="20/120mg 12 tablet non-dispersible 30 blister"/>
    <n v="4.3"/>
    <s v="Pack"/>
    <m/>
  </r>
  <r>
    <s v="Malaria"/>
    <x v="5"/>
    <x v="1"/>
    <s v="Antimalaria medicines - prevention"/>
    <x v="34"/>
    <x v="219"/>
    <s v="20/120mg 18 tablet non-dispersible 30 blister"/>
    <n v="4.3"/>
    <s v="Pack"/>
    <m/>
  </r>
  <r>
    <s v="Malaria"/>
    <x v="5"/>
    <x v="1"/>
    <s v="Antimalaria medicines - prevention"/>
    <x v="34"/>
    <x v="219"/>
    <s v="20/120mg 24 tablet non-dispersible 30 blister"/>
    <n v="4.3"/>
    <s v="Pack"/>
    <m/>
  </r>
  <r>
    <s v="Malaria"/>
    <x v="5"/>
    <x v="1"/>
    <s v="Antimalaria medicines - prevention"/>
    <x v="34"/>
    <x v="219"/>
    <s v="20/120mg 6 tablet dispersible 30 blister"/>
    <n v="4.3"/>
    <s v="Pack"/>
    <m/>
  </r>
  <r>
    <s v="Malaria"/>
    <x v="5"/>
    <x v="1"/>
    <s v="Antimalaria medicines - prevention"/>
    <x v="34"/>
    <x v="219"/>
    <s v="20/120mg 6 tablet non-dispersible 30 blister"/>
    <n v="4.3"/>
    <s v="Pack"/>
    <m/>
  </r>
  <r>
    <s v="Malaria"/>
    <x v="5"/>
    <x v="1"/>
    <s v="Antimalaria medicines - prevention"/>
    <x v="34"/>
    <x v="219"/>
    <s v="40/240mg 12 tablet 30 blister"/>
    <n v="4.3"/>
    <s v="Pack"/>
    <m/>
  </r>
  <r>
    <s v="Malaria"/>
    <x v="5"/>
    <x v="1"/>
    <s v="Antimalaria medicines - prevention"/>
    <x v="34"/>
    <x v="219"/>
    <s v="40/240mg 6 tablet 1 blister"/>
    <n v="4.3"/>
    <s v="Pack"/>
    <m/>
  </r>
  <r>
    <s v="Malaria"/>
    <x v="5"/>
    <x v="1"/>
    <s v="Antimalaria medicines - prevention"/>
    <x v="34"/>
    <x v="219"/>
    <s v="40/240mg 6 tablet 30 blister"/>
    <n v="4.3"/>
    <s v="Pack"/>
    <m/>
  </r>
  <r>
    <s v="Malaria"/>
    <x v="5"/>
    <x v="1"/>
    <s v="Antimalaria medicines - prevention"/>
    <x v="34"/>
    <x v="219"/>
    <s v="60/360mg 6 tablet 1 blister"/>
    <n v="4.3"/>
    <s v="Pack"/>
    <m/>
  </r>
  <r>
    <s v="Malaria"/>
    <x v="5"/>
    <x v="1"/>
    <s v="Antimalaria medicines - prevention"/>
    <x v="34"/>
    <x v="219"/>
    <s v="60/360mg 6 tablet 30 blister"/>
    <n v="4.3"/>
    <s v="Pack"/>
    <m/>
  </r>
  <r>
    <s v="Malaria"/>
    <x v="5"/>
    <x v="1"/>
    <s v="Antimalaria medicines - prevention"/>
    <x v="34"/>
    <x v="219"/>
    <s v="80/480mg 6 tablet 1 blister"/>
    <n v="4.3"/>
    <s v="Pack"/>
    <m/>
  </r>
  <r>
    <s v="Malaria"/>
    <x v="5"/>
    <x v="1"/>
    <s v="Antimalaria medicines - prevention"/>
    <x v="34"/>
    <x v="219"/>
    <s v="80/480mg 6 tablet 30 blister"/>
    <n v="4.3"/>
    <s v="Pack"/>
    <m/>
  </r>
  <r>
    <s v="Malaria"/>
    <x v="5"/>
    <x v="1"/>
    <s v="Antimalaria medicines - prevention"/>
    <x v="34"/>
    <x v="221"/>
    <s v="100/270mg 3x1 (3) tablet 25 blister"/>
    <n v="4.3"/>
    <s v="Pack"/>
    <m/>
  </r>
  <r>
    <s v="Malaria"/>
    <x v="5"/>
    <x v="1"/>
    <s v="Antimalaria medicines - prevention"/>
    <x v="34"/>
    <x v="221"/>
    <s v="100/270mg 3x2 (6) tablet 25 blister"/>
    <n v="4.3"/>
    <s v="Pack"/>
    <m/>
  </r>
  <r>
    <s v="Malaria"/>
    <x v="5"/>
    <x v="1"/>
    <s v="Antimalaria medicines - prevention"/>
    <x v="34"/>
    <x v="221"/>
    <s v="25/67.5mg 3 tablet 25 blister"/>
    <n v="4.3"/>
    <s v="Pack"/>
    <m/>
  </r>
  <r>
    <s v="Malaria"/>
    <x v="5"/>
    <x v="1"/>
    <s v="Antimalaria medicines - prevention"/>
    <x v="34"/>
    <x v="221"/>
    <s v="50/135mg 3 tablet 25 blister"/>
    <n v="4.3"/>
    <s v="Pack"/>
    <m/>
  </r>
  <r>
    <s v="Malaria"/>
    <x v="5"/>
    <x v="1"/>
    <s v="Antimalaria medicines - prevention"/>
    <x v="34"/>
    <x v="222"/>
    <s v="100/200mg 3 tablet 30 blister"/>
    <n v="4.3"/>
    <s v="Pack"/>
    <m/>
  </r>
  <r>
    <s v="Malaria"/>
    <x v="5"/>
    <x v="1"/>
    <s v="Antimalaria medicines - prevention"/>
    <x v="34"/>
    <x v="222"/>
    <s v="100/200mg 6 tablet 30 blister"/>
    <n v="4.3"/>
    <s v="Pack"/>
    <m/>
  </r>
  <r>
    <s v="Malaria"/>
    <x v="5"/>
    <x v="1"/>
    <s v="Antimalaria medicines - prevention"/>
    <x v="34"/>
    <x v="222"/>
    <s v="25/50mg 3 tablet 30 blister"/>
    <n v="4.3"/>
    <s v="Pack"/>
    <m/>
  </r>
  <r>
    <s v="Malaria"/>
    <x v="5"/>
    <x v="1"/>
    <s v="Antimalaria medicines - prevention"/>
    <x v="34"/>
    <x v="222"/>
    <s v="25/50mg 6 tablet 30 blister"/>
    <n v="4.3"/>
    <s v="Pack"/>
    <m/>
  </r>
  <r>
    <s v="Malaria"/>
    <x v="5"/>
    <x v="1"/>
    <s v="Antimalaria medicines - prevention"/>
    <x v="34"/>
    <x v="224"/>
    <s v="50mg+500/25mg 1x(3+1 tablet co-blistered) 25 blister"/>
    <n v="4.3"/>
    <s v="Pack"/>
    <m/>
  </r>
  <r>
    <s v="Malaria"/>
    <x v="5"/>
    <x v="1"/>
    <s v="Antimalaria medicines - prevention"/>
    <x v="34"/>
    <x v="224"/>
    <s v="50mg+500/25mg 1x(6+2 tablet co-blistered) 25 blister"/>
    <n v="4.3"/>
    <s v="Pack"/>
    <m/>
  </r>
  <r>
    <s v="Malaria"/>
    <x v="5"/>
    <x v="1"/>
    <s v="Antimalaria medicines - prevention"/>
    <x v="34"/>
    <x v="231"/>
    <s v="250/100mg 12 tablet"/>
    <n v="4.3"/>
    <s v="Pack"/>
    <m/>
  </r>
  <r>
    <s v="Malaria"/>
    <x v="5"/>
    <x v="1"/>
    <s v="Antimalaria medicines - prevention"/>
    <x v="34"/>
    <x v="131"/>
    <s v="150mg capsule 100"/>
    <n v="4.3"/>
    <s v="Pack"/>
    <m/>
  </r>
  <r>
    <s v="Malaria"/>
    <x v="5"/>
    <x v="1"/>
    <s v="Antimalaria medicines - prevention"/>
    <x v="34"/>
    <x v="131"/>
    <s v="600mg/4ml injection 1 ampoule"/>
    <n v="4.3"/>
    <s v="Pack"/>
    <m/>
  </r>
  <r>
    <s v="Malaria"/>
    <x v="5"/>
    <x v="1"/>
    <s v="Antimalaria medicines - prevention"/>
    <x v="34"/>
    <x v="232"/>
    <s v="100mg 10 tablet 10 blister (100)"/>
    <n v="4.3"/>
    <s v="Pack"/>
    <m/>
  </r>
  <r>
    <s v="Malaria"/>
    <x v="5"/>
    <x v="1"/>
    <s v="Antimalaria medicines - prevention"/>
    <x v="34"/>
    <x v="232"/>
    <s v="100mg tablet 500"/>
    <n v="4.3"/>
    <s v="Pack"/>
    <m/>
  </r>
  <r>
    <s v="Malaria"/>
    <x v="5"/>
    <x v="1"/>
    <s v="Antimalaria medicines - prevention"/>
    <x v="34"/>
    <x v="233"/>
    <s v="250mg 10 tablet 10 blister (100)"/>
    <n v="4.3"/>
    <s v="Pack"/>
    <m/>
  </r>
  <r>
    <s v="Malaria"/>
    <x v="5"/>
    <x v="1"/>
    <s v="Antimalaria medicines - prevention"/>
    <x v="34"/>
    <x v="234"/>
    <s v="Other - Enter details in Comments"/>
    <n v="4.3"/>
    <s v="Pack"/>
    <m/>
  </r>
  <r>
    <s v="Malaria"/>
    <x v="5"/>
    <x v="1"/>
    <s v="Antimalaria medicines - prevention"/>
    <x v="34"/>
    <x v="4"/>
    <s v="Other - Enter details in Comments"/>
    <n v="4.3"/>
    <s v="Pack"/>
    <m/>
  </r>
  <r>
    <s v="Malaria"/>
    <x v="5"/>
    <x v="1"/>
    <s v="Antimalaria medicines - prevention"/>
    <x v="34"/>
    <x v="227"/>
    <s v="160/20mg 3 dispersible tablet 25 blister"/>
    <n v="4.3"/>
    <s v="Pack"/>
    <m/>
  </r>
  <r>
    <s v="Malaria"/>
    <x v="5"/>
    <x v="1"/>
    <s v="Antimalaria medicines - prevention"/>
    <x v="34"/>
    <x v="227"/>
    <s v="160/20mg 3 dispersible/non-dispersible tablet 1 blister"/>
    <n v="4.3"/>
    <s v="Pack"/>
    <m/>
  </r>
  <r>
    <s v="Malaria"/>
    <x v="5"/>
    <x v="1"/>
    <s v="Antimalaria medicines - prevention"/>
    <x v="34"/>
    <x v="227"/>
    <s v="320/40mg 12 tablet 1 blister"/>
    <n v="4.3"/>
    <s v="Pack"/>
    <m/>
  </r>
  <r>
    <s v="Malaria"/>
    <x v="5"/>
    <x v="1"/>
    <s v="Antimalaria medicines - prevention"/>
    <x v="34"/>
    <x v="227"/>
    <s v="320/40mg 3 dispersible tablet 25 blister"/>
    <n v="4.3"/>
    <s v="Pack"/>
    <m/>
  </r>
  <r>
    <s v="Malaria"/>
    <x v="5"/>
    <x v="1"/>
    <s v="Antimalaria medicines - prevention"/>
    <x v="34"/>
    <x v="227"/>
    <s v="320/40mg 3 dispersible/non-dispersible tablet 1 blister"/>
    <n v="4.3"/>
    <s v="Pack"/>
    <m/>
  </r>
  <r>
    <s v="Malaria"/>
    <x v="5"/>
    <x v="1"/>
    <s v="Antimalaria medicines - prevention"/>
    <x v="34"/>
    <x v="227"/>
    <s v="320/40mg 6 tablet 1 blister"/>
    <n v="4.3"/>
    <s v="Pack"/>
    <m/>
  </r>
  <r>
    <s v="Malaria"/>
    <x v="5"/>
    <x v="1"/>
    <s v="Antimalaria medicines - prevention"/>
    <x v="34"/>
    <x v="227"/>
    <s v="320/40mg 9 tablet 1 blister"/>
    <n v="4.3"/>
    <s v="Pack"/>
    <m/>
  </r>
  <r>
    <s v="Malaria"/>
    <x v="5"/>
    <x v="1"/>
    <s v="Antimalaria medicines - prevention"/>
    <x v="34"/>
    <x v="227"/>
    <s v="320/40mg 9 tablet 25 blister"/>
    <n v="4.3"/>
    <s v="Pack"/>
    <m/>
  </r>
  <r>
    <s v="Malaria"/>
    <x v="5"/>
    <x v="1"/>
    <s v="Antimalaria medicines - prevention"/>
    <x v="34"/>
    <x v="229"/>
    <s v="100mg tablet 100"/>
    <n v="4.3"/>
    <s v="Pack"/>
    <m/>
  </r>
  <r>
    <s v="Malaria"/>
    <x v="5"/>
    <x v="1"/>
    <s v="Antimalaria medicines - prevention"/>
    <x v="34"/>
    <x v="235"/>
    <s v="500/25mg 3 tablet 10 blister"/>
    <n v="4.3"/>
    <s v="Pack"/>
    <m/>
  </r>
  <r>
    <s v="Malaria"/>
    <x v="5"/>
    <x v="1"/>
    <s v="Antimalaria medicines - prevention"/>
    <x v="34"/>
    <x v="235"/>
    <s v="500/25mg 3 tablet 10 blister 5 boxes"/>
    <n v="4.3"/>
    <s v="Pack"/>
    <m/>
  </r>
  <r>
    <s v="Malaria"/>
    <x v="5"/>
    <x v="1"/>
    <s v="Antimalaria medicines - prevention"/>
    <x v="34"/>
    <x v="235"/>
    <s v="500/25mg 3 tablet 100 blister"/>
    <n v="4.3"/>
    <s v="Pack"/>
    <m/>
  </r>
  <r>
    <s v="Malaria"/>
    <x v="5"/>
    <x v="1"/>
    <s v="Antimalaria medicines - prevention"/>
    <x v="34"/>
    <x v="235"/>
    <s v="500/25mg tablet 100"/>
    <n v="4.3"/>
    <s v="Pack"/>
    <m/>
  </r>
  <r>
    <s v="Malaria"/>
    <x v="5"/>
    <x v="1"/>
    <s v="Antimalaria medicines - prevention"/>
    <x v="34"/>
    <x v="235"/>
    <s v="500/25mg tablet 1000"/>
    <n v="4.3"/>
    <s v="Pack"/>
    <m/>
  </r>
  <r>
    <s v="TB"/>
    <x v="6"/>
    <x v="0"/>
    <s v="TB Microscopy - Equipment &amp; reagents"/>
    <x v="35"/>
    <x v="201"/>
    <s v="LED Microscope"/>
    <n v="6.3"/>
    <s v="Each"/>
    <m/>
  </r>
  <r>
    <s v="TB"/>
    <x v="6"/>
    <x v="0"/>
    <s v="TB Microscopy - Equipment &amp; reagents"/>
    <x v="35"/>
    <x v="201"/>
    <s v="Light Microscope"/>
    <n v="6.3"/>
    <s v="Each"/>
    <m/>
  </r>
  <r>
    <s v="TB"/>
    <x v="6"/>
    <x v="0"/>
    <s v="TB Microscopy - Equipment &amp; reagents"/>
    <x v="35"/>
    <x v="201"/>
    <s v="Other type"/>
    <n v="6.3"/>
    <s v="Each"/>
    <m/>
  </r>
  <r>
    <s v="TB"/>
    <x v="6"/>
    <x v="0"/>
    <s v="TB Microscopy - Equipment &amp; reagents"/>
    <x v="35"/>
    <x v="201"/>
    <s v="Spare parts and accessories"/>
    <n v="6.3"/>
    <s v="Each"/>
    <m/>
  </r>
  <r>
    <s v="TB"/>
    <x v="6"/>
    <x v="0"/>
    <s v="TB Microscopy - Equipment &amp; reagents"/>
    <x v="35"/>
    <x v="201"/>
    <s v="Warranty, maintenance and service"/>
    <n v="6.5"/>
    <s v="Each"/>
    <m/>
  </r>
  <r>
    <s v="TB"/>
    <x v="6"/>
    <x v="0"/>
    <s v="TB Microscopy - Equipment &amp; reagents"/>
    <x v="35"/>
    <x v="236"/>
    <s v="Other - Enter details in Comments"/>
    <n v="5.6"/>
    <s v="Pack"/>
    <m/>
  </r>
  <r>
    <s v="TB"/>
    <x v="6"/>
    <x v="0"/>
    <s v="TB Microscopy - Equipment &amp; reagents"/>
    <x v="35"/>
    <x v="237"/>
    <s v="Diagnostic reagents and consumables kit - LED/AURAMINE MICROSCOPY"/>
    <n v="5.6"/>
    <s v="Pack"/>
    <m/>
  </r>
  <r>
    <s v="TB"/>
    <x v="6"/>
    <x v="0"/>
    <s v="TB Microscopy - Equipment &amp; reagents"/>
    <x v="35"/>
    <x v="237"/>
    <s v="Diagnostic reagents and consumables kit - ZN/LIGHT MICROSCOPY"/>
    <n v="5.6"/>
    <s v="Pack"/>
    <m/>
  </r>
  <r>
    <s v="TB"/>
    <x v="6"/>
    <x v="0"/>
    <s v="TB Microscopy - Equipment &amp; reagents"/>
    <x v="35"/>
    <x v="238"/>
    <s v="Auramine counterstaining solution 1L"/>
    <n v="5.6"/>
    <s v="Pack"/>
    <m/>
  </r>
  <r>
    <s v="TB"/>
    <x v="6"/>
    <x v="0"/>
    <s v="TB Microscopy - Equipment &amp; reagents"/>
    <x v="35"/>
    <x v="238"/>
    <s v="Auramine decolourisation solution 1L"/>
    <n v="5.6"/>
    <s v="Pack"/>
    <m/>
  </r>
  <r>
    <s v="TB"/>
    <x v="6"/>
    <x v="0"/>
    <s v="TB Microscopy - Equipment &amp; reagents"/>
    <x v="35"/>
    <x v="238"/>
    <s v="Auramine O 25g"/>
    <n v="5.6"/>
    <s v="Pack"/>
    <m/>
  </r>
  <r>
    <s v="TB"/>
    <x v="6"/>
    <x v="0"/>
    <s v="TB Microscopy - Equipment &amp; reagents"/>
    <x v="35"/>
    <x v="238"/>
    <s v="Auramine stain solution and reagents set"/>
    <n v="5.6"/>
    <s v="Pack"/>
    <m/>
  </r>
  <r>
    <s v="TB"/>
    <x v="6"/>
    <x v="0"/>
    <s v="TB Microscopy - Equipment &amp; reagents"/>
    <x v="35"/>
    <x v="238"/>
    <s v="Basic fuchsin 100g"/>
    <n v="5.6"/>
    <s v="Pack"/>
    <m/>
  </r>
  <r>
    <s v="TB"/>
    <x v="6"/>
    <x v="0"/>
    <s v="TB Microscopy - Equipment &amp; reagents"/>
    <x v="35"/>
    <x v="238"/>
    <s v="Denatured alcohol 1L"/>
    <n v="5.6"/>
    <s v="Pack"/>
    <m/>
  </r>
  <r>
    <s v="TB"/>
    <x v="6"/>
    <x v="0"/>
    <s v="TB Microscopy - Equipment &amp; reagents"/>
    <x v="35"/>
    <x v="238"/>
    <s v="Hydrochloric acid 1L"/>
    <n v="5.6"/>
    <s v="Pack"/>
    <m/>
  </r>
  <r>
    <s v="TB"/>
    <x v="6"/>
    <x v="0"/>
    <s v="TB Microscopy - Equipment &amp; reagents"/>
    <x v="35"/>
    <x v="238"/>
    <s v="Immersion oil 100ml"/>
    <n v="5.6"/>
    <s v="Pack"/>
    <m/>
  </r>
  <r>
    <s v="TB"/>
    <x v="6"/>
    <x v="0"/>
    <s v="TB Microscopy - Equipment &amp; reagents"/>
    <x v="35"/>
    <x v="238"/>
    <s v="Methylene blue 100g"/>
    <n v="5.6"/>
    <s v="Pack"/>
    <m/>
  </r>
  <r>
    <s v="TB"/>
    <x v="6"/>
    <x v="0"/>
    <s v="TB Microscopy - Equipment &amp; reagents"/>
    <x v="35"/>
    <x v="238"/>
    <s v="Phenol crystals 500g"/>
    <n v="5.6"/>
    <s v="Pack"/>
    <m/>
  </r>
  <r>
    <s v="TB"/>
    <x v="6"/>
    <x v="0"/>
    <s v="TB Microscopy - Equipment &amp; reagents"/>
    <x v="35"/>
    <x v="238"/>
    <s v="Sulphuric acid 1L"/>
    <n v="5.6"/>
    <s v="Pack"/>
    <m/>
  </r>
  <r>
    <s v="TB"/>
    <x v="6"/>
    <x v="0"/>
    <s v="TB Microscopy - Equipment &amp; reagents"/>
    <x v="35"/>
    <x v="238"/>
    <s v="Ziehl Neelsen counterstaining solution 1L"/>
    <n v="5.6"/>
    <s v="Pack"/>
    <m/>
  </r>
  <r>
    <s v="TB"/>
    <x v="6"/>
    <x v="0"/>
    <s v="TB Microscopy - Equipment &amp; reagents"/>
    <x v="35"/>
    <x v="238"/>
    <s v="Ziehl Neelsen decolourisation solution 1L"/>
    <n v="5.6"/>
    <s v="Pack"/>
    <m/>
  </r>
  <r>
    <s v="TB"/>
    <x v="6"/>
    <x v="0"/>
    <s v="TB Microscopy - Equipment &amp; reagents"/>
    <x v="35"/>
    <x v="238"/>
    <s v="Ziehl Neelsen stain solution 1L"/>
    <n v="5.6"/>
    <s v="Pack"/>
    <m/>
  </r>
  <r>
    <s v="TB"/>
    <x v="6"/>
    <x v="1"/>
    <s v="RDTs for TB"/>
    <x v="36"/>
    <x v="47"/>
    <s v="GeneXpert Cartridge 10"/>
    <n v="5.4"/>
    <s v="Pack"/>
    <m/>
  </r>
  <r>
    <s v="TB"/>
    <x v="6"/>
    <x v="1"/>
    <s v="RDTs for TB"/>
    <x v="36"/>
    <x v="47"/>
    <s v="GeneXpert Cartridge 50"/>
    <n v="5.4"/>
    <s v="Pack"/>
    <m/>
  </r>
  <r>
    <s v="TB"/>
    <x v="6"/>
    <x v="1"/>
    <s v="RDTs for TB"/>
    <x v="36"/>
    <x v="47"/>
    <s v="GeneXpert ULTRA Cartridge 10"/>
    <n v="5.4"/>
    <s v="Pack"/>
    <m/>
  </r>
  <r>
    <s v="TB"/>
    <x v="6"/>
    <x v="1"/>
    <s v="RDTs for TB"/>
    <x v="36"/>
    <x v="47"/>
    <s v="GeneXpert ULTRA Cartridge 50"/>
    <n v="5.4"/>
    <s v="Pack"/>
    <m/>
  </r>
  <r>
    <s v="TB"/>
    <x v="6"/>
    <x v="1"/>
    <s v="RDTs for TB"/>
    <x v="36"/>
    <x v="13"/>
    <s v="GeneXpert 1-module Edge with tablet, barcode reader and auxiliary batteries"/>
    <n v="6.4"/>
    <s v="Each"/>
    <m/>
  </r>
  <r>
    <s v="TB"/>
    <x v="6"/>
    <x v="1"/>
    <s v="RDTs for TB"/>
    <x v="36"/>
    <x v="13"/>
    <s v="GeneXpert IV-2 modules with desktop computer and barcode reader"/>
    <n v="6.4"/>
    <s v="Each"/>
    <m/>
  </r>
  <r>
    <s v="TB"/>
    <x v="6"/>
    <x v="1"/>
    <s v="RDTs for TB"/>
    <x v="36"/>
    <x v="13"/>
    <s v="GeneXpert IV-2 modules with laptop computer and barcode reader"/>
    <n v="6.4"/>
    <s v="Each"/>
    <m/>
  </r>
  <r>
    <s v="TB"/>
    <x v="6"/>
    <x v="1"/>
    <s v="RDTs for TB"/>
    <x v="36"/>
    <x v="13"/>
    <s v="GeneXpert IV-4 modules with desktop computer and barcode reader"/>
    <n v="6.4"/>
    <s v="Each"/>
    <m/>
  </r>
  <r>
    <s v="TB"/>
    <x v="6"/>
    <x v="1"/>
    <s v="RDTs for TB"/>
    <x v="36"/>
    <x v="13"/>
    <s v="GeneXpert IV-4 modules with laptop computer and barcode reader"/>
    <n v="6.4"/>
    <s v="Each"/>
    <m/>
  </r>
  <r>
    <s v="TB"/>
    <x v="6"/>
    <x v="1"/>
    <s v="RDTs for TB"/>
    <x v="36"/>
    <x v="13"/>
    <s v="GeneXpert XVI-16 modules with desktop computer and barcode reader"/>
    <n v="6.4"/>
    <s v="Each"/>
    <m/>
  </r>
  <r>
    <s v="TB"/>
    <x v="6"/>
    <x v="1"/>
    <s v="RDTs for TB"/>
    <x v="36"/>
    <x v="13"/>
    <s v="GeneXpert XVI-16 modules with laptop computer and barcode reader"/>
    <n v="6.4"/>
    <s v="Each"/>
    <m/>
  </r>
  <r>
    <s v="TB"/>
    <x v="6"/>
    <x v="1"/>
    <s v="RDTs for TB"/>
    <x v="36"/>
    <x v="13"/>
    <s v="Other - Enter details in Comments"/>
    <n v="6.4"/>
    <s v="Each"/>
    <m/>
  </r>
  <r>
    <s v="TB"/>
    <x v="6"/>
    <x v="1"/>
    <s v="RDTs for TB"/>
    <x v="36"/>
    <x v="13"/>
    <s v="Spare parts and accessories"/>
    <n v="6.4"/>
    <s v="Each"/>
    <m/>
  </r>
  <r>
    <s v="TB"/>
    <x v="6"/>
    <x v="1"/>
    <s v="RDTs for TB"/>
    <x v="36"/>
    <x v="13"/>
    <s v="Warranty, maintenance and service"/>
    <n v="6.5"/>
    <s v="Each"/>
    <m/>
  </r>
  <r>
    <s v="TB"/>
    <x v="6"/>
    <x v="1"/>
    <s v="RDTs for TB"/>
    <x v="37"/>
    <x v="48"/>
    <s v="Determine TB LAM Ag Test, 100 test/kit"/>
    <n v="5.4"/>
    <s v="Pack"/>
    <m/>
  </r>
  <r>
    <s v="TB"/>
    <x v="6"/>
    <x v="1"/>
    <s v="RDTs for TB"/>
    <x v="37"/>
    <x v="48"/>
    <s v="Other - Enter details in Comments"/>
    <n v="5.4"/>
    <s v="Pack"/>
    <m/>
  </r>
  <r>
    <s v="TB"/>
    <x v="6"/>
    <x v="1"/>
    <s v="RDTs for TB"/>
    <x v="37"/>
    <x v="49"/>
    <s v="Loopamp MTBC Detection Kit 2 x 48 tests"/>
    <n v="5.4"/>
    <s v="Pack"/>
    <m/>
  </r>
  <r>
    <s v="TB"/>
    <x v="6"/>
    <x v="1"/>
    <s v="RDTs for TB"/>
    <x v="37"/>
    <x v="49"/>
    <s v="Loopamp PURE DNA Extraction Kit 90 tests"/>
    <n v="5.4"/>
    <s v="Pack"/>
    <m/>
  </r>
  <r>
    <s v="TB"/>
    <x v="6"/>
    <x v="1"/>
    <s v="RDTs for TB"/>
    <x v="37"/>
    <x v="50"/>
    <s v="Truenat MTB 20 tests"/>
    <n v="5.4"/>
    <s v="Pack"/>
    <m/>
  </r>
  <r>
    <s v="TB"/>
    <x v="6"/>
    <x v="1"/>
    <s v="RDTs for TB"/>
    <x v="37"/>
    <x v="50"/>
    <s v="Truenat MTB Plus 20 tests"/>
    <n v="5.4"/>
    <s v="Pack"/>
    <m/>
  </r>
  <r>
    <s v="TB"/>
    <x v="6"/>
    <x v="1"/>
    <s v="RDTs for TB"/>
    <x v="37"/>
    <x v="50"/>
    <s v="Truenat MTB-RIF Dx 20 tests"/>
    <n v="5.4"/>
    <s v="Pack"/>
    <m/>
  </r>
  <r>
    <s v="TB"/>
    <x v="6"/>
    <x v="1"/>
    <s v="RDTs for TB"/>
    <x v="38"/>
    <x v="30"/>
    <s v="Equipment"/>
    <n v="6.4"/>
    <s v="Each"/>
    <m/>
  </r>
  <r>
    <s v="TB"/>
    <x v="6"/>
    <x v="1"/>
    <s v="RDTs for TB"/>
    <x v="38"/>
    <x v="30"/>
    <s v="Spare parts and accessories"/>
    <n v="6.4"/>
    <s v="Each"/>
    <m/>
  </r>
  <r>
    <s v="TB"/>
    <x v="6"/>
    <x v="1"/>
    <s v="RDTs for TB"/>
    <x v="38"/>
    <x v="30"/>
    <s v="Warranty, maintenance and service"/>
    <n v="6.5"/>
    <s v="Each"/>
    <m/>
  </r>
  <r>
    <s v="TB"/>
    <x v="6"/>
    <x v="1"/>
    <s v="RDTs for TB"/>
    <x v="38"/>
    <x v="31"/>
    <s v="Equipment"/>
    <n v="6.4"/>
    <s v="Each"/>
    <m/>
  </r>
  <r>
    <s v="TB"/>
    <x v="6"/>
    <x v="1"/>
    <s v="RDTs for TB"/>
    <x v="38"/>
    <x v="31"/>
    <s v="Spare parts and accessories"/>
    <n v="6.4"/>
    <s v="Each"/>
    <m/>
  </r>
  <r>
    <s v="TB"/>
    <x v="6"/>
    <x v="1"/>
    <s v="RDTs for TB"/>
    <x v="38"/>
    <x v="31"/>
    <s v="Warranty, maintenance and service"/>
    <n v="6.5"/>
    <s v="Each"/>
    <m/>
  </r>
  <r>
    <s v="TB"/>
    <x v="6"/>
    <x v="1"/>
    <s v="RDTs for TB"/>
    <x v="38"/>
    <x v="32"/>
    <s v="Equipment"/>
    <n v="6.4"/>
    <s v="Each"/>
    <m/>
  </r>
  <r>
    <s v="TB"/>
    <x v="6"/>
    <x v="1"/>
    <s v="RDTs for TB"/>
    <x v="38"/>
    <x v="32"/>
    <s v="Spare parts and accessories"/>
    <n v="6.4"/>
    <s v="Each"/>
    <m/>
  </r>
  <r>
    <s v="TB"/>
    <x v="6"/>
    <x v="1"/>
    <s v="RDTs for TB"/>
    <x v="38"/>
    <x v="32"/>
    <s v="Warranty, maintenance and service"/>
    <n v="6.5"/>
    <s v="Each"/>
    <m/>
  </r>
  <r>
    <s v="TB"/>
    <x v="6"/>
    <x v="1"/>
    <s v="RDTs for TB"/>
    <x v="38"/>
    <x v="33"/>
    <s v="Equipment"/>
    <n v="6.4"/>
    <s v="Each"/>
    <m/>
  </r>
  <r>
    <s v="TB"/>
    <x v="6"/>
    <x v="1"/>
    <s v="RDTs for TB"/>
    <x v="38"/>
    <x v="33"/>
    <s v="Spare parts and accessories"/>
    <n v="6.4"/>
    <s v="Each"/>
    <m/>
  </r>
  <r>
    <s v="TB"/>
    <x v="6"/>
    <x v="1"/>
    <s v="RDTs for TB"/>
    <x v="38"/>
    <x v="33"/>
    <s v="Warranty, maintenance and service"/>
    <n v="6.5"/>
    <s v="Each"/>
    <m/>
  </r>
  <r>
    <s v="TB"/>
    <x v="6"/>
    <x v="1"/>
    <s v="RDTs for TB"/>
    <x v="39"/>
    <x v="34"/>
    <s v="Equipment"/>
    <n v="6.4"/>
    <s v="Each"/>
    <m/>
  </r>
  <r>
    <s v="TB"/>
    <x v="6"/>
    <x v="1"/>
    <s v="RDTs for TB"/>
    <x v="39"/>
    <x v="34"/>
    <s v="Spare parts and accessories"/>
    <n v="6.4"/>
    <s v="Each"/>
    <m/>
  </r>
  <r>
    <s v="TB"/>
    <x v="6"/>
    <x v="1"/>
    <s v="RDTs for TB"/>
    <x v="39"/>
    <x v="34"/>
    <s v="Warranty, maintenance and service"/>
    <n v="6.5"/>
    <s v="Each"/>
    <m/>
  </r>
  <r>
    <s v="TB"/>
    <x v="6"/>
    <x v="1"/>
    <s v="RDTs for TB"/>
    <x v="39"/>
    <x v="35"/>
    <s v="Equipment"/>
    <n v="6.4"/>
    <s v="Each"/>
    <m/>
  </r>
  <r>
    <s v="TB"/>
    <x v="6"/>
    <x v="1"/>
    <s v="RDTs for TB"/>
    <x v="39"/>
    <x v="35"/>
    <s v="Spare parts and accessories"/>
    <n v="6.4"/>
    <s v="Each"/>
    <m/>
  </r>
  <r>
    <s v="TB"/>
    <x v="6"/>
    <x v="1"/>
    <s v="RDTs for TB"/>
    <x v="39"/>
    <x v="35"/>
    <s v="Warranty, maintenance and service"/>
    <n v="6.5"/>
    <s v="Each"/>
    <m/>
  </r>
  <r>
    <s v="TB"/>
    <x v="6"/>
    <x v="2"/>
    <s v="Culture/DST/LPA - Equipment &amp; reagents"/>
    <x v="40"/>
    <x v="239"/>
    <s v="Spare parts and accessories"/>
    <n v="6.6"/>
    <s v="Each"/>
    <m/>
  </r>
  <r>
    <s v="TB"/>
    <x v="6"/>
    <x v="2"/>
    <s v="Culture/DST/LPA - Equipment &amp; reagents"/>
    <x v="40"/>
    <x v="239"/>
    <s v="Warranty, maintenance and service"/>
    <n v="6.5"/>
    <s v="Each"/>
    <m/>
  </r>
  <r>
    <s v="TB"/>
    <x v="6"/>
    <x v="2"/>
    <s v="Culture/DST/LPA - Equipment &amp; reagents"/>
    <x v="40"/>
    <x v="240"/>
    <s v="Equipment"/>
    <n v="6.6"/>
    <s v="Each"/>
    <m/>
  </r>
  <r>
    <s v="TB"/>
    <x v="6"/>
    <x v="2"/>
    <s v="Culture/DST/LPA - Equipment &amp; reagents"/>
    <x v="40"/>
    <x v="241"/>
    <s v="Equipment"/>
    <n v="6.6"/>
    <s v="Each"/>
    <m/>
  </r>
  <r>
    <s v="TB"/>
    <x v="6"/>
    <x v="2"/>
    <s v="Culture/DST/LPA - Equipment &amp; reagents"/>
    <x v="40"/>
    <x v="242"/>
    <s v="Other - Enter details in Comments"/>
    <n v="5.6"/>
    <s v="Pack"/>
    <m/>
  </r>
  <r>
    <s v="TB"/>
    <x v="6"/>
    <x v="2"/>
    <s v="Culture/DST/LPA - Equipment &amp; reagents"/>
    <x v="40"/>
    <x v="243"/>
    <s v="Other - Enter details in Comments"/>
    <n v="5.6"/>
    <s v="Pack"/>
    <m/>
  </r>
  <r>
    <s v="TB"/>
    <x v="6"/>
    <x v="2"/>
    <s v="Culture/DST/LPA - Equipment &amp; reagents"/>
    <x v="40"/>
    <x v="244"/>
    <s v="BACTEC MGIT 960 SIRE kit - 40 tests"/>
    <n v="5.6"/>
    <s v="Pack"/>
    <m/>
  </r>
  <r>
    <s v="TB"/>
    <x v="6"/>
    <x v="2"/>
    <s v="Culture/DST/LPA - Equipment &amp; reagents"/>
    <x v="40"/>
    <x v="244"/>
    <s v="BACTEC MGIT 960 Supplement Kit - 100 tests (PANTA and OADC combined)"/>
    <n v="5.6"/>
    <s v="Pack"/>
    <m/>
  </r>
  <r>
    <s v="TB"/>
    <x v="6"/>
    <x v="2"/>
    <s v="Culture/DST/LPA - Equipment &amp; reagents"/>
    <x v="40"/>
    <x v="244"/>
    <s v="BACTEC MGIT PZA Kit - 50 tests"/>
    <n v="5.6"/>
    <s v="Pack"/>
    <m/>
  </r>
  <r>
    <s v="TB"/>
    <x v="6"/>
    <x v="2"/>
    <s v="Culture/DST/LPA - Equipment &amp; reagents"/>
    <x v="40"/>
    <x v="244"/>
    <s v="BACTEC MGIT PZA Tubes -  25 tubes"/>
    <n v="5.6"/>
    <s v="Pack"/>
    <m/>
  </r>
  <r>
    <s v="TB"/>
    <x v="6"/>
    <x v="2"/>
    <s v="Culture/DST/LPA - Equipment &amp; reagents"/>
    <x v="40"/>
    <x v="244"/>
    <s v="BACTEC MGIT Tubes 7ml - 100 tubes"/>
    <n v="5.6"/>
    <s v="Pack"/>
    <m/>
  </r>
  <r>
    <s v="TB"/>
    <x v="6"/>
    <x v="2"/>
    <s v="Culture/DST/LPA - Equipment &amp; reagents"/>
    <x v="40"/>
    <x v="244"/>
    <s v="Abbott RealTime MTB Amplification Reagent Kit 96 tests"/>
    <n v="5.6"/>
    <s v="Pack"/>
    <m/>
  </r>
  <r>
    <s v="TB"/>
    <x v="6"/>
    <x v="2"/>
    <s v="Culture/DST/LPA - Equipment &amp; reagents"/>
    <x v="40"/>
    <x v="244"/>
    <s v="Abbott RealTime MTB RIF/INH Resistance Amplification Reagent Kit 96 tests"/>
    <n v="5.6"/>
    <s v="Pack"/>
    <m/>
  </r>
  <r>
    <s v="TB"/>
    <x v="6"/>
    <x v="2"/>
    <s v="Culture/DST/LPA - Equipment &amp; reagents"/>
    <x v="40"/>
    <x v="244"/>
    <s v="BBL MGIT OADC Enrichment each"/>
    <n v="5.6"/>
    <s v="Each"/>
    <m/>
  </r>
  <r>
    <s v="TB"/>
    <x v="6"/>
    <x v="2"/>
    <s v="Culture/DST/LPA - Equipment &amp; reagents"/>
    <x v="40"/>
    <x v="244"/>
    <s v="BD BBL Calibrators Kit each"/>
    <n v="5.6"/>
    <s v="Each"/>
    <m/>
  </r>
  <r>
    <s v="TB"/>
    <x v="6"/>
    <x v="2"/>
    <s v="Culture/DST/LPA - Equipment &amp; reagents"/>
    <x v="40"/>
    <x v="244"/>
    <s v="BD BBL Middlebrook 7H9 Broth with Glyerol 5ml 10 units"/>
    <n v="5.6"/>
    <s v="Pack"/>
    <m/>
  </r>
  <r>
    <s v="TB"/>
    <x v="6"/>
    <x v="2"/>
    <s v="Culture/DST/LPA - Equipment &amp; reagents"/>
    <x v="40"/>
    <x v="244"/>
    <s v="BD BBL Middlebrook OADC Enrichment, 20 mL per tube, ''A'' size tube 10"/>
    <n v="5.6"/>
    <s v="Pack"/>
    <m/>
  </r>
  <r>
    <s v="TB"/>
    <x v="6"/>
    <x v="2"/>
    <s v="Culture/DST/LPA - Equipment &amp; reagents"/>
    <x v="40"/>
    <x v="244"/>
    <s v="BD MAX MDR-TB 24 tests"/>
    <n v="5.6"/>
    <s v="Pack"/>
    <m/>
  </r>
  <r>
    <s v="TB"/>
    <x v="6"/>
    <x v="2"/>
    <s v="Culture/DST/LPA - Equipment &amp; reagents"/>
    <x v="40"/>
    <x v="244"/>
    <s v="BD MGIT TBc Identification Test 25 tests"/>
    <n v="5.6"/>
    <s v="Pack"/>
    <m/>
  </r>
  <r>
    <s v="TB"/>
    <x v="6"/>
    <x v="2"/>
    <s v="Culture/DST/LPA - Equipment &amp; reagents"/>
    <x v="40"/>
    <x v="244"/>
    <s v="Capilia TB-Neo 10 tests"/>
    <n v="5.6"/>
    <s v="Pack"/>
    <m/>
  </r>
  <r>
    <s v="TB"/>
    <x v="6"/>
    <x v="2"/>
    <s v="Culture/DST/LPA - Equipment &amp; reagents"/>
    <x v="40"/>
    <x v="244"/>
    <s v="Capilia TB-Neo 100 tests"/>
    <n v="5.6"/>
    <s v="Pack"/>
    <m/>
  </r>
  <r>
    <s v="TB"/>
    <x v="6"/>
    <x v="2"/>
    <s v="Culture/DST/LPA - Equipment &amp; reagents"/>
    <x v="40"/>
    <x v="244"/>
    <s v="Capilia TB-Neo Extraction buffer 20ml"/>
    <n v="5.6"/>
    <s v="Pack"/>
    <m/>
  </r>
  <r>
    <s v="TB"/>
    <x v="6"/>
    <x v="2"/>
    <s v="Culture/DST/LPA - Equipment &amp; reagents"/>
    <x v="40"/>
    <x v="244"/>
    <s v="FluoroType MTBDR Ver 2.0 96 tests"/>
    <n v="5.6"/>
    <s v="Pack"/>
    <m/>
  </r>
  <r>
    <s v="TB"/>
    <x v="6"/>
    <x v="2"/>
    <s v="Culture/DST/LPA - Equipment &amp; reagents"/>
    <x v="40"/>
    <x v="244"/>
    <s v="MycoPrep Specimen Digestion / Decontamination Kit - 150ml 10"/>
    <n v="5.6"/>
    <s v="Pack"/>
    <m/>
  </r>
  <r>
    <s v="TB"/>
    <x v="6"/>
    <x v="2"/>
    <s v="Culture/DST/LPA - Equipment &amp; reagents"/>
    <x v="40"/>
    <x v="245"/>
    <s v="Other - Enter details in Comments"/>
    <n v="5.6"/>
    <s v="Pack"/>
    <m/>
  </r>
  <r>
    <s v="TB"/>
    <x v="6"/>
    <x v="2"/>
    <s v="Culture/DST/LPA - Equipment &amp; reagents"/>
    <x v="40"/>
    <x v="246"/>
    <s v="FluoroCycler XT"/>
    <n v="6.4"/>
    <s v="Each"/>
    <m/>
  </r>
  <r>
    <s v="TB"/>
    <x v="6"/>
    <x v="2"/>
    <s v="Culture/DST/LPA - Equipment &amp; reagents"/>
    <x v="40"/>
    <x v="246"/>
    <s v="Genoscan reader (GS-001) + PC + Screen + software"/>
    <n v="6.4"/>
    <s v="Each"/>
    <m/>
  </r>
  <r>
    <s v="TB"/>
    <x v="6"/>
    <x v="2"/>
    <s v="Culture/DST/LPA - Equipment &amp; reagents"/>
    <x v="40"/>
    <x v="246"/>
    <s v="Genoscholar NTM+MDRTB II"/>
    <n v="6.4"/>
    <s v="Each"/>
    <m/>
  </r>
  <r>
    <s v="TB"/>
    <x v="6"/>
    <x v="2"/>
    <s v="Culture/DST/LPA - Equipment &amp; reagents"/>
    <x v="40"/>
    <x v="246"/>
    <s v="GenoXtract 96"/>
    <n v="6.4"/>
    <s v="Each"/>
    <m/>
  </r>
  <r>
    <s v="TB"/>
    <x v="6"/>
    <x v="2"/>
    <s v="Culture/DST/LPA - Equipment &amp; reagents"/>
    <x v="40"/>
    <x v="246"/>
    <s v="GT blot - 48"/>
    <n v="6.4"/>
    <s v="Each"/>
    <m/>
  </r>
  <r>
    <s v="TB"/>
    <x v="6"/>
    <x v="2"/>
    <s v="Culture/DST/LPA - Equipment &amp; reagents"/>
    <x v="40"/>
    <x v="246"/>
    <s v="GT-Blot 48 Tray for 96 strips (black)"/>
    <n v="6.4"/>
    <s v="Each"/>
    <m/>
  </r>
  <r>
    <s v="TB"/>
    <x v="6"/>
    <x v="2"/>
    <s v="Culture/DST/LPA - Equipment &amp; reagents"/>
    <x v="40"/>
    <x v="246"/>
    <s v="GTQ-Cycler 96"/>
    <n v="6.4"/>
    <s v="Each"/>
    <m/>
  </r>
  <r>
    <s v="TB"/>
    <x v="6"/>
    <x v="2"/>
    <s v="Culture/DST/LPA - Equipment &amp; reagents"/>
    <x v="40"/>
    <x v="246"/>
    <s v="MULTIBLOT NS-4800"/>
    <n v="6.4"/>
    <s v="Each"/>
    <m/>
  </r>
  <r>
    <s v="TB"/>
    <x v="6"/>
    <x v="2"/>
    <s v="Culture/DST/LPA - Equipment &amp; reagents"/>
    <x v="40"/>
    <x v="246"/>
    <s v="Other - Enter details in Comments"/>
    <n v="6.4"/>
    <s v="Each"/>
    <m/>
  </r>
  <r>
    <s v="TB"/>
    <x v="6"/>
    <x v="2"/>
    <s v="Culture/DST/LPA - Equipment &amp; reagents"/>
    <x v="40"/>
    <x v="246"/>
    <s v="Spare parts and accessories"/>
    <n v="6.4"/>
    <s v="Each"/>
    <m/>
  </r>
  <r>
    <s v="TB"/>
    <x v="6"/>
    <x v="2"/>
    <s v="Culture/DST/LPA - Equipment &amp; reagents"/>
    <x v="40"/>
    <x v="246"/>
    <s v="Thermoshaker / Twincubator"/>
    <n v="6.4"/>
    <s v="Each"/>
    <m/>
  </r>
  <r>
    <s v="TB"/>
    <x v="6"/>
    <x v="2"/>
    <s v="Culture/DST/LPA - Equipment &amp; reagents"/>
    <x v="40"/>
    <x v="246"/>
    <s v="Warranty, maintenance and service"/>
    <n v="6.5"/>
    <s v="Each"/>
    <m/>
  </r>
  <r>
    <s v="TB"/>
    <x v="6"/>
    <x v="2"/>
    <s v="Culture/DST/LPA - Equipment &amp; reagents"/>
    <x v="40"/>
    <x v="247"/>
    <s v="Tabletop PCR workstation with UV light"/>
    <n v="6.6"/>
    <s v="Each"/>
    <m/>
  </r>
  <r>
    <s v="TB"/>
    <x v="6"/>
    <x v="2"/>
    <s v="Culture/DST/LPA - Equipment &amp; reagents"/>
    <x v="40"/>
    <x v="247"/>
    <s v="Thermoblock"/>
    <n v="6.6"/>
    <s v="Each"/>
    <m/>
  </r>
  <r>
    <s v="TB"/>
    <x v="6"/>
    <x v="2"/>
    <s v="Culture/DST/LPA - Equipment &amp; reagents"/>
    <x v="40"/>
    <x v="247"/>
    <s v="Thermocycler"/>
    <n v="6.6"/>
    <s v="Each"/>
    <m/>
  </r>
  <r>
    <s v="TB"/>
    <x v="6"/>
    <x v="2"/>
    <s v="Culture/DST/LPA - Equipment &amp; reagents"/>
    <x v="40"/>
    <x v="247"/>
    <s v="UV crosslinker"/>
    <n v="6.6"/>
    <s v="Each"/>
    <m/>
  </r>
  <r>
    <s v="TB"/>
    <x v="6"/>
    <x v="2"/>
    <s v="Culture/DST/LPA - Equipment &amp; reagents"/>
    <x v="40"/>
    <x v="247"/>
    <s v="UV transilluminator 312nm"/>
    <n v="6.6"/>
    <s v="Each"/>
    <m/>
  </r>
  <r>
    <s v="TB"/>
    <x v="6"/>
    <x v="2"/>
    <s v="Culture/DST/LPA - Equipment &amp; reagents"/>
    <x v="40"/>
    <x v="247"/>
    <s v="UV transilluminator 365nm"/>
    <n v="6.6"/>
    <s v="Each"/>
    <m/>
  </r>
  <r>
    <s v="TB"/>
    <x v="6"/>
    <x v="2"/>
    <s v="Culture/DST/LPA - Equipment &amp; reagents"/>
    <x v="40"/>
    <x v="248"/>
    <s v="Other - Enter details in Comments"/>
    <n v="5.6"/>
    <s v="Pack"/>
    <m/>
  </r>
  <r>
    <s v="TB"/>
    <x v="6"/>
    <x v="2"/>
    <s v="Culture/DST/LPA - Equipment &amp; reagents"/>
    <x v="40"/>
    <x v="249"/>
    <s v="Other - Enter details in Comments"/>
    <n v="5.6"/>
    <s v="Pack"/>
    <m/>
  </r>
  <r>
    <s v="TB"/>
    <x v="6"/>
    <x v="2"/>
    <s v="Culture/DST/LPA - Equipment &amp; reagents"/>
    <x v="40"/>
    <x v="249"/>
    <s v="GenoLyse, Version 1.0 96 tests"/>
    <n v="5.6"/>
    <s v="Pack"/>
    <m/>
  </r>
  <r>
    <s v="TB"/>
    <x v="6"/>
    <x v="2"/>
    <s v="Culture/DST/LPA - Equipment &amp; reagents"/>
    <x v="40"/>
    <x v="249"/>
    <s v="Genoscholar NTM+MDRTB II 20 tests"/>
    <n v="5.6"/>
    <s v="Pack"/>
    <m/>
  </r>
  <r>
    <s v="TB"/>
    <x v="6"/>
    <x v="2"/>
    <s v="Culture/DST/LPA - Equipment &amp; reagents"/>
    <x v="40"/>
    <x v="249"/>
    <s v="GenoType MTBC 96 tests"/>
    <n v="5.6"/>
    <s v="Pack"/>
    <m/>
  </r>
  <r>
    <s v="TB"/>
    <x v="6"/>
    <x v="2"/>
    <s v="Culture/DST/LPA - Equipment &amp; reagents"/>
    <x v="40"/>
    <x v="249"/>
    <s v="GenoType MTBDR plus V2 (with Genolyse) 96 tests"/>
    <n v="5.6"/>
    <s v="Pack"/>
    <m/>
  </r>
  <r>
    <s v="TB"/>
    <x v="6"/>
    <x v="2"/>
    <s v="Culture/DST/LPA - Equipment &amp; reagents"/>
    <x v="40"/>
    <x v="249"/>
    <s v="GenoType MTBDRsl 2.0 (without Genolyse) 96 tests"/>
    <n v="5.6"/>
    <s v="Pack"/>
    <m/>
  </r>
  <r>
    <s v="TB"/>
    <x v="6"/>
    <x v="2"/>
    <s v="Culture/DST/LPA - Equipment &amp; reagents"/>
    <x v="40"/>
    <x v="249"/>
    <s v="GenoType Mycobacterium AS (without GenoLyse) 96 tests"/>
    <n v="5.6"/>
    <s v="Pack"/>
    <m/>
  </r>
  <r>
    <s v="TB"/>
    <x v="6"/>
    <x v="2"/>
    <s v="Culture/DST/LPA - Equipment &amp; reagents"/>
    <x v="40"/>
    <x v="249"/>
    <s v="GenoType Mycobacterium CM Version 2 (without GenoLyse) 96 tests"/>
    <n v="5.6"/>
    <s v="Pack"/>
    <m/>
  </r>
  <r>
    <s v="TB"/>
    <x v="6"/>
    <x v="2"/>
    <s v="Culture/DST/LPA - Equipment &amp; reagents"/>
    <x v="40"/>
    <x v="250"/>
    <s v="Other - Enter details in Comments"/>
    <n v="5.6"/>
    <s v="Pack"/>
    <m/>
  </r>
  <r>
    <s v="TB"/>
    <x v="6"/>
    <x v="2"/>
    <s v="Culture/DST/LPA - Equipment &amp; reagents"/>
    <x v="40"/>
    <x v="251"/>
    <s v="MTB/MPT64 identification-Rapid test - 30 tests"/>
    <n v="5.6"/>
    <s v="Pack"/>
    <m/>
  </r>
  <r>
    <s v="TB"/>
    <x v="6"/>
    <x v="2"/>
    <s v="Culture/DST/LPA - Equipment &amp; reagents"/>
    <x v="40"/>
    <x v="252"/>
    <s v="Other - Enter details in Comments"/>
    <n v="5.6"/>
    <s v="Pack"/>
    <m/>
  </r>
  <r>
    <s v="TB"/>
    <x v="6"/>
    <x v="2"/>
    <s v="Culture/DST/LPA - Equipment &amp; reagents"/>
    <x v="40"/>
    <x v="253"/>
    <s v="Other - Enter details in Comments"/>
    <n v="5.6"/>
    <s v="Pack"/>
    <m/>
  </r>
  <r>
    <s v="TB"/>
    <x v="6"/>
    <x v="3"/>
    <s v="Consumables &amp; other equipment"/>
    <x v="41"/>
    <x v="5"/>
    <s v="Apron Single-use, disposable 100"/>
    <n v="5.8"/>
    <s v="Pack"/>
    <m/>
  </r>
  <r>
    <s v="TB"/>
    <x v="6"/>
    <x v="3"/>
    <s v="Consumables &amp; other equipment"/>
    <x v="41"/>
    <x v="58"/>
    <s v="Other - Enter details in Comments"/>
    <n v="5.8"/>
    <s v="Pack"/>
    <m/>
  </r>
  <r>
    <s v="TB"/>
    <x v="6"/>
    <x v="3"/>
    <s v="Consumables &amp; other equipment"/>
    <x v="41"/>
    <x v="59"/>
    <s v="Other - Enter details in Comments"/>
    <n v="5.8"/>
    <s v="Pack"/>
    <m/>
  </r>
  <r>
    <s v="TB"/>
    <x v="6"/>
    <x v="3"/>
    <s v="Consumables &amp; other equipment"/>
    <x v="41"/>
    <x v="60"/>
    <s v="Other - Enter details in Comments"/>
    <n v="5.8"/>
    <s v="Pack"/>
    <m/>
  </r>
  <r>
    <s v="TB"/>
    <x v="6"/>
    <x v="3"/>
    <s v="Consumables &amp; other equipment"/>
    <x v="41"/>
    <x v="212"/>
    <s v="Other - Enter details in Comments"/>
    <n v="5.8"/>
    <s v="Pack"/>
    <m/>
  </r>
  <r>
    <s v="TB"/>
    <x v="6"/>
    <x v="3"/>
    <s v="Consumables &amp; other equipment"/>
    <x v="41"/>
    <x v="63"/>
    <s v="Other - Enter details in Comments"/>
    <n v="5.8"/>
    <s v="Pack"/>
    <m/>
  </r>
  <r>
    <s v="TB"/>
    <x v="6"/>
    <x v="3"/>
    <s v="Consumables &amp; other equipment"/>
    <x v="41"/>
    <x v="64"/>
    <s v="Other - Enter details in Comments"/>
    <n v="5.8"/>
    <s v="Pack"/>
    <m/>
  </r>
  <r>
    <s v="TB"/>
    <x v="6"/>
    <x v="3"/>
    <s v="Consumables &amp; other equipment"/>
    <x v="41"/>
    <x v="65"/>
    <s v="Sputum cup 1000 units"/>
    <n v="5.8"/>
    <s v="Pack"/>
    <m/>
  </r>
  <r>
    <s v="TB"/>
    <x v="6"/>
    <x v="3"/>
    <s v="Consumables &amp; other equipment"/>
    <x v="41"/>
    <x v="254"/>
    <s v="Other - Enter details in Comments"/>
    <n v="5.8"/>
    <s v="Pack"/>
    <m/>
  </r>
  <r>
    <s v="TB"/>
    <x v="6"/>
    <x v="3"/>
    <s v="Consumables &amp; other equipment"/>
    <x v="41"/>
    <x v="6"/>
    <s v="Faceshield, disposable"/>
    <n v="5.8"/>
    <s v="Piece"/>
    <m/>
  </r>
  <r>
    <s v="TB"/>
    <x v="6"/>
    <x v="3"/>
    <s v="Consumables &amp; other equipment"/>
    <x v="41"/>
    <x v="66"/>
    <s v="Other - Enter details in Comments"/>
    <n v="5.8"/>
    <s v="Pack"/>
    <m/>
  </r>
  <r>
    <s v="TB"/>
    <x v="6"/>
    <x v="3"/>
    <s v="Consumables &amp; other equipment"/>
    <x v="41"/>
    <x v="7"/>
    <s v="Gloves, Examination - Latex - non-sterile, single-use, disposable, powder-free 100"/>
    <n v="5.8"/>
    <s v="Pack"/>
    <m/>
  </r>
  <r>
    <s v="TB"/>
    <x v="6"/>
    <x v="3"/>
    <s v="Consumables &amp; other equipment"/>
    <x v="41"/>
    <x v="7"/>
    <s v="Gloves, Examination - Nitrile - non-sterile, single-use, disposable, powder-free100"/>
    <n v="5.8"/>
    <s v="Pack"/>
    <m/>
  </r>
  <r>
    <s v="TB"/>
    <x v="6"/>
    <x v="3"/>
    <s v="Consumables &amp; other equipment"/>
    <x v="41"/>
    <x v="7"/>
    <s v="Gloves, Surgical - sterile, single-use, disposable, powder-free pair"/>
    <n v="5.8"/>
    <s v="Each"/>
    <m/>
  </r>
  <r>
    <s v="TB"/>
    <x v="6"/>
    <x v="3"/>
    <s v="Consumables &amp; other equipment"/>
    <x v="41"/>
    <x v="8"/>
    <s v="Goggles, protective, indirect side-ventilation"/>
    <n v="5.8"/>
    <s v="Piece"/>
    <m/>
  </r>
  <r>
    <s v="TB"/>
    <x v="6"/>
    <x v="3"/>
    <s v="Consumables &amp; other equipment"/>
    <x v="41"/>
    <x v="9"/>
    <s v="Gown, Isolation non-sterile, single-use, disposable, blood-borne pathogens"/>
    <n v="5.8"/>
    <s v="Piece "/>
    <m/>
  </r>
  <r>
    <s v="TB"/>
    <x v="6"/>
    <x v="3"/>
    <s v="Consumables &amp; other equipment"/>
    <x v="41"/>
    <x v="9"/>
    <s v="Gown, Surgical non-sterile, single-use, disposable, high perfusion"/>
    <n v="5.8"/>
    <s v="Piece "/>
    <m/>
  </r>
  <r>
    <s v="TB"/>
    <x v="6"/>
    <x v="3"/>
    <s v="Consumables &amp; other equipment"/>
    <x v="41"/>
    <x v="9"/>
    <s v="Gown, Surgical sterile, single-use, disposable, high perfusion"/>
    <n v="5.8"/>
    <s v="Piece "/>
    <m/>
  </r>
  <r>
    <s v="TB"/>
    <x v="6"/>
    <x v="3"/>
    <s v="Consumables &amp; other equipment"/>
    <x v="41"/>
    <x v="9"/>
    <s v="Gown, Surgical sterile, single-use, disposable, standard perfusion"/>
    <n v="5.8"/>
    <s v="Piece "/>
    <m/>
  </r>
  <r>
    <s v="TB"/>
    <x v="6"/>
    <x v="3"/>
    <s v="Consumables &amp; other equipment"/>
    <x v="41"/>
    <x v="10"/>
    <s v="Mask, Medical, Type I, single-use, disposable 50"/>
    <n v="5.8"/>
    <s v="Pack"/>
    <m/>
  </r>
  <r>
    <s v="TB"/>
    <x v="6"/>
    <x v="3"/>
    <s v="Consumables &amp; other equipment"/>
    <x v="41"/>
    <x v="10"/>
    <s v="Mask, Surgical, Type IIR fluid resistant, single-use, disposable 50"/>
    <n v="5.8"/>
    <s v="Pack"/>
    <m/>
  </r>
  <r>
    <s v="TB"/>
    <x v="6"/>
    <x v="3"/>
    <s v="Consumables &amp; other equipment"/>
    <x v="41"/>
    <x v="255"/>
    <s v="Microscope slides 1000 units"/>
    <n v="5.8"/>
    <s v="Pack"/>
    <m/>
  </r>
  <r>
    <s v="TB"/>
    <x v="6"/>
    <x v="3"/>
    <s v="Consumables &amp; other equipment"/>
    <x v="41"/>
    <x v="256"/>
    <s v="Other - Enter details in Comments"/>
    <n v="5.8"/>
    <s v="Pack"/>
    <m/>
  </r>
  <r>
    <s v="TB"/>
    <x v="6"/>
    <x v="3"/>
    <s v="Consumables &amp; other equipment"/>
    <x v="41"/>
    <x v="12"/>
    <s v="Airflow test set"/>
    <n v="5.8"/>
    <s v="Each"/>
    <m/>
  </r>
  <r>
    <s v="TB"/>
    <x v="6"/>
    <x v="3"/>
    <s v="Consumables &amp; other equipment"/>
    <x v="41"/>
    <x v="12"/>
    <s v="Refill for airflow test set"/>
    <n v="5.8"/>
    <s v="Each"/>
    <m/>
  </r>
  <r>
    <s v="TB"/>
    <x v="6"/>
    <x v="3"/>
    <s v="Consumables &amp; other equipment"/>
    <x v="41"/>
    <x v="12"/>
    <s v="Respirator, High-filt, FPP2/N95, no-valve, non-sterile 20"/>
    <n v="5.8"/>
    <s v="Pack"/>
    <m/>
  </r>
  <r>
    <s v="TB"/>
    <x v="6"/>
    <x v="3"/>
    <s v="Consumables &amp; other equipment"/>
    <x v="41"/>
    <x v="12"/>
    <s v="Respirator, High-filt, FPP2/N95, valve, non-sterile 20"/>
    <n v="5.8"/>
    <s v="Pack"/>
    <m/>
  </r>
  <r>
    <s v="TB"/>
    <x v="6"/>
    <x v="3"/>
    <s v="Consumables &amp; other equipment"/>
    <x v="42"/>
    <x v="14"/>
    <s v="Equipment"/>
    <n v="6.6"/>
    <s v="Each"/>
    <m/>
  </r>
  <r>
    <s v="TB"/>
    <x v="6"/>
    <x v="3"/>
    <s v="Consumables &amp; other equipment"/>
    <x v="42"/>
    <x v="14"/>
    <s v="Spare parts and accessories"/>
    <n v="6.6"/>
    <s v="Each"/>
    <m/>
  </r>
  <r>
    <s v="TB"/>
    <x v="6"/>
    <x v="3"/>
    <s v="Consumables &amp; other equipment"/>
    <x v="42"/>
    <x v="14"/>
    <s v="Warranty, maintenance and service"/>
    <n v="6.5"/>
    <s v="Each"/>
    <m/>
  </r>
  <r>
    <s v="TB"/>
    <x v="6"/>
    <x v="3"/>
    <s v="Consumables &amp; other equipment"/>
    <x v="42"/>
    <x v="15"/>
    <s v="Equipment"/>
    <n v="6.6"/>
    <s v="Each"/>
    <m/>
  </r>
  <r>
    <s v="TB"/>
    <x v="6"/>
    <x v="3"/>
    <s v="Consumables &amp; other equipment"/>
    <x v="42"/>
    <x v="15"/>
    <s v="Spare parts and accessories"/>
    <n v="6.6"/>
    <s v="Each"/>
    <m/>
  </r>
  <r>
    <s v="TB"/>
    <x v="6"/>
    <x v="3"/>
    <s v="Consumables &amp; other equipment"/>
    <x v="42"/>
    <x v="15"/>
    <s v="Warranty, maintenance and service"/>
    <n v="6.5"/>
    <s v="Each"/>
    <m/>
  </r>
  <r>
    <s v="TB"/>
    <x v="6"/>
    <x v="3"/>
    <s v="Consumables &amp; other equipment"/>
    <x v="42"/>
    <x v="16"/>
    <s v="Equipment"/>
    <n v="6.6"/>
    <s v="Each"/>
    <m/>
  </r>
  <r>
    <s v="TB"/>
    <x v="6"/>
    <x v="3"/>
    <s v="Consumables &amp; other equipment"/>
    <x v="42"/>
    <x v="16"/>
    <s v="Spare parts and accessories"/>
    <n v="6.6"/>
    <s v="Each"/>
    <m/>
  </r>
  <r>
    <s v="TB"/>
    <x v="6"/>
    <x v="3"/>
    <s v="Consumables &amp; other equipment"/>
    <x v="42"/>
    <x v="16"/>
    <s v="Warranty, maintenance and service"/>
    <n v="6.5"/>
    <s v="Each"/>
    <m/>
  </r>
  <r>
    <s v="TB"/>
    <x v="6"/>
    <x v="3"/>
    <s v="Consumables &amp; other equipment"/>
    <x v="42"/>
    <x v="17"/>
    <s v="Equipment"/>
    <n v="6.6"/>
    <s v="Each"/>
    <m/>
  </r>
  <r>
    <s v="TB"/>
    <x v="6"/>
    <x v="3"/>
    <s v="Consumables &amp; other equipment"/>
    <x v="42"/>
    <x v="17"/>
    <s v="Spare parts and accessories"/>
    <n v="6.6"/>
    <s v="Each"/>
    <m/>
  </r>
  <r>
    <s v="TB"/>
    <x v="6"/>
    <x v="3"/>
    <s v="Consumables &amp; other equipment"/>
    <x v="42"/>
    <x v="17"/>
    <s v="Warranty, maintenance and service"/>
    <n v="6.5"/>
    <s v="Each"/>
    <m/>
  </r>
  <r>
    <s v="TB"/>
    <x v="6"/>
    <x v="3"/>
    <s v="Consumables &amp; other equipment"/>
    <x v="42"/>
    <x v="18"/>
    <s v="Equipment"/>
    <n v="6.6"/>
    <s v="Each"/>
    <m/>
  </r>
  <r>
    <s v="TB"/>
    <x v="6"/>
    <x v="3"/>
    <s v="Consumables &amp; other equipment"/>
    <x v="42"/>
    <x v="18"/>
    <s v="Spare parts and accessories"/>
    <n v="6.6"/>
    <s v="Each"/>
    <m/>
  </r>
  <r>
    <s v="TB"/>
    <x v="6"/>
    <x v="3"/>
    <s v="Consumables &amp; other equipment"/>
    <x v="42"/>
    <x v="18"/>
    <s v="Warranty, maintenance and service"/>
    <n v="6.5"/>
    <s v="Each"/>
    <m/>
  </r>
  <r>
    <s v="TB"/>
    <x v="6"/>
    <x v="3"/>
    <s v="Consumables &amp; other equipment"/>
    <x v="42"/>
    <x v="19"/>
    <s v="Equipment"/>
    <n v="6.6"/>
    <s v="Each"/>
    <m/>
  </r>
  <r>
    <s v="TB"/>
    <x v="6"/>
    <x v="3"/>
    <s v="Consumables &amp; other equipment"/>
    <x v="42"/>
    <x v="19"/>
    <s v="Spare parts and accessories"/>
    <n v="6.6"/>
    <s v="Each"/>
    <m/>
  </r>
  <r>
    <s v="TB"/>
    <x v="6"/>
    <x v="3"/>
    <s v="Consumables &amp; other equipment"/>
    <x v="42"/>
    <x v="19"/>
    <s v="Warranty, maintenance and service"/>
    <n v="6.5"/>
    <s v="Each"/>
    <m/>
  </r>
  <r>
    <s v="TB"/>
    <x v="6"/>
    <x v="3"/>
    <s v="Consumables &amp; other equipment"/>
    <x v="42"/>
    <x v="21"/>
    <s v="Equipment"/>
    <n v="6.6"/>
    <s v="Each"/>
    <m/>
  </r>
  <r>
    <s v="TB"/>
    <x v="6"/>
    <x v="3"/>
    <s v="Consumables &amp; other equipment"/>
    <x v="42"/>
    <x v="21"/>
    <s v="Spare parts and accessories"/>
    <n v="6.6"/>
    <s v="Each"/>
    <m/>
  </r>
  <r>
    <s v="TB"/>
    <x v="6"/>
    <x v="3"/>
    <s v="Consumables &amp; other equipment"/>
    <x v="42"/>
    <x v="21"/>
    <s v="Warranty, maintenance and service"/>
    <n v="6.5"/>
    <s v="Each"/>
    <m/>
  </r>
  <r>
    <s v="TB"/>
    <x v="6"/>
    <x v="3"/>
    <s v="Consumables &amp; other equipment"/>
    <x v="42"/>
    <x v="22"/>
    <s v="Equipment"/>
    <n v="6.6"/>
    <s v="Each"/>
    <m/>
  </r>
  <r>
    <s v="TB"/>
    <x v="6"/>
    <x v="3"/>
    <s v="Consumables &amp; other equipment"/>
    <x v="42"/>
    <x v="22"/>
    <s v="Spare parts and accessories"/>
    <n v="6.6"/>
    <s v="Each"/>
    <m/>
  </r>
  <r>
    <s v="TB"/>
    <x v="6"/>
    <x v="3"/>
    <s v="Consumables &amp; other equipment"/>
    <x v="42"/>
    <x v="22"/>
    <s v="Warranty, maintenance and service"/>
    <n v="6.5"/>
    <s v="Each"/>
    <m/>
  </r>
  <r>
    <s v="TB"/>
    <x v="6"/>
    <x v="3"/>
    <s v="Consumables &amp; other equipment"/>
    <x v="42"/>
    <x v="23"/>
    <s v="Equipment"/>
    <n v="6.6"/>
    <s v="Each"/>
    <m/>
  </r>
  <r>
    <s v="TB"/>
    <x v="6"/>
    <x v="3"/>
    <s v="Consumables &amp; other equipment"/>
    <x v="42"/>
    <x v="23"/>
    <s v="Spare parts and accessories"/>
    <n v="6.6"/>
    <s v="Each"/>
    <m/>
  </r>
  <r>
    <s v="TB"/>
    <x v="6"/>
    <x v="3"/>
    <s v="Consumables &amp; other equipment"/>
    <x v="42"/>
    <x v="23"/>
    <s v="Warranty, maintenance and service"/>
    <n v="6.5"/>
    <s v="Each"/>
    <m/>
  </r>
  <r>
    <s v="TB"/>
    <x v="6"/>
    <x v="3"/>
    <s v="Consumables &amp; other equipment"/>
    <x v="42"/>
    <x v="24"/>
    <s v="Equipment"/>
    <n v="6.6"/>
    <s v="Each"/>
    <m/>
  </r>
  <r>
    <s v="TB"/>
    <x v="6"/>
    <x v="3"/>
    <s v="Consumables &amp; other equipment"/>
    <x v="42"/>
    <x v="24"/>
    <s v="Spare parts and accessories"/>
    <n v="6.6"/>
    <s v="Each"/>
    <m/>
  </r>
  <r>
    <s v="TB"/>
    <x v="6"/>
    <x v="3"/>
    <s v="Consumables &amp; other equipment"/>
    <x v="42"/>
    <x v="24"/>
    <s v="Warranty, maintenance and service"/>
    <n v="6.5"/>
    <s v="Each"/>
    <m/>
  </r>
  <r>
    <s v="TB"/>
    <x v="6"/>
    <x v="3"/>
    <s v="Consumables &amp; other equipment"/>
    <x v="42"/>
    <x v="25"/>
    <s v="Equipment"/>
    <n v="6.6"/>
    <s v="Each"/>
    <m/>
  </r>
  <r>
    <s v="TB"/>
    <x v="6"/>
    <x v="3"/>
    <s v="Consumables &amp; other equipment"/>
    <x v="42"/>
    <x v="25"/>
    <s v="Spare parts and accessories"/>
    <n v="6.6"/>
    <s v="Each"/>
    <m/>
  </r>
  <r>
    <s v="TB"/>
    <x v="6"/>
    <x v="3"/>
    <s v="Consumables &amp; other equipment"/>
    <x v="42"/>
    <x v="25"/>
    <s v="Warranty, maintenance and service"/>
    <n v="6.5"/>
    <s v="Each"/>
    <m/>
  </r>
  <r>
    <s v="TB"/>
    <x v="6"/>
    <x v="3"/>
    <s v="Consumables &amp; other equipment"/>
    <x v="42"/>
    <x v="26"/>
    <s v="Equipment"/>
    <n v="6.6"/>
    <s v="Each"/>
    <m/>
  </r>
  <r>
    <s v="TB"/>
    <x v="6"/>
    <x v="3"/>
    <s v="Consumables &amp; other equipment"/>
    <x v="42"/>
    <x v="26"/>
    <s v="Spare parts and accessories"/>
    <n v="6.6"/>
    <s v="Each"/>
    <m/>
  </r>
  <r>
    <s v="TB"/>
    <x v="6"/>
    <x v="3"/>
    <s v="Consumables &amp; other equipment"/>
    <x v="42"/>
    <x v="26"/>
    <s v="Warranty, maintenance and service"/>
    <n v="6.5"/>
    <s v="Each"/>
    <m/>
  </r>
  <r>
    <s v="TB"/>
    <x v="6"/>
    <x v="3"/>
    <s v="Consumables &amp; other equipment"/>
    <x v="42"/>
    <x v="27"/>
    <s v="Equipment"/>
    <n v="6.6"/>
    <s v="Each"/>
    <m/>
  </r>
  <r>
    <s v="TB"/>
    <x v="6"/>
    <x v="3"/>
    <s v="Consumables &amp; other equipment"/>
    <x v="42"/>
    <x v="27"/>
    <s v="Spare parts and accessories"/>
    <n v="6.6"/>
    <s v="Each"/>
    <m/>
  </r>
  <r>
    <s v="TB"/>
    <x v="6"/>
    <x v="3"/>
    <s v="Consumables &amp; other equipment"/>
    <x v="42"/>
    <x v="27"/>
    <s v="Warranty, maintenance and service"/>
    <n v="6.5"/>
    <s v="Each"/>
    <m/>
  </r>
  <r>
    <s v="TB"/>
    <x v="6"/>
    <x v="3"/>
    <s v="Consumables &amp; other equipment"/>
    <x v="42"/>
    <x v="28"/>
    <s v="Equipment"/>
    <n v="6.6"/>
    <s v="Each"/>
    <m/>
  </r>
  <r>
    <s v="TB"/>
    <x v="6"/>
    <x v="3"/>
    <s v="Consumables &amp; other equipment"/>
    <x v="42"/>
    <x v="28"/>
    <s v="Spare parts and accessories"/>
    <n v="6.6"/>
    <s v="Each"/>
    <m/>
  </r>
  <r>
    <s v="TB"/>
    <x v="6"/>
    <x v="3"/>
    <s v="Consumables &amp; other equipment"/>
    <x v="42"/>
    <x v="28"/>
    <s v="Warranty, maintenance and service"/>
    <n v="6.5"/>
    <s v="Each"/>
    <m/>
  </r>
  <r>
    <s v="TB"/>
    <x v="6"/>
    <x v="3"/>
    <s v="Consumables &amp; other equipment"/>
    <x v="43"/>
    <x v="257"/>
    <s v="Equipment"/>
    <n v="6.6"/>
    <s v="Each"/>
    <m/>
  </r>
  <r>
    <s v="TB"/>
    <x v="6"/>
    <x v="3"/>
    <s v="Consumables &amp; other equipment"/>
    <x v="43"/>
    <x v="257"/>
    <s v="Spare parts and accessories"/>
    <n v="6.6"/>
    <s v="Each"/>
    <m/>
  </r>
  <r>
    <s v="TB"/>
    <x v="6"/>
    <x v="3"/>
    <s v="Consumables &amp; other equipment"/>
    <x v="43"/>
    <x v="257"/>
    <s v="Warranty, maintenance and service"/>
    <n v="6.5"/>
    <s v="Each"/>
    <m/>
  </r>
  <r>
    <s v="TB"/>
    <x v="6"/>
    <x v="3"/>
    <s v="Consumables &amp; other equipment"/>
    <x v="43"/>
    <x v="258"/>
    <s v="Darkroom Automatic X-ray Film processor"/>
    <n v="6.6"/>
    <s v="Each"/>
    <m/>
  </r>
  <r>
    <s v="TB"/>
    <x v="6"/>
    <x v="3"/>
    <s v="Consumables &amp; other equipment"/>
    <x v="43"/>
    <x v="258"/>
    <s v="Daylight Automatic X-ray Film Processor"/>
    <n v="6.6"/>
    <s v="Each"/>
    <m/>
  </r>
  <r>
    <s v="TB"/>
    <x v="6"/>
    <x v="3"/>
    <s v="Consumables &amp; other equipment"/>
    <x v="43"/>
    <x v="258"/>
    <s v="Mobile basic diagnostic x-ray system, analogue"/>
    <n v="6.6"/>
    <s v="Each"/>
    <m/>
  </r>
  <r>
    <s v="TB"/>
    <x v="6"/>
    <x v="3"/>
    <s v="Consumables &amp; other equipment"/>
    <x v="43"/>
    <x v="258"/>
    <s v="Mobile basic diagnostic x-ray system, digital"/>
    <n v="6.6"/>
    <s v="Each"/>
    <m/>
  </r>
  <r>
    <s v="TB"/>
    <x v="6"/>
    <x v="3"/>
    <s v="Consumables &amp; other equipment"/>
    <x v="43"/>
    <x v="258"/>
    <s v="Mobile flouroscopic x-ray system, analogue"/>
    <n v="6.6"/>
    <s v="Each"/>
    <m/>
  </r>
  <r>
    <s v="TB"/>
    <x v="6"/>
    <x v="3"/>
    <s v="Consumables &amp; other equipment"/>
    <x v="43"/>
    <x v="258"/>
    <s v="Mobile flouroscopic x-ray system, digital"/>
    <n v="6.6"/>
    <s v="Each"/>
    <m/>
  </r>
  <r>
    <s v="TB"/>
    <x v="6"/>
    <x v="3"/>
    <s v="Consumables &amp; other equipment"/>
    <x v="43"/>
    <x v="258"/>
    <s v="Other type"/>
    <n v="6.6"/>
    <s v="Each"/>
    <m/>
  </r>
  <r>
    <s v="TB"/>
    <x v="6"/>
    <x v="3"/>
    <s v="Consumables &amp; other equipment"/>
    <x v="43"/>
    <x v="258"/>
    <s v="Radiographic film view box, non-powered"/>
    <n v="6.6"/>
    <s v="Each"/>
    <m/>
  </r>
  <r>
    <s v="TB"/>
    <x v="6"/>
    <x v="3"/>
    <s v="Consumables &amp; other equipment"/>
    <x v="43"/>
    <x v="258"/>
    <s v="Spare parts and accessories"/>
    <n v="6.6"/>
    <s v="Each"/>
    <m/>
  </r>
  <r>
    <s v="TB"/>
    <x v="6"/>
    <x v="3"/>
    <s v="Consumables &amp; other equipment"/>
    <x v="43"/>
    <x v="258"/>
    <s v="Warranty, maintenance and service"/>
    <n v="6.5"/>
    <s v="Each"/>
    <m/>
  </r>
  <r>
    <s v="TB"/>
    <x v="6"/>
    <x v="3"/>
    <s v="Consumables &amp; other equipment"/>
    <x v="44"/>
    <x v="259"/>
    <s v="Other - Enter details in Comments"/>
    <n v="5.6"/>
    <s v="Pack"/>
    <m/>
  </r>
  <r>
    <s v="TB"/>
    <x v="6"/>
    <x v="3"/>
    <s v="Consumables &amp; other equipment"/>
    <x v="45"/>
    <x v="41"/>
    <s v="HIV 1 - Generic Rapid Diagnostic Test Kit - 1 test"/>
    <n v="5.4"/>
    <s v="Pack"/>
    <m/>
  </r>
  <r>
    <s v="TB"/>
    <x v="6"/>
    <x v="3"/>
    <s v="Consumables &amp; other equipment"/>
    <x v="45"/>
    <x v="41"/>
    <s v="HIV 1/2 - Determine HIV Combo Kit - no accessories - 100 tests"/>
    <n v="5.4"/>
    <s v="Pack"/>
    <m/>
  </r>
  <r>
    <s v="TB"/>
    <x v="6"/>
    <x v="3"/>
    <s v="Consumables &amp; other equipment"/>
    <x v="45"/>
    <x v="41"/>
    <s v="HIV 1/2 - DPP HIV 1/2 Assay - 20 tests"/>
    <n v="5.4"/>
    <s v="Pack"/>
    <m/>
  </r>
  <r>
    <s v="TB"/>
    <x v="6"/>
    <x v="3"/>
    <s v="Consumables &amp; other equipment"/>
    <x v="45"/>
    <x v="41"/>
    <s v="HIV 1/2 - Generic Differentiated Detection Rapid Diagnostic Test Kit - 1 test"/>
    <n v="5.4"/>
    <s v="Pack"/>
    <m/>
  </r>
  <r>
    <s v="TB"/>
    <x v="6"/>
    <x v="3"/>
    <s v="Consumables &amp; other equipment"/>
    <x v="45"/>
    <x v="41"/>
    <s v="HIV 1/2 – MultiSure HIV Rapid Test – 20 tests"/>
    <n v="5.4"/>
    <s v="Pack"/>
    <m/>
  </r>
  <r>
    <s v="TB"/>
    <x v="6"/>
    <x v="3"/>
    <s v="Consumables &amp; other equipment"/>
    <x v="45"/>
    <x v="41"/>
    <s v="HIV 1/2 - SD Bioline 3.0 Kit - accessories included - 25 tests"/>
    <n v="5.4"/>
    <s v="Pack"/>
    <m/>
  </r>
  <r>
    <s v="TB"/>
    <x v="6"/>
    <x v="3"/>
    <s v="Consumables &amp; other equipment"/>
    <x v="45"/>
    <x v="41"/>
    <s v="HIV 1/2/O – ABON Tri-Line HIV Rapid Test Kit - 40 tests"/>
    <n v="5.4"/>
    <s v="Pack"/>
    <m/>
  </r>
  <r>
    <s v="TB"/>
    <x v="6"/>
    <x v="3"/>
    <s v="Consumables &amp; other equipment"/>
    <x v="45"/>
    <x v="41"/>
    <s v="HIV 1/2-O - First Response HIV 1-2.0 v.3.0 Cards Kit - 100 tests"/>
    <n v="5.4"/>
    <s v="Pack"/>
    <m/>
  </r>
  <r>
    <s v="TB"/>
    <x v="6"/>
    <x v="3"/>
    <s v="Consumables &amp; other equipment"/>
    <x v="45"/>
    <x v="41"/>
    <s v="HIV 1/2-O - First Response HIV 1-2.0 v.3.0 Cards Kit - accessories included - 25 tests"/>
    <n v="5.4"/>
    <s v="Pack"/>
    <m/>
  </r>
  <r>
    <s v="TB"/>
    <x v="6"/>
    <x v="3"/>
    <s v="Consumables &amp; other equipment"/>
    <x v="45"/>
    <x v="41"/>
    <s v="HIV 1/2-O - First Response HIV 1-2.0 v.3.0 Cards Kit - accessories included - 30 tests"/>
    <n v="5.4"/>
    <s v="Pack"/>
    <m/>
  </r>
  <r>
    <s v="TB"/>
    <x v="6"/>
    <x v="3"/>
    <s v="Consumables &amp; other equipment"/>
    <x v="45"/>
    <x v="41"/>
    <s v="HIV 1+2 - SD Bioline Ag/Ab Combo Kit - no accessories - 30 tests"/>
    <n v="5.4"/>
    <s v="Pack"/>
    <m/>
  </r>
  <r>
    <s v="TB"/>
    <x v="6"/>
    <x v="3"/>
    <s v="Consumables &amp; other equipment"/>
    <x v="45"/>
    <x v="41"/>
    <s v="HIV 1+2 - Determine Chase Buffer - 2.5ml vial - 100 tests"/>
    <n v="5.4"/>
    <s v="Pack"/>
    <m/>
  </r>
  <r>
    <s v="TB"/>
    <x v="6"/>
    <x v="3"/>
    <s v="Consumables &amp; other equipment"/>
    <x v="45"/>
    <x v="41"/>
    <s v="HIV 1+2 - Determine Complete HIV Kit - accessories included - 100 tests"/>
    <n v="5.4"/>
    <s v="Pack"/>
    <m/>
  </r>
  <r>
    <s v="TB"/>
    <x v="6"/>
    <x v="3"/>
    <s v="Consumables &amp; other equipment"/>
    <x v="45"/>
    <x v="41"/>
    <s v="HIV 1+2 - Determine HIV Kit - 20 tests"/>
    <n v="5.4"/>
    <s v="Pack"/>
    <m/>
  </r>
  <r>
    <s v="TB"/>
    <x v="6"/>
    <x v="3"/>
    <s v="Consumables &amp; other equipment"/>
    <x v="45"/>
    <x v="41"/>
    <s v="HIV 1+2 - Determine HIV Kit - no accessories - 100 tests"/>
    <n v="5.4"/>
    <s v="Pack"/>
    <m/>
  </r>
  <r>
    <s v="TB"/>
    <x v="6"/>
    <x v="3"/>
    <s v="Consumables &amp; other equipment"/>
    <x v="45"/>
    <x v="41"/>
    <s v="HIV 1+2 - Generic Combined DetectionRapid Diagnostic Test Kit - 1 test"/>
    <n v="5.4"/>
    <s v="Pack"/>
    <m/>
  </r>
  <r>
    <s v="TB"/>
    <x v="6"/>
    <x v="3"/>
    <s v="Consumables &amp; other equipment"/>
    <x v="45"/>
    <x v="41"/>
    <s v="HIV 1+2 - INSTI HIV Antibody Test Kit - accessories included - 48 tests"/>
    <n v="5.4"/>
    <s v="Pack"/>
    <m/>
  </r>
  <r>
    <s v="TB"/>
    <x v="6"/>
    <x v="3"/>
    <s v="Consumables &amp; other equipment"/>
    <x v="45"/>
    <x v="41"/>
    <s v="HIV 1+2 - OraQuick ADVANCE HIV Rapid Antibody Kit - accessories included - 25 Tests"/>
    <n v="5.4"/>
    <s v="Pack"/>
    <m/>
  </r>
  <r>
    <s v="TB"/>
    <x v="6"/>
    <x v="3"/>
    <s v="Consumables &amp; other equipment"/>
    <x v="45"/>
    <x v="41"/>
    <s v="HIV 1+2 - OraQuick HIV Rapid Antibody Kit - accessories included - 100 Tests"/>
    <n v="5.4"/>
    <s v="Pack"/>
    <m/>
  </r>
  <r>
    <s v="TB"/>
    <x v="6"/>
    <x v="3"/>
    <s v="Consumables &amp; other equipment"/>
    <x v="45"/>
    <x v="41"/>
    <s v="HIV 1+2 - OraQuick HIV Self Test - accessories included - 250 Tests"/>
    <n v="5.4"/>
    <s v="Pack"/>
    <m/>
  </r>
  <r>
    <s v="TB"/>
    <x v="6"/>
    <x v="3"/>
    <s v="Consumables &amp; other equipment"/>
    <x v="45"/>
    <x v="41"/>
    <s v="HIV 1+2 - OraQuick HIV Self Test - accessories included - 50 Tests"/>
    <n v="5.4"/>
    <s v="Pack"/>
    <m/>
  </r>
  <r>
    <s v="TB"/>
    <x v="6"/>
    <x v="3"/>
    <s v="Consumables &amp; other equipment"/>
    <x v="45"/>
    <x v="41"/>
    <s v="HIV 1+2 - Stat-Pak Dipstick Assay Kit - accessories included - 30 tests"/>
    <n v="5.4"/>
    <s v="Pack"/>
    <m/>
  </r>
  <r>
    <s v="TB"/>
    <x v="6"/>
    <x v="3"/>
    <s v="Consumables &amp; other equipment"/>
    <x v="45"/>
    <x v="41"/>
    <s v="HIV 1+2 - Stat-Pak HIV Kit - accessories included - 20 tests"/>
    <n v="5.4"/>
    <s v="Pack"/>
    <m/>
  </r>
  <r>
    <s v="TB"/>
    <x v="6"/>
    <x v="3"/>
    <s v="Consumables &amp; other equipment"/>
    <x v="45"/>
    <x v="41"/>
    <s v="HIV 1+2 - Uni-gold HIV Kit - accessories included - 20 tests"/>
    <n v="5.4"/>
    <s v="Pack"/>
    <m/>
  </r>
  <r>
    <s v="TB"/>
    <x v="6"/>
    <x v="3"/>
    <s v="Consumables &amp; other equipment"/>
    <x v="45"/>
    <x v="41"/>
    <s v="HIV 1+2 Colloidal Gold - accessories included - 50 tests"/>
    <n v="5.4"/>
    <s v="Pack"/>
    <m/>
  </r>
  <r>
    <s v="TB"/>
    <x v="6"/>
    <x v="3"/>
    <s v="Consumables &amp; other equipment"/>
    <x v="45"/>
    <x v="41"/>
    <s v="HIV Self Testing - Generic Rapid Diagnostic Test Kit - 1 test"/>
    <n v="5.4"/>
    <s v="Pack"/>
    <m/>
  </r>
  <r>
    <s v="TB"/>
    <x v="6"/>
    <x v="3"/>
    <s v="Consumables &amp; other equipment"/>
    <x v="45"/>
    <x v="41"/>
    <s v="Other - Enter details in Comments"/>
    <n v="5.4"/>
    <s v="Pack"/>
    <m/>
  </r>
  <r>
    <s v="TB"/>
    <x v="6"/>
    <x v="3"/>
    <s v="Consumables &amp; other equipment"/>
    <x v="46"/>
    <x v="82"/>
    <s v="Other - Enter details in Comments"/>
    <n v="5.8"/>
    <s v="Pack"/>
    <m/>
  </r>
  <r>
    <s v="TB"/>
    <x v="6"/>
    <x v="3"/>
    <s v="Consumables &amp; other equipment"/>
    <x v="46"/>
    <x v="82"/>
    <s v="Bag, biohazard 100"/>
    <n v="5.8"/>
    <s v="Pack"/>
    <m/>
  </r>
  <r>
    <s v="TB"/>
    <x v="6"/>
    <x v="3"/>
    <s v="Consumables &amp; other equipment"/>
    <x v="46"/>
    <x v="82"/>
    <s v="Container, sharps"/>
    <n v="5.8"/>
    <s v="Each"/>
    <m/>
  </r>
  <r>
    <s v="TB"/>
    <x v="6"/>
    <x v="3"/>
    <s v="Consumables &amp; other equipment"/>
    <x v="46"/>
    <x v="82"/>
    <s v="Container, used needles &amp; syringes"/>
    <n v="5.8"/>
    <s v="Each"/>
    <m/>
  </r>
  <r>
    <s v="TB"/>
    <x v="6"/>
    <x v="3"/>
    <s v="Consumables &amp; other equipment"/>
    <x v="46"/>
    <x v="83"/>
    <s v="Other - Enter details in Comments"/>
    <n v="5.6"/>
    <s v="Pack"/>
    <m/>
  </r>
  <r>
    <s v="TB"/>
    <x v="6"/>
    <x v="3"/>
    <s v="Consumables &amp; other equipment"/>
    <x v="46"/>
    <x v="36"/>
    <s v="Equipment"/>
    <n v="6.6"/>
    <s v="Each"/>
    <m/>
  </r>
  <r>
    <s v="TB"/>
    <x v="6"/>
    <x v="3"/>
    <s v="Consumables &amp; other equipment"/>
    <x v="46"/>
    <x v="36"/>
    <s v="Spare parts and accessories"/>
    <n v="6.6"/>
    <s v="Each"/>
    <m/>
  </r>
  <r>
    <s v="TB"/>
    <x v="6"/>
    <x v="3"/>
    <s v="Consumables &amp; other equipment"/>
    <x v="46"/>
    <x v="36"/>
    <s v="Warranty, maintenance and service"/>
    <n v="6.5"/>
    <s v="Each"/>
    <m/>
  </r>
  <r>
    <s v="TB"/>
    <x v="6"/>
    <x v="3"/>
    <s v="Consumables &amp; other equipment"/>
    <x v="46"/>
    <x v="37"/>
    <s v="Equipment"/>
    <n v="6.6"/>
    <s v="Each"/>
    <m/>
  </r>
  <r>
    <s v="TB"/>
    <x v="6"/>
    <x v="3"/>
    <s v="Consumables &amp; other equipment"/>
    <x v="46"/>
    <x v="37"/>
    <s v="Spare parts and accessories"/>
    <n v="6.6"/>
    <s v="Each"/>
    <m/>
  </r>
  <r>
    <s v="TB"/>
    <x v="6"/>
    <x v="3"/>
    <s v="Consumables &amp; other equipment"/>
    <x v="46"/>
    <x v="37"/>
    <s v="Warranty, maintenance and service"/>
    <n v="6.5"/>
    <s v="Each"/>
    <m/>
  </r>
  <r>
    <s v="TB"/>
    <x v="7"/>
    <x v="0"/>
    <s v="Sensitive TB medicines"/>
    <x v="47"/>
    <x v="260"/>
    <s v="100mg 10 tablet 10 blister (100)"/>
    <n v="4.2"/>
    <s v="Pack"/>
    <m/>
  </r>
  <r>
    <s v="TB"/>
    <x v="7"/>
    <x v="0"/>
    <s v="Sensitive TB medicines"/>
    <x v="47"/>
    <x v="260"/>
    <s v="100mg 10 tablet dispersible 10 blister (100)"/>
    <n v="4.2"/>
    <s v="Pack"/>
    <m/>
  </r>
  <r>
    <s v="TB"/>
    <x v="7"/>
    <x v="0"/>
    <s v="Sensitive TB medicines"/>
    <x v="47"/>
    <x v="260"/>
    <s v="400mg 10 tablet 10 blister (100)"/>
    <n v="4.2"/>
    <s v="Pack"/>
    <m/>
  </r>
  <r>
    <s v="TB"/>
    <x v="7"/>
    <x v="0"/>
    <s v="Sensitive TB medicines"/>
    <x v="47"/>
    <x v="260"/>
    <s v="400mg 28 tablet 24 blister (672)"/>
    <n v="4.2"/>
    <s v="Pack"/>
    <m/>
  </r>
  <r>
    <s v="TB"/>
    <x v="7"/>
    <x v="0"/>
    <s v="Sensitive TB medicines"/>
    <x v="47"/>
    <x v="261"/>
    <s v="275/75/400/150mg 10 tablet 10 blister (100)"/>
    <n v="4.2"/>
    <s v="Pack"/>
    <m/>
  </r>
  <r>
    <s v="TB"/>
    <x v="7"/>
    <x v="0"/>
    <s v="Sensitive TB medicines"/>
    <x v="47"/>
    <x v="261"/>
    <s v="275/75/400/150mg 28 tablet 12 blister (336)"/>
    <n v="4.2"/>
    <s v="Pack"/>
    <m/>
  </r>
  <r>
    <s v="TB"/>
    <x v="7"/>
    <x v="0"/>
    <s v="Sensitive TB medicines"/>
    <x v="47"/>
    <x v="261"/>
    <s v="275/75/400/150mg 28 tablet 24 blister (672)"/>
    <n v="4.2"/>
    <s v="Pack"/>
    <m/>
  </r>
  <r>
    <s v="TB"/>
    <x v="7"/>
    <x v="0"/>
    <s v="Sensitive TB medicines"/>
    <x v="47"/>
    <x v="262"/>
    <s v="275/75/150mg 10 tablet 10 blister (100)"/>
    <n v="4.2"/>
    <s v="Pack"/>
    <m/>
  </r>
  <r>
    <s v="TB"/>
    <x v="7"/>
    <x v="0"/>
    <s v="Sensitive TB medicines"/>
    <x v="47"/>
    <x v="262"/>
    <s v="275/75/150mg 28 tablet 24 blister (672)"/>
    <n v="4.2"/>
    <s v="Pack"/>
    <m/>
  </r>
  <r>
    <s v="TB"/>
    <x v="7"/>
    <x v="0"/>
    <s v="Sensitive TB medicines"/>
    <x v="47"/>
    <x v="192"/>
    <s v="100mg 10 tablet 10 blister (100)"/>
    <n v="4.2"/>
    <s v="Pack"/>
    <m/>
  </r>
  <r>
    <s v="TB"/>
    <x v="7"/>
    <x v="0"/>
    <s v="Sensitive TB medicines"/>
    <x v="47"/>
    <x v="192"/>
    <s v="100mg 10 tablet dispersible 10 blister (100)"/>
    <n v="4.2"/>
    <s v="Pack"/>
    <m/>
  </r>
  <r>
    <s v="TB"/>
    <x v="7"/>
    <x v="0"/>
    <s v="Sensitive TB medicines"/>
    <x v="47"/>
    <x v="192"/>
    <s v="300mg 10 tablet 10 blister (100)"/>
    <n v="4.2"/>
    <s v="Pack"/>
    <m/>
  </r>
  <r>
    <s v="TB"/>
    <x v="7"/>
    <x v="0"/>
    <s v="Sensitive TB medicines"/>
    <x v="47"/>
    <x v="192"/>
    <s v="300mg 28 tablet 24 blister (672)"/>
    <n v="4.2"/>
    <s v="Pack"/>
    <m/>
  </r>
  <r>
    <s v="TB"/>
    <x v="7"/>
    <x v="0"/>
    <s v="Sensitive TB medicines"/>
    <x v="47"/>
    <x v="263"/>
    <s v="50/150/75mg 10 tablet dispersible 10 blister (100)"/>
    <n v="4.2"/>
    <s v="Pack"/>
    <m/>
  </r>
  <r>
    <s v="TB"/>
    <x v="7"/>
    <x v="0"/>
    <s v="Sensitive TB medicines"/>
    <x v="47"/>
    <x v="263"/>
    <s v="50/150/75mg 28 tablet dispersible 3 blister (84)"/>
    <n v="4.2"/>
    <s v="Pack"/>
    <m/>
  </r>
  <r>
    <s v="TB"/>
    <x v="7"/>
    <x v="0"/>
    <s v="Sensitive TB medicines"/>
    <x v="47"/>
    <x v="194"/>
    <s v="50/75mg 10 tablet dispersible 10 blister (100)"/>
    <n v="4.2"/>
    <s v="Pack"/>
    <m/>
  </r>
  <r>
    <s v="TB"/>
    <x v="7"/>
    <x v="0"/>
    <s v="Sensitive TB medicines"/>
    <x v="47"/>
    <x v="194"/>
    <s v="50/75mg 28 tablet dispersible 3 blister (84)"/>
    <n v="4.2"/>
    <s v="Pack"/>
    <m/>
  </r>
  <r>
    <s v="TB"/>
    <x v="7"/>
    <x v="0"/>
    <s v="Sensitive TB medicines"/>
    <x v="47"/>
    <x v="194"/>
    <s v="75/150mg 10 tablet 10 blister (100)"/>
    <n v="4.2"/>
    <s v="Pack"/>
    <m/>
  </r>
  <r>
    <s v="TB"/>
    <x v="7"/>
    <x v="0"/>
    <s v="Sensitive TB medicines"/>
    <x v="47"/>
    <x v="194"/>
    <s v="75/150mg 28 tablet 12 blister (336)"/>
    <n v="4.2"/>
    <s v="Pack"/>
    <m/>
  </r>
  <r>
    <s v="TB"/>
    <x v="7"/>
    <x v="0"/>
    <s v="Sensitive TB medicines"/>
    <x v="47"/>
    <x v="194"/>
    <s v="75/150mg 28 tablet 24 blister (672)"/>
    <n v="4.2"/>
    <s v="Pack"/>
    <m/>
  </r>
  <r>
    <s v="TB"/>
    <x v="7"/>
    <x v="0"/>
    <s v="Sensitive TB medicines"/>
    <x v="47"/>
    <x v="264"/>
    <s v="Other - Enter details in Comments"/>
    <n v="4.2"/>
    <s v="Pack"/>
    <m/>
  </r>
  <r>
    <s v="TB"/>
    <x v="7"/>
    <x v="0"/>
    <s v="Sensitive TB medicines"/>
    <x v="47"/>
    <x v="265"/>
    <s v="150mg tablet dispersible 100"/>
    <n v="4.2"/>
    <s v="Pack"/>
    <m/>
  </r>
  <r>
    <s v="TB"/>
    <x v="7"/>
    <x v="0"/>
    <s v="Sensitive TB medicines"/>
    <x v="47"/>
    <x v="265"/>
    <s v="400mg 10 tablet 10 blister (100)"/>
    <n v="4.2"/>
    <s v="Pack"/>
    <m/>
  </r>
  <r>
    <s v="TB"/>
    <x v="7"/>
    <x v="0"/>
    <s v="Sensitive TB medicines"/>
    <x v="47"/>
    <x v="265"/>
    <s v="400mg 28 tablet 24 blister (672)"/>
    <n v="4.2"/>
    <s v="Pack"/>
    <m/>
  </r>
  <r>
    <s v="TB"/>
    <x v="7"/>
    <x v="0"/>
    <s v="Sensitive TB medicines"/>
    <x v="47"/>
    <x v="265"/>
    <s v="500mg 28 tablet 24 blister (672)"/>
    <n v="4.2"/>
    <s v="Pack"/>
    <m/>
  </r>
  <r>
    <s v="TB"/>
    <x v="7"/>
    <x v="0"/>
    <s v="Sensitive TB medicines"/>
    <x v="47"/>
    <x v="197"/>
    <s v="150mg capsule 100"/>
    <n v="4.2"/>
    <s v="Pack"/>
    <m/>
  </r>
  <r>
    <s v="TB"/>
    <x v="7"/>
    <x v="0"/>
    <s v="Sensitive TB medicines"/>
    <x v="47"/>
    <x v="198"/>
    <s v="150mg 10 tablet 10 blister (100)"/>
    <n v="4.2"/>
    <s v="Pack"/>
    <m/>
  </r>
  <r>
    <s v="TB"/>
    <x v="7"/>
    <x v="0"/>
    <s v="Sensitive TB medicines"/>
    <x v="47"/>
    <x v="198"/>
    <s v="20mg/ml granules for oral suspension 100ml"/>
    <n v="4.2"/>
    <s v="Pack"/>
    <m/>
  </r>
  <r>
    <s v="TB"/>
    <x v="7"/>
    <x v="0"/>
    <s v="Sensitive TB medicines"/>
    <x v="47"/>
    <x v="198"/>
    <s v="20mg/ml granules for oral suspension 120ml"/>
    <n v="4.2"/>
    <s v="Pack"/>
    <m/>
  </r>
  <r>
    <s v="TB"/>
    <x v="7"/>
    <x v="0"/>
    <s v="Sensitive TB medicines"/>
    <x v="47"/>
    <x v="198"/>
    <s v="300mg 10 tablet 10 blister (100)"/>
    <n v="4.2"/>
    <s v="Pack"/>
    <m/>
  </r>
  <r>
    <s v="TB"/>
    <x v="7"/>
    <x v="0"/>
    <s v="Sensitive TB medicines"/>
    <x v="47"/>
    <x v="198"/>
    <s v="450mg 10 capsule 10 blister"/>
    <n v="4.2"/>
    <s v="Pack"/>
    <m/>
  </r>
  <r>
    <s v="TB"/>
    <x v="7"/>
    <x v="0"/>
    <s v="Sensitive TB medicines"/>
    <x v="47"/>
    <x v="198"/>
    <s v="600mg 10 capsule 10 blister"/>
    <n v="4.2"/>
    <s v="Pack"/>
    <m/>
  </r>
  <r>
    <s v="TB"/>
    <x v="7"/>
    <x v="0"/>
    <s v="Sensitive TB medicines"/>
    <x v="47"/>
    <x v="199"/>
    <s v="150mg tablet 24 blister"/>
    <n v="4.2"/>
    <s v="Pack"/>
    <m/>
  </r>
  <r>
    <s v="TB"/>
    <x v="7"/>
    <x v="0"/>
    <s v="Sensitive TB medicines"/>
    <x v="47"/>
    <x v="200"/>
    <s v="300/300mg tablet 36 blister"/>
    <n v="4.2"/>
    <s v="Pack"/>
    <m/>
  </r>
  <r>
    <s v="TB"/>
    <x v="7"/>
    <x v="0"/>
    <s v="Sensitive TB medicines"/>
    <x v="47"/>
    <x v="266"/>
    <s v="4-FDC 6x28tabs(R150/H75/Z400/E275)+2-FDC 12x28tabs (R150/H75) - Kit"/>
    <n v="4.2"/>
    <s v="Pack"/>
    <m/>
  </r>
  <r>
    <s v="TB"/>
    <x v="7"/>
    <x v="1"/>
    <s v="MDR/XDR TB medicines"/>
    <x v="48"/>
    <x v="267"/>
    <s v="500mg/2ml solution for injection - 10 vial"/>
    <n v="4.2"/>
    <s v="Pack"/>
    <m/>
  </r>
  <r>
    <s v="TB"/>
    <x v="7"/>
    <x v="1"/>
    <s v="MDR/XDR TB medicines"/>
    <x v="48"/>
    <x v="117"/>
    <s v="125mg/31.25mg/5ml powder for oral solution 100ml"/>
    <n v="4.2"/>
    <s v="Pack"/>
    <m/>
  </r>
  <r>
    <s v="TB"/>
    <x v="7"/>
    <x v="1"/>
    <s v="MDR/XDR TB medicines"/>
    <x v="48"/>
    <x v="117"/>
    <s v="250mg/62.5mg/5ml powder for oral solution 100ml"/>
    <n v="4.2"/>
    <s v="Pack"/>
    <m/>
  </r>
  <r>
    <s v="TB"/>
    <x v="7"/>
    <x v="1"/>
    <s v="MDR/XDR TB medicines"/>
    <x v="48"/>
    <x v="117"/>
    <s v="500/125mg 10 tablet 10 blister (100)"/>
    <n v="4.2"/>
    <s v="Pack"/>
    <m/>
  </r>
  <r>
    <s v="TB"/>
    <x v="7"/>
    <x v="1"/>
    <s v="MDR/XDR TB medicines"/>
    <x v="48"/>
    <x v="117"/>
    <s v="875/125mg 10 tablet 10 blister (100)"/>
    <n v="4.2"/>
    <s v="Pack"/>
    <m/>
  </r>
  <r>
    <s v="TB"/>
    <x v="7"/>
    <x v="1"/>
    <s v="MDR/XDR TB medicines"/>
    <x v="48"/>
    <x v="268"/>
    <s v="100mg tablet 188"/>
    <n v="4.2"/>
    <s v="Pack"/>
    <m/>
  </r>
  <r>
    <s v="TB"/>
    <x v="7"/>
    <x v="1"/>
    <s v="MDR/XDR TB medicines"/>
    <x v="48"/>
    <x v="268"/>
    <s v="100mg tablet 24"/>
    <n v="4.2"/>
    <s v="Pack"/>
    <m/>
  </r>
  <r>
    <s v="TB"/>
    <x v="7"/>
    <x v="1"/>
    <s v="MDR/XDR TB medicines"/>
    <x v="48"/>
    <x v="268"/>
    <s v="20mg tablet 60"/>
    <n v="4.2"/>
    <s v="Pack"/>
    <m/>
  </r>
  <r>
    <s v="TB"/>
    <x v="7"/>
    <x v="1"/>
    <s v="MDR/XDR TB medicines"/>
    <x v="48"/>
    <x v="269"/>
    <s v="100mg tablet 100"/>
    <n v="4.2"/>
    <s v="Pack"/>
    <m/>
  </r>
  <r>
    <s v="TB"/>
    <x v="7"/>
    <x v="1"/>
    <s v="MDR/XDR TB medicines"/>
    <x v="48"/>
    <x v="269"/>
    <s v="50mg 10 tablet 10 blister (100) *child friendly"/>
    <n v="4.2"/>
    <s v="Pack"/>
    <m/>
  </r>
  <r>
    <s v="TB"/>
    <x v="7"/>
    <x v="1"/>
    <s v="MDR/XDR TB medicines"/>
    <x v="48"/>
    <x v="269"/>
    <s v="50mg capsule 100"/>
    <n v="4.2"/>
    <s v="Pack"/>
    <m/>
  </r>
  <r>
    <s v="TB"/>
    <x v="7"/>
    <x v="1"/>
    <s v="MDR/XDR TB medicines"/>
    <x v="48"/>
    <x v="270"/>
    <s v="125mg 10 capsule 10 blister (100)"/>
    <n v="4.2"/>
    <s v="Pack"/>
    <m/>
  </r>
  <r>
    <s v="TB"/>
    <x v="7"/>
    <x v="1"/>
    <s v="MDR/XDR TB medicines"/>
    <x v="48"/>
    <x v="270"/>
    <s v="250mg 10 capsule 10 blister (100)"/>
    <n v="4.2"/>
    <s v="Pack"/>
    <m/>
  </r>
  <r>
    <s v="TB"/>
    <x v="7"/>
    <x v="1"/>
    <s v="MDR/XDR TB medicines"/>
    <x v="48"/>
    <x v="271"/>
    <s v="50mg 28 tablet 24 blister (672)"/>
    <n v="4.2"/>
    <s v="Pack"/>
    <m/>
  </r>
  <r>
    <s v="TB"/>
    <x v="7"/>
    <x v="1"/>
    <s v="MDR/XDR TB medicines"/>
    <x v="48"/>
    <x v="260"/>
    <s v="100mg 10 tablet 10 blister (100)"/>
    <n v="4.2"/>
    <s v="Pack"/>
    <m/>
  </r>
  <r>
    <s v="TB"/>
    <x v="7"/>
    <x v="1"/>
    <s v="MDR/XDR TB medicines"/>
    <x v="48"/>
    <x v="260"/>
    <s v="100mg 10 tablet dispersible 10 blister (100)"/>
    <n v="4.2"/>
    <s v="Pack"/>
    <m/>
  </r>
  <r>
    <s v="TB"/>
    <x v="7"/>
    <x v="1"/>
    <s v="MDR/XDR TB medicines"/>
    <x v="48"/>
    <x v="260"/>
    <s v="400mg 10 tablet 10 blister (100)"/>
    <n v="4.2"/>
    <s v="Pack"/>
    <m/>
  </r>
  <r>
    <s v="TB"/>
    <x v="7"/>
    <x v="1"/>
    <s v="MDR/XDR TB medicines"/>
    <x v="48"/>
    <x v="260"/>
    <s v="400mg 28 tablet 24 blister (672)"/>
    <n v="4.2"/>
    <s v="Pack"/>
    <m/>
  </r>
  <r>
    <s v="TB"/>
    <x v="7"/>
    <x v="1"/>
    <s v="MDR/XDR TB medicines"/>
    <x v="48"/>
    <x v="272"/>
    <s v="125mg 10 tablet dispersible 10 blister (100)"/>
    <n v="4.2"/>
    <s v="Pack"/>
    <m/>
  </r>
  <r>
    <s v="TB"/>
    <x v="7"/>
    <x v="1"/>
    <s v="MDR/XDR TB medicines"/>
    <x v="48"/>
    <x v="272"/>
    <s v="250mg 10 tablet 10 blister (100)"/>
    <n v="4.2"/>
    <s v="Pack"/>
    <m/>
  </r>
  <r>
    <s v="TB"/>
    <x v="7"/>
    <x v="1"/>
    <s v="MDR/XDR TB medicines"/>
    <x v="48"/>
    <x v="273"/>
    <s v="500/500mg powder for solution for infusion 20ml - 10 vial"/>
    <n v="4.2"/>
    <s v="Pack"/>
    <m/>
  </r>
  <r>
    <s v="TB"/>
    <x v="7"/>
    <x v="1"/>
    <s v="MDR/XDR TB medicines"/>
    <x v="48"/>
    <x v="192"/>
    <s v="100mg 10 tablet 10 blister (100)"/>
    <n v="4.2"/>
    <s v="Pack"/>
    <m/>
  </r>
  <r>
    <s v="TB"/>
    <x v="7"/>
    <x v="1"/>
    <s v="MDR/XDR TB medicines"/>
    <x v="48"/>
    <x v="192"/>
    <s v="100mg 10 tablet dispersible 10 blister (100)"/>
    <n v="4.2"/>
    <s v="Pack"/>
    <m/>
  </r>
  <r>
    <s v="TB"/>
    <x v="7"/>
    <x v="1"/>
    <s v="MDR/XDR TB medicines"/>
    <x v="48"/>
    <x v="192"/>
    <s v="300mg 10 tablet 10 blister (100)"/>
    <n v="4.2"/>
    <s v="Pack"/>
    <m/>
  </r>
  <r>
    <s v="TB"/>
    <x v="7"/>
    <x v="1"/>
    <s v="MDR/XDR TB medicines"/>
    <x v="48"/>
    <x v="192"/>
    <s v="300mg 28 tablet 24 blister (672)"/>
    <n v="4.2"/>
    <s v="Pack"/>
    <m/>
  </r>
  <r>
    <s v="TB"/>
    <x v="7"/>
    <x v="1"/>
    <s v="MDR/XDR TB medicines"/>
    <x v="48"/>
    <x v="195"/>
    <s v="100mg 10 tablet dispersible 10 blister (100)"/>
    <n v="4.2"/>
    <s v="Pack"/>
    <m/>
  </r>
  <r>
    <s v="TB"/>
    <x v="7"/>
    <x v="1"/>
    <s v="MDR/XDR TB medicines"/>
    <x v="48"/>
    <x v="195"/>
    <s v="250mg 10 tablet 10 blister (100)"/>
    <n v="4.2"/>
    <s v="Pack"/>
    <m/>
  </r>
  <r>
    <s v="TB"/>
    <x v="7"/>
    <x v="1"/>
    <s v="MDR/XDR TB medicines"/>
    <x v="48"/>
    <x v="195"/>
    <s v="500mg 10 tablet 10 blister (100)"/>
    <n v="4.2"/>
    <s v="Pack"/>
    <m/>
  </r>
  <r>
    <s v="TB"/>
    <x v="7"/>
    <x v="1"/>
    <s v="MDR/XDR TB medicines"/>
    <x v="48"/>
    <x v="195"/>
    <s v="750mg 10 tablet 10 blister (100)"/>
    <n v="4.2"/>
    <s v="Pack"/>
    <m/>
  </r>
  <r>
    <s v="TB"/>
    <x v="7"/>
    <x v="1"/>
    <s v="MDR/XDR TB medicines"/>
    <x v="48"/>
    <x v="274"/>
    <s v="600mg 10 tablet 10 blister (100)"/>
    <n v="4.2"/>
    <s v="Pack"/>
    <m/>
  </r>
  <r>
    <s v="TB"/>
    <x v="7"/>
    <x v="1"/>
    <s v="MDR/XDR TB medicines"/>
    <x v="48"/>
    <x v="275"/>
    <s v="1g powder for solution for injection - 10 vial"/>
    <n v="4.2"/>
    <s v="Pack"/>
    <m/>
  </r>
  <r>
    <s v="TB"/>
    <x v="7"/>
    <x v="1"/>
    <s v="MDR/XDR TB medicines"/>
    <x v="48"/>
    <x v="276"/>
    <s v="100mg 10 tablet dispersible 10 blister (100)"/>
    <n v="4.2"/>
    <s v="Pack"/>
    <m/>
  </r>
  <r>
    <s v="TB"/>
    <x v="7"/>
    <x v="1"/>
    <s v="MDR/XDR TB medicines"/>
    <x v="48"/>
    <x v="276"/>
    <s v="400mg 10 tablet 10 blister (100)"/>
    <n v="4.2"/>
    <s v="Pack"/>
    <m/>
  </r>
  <r>
    <s v="TB"/>
    <x v="7"/>
    <x v="1"/>
    <s v="MDR/XDR TB medicines"/>
    <x v="48"/>
    <x v="277"/>
    <s v="Other - Enter details in Comments"/>
    <n v="4.2"/>
    <s v="Pack"/>
    <m/>
  </r>
  <r>
    <s v="TB"/>
    <x v="7"/>
    <x v="1"/>
    <s v="MDR/XDR TB medicines"/>
    <x v="48"/>
    <x v="278"/>
    <s v="4g granule 30"/>
    <n v="4.2"/>
    <s v="Pack"/>
    <m/>
  </r>
  <r>
    <s v="TB"/>
    <x v="7"/>
    <x v="1"/>
    <s v="MDR/XDR TB medicines"/>
    <x v="48"/>
    <x v="279"/>
    <s v="5.52g (equiv 4g PAS) powder for oral solution - 25 sachet"/>
    <n v="4.2"/>
    <s v="Pack"/>
    <m/>
  </r>
  <r>
    <s v="TB"/>
    <x v="7"/>
    <x v="1"/>
    <s v="MDR/XDR TB medicines"/>
    <x v="48"/>
    <x v="280"/>
    <s v="200 mg tablets 26"/>
    <n v="4.2"/>
    <s v="Pack"/>
    <m/>
  </r>
  <r>
    <s v="TB"/>
    <x v="7"/>
    <x v="1"/>
    <s v="MDR/XDR TB medicines"/>
    <x v="48"/>
    <x v="281"/>
    <s v="250mg 10 tablet 10 blister (100)"/>
    <n v="4.2"/>
    <s v="Pack"/>
    <m/>
  </r>
  <r>
    <s v="TB"/>
    <x v="7"/>
    <x v="1"/>
    <s v="MDR/XDR TB medicines"/>
    <x v="48"/>
    <x v="265"/>
    <s v="150mg tablet dispersible 100"/>
    <n v="4.2"/>
    <s v="Pack"/>
    <m/>
  </r>
  <r>
    <s v="TB"/>
    <x v="7"/>
    <x v="1"/>
    <s v="MDR/XDR TB medicines"/>
    <x v="48"/>
    <x v="265"/>
    <s v="400mg 10 tablet 10 blister (100)"/>
    <n v="4.2"/>
    <s v="Pack"/>
    <m/>
  </r>
  <r>
    <s v="TB"/>
    <x v="7"/>
    <x v="1"/>
    <s v="MDR/XDR TB medicines"/>
    <x v="48"/>
    <x v="265"/>
    <s v="400mg 28 tablet 24 blister (672)"/>
    <n v="4.2"/>
    <s v="Pack"/>
    <m/>
  </r>
  <r>
    <s v="TB"/>
    <x v="7"/>
    <x v="1"/>
    <s v="MDR/XDR TB medicines"/>
    <x v="48"/>
    <x v="265"/>
    <s v="500mg 28 tablet 24 blister (672)"/>
    <n v="4.2"/>
    <s v="Pack"/>
    <m/>
  </r>
  <r>
    <s v="TB"/>
    <x v="7"/>
    <x v="1"/>
    <s v="MDR/XDR TB medicines"/>
    <x v="48"/>
    <x v="282"/>
    <s v="1g powder for solution for injection - 10 vials"/>
    <n v="4.2"/>
    <s v="Pack"/>
    <m/>
  </r>
  <r>
    <s v="TB"/>
    <x v="7"/>
    <x v="1"/>
    <s v="MDR/XDR TB medicines"/>
    <x v="48"/>
    <x v="283"/>
    <s v="Other - Enter details in Comments"/>
    <n v="5.7"/>
    <s v="Pack"/>
    <m/>
  </r>
  <r>
    <s v="TB"/>
    <x v="7"/>
    <x v="1"/>
    <s v="MDR/XDR TB medicines"/>
    <x v="48"/>
    <x v="284"/>
    <s v="Auto-disable syringes with sharp injury prevention, 5ml, 21/22/23 G, individual sterilized peel-off pack, and Safety Box, 5lt."/>
    <n v="5.7"/>
    <s v="Pack"/>
    <m/>
  </r>
  <r>
    <s v="TB"/>
    <x v="7"/>
    <x v="1"/>
    <s v="MDR/XDR TB medicines"/>
    <x v="48"/>
    <x v="284"/>
    <s v="Auto-disable, reuse prevention syringes with sharp injury prevention, 5ml, 21/22/23 G, individual sterilized peel-off pack, and Safety Box, 5lt."/>
    <n v="5.7"/>
    <s v="Pack"/>
    <m/>
  </r>
  <r>
    <s v="TB"/>
    <x v="7"/>
    <x v="1"/>
    <s v="MDR/XDR TB medicines"/>
    <x v="48"/>
    <x v="285"/>
    <s v="250mg 10 capsule 10 blister (100)"/>
    <n v="4.2"/>
    <s v="Pack"/>
    <m/>
  </r>
  <r>
    <s v="TB"/>
    <x v="7"/>
    <x v="1"/>
    <s v="MDR/XDR TB medicines"/>
    <x v="48"/>
    <x v="190"/>
    <s v="5ml - 50 vial"/>
    <n v="4.7"/>
    <s v="Pack"/>
    <m/>
  </r>
  <r>
    <s v="TB"/>
    <x v="7"/>
    <x v="2"/>
    <s v="Sensitive TB medicines"/>
    <x v="49"/>
    <x v="192"/>
    <s v="100mg 10 tablet 10 blister (100)"/>
    <n v="4.2"/>
    <s v="Pack"/>
    <m/>
  </r>
  <r>
    <s v="TB"/>
    <x v="7"/>
    <x v="2"/>
    <s v="Sensitive TB medicines"/>
    <x v="49"/>
    <x v="192"/>
    <s v="100mg 10 tablet dispersible 10 blister (100)"/>
    <n v="4.2"/>
    <s v="Pack"/>
    <m/>
  </r>
  <r>
    <s v="TB"/>
    <x v="7"/>
    <x v="2"/>
    <s v="Sensitive TB medicines"/>
    <x v="49"/>
    <x v="192"/>
    <s v="300mg 10 tablet 10 blister (100)"/>
    <n v="4.2"/>
    <s v="Pack"/>
    <m/>
  </r>
  <r>
    <s v="TB"/>
    <x v="7"/>
    <x v="2"/>
    <s v="Sensitive TB medicines"/>
    <x v="49"/>
    <x v="192"/>
    <s v="300mg 28 tablet 24 blister (672)"/>
    <n v="4.2"/>
    <s v="Pack"/>
    <m/>
  </r>
  <r>
    <s v="TB"/>
    <x v="7"/>
    <x v="2"/>
    <s v="Sensitive TB medicines"/>
    <x v="49"/>
    <x v="193"/>
    <s v="300/25/800/160mg tablet 30"/>
    <n v="4.2"/>
    <s v="Pack"/>
    <m/>
  </r>
  <r>
    <s v="TB"/>
    <x v="7"/>
    <x v="2"/>
    <s v="Sensitive TB medicines"/>
    <x v="49"/>
    <x v="194"/>
    <s v="50/75mg 10 tablet dispersible 10 blister (100)"/>
    <n v="4.2"/>
    <s v="Pack"/>
    <m/>
  </r>
  <r>
    <s v="TB"/>
    <x v="7"/>
    <x v="2"/>
    <s v="Sensitive TB medicines"/>
    <x v="49"/>
    <x v="194"/>
    <s v="50/75mg 28 tablet dispersible 3 blister (84)"/>
    <n v="4.2"/>
    <s v="Pack"/>
    <m/>
  </r>
  <r>
    <s v="TB"/>
    <x v="7"/>
    <x v="2"/>
    <s v="Sensitive TB medicines"/>
    <x v="49"/>
    <x v="194"/>
    <s v="75/150mg 10 tablet 10 blister (100)"/>
    <n v="4.2"/>
    <s v="Pack"/>
    <m/>
  </r>
  <r>
    <s v="TB"/>
    <x v="7"/>
    <x v="2"/>
    <s v="Sensitive TB medicines"/>
    <x v="49"/>
    <x v="194"/>
    <s v="75/150mg 28 tablet 12 blister (336)"/>
    <n v="4.2"/>
    <s v="Pack"/>
    <m/>
  </r>
  <r>
    <s v="TB"/>
    <x v="7"/>
    <x v="2"/>
    <s v="Sensitive TB medicines"/>
    <x v="49"/>
    <x v="194"/>
    <s v="75/150mg 28 tablet 24 blister (672)"/>
    <n v="4.2"/>
    <s v="Pack"/>
    <m/>
  </r>
  <r>
    <s v="TB"/>
    <x v="7"/>
    <x v="2"/>
    <s v="Sensitive TB medicines"/>
    <x v="49"/>
    <x v="195"/>
    <s v="100mg 10 tablet dispersible 10 blister (100)"/>
    <n v="4.2"/>
    <s v="Pack"/>
    <m/>
  </r>
  <r>
    <s v="TB"/>
    <x v="7"/>
    <x v="2"/>
    <s v="Sensitive TB medicines"/>
    <x v="49"/>
    <x v="195"/>
    <s v="250mg 10 tablet 10 blister (100)"/>
    <n v="4.2"/>
    <s v="Pack"/>
    <m/>
  </r>
  <r>
    <s v="TB"/>
    <x v="7"/>
    <x v="2"/>
    <s v="Sensitive TB medicines"/>
    <x v="49"/>
    <x v="195"/>
    <s v="500mg 10 tablet 10 blister (100)"/>
    <n v="4.2"/>
    <s v="Pack"/>
    <m/>
  </r>
  <r>
    <s v="TB"/>
    <x v="7"/>
    <x v="2"/>
    <s v="Sensitive TB medicines"/>
    <x v="49"/>
    <x v="195"/>
    <s v="750mg 10 tablet 10 blister (100)"/>
    <n v="4.2"/>
    <s v="Pack"/>
    <m/>
  </r>
  <r>
    <s v="TB"/>
    <x v="7"/>
    <x v="2"/>
    <s v="Sensitive TB medicines"/>
    <x v="49"/>
    <x v="196"/>
    <s v="Other - Enter details in Comments"/>
    <n v="4.2"/>
    <s v="Pack"/>
    <m/>
  </r>
  <r>
    <s v="TB"/>
    <x v="7"/>
    <x v="2"/>
    <s v="Sensitive TB medicines"/>
    <x v="49"/>
    <x v="197"/>
    <s v="150mg capsule 100"/>
    <n v="4.2"/>
    <s v="Pack"/>
    <m/>
  </r>
  <r>
    <s v="TB"/>
    <x v="7"/>
    <x v="2"/>
    <s v="Sensitive TB medicines"/>
    <x v="49"/>
    <x v="198"/>
    <s v="150mg 10 tablet 10 blister (100)"/>
    <n v="4.2"/>
    <s v="Pack"/>
    <m/>
  </r>
  <r>
    <s v="TB"/>
    <x v="7"/>
    <x v="2"/>
    <s v="Sensitive TB medicines"/>
    <x v="49"/>
    <x v="198"/>
    <s v="300mg 10 tablet 10 blister (100)"/>
    <n v="4.2"/>
    <s v="Pack"/>
    <m/>
  </r>
  <r>
    <s v="TB"/>
    <x v="7"/>
    <x v="2"/>
    <s v="Sensitive TB medicines"/>
    <x v="49"/>
    <x v="199"/>
    <s v="150mg tablet 24 blister"/>
    <n v="4.2"/>
    <s v="Pack"/>
    <m/>
  </r>
  <r>
    <s v="TB"/>
    <x v="7"/>
    <x v="2"/>
    <s v="Sensitive TB medicines"/>
    <x v="49"/>
    <x v="200"/>
    <s v="300/300mg tablet 36 blister"/>
    <n v="4.2"/>
    <s v="Pack"/>
    <m/>
  </r>
  <r>
    <s v="TB"/>
    <x v="7"/>
    <x v="3"/>
    <s v="OI, STIs &amp; other medicines in TB"/>
    <x v="50"/>
    <x v="114"/>
    <s v="200mg tablet dispersible 500"/>
    <n v="4.7"/>
    <s v="Pack"/>
    <m/>
  </r>
  <r>
    <s v="TB"/>
    <x v="7"/>
    <x v="3"/>
    <s v="OI, STIs &amp; other medicines in TB"/>
    <x v="50"/>
    <x v="114"/>
    <s v="5% cream 2g - 1 tube"/>
    <n v="4.7"/>
    <s v="Pack"/>
    <m/>
  </r>
  <r>
    <s v="TB"/>
    <x v="7"/>
    <x v="3"/>
    <s v="OI, STIs &amp; other medicines in TB"/>
    <x v="50"/>
    <x v="115"/>
    <s v=" 25mg tablet coated 1000"/>
    <n v="4.7"/>
    <s v="Pack"/>
    <m/>
  </r>
  <r>
    <s v="TB"/>
    <x v="7"/>
    <x v="3"/>
    <s v="OI, STIs &amp; other medicines in TB"/>
    <x v="50"/>
    <x v="116"/>
    <s v="250mg/5ml oral solution 100ml - 40 bottles"/>
    <n v="4.7"/>
    <s v="Pack"/>
    <m/>
  </r>
  <r>
    <s v="TB"/>
    <x v="7"/>
    <x v="3"/>
    <s v="OI, STIs &amp; other medicines in TB"/>
    <x v="50"/>
    <x v="116"/>
    <s v="500mg capsule 1000"/>
    <n v="4.7"/>
    <s v="Pack"/>
    <m/>
  </r>
  <r>
    <s v="TB"/>
    <x v="7"/>
    <x v="3"/>
    <s v="OI, STIs &amp; other medicines in TB"/>
    <x v="50"/>
    <x v="116"/>
    <s v="500mg tablet 1000"/>
    <n v="4.7"/>
    <s v="Pack"/>
    <m/>
  </r>
  <r>
    <s v="TB"/>
    <x v="7"/>
    <x v="3"/>
    <s v="OI, STIs &amp; other medicines in TB"/>
    <x v="50"/>
    <x v="117"/>
    <s v="250/62.5mg per 5ml powder for oral solution 100ml"/>
    <n v="4.7"/>
    <s v="Pack"/>
    <m/>
  </r>
  <r>
    <s v="TB"/>
    <x v="7"/>
    <x v="3"/>
    <s v="OI, STIs &amp; other medicines in TB"/>
    <x v="50"/>
    <x v="117"/>
    <s v="500/125mg tablet 50"/>
    <n v="4.7"/>
    <s v="Pack"/>
    <m/>
  </r>
  <r>
    <s v="TB"/>
    <x v="7"/>
    <x v="3"/>
    <s v="OI, STIs &amp; other medicines in TB"/>
    <x v="50"/>
    <x v="118"/>
    <s v="50mg for injection - 1 vial"/>
    <n v="4.5"/>
    <s v="Pack"/>
    <m/>
  </r>
  <r>
    <s v="TB"/>
    <x v="7"/>
    <x v="3"/>
    <s v="OI, STIs &amp; other medicines in TB"/>
    <x v="50"/>
    <x v="120"/>
    <s v="500mg powder for injection - 50 vial"/>
    <n v="4.7"/>
    <s v="Pack"/>
    <m/>
  </r>
  <r>
    <s v="TB"/>
    <x v="7"/>
    <x v="3"/>
    <s v="OI, STIs &amp; other medicines in TB"/>
    <x v="50"/>
    <x v="121"/>
    <s v="200mg/5ml oral solution 15ml"/>
    <n v="4.7"/>
    <s v="Pack"/>
    <m/>
  </r>
  <r>
    <s v="TB"/>
    <x v="7"/>
    <x v="3"/>
    <s v="OI, STIs &amp; other medicines in TB"/>
    <x v="50"/>
    <x v="121"/>
    <s v="250mg 6 tablet"/>
    <n v="4.7"/>
    <s v="Pack"/>
    <m/>
  </r>
  <r>
    <s v="TB"/>
    <x v="7"/>
    <x v="3"/>
    <s v="OI, STIs &amp; other medicines in TB"/>
    <x v="50"/>
    <x v="121"/>
    <s v="500mg 3 tablet"/>
    <n v="4.7"/>
    <s v="Pack"/>
    <m/>
  </r>
  <r>
    <s v="TB"/>
    <x v="7"/>
    <x v="3"/>
    <s v="OI, STIs &amp; other medicines in TB"/>
    <x v="50"/>
    <x v="122"/>
    <s v="2.4 MIU powder for solution for injection - 50 vials"/>
    <n v="4.7"/>
    <s v="Pack"/>
    <m/>
  </r>
  <r>
    <s v="TB"/>
    <x v="7"/>
    <x v="3"/>
    <s v="OI, STIs &amp; other medicines in TB"/>
    <x v="50"/>
    <x v="123"/>
    <s v="0.1% cream 15g tube"/>
    <n v="4.7"/>
    <s v="Pack"/>
    <m/>
  </r>
  <r>
    <s v="TB"/>
    <x v="7"/>
    <x v="3"/>
    <s v="OI, STIs &amp; other medicines in TB"/>
    <x v="50"/>
    <x v="124"/>
    <s v="Bleomycin 15 USP units - 15,0000 IU powder for injection - 1 vial"/>
    <n v="4.7"/>
    <s v="Pack"/>
    <m/>
  </r>
  <r>
    <s v="TB"/>
    <x v="7"/>
    <x v="3"/>
    <s v="OI, STIs &amp; other medicines in TB"/>
    <x v="50"/>
    <x v="125"/>
    <s v="1g powder for injection - 10 vials"/>
    <n v="4.7"/>
    <s v="Pack"/>
    <m/>
  </r>
  <r>
    <s v="TB"/>
    <x v="7"/>
    <x v="3"/>
    <s v="OI, STIs &amp; other medicines in TB"/>
    <x v="50"/>
    <x v="125"/>
    <s v="500mg powder for injection 10 vial"/>
    <n v="4.7"/>
    <s v="Pack"/>
    <m/>
  </r>
  <r>
    <s v="TB"/>
    <x v="7"/>
    <x v="3"/>
    <s v="OI, STIs &amp; other medicines in TB"/>
    <x v="50"/>
    <x v="126"/>
    <s v="10mg tablet 30"/>
    <n v="4.7"/>
    <s v="Pack"/>
    <m/>
  </r>
  <r>
    <s v="TB"/>
    <x v="7"/>
    <x v="3"/>
    <s v="OI, STIs &amp; other medicines in TB"/>
    <x v="50"/>
    <x v="127"/>
    <s v="250mg capsule 1000"/>
    <n v="4.7"/>
    <s v="Pack"/>
    <m/>
  </r>
  <r>
    <s v="TB"/>
    <x v="7"/>
    <x v="3"/>
    <s v="OI, STIs &amp; other medicines in TB"/>
    <x v="50"/>
    <x v="128"/>
    <s v="10mg/ml solution for injection 1ml - 5 ampoule"/>
    <n v="4.7"/>
    <s v="Pack"/>
    <m/>
  </r>
  <r>
    <s v="TB"/>
    <x v="7"/>
    <x v="3"/>
    <s v="OI, STIs &amp; other medicines in TB"/>
    <x v="50"/>
    <x v="128"/>
    <s v="4mg tablet 1000"/>
    <n v="4.7"/>
    <s v="Pack"/>
    <m/>
  </r>
  <r>
    <s v="TB"/>
    <x v="7"/>
    <x v="3"/>
    <s v="OI, STIs &amp; other medicines in TB"/>
    <x v="50"/>
    <x v="129"/>
    <s v="200mg tablet 100"/>
    <n v="4.7"/>
    <s v="Pack"/>
    <m/>
  </r>
  <r>
    <s v="TB"/>
    <x v="7"/>
    <x v="3"/>
    <s v="OI, STIs &amp; other medicines in TB"/>
    <x v="50"/>
    <x v="130"/>
    <s v="500mg tablet 100"/>
    <n v="4.7"/>
    <s v="Pack"/>
    <m/>
  </r>
  <r>
    <s v="TB"/>
    <x v="7"/>
    <x v="3"/>
    <s v="OI, STIs &amp; other medicines in TB"/>
    <x v="50"/>
    <x v="131"/>
    <s v="150mg capsule 100"/>
    <n v="4.7"/>
    <s v="Pack"/>
    <m/>
  </r>
  <r>
    <s v="TB"/>
    <x v="7"/>
    <x v="3"/>
    <s v="OI, STIs &amp; other medicines in TB"/>
    <x v="50"/>
    <x v="131"/>
    <s v="600mg/4ml injection - 1 ampoule"/>
    <n v="4.7"/>
    <s v="Pack"/>
    <m/>
  </r>
  <r>
    <s v="TB"/>
    <x v="7"/>
    <x v="3"/>
    <s v="OI, STIs &amp; other medicines in TB"/>
    <x v="50"/>
    <x v="132"/>
    <s v="1% cream 30g tube - 10 tubes"/>
    <n v="4.7"/>
    <s v="Pack"/>
    <m/>
  </r>
  <r>
    <s v="TB"/>
    <x v="7"/>
    <x v="3"/>
    <s v="OI, STIs &amp; other medicines in TB"/>
    <x v="50"/>
    <x v="132"/>
    <s v="500mg 1 tablet vaginal"/>
    <n v="4.7"/>
    <s v="Pack"/>
    <m/>
  </r>
  <r>
    <s v="TB"/>
    <x v="7"/>
    <x v="3"/>
    <s v="OI, STIs &amp; other medicines in TB"/>
    <x v="50"/>
    <x v="133"/>
    <s v="30mg tablet 100"/>
    <n v="4.7"/>
    <s v="Pack"/>
    <m/>
  </r>
  <r>
    <s v="TB"/>
    <x v="7"/>
    <x v="3"/>
    <s v="OI, STIs &amp; other medicines in TB"/>
    <x v="50"/>
    <x v="134"/>
    <s v="30mg tablet 28"/>
    <n v="4.7"/>
    <s v="Pack"/>
    <m/>
  </r>
  <r>
    <s v="TB"/>
    <x v="7"/>
    <x v="3"/>
    <s v="OI, STIs &amp; other medicines in TB"/>
    <x v="50"/>
    <x v="134"/>
    <s v="60mg tablet 28"/>
    <n v="4.7"/>
    <s v="Pack"/>
    <m/>
  </r>
  <r>
    <s v="TB"/>
    <x v="7"/>
    <x v="3"/>
    <s v="OI, STIs &amp; other medicines in TB"/>
    <x v="50"/>
    <x v="135"/>
    <s v="100mg 28 tablet"/>
    <n v="4.7"/>
    <s v="Pack"/>
    <m/>
  </r>
  <r>
    <s v="TB"/>
    <x v="7"/>
    <x v="3"/>
    <s v="OI, STIs &amp; other medicines in TB"/>
    <x v="50"/>
    <x v="3"/>
    <s v="0.5mg 1000"/>
    <n v="4.7"/>
    <s v="Pack"/>
    <m/>
  </r>
  <r>
    <s v="TB"/>
    <x v="7"/>
    <x v="3"/>
    <s v="OI, STIs &amp; other medicines in TB"/>
    <x v="50"/>
    <x v="3"/>
    <s v="4mg tablet 100"/>
    <n v="4.7"/>
    <s v="Pack"/>
    <m/>
  </r>
  <r>
    <s v="TB"/>
    <x v="7"/>
    <x v="3"/>
    <s v="OI, STIs &amp; other medicines in TB"/>
    <x v="50"/>
    <x v="3"/>
    <s v="4mg/ml vial 1ml ampoule 50"/>
    <n v="4.7"/>
    <s v="Pack"/>
    <m/>
  </r>
  <r>
    <s v="TB"/>
    <x v="7"/>
    <x v="3"/>
    <s v="OI, STIs &amp; other medicines in TB"/>
    <x v="50"/>
    <x v="3"/>
    <s v="5mg/ml 1ml ampoule 100"/>
    <n v="4.7"/>
    <s v="Pack"/>
    <m/>
  </r>
  <r>
    <s v="TB"/>
    <x v="7"/>
    <x v="3"/>
    <s v="OI, STIs &amp; other medicines in TB"/>
    <x v="50"/>
    <x v="136"/>
    <s v=" 50mg tablet coated enteric 1000"/>
    <n v="4.7"/>
    <s v="Pack"/>
    <m/>
  </r>
  <r>
    <s v="TB"/>
    <x v="7"/>
    <x v="3"/>
    <s v="OI, STIs &amp; other medicines in TB"/>
    <x v="50"/>
    <x v="136"/>
    <s v=" 75mg/3ml injection - 100 ampoules"/>
    <n v="4.7"/>
    <s v="Pack"/>
    <m/>
  </r>
  <r>
    <s v="TB"/>
    <x v="7"/>
    <x v="3"/>
    <s v="OI, STIs &amp; other medicines in TB"/>
    <x v="50"/>
    <x v="137"/>
    <s v="50mg tablet 100"/>
    <n v="4.7"/>
    <s v="Pack"/>
    <m/>
  </r>
  <r>
    <s v="TB"/>
    <x v="7"/>
    <x v="3"/>
    <s v="OI, STIs &amp; other medicines in TB"/>
    <x v="50"/>
    <x v="138"/>
    <s v=" 10mg powder for solution for injection - 1 vial"/>
    <n v="4.7"/>
    <s v="Pack"/>
    <m/>
  </r>
  <r>
    <s v="TB"/>
    <x v="7"/>
    <x v="3"/>
    <s v="OI, STIs &amp; other medicines in TB"/>
    <x v="50"/>
    <x v="138"/>
    <s v=" 50mg powder for solution for injection - 1 vial"/>
    <n v="4.7"/>
    <s v="Pack"/>
    <m/>
  </r>
  <r>
    <s v="TB"/>
    <x v="7"/>
    <x v="3"/>
    <s v="OI, STIs &amp; other medicines in TB"/>
    <x v="50"/>
    <x v="139"/>
    <s v="100mg tablet 500"/>
    <n v="4.7"/>
    <s v="Pack"/>
    <m/>
  </r>
  <r>
    <s v="TB"/>
    <x v="7"/>
    <x v="3"/>
    <s v="OI, STIs &amp; other medicines in TB"/>
    <x v="50"/>
    <x v="140"/>
    <s v="0.5mg tablet 30"/>
    <n v="4.7"/>
    <s v="Pack"/>
    <m/>
  </r>
  <r>
    <s v="TB"/>
    <x v="7"/>
    <x v="3"/>
    <s v="OI, STIs &amp; other medicines in TB"/>
    <x v="50"/>
    <x v="140"/>
    <s v="0.5mg tablet scored 90"/>
    <n v="4.7"/>
    <s v="Pack"/>
    <m/>
  </r>
  <r>
    <s v="TB"/>
    <x v="7"/>
    <x v="3"/>
    <s v="OI, STIs &amp; other medicines in TB"/>
    <x v="50"/>
    <x v="140"/>
    <s v="1mg tablet 30"/>
    <n v="4.7"/>
    <s v="Pack"/>
    <m/>
  </r>
  <r>
    <s v="TB"/>
    <x v="7"/>
    <x v="3"/>
    <s v="OI, STIs &amp; other medicines in TB"/>
    <x v="50"/>
    <x v="140"/>
    <s v="1mg tablet scored 90"/>
    <n v="4.7"/>
    <s v="Pack"/>
    <m/>
  </r>
  <r>
    <s v="TB"/>
    <x v="7"/>
    <x v="3"/>
    <s v="OI, STIs &amp; other medicines in TB"/>
    <x v="50"/>
    <x v="141"/>
    <s v=" 250mg/5ml powder for oral solution 140ml - 20 bottles"/>
    <n v="4.7"/>
    <s v="Pack"/>
    <m/>
  </r>
  <r>
    <s v="TB"/>
    <x v="7"/>
    <x v="3"/>
    <s v="OI, STIs &amp; other medicines in TB"/>
    <x v="50"/>
    <x v="142"/>
    <s v=" 250mg tablet 1000"/>
    <n v="4.7"/>
    <s v="Pack"/>
    <m/>
  </r>
  <r>
    <s v="TB"/>
    <x v="7"/>
    <x v="3"/>
    <s v="OI, STIs &amp; other medicines in TB"/>
    <x v="50"/>
    <x v="142"/>
    <s v=" 500mg tablet 100"/>
    <n v="4.7"/>
    <s v="Pack"/>
    <m/>
  </r>
  <r>
    <s v="TB"/>
    <x v="7"/>
    <x v="3"/>
    <s v="OI, STIs &amp; other medicines in TB"/>
    <x v="50"/>
    <x v="142"/>
    <s v=" 500mg tablet 500"/>
    <n v="4.7"/>
    <s v="Pack"/>
    <m/>
  </r>
  <r>
    <s v="TB"/>
    <x v="7"/>
    <x v="3"/>
    <s v="OI, STIs &amp; other medicines in TB"/>
    <x v="50"/>
    <x v="143"/>
    <s v="200mg capsule 100"/>
    <n v="4.5"/>
    <s v="Pack"/>
    <m/>
  </r>
  <r>
    <s v="TB"/>
    <x v="7"/>
    <x v="3"/>
    <s v="OI, STIs &amp; other medicines in TB"/>
    <x v="50"/>
    <x v="143"/>
    <s v="2mg/ml infusion 100ml - 10 bags"/>
    <n v="4.5"/>
    <s v="Pack"/>
    <m/>
  </r>
  <r>
    <s v="TB"/>
    <x v="7"/>
    <x v="3"/>
    <s v="OI, STIs &amp; other medicines in TB"/>
    <x v="50"/>
    <x v="143"/>
    <s v="50mg capsule 100"/>
    <n v="4.5"/>
    <s v="Pack"/>
    <m/>
  </r>
  <r>
    <s v="TB"/>
    <x v="7"/>
    <x v="3"/>
    <s v="OI, STIs &amp; other medicines in TB"/>
    <x v="50"/>
    <x v="143"/>
    <s v="50mg/5ml powder for oral solution 35ml"/>
    <n v="4.5"/>
    <s v="Pack"/>
    <m/>
  </r>
  <r>
    <s v="TB"/>
    <x v="7"/>
    <x v="3"/>
    <s v="OI, STIs &amp; other medicines in TB"/>
    <x v="50"/>
    <x v="144"/>
    <s v="500mg tablet 100"/>
    <n v="4.5"/>
    <s v="Pack"/>
    <m/>
  </r>
  <r>
    <s v="TB"/>
    <x v="7"/>
    <x v="3"/>
    <s v="OI, STIs &amp; other medicines in TB"/>
    <x v="50"/>
    <x v="145"/>
    <s v="10mg/ml 5 bottles 250ml"/>
    <n v="4.5"/>
    <s v="Pack"/>
    <m/>
  </r>
  <r>
    <s v="TB"/>
    <x v="7"/>
    <x v="3"/>
    <s v="OI, STIs &amp; other medicines in TB"/>
    <x v="50"/>
    <x v="146"/>
    <s v="5mg tablet 1000"/>
    <n v="4.7"/>
    <s v="Pack"/>
    <m/>
  </r>
  <r>
    <s v="TB"/>
    <x v="7"/>
    <x v="3"/>
    <s v="OI, STIs &amp; other medicines in TB"/>
    <x v="50"/>
    <x v="147"/>
    <s v=" 500mg powder for solution for injection - 1 vial"/>
    <n v="4.7"/>
    <s v="Pack"/>
    <m/>
  </r>
  <r>
    <s v="TB"/>
    <x v="7"/>
    <x v="3"/>
    <s v="OI, STIs &amp; other medicines in TB"/>
    <x v="50"/>
    <x v="148"/>
    <s v="80mg/2ml injection - 100 ampoules"/>
    <n v="4.7"/>
    <s v="Pack"/>
    <m/>
  </r>
  <r>
    <s v="TB"/>
    <x v="7"/>
    <x v="3"/>
    <s v="OI, STIs &amp; other medicines in TB"/>
    <x v="50"/>
    <x v="149"/>
    <s v="1% cream and/or ointment 15g tube"/>
    <n v="4.7"/>
    <s v="Pack"/>
    <m/>
  </r>
  <r>
    <s v="TB"/>
    <x v="7"/>
    <x v="3"/>
    <s v="OI, STIs &amp; other medicines in TB"/>
    <x v="50"/>
    <x v="150"/>
    <s v="100mg/5ml oral solution 100ml"/>
    <n v="4.7"/>
    <s v="Pack"/>
    <m/>
  </r>
  <r>
    <s v="TB"/>
    <x v="7"/>
    <x v="3"/>
    <s v="OI, STIs &amp; other medicines in TB"/>
    <x v="50"/>
    <x v="150"/>
    <s v="200mg film coated tablet 1000"/>
    <n v="4.7"/>
    <s v="Pack"/>
    <m/>
  </r>
  <r>
    <s v="TB"/>
    <x v="7"/>
    <x v="3"/>
    <s v="OI, STIs &amp; other medicines in TB"/>
    <x v="50"/>
    <x v="151"/>
    <s v="100mg 15 capsule"/>
    <n v="4.7"/>
    <s v="Pack"/>
    <m/>
  </r>
  <r>
    <s v="TB"/>
    <x v="7"/>
    <x v="3"/>
    <s v="OI, STIs &amp; other medicines in TB"/>
    <x v="50"/>
    <x v="152"/>
    <s v="667mg/ml 200ml"/>
    <n v="4.7"/>
    <s v="Pack"/>
    <m/>
  </r>
  <r>
    <s v="TB"/>
    <x v="7"/>
    <x v="3"/>
    <s v="OI, STIs &amp; other medicines in TB"/>
    <x v="50"/>
    <x v="153"/>
    <s v="2mg tablet 100"/>
    <n v="4.7"/>
    <s v="Pack"/>
    <m/>
  </r>
  <r>
    <s v="TB"/>
    <x v="7"/>
    <x v="3"/>
    <s v="OI, STIs &amp; other medicines in TB"/>
    <x v="50"/>
    <x v="154"/>
    <s v="500mg/ml 10ml ampoule 100"/>
    <n v="4.7"/>
    <s v="Pack"/>
    <m/>
  </r>
  <r>
    <s v="TB"/>
    <x v="7"/>
    <x v="3"/>
    <s v="OI, STIs &amp; other medicines in TB"/>
    <x v="50"/>
    <x v="155"/>
    <s v="10mg tablet 1000"/>
    <n v="4.7"/>
    <s v="Pack"/>
    <m/>
  </r>
  <r>
    <s v="TB"/>
    <x v="7"/>
    <x v="3"/>
    <s v="OI, STIs &amp; other medicines in TB"/>
    <x v="50"/>
    <x v="156"/>
    <s v="200mg tablet 1000"/>
    <n v="4.7"/>
    <s v="Pack"/>
    <m/>
  </r>
  <r>
    <s v="TB"/>
    <x v="7"/>
    <x v="3"/>
    <s v="OI, STIs &amp; other medicines in TB"/>
    <x v="50"/>
    <x v="156"/>
    <s v="250mg tablet 1000"/>
    <n v="4.7"/>
    <s v="Pack"/>
    <m/>
  </r>
  <r>
    <s v="TB"/>
    <x v="7"/>
    <x v="3"/>
    <s v="OI, STIs &amp; other medicines in TB"/>
    <x v="50"/>
    <x v="156"/>
    <s v="5mg/ml oral solution 100ml - 20 bottles"/>
    <n v="4.7"/>
    <s v="Pack"/>
    <m/>
  </r>
  <r>
    <s v="TB"/>
    <x v="7"/>
    <x v="3"/>
    <s v="OI, STIs &amp; other medicines in TB"/>
    <x v="50"/>
    <x v="157"/>
    <s v="tablet 1000"/>
    <n v="4.7"/>
    <s v="Pack"/>
    <m/>
  </r>
  <r>
    <s v="TB"/>
    <x v="7"/>
    <x v="3"/>
    <s v="OI, STIs &amp; other medicines in TB"/>
    <x v="50"/>
    <x v="158"/>
    <s v="0.4mg/ml 1ml ampoule 10"/>
    <n v="4.7"/>
    <s v="Pack"/>
    <m/>
  </r>
  <r>
    <s v="TB"/>
    <x v="7"/>
    <x v="3"/>
    <s v="OI, STIs &amp; other medicines in TB"/>
    <x v="50"/>
    <x v="159"/>
    <s v="100,000 IU 14 tablet"/>
    <n v="4.7"/>
    <s v="Pack"/>
    <m/>
  </r>
  <r>
    <s v="TB"/>
    <x v="7"/>
    <x v="3"/>
    <s v="OI, STIs &amp; other medicines in TB"/>
    <x v="50"/>
    <x v="159"/>
    <s v="100,000 IU/ml oral solution 30ml"/>
    <n v="4.7"/>
    <s v="Pack"/>
    <m/>
  </r>
  <r>
    <s v="TB"/>
    <x v="7"/>
    <x v="3"/>
    <s v="OI, STIs &amp; other medicines in TB"/>
    <x v="50"/>
    <x v="160"/>
    <s v="20mg 10 capsule 10 blister (100)"/>
    <n v="4.7"/>
    <s v="Pack"/>
    <m/>
  </r>
  <r>
    <s v="TB"/>
    <x v="7"/>
    <x v="3"/>
    <s v="OI, STIs &amp; other medicines in TB"/>
    <x v="50"/>
    <x v="161"/>
    <s v="20.5g/l - 100 sachets"/>
    <n v="4.7"/>
    <s v="Pack"/>
    <m/>
  </r>
  <r>
    <s v="TB"/>
    <x v="7"/>
    <x v="3"/>
    <s v="OI, STIs &amp; other medicines in TB"/>
    <x v="50"/>
    <x v="162"/>
    <s v="Other - Enter details in Comments"/>
    <n v="4.7"/>
    <s v="Pack"/>
    <m/>
  </r>
  <r>
    <s v="TB"/>
    <x v="7"/>
    <x v="3"/>
    <s v="OI, STIs &amp; other medicines in TB"/>
    <x v="50"/>
    <x v="163"/>
    <s v="Other - Enter details in Comments"/>
    <n v="4.5"/>
    <s v="Pack"/>
    <m/>
  </r>
  <r>
    <s v="TB"/>
    <x v="7"/>
    <x v="3"/>
    <s v="OI, STIs &amp; other medicines in TB"/>
    <x v="50"/>
    <x v="164"/>
    <s v="20mg 28 tablet"/>
    <n v="4.7"/>
    <s v="Pack"/>
    <m/>
  </r>
  <r>
    <s v="TB"/>
    <x v="7"/>
    <x v="3"/>
    <s v="OI, STIs &amp; other medicines in TB"/>
    <x v="50"/>
    <x v="165"/>
    <s v="120mg/5ml oral solution 60ml - 140 bottles"/>
    <n v="4.7"/>
    <s v="Pack"/>
    <m/>
  </r>
  <r>
    <s v="TB"/>
    <x v="7"/>
    <x v="3"/>
    <s v="OI, STIs &amp; other medicines in TB"/>
    <x v="50"/>
    <x v="165"/>
    <s v="500mg tablet 1000"/>
    <n v="4.7"/>
    <s v="Pack"/>
    <m/>
  </r>
  <r>
    <s v="TB"/>
    <x v="7"/>
    <x v="3"/>
    <s v="OI, STIs &amp; other medicines in TB"/>
    <x v="50"/>
    <x v="166"/>
    <s v="2mg/ml 20mg 1 vial"/>
    <n v="4.5"/>
    <s v="Pack"/>
    <m/>
  </r>
  <r>
    <s v="TB"/>
    <x v="7"/>
    <x v="3"/>
    <s v="OI, STIs &amp; other medicines in TB"/>
    <x v="50"/>
    <x v="166"/>
    <s v="2mg/ml 50mg 1 vial"/>
    <n v="4.5"/>
    <s v="Pack"/>
    <m/>
  </r>
  <r>
    <s v="TB"/>
    <x v="7"/>
    <x v="3"/>
    <s v="OI, STIs &amp; other medicines in TB"/>
    <x v="50"/>
    <x v="167"/>
    <s v=" 500mg tablet 500"/>
    <n v="4.7"/>
    <s v="Pack"/>
    <m/>
  </r>
  <r>
    <s v="TB"/>
    <x v="7"/>
    <x v="3"/>
    <s v="OI, STIs &amp; other medicines in TB"/>
    <x v="50"/>
    <x v="168"/>
    <s v=" 0.5% oral solution 3.5ml"/>
    <n v="4.7"/>
    <s v="Pack"/>
    <m/>
  </r>
  <r>
    <s v="TB"/>
    <x v="7"/>
    <x v="3"/>
    <s v="OI, STIs &amp; other medicines in TB"/>
    <x v="50"/>
    <x v="169"/>
    <s v="10% solution 10ml ampoule 10"/>
    <n v="4.7"/>
    <s v="Pack"/>
    <m/>
  </r>
  <r>
    <s v="TB"/>
    <x v="7"/>
    <x v="3"/>
    <s v="OI, STIs &amp; other medicines in TB"/>
    <x v="50"/>
    <x v="170"/>
    <s v="5mg tablet 100"/>
    <n v="4.7"/>
    <s v="Pack"/>
    <m/>
  </r>
  <r>
    <s v="TB"/>
    <x v="7"/>
    <x v="3"/>
    <s v="OI, STIs &amp; other medicines in TB"/>
    <x v="50"/>
    <x v="171"/>
    <s v="5mg tablet 100"/>
    <n v="4.7"/>
    <s v="Pack"/>
    <m/>
  </r>
  <r>
    <s v="TB"/>
    <x v="7"/>
    <x v="3"/>
    <s v="OI, STIs &amp; other medicines in TB"/>
    <x v="50"/>
    <x v="172"/>
    <s v="25mg tablet 100"/>
    <n v="4.7"/>
    <s v="Pack"/>
    <m/>
  </r>
  <r>
    <s v="TB"/>
    <x v="7"/>
    <x v="3"/>
    <s v="OI, STIs &amp; other medicines in TB"/>
    <x v="50"/>
    <x v="173"/>
    <s v=" 10% solution 200ml"/>
    <n v="4.7"/>
    <s v="Pack"/>
    <m/>
  </r>
  <r>
    <s v="TB"/>
    <x v="7"/>
    <x v="3"/>
    <s v="OI, STIs &amp; other medicines in TB"/>
    <x v="50"/>
    <x v="173"/>
    <s v=" 10% solution gynaecological 500ml"/>
    <n v="4.7"/>
    <s v="Pack"/>
    <m/>
  </r>
  <r>
    <s v="TB"/>
    <x v="7"/>
    <x v="3"/>
    <s v="OI, STIs &amp; other medicines in TB"/>
    <x v="50"/>
    <x v="174"/>
    <s v=" 25mg 30 tablet"/>
    <n v="4.7"/>
    <s v="Pack"/>
    <m/>
  </r>
  <r>
    <s v="TB"/>
    <x v="7"/>
    <x v="3"/>
    <s v="OI, STIs &amp; other medicines in TB"/>
    <x v="50"/>
    <x v="174"/>
    <s v=" 50mg 20 tablet"/>
    <n v="4.7"/>
    <s v="Pack"/>
    <m/>
  </r>
  <r>
    <s v="TB"/>
    <x v="7"/>
    <x v="3"/>
    <s v="OI, STIs &amp; other medicines in TB"/>
    <x v="50"/>
    <x v="175"/>
    <s v="150mg tablet 60"/>
    <n v="4.7"/>
    <s v="Pack"/>
    <m/>
  </r>
  <r>
    <s v="TB"/>
    <x v="7"/>
    <x v="3"/>
    <s v="OI, STIs &amp; other medicines in TB"/>
    <x v="50"/>
    <x v="176"/>
    <s v=" 200mg 42 tablet 1 blister"/>
    <n v="4.7"/>
    <s v="Pack"/>
    <m/>
  </r>
  <r>
    <s v="TB"/>
    <x v="7"/>
    <x v="3"/>
    <s v="OI, STIs &amp; other medicines in TB"/>
    <x v="50"/>
    <x v="177"/>
    <s v=" 4mg tablet 1000"/>
    <n v="4.7"/>
    <s v="Pack"/>
    <m/>
  </r>
  <r>
    <s v="TB"/>
    <x v="7"/>
    <x v="3"/>
    <s v="OI, STIs &amp; other medicines in TB"/>
    <x v="50"/>
    <x v="178"/>
    <s v=" 1.67g tablet 200"/>
    <n v="4.7"/>
    <s v="Pack"/>
    <m/>
  </r>
  <r>
    <s v="TB"/>
    <x v="7"/>
    <x v="3"/>
    <s v="OI, STIs &amp; other medicines in TB"/>
    <x v="50"/>
    <x v="179"/>
    <s v="400mg tablet 28"/>
    <n v="4.7"/>
    <s v="Pack"/>
    <m/>
  </r>
  <r>
    <s v="TB"/>
    <x v="7"/>
    <x v="3"/>
    <s v="OI, STIs &amp; other medicines in TB"/>
    <x v="50"/>
    <x v="180"/>
    <s v="400mg/90mg tablet 28"/>
    <n v="4.7"/>
    <s v="Pack"/>
    <m/>
  </r>
  <r>
    <s v="TB"/>
    <x v="7"/>
    <x v="3"/>
    <s v="OI, STIs &amp; other medicines in TB"/>
    <x v="50"/>
    <x v="181"/>
    <s v="400mg/100mg tablet 28"/>
    <n v="4.7"/>
    <s v="Pack"/>
    <m/>
  </r>
  <r>
    <s v="TB"/>
    <x v="7"/>
    <x v="3"/>
    <s v="OI, STIs &amp; other medicines in TB"/>
    <x v="50"/>
    <x v="182"/>
    <s v="400+60mg tablet co-blistered 28 blister"/>
    <n v="4.7"/>
    <s v="Pack"/>
    <m/>
  </r>
  <r>
    <s v="TB"/>
    <x v="7"/>
    <x v="3"/>
    <s v="OI, STIs &amp; other medicines in TB"/>
    <x v="50"/>
    <x v="183"/>
    <s v=" 500mg 56 tablet"/>
    <n v="4.7"/>
    <s v="Pack"/>
    <m/>
  </r>
  <r>
    <s v="TB"/>
    <x v="7"/>
    <x v="3"/>
    <s v="OI, STIs &amp; other medicines in TB"/>
    <x v="50"/>
    <x v="185"/>
    <s v="Other - Enter details in Comments"/>
    <n v="4.7"/>
    <s v="Pack"/>
    <m/>
  </r>
  <r>
    <s v="TB"/>
    <x v="7"/>
    <x v="3"/>
    <s v="OI, STIs &amp; other medicines in TB"/>
    <x v="50"/>
    <x v="186"/>
    <s v=" 102.5g - 120 sachets"/>
    <n v="4.7"/>
    <s v="Pack"/>
    <m/>
  </r>
  <r>
    <s v="TB"/>
    <x v="7"/>
    <x v="3"/>
    <s v="OI, STIs &amp; other medicines in TB"/>
    <x v="50"/>
    <x v="186"/>
    <s v=" 114g - 90 sachets"/>
    <n v="4.7"/>
    <s v="Pack"/>
    <m/>
  </r>
  <r>
    <s v="TB"/>
    <x v="7"/>
    <x v="3"/>
    <s v="OI, STIs &amp; other medicines in TB"/>
    <x v="50"/>
    <x v="187"/>
    <s v="450mg tablet 60"/>
    <n v="4.5"/>
    <s v="Pack"/>
    <m/>
  </r>
  <r>
    <s v="TB"/>
    <x v="7"/>
    <x v="3"/>
    <s v="OI, STIs &amp; other medicines in TB"/>
    <x v="50"/>
    <x v="188"/>
    <s v=" 1mg/ml injection - 1 vial"/>
    <n v="4.7"/>
    <s v="Pack"/>
    <m/>
  </r>
  <r>
    <s v="TB"/>
    <x v="7"/>
    <x v="3"/>
    <s v="OI, STIs &amp; other medicines in TB"/>
    <x v="50"/>
    <x v="189"/>
    <s v=" 25mg tablet 100"/>
    <n v="4.7"/>
    <s v="Pack"/>
    <m/>
  </r>
  <r>
    <s v="TB"/>
    <x v="7"/>
    <x v="3"/>
    <s v="OI, STIs &amp; other medicines in TB"/>
    <x v="50"/>
    <x v="189"/>
    <s v="100mg tablet 250"/>
    <n v="4.7"/>
    <s v="Pack"/>
    <m/>
  </r>
  <r>
    <s v="TB"/>
    <x v="7"/>
    <x v="3"/>
    <s v="OI, STIs &amp; other medicines in TB"/>
    <x v="50"/>
    <x v="189"/>
    <s v="50 mg tablet 50"/>
    <n v="4.7"/>
    <s v="Pack"/>
    <m/>
  </r>
  <r>
    <s v="TB"/>
    <x v="7"/>
    <x v="3"/>
    <s v="OI, STIs &amp; other medicines in TB"/>
    <x v="50"/>
    <x v="190"/>
    <s v="10ml - 20 ampoules"/>
    <n v="4.7"/>
    <s v="Pack"/>
    <m/>
  </r>
  <r>
    <s v="TB"/>
    <x v="7"/>
    <x v="3"/>
    <s v="OI, STIs &amp; other medicines in TB"/>
    <x v="50"/>
    <x v="190"/>
    <s v="5ml - 1 ampoule"/>
    <n v="4.7"/>
    <s v="Pack"/>
    <m/>
  </r>
  <r>
    <s v="TB"/>
    <x v="7"/>
    <x v="3"/>
    <s v="OI, STIs &amp; other medicines in TB"/>
    <x v="50"/>
    <x v="190"/>
    <s v="5ml - 100 ampoule"/>
    <n v="4.7"/>
    <s v="Pack"/>
    <m/>
  </r>
  <r>
    <s v="TB"/>
    <x v="7"/>
    <x v="3"/>
    <s v="OI, STIs &amp; other medicines in TB"/>
    <x v="50"/>
    <x v="190"/>
    <s v="5ml - 20 vial"/>
    <n v="4.7"/>
    <s v="Pack"/>
    <m/>
  </r>
  <r>
    <s v="TB"/>
    <x v="7"/>
    <x v="3"/>
    <s v="OI, STIs &amp; other medicines in TB"/>
    <x v="50"/>
    <x v="190"/>
    <s v="5ml - 50 vial"/>
    <n v="4.7"/>
    <s v="Pack"/>
    <m/>
  </r>
  <r>
    <s v="TB"/>
    <x v="7"/>
    <x v="3"/>
    <s v="OI, STIs &amp; other medicines in TB"/>
    <x v="50"/>
    <x v="191"/>
    <s v="20mg tablet dispersible 100"/>
    <n v="4.7"/>
    <s v="Pack"/>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2">
  <r>
    <n v="151"/>
    <x v="0"/>
    <n v="1"/>
    <s v="USD"/>
    <n v="1"/>
    <x v="0"/>
    <s v="0013600000xoEGkAAM"/>
    <x v="0"/>
    <s v="a1E360000012HAgEAM"/>
    <x v="0"/>
  </r>
  <r>
    <n v="151"/>
    <x v="0"/>
    <n v="1"/>
    <s v="USD"/>
    <n v="1"/>
    <x v="0"/>
    <s v="0013600000xoEKGAA2"/>
    <x v="1"/>
    <s v="a1E360000012HAZEA2"/>
    <x v="1"/>
  </r>
  <r>
    <n v="151"/>
    <x v="0"/>
    <n v="1"/>
    <s v="USD"/>
    <n v="3"/>
    <x v="1"/>
    <s v="0013600000xoEKGAA2"/>
    <x v="1"/>
    <s v="a1E360000012HAaEAM"/>
    <x v="2"/>
  </r>
  <r>
    <n v="151"/>
    <x v="0"/>
    <n v="1"/>
    <s v="USD"/>
    <n v="2"/>
    <x v="2"/>
    <s v="0013600000xoEGkAAM"/>
    <x v="0"/>
    <s v="a1E360000012HAcEAM"/>
    <x v="3"/>
  </r>
  <r>
    <n v="151"/>
    <x v="0"/>
    <n v="1"/>
    <s v="USD"/>
    <n v="2"/>
    <x v="2"/>
    <s v="0013600000xoEKGAA2"/>
    <x v="1"/>
    <s v="a1E360000012HAdEAM"/>
    <x v="4"/>
  </r>
  <r>
    <n v="198"/>
    <x v="1"/>
    <n v="1"/>
    <s v="USD"/>
    <n v="4"/>
    <x v="3"/>
    <s v="0013600000xoEDnAAM"/>
    <x v="2"/>
    <s v="a1E36000001jMi3EAE"/>
    <x v="5"/>
  </r>
  <r>
    <n v="52"/>
    <x v="2"/>
    <n v="1"/>
    <s v="USD"/>
    <n v="1"/>
    <x v="0"/>
    <s v="00136000011OffxAAC"/>
    <x v="3"/>
    <s v="a1E36000001jMi5EAE"/>
    <x v="6"/>
  </r>
  <r>
    <m/>
    <x v="3"/>
    <m/>
    <m/>
    <m/>
    <x v="4"/>
    <m/>
    <x v="4"/>
    <m/>
    <x v="7"/>
  </r>
  <r>
    <n v="43"/>
    <x v="4"/>
    <n v="1"/>
    <s v="USD"/>
    <n v="1"/>
    <x v="0"/>
    <s v="0013600000xoEItAAM"/>
    <x v="1"/>
    <s v="a1E36000001hEfeEAE"/>
    <x v="8"/>
  </r>
  <r>
    <n v="43"/>
    <x v="4"/>
    <n v="1"/>
    <s v="USD"/>
    <n v="3"/>
    <x v="1"/>
    <s v="0013600000xoEFmAAM"/>
    <x v="5"/>
    <s v="a1E360000012HdZEAU"/>
    <x v="9"/>
  </r>
  <r>
    <n v="43"/>
    <x v="4"/>
    <n v="1"/>
    <s v="USD"/>
    <n v="3"/>
    <x v="1"/>
    <s v="0013600000xoEKFAA2"/>
    <x v="6"/>
    <s v="a1E36000001jMiFEAU"/>
    <x v="10"/>
  </r>
  <r>
    <n v="43"/>
    <x v="4"/>
    <n v="1"/>
    <s v="USD"/>
    <n v="5"/>
    <x v="3"/>
    <s v="0013600000xoEItAAM"/>
    <x v="1"/>
    <s v="a1E3p000004rFZuEAM"/>
    <x v="11"/>
  </r>
  <r>
    <n v="43"/>
    <x v="4"/>
    <n v="1"/>
    <s v="USD"/>
    <n v="2"/>
    <x v="2"/>
    <s v="0013600000xoEFmAAM"/>
    <x v="5"/>
    <s v="a1E360000012HdaEAE"/>
    <x v="12"/>
  </r>
  <r>
    <n v="43"/>
    <x v="4"/>
    <n v="1"/>
    <s v="USD"/>
    <n v="2"/>
    <x v="2"/>
    <s v="0013600000xoEFmAAM"/>
    <x v="5"/>
    <s v="a1E36000001jMiGEAU"/>
    <x v="13"/>
  </r>
  <r>
    <m/>
    <x v="5"/>
    <m/>
    <m/>
    <m/>
    <x v="4"/>
    <m/>
    <x v="4"/>
    <m/>
    <x v="7"/>
  </r>
  <r>
    <m/>
    <x v="6"/>
    <m/>
    <m/>
    <m/>
    <x v="4"/>
    <m/>
    <x v="4"/>
    <m/>
    <x v="7"/>
  </r>
  <r>
    <n v="160"/>
    <x v="7"/>
    <n v="1"/>
    <s v="USD"/>
    <n v="1"/>
    <x v="0"/>
    <s v="0013600000xoEHJAA2"/>
    <x v="7"/>
    <s v="a1E360000012HhzEAE"/>
    <x v="14"/>
  </r>
  <r>
    <n v="160"/>
    <x v="7"/>
    <n v="1"/>
    <s v="USD"/>
    <n v="4"/>
    <x v="3"/>
    <s v="0013600000xoEHJAA2"/>
    <x v="7"/>
    <s v="a1E360000064ikPEAQ"/>
    <x v="15"/>
  </r>
  <r>
    <m/>
    <x v="8"/>
    <m/>
    <m/>
    <m/>
    <x v="4"/>
    <m/>
    <x v="4"/>
    <m/>
    <x v="7"/>
  </r>
  <r>
    <m/>
    <x v="9"/>
    <m/>
    <m/>
    <m/>
    <x v="4"/>
    <m/>
    <x v="4"/>
    <m/>
    <x v="7"/>
  </r>
  <r>
    <m/>
    <x v="10"/>
    <m/>
    <m/>
    <m/>
    <x v="4"/>
    <m/>
    <x v="4"/>
    <m/>
    <x v="7"/>
  </r>
  <r>
    <n v="161"/>
    <x v="11"/>
    <n v="1"/>
    <s v="USD"/>
    <n v="1"/>
    <x v="0"/>
    <s v="0013600000xoEHXAA2"/>
    <x v="8"/>
    <s v="a1E360000012Hi0EAE"/>
    <x v="16"/>
  </r>
  <r>
    <n v="161"/>
    <x v="11"/>
    <n v="1"/>
    <s v="USD"/>
    <n v="4"/>
    <x v="3"/>
    <s v="0013600000xoEHXAA2"/>
    <x v="8"/>
    <s v="a1E3p00000B9bHUEAZ"/>
    <x v="17"/>
  </r>
  <r>
    <n v="161"/>
    <x v="11"/>
    <n v="1"/>
    <s v="USD"/>
    <n v="2"/>
    <x v="2"/>
    <s v="0013600000xoEHXAA2"/>
    <x v="8"/>
    <s v="a1E360000012Hi1EAE"/>
    <x v="18"/>
  </r>
  <r>
    <m/>
    <x v="12"/>
    <m/>
    <m/>
    <m/>
    <x v="4"/>
    <m/>
    <x v="4"/>
    <m/>
    <x v="7"/>
  </r>
  <r>
    <m/>
    <x v="13"/>
    <m/>
    <m/>
    <m/>
    <x v="4"/>
    <m/>
    <x v="4"/>
    <m/>
    <x v="7"/>
  </r>
  <r>
    <n v="152"/>
    <x v="14"/>
    <n v="1"/>
    <s v="USD"/>
    <n v="1"/>
    <x v="0"/>
    <s v="0013600000xoEGSAA2"/>
    <x v="9"/>
    <s v="a1E360000012HAmEAM"/>
    <x v="19"/>
  </r>
  <r>
    <n v="152"/>
    <x v="14"/>
    <n v="1"/>
    <s v="USD"/>
    <n v="1"/>
    <x v="0"/>
    <s v="0013600000xoEHvAAM"/>
    <x v="10"/>
    <s v="a1E360000012HAlEAM"/>
    <x v="20"/>
  </r>
  <r>
    <n v="152"/>
    <x v="14"/>
    <n v="1"/>
    <s v="USD"/>
    <n v="1"/>
    <x v="0"/>
    <s v="0013600000xoEKAAA2"/>
    <x v="11"/>
    <s v="a1E360000012HAnEAM"/>
    <x v="21"/>
  </r>
  <r>
    <n v="152"/>
    <x v="14"/>
    <n v="1"/>
    <s v="USD"/>
    <n v="3"/>
    <x v="1"/>
    <s v="0013600000xoEFdAAM"/>
    <x v="12"/>
    <s v="a1E360000012HAhEAM"/>
    <x v="22"/>
  </r>
  <r>
    <n v="152"/>
    <x v="14"/>
    <n v="1"/>
    <s v="USD"/>
    <n v="3"/>
    <x v="1"/>
    <s v="0013600000xoEGSAA2"/>
    <x v="9"/>
    <s v="a1E360000012HAiEAM"/>
    <x v="23"/>
  </r>
  <r>
    <n v="152"/>
    <x v="14"/>
    <n v="1"/>
    <s v="USD"/>
    <n v="2"/>
    <x v="2"/>
    <s v="0013600000xoEFdAAM"/>
    <x v="12"/>
    <s v="a1E360000012HAkEAM"/>
    <x v="24"/>
  </r>
  <r>
    <n v="152"/>
    <x v="14"/>
    <n v="1"/>
    <s v="USD"/>
    <n v="2"/>
    <x v="2"/>
    <s v="0013600000xoEGSAA2"/>
    <x v="9"/>
    <s v="a1E360000012HAjEAM"/>
    <x v="25"/>
  </r>
  <r>
    <m/>
    <x v="15"/>
    <m/>
    <m/>
    <m/>
    <x v="4"/>
    <m/>
    <x v="4"/>
    <m/>
    <x v="7"/>
  </r>
  <r>
    <n v="178"/>
    <x v="16"/>
    <n v="1"/>
    <s v="USD"/>
    <n v="4"/>
    <x v="3"/>
    <s v="0013600000xoEKjAAM"/>
    <x v="13"/>
    <s v="a1E360000064os5EAA"/>
    <x v="26"/>
  </r>
  <r>
    <n v="178"/>
    <x v="16"/>
    <n v="1"/>
    <s v="USD"/>
    <n v="2"/>
    <x v="2"/>
    <s v="0013600000xoEKjAAM"/>
    <x v="13"/>
    <s v="a1E360000012HiJEAU"/>
    <x v="27"/>
  </r>
  <r>
    <m/>
    <x v="17"/>
    <m/>
    <m/>
    <m/>
    <x v="4"/>
    <m/>
    <x v="4"/>
    <m/>
    <x v="7"/>
  </r>
  <r>
    <n v="80"/>
    <x v="18"/>
    <n v="1"/>
    <s v="USD"/>
    <n v="4"/>
    <x v="3"/>
    <s v="0013600000xoEJ5AAM"/>
    <x v="1"/>
    <s v="a1E360000012HfyEAE"/>
    <x v="28"/>
  </r>
  <r>
    <n v="64"/>
    <x v="19"/>
    <n v="2"/>
    <s v="EUR"/>
    <n v="1"/>
    <x v="0"/>
    <s v="0013600000xoEHAAA2"/>
    <x v="14"/>
    <s v="a1E360000012HepEAE"/>
    <x v="29"/>
  </r>
  <r>
    <n v="64"/>
    <x v="19"/>
    <n v="2"/>
    <s v="EUR"/>
    <n v="1"/>
    <x v="0"/>
    <s v="0013600000xoEGoAAM"/>
    <x v="15"/>
    <s v="a1E360000012HelEAE"/>
    <x v="30"/>
  </r>
  <r>
    <n v="64"/>
    <x v="19"/>
    <n v="2"/>
    <s v="EUR"/>
    <n v="3"/>
    <x v="1"/>
    <s v="0013600000xoEKkAAM"/>
    <x v="16"/>
    <s v="a1E360000012HesEAE"/>
    <x v="31"/>
  </r>
  <r>
    <n v="64"/>
    <x v="19"/>
    <n v="2"/>
    <s v="EUR"/>
    <n v="6"/>
    <x v="3"/>
    <s v="0013600001xf7DgAAI"/>
    <x v="17"/>
    <s v="a1E1R00000JjSfjUAF"/>
    <x v="32"/>
  </r>
  <r>
    <n v="64"/>
    <x v="19"/>
    <n v="2"/>
    <s v="EUR"/>
    <n v="6"/>
    <x v="3"/>
    <s v="0013600000xoEJNAA2"/>
    <x v="18"/>
    <s v="a1E360000012HerEAE"/>
    <x v="33"/>
  </r>
  <r>
    <n v="64"/>
    <x v="19"/>
    <n v="2"/>
    <s v="EUR"/>
    <n v="2"/>
    <x v="2"/>
    <s v="0013600000xoEF9AAM"/>
    <x v="19"/>
    <s v="a1E360000012HeoEAE"/>
    <x v="34"/>
  </r>
  <r>
    <n v="153"/>
    <x v="20"/>
    <n v="1"/>
    <s v="USD"/>
    <n v="1"/>
    <x v="0"/>
    <s v="0013600000xoEHnAAM"/>
    <x v="20"/>
    <s v="a1E360000012HhREAU"/>
    <x v="35"/>
  </r>
  <r>
    <n v="153"/>
    <x v="20"/>
    <n v="1"/>
    <s v="USD"/>
    <n v="3"/>
    <x v="1"/>
    <s v="0013600000xoEHnAAM"/>
    <x v="20"/>
    <s v="a1E360000012HhSEAU"/>
    <x v="36"/>
  </r>
  <r>
    <n v="153"/>
    <x v="20"/>
    <n v="1"/>
    <s v="USD"/>
    <n v="2"/>
    <x v="2"/>
    <s v="0013600000xoEHnAAM"/>
    <x v="20"/>
    <s v="a1E360000012HhTEAU"/>
    <x v="37"/>
  </r>
  <r>
    <n v="93"/>
    <x v="21"/>
    <n v="1"/>
    <s v="USD"/>
    <n v="1"/>
    <x v="0"/>
    <s v="0013600000xoEGvAAM"/>
    <x v="21"/>
    <s v="a1E36000001jMj5EAE"/>
    <x v="38"/>
  </r>
  <r>
    <n v="93"/>
    <x v="21"/>
    <n v="1"/>
    <s v="USD"/>
    <n v="3"/>
    <x v="1"/>
    <s v="0013600000xoEImAAM"/>
    <x v="1"/>
    <s v="a1E360000012HgGEAU"/>
    <x v="39"/>
  </r>
  <r>
    <n v="93"/>
    <x v="21"/>
    <n v="1"/>
    <s v="USD"/>
    <n v="2"/>
    <x v="2"/>
    <s v="0013600000xoEImAAM"/>
    <x v="1"/>
    <s v="a1E36000001jMj6EAE"/>
    <x v="40"/>
  </r>
  <r>
    <m/>
    <x v="22"/>
    <m/>
    <m/>
    <m/>
    <x v="4"/>
    <m/>
    <x v="4"/>
    <m/>
    <x v="7"/>
  </r>
  <r>
    <n v="59"/>
    <x v="23"/>
    <n v="1"/>
    <s v="USD"/>
    <n v="3"/>
    <x v="1"/>
    <s v="0013600000xoEFnAAM"/>
    <x v="22"/>
    <s v="a1E360000012HeMEAU"/>
    <x v="41"/>
  </r>
  <r>
    <n v="59"/>
    <x v="23"/>
    <n v="1"/>
    <s v="USD"/>
    <n v="4"/>
    <x v="3"/>
    <s v="0013600000xoEKgAAM"/>
    <x v="23"/>
    <s v="a1E360000012HeLEAU"/>
    <x v="42"/>
  </r>
  <r>
    <n v="59"/>
    <x v="23"/>
    <n v="1"/>
    <s v="USD"/>
    <n v="4"/>
    <x v="3"/>
    <s v="0013600000xoEFnAAM"/>
    <x v="22"/>
    <s v="a1E360000012HeKEAU"/>
    <x v="43"/>
  </r>
  <r>
    <m/>
    <x v="24"/>
    <m/>
    <m/>
    <m/>
    <x v="4"/>
    <m/>
    <x v="4"/>
    <m/>
    <x v="7"/>
  </r>
  <r>
    <m/>
    <x v="25"/>
    <m/>
    <m/>
    <m/>
    <x v="4"/>
    <m/>
    <x v="4"/>
    <m/>
    <x v="7"/>
  </r>
  <r>
    <m/>
    <x v="26"/>
    <m/>
    <m/>
    <m/>
    <x v="4"/>
    <m/>
    <x v="4"/>
    <m/>
    <x v="7"/>
  </r>
  <r>
    <n v="65"/>
    <x v="27"/>
    <n v="2"/>
    <s v="EUR"/>
    <n v="1"/>
    <x v="0"/>
    <s v="0013600000xoEGhAAM"/>
    <x v="24"/>
    <s v="a1E360000012HexEAE"/>
    <x v="44"/>
  </r>
  <r>
    <n v="65"/>
    <x v="27"/>
    <n v="2"/>
    <s v="EUR"/>
    <n v="3"/>
    <x v="1"/>
    <s v="0013600000xoEFFAA2"/>
    <x v="25"/>
    <s v="a1E360000012HezEAE"/>
    <x v="45"/>
  </r>
  <r>
    <n v="65"/>
    <x v="27"/>
    <n v="2"/>
    <s v="EUR"/>
    <n v="3"/>
    <x v="1"/>
    <s v="0013600000xoEFFAA2"/>
    <x v="25"/>
    <s v="a1E36000001jMjJEAU"/>
    <x v="46"/>
  </r>
  <r>
    <n v="65"/>
    <x v="27"/>
    <n v="2"/>
    <s v="EUR"/>
    <n v="4"/>
    <x v="3"/>
    <s v="0013600000xoEGcAAM"/>
    <x v="26"/>
    <s v="a1E360000012HevEAE"/>
    <x v="47"/>
  </r>
  <r>
    <n v="65"/>
    <x v="27"/>
    <n v="2"/>
    <s v="EUR"/>
    <n v="2"/>
    <x v="2"/>
    <s v="0013600000xoEFFAA2"/>
    <x v="25"/>
    <s v="a1E360000012HeuEAE"/>
    <x v="48"/>
  </r>
  <r>
    <n v="24"/>
    <x v="28"/>
    <n v="1"/>
    <s v="USD"/>
    <n v="1"/>
    <x v="0"/>
    <s v="0013600000xoEKmAAM"/>
    <x v="27"/>
    <s v="a1E360000012HcnEAE"/>
    <x v="49"/>
  </r>
  <r>
    <n v="24"/>
    <x v="28"/>
    <n v="1"/>
    <s v="USD"/>
    <n v="1"/>
    <x v="0"/>
    <s v="0013600000xoEIWAA2"/>
    <x v="28"/>
    <s v="a1E360000012HcfEAE"/>
    <x v="50"/>
  </r>
  <r>
    <n v="24"/>
    <x v="28"/>
    <n v="1"/>
    <s v="USD"/>
    <n v="1"/>
    <x v="0"/>
    <s v="0013600000xoEIWAA2"/>
    <x v="28"/>
    <s v="a1E360000012HciEAE"/>
    <x v="51"/>
  </r>
  <r>
    <n v="24"/>
    <x v="28"/>
    <n v="1"/>
    <s v="USD"/>
    <n v="3"/>
    <x v="1"/>
    <s v="0013600000xoEKoAAM"/>
    <x v="27"/>
    <s v="a1E360000012HclEAE"/>
    <x v="52"/>
  </r>
  <r>
    <n v="24"/>
    <x v="28"/>
    <n v="1"/>
    <s v="USD"/>
    <n v="3"/>
    <x v="1"/>
    <s v="0013600000xoEIWAA2"/>
    <x v="28"/>
    <s v="a1E360000012HcjEAE"/>
    <x v="53"/>
  </r>
  <r>
    <n v="24"/>
    <x v="28"/>
    <n v="1"/>
    <s v="USD"/>
    <n v="3"/>
    <x v="1"/>
    <s v="0013600001JFguUAAT"/>
    <x v="1"/>
    <s v="a1E36000004IHDgEAO"/>
    <x v="54"/>
  </r>
  <r>
    <n v="24"/>
    <x v="28"/>
    <n v="1"/>
    <s v="USD"/>
    <n v="4"/>
    <x v="3"/>
    <s v="0013600001JFguUAAT"/>
    <x v="1"/>
    <s v="a1E36000004IHFDEA4"/>
    <x v="55"/>
  </r>
  <r>
    <n v="24"/>
    <x v="28"/>
    <n v="1"/>
    <s v="USD"/>
    <n v="2"/>
    <x v="2"/>
    <s v="0013600000xoEKnAAM"/>
    <x v="27"/>
    <s v="a1E360000012HcoEAE"/>
    <x v="56"/>
  </r>
  <r>
    <n v="24"/>
    <x v="28"/>
    <n v="1"/>
    <s v="USD"/>
    <n v="2"/>
    <x v="2"/>
    <s v="0013600000xoEHzAAM"/>
    <x v="29"/>
    <s v="a1E360000012HceEAE"/>
    <x v="57"/>
  </r>
  <r>
    <n v="66"/>
    <x v="29"/>
    <n v="2"/>
    <s v="EUR"/>
    <n v="5"/>
    <x v="3"/>
    <s v="0013600000xoEEgAAM"/>
    <x v="30"/>
    <s v="a1E36000002vm73EAA"/>
    <x v="58"/>
  </r>
  <r>
    <n v="141"/>
    <x v="30"/>
    <n v="1"/>
    <s v="USD"/>
    <n v="4"/>
    <x v="3"/>
    <s v="0013600001ElqOHAAZ"/>
    <x v="31"/>
    <s v="a1E36000002wGNSEA2"/>
    <x v="59"/>
  </r>
  <r>
    <n v="141"/>
    <x v="30"/>
    <n v="1"/>
    <s v="USD"/>
    <n v="6"/>
    <x v="3"/>
    <s v="0013600001ElqOHAAZ"/>
    <x v="31"/>
    <s v="a1E3p00000B9hgqEAB"/>
    <x v="60"/>
  </r>
  <r>
    <n v="44"/>
    <x v="31"/>
    <n v="2"/>
    <s v="EUR"/>
    <n v="1"/>
    <x v="0"/>
    <s v="0013600000xoEGbAAM"/>
    <x v="32"/>
    <s v="a1E360000012HdfEAE"/>
    <x v="61"/>
  </r>
  <r>
    <n v="44"/>
    <x v="31"/>
    <n v="2"/>
    <s v="EUR"/>
    <n v="1"/>
    <x v="0"/>
    <s v="0013600000xoEGyAAM"/>
    <x v="33"/>
    <s v="a1E360000012HdgEAE"/>
    <x v="62"/>
  </r>
  <r>
    <n v="44"/>
    <x v="31"/>
    <n v="2"/>
    <s v="EUR"/>
    <n v="1"/>
    <x v="0"/>
    <s v="0013600000xoEGyAAM"/>
    <x v="33"/>
    <s v="a1E36000001jMjmEAE"/>
    <x v="63"/>
  </r>
  <r>
    <n v="44"/>
    <x v="31"/>
    <n v="2"/>
    <s v="EUR"/>
    <n v="3"/>
    <x v="1"/>
    <s v="0013600000xoEGzAAM"/>
    <x v="33"/>
    <s v="a1E360000012HdeEAE"/>
    <x v="64"/>
  </r>
  <r>
    <n v="44"/>
    <x v="31"/>
    <n v="2"/>
    <s v="EUR"/>
    <n v="4"/>
    <x v="3"/>
    <s v="0013600000xoEGbAAM"/>
    <x v="32"/>
    <s v="a1E3p00000B9ndcEAB"/>
    <x v="65"/>
  </r>
  <r>
    <n v="44"/>
    <x v="31"/>
    <n v="2"/>
    <s v="EUR"/>
    <n v="2"/>
    <x v="2"/>
    <s v="0013600000xoEH0AAM"/>
    <x v="33"/>
    <s v="a1E360000012HdhEAE"/>
    <x v="66"/>
  </r>
  <r>
    <m/>
    <x v="32"/>
    <m/>
    <m/>
    <m/>
    <x v="4"/>
    <m/>
    <x v="4"/>
    <m/>
    <x v="7"/>
  </r>
  <r>
    <n v="45"/>
    <x v="33"/>
    <n v="1"/>
    <s v="USD"/>
    <n v="1"/>
    <x v="0"/>
    <s v="0013600001W9HLbAAN"/>
    <x v="34"/>
    <s v="a1E36000001jMk0EAE"/>
    <x v="67"/>
  </r>
  <r>
    <n v="45"/>
    <x v="33"/>
    <n v="2"/>
    <s v="EUR"/>
    <n v="3"/>
    <x v="1"/>
    <s v="0013600001NZNvvAAH"/>
    <x v="35"/>
    <s v="a1E36000004ITGkEAO"/>
    <x v="68"/>
  </r>
  <r>
    <n v="45"/>
    <x v="33"/>
    <n v="2"/>
    <s v="EUR"/>
    <n v="4"/>
    <x v="3"/>
    <s v="0013600000xoEHDAA2"/>
    <x v="36"/>
    <s v="a1E36000002wRptEAE"/>
    <x v="69"/>
  </r>
  <r>
    <n v="45"/>
    <x v="33"/>
    <n v="2"/>
    <s v="EUR"/>
    <n v="2"/>
    <x v="2"/>
    <s v="0013600000xoEFPAA2"/>
    <x v="37"/>
    <s v="a1E360000012HdlEAE"/>
    <x v="70"/>
  </r>
  <r>
    <n v="46"/>
    <x v="34"/>
    <n v="2"/>
    <s v="EUR"/>
    <n v="1"/>
    <x v="0"/>
    <s v="GIS_625"/>
    <x v="38"/>
    <s v="a1E36000001jMk7EAE"/>
    <x v="71"/>
  </r>
  <r>
    <n v="46"/>
    <x v="34"/>
    <n v="2"/>
    <s v="EUR"/>
    <n v="1"/>
    <x v="0"/>
    <s v="0013600000xoEHgAAM"/>
    <x v="39"/>
    <s v="a1E360000012HdoEAE"/>
    <x v="72"/>
  </r>
  <r>
    <n v="46"/>
    <x v="34"/>
    <n v="2"/>
    <s v="EUR"/>
    <n v="1"/>
    <x v="0"/>
    <s v="0013600000xoEHgAAM"/>
    <x v="39"/>
    <s v="a1E360000012HdqEAE"/>
    <x v="73"/>
  </r>
  <r>
    <n v="46"/>
    <x v="34"/>
    <n v="2"/>
    <s v="EUR"/>
    <n v="1"/>
    <x v="0"/>
    <s v="0011R000022Xlq0QAC"/>
    <x v="40"/>
    <s v="a1E1R00000Jh4iHUAR"/>
    <x v="74"/>
  </r>
  <r>
    <n v="46"/>
    <x v="34"/>
    <n v="2"/>
    <s v="EUR"/>
    <n v="1"/>
    <x v="0"/>
    <s v="GFS_Vendor_26364"/>
    <x v="41"/>
    <s v="a1E36000001jMk8EAE"/>
    <x v="75"/>
  </r>
  <r>
    <n v="46"/>
    <x v="34"/>
    <n v="2"/>
    <s v="EUR"/>
    <n v="3"/>
    <x v="1"/>
    <s v="0013600000xoEHgAAM"/>
    <x v="39"/>
    <s v="a1E36000001jMk6EAE"/>
    <x v="76"/>
  </r>
  <r>
    <n v="46"/>
    <x v="34"/>
    <n v="2"/>
    <s v="EUR"/>
    <n v="3"/>
    <x v="1"/>
    <s v="0013600000xoEJ9AAM"/>
    <x v="1"/>
    <s v="a1E360000012HdnEAE"/>
    <x v="77"/>
  </r>
  <r>
    <n v="46"/>
    <x v="34"/>
    <n v="2"/>
    <s v="EUR"/>
    <n v="2"/>
    <x v="2"/>
    <s v="0013600000xoEHgAAM"/>
    <x v="39"/>
    <s v="a1E360000012HdpEAE"/>
    <x v="78"/>
  </r>
  <r>
    <n v="46"/>
    <x v="34"/>
    <n v="2"/>
    <s v="EUR"/>
    <n v="2"/>
    <x v="2"/>
    <s v="0013600000xoEHgAAM"/>
    <x v="39"/>
    <s v="a1E360000012HdrEAE"/>
    <x v="79"/>
  </r>
  <r>
    <n v="46"/>
    <x v="34"/>
    <n v="2"/>
    <s v="EUR"/>
    <n v="2"/>
    <x v="2"/>
    <s v="0011R000022Xlq0QAC"/>
    <x v="40"/>
    <s v="a1E1R00000Jh4TvUAJ"/>
    <x v="80"/>
  </r>
  <r>
    <m/>
    <x v="35"/>
    <m/>
    <m/>
    <m/>
    <x v="4"/>
    <m/>
    <x v="4"/>
    <m/>
    <x v="7"/>
  </r>
  <r>
    <m/>
    <x v="36"/>
    <m/>
    <m/>
    <m/>
    <x v="4"/>
    <m/>
    <x v="4"/>
    <m/>
    <x v="7"/>
  </r>
  <r>
    <n v="96"/>
    <x v="37"/>
    <n v="1"/>
    <s v="USD"/>
    <n v="1"/>
    <x v="0"/>
    <s v="0013600000xoEFHAA2"/>
    <x v="42"/>
    <s v="a1E360000012HgNEAU"/>
    <x v="81"/>
  </r>
  <r>
    <n v="25"/>
    <x v="38"/>
    <n v="2"/>
    <s v="EUR"/>
    <n v="1"/>
    <x v="0"/>
    <s v="0013600000xoEGZAA2"/>
    <x v="43"/>
    <s v="a1E360000012HcqEAE"/>
    <x v="82"/>
  </r>
  <r>
    <n v="25"/>
    <x v="38"/>
    <n v="2"/>
    <s v="EUR"/>
    <n v="1"/>
    <x v="0"/>
    <s v="0013600000xoEGZAA2"/>
    <x v="43"/>
    <s v="a1E360000012HctEAE"/>
    <x v="83"/>
  </r>
  <r>
    <n v="25"/>
    <x v="38"/>
    <n v="2"/>
    <s v="EUR"/>
    <n v="3"/>
    <x v="1"/>
    <s v="0013600000xoEFWAA2"/>
    <x v="44"/>
    <s v="a1E360000012HcsEAE"/>
    <x v="84"/>
  </r>
  <r>
    <n v="25"/>
    <x v="38"/>
    <n v="2"/>
    <s v="EUR"/>
    <n v="3"/>
    <x v="1"/>
    <s v="0013600000xoEKrAAM"/>
    <x v="43"/>
    <s v="a1E360000012HcpEAE"/>
    <x v="85"/>
  </r>
  <r>
    <n v="25"/>
    <x v="38"/>
    <n v="2"/>
    <s v="EUR"/>
    <n v="2"/>
    <x v="2"/>
    <s v="0013600000xoEFWAA2"/>
    <x v="44"/>
    <s v="a1E360000012HcrEAE"/>
    <x v="86"/>
  </r>
  <r>
    <n v="25"/>
    <x v="38"/>
    <n v="2"/>
    <s v="EUR"/>
    <n v="2"/>
    <x v="2"/>
    <s v="0013600001u3a7BAAQ"/>
    <x v="45"/>
    <s v="a1E3600000GB1fDEAT"/>
    <x v="87"/>
  </r>
  <r>
    <n v="47"/>
    <x v="39"/>
    <n v="2"/>
    <s v="EUR"/>
    <n v="1"/>
    <x v="0"/>
    <s v="0013600000xoEHDAA2"/>
    <x v="36"/>
    <s v="a1E360000012HdtEAE"/>
    <x v="88"/>
  </r>
  <r>
    <n v="47"/>
    <x v="39"/>
    <n v="2"/>
    <s v="EUR"/>
    <n v="3"/>
    <x v="1"/>
    <s v="0013600001WCJorAAH"/>
    <x v="46"/>
    <s v="a1E36000004J5PuEAK"/>
    <x v="89"/>
  </r>
  <r>
    <n v="47"/>
    <x v="39"/>
    <n v="2"/>
    <s v="EUR"/>
    <n v="4"/>
    <x v="3"/>
    <s v="0013600000xoEHDAA2"/>
    <x v="36"/>
    <s v="a1E36000002wRs9EAE"/>
    <x v="90"/>
  </r>
  <r>
    <n v="47"/>
    <x v="39"/>
    <n v="2"/>
    <s v="EUR"/>
    <n v="2"/>
    <x v="2"/>
    <s v="0013600000xoEFMAA2"/>
    <x v="47"/>
    <s v="a1E360000012HduEAE"/>
    <x v="91"/>
  </r>
  <r>
    <n v="48"/>
    <x v="40"/>
    <n v="1"/>
    <s v="USD"/>
    <n v="1"/>
    <x v="0"/>
    <s v="0013600000xoEKRAA2"/>
    <x v="48"/>
    <s v="a1E360000012He6EAE"/>
    <x v="92"/>
  </r>
  <r>
    <n v="48"/>
    <x v="40"/>
    <n v="1"/>
    <s v="USD"/>
    <n v="1"/>
    <x v="0"/>
    <s v="0013600000xoEHNAA2"/>
    <x v="49"/>
    <s v="a1E360000012He1EAE"/>
    <x v="93"/>
  </r>
  <r>
    <n v="48"/>
    <x v="40"/>
    <n v="1"/>
    <s v="USD"/>
    <n v="1"/>
    <x v="0"/>
    <s v="0013600000xoEGRAA2"/>
    <x v="50"/>
    <s v="a1E360000012He0EAE"/>
    <x v="94"/>
  </r>
  <r>
    <n v="48"/>
    <x v="40"/>
    <n v="1"/>
    <s v="USD"/>
    <n v="3"/>
    <x v="1"/>
    <s v="0013600000xoEKRAA2"/>
    <x v="48"/>
    <s v="a1E360000012He3EAE"/>
    <x v="95"/>
  </r>
  <r>
    <n v="48"/>
    <x v="40"/>
    <n v="1"/>
    <s v="USD"/>
    <n v="3"/>
    <x v="1"/>
    <s v="0013600000xoEKRAA2"/>
    <x v="48"/>
    <s v="a1E36000001jMkgEAE"/>
    <x v="96"/>
  </r>
  <r>
    <n v="48"/>
    <x v="40"/>
    <n v="1"/>
    <s v="USD"/>
    <n v="3"/>
    <x v="1"/>
    <s v="0013600000xoEIOAA2"/>
    <x v="51"/>
    <s v="a1E360000012He4EAE"/>
    <x v="97"/>
  </r>
  <r>
    <n v="48"/>
    <x v="40"/>
    <n v="1"/>
    <s v="USD"/>
    <n v="3"/>
    <x v="1"/>
    <s v="0013600000xoEHNAA2"/>
    <x v="49"/>
    <s v="a1E360000012HdzEAE"/>
    <x v="98"/>
  </r>
  <r>
    <n v="48"/>
    <x v="40"/>
    <n v="1"/>
    <s v="USD"/>
    <n v="6"/>
    <x v="3"/>
    <s v="0013600000xoEKRAA2"/>
    <x v="48"/>
    <s v="a1E360000012HdyEAE"/>
    <x v="99"/>
  </r>
  <r>
    <n v="48"/>
    <x v="40"/>
    <n v="1"/>
    <s v="USD"/>
    <n v="4"/>
    <x v="3"/>
    <s v="0013600000xoEGRAA2"/>
    <x v="50"/>
    <s v="a1E36000002w2RgEAI"/>
    <x v="100"/>
  </r>
  <r>
    <n v="48"/>
    <x v="40"/>
    <n v="1"/>
    <s v="USD"/>
    <n v="2"/>
    <x v="2"/>
    <s v="0013600000xoEKRAA2"/>
    <x v="48"/>
    <s v="a1E360000012He5EAE"/>
    <x v="101"/>
  </r>
  <r>
    <n v="48"/>
    <x v="40"/>
    <n v="1"/>
    <s v="USD"/>
    <n v="2"/>
    <x v="2"/>
    <s v="0013600000xoEKRAA2"/>
    <x v="48"/>
    <s v="a1E36000001jMkiEAE"/>
    <x v="102"/>
  </r>
  <r>
    <m/>
    <x v="41"/>
    <m/>
    <m/>
    <m/>
    <x v="4"/>
    <m/>
    <x v="4"/>
    <m/>
    <x v="7"/>
  </r>
  <r>
    <n v="81"/>
    <x v="42"/>
    <n v="1"/>
    <s v="USD"/>
    <n v="1"/>
    <x v="0"/>
    <s v="0013600000xoEDMAA2"/>
    <x v="21"/>
    <s v="a1E360000012HfzEAE"/>
    <x v="103"/>
  </r>
  <r>
    <n v="67"/>
    <x v="43"/>
    <n v="2"/>
    <s v="EUR"/>
    <n v="1"/>
    <x v="0"/>
    <s v="0013600000xoEFVAA2"/>
    <x v="52"/>
    <s v="a1E360000012Hf5EAE"/>
    <x v="104"/>
  </r>
  <r>
    <n v="67"/>
    <x v="43"/>
    <n v="2"/>
    <s v="EUR"/>
    <n v="1"/>
    <x v="0"/>
    <s v="0013600000xoEFVAA2"/>
    <x v="52"/>
    <s v="a1E36000004IzYPEA0"/>
    <x v="105"/>
  </r>
  <r>
    <n v="67"/>
    <x v="43"/>
    <n v="2"/>
    <s v="EUR"/>
    <n v="1"/>
    <x v="0"/>
    <s v="0013600000xoEDKAA2"/>
    <x v="53"/>
    <s v="a1E36000002wTIhEAM"/>
    <x v="106"/>
  </r>
  <r>
    <n v="67"/>
    <x v="43"/>
    <n v="2"/>
    <s v="EUR"/>
    <n v="3"/>
    <x v="1"/>
    <s v="0013600000xoEKZAA2"/>
    <x v="54"/>
    <s v="a1E360000012Hf4EAE"/>
    <x v="107"/>
  </r>
  <r>
    <n v="67"/>
    <x v="43"/>
    <n v="2"/>
    <s v="EUR"/>
    <n v="3"/>
    <x v="1"/>
    <s v="0013600000xoEKAAA2"/>
    <x v="11"/>
    <s v="a1E360000012Hf2EAE"/>
    <x v="108"/>
  </r>
  <r>
    <n v="67"/>
    <x v="43"/>
    <n v="2"/>
    <s v="EUR"/>
    <n v="4"/>
    <x v="3"/>
    <s v="0013600000xoEFVAA2"/>
    <x v="52"/>
    <s v="a1E3p00000B9kGpEAJ"/>
    <x v="109"/>
  </r>
  <r>
    <n v="67"/>
    <x v="43"/>
    <n v="2"/>
    <s v="EUR"/>
    <n v="2"/>
    <x v="2"/>
    <s v="0013600000xoEFVAA2"/>
    <x v="52"/>
    <s v="a1E360000012Hf3EAE"/>
    <x v="110"/>
  </r>
  <r>
    <n v="67"/>
    <x v="43"/>
    <n v="2"/>
    <s v="EUR"/>
    <n v="2"/>
    <x v="2"/>
    <s v="0013600000xoEKpAAM"/>
    <x v="55"/>
    <s v="a1E360000012Hf7EAE"/>
    <x v="111"/>
  </r>
  <r>
    <m/>
    <x v="44"/>
    <m/>
    <m/>
    <m/>
    <x v="4"/>
    <m/>
    <x v="4"/>
    <m/>
    <x v="7"/>
  </r>
  <r>
    <n v="113"/>
    <x v="45"/>
    <n v="1"/>
    <s v="USD"/>
    <n v="1"/>
    <x v="0"/>
    <s v="0013600000xoEInAAM"/>
    <x v="1"/>
    <s v="a1E360000012HghEAE"/>
    <x v="112"/>
  </r>
  <r>
    <m/>
    <x v="46"/>
    <m/>
    <m/>
    <m/>
    <x v="4"/>
    <m/>
    <x v="4"/>
    <m/>
    <x v="7"/>
  </r>
  <r>
    <m/>
    <x v="47"/>
    <m/>
    <m/>
    <m/>
    <x v="4"/>
    <m/>
    <x v="4"/>
    <m/>
    <x v="7"/>
  </r>
  <r>
    <m/>
    <x v="48"/>
    <m/>
    <m/>
    <m/>
    <x v="4"/>
    <m/>
    <x v="4"/>
    <m/>
    <x v="7"/>
  </r>
  <r>
    <m/>
    <x v="49"/>
    <m/>
    <m/>
    <m/>
    <x v="4"/>
    <m/>
    <x v="4"/>
    <m/>
    <x v="7"/>
  </r>
  <r>
    <n v="26"/>
    <x v="50"/>
    <n v="1"/>
    <s v="USD"/>
    <n v="3"/>
    <x v="1"/>
    <s v="0013600000xoEJAAA2"/>
    <x v="1"/>
    <s v="a1E360000012HcwEAE"/>
    <x v="113"/>
  </r>
  <r>
    <n v="26"/>
    <x v="50"/>
    <n v="1"/>
    <s v="USD"/>
    <n v="4"/>
    <x v="3"/>
    <s v="0013600000xoEJAAA2"/>
    <x v="1"/>
    <s v="a1E360000012HcxEAE"/>
    <x v="114"/>
  </r>
  <r>
    <m/>
    <x v="51"/>
    <m/>
    <m/>
    <m/>
    <x v="4"/>
    <m/>
    <x v="4"/>
    <m/>
    <x v="7"/>
  </r>
  <r>
    <n v="115"/>
    <x v="52"/>
    <n v="1"/>
    <s v="USD"/>
    <n v="1"/>
    <x v="0"/>
    <s v="0013600000xoEGNAA2"/>
    <x v="56"/>
    <s v="a1E360000012HgiEAE"/>
    <x v="115"/>
  </r>
  <r>
    <n v="115"/>
    <x v="52"/>
    <n v="1"/>
    <s v="USD"/>
    <n v="1"/>
    <x v="0"/>
    <s v="0013600000xoEH5AAM"/>
    <x v="57"/>
    <s v="a1E360000012HgjEAE"/>
    <x v="116"/>
  </r>
  <r>
    <n v="115"/>
    <x v="52"/>
    <n v="1"/>
    <s v="USD"/>
    <n v="2"/>
    <x v="2"/>
    <s v="0013600000xoEGKAA2"/>
    <x v="58"/>
    <s v="a1E360000012HgkEAE"/>
    <x v="117"/>
  </r>
  <r>
    <n v="97"/>
    <x v="53"/>
    <n v="1"/>
    <s v="USD"/>
    <n v="1"/>
    <x v="0"/>
    <s v="0013600000xoEGQAA2"/>
    <x v="59"/>
    <s v="a1E36000001jMlGEAU"/>
    <x v="118"/>
  </r>
  <r>
    <n v="97"/>
    <x v="53"/>
    <n v="1"/>
    <s v="USD"/>
    <n v="1"/>
    <x v="0"/>
    <s v="0013600000xoEJFAA2"/>
    <x v="60"/>
    <s v="a1E36000002vj5cEAA"/>
    <x v="119"/>
  </r>
  <r>
    <n v="53"/>
    <x v="54"/>
    <n v="1"/>
    <s v="USD"/>
    <n v="4"/>
    <x v="3"/>
    <s v="0011R000021Gk69QAC"/>
    <x v="1"/>
    <s v="a1E1R00000FpYIFUA3"/>
    <x v="120"/>
  </r>
  <r>
    <n v="82"/>
    <x v="55"/>
    <n v="1"/>
    <s v="USD"/>
    <n v="1"/>
    <x v="0"/>
    <s v="0013600000xoEFgAAM"/>
    <x v="61"/>
    <s v="a1E360000012Hg2EAE"/>
    <x v="121"/>
  </r>
  <r>
    <n v="82"/>
    <x v="55"/>
    <n v="1"/>
    <s v="USD"/>
    <n v="3"/>
    <x v="1"/>
    <s v="0013600000xoEFgAAM"/>
    <x v="61"/>
    <s v="a1E36000001jMlTEAU"/>
    <x v="122"/>
  </r>
  <r>
    <n v="82"/>
    <x v="55"/>
    <n v="1"/>
    <s v="USD"/>
    <n v="2"/>
    <x v="2"/>
    <s v="0013600000xoEFgAAM"/>
    <x v="61"/>
    <s v="a1E360000012Hg0EAE"/>
    <x v="123"/>
  </r>
  <r>
    <n v="49"/>
    <x v="56"/>
    <n v="1"/>
    <s v="USD"/>
    <n v="3"/>
    <x v="1"/>
    <s v="GFS_Vendor_26308"/>
    <x v="62"/>
    <s v="a1E36000001jMlVEAU"/>
    <x v="124"/>
  </r>
  <r>
    <n v="27"/>
    <x v="57"/>
    <n v="1"/>
    <s v="USD"/>
    <n v="1"/>
    <x v="0"/>
    <s v="0013600000xoEHdAAM"/>
    <x v="63"/>
    <s v="a1E360000012H8vEAE"/>
    <x v="125"/>
  </r>
  <r>
    <n v="27"/>
    <x v="57"/>
    <n v="1"/>
    <s v="USD"/>
    <n v="3"/>
    <x v="1"/>
    <s v="0013600000xoEHdAAM"/>
    <x v="63"/>
    <s v="a1E360000012H8uEAE"/>
    <x v="126"/>
  </r>
  <r>
    <n v="27"/>
    <x v="57"/>
    <n v="1"/>
    <s v="USD"/>
    <n v="2"/>
    <x v="2"/>
    <s v="0013600000xoEHdAAM"/>
    <x v="63"/>
    <s v="a1E360000012H8wEAE"/>
    <x v="127"/>
  </r>
  <r>
    <m/>
    <x v="58"/>
    <m/>
    <m/>
    <m/>
    <x v="4"/>
    <m/>
    <x v="4"/>
    <m/>
    <x v="7"/>
  </r>
  <r>
    <n v="63"/>
    <x v="59"/>
    <n v="1"/>
    <s v="USD"/>
    <n v="1"/>
    <x v="0"/>
    <s v="0013600000xoEKPAA2"/>
    <x v="64"/>
    <s v="a1E360000012H9jEAE"/>
    <x v="128"/>
  </r>
  <r>
    <n v="63"/>
    <x v="59"/>
    <n v="1"/>
    <s v="USD"/>
    <n v="1"/>
    <x v="0"/>
    <s v="0013600000xoEISAA2"/>
    <x v="65"/>
    <s v="a1E360000012H9kEAE"/>
    <x v="129"/>
  </r>
  <r>
    <n v="63"/>
    <x v="59"/>
    <n v="1"/>
    <s v="USD"/>
    <n v="3"/>
    <x v="1"/>
    <s v="0013600000xoEISAA2"/>
    <x v="65"/>
    <s v="a1E360000012H9eEAE"/>
    <x v="130"/>
  </r>
  <r>
    <n v="63"/>
    <x v="59"/>
    <n v="1"/>
    <s v="USD"/>
    <n v="4"/>
    <x v="3"/>
    <s v="0013600000xoEKPAA2"/>
    <x v="64"/>
    <s v="a1E36000004InOaEAK"/>
    <x v="131"/>
  </r>
  <r>
    <n v="63"/>
    <x v="59"/>
    <n v="1"/>
    <s v="USD"/>
    <n v="4"/>
    <x v="3"/>
    <s v="0013600000xoEISAA2"/>
    <x v="65"/>
    <s v="a1E36000004InNwEAK"/>
    <x v="132"/>
  </r>
  <r>
    <n v="63"/>
    <x v="59"/>
    <n v="1"/>
    <s v="USD"/>
    <n v="2"/>
    <x v="2"/>
    <s v="0013600000xoEISAA2"/>
    <x v="65"/>
    <s v="a1E360000012H9lEAE"/>
    <x v="133"/>
  </r>
  <r>
    <n v="28"/>
    <x v="60"/>
    <n v="1"/>
    <s v="USD"/>
    <n v="1"/>
    <x v="0"/>
    <s v="0013600000xoEHsAAM"/>
    <x v="66"/>
    <s v="a1E360000012Hd3EAE"/>
    <x v="134"/>
  </r>
  <r>
    <n v="28"/>
    <x v="60"/>
    <n v="1"/>
    <s v="USD"/>
    <n v="3"/>
    <x v="1"/>
    <s v="0013600000xoEHiAAM"/>
    <x v="67"/>
    <s v="a1E360000012Hd1EAE"/>
    <x v="135"/>
  </r>
  <r>
    <n v="28"/>
    <x v="60"/>
    <n v="1"/>
    <s v="USD"/>
    <n v="3"/>
    <x v="1"/>
    <s v="0011R00002FW6goQAD"/>
    <x v="68"/>
    <s v="a1E1R00000Dm7W4UAJ"/>
    <x v="136"/>
  </r>
  <r>
    <n v="28"/>
    <x v="60"/>
    <n v="1"/>
    <s v="USD"/>
    <n v="6"/>
    <x v="3"/>
    <s v="0013600000xoEHiAAM"/>
    <x v="67"/>
    <s v="a1E360000012Hd2EAE"/>
    <x v="137"/>
  </r>
  <r>
    <n v="28"/>
    <x v="60"/>
    <n v="1"/>
    <s v="USD"/>
    <n v="2"/>
    <x v="2"/>
    <s v="0013600000xoEHiAAM"/>
    <x v="67"/>
    <s v="a1E360000012HcyEAE"/>
    <x v="138"/>
  </r>
  <r>
    <m/>
    <x v="61"/>
    <m/>
    <m/>
    <m/>
    <x v="4"/>
    <m/>
    <x v="4"/>
    <m/>
    <x v="7"/>
  </r>
  <r>
    <n v="224"/>
    <x v="62"/>
    <n v="1"/>
    <s v="USD"/>
    <n v="2"/>
    <x v="2"/>
    <s v="0013600000xoEFiAAM"/>
    <x v="69"/>
    <s v="a1E360000012HibEAE"/>
    <x v="139"/>
  </r>
  <r>
    <m/>
    <x v="63"/>
    <m/>
    <m/>
    <m/>
    <x v="4"/>
    <m/>
    <x v="4"/>
    <m/>
    <x v="7"/>
  </r>
  <r>
    <m/>
    <x v="64"/>
    <m/>
    <m/>
    <m/>
    <x v="4"/>
    <m/>
    <x v="4"/>
    <m/>
    <x v="7"/>
  </r>
  <r>
    <n v="50"/>
    <x v="65"/>
    <n v="2"/>
    <s v="EUR"/>
    <n v="2"/>
    <x v="2"/>
    <s v="0013600001ahvPjAAI"/>
    <x v="70"/>
    <s v="a1E360000061xBdEAI"/>
    <x v="140"/>
  </r>
  <r>
    <n v="50"/>
    <x v="65"/>
    <n v="2"/>
    <s v="EUR"/>
    <n v="2"/>
    <x v="2"/>
    <s v="0013600000xoEGUAA2"/>
    <x v="71"/>
    <s v="a1E360000012He8EAE"/>
    <x v="141"/>
  </r>
  <r>
    <n v="68"/>
    <x v="66"/>
    <n v="1"/>
    <s v="USD"/>
    <n v="1"/>
    <x v="0"/>
    <s v="0013600000xoEFEAA2"/>
    <x v="72"/>
    <s v="a1E360000012HfDEAU"/>
    <x v="142"/>
  </r>
  <r>
    <n v="68"/>
    <x v="66"/>
    <n v="1"/>
    <s v="USD"/>
    <n v="1"/>
    <x v="0"/>
    <s v="0013600000xoEGsAAM"/>
    <x v="73"/>
    <s v="a1E360000012HfEEAU"/>
    <x v="143"/>
  </r>
  <r>
    <n v="68"/>
    <x v="66"/>
    <n v="1"/>
    <s v="USD"/>
    <n v="3"/>
    <x v="1"/>
    <s v="0013600000xoEFzAAM"/>
    <x v="74"/>
    <s v="a1E360000012HfCEAU"/>
    <x v="144"/>
  </r>
  <r>
    <n v="68"/>
    <x v="66"/>
    <n v="1"/>
    <s v="USD"/>
    <n v="3"/>
    <x v="1"/>
    <s v="0013600000xoEFlAAM"/>
    <x v="75"/>
    <s v="a1E360000012HfBEAU"/>
    <x v="145"/>
  </r>
  <r>
    <n v="68"/>
    <x v="66"/>
    <n v="1"/>
    <s v="USD"/>
    <n v="4"/>
    <x v="3"/>
    <s v="0013600000xoEFEAA2"/>
    <x v="72"/>
    <s v="a1E36000002w6WCEAY"/>
    <x v="146"/>
  </r>
  <r>
    <n v="68"/>
    <x v="66"/>
    <n v="1"/>
    <s v="USD"/>
    <n v="4"/>
    <x v="3"/>
    <s v="0013600000xoEGsAAM"/>
    <x v="73"/>
    <s v="a1E36000002vvY5EAI"/>
    <x v="147"/>
  </r>
  <r>
    <n v="164"/>
    <x v="67"/>
    <n v="1"/>
    <s v="USD"/>
    <n v="1"/>
    <x v="0"/>
    <s v="0013600000xoEJJAA2"/>
    <x v="76"/>
    <s v="a1E360000012Hi7EAE"/>
    <x v="148"/>
  </r>
  <r>
    <n v="164"/>
    <x v="67"/>
    <n v="1"/>
    <s v="USD"/>
    <n v="2"/>
    <x v="2"/>
    <s v="0013600000xoEJJAA2"/>
    <x v="76"/>
    <s v="a1E360000012Hi5EAE"/>
    <x v="149"/>
  </r>
  <r>
    <m/>
    <x v="68"/>
    <m/>
    <m/>
    <m/>
    <x v="4"/>
    <m/>
    <x v="4"/>
    <m/>
    <x v="7"/>
  </r>
  <r>
    <n v="69"/>
    <x v="69"/>
    <n v="1"/>
    <s v="USD"/>
    <n v="1"/>
    <x v="0"/>
    <s v="0013600000xoEGrAAM"/>
    <x v="77"/>
    <s v="a1E360000012H9oEAE"/>
    <x v="150"/>
  </r>
  <r>
    <n v="69"/>
    <x v="69"/>
    <n v="1"/>
    <s v="USD"/>
    <n v="1"/>
    <x v="0"/>
    <s v="0013600000xoEHmAAM"/>
    <x v="78"/>
    <s v="a1E360000012H9pEAE"/>
    <x v="151"/>
  </r>
  <r>
    <n v="69"/>
    <x v="69"/>
    <n v="1"/>
    <s v="USD"/>
    <n v="1"/>
    <x v="0"/>
    <s v="0013600001GqA8CAAV"/>
    <x v="79"/>
    <s v="a1E36000002wQJsEAM"/>
    <x v="152"/>
  </r>
  <r>
    <n v="69"/>
    <x v="69"/>
    <n v="1"/>
    <s v="USD"/>
    <n v="3"/>
    <x v="1"/>
    <s v="0013600000xoEFQAA2"/>
    <x v="80"/>
    <s v="a1E360000012H9sEAE"/>
    <x v="153"/>
  </r>
  <r>
    <n v="69"/>
    <x v="69"/>
    <n v="1"/>
    <s v="USD"/>
    <n v="3"/>
    <x v="1"/>
    <s v="0013600000xoEHmAAM"/>
    <x v="78"/>
    <s v="a1E360000012H9tEAE"/>
    <x v="154"/>
  </r>
  <r>
    <n v="69"/>
    <x v="69"/>
    <n v="1"/>
    <s v="USD"/>
    <n v="4"/>
    <x v="3"/>
    <s v="0013600000xoEHmAAM"/>
    <x v="78"/>
    <s v="a1E36000002wQO2EAM"/>
    <x v="155"/>
  </r>
  <r>
    <n v="69"/>
    <x v="69"/>
    <n v="1"/>
    <s v="USD"/>
    <n v="2"/>
    <x v="2"/>
    <s v="0013600000xoEHmAAM"/>
    <x v="78"/>
    <s v="a1E360000012H9uEAE"/>
    <x v="156"/>
  </r>
  <r>
    <m/>
    <x v="70"/>
    <m/>
    <m/>
    <m/>
    <x v="4"/>
    <m/>
    <x v="4"/>
    <m/>
    <x v="7"/>
  </r>
  <r>
    <m/>
    <x v="71"/>
    <m/>
    <m/>
    <m/>
    <x v="4"/>
    <m/>
    <x v="4"/>
    <m/>
    <x v="7"/>
  </r>
  <r>
    <m/>
    <x v="72"/>
    <m/>
    <m/>
    <m/>
    <x v="4"/>
    <m/>
    <x v="4"/>
    <m/>
    <x v="7"/>
  </r>
  <r>
    <n v="83"/>
    <x v="73"/>
    <n v="1"/>
    <s v="USD"/>
    <n v="1"/>
    <x v="0"/>
    <s v="0013600001iYePSAA0"/>
    <x v="81"/>
    <s v="a1E360000063VDLEA2"/>
    <x v="157"/>
  </r>
  <r>
    <n v="83"/>
    <x v="73"/>
    <n v="1"/>
    <s v="USD"/>
    <n v="3"/>
    <x v="1"/>
    <s v="0013600000xoEHIAA2"/>
    <x v="82"/>
    <s v="a1E360000012Hg5EAE"/>
    <x v="158"/>
  </r>
  <r>
    <n v="83"/>
    <x v="73"/>
    <n v="1"/>
    <s v="USD"/>
    <n v="2"/>
    <x v="2"/>
    <s v="0013600000xoEHIAA2"/>
    <x v="82"/>
    <s v="a1E360000012Hg7EAE"/>
    <x v="159"/>
  </r>
  <r>
    <n v="70"/>
    <x v="74"/>
    <n v="1"/>
    <s v="USD"/>
    <n v="1"/>
    <x v="0"/>
    <s v="0013600000xoEHLAA2"/>
    <x v="83"/>
    <s v="a1E360000012HfGEAU"/>
    <x v="160"/>
  </r>
  <r>
    <n v="70"/>
    <x v="74"/>
    <n v="1"/>
    <s v="USD"/>
    <n v="1"/>
    <x v="0"/>
    <s v="0013600000xoEHoAAM"/>
    <x v="84"/>
    <s v="a1E36000002waeLEAQ"/>
    <x v="161"/>
  </r>
  <r>
    <n v="70"/>
    <x v="74"/>
    <n v="1"/>
    <s v="USD"/>
    <n v="3"/>
    <x v="1"/>
    <s v="0013600000xoEG1AAM"/>
    <x v="85"/>
    <s v="a1E360000012HfFEAU"/>
    <x v="162"/>
  </r>
  <r>
    <n v="70"/>
    <x v="74"/>
    <n v="1"/>
    <s v="USD"/>
    <n v="4"/>
    <x v="3"/>
    <s v="0013600000xoEDmAAM"/>
    <x v="14"/>
    <s v="a1E36000002wgmqEAA"/>
    <x v="163"/>
  </r>
  <r>
    <n v="71"/>
    <x v="75"/>
    <n v="1"/>
    <s v="USD"/>
    <n v="1"/>
    <x v="0"/>
    <s v="0013600000xoEGtAAM"/>
    <x v="86"/>
    <s v="a1E360000012HfLEAU"/>
    <x v="164"/>
  </r>
  <r>
    <n v="71"/>
    <x v="75"/>
    <n v="2"/>
    <s v="EUR"/>
    <n v="1"/>
    <x v="0"/>
    <s v="0013600000xoEGtAAM"/>
    <x v="86"/>
    <s v="a1E36000001jMmZEAU"/>
    <x v="165"/>
  </r>
  <r>
    <n v="71"/>
    <x v="75"/>
    <n v="2"/>
    <s v="EUR"/>
    <n v="3"/>
    <x v="1"/>
    <s v="0013600000xoEIsAAM"/>
    <x v="1"/>
    <s v="a1E360000012HfNEAU"/>
    <x v="166"/>
  </r>
  <r>
    <n v="71"/>
    <x v="75"/>
    <n v="2"/>
    <s v="EUR"/>
    <n v="4"/>
    <x v="3"/>
    <s v="0013600000xoEFJAA2"/>
    <x v="87"/>
    <s v="a1E36000002vvPHEAY"/>
    <x v="167"/>
  </r>
  <r>
    <n v="71"/>
    <x v="75"/>
    <n v="2"/>
    <s v="EUR"/>
    <n v="2"/>
    <x v="2"/>
    <s v="0013600000xoEFJAA2"/>
    <x v="87"/>
    <s v="a1E360000012HfKEAU"/>
    <x v="168"/>
  </r>
  <r>
    <n v="100"/>
    <x v="76"/>
    <n v="1"/>
    <s v="USD"/>
    <n v="1"/>
    <x v="0"/>
    <s v="0013600000xoEJCAA2"/>
    <x v="88"/>
    <s v="a1E360000012HgUEAU"/>
    <x v="169"/>
  </r>
  <r>
    <n v="100"/>
    <x v="76"/>
    <n v="1"/>
    <s v="USD"/>
    <n v="1"/>
    <x v="0"/>
    <s v="0013600000xoEJCAA2"/>
    <x v="88"/>
    <s v="a1E36000002vdqMEAQ"/>
    <x v="170"/>
  </r>
  <r>
    <n v="100"/>
    <x v="76"/>
    <n v="1"/>
    <s v="USD"/>
    <n v="3"/>
    <x v="1"/>
    <s v="0013600000xoEJCAA2"/>
    <x v="88"/>
    <s v="a1E360000012HgWEAU"/>
    <x v="171"/>
  </r>
  <r>
    <n v="100"/>
    <x v="76"/>
    <n v="1"/>
    <s v="USD"/>
    <n v="2"/>
    <x v="2"/>
    <s v="0013600000xoEJCAA2"/>
    <x v="88"/>
    <s v="a1E360000012HgXEAU"/>
    <x v="172"/>
  </r>
  <r>
    <n v="118"/>
    <x v="77"/>
    <n v="1"/>
    <s v="USD"/>
    <n v="3"/>
    <x v="1"/>
    <s v="0013600000xoEIOAA2"/>
    <x v="51"/>
    <s v="a1E360000012HgmEAE"/>
    <x v="173"/>
  </r>
  <r>
    <n v="118"/>
    <x v="77"/>
    <n v="1"/>
    <s v="USD"/>
    <n v="3"/>
    <x v="1"/>
    <s v="0013600000xoEJ3AAM"/>
    <x v="1"/>
    <s v="a1E3p00000B9eUyEAJ"/>
    <x v="174"/>
  </r>
  <r>
    <n v="118"/>
    <x v="77"/>
    <n v="1"/>
    <s v="USD"/>
    <n v="6"/>
    <x v="3"/>
    <s v="0013p00001rYAiOAAW"/>
    <x v="89"/>
    <s v="a1E3p00000B9eEbEAJ"/>
    <x v="175"/>
  </r>
  <r>
    <n v="118"/>
    <x v="77"/>
    <n v="1"/>
    <s v="USD"/>
    <n v="4"/>
    <x v="3"/>
    <s v="0013600000xoEIOAA2"/>
    <x v="51"/>
    <s v="a1E360000012HglEAE"/>
    <x v="176"/>
  </r>
  <r>
    <n v="118"/>
    <x v="77"/>
    <n v="1"/>
    <s v="USD"/>
    <n v="4"/>
    <x v="3"/>
    <s v="0013600000xoEKFAA2"/>
    <x v="6"/>
    <s v="a1E3p00000B9dQQEAZ"/>
    <x v="177"/>
  </r>
  <r>
    <m/>
    <x v="78"/>
    <m/>
    <m/>
    <m/>
    <x v="4"/>
    <m/>
    <x v="4"/>
    <m/>
    <x v="7"/>
  </r>
  <r>
    <n v="84"/>
    <x v="79"/>
    <n v="1"/>
    <s v="USD"/>
    <n v="1"/>
    <x v="0"/>
    <s v="0013600000xoEGOAA2"/>
    <x v="90"/>
    <s v="a1E360000012Hg9EAE"/>
    <x v="178"/>
  </r>
  <r>
    <n v="84"/>
    <x v="79"/>
    <n v="1"/>
    <s v="USD"/>
    <n v="3"/>
    <x v="1"/>
    <s v="0013600000xoEGOAA2"/>
    <x v="90"/>
    <s v="a1E360000012Hg8EAE"/>
    <x v="179"/>
  </r>
  <r>
    <n v="84"/>
    <x v="79"/>
    <n v="1"/>
    <s v="USD"/>
    <n v="4"/>
    <x v="3"/>
    <s v="0013600000xoEGOAA2"/>
    <x v="90"/>
    <s v="a1E1R00000HyiUXUAZ"/>
    <x v="180"/>
  </r>
  <r>
    <n v="84"/>
    <x v="79"/>
    <n v="1"/>
    <s v="USD"/>
    <n v="2"/>
    <x v="2"/>
    <s v="0013600000xoEI8AAM"/>
    <x v="91"/>
    <s v="a1E360000012HgAEAU"/>
    <x v="181"/>
  </r>
  <r>
    <m/>
    <x v="80"/>
    <m/>
    <m/>
    <m/>
    <x v="4"/>
    <m/>
    <x v="4"/>
    <m/>
    <x v="7"/>
  </r>
  <r>
    <m/>
    <x v="81"/>
    <m/>
    <m/>
    <m/>
    <x v="4"/>
    <m/>
    <x v="4"/>
    <m/>
    <x v="7"/>
  </r>
  <r>
    <n v="154"/>
    <x v="82"/>
    <n v="1"/>
    <s v="USD"/>
    <n v="1"/>
    <x v="0"/>
    <s v="0013600000xoEHcAAM"/>
    <x v="92"/>
    <s v="a1E360000012HhWEAU"/>
    <x v="182"/>
  </r>
  <r>
    <n v="154"/>
    <x v="82"/>
    <n v="1"/>
    <s v="USD"/>
    <n v="1"/>
    <x v="0"/>
    <s v="0013600000xoEH2AAM"/>
    <x v="93"/>
    <s v="a1E360000012HhdEAE"/>
    <x v="183"/>
  </r>
  <r>
    <n v="154"/>
    <x v="82"/>
    <n v="1"/>
    <s v="USD"/>
    <n v="1"/>
    <x v="0"/>
    <s v="0013600000xoEKTAA2"/>
    <x v="94"/>
    <s v="a1E360000012HhUEAU"/>
    <x v="184"/>
  </r>
  <r>
    <n v="154"/>
    <x v="82"/>
    <n v="1"/>
    <s v="USD"/>
    <n v="1"/>
    <x v="0"/>
    <s v="0013600000xoEKYAA2"/>
    <x v="95"/>
    <s v="a1E360000012HhVEAU"/>
    <x v="185"/>
  </r>
  <r>
    <n v="154"/>
    <x v="82"/>
    <n v="1"/>
    <s v="USD"/>
    <n v="3"/>
    <x v="1"/>
    <s v="0013600000xoEHeAAM"/>
    <x v="92"/>
    <s v="a1E360000012HhXEAU"/>
    <x v="186"/>
  </r>
  <r>
    <n v="154"/>
    <x v="82"/>
    <n v="1"/>
    <s v="USD"/>
    <n v="4"/>
    <x v="3"/>
    <s v="0013600001ElqLxAAJ"/>
    <x v="96"/>
    <s v="a1E36000002wG2qEAE"/>
    <x v="187"/>
  </r>
  <r>
    <n v="154"/>
    <x v="82"/>
    <n v="1"/>
    <s v="USD"/>
    <n v="2"/>
    <x v="2"/>
    <s v="0013600001NTuggAAD"/>
    <x v="97"/>
    <s v="a1E36000004IT07EAG"/>
    <x v="188"/>
  </r>
  <r>
    <n v="154"/>
    <x v="82"/>
    <n v="1"/>
    <s v="USD"/>
    <n v="2"/>
    <x v="2"/>
    <s v="0013600000xoEHbAAM"/>
    <x v="92"/>
    <s v="a1E360000012HhcEAE"/>
    <x v="189"/>
  </r>
  <r>
    <n v="154"/>
    <x v="82"/>
    <n v="1"/>
    <s v="USD"/>
    <n v="2"/>
    <x v="2"/>
    <s v="0013600001Nab8fAAB"/>
    <x v="98"/>
    <s v="a1E36000004IToSEAW"/>
    <x v="190"/>
  </r>
  <r>
    <n v="154"/>
    <x v="82"/>
    <n v="1"/>
    <s v="USD"/>
    <n v="2"/>
    <x v="2"/>
    <s v="0011R000027ljyOQAQ"/>
    <x v="99"/>
    <s v="a1E1R00000HyQDrUAN"/>
    <x v="191"/>
  </r>
  <r>
    <n v="154"/>
    <x v="82"/>
    <n v="1"/>
    <s v="USD"/>
    <n v="2"/>
    <x v="2"/>
    <s v="0013600000xoEFUAA2"/>
    <x v="100"/>
    <s v="a1E360000012HhaEAE"/>
    <x v="192"/>
  </r>
  <r>
    <n v="142"/>
    <x v="83"/>
    <n v="1"/>
    <s v="USD"/>
    <n v="1"/>
    <x v="0"/>
    <s v="0013600000xoEF4AAM"/>
    <x v="101"/>
    <s v="a1E360000012HAEEA2"/>
    <x v="193"/>
  </r>
  <r>
    <n v="142"/>
    <x v="83"/>
    <n v="1"/>
    <s v="USD"/>
    <n v="1"/>
    <x v="0"/>
    <s v="0013600000xoEH3AAM"/>
    <x v="102"/>
    <s v="a1E36000001jMnLEAU"/>
    <x v="194"/>
  </r>
  <r>
    <n v="142"/>
    <x v="83"/>
    <n v="1"/>
    <s v="USD"/>
    <n v="1"/>
    <x v="0"/>
    <s v="0013600000xoEKhAAM"/>
    <x v="103"/>
    <s v="a1E360000012HACEA2"/>
    <x v="195"/>
  </r>
  <r>
    <n v="142"/>
    <x v="83"/>
    <n v="1"/>
    <s v="USD"/>
    <n v="3"/>
    <x v="1"/>
    <s v="0013600000xoEF4AAM"/>
    <x v="101"/>
    <s v="a1E360000012HAGEA2"/>
    <x v="196"/>
  </r>
  <r>
    <n v="142"/>
    <x v="83"/>
    <n v="1"/>
    <s v="USD"/>
    <n v="3"/>
    <x v="1"/>
    <s v="0013600000xoEGCAA2"/>
    <x v="104"/>
    <s v="a1E360000012HABEA2"/>
    <x v="197"/>
  </r>
  <r>
    <n v="142"/>
    <x v="83"/>
    <n v="1"/>
    <s v="USD"/>
    <n v="2"/>
    <x v="2"/>
    <s v="0013600000xoEEfAAM"/>
    <x v="105"/>
    <s v="a1E360000012HAHEA2"/>
    <x v="198"/>
  </r>
  <r>
    <n v="142"/>
    <x v="83"/>
    <n v="1"/>
    <s v="USD"/>
    <n v="2"/>
    <x v="2"/>
    <s v="0013600000xoEF4AAM"/>
    <x v="101"/>
    <s v="a1E360000012HAIEA2"/>
    <x v="199"/>
  </r>
  <r>
    <n v="155"/>
    <x v="84"/>
    <n v="1"/>
    <s v="USD"/>
    <n v="1"/>
    <x v="0"/>
    <s v="0013600000xoEJ4AAM"/>
    <x v="1"/>
    <s v="a1E360000012HhhEAE"/>
    <x v="200"/>
  </r>
  <r>
    <m/>
    <x v="85"/>
    <m/>
    <m/>
    <m/>
    <x v="4"/>
    <m/>
    <x v="4"/>
    <m/>
    <x v="7"/>
  </r>
  <r>
    <m/>
    <x v="86"/>
    <m/>
    <m/>
    <m/>
    <x v="4"/>
    <m/>
    <x v="4"/>
    <m/>
    <x v="7"/>
  </r>
  <r>
    <m/>
    <x v="87"/>
    <m/>
    <m/>
    <m/>
    <x v="4"/>
    <m/>
    <x v="4"/>
    <m/>
    <x v="7"/>
  </r>
  <r>
    <m/>
    <x v="88"/>
    <m/>
    <m/>
    <m/>
    <x v="4"/>
    <m/>
    <x v="4"/>
    <m/>
    <x v="7"/>
  </r>
  <r>
    <n v="119"/>
    <x v="89"/>
    <n v="1"/>
    <s v="USD"/>
    <n v="1"/>
    <x v="0"/>
    <s v="0013600000xoEIEAA2"/>
    <x v="106"/>
    <s v="a1E360000012HgrEAE"/>
    <x v="201"/>
  </r>
  <r>
    <m/>
    <x v="90"/>
    <m/>
    <m/>
    <m/>
    <x v="4"/>
    <m/>
    <x v="4"/>
    <m/>
    <x v="7"/>
  </r>
  <r>
    <m/>
    <x v="91"/>
    <m/>
    <m/>
    <m/>
    <x v="4"/>
    <m/>
    <x v="4"/>
    <m/>
    <x v="7"/>
  </r>
  <r>
    <n v="130"/>
    <x v="92"/>
    <n v="1"/>
    <s v="USD"/>
    <n v="1"/>
    <x v="0"/>
    <s v="0013600000xoEIZAA2"/>
    <x v="107"/>
    <s v="a1E360000012HguEAE"/>
    <x v="202"/>
  </r>
  <r>
    <n v="130"/>
    <x v="92"/>
    <n v="1"/>
    <s v="USD"/>
    <n v="2"/>
    <x v="2"/>
    <s v="0013600000xoEFqAAM"/>
    <x v="108"/>
    <s v="a1E36000001jMnlEAE"/>
    <x v="203"/>
  </r>
  <r>
    <n v="29"/>
    <x v="93"/>
    <n v="1"/>
    <s v="USD"/>
    <n v="1"/>
    <x v="0"/>
    <s v="0013600000xoEGgAAM"/>
    <x v="109"/>
    <s v="a1E360000012Hd6EAE"/>
    <x v="204"/>
  </r>
  <r>
    <n v="29"/>
    <x v="93"/>
    <n v="1"/>
    <s v="USD"/>
    <n v="1"/>
    <x v="0"/>
    <s v="0013600000xoEHxAAM"/>
    <x v="110"/>
    <s v="a1E360000012Hd7EAE"/>
    <x v="205"/>
  </r>
  <r>
    <n v="29"/>
    <x v="93"/>
    <n v="1"/>
    <s v="USD"/>
    <n v="3"/>
    <x v="1"/>
    <s v="0013600000xoEFLAA2"/>
    <x v="111"/>
    <s v="a1E360000012Hd4EAE"/>
    <x v="206"/>
  </r>
  <r>
    <n v="29"/>
    <x v="93"/>
    <n v="1"/>
    <s v="USD"/>
    <n v="3"/>
    <x v="1"/>
    <s v="0013600000xoEHxAAM"/>
    <x v="110"/>
    <s v="a1E360000012Hd5EAE"/>
    <x v="207"/>
  </r>
  <r>
    <n v="29"/>
    <x v="93"/>
    <n v="1"/>
    <s v="USD"/>
    <n v="2"/>
    <x v="2"/>
    <s v="0013600000xoEFLAA2"/>
    <x v="111"/>
    <s v="a1E360000012Hd8EAE"/>
    <x v="208"/>
  </r>
  <r>
    <n v="29"/>
    <x v="93"/>
    <n v="1"/>
    <s v="USD"/>
    <n v="2"/>
    <x v="2"/>
    <s v="0013600000xoEHxAAM"/>
    <x v="110"/>
    <s v="a1E360000012Hd9EAE"/>
    <x v="209"/>
  </r>
  <r>
    <m/>
    <x v="94"/>
    <m/>
    <m/>
    <m/>
    <x v="4"/>
    <m/>
    <x v="4"/>
    <m/>
    <x v="7"/>
  </r>
  <r>
    <n v="136"/>
    <x v="95"/>
    <n v="1"/>
    <s v="USD"/>
    <n v="5"/>
    <x v="3"/>
    <s v="0013600000xoEHWAA2"/>
    <x v="112"/>
    <s v="a1E1R00000DlmwGUAR"/>
    <x v="210"/>
  </r>
  <r>
    <m/>
    <x v="96"/>
    <m/>
    <m/>
    <m/>
    <x v="4"/>
    <m/>
    <x v="4"/>
    <m/>
    <x v="7"/>
  </r>
  <r>
    <n v="243"/>
    <x v="97"/>
    <n v="2"/>
    <s v="EUR"/>
    <n v="1"/>
    <x v="0"/>
    <s v="0013600000xoEGaAAM"/>
    <x v="113"/>
    <s v="a1E36000001hEftEAE"/>
    <x v="211"/>
  </r>
  <r>
    <n v="243"/>
    <x v="97"/>
    <n v="2"/>
    <s v="EUR"/>
    <n v="2"/>
    <x v="2"/>
    <s v="0013600000xoEGaAAM"/>
    <x v="113"/>
    <s v="a1E360000012HifEAE"/>
    <x v="212"/>
  </r>
  <r>
    <m/>
    <x v="98"/>
    <m/>
    <m/>
    <m/>
    <x v="4"/>
    <m/>
    <x v="4"/>
    <m/>
    <x v="7"/>
  </r>
  <r>
    <n v="131"/>
    <x v="99"/>
    <n v="1"/>
    <s v="USD"/>
    <n v="4"/>
    <x v="3"/>
    <s v="0013600000xoEIwAAM"/>
    <x v="1"/>
    <s v="a1E360000012HgzEAE"/>
    <x v="213"/>
  </r>
  <r>
    <n v="143"/>
    <x v="100"/>
    <n v="1"/>
    <s v="USD"/>
    <n v="1"/>
    <x v="0"/>
    <s v="0013600000xoEHUAA2"/>
    <x v="114"/>
    <s v="a1E360000012HhHEAU"/>
    <x v="214"/>
  </r>
  <r>
    <n v="143"/>
    <x v="100"/>
    <n v="1"/>
    <s v="USD"/>
    <n v="3"/>
    <x v="1"/>
    <s v="0013600000xoEHUAA2"/>
    <x v="114"/>
    <s v="a1E360000012HhJEAU"/>
    <x v="215"/>
  </r>
  <r>
    <n v="143"/>
    <x v="100"/>
    <n v="1"/>
    <s v="USD"/>
    <n v="4"/>
    <x v="3"/>
    <s v="0013600000xoEHUAA2"/>
    <x v="114"/>
    <s v="a1E3p00000B9ZrSEAV"/>
    <x v="216"/>
  </r>
  <r>
    <n v="143"/>
    <x v="100"/>
    <n v="1"/>
    <s v="USD"/>
    <n v="2"/>
    <x v="2"/>
    <s v="0013600000xoEHUAA2"/>
    <x v="114"/>
    <s v="a1E360000012HhGEAU"/>
    <x v="217"/>
  </r>
  <r>
    <m/>
    <x v="101"/>
    <m/>
    <m/>
    <m/>
    <x v="4"/>
    <m/>
    <x v="4"/>
    <m/>
    <x v="7"/>
  </r>
  <r>
    <m/>
    <x v="102"/>
    <m/>
    <m/>
    <m/>
    <x v="4"/>
    <m/>
    <x v="4"/>
    <m/>
    <x v="7"/>
  </r>
  <r>
    <n v="60"/>
    <x v="103"/>
    <n v="1"/>
    <s v="USD"/>
    <n v="4"/>
    <x v="3"/>
    <s v="0013600000xoEHqAAM"/>
    <x v="115"/>
    <s v="a1E360000012HeOEAU"/>
    <x v="218"/>
  </r>
  <r>
    <n v="60"/>
    <x v="103"/>
    <n v="1"/>
    <s v="USD"/>
    <n v="4"/>
    <x v="3"/>
    <s v="0013600000xoEKLAA2"/>
    <x v="116"/>
    <s v="a1E360000012HePEAU"/>
    <x v="219"/>
  </r>
  <r>
    <n v="72"/>
    <x v="104"/>
    <n v="1"/>
    <s v="USD"/>
    <n v="1"/>
    <x v="0"/>
    <s v="0013600000xoEI2AAM"/>
    <x v="117"/>
    <s v="a1E360000012H9yEAE"/>
    <x v="220"/>
  </r>
  <r>
    <n v="72"/>
    <x v="104"/>
    <n v="1"/>
    <s v="USD"/>
    <n v="1"/>
    <x v="0"/>
    <s v="0013600000xoEIOAA2"/>
    <x v="51"/>
    <s v="a1E360000012HA0EAM"/>
    <x v="221"/>
  </r>
  <r>
    <n v="72"/>
    <x v="104"/>
    <n v="1"/>
    <s v="USD"/>
    <n v="3"/>
    <x v="1"/>
    <s v="0013600000xoEI2AAM"/>
    <x v="117"/>
    <s v="a1E360000012H9wEAE"/>
    <x v="222"/>
  </r>
  <r>
    <n v="72"/>
    <x v="104"/>
    <n v="1"/>
    <s v="USD"/>
    <n v="3"/>
    <x v="1"/>
    <s v="0013600000xoEH8AAM"/>
    <x v="14"/>
    <s v="a1E360000012H9vEAE"/>
    <x v="223"/>
  </r>
  <r>
    <n v="72"/>
    <x v="104"/>
    <n v="1"/>
    <s v="USD"/>
    <n v="4"/>
    <x v="3"/>
    <s v="0013600000xoEI2AAM"/>
    <x v="117"/>
    <s v="a1E360000012H9zEAE"/>
    <x v="224"/>
  </r>
  <r>
    <n v="72"/>
    <x v="104"/>
    <n v="1"/>
    <s v="USD"/>
    <n v="4"/>
    <x v="3"/>
    <s v="0013600000xoEH8AAM"/>
    <x v="14"/>
    <s v="a1E3p00000B9hgvEAB"/>
    <x v="225"/>
  </r>
  <r>
    <n v="72"/>
    <x v="104"/>
    <n v="1"/>
    <s v="USD"/>
    <n v="2"/>
    <x v="2"/>
    <s v="0013600000xoEI2AAM"/>
    <x v="117"/>
    <s v="a1E360000012H9xEAE"/>
    <x v="226"/>
  </r>
  <r>
    <m/>
    <x v="105"/>
    <m/>
    <m/>
    <m/>
    <x v="4"/>
    <m/>
    <x v="4"/>
    <m/>
    <x v="7"/>
  </r>
  <r>
    <m/>
    <x v="106"/>
    <m/>
    <m/>
    <m/>
    <x v="4"/>
    <m/>
    <x v="4"/>
    <m/>
    <x v="7"/>
  </r>
  <r>
    <m/>
    <x v="107"/>
    <m/>
    <m/>
    <m/>
    <x v="4"/>
    <m/>
    <x v="4"/>
    <m/>
    <x v="7"/>
  </r>
  <r>
    <m/>
    <x v="108"/>
    <m/>
    <m/>
    <m/>
    <x v="4"/>
    <m/>
    <x v="4"/>
    <m/>
    <x v="7"/>
  </r>
  <r>
    <n v="30"/>
    <x v="109"/>
    <n v="1"/>
    <s v="USD"/>
    <n v="1"/>
    <x v="0"/>
    <s v="0013600000xoEIOAA2"/>
    <x v="51"/>
    <s v="a1E36000001jMobEAE"/>
    <x v="227"/>
  </r>
  <r>
    <n v="30"/>
    <x v="109"/>
    <n v="1"/>
    <s v="USD"/>
    <n v="1"/>
    <x v="0"/>
    <s v="0013600000xoEHPAA2"/>
    <x v="118"/>
    <s v="a1E36000001jMocEAE"/>
    <x v="228"/>
  </r>
  <r>
    <n v="30"/>
    <x v="109"/>
    <n v="1"/>
    <s v="USD"/>
    <n v="3"/>
    <x v="1"/>
    <s v="0013600000xoEKyAAM"/>
    <x v="119"/>
    <s v="a1E36000001jModEAE"/>
    <x v="229"/>
  </r>
  <r>
    <n v="30"/>
    <x v="109"/>
    <n v="1"/>
    <s v="USD"/>
    <n v="3"/>
    <x v="1"/>
    <s v="0013600000xoEIOAA2"/>
    <x v="51"/>
    <s v="a1E360000012HdIEAU"/>
    <x v="230"/>
  </r>
  <r>
    <n v="30"/>
    <x v="109"/>
    <n v="1"/>
    <s v="USD"/>
    <n v="2"/>
    <x v="2"/>
    <s v="0013600001WCJorAAH"/>
    <x v="46"/>
    <s v="a1E3p00000B9o0YEAR"/>
    <x v="231"/>
  </r>
  <r>
    <n v="30"/>
    <x v="109"/>
    <n v="1"/>
    <s v="USD"/>
    <n v="2"/>
    <x v="2"/>
    <s v="0013600000xoEFwAAM"/>
    <x v="120"/>
    <s v="a1E360000012HdJEAU"/>
    <x v="232"/>
  </r>
  <r>
    <n v="31"/>
    <x v="110"/>
    <n v="1"/>
    <s v="USD"/>
    <n v="1"/>
    <x v="0"/>
    <s v="0013600000xoEIYAA2"/>
    <x v="121"/>
    <s v="a1E360000012H95EAE"/>
    <x v="233"/>
  </r>
  <r>
    <n v="31"/>
    <x v="110"/>
    <n v="1"/>
    <s v="USD"/>
    <n v="3"/>
    <x v="1"/>
    <s v="0013600000xoEHpAAM"/>
    <x v="122"/>
    <s v="a1E360000012H90EAE"/>
    <x v="234"/>
  </r>
  <r>
    <n v="31"/>
    <x v="110"/>
    <n v="1"/>
    <s v="USD"/>
    <n v="3"/>
    <x v="1"/>
    <s v="0013600000xoEKdAAM"/>
    <x v="123"/>
    <s v="a1E360000012H8zEAE"/>
    <x v="235"/>
  </r>
  <r>
    <n v="31"/>
    <x v="110"/>
    <n v="1"/>
    <s v="USD"/>
    <n v="4"/>
    <x v="3"/>
    <s v="0013600000xoEKfAAM"/>
    <x v="124"/>
    <s v="a1E360000012H91EAE"/>
    <x v="236"/>
  </r>
  <r>
    <n v="31"/>
    <x v="110"/>
    <n v="1"/>
    <s v="USD"/>
    <n v="4"/>
    <x v="3"/>
    <s v="0013600000xoEHpAAM"/>
    <x v="122"/>
    <s v="a1E360000012H92EAE"/>
    <x v="237"/>
  </r>
  <r>
    <n v="31"/>
    <x v="110"/>
    <n v="1"/>
    <s v="USD"/>
    <n v="4"/>
    <x v="3"/>
    <s v="0013600000xoEKdAAM"/>
    <x v="123"/>
    <s v="a1E3p00000B9fEWEAZ"/>
    <x v="238"/>
  </r>
  <r>
    <n v="144"/>
    <x v="111"/>
    <n v="1"/>
    <s v="USD"/>
    <n v="1"/>
    <x v="0"/>
    <s v="0013600000xoEFcAAM"/>
    <x v="125"/>
    <s v="a1E360000012HhKEAU"/>
    <x v="239"/>
  </r>
  <r>
    <m/>
    <x v="112"/>
    <m/>
    <m/>
    <m/>
    <x v="4"/>
    <m/>
    <x v="4"/>
    <m/>
    <x v="7"/>
  </r>
  <r>
    <n v="73"/>
    <x v="113"/>
    <n v="2"/>
    <s v="EUR"/>
    <n v="1"/>
    <x v="0"/>
    <s v="0013600000xoEGuAAM"/>
    <x v="126"/>
    <s v="a1E36000001jMoyEAE"/>
    <x v="240"/>
  </r>
  <r>
    <n v="73"/>
    <x v="113"/>
    <n v="1"/>
    <s v="USD"/>
    <n v="1"/>
    <x v="0"/>
    <s v="0013600000xoEGuAAM"/>
    <x v="126"/>
    <s v="a1E36000001jMp3EAE"/>
    <x v="241"/>
  </r>
  <r>
    <n v="73"/>
    <x v="113"/>
    <n v="2"/>
    <s v="EUR"/>
    <n v="1"/>
    <x v="0"/>
    <s v="0013600000xoEGuAAM"/>
    <x v="126"/>
    <s v="a1E36000002w2yVEAQ"/>
    <x v="242"/>
  </r>
  <r>
    <n v="73"/>
    <x v="113"/>
    <n v="2"/>
    <s v="EUR"/>
    <n v="1"/>
    <x v="0"/>
    <s v="0013600000xoEJHAA2"/>
    <x v="14"/>
    <s v="a1E36000001jMowEAE"/>
    <x v="243"/>
  </r>
  <r>
    <n v="73"/>
    <x v="113"/>
    <n v="2"/>
    <s v="EUR"/>
    <n v="3"/>
    <x v="1"/>
    <s v="0013600000xoEIOAA2"/>
    <x v="51"/>
    <s v="a1E360000012HfTEAU"/>
    <x v="244"/>
  </r>
  <r>
    <n v="73"/>
    <x v="113"/>
    <n v="2"/>
    <s v="EUR"/>
    <n v="4"/>
    <x v="3"/>
    <s v="0013600000xoEHuAAM"/>
    <x v="127"/>
    <s v="a1E3p00000BgjvHEAR"/>
    <x v="245"/>
  </r>
  <r>
    <n v="73"/>
    <x v="113"/>
    <n v="2"/>
    <s v="EUR"/>
    <n v="6"/>
    <x v="3"/>
    <s v="0013600000xoEHuAAM"/>
    <x v="127"/>
    <s v="a1E3p00000BgjvREAR"/>
    <x v="246"/>
  </r>
  <r>
    <n v="73"/>
    <x v="113"/>
    <n v="2"/>
    <s v="EUR"/>
    <n v="2"/>
    <x v="2"/>
    <s v="0013600000xoEG5AAM"/>
    <x v="74"/>
    <s v="a1E360000012HfPEAU"/>
    <x v="247"/>
  </r>
  <r>
    <m/>
    <x v="114"/>
    <m/>
    <m/>
    <m/>
    <x v="4"/>
    <m/>
    <x v="4"/>
    <m/>
    <x v="7"/>
  </r>
  <r>
    <m/>
    <x v="115"/>
    <m/>
    <m/>
    <m/>
    <x v="4"/>
    <m/>
    <x v="4"/>
    <m/>
    <x v="7"/>
  </r>
  <r>
    <n v="74"/>
    <x v="116"/>
    <n v="1"/>
    <s v="USD"/>
    <n v="1"/>
    <x v="0"/>
    <s v="0013600000xoEHQAA2"/>
    <x v="128"/>
    <s v="a1E36000001hEfyEAE"/>
    <x v="248"/>
  </r>
  <r>
    <n v="74"/>
    <x v="116"/>
    <n v="1"/>
    <s v="USD"/>
    <n v="3"/>
    <x v="1"/>
    <s v="0013600000xoEHQAA2"/>
    <x v="128"/>
    <s v="a1E36000001hEg3EAE"/>
    <x v="249"/>
  </r>
  <r>
    <n v="74"/>
    <x v="116"/>
    <n v="1"/>
    <s v="USD"/>
    <n v="5"/>
    <x v="3"/>
    <s v="0013600000xoEHQAA2"/>
    <x v="128"/>
    <s v="a1E1R0000060d30UAA"/>
    <x v="250"/>
  </r>
  <r>
    <n v="74"/>
    <x v="116"/>
    <n v="1"/>
    <s v="USD"/>
    <n v="2"/>
    <x v="2"/>
    <s v="0013600000xoEHQAA2"/>
    <x v="128"/>
    <s v="a1E36000001jMp9EAE"/>
    <x v="251"/>
  </r>
  <r>
    <n v="32"/>
    <x v="117"/>
    <n v="1"/>
    <s v="USD"/>
    <n v="1"/>
    <x v="0"/>
    <s v="0013600000xoEGfAAM"/>
    <x v="129"/>
    <s v="a1E360000012HdKEAU"/>
    <x v="252"/>
  </r>
  <r>
    <n v="32"/>
    <x v="117"/>
    <n v="1"/>
    <s v="USD"/>
    <n v="1"/>
    <x v="0"/>
    <s v="0013600000xoEGdAAM"/>
    <x v="130"/>
    <s v="a1E360000012HdLEAU"/>
    <x v="253"/>
  </r>
  <r>
    <m/>
    <x v="118"/>
    <m/>
    <m/>
    <m/>
    <x v="4"/>
    <m/>
    <x v="4"/>
    <m/>
    <x v="7"/>
  </r>
  <r>
    <m/>
    <x v="119"/>
    <m/>
    <m/>
    <m/>
    <x v="4"/>
    <m/>
    <x v="4"/>
    <m/>
    <x v="7"/>
  </r>
  <r>
    <n v="183"/>
    <x v="120"/>
    <n v="2"/>
    <s v="EUR"/>
    <n v="4"/>
    <x v="3"/>
    <s v="0013600000xoEHCAA2"/>
    <x v="131"/>
    <s v="a1E36000002wfkdEAA"/>
    <x v="254"/>
  </r>
  <r>
    <n v="183"/>
    <x v="120"/>
    <n v="2"/>
    <s v="EUR"/>
    <n v="2"/>
    <x v="2"/>
    <s v="0013600000xoEGDAA2"/>
    <x v="132"/>
    <s v="a1E360000012HiOEAU"/>
    <x v="255"/>
  </r>
  <r>
    <m/>
    <x v="121"/>
    <m/>
    <m/>
    <m/>
    <x v="4"/>
    <m/>
    <x v="4"/>
    <m/>
    <x v="7"/>
  </r>
  <r>
    <n v="139"/>
    <x v="122"/>
    <n v="1"/>
    <s v="USD"/>
    <n v="1"/>
    <x v="0"/>
    <s v="0013600000xoEIFAA2"/>
    <x v="133"/>
    <s v="a1E360000012HhDEAU"/>
    <x v="256"/>
  </r>
  <r>
    <n v="139"/>
    <x v="122"/>
    <n v="1"/>
    <s v="USD"/>
    <n v="4"/>
    <x v="3"/>
    <s v="0013600000xoEIFAA2"/>
    <x v="133"/>
    <s v="a1E3p00000B9Z3vEAF"/>
    <x v="257"/>
  </r>
  <r>
    <n v="139"/>
    <x v="122"/>
    <n v="1"/>
    <s v="USD"/>
    <n v="2"/>
    <x v="2"/>
    <s v="0013600000xoEIFAA2"/>
    <x v="133"/>
    <s v="a1E360000012HhFEAU"/>
    <x v="258"/>
  </r>
  <r>
    <n v="246"/>
    <x v="123"/>
    <n v="2"/>
    <s v="EUR"/>
    <n v="1"/>
    <x v="0"/>
    <s v="0013600001j0U7mAAE"/>
    <x v="134"/>
    <s v="a1E360000063PWnEAM"/>
    <x v="259"/>
  </r>
  <r>
    <n v="55"/>
    <x v="124"/>
    <n v="2"/>
    <s v="EUR"/>
    <n v="1"/>
    <x v="0"/>
    <s v="0013600000xoEHSAA2"/>
    <x v="135"/>
    <s v="a1E36000004ImtrEAC"/>
    <x v="260"/>
  </r>
  <r>
    <n v="55"/>
    <x v="124"/>
    <n v="2"/>
    <s v="EUR"/>
    <n v="4"/>
    <x v="3"/>
    <s v="0013600000xoEHSAA2"/>
    <x v="135"/>
    <s v="a1E3p00000B9oNAEAZ"/>
    <x v="261"/>
  </r>
  <r>
    <n v="55"/>
    <x v="124"/>
    <n v="2"/>
    <s v="EUR"/>
    <n v="6"/>
    <x v="3"/>
    <s v="0013600000xoEHSAA2"/>
    <x v="135"/>
    <s v="a1E36000001jMpYEAU"/>
    <x v="262"/>
  </r>
  <r>
    <n v="55"/>
    <x v="124"/>
    <n v="2"/>
    <s v="EUR"/>
    <n v="2"/>
    <x v="2"/>
    <s v="0013600000xoEHSAA2"/>
    <x v="135"/>
    <s v="a1E36000004ImuQEAS"/>
    <x v="263"/>
  </r>
  <r>
    <n v="34"/>
    <x v="125"/>
    <n v="1"/>
    <s v="USD"/>
    <n v="1"/>
    <x v="0"/>
    <s v="0013600000xoEGmAAM"/>
    <x v="136"/>
    <s v="a1E36000004Id4QEAS"/>
    <x v="264"/>
  </r>
  <r>
    <n v="34"/>
    <x v="125"/>
    <n v="1"/>
    <s v="USD"/>
    <n v="1"/>
    <x v="0"/>
    <s v="0013600000xoEHtAAM"/>
    <x v="137"/>
    <s v="a1E360000012H97EAE"/>
    <x v="265"/>
  </r>
  <r>
    <n v="34"/>
    <x v="125"/>
    <n v="1"/>
    <s v="USD"/>
    <n v="3"/>
    <x v="1"/>
    <s v="0013600000xoEHtAAM"/>
    <x v="137"/>
    <s v="a1E360000012H99EAE"/>
    <x v="266"/>
  </r>
  <r>
    <n v="34"/>
    <x v="125"/>
    <n v="1"/>
    <s v="USD"/>
    <n v="3"/>
    <x v="1"/>
    <s v="0013600000xoEFaAAM"/>
    <x v="138"/>
    <s v="a1E360000012H9AEAU"/>
    <x v="267"/>
  </r>
  <r>
    <n v="34"/>
    <x v="125"/>
    <n v="1"/>
    <s v="USD"/>
    <n v="4"/>
    <x v="3"/>
    <s v="0013600001HymulAAB"/>
    <x v="139"/>
    <s v="a1E36000002weX1EAI"/>
    <x v="268"/>
  </r>
  <r>
    <n v="34"/>
    <x v="125"/>
    <n v="1"/>
    <s v="USD"/>
    <n v="4"/>
    <x v="3"/>
    <s v="0013600000xoEGmAAM"/>
    <x v="136"/>
    <s v="a1E360000012H96EAE"/>
    <x v="269"/>
  </r>
  <r>
    <n v="34"/>
    <x v="125"/>
    <n v="1"/>
    <s v="USD"/>
    <n v="6"/>
    <x v="3"/>
    <s v="0013600000xoEHtAAM"/>
    <x v="137"/>
    <s v="a1E360000012H9BEAU"/>
    <x v="270"/>
  </r>
  <r>
    <n v="34"/>
    <x v="125"/>
    <n v="1"/>
    <s v="USD"/>
    <n v="2"/>
    <x v="2"/>
    <s v="0013600000xoEHtAAM"/>
    <x v="137"/>
    <s v="a1E360000012H98EAE"/>
    <x v="271"/>
  </r>
  <r>
    <n v="34"/>
    <x v="125"/>
    <n v="1"/>
    <s v="USD"/>
    <n v="2"/>
    <x v="2"/>
    <s v="0013600000xoEHtAAM"/>
    <x v="137"/>
    <s v="a1E36000001jMphEAE"/>
    <x v="272"/>
  </r>
  <r>
    <n v="145"/>
    <x v="126"/>
    <n v="1"/>
    <s v="USD"/>
    <n v="1"/>
    <x v="0"/>
    <s v="0013600000xoEKAAA2"/>
    <x v="11"/>
    <s v="a1E360000012HAPEA2"/>
    <x v="273"/>
  </r>
  <r>
    <n v="145"/>
    <x v="126"/>
    <n v="1"/>
    <s v="USD"/>
    <n v="1"/>
    <x v="0"/>
    <s v="0013600000xoEIfAAM"/>
    <x v="140"/>
    <s v="a1E360000012HAOEA2"/>
    <x v="274"/>
  </r>
  <r>
    <n v="145"/>
    <x v="126"/>
    <n v="1"/>
    <s v="USD"/>
    <n v="2"/>
    <x v="2"/>
    <s v="0013600000xoEKAAA2"/>
    <x v="11"/>
    <s v="a1E360000012HALEA2"/>
    <x v="275"/>
  </r>
  <r>
    <n v="145"/>
    <x v="126"/>
    <n v="1"/>
    <s v="USD"/>
    <n v="2"/>
    <x v="2"/>
    <s v="0013600000xoEIfAAM"/>
    <x v="140"/>
    <s v="a1E360000012HAKEA2"/>
    <x v="276"/>
  </r>
  <r>
    <n v="61"/>
    <x v="127"/>
    <n v="1"/>
    <s v="USD"/>
    <n v="1"/>
    <x v="0"/>
    <s v="0013600000xoEFuAAM"/>
    <x v="141"/>
    <s v="a1E360000012HeUEAU"/>
    <x v="277"/>
  </r>
  <r>
    <n v="61"/>
    <x v="127"/>
    <n v="1"/>
    <s v="USD"/>
    <n v="3"/>
    <x v="1"/>
    <s v="0013600000xoEI9AAM"/>
    <x v="142"/>
    <s v="a1E36000004J2cuEAC"/>
    <x v="278"/>
  </r>
  <r>
    <n v="61"/>
    <x v="127"/>
    <n v="1"/>
    <s v="USD"/>
    <n v="4"/>
    <x v="3"/>
    <s v="0013600000xoEI9AAM"/>
    <x v="142"/>
    <s v="a1E36000002weWwEAI"/>
    <x v="279"/>
  </r>
  <r>
    <n v="61"/>
    <x v="127"/>
    <n v="1"/>
    <s v="USD"/>
    <n v="5"/>
    <x v="3"/>
    <s v="0013600000xoEI9AAM"/>
    <x v="142"/>
    <s v="a1E3p00000B9cMMEAZ"/>
    <x v="280"/>
  </r>
  <r>
    <n v="61"/>
    <x v="127"/>
    <n v="1"/>
    <s v="USD"/>
    <n v="4"/>
    <x v="3"/>
    <s v="0013600000xoEFuAAM"/>
    <x v="141"/>
    <s v="a1E36000004ImoEEAS"/>
    <x v="281"/>
  </r>
  <r>
    <m/>
    <x v="128"/>
    <m/>
    <m/>
    <m/>
    <x v="4"/>
    <m/>
    <x v="4"/>
    <m/>
    <x v="7"/>
  </r>
  <r>
    <n v="157"/>
    <x v="129"/>
    <n v="1"/>
    <s v="USD"/>
    <n v="1"/>
    <x v="0"/>
    <s v="0013600000xoEKAAA2"/>
    <x v="11"/>
    <s v="a1E360000012HhlEAE"/>
    <x v="282"/>
  </r>
  <r>
    <n v="157"/>
    <x v="129"/>
    <n v="1"/>
    <s v="USD"/>
    <n v="1"/>
    <x v="0"/>
    <s v="0013600000xoEI5AAM"/>
    <x v="143"/>
    <s v="a1E360000012HhmEAE"/>
    <x v="283"/>
  </r>
  <r>
    <n v="157"/>
    <x v="129"/>
    <n v="1"/>
    <s v="USD"/>
    <n v="3"/>
    <x v="1"/>
    <s v="0013600000xoEKAAA2"/>
    <x v="11"/>
    <s v="a1E360000012HhjEAE"/>
    <x v="284"/>
  </r>
  <r>
    <n v="157"/>
    <x v="129"/>
    <n v="1"/>
    <s v="USD"/>
    <n v="3"/>
    <x v="1"/>
    <s v="0013600000xoEI5AAM"/>
    <x v="143"/>
    <s v="a1E360000012HhkEAE"/>
    <x v="285"/>
  </r>
  <r>
    <n v="157"/>
    <x v="129"/>
    <n v="1"/>
    <s v="USD"/>
    <n v="2"/>
    <x v="2"/>
    <s v="0013600000xoEKAAA2"/>
    <x v="11"/>
    <s v="a1E360000012HhiEAE"/>
    <x v="286"/>
  </r>
  <r>
    <n v="157"/>
    <x v="129"/>
    <n v="1"/>
    <s v="USD"/>
    <n v="2"/>
    <x v="2"/>
    <s v="0013600000xoEI5AAM"/>
    <x v="143"/>
    <s v="a1E360000012HhnEAE"/>
    <x v="287"/>
  </r>
  <r>
    <m/>
    <x v="130"/>
    <m/>
    <m/>
    <m/>
    <x v="4"/>
    <m/>
    <x v="4"/>
    <m/>
    <x v="7"/>
  </r>
  <r>
    <m/>
    <x v="131"/>
    <m/>
    <m/>
    <m/>
    <x v="4"/>
    <m/>
    <x v="4"/>
    <m/>
    <x v="7"/>
  </r>
  <r>
    <n v="86"/>
    <x v="132"/>
    <n v="1"/>
    <s v="USD"/>
    <n v="1"/>
    <x v="0"/>
    <s v="0011R00002BH5sUQAT"/>
    <x v="144"/>
    <s v="a1E1R00000616MgUAI"/>
    <x v="288"/>
  </r>
  <r>
    <n v="86"/>
    <x v="132"/>
    <n v="1"/>
    <s v="USD"/>
    <n v="3"/>
    <x v="1"/>
    <s v="0013600000xoEGjAAM"/>
    <x v="145"/>
    <s v="a1E360000012HgBEAU"/>
    <x v="289"/>
  </r>
  <r>
    <n v="86"/>
    <x v="132"/>
    <n v="1"/>
    <s v="USD"/>
    <n v="2"/>
    <x v="2"/>
    <s v="0011R00002BH5sUQAT"/>
    <x v="144"/>
    <s v="a1E1R00000616MvUAI"/>
    <x v="290"/>
  </r>
  <r>
    <n v="75"/>
    <x v="133"/>
    <n v="2"/>
    <s v="EUR"/>
    <n v="1"/>
    <x v="0"/>
    <s v="0013600000xoEGXAA2"/>
    <x v="146"/>
    <s v="a1E360000012HfaEAE"/>
    <x v="291"/>
  </r>
  <r>
    <n v="75"/>
    <x v="133"/>
    <n v="2"/>
    <s v="EUR"/>
    <n v="1"/>
    <x v="0"/>
    <s v="0013600001ps9TGAAY"/>
    <x v="147"/>
    <s v="a1E3p00000B9jprEAB"/>
    <x v="292"/>
  </r>
  <r>
    <n v="75"/>
    <x v="133"/>
    <n v="2"/>
    <s v="EUR"/>
    <n v="3"/>
    <x v="1"/>
    <s v="0013600000xoEG0AAM"/>
    <x v="74"/>
    <s v="a1E360000012HfYEAU"/>
    <x v="293"/>
  </r>
  <r>
    <n v="75"/>
    <x v="133"/>
    <n v="1"/>
    <s v="USD"/>
    <n v="3"/>
    <x v="1"/>
    <s v="0013600000xoEIrAAM"/>
    <x v="1"/>
    <s v="a1E360000012HfVEAU"/>
    <x v="294"/>
  </r>
  <r>
    <n v="75"/>
    <x v="133"/>
    <n v="2"/>
    <s v="EUR"/>
    <n v="2"/>
    <x v="2"/>
    <s v="0013600001ps9TGAAY"/>
    <x v="147"/>
    <s v="a1E360000064vkFEAQ"/>
    <x v="295"/>
  </r>
  <r>
    <n v="75"/>
    <x v="133"/>
    <n v="2"/>
    <s v="EUR"/>
    <n v="2"/>
    <x v="2"/>
    <s v="0013600000xoEKAAA2"/>
    <x v="11"/>
    <s v="a1E360000012HfZEAU"/>
    <x v="296"/>
  </r>
  <r>
    <n v="75"/>
    <x v="133"/>
    <n v="2"/>
    <s v="EUR"/>
    <n v="2"/>
    <x v="2"/>
    <s v="0013600000xoEIrAAM"/>
    <x v="1"/>
    <s v="a1E360000012HfWEAU"/>
    <x v="297"/>
  </r>
  <r>
    <n v="76"/>
    <x v="134"/>
    <n v="1"/>
    <s v="USD"/>
    <n v="1"/>
    <x v="0"/>
    <s v="00136000011Ofg0AAC"/>
    <x v="148"/>
    <s v="a1E36000001jrzmEAA"/>
    <x v="298"/>
  </r>
  <r>
    <n v="76"/>
    <x v="134"/>
    <n v="1"/>
    <s v="USD"/>
    <n v="1"/>
    <x v="0"/>
    <s v="0013600000xoEFxAAM"/>
    <x v="149"/>
    <s v="a1E360000012HfeEAE"/>
    <x v="299"/>
  </r>
  <r>
    <n v="76"/>
    <x v="134"/>
    <n v="1"/>
    <s v="USD"/>
    <n v="1"/>
    <x v="0"/>
    <s v="0013600000xoEIcAAM"/>
    <x v="150"/>
    <s v="a1E360000012HffEAE"/>
    <x v="300"/>
  </r>
  <r>
    <n v="76"/>
    <x v="134"/>
    <n v="1"/>
    <s v="USD"/>
    <n v="3"/>
    <x v="1"/>
    <s v="0013600001K9jAFAAZ"/>
    <x v="74"/>
    <s v="a1E36000002w6s5EAA"/>
    <x v="301"/>
  </r>
  <r>
    <n v="76"/>
    <x v="134"/>
    <n v="1"/>
    <s v="USD"/>
    <n v="3"/>
    <x v="1"/>
    <s v="0013600000xoEG7AAM"/>
    <x v="151"/>
    <s v="a1E360000012HfbEAE"/>
    <x v="302"/>
  </r>
  <r>
    <n v="76"/>
    <x v="134"/>
    <n v="1"/>
    <s v="USD"/>
    <n v="4"/>
    <x v="3"/>
    <s v="00136000011OffyAAC"/>
    <x v="152"/>
    <s v="a1E3600000657xFEAQ"/>
    <x v="303"/>
  </r>
  <r>
    <n v="76"/>
    <x v="134"/>
    <n v="1"/>
    <s v="USD"/>
    <n v="6"/>
    <x v="3"/>
    <s v="0013600001xdJKHAA2"/>
    <x v="153"/>
    <s v="a1E1R00000FoYyYUAV"/>
    <x v="304"/>
  </r>
  <r>
    <n v="76"/>
    <x v="134"/>
    <n v="1"/>
    <s v="USD"/>
    <n v="2"/>
    <x v="2"/>
    <s v="0013600000xoEFXAA2"/>
    <x v="154"/>
    <s v="a1E360000012HfgEAE"/>
    <x v="305"/>
  </r>
  <r>
    <n v="76"/>
    <x v="134"/>
    <n v="1"/>
    <s v="USD"/>
    <n v="2"/>
    <x v="2"/>
    <s v="0013600000xoEI7AAM"/>
    <x v="155"/>
    <s v="a1E360000012HfiEAE"/>
    <x v="306"/>
  </r>
  <r>
    <n v="76"/>
    <x v="134"/>
    <n v="1"/>
    <s v="USD"/>
    <n v="2"/>
    <x v="2"/>
    <s v="00136000011OffyAAC"/>
    <x v="152"/>
    <s v="a1E3p00000B9eVwEAJ"/>
    <x v="307"/>
  </r>
  <r>
    <n v="76"/>
    <x v="134"/>
    <n v="1"/>
    <s v="USD"/>
    <n v="2"/>
    <x v="2"/>
    <s v="0013600001tPZubAAG"/>
    <x v="156"/>
    <s v="a1E360000065aJFEAY"/>
    <x v="308"/>
  </r>
  <r>
    <m/>
    <x v="135"/>
    <m/>
    <m/>
    <m/>
    <x v="4"/>
    <m/>
    <x v="4"/>
    <m/>
    <x v="7"/>
  </r>
  <r>
    <m/>
    <x v="136"/>
    <m/>
    <m/>
    <m/>
    <x v="4"/>
    <m/>
    <x v="4"/>
    <m/>
    <x v="7"/>
  </r>
  <r>
    <m/>
    <x v="137"/>
    <m/>
    <m/>
    <m/>
    <x v="4"/>
    <m/>
    <x v="4"/>
    <m/>
    <x v="7"/>
  </r>
  <r>
    <m/>
    <x v="138"/>
    <m/>
    <m/>
    <m/>
    <x v="4"/>
    <m/>
    <x v="4"/>
    <m/>
    <x v="7"/>
  </r>
  <r>
    <n v="158"/>
    <x v="139"/>
    <n v="1"/>
    <s v="USD"/>
    <n v="1"/>
    <x v="0"/>
    <s v="0013600000xoEDOAA2"/>
    <x v="157"/>
    <s v="a1E360000012HAqEAM"/>
    <x v="309"/>
  </r>
  <r>
    <n v="158"/>
    <x v="139"/>
    <n v="1"/>
    <s v="USD"/>
    <n v="1"/>
    <x v="0"/>
    <s v="0013600000xoEFsAAM"/>
    <x v="158"/>
    <s v="a1E360000012HArEAM"/>
    <x v="310"/>
  </r>
  <r>
    <n v="158"/>
    <x v="139"/>
    <n v="1"/>
    <s v="USD"/>
    <n v="3"/>
    <x v="1"/>
    <s v="0013600000xoEGTAA2"/>
    <x v="159"/>
    <s v="a1E360000012HAoEAM"/>
    <x v="311"/>
  </r>
  <r>
    <n v="158"/>
    <x v="139"/>
    <n v="1"/>
    <s v="USD"/>
    <n v="3"/>
    <x v="1"/>
    <s v="0013600000xoEKuAAM"/>
    <x v="160"/>
    <s v="a1E360000012HAuEAM"/>
    <x v="312"/>
  </r>
  <r>
    <n v="158"/>
    <x v="139"/>
    <n v="1"/>
    <s v="USD"/>
    <n v="6"/>
    <x v="3"/>
    <s v="0013600000xoEL1AAM"/>
    <x v="157"/>
    <s v="a1E36000001jMqcEAE"/>
    <x v="313"/>
  </r>
  <r>
    <n v="158"/>
    <x v="139"/>
    <n v="1"/>
    <s v="USD"/>
    <n v="2"/>
    <x v="2"/>
    <s v="0013600000xoEFbAAM"/>
    <x v="161"/>
    <s v="a1E360000012HAsEAM"/>
    <x v="314"/>
  </r>
  <r>
    <n v="158"/>
    <x v="139"/>
    <n v="1"/>
    <s v="USD"/>
    <n v="2"/>
    <x v="2"/>
    <s v="0013600000xoEFtAAM"/>
    <x v="162"/>
    <s v="a1E360000012HAtEAM"/>
    <x v="315"/>
  </r>
  <r>
    <n v="158"/>
    <x v="139"/>
    <n v="1"/>
    <s v="USD"/>
    <n v="2"/>
    <x v="2"/>
    <s v="0013600000xoEKuAAM"/>
    <x v="160"/>
    <s v="a1E360000012HAvEAM"/>
    <x v="316"/>
  </r>
  <r>
    <m/>
    <x v="140"/>
    <m/>
    <m/>
    <m/>
    <x v="4"/>
    <m/>
    <x v="4"/>
    <m/>
    <x v="7"/>
  </r>
  <r>
    <m/>
    <x v="141"/>
    <m/>
    <m/>
    <m/>
    <x v="4"/>
    <m/>
    <x v="4"/>
    <m/>
    <x v="7"/>
  </r>
  <r>
    <n v="87"/>
    <x v="142"/>
    <n v="1"/>
    <s v="USD"/>
    <n v="4"/>
    <x v="3"/>
    <s v="0013600000xoEIiAAM"/>
    <x v="1"/>
    <s v="a1E360000012HgFEAU"/>
    <x v="317"/>
  </r>
  <r>
    <n v="226"/>
    <x v="143"/>
    <n v="1"/>
    <s v="USD"/>
    <n v="3"/>
    <x v="1"/>
    <s v="0013600000xoEIbAAM"/>
    <x v="163"/>
    <s v="a1E360000012HB6EAM"/>
    <x v="318"/>
  </r>
  <r>
    <n v="226"/>
    <x v="143"/>
    <n v="1"/>
    <s v="USD"/>
    <n v="4"/>
    <x v="3"/>
    <s v="0013600000xoEKJAA2"/>
    <x v="164"/>
    <s v="a1E36000002wbwNEAQ"/>
    <x v="319"/>
  </r>
  <r>
    <n v="101"/>
    <x v="144"/>
    <n v="1"/>
    <s v="USD"/>
    <n v="1"/>
    <x v="0"/>
    <s v="0013600000xoEGnAAM"/>
    <x v="165"/>
    <s v="a1E360000012HgZEAU"/>
    <x v="320"/>
  </r>
  <r>
    <n v="101"/>
    <x v="144"/>
    <n v="1"/>
    <s v="USD"/>
    <n v="2"/>
    <x v="2"/>
    <s v="0013600000xoEEjAAM"/>
    <x v="166"/>
    <s v="a1E360000012HgbEAE"/>
    <x v="321"/>
  </r>
  <r>
    <n v="102"/>
    <x v="145"/>
    <n v="1"/>
    <s v="USD"/>
    <n v="1"/>
    <x v="0"/>
    <s v="0013600001x4RneAAE"/>
    <x v="167"/>
    <s v="a1E3600000FnlsZEAR"/>
    <x v="322"/>
  </r>
  <r>
    <n v="102"/>
    <x v="145"/>
    <n v="1"/>
    <s v="USD"/>
    <n v="1"/>
    <x v="0"/>
    <s v="0013600000xoEFBAA2"/>
    <x v="168"/>
    <s v="a1E36000001hEg8EAE"/>
    <x v="323"/>
  </r>
  <r>
    <n v="102"/>
    <x v="145"/>
    <n v="1"/>
    <s v="USD"/>
    <n v="2"/>
    <x v="2"/>
    <s v="0013600000xoEL0AAM"/>
    <x v="169"/>
    <s v="a1E36000001hEgDEAU"/>
    <x v="324"/>
  </r>
  <r>
    <n v="146"/>
    <x v="146"/>
    <n v="1"/>
    <s v="USD"/>
    <n v="1"/>
    <x v="0"/>
    <s v="0013600000xoEGEAA2"/>
    <x v="170"/>
    <s v="a1E3p000004raELEAY"/>
    <x v="325"/>
  </r>
  <r>
    <n v="146"/>
    <x v="146"/>
    <n v="1"/>
    <s v="USD"/>
    <n v="1"/>
    <x v="0"/>
    <s v="0013600000xoEKAAA2"/>
    <x v="11"/>
    <s v="a1E360000012HASEA2"/>
    <x v="326"/>
  </r>
  <r>
    <n v="146"/>
    <x v="146"/>
    <n v="1"/>
    <s v="USD"/>
    <n v="3"/>
    <x v="1"/>
    <s v="0013600000xoEGEAA2"/>
    <x v="170"/>
    <s v="a1E360000012HATEA2"/>
    <x v="327"/>
  </r>
  <r>
    <n v="146"/>
    <x v="146"/>
    <n v="1"/>
    <s v="USD"/>
    <n v="2"/>
    <x v="2"/>
    <s v="0013600000xoEFCAA2"/>
    <x v="171"/>
    <s v="a1E360000012HAREA2"/>
    <x v="328"/>
  </r>
  <r>
    <m/>
    <x v="147"/>
    <m/>
    <m/>
    <m/>
    <x v="4"/>
    <m/>
    <x v="4"/>
    <m/>
    <x v="7"/>
  </r>
  <r>
    <m/>
    <x v="148"/>
    <m/>
    <m/>
    <m/>
    <x v="4"/>
    <m/>
    <x v="4"/>
    <m/>
    <x v="7"/>
  </r>
  <r>
    <m/>
    <x v="149"/>
    <m/>
    <m/>
    <m/>
    <x v="4"/>
    <m/>
    <x v="4"/>
    <m/>
    <x v="7"/>
  </r>
  <r>
    <n v="184"/>
    <x v="150"/>
    <n v="2"/>
    <s v="EUR"/>
    <n v="2"/>
    <x v="2"/>
    <s v="0013600001pqloFAAQ"/>
    <x v="172"/>
    <s v="a1E360000064yt9EAA"/>
    <x v="329"/>
  </r>
  <r>
    <m/>
    <x v="151"/>
    <m/>
    <m/>
    <m/>
    <x v="4"/>
    <m/>
    <x v="4"/>
    <m/>
    <x v="7"/>
  </r>
  <r>
    <n v="36"/>
    <x v="152"/>
    <n v="1"/>
    <s v="USD"/>
    <n v="1"/>
    <x v="0"/>
    <s v="0013600000xoEIHAA2"/>
    <x v="173"/>
    <s v="a1E360000012HdNEAU"/>
    <x v="330"/>
  </r>
  <r>
    <n v="36"/>
    <x v="152"/>
    <n v="1"/>
    <s v="USD"/>
    <n v="3"/>
    <x v="1"/>
    <s v="0013600000xoEIHAA2"/>
    <x v="173"/>
    <s v="a1E360000012HdOEAU"/>
    <x v="331"/>
  </r>
  <r>
    <n v="36"/>
    <x v="152"/>
    <n v="1"/>
    <s v="USD"/>
    <n v="4"/>
    <x v="3"/>
    <s v="0013600000xoEIHAA2"/>
    <x v="173"/>
    <s v="a1E3p00000B9o0JEAR"/>
    <x v="332"/>
  </r>
  <r>
    <n v="36"/>
    <x v="152"/>
    <n v="1"/>
    <s v="USD"/>
    <n v="2"/>
    <x v="2"/>
    <s v="0013600000xoEIHAA2"/>
    <x v="173"/>
    <s v="a1E360000012HdMEAU"/>
    <x v="333"/>
  </r>
  <r>
    <m/>
    <x v="153"/>
    <m/>
    <m/>
    <m/>
    <x v="4"/>
    <m/>
    <x v="4"/>
    <m/>
    <x v="7"/>
  </r>
  <r>
    <m/>
    <x v="154"/>
    <m/>
    <m/>
    <m/>
    <x v="4"/>
    <m/>
    <x v="4"/>
    <m/>
    <x v="7"/>
  </r>
  <r>
    <m/>
    <x v="155"/>
    <m/>
    <m/>
    <m/>
    <x v="4"/>
    <m/>
    <x v="4"/>
    <m/>
    <x v="7"/>
  </r>
  <r>
    <m/>
    <x v="156"/>
    <m/>
    <m/>
    <m/>
    <x v="4"/>
    <m/>
    <x v="4"/>
    <m/>
    <x v="7"/>
  </r>
  <r>
    <m/>
    <x v="157"/>
    <m/>
    <m/>
    <m/>
    <x v="4"/>
    <m/>
    <x v="4"/>
    <m/>
    <x v="7"/>
  </r>
  <r>
    <n v="51"/>
    <x v="158"/>
    <n v="2"/>
    <s v="EUR"/>
    <n v="5"/>
    <x v="3"/>
    <s v="0013600000xoEIjAAM"/>
    <x v="1"/>
    <s v="a1E36000002wbtQEAQ"/>
    <x v="334"/>
  </r>
  <r>
    <m/>
    <x v="159"/>
    <m/>
    <m/>
    <m/>
    <x v="4"/>
    <m/>
    <x v="4"/>
    <m/>
    <x v="7"/>
  </r>
  <r>
    <n v="77"/>
    <x v="160"/>
    <n v="2"/>
    <s v="EUR"/>
    <n v="1"/>
    <x v="0"/>
    <s v="0013600000xoEFNAA2"/>
    <x v="174"/>
    <s v="a1E360000012HfmEAE"/>
    <x v="335"/>
  </r>
  <r>
    <n v="77"/>
    <x v="160"/>
    <n v="2"/>
    <s v="EUR"/>
    <n v="1"/>
    <x v="0"/>
    <s v="0013600000xoEGqAAM"/>
    <x v="175"/>
    <s v="a1E360000012HflEAE"/>
    <x v="336"/>
  </r>
  <r>
    <n v="77"/>
    <x v="160"/>
    <n v="2"/>
    <s v="EUR"/>
    <n v="1"/>
    <x v="0"/>
    <s v="0013600000xoEGWAA2"/>
    <x v="176"/>
    <s v="a1E360000012HfnEAE"/>
    <x v="337"/>
  </r>
  <r>
    <n v="77"/>
    <x v="160"/>
    <n v="2"/>
    <s v="EUR"/>
    <n v="3"/>
    <x v="1"/>
    <s v="0013600000xoEHHAA2"/>
    <x v="177"/>
    <s v="a1E360000012HfpEAE"/>
    <x v="338"/>
  </r>
  <r>
    <n v="77"/>
    <x v="160"/>
    <n v="2"/>
    <s v="EUR"/>
    <n v="6"/>
    <x v="3"/>
    <s v="0013600000xoEHHAA2"/>
    <x v="177"/>
    <s v="a1E360000012HfqEAE"/>
    <x v="339"/>
  </r>
  <r>
    <n v="77"/>
    <x v="160"/>
    <n v="2"/>
    <s v="EUR"/>
    <n v="5"/>
    <x v="3"/>
    <s v="0013600000xoEHHAA2"/>
    <x v="177"/>
    <s v="a1E36000004IxWSEA0"/>
    <x v="340"/>
  </r>
  <r>
    <n v="77"/>
    <x v="160"/>
    <n v="2"/>
    <s v="EUR"/>
    <n v="2"/>
    <x v="2"/>
    <s v="0013600000xoEHHAA2"/>
    <x v="177"/>
    <s v="a1E360000012HfkEAE"/>
    <x v="341"/>
  </r>
  <r>
    <n v="245"/>
    <x v="161"/>
    <n v="2"/>
    <s v="EUR"/>
    <n v="1"/>
    <x v="0"/>
    <s v="0013600001omovqAAA"/>
    <x v="178"/>
    <s v="a1E360000064hzhEAA"/>
    <x v="342"/>
  </r>
  <r>
    <m/>
    <x v="162"/>
    <m/>
    <m/>
    <m/>
    <x v="4"/>
    <m/>
    <x v="4"/>
    <m/>
    <x v="7"/>
  </r>
  <r>
    <n v="78"/>
    <x v="163"/>
    <n v="1"/>
    <s v="USD"/>
    <n v="1"/>
    <x v="0"/>
    <s v="0013600000xoEHMAA2"/>
    <x v="179"/>
    <s v="a1E360000012HA2EAM"/>
    <x v="343"/>
  </r>
  <r>
    <n v="78"/>
    <x v="163"/>
    <n v="1"/>
    <s v="USD"/>
    <n v="3"/>
    <x v="1"/>
    <s v="0013600000xoEG2AAM"/>
    <x v="74"/>
    <s v="a1E360000012HA4EAM"/>
    <x v="344"/>
  </r>
  <r>
    <n v="78"/>
    <x v="163"/>
    <n v="1"/>
    <s v="USD"/>
    <n v="3"/>
    <x v="1"/>
    <s v="0013600000xoEFeAAM"/>
    <x v="180"/>
    <s v="a1E360000012HA5EAM"/>
    <x v="345"/>
  </r>
  <r>
    <n v="78"/>
    <x v="163"/>
    <n v="1"/>
    <s v="USD"/>
    <n v="5"/>
    <x v="3"/>
    <s v="0013600000xoEFeAAM"/>
    <x v="180"/>
    <s v="a1E360000012HA1EAM"/>
    <x v="346"/>
  </r>
  <r>
    <m/>
    <x v="164"/>
    <m/>
    <m/>
    <m/>
    <x v="4"/>
    <m/>
    <x v="4"/>
    <m/>
    <x v="7"/>
  </r>
  <r>
    <m/>
    <x v="165"/>
    <m/>
    <m/>
    <m/>
    <x v="4"/>
    <m/>
    <x v="4"/>
    <m/>
    <x v="7"/>
  </r>
  <r>
    <m/>
    <x v="166"/>
    <m/>
    <m/>
    <m/>
    <x v="4"/>
    <m/>
    <x v="4"/>
    <m/>
    <x v="7"/>
  </r>
  <r>
    <m/>
    <x v="167"/>
    <m/>
    <m/>
    <m/>
    <x v="4"/>
    <m/>
    <x v="4"/>
    <m/>
    <x v="7"/>
  </r>
  <r>
    <n v="227"/>
    <x v="168"/>
    <n v="1"/>
    <s v="USD"/>
    <n v="3"/>
    <x v="1"/>
    <s v="0013600000xoEKKAA2"/>
    <x v="181"/>
    <s v="a1E360000012HicEAE"/>
    <x v="347"/>
  </r>
  <r>
    <n v="227"/>
    <x v="168"/>
    <n v="1"/>
    <s v="USD"/>
    <n v="4"/>
    <x v="3"/>
    <s v="0013600000xoEKKAA2"/>
    <x v="181"/>
    <s v="a1E36000002w6WvEAI"/>
    <x v="348"/>
  </r>
  <r>
    <n v="227"/>
    <x v="168"/>
    <n v="1"/>
    <s v="USD"/>
    <n v="2"/>
    <x v="2"/>
    <s v="0013600000xoEKKAA2"/>
    <x v="181"/>
    <s v="a1E3p00000BgjvMEAR"/>
    <x v="349"/>
  </r>
  <r>
    <n v="38"/>
    <x v="169"/>
    <n v="1"/>
    <s v="USD"/>
    <n v="1"/>
    <x v="0"/>
    <s v="0013600000xoEHWAA2"/>
    <x v="112"/>
    <s v="a1E360000012H9CEAU"/>
    <x v="350"/>
  </r>
  <r>
    <n v="38"/>
    <x v="169"/>
    <n v="1"/>
    <s v="USD"/>
    <n v="3"/>
    <x v="1"/>
    <s v="0013600000xoEHWAA2"/>
    <x v="112"/>
    <s v="a1E360000012H9DEAU"/>
    <x v="351"/>
  </r>
  <r>
    <n v="38"/>
    <x v="169"/>
    <n v="1"/>
    <s v="USD"/>
    <n v="2"/>
    <x v="2"/>
    <s v="0013600000xoEIgAAM"/>
    <x v="182"/>
    <s v="a1E360000012H9EEAU"/>
    <x v="352"/>
  </r>
  <r>
    <n v="62"/>
    <x v="170"/>
    <n v="1"/>
    <s v="USD"/>
    <n v="4"/>
    <x v="3"/>
    <s v="0013600000xoEKsAAM"/>
    <x v="183"/>
    <s v="a1E360000012HegEAE"/>
    <x v="353"/>
  </r>
  <r>
    <n v="62"/>
    <x v="170"/>
    <n v="1"/>
    <s v="USD"/>
    <n v="4"/>
    <x v="3"/>
    <s v="0011R00001zlHnFQAU"/>
    <x v="184"/>
    <s v="a1E1R00000FoiwDUAR"/>
    <x v="354"/>
  </r>
  <r>
    <n v="62"/>
    <x v="170"/>
    <n v="1"/>
    <s v="USD"/>
    <n v="4"/>
    <x v="3"/>
    <s v="0013600000xoEKtAAM"/>
    <x v="185"/>
    <s v="a1E360000012HehEAE"/>
    <x v="355"/>
  </r>
  <r>
    <n v="62"/>
    <x v="170"/>
    <n v="1"/>
    <s v="USD"/>
    <n v="4"/>
    <x v="3"/>
    <s v="0013600000xoEKwAAM"/>
    <x v="186"/>
    <s v="a1E360000012HeeEAE"/>
    <x v="356"/>
  </r>
  <r>
    <n v="62"/>
    <x v="170"/>
    <n v="1"/>
    <s v="USD"/>
    <n v="4"/>
    <x v="3"/>
    <s v="0013600000xoEIRAA2"/>
    <x v="187"/>
    <s v="a1E360000012HejEAE"/>
    <x v="357"/>
  </r>
  <r>
    <n v="62"/>
    <x v="170"/>
    <n v="1"/>
    <s v="USD"/>
    <n v="4"/>
    <x v="3"/>
    <s v="0013600000xoEGBAA2"/>
    <x v="188"/>
    <s v="a1E360000012HefEAE"/>
    <x v="358"/>
  </r>
  <r>
    <n v="62"/>
    <x v="170"/>
    <n v="1"/>
    <s v="USD"/>
    <n v="4"/>
    <x v="3"/>
    <s v="0013600000xoEIXAA2"/>
    <x v="189"/>
    <s v="a1E360000012HedEAE"/>
    <x v="359"/>
  </r>
  <r>
    <n v="247"/>
    <x v="171"/>
    <n v="1"/>
    <s v="USD"/>
    <n v="1"/>
    <x v="0"/>
    <s v="0013600000xoEIuAAM"/>
    <x v="1"/>
    <s v="a1E360000012HBBEA2"/>
    <x v="360"/>
  </r>
  <r>
    <n v="247"/>
    <x v="171"/>
    <n v="1"/>
    <s v="USD"/>
    <n v="3"/>
    <x v="1"/>
    <s v="0013600000xoEIOAA2"/>
    <x v="51"/>
    <s v="a1E360000012HBAEA2"/>
    <x v="361"/>
  </r>
  <r>
    <n v="247"/>
    <x v="171"/>
    <n v="1"/>
    <s v="USD"/>
    <n v="4"/>
    <x v="3"/>
    <s v="0013600000xoEIuAAM"/>
    <x v="1"/>
    <s v="a1E3p00000B9lVoEAJ"/>
    <x v="362"/>
  </r>
  <r>
    <n v="247"/>
    <x v="171"/>
    <n v="1"/>
    <s v="USD"/>
    <n v="2"/>
    <x v="2"/>
    <s v="0013600000xoEIuAAM"/>
    <x v="1"/>
    <s v="a1E360000012HBCEA2"/>
    <x v="363"/>
  </r>
  <r>
    <m/>
    <x v="172"/>
    <m/>
    <m/>
    <m/>
    <x v="4"/>
    <m/>
    <x v="4"/>
    <m/>
    <x v="7"/>
  </r>
  <r>
    <n v="159"/>
    <x v="173"/>
    <n v="1"/>
    <s v="USD"/>
    <n v="1"/>
    <x v="0"/>
    <s v="0013600000xoEFkAAM"/>
    <x v="190"/>
    <s v="a1E360000012HhpEAE"/>
    <x v="364"/>
  </r>
  <r>
    <n v="159"/>
    <x v="173"/>
    <n v="1"/>
    <s v="USD"/>
    <n v="1"/>
    <x v="0"/>
    <s v="0013600000xoEFfAAM"/>
    <x v="191"/>
    <s v="a1E360000012HhoEAE"/>
    <x v="365"/>
  </r>
  <r>
    <n v="159"/>
    <x v="173"/>
    <n v="1"/>
    <s v="USD"/>
    <n v="3"/>
    <x v="1"/>
    <s v="0013600000xoEFkAAM"/>
    <x v="190"/>
    <s v="a1E360000012HhrEAE"/>
    <x v="366"/>
  </r>
  <r>
    <n v="159"/>
    <x v="173"/>
    <n v="1"/>
    <s v="USD"/>
    <n v="2"/>
    <x v="2"/>
    <s v="0013600000xoEFkAAM"/>
    <x v="190"/>
    <s v="a1E360000012HhqEAE"/>
    <x v="367"/>
  </r>
  <r>
    <n v="56"/>
    <x v="174"/>
    <n v="1"/>
    <s v="USD"/>
    <n v="1"/>
    <x v="0"/>
    <s v="0013600000xoEIyAAM"/>
    <x v="1"/>
    <s v="a1E360000012H9aEAE"/>
    <x v="368"/>
  </r>
  <r>
    <n v="56"/>
    <x v="174"/>
    <n v="1"/>
    <s v="USD"/>
    <n v="1"/>
    <x v="0"/>
    <s v="0013600000xoEIyAAM"/>
    <x v="1"/>
    <s v="a1E36000001jMsYEAU"/>
    <x v="369"/>
  </r>
  <r>
    <n v="56"/>
    <x v="174"/>
    <n v="1"/>
    <s v="USD"/>
    <n v="3"/>
    <x v="1"/>
    <s v="0013600000xoEKVAA2"/>
    <x v="192"/>
    <s v="a1E36000004IPGHEA4"/>
    <x v="370"/>
  </r>
  <r>
    <n v="56"/>
    <x v="174"/>
    <n v="1"/>
    <s v="USD"/>
    <n v="3"/>
    <x v="1"/>
    <s v="0013600000xoEIyAAM"/>
    <x v="1"/>
    <s v="a1E360000012H9bEAE"/>
    <x v="371"/>
  </r>
  <r>
    <n v="56"/>
    <x v="174"/>
    <n v="1"/>
    <s v="USD"/>
    <n v="3"/>
    <x v="1"/>
    <s v="0013600000xoEIyAAM"/>
    <x v="1"/>
    <s v="a1E36000001jMsZEAU"/>
    <x v="372"/>
  </r>
  <r>
    <n v="56"/>
    <x v="174"/>
    <n v="1"/>
    <s v="USD"/>
    <n v="3"/>
    <x v="1"/>
    <s v="0013600000xoEIyAAM"/>
    <x v="1"/>
    <s v="a1E36000001jMsdEAE"/>
    <x v="373"/>
  </r>
  <r>
    <n v="56"/>
    <x v="174"/>
    <n v="1"/>
    <s v="USD"/>
    <n v="6"/>
    <x v="3"/>
    <s v="0013600000xoEKVAA2"/>
    <x v="192"/>
    <s v="a1E360000012H9dEAE"/>
    <x v="374"/>
  </r>
  <r>
    <n v="56"/>
    <x v="174"/>
    <n v="1"/>
    <s v="USD"/>
    <n v="2"/>
    <x v="2"/>
    <s v="0013600000xoEIyAAM"/>
    <x v="1"/>
    <s v="a1E360000012H9ZEAU"/>
    <x v="375"/>
  </r>
  <r>
    <n v="56"/>
    <x v="174"/>
    <n v="1"/>
    <s v="USD"/>
    <n v="2"/>
    <x v="2"/>
    <s v="0013600000xoEIyAAM"/>
    <x v="1"/>
    <s v="a1E360000012H9cEAE"/>
    <x v="376"/>
  </r>
  <r>
    <n v="103"/>
    <x v="175"/>
    <n v="1"/>
    <s v="USD"/>
    <n v="3"/>
    <x v="1"/>
    <s v="0013600000xoEHaAAM"/>
    <x v="193"/>
    <s v="a1E360000012HgfEAE"/>
    <x v="377"/>
  </r>
  <r>
    <n v="103"/>
    <x v="175"/>
    <n v="1"/>
    <s v="USD"/>
    <n v="4"/>
    <x v="3"/>
    <s v="0013600000xoEHaAAM"/>
    <x v="193"/>
    <s v="a1E360000012HggEAE"/>
    <x v="378"/>
  </r>
  <r>
    <m/>
    <x v="176"/>
    <m/>
    <m/>
    <m/>
    <x v="4"/>
    <m/>
    <x v="4"/>
    <m/>
    <x v="7"/>
  </r>
  <r>
    <m/>
    <x v="177"/>
    <m/>
    <m/>
    <m/>
    <x v="4"/>
    <m/>
    <x v="4"/>
    <m/>
    <x v="7"/>
  </r>
  <r>
    <m/>
    <x v="178"/>
    <m/>
    <m/>
    <m/>
    <x v="4"/>
    <m/>
    <x v="4"/>
    <m/>
    <x v="7"/>
  </r>
  <r>
    <m/>
    <x v="179"/>
    <m/>
    <m/>
    <m/>
    <x v="4"/>
    <m/>
    <x v="4"/>
    <m/>
    <x v="7"/>
  </r>
  <r>
    <n v="132"/>
    <x v="180"/>
    <n v="1"/>
    <s v="USD"/>
    <n v="1"/>
    <x v="0"/>
    <s v="0013600000xoEJ2AAM"/>
    <x v="1"/>
    <s v="a1E360000012Hh2EAE"/>
    <x v="379"/>
  </r>
  <r>
    <n v="132"/>
    <x v="180"/>
    <n v="1"/>
    <s v="USD"/>
    <n v="4"/>
    <x v="3"/>
    <s v="0013600000xoEJ2AAM"/>
    <x v="1"/>
    <s v="a1E3p00000B9icqEAB"/>
    <x v="380"/>
  </r>
  <r>
    <n v="132"/>
    <x v="180"/>
    <n v="1"/>
    <s v="USD"/>
    <n v="2"/>
    <x v="2"/>
    <s v="0013600000xoEKeAAM"/>
    <x v="194"/>
    <s v="a1E360000012Hh1EAE"/>
    <x v="381"/>
  </r>
  <r>
    <n v="40"/>
    <x v="181"/>
    <n v="1"/>
    <s v="USD"/>
    <n v="1"/>
    <x v="0"/>
    <s v="0013600000xoEHrAAM"/>
    <x v="195"/>
    <s v="a1E360000012HdREAU"/>
    <x v="382"/>
  </r>
  <r>
    <n v="40"/>
    <x v="181"/>
    <n v="1"/>
    <s v="USD"/>
    <n v="1"/>
    <x v="0"/>
    <s v="0013600000xoEIOAA2"/>
    <x v="51"/>
    <s v="a1E360000012HdVEAU"/>
    <x v="383"/>
  </r>
  <r>
    <n v="40"/>
    <x v="181"/>
    <n v="1"/>
    <s v="USD"/>
    <n v="3"/>
    <x v="1"/>
    <s v="0013600000xoEHrAAM"/>
    <x v="195"/>
    <s v="a1E360000012HdXEAU"/>
    <x v="384"/>
  </r>
  <r>
    <n v="40"/>
    <x v="181"/>
    <n v="1"/>
    <s v="USD"/>
    <n v="4"/>
    <x v="3"/>
    <s v="0013600001IbBhRAAV"/>
    <x v="196"/>
    <s v="a1E36000004ITnPEAW"/>
    <x v="385"/>
  </r>
  <r>
    <n v="40"/>
    <x v="181"/>
    <n v="1"/>
    <s v="USD"/>
    <n v="4"/>
    <x v="3"/>
    <s v="0013600000xoEKAAA2"/>
    <x v="11"/>
    <s v="a1E360000012HdPEAU"/>
    <x v="386"/>
  </r>
  <r>
    <n v="40"/>
    <x v="181"/>
    <n v="1"/>
    <s v="USD"/>
    <n v="2"/>
    <x v="2"/>
    <s v="0013600000xoEHrAAM"/>
    <x v="195"/>
    <s v="a1E360000012HdSEAU"/>
    <x v="387"/>
  </r>
  <r>
    <n v="148"/>
    <x v="182"/>
    <n v="1"/>
    <s v="USD"/>
    <n v="4"/>
    <x v="3"/>
    <s v="0013600000xoEGLAA2"/>
    <x v="197"/>
    <s v="a1E360000012HhLEAU"/>
    <x v="388"/>
  </r>
  <r>
    <n v="148"/>
    <x v="182"/>
    <n v="1"/>
    <s v="USD"/>
    <n v="4"/>
    <x v="3"/>
    <s v="0013600000xoEGIAA2"/>
    <x v="198"/>
    <s v="a1E360000012HhMEAU"/>
    <x v="389"/>
  </r>
  <r>
    <n v="149"/>
    <x v="183"/>
    <n v="1"/>
    <s v="USD"/>
    <n v="1"/>
    <x v="0"/>
    <s v="0013600000xoEIeAAM"/>
    <x v="199"/>
    <s v="a1E360000012HhOEAU"/>
    <x v="390"/>
  </r>
  <r>
    <n v="149"/>
    <x v="183"/>
    <n v="1"/>
    <s v="USD"/>
    <n v="3"/>
    <x v="1"/>
    <s v="0013600000xoEIeAAM"/>
    <x v="199"/>
    <s v="a1E360000012HhPEAU"/>
    <x v="391"/>
  </r>
  <r>
    <n v="149"/>
    <x v="183"/>
    <n v="1"/>
    <s v="USD"/>
    <n v="2"/>
    <x v="2"/>
    <s v="0013600000xoEIeAAM"/>
    <x v="199"/>
    <s v="a1E360000012HhQEAU"/>
    <x v="392"/>
  </r>
  <r>
    <n v="79"/>
    <x v="184"/>
    <n v="2"/>
    <s v="EUR"/>
    <n v="1"/>
    <x v="0"/>
    <s v="0013600000xoEKXAA2"/>
    <x v="200"/>
    <s v="a1E360000012HfwEAE"/>
    <x v="393"/>
  </r>
  <r>
    <n v="79"/>
    <x v="184"/>
    <n v="2"/>
    <s v="EUR"/>
    <n v="3"/>
    <x v="1"/>
    <s v="0013600000xoEKXAA2"/>
    <x v="200"/>
    <s v="a1E360000012HfvEAE"/>
    <x v="394"/>
  </r>
  <r>
    <n v="79"/>
    <x v="184"/>
    <n v="2"/>
    <s v="EUR"/>
    <n v="2"/>
    <x v="2"/>
    <s v="0013600000xoEKXAA2"/>
    <x v="200"/>
    <s v="a1E360000012HfxEAE"/>
    <x v="395"/>
  </r>
  <r>
    <m/>
    <x v="185"/>
    <m/>
    <m/>
    <m/>
    <x v="4"/>
    <m/>
    <x v="4"/>
    <m/>
    <x v="7"/>
  </r>
  <r>
    <m/>
    <x v="186"/>
    <m/>
    <m/>
    <m/>
    <x v="4"/>
    <m/>
    <x v="4"/>
    <m/>
    <x v="7"/>
  </r>
  <r>
    <m/>
    <x v="187"/>
    <m/>
    <m/>
    <m/>
    <x v="4"/>
    <m/>
    <x v="4"/>
    <m/>
    <x v="7"/>
  </r>
  <r>
    <n v="57"/>
    <x v="188"/>
    <n v="1"/>
    <s v="USD"/>
    <n v="1"/>
    <x v="0"/>
    <s v="0013600000xoEG8AAM"/>
    <x v="201"/>
    <s v="a1E360000012HeGEAU"/>
    <x v="396"/>
  </r>
  <r>
    <n v="57"/>
    <x v="188"/>
    <n v="1"/>
    <s v="USD"/>
    <n v="1"/>
    <x v="0"/>
    <s v="0013600000xoEG8AAM"/>
    <x v="201"/>
    <s v="a1E360000012HeHEAU"/>
    <x v="397"/>
  </r>
  <r>
    <n v="57"/>
    <x v="188"/>
    <n v="1"/>
    <s v="USD"/>
    <n v="2"/>
    <x v="2"/>
    <s v="0013600000xoEIBAA2"/>
    <x v="202"/>
    <s v="a1E360000012HeIEAU"/>
    <x v="398"/>
  </r>
  <r>
    <m/>
    <x v="189"/>
    <m/>
    <m/>
    <m/>
    <x v="4"/>
    <m/>
    <x v="4"/>
    <m/>
    <x v="7"/>
  </r>
  <r>
    <n v="133"/>
    <x v="190"/>
    <n v="1"/>
    <s v="USD"/>
    <n v="2"/>
    <x v="2"/>
    <s v="0013600000xoEIxAAM"/>
    <x v="1"/>
    <s v="a1E360000012Hh5EAE"/>
    <x v="399"/>
  </r>
  <r>
    <m/>
    <x v="191"/>
    <m/>
    <m/>
    <m/>
    <x v="4"/>
    <m/>
    <x v="4"/>
    <m/>
    <x v="7"/>
  </r>
  <r>
    <n v="39"/>
    <x v="192"/>
    <n v="1"/>
    <s v="USD"/>
    <n v="1"/>
    <x v="0"/>
    <s v="0013600000xoEI0AAM"/>
    <x v="203"/>
    <s v="a1E360000012H9JEAU"/>
    <x v="400"/>
  </r>
  <r>
    <n v="39"/>
    <x v="192"/>
    <n v="1"/>
    <s v="USD"/>
    <n v="3"/>
    <x v="1"/>
    <s v="0013600000xoEI0AAM"/>
    <x v="203"/>
    <s v="a1E360000012H9HEAU"/>
    <x v="401"/>
  </r>
  <r>
    <n v="39"/>
    <x v="192"/>
    <n v="1"/>
    <s v="USD"/>
    <n v="3"/>
    <x v="1"/>
    <s v="0013600000xoEGeAAM"/>
    <x v="204"/>
    <s v="a1E360000012H9IEAU"/>
    <x v="402"/>
  </r>
  <r>
    <n v="39"/>
    <x v="192"/>
    <n v="1"/>
    <s v="USD"/>
    <n v="4"/>
    <x v="3"/>
    <s v="0013600000xoEGeAAM"/>
    <x v="204"/>
    <s v="a1E360000012H9KEAU"/>
    <x v="403"/>
  </r>
  <r>
    <n v="39"/>
    <x v="192"/>
    <n v="1"/>
    <s v="USD"/>
    <n v="6"/>
    <x v="3"/>
    <s v="0013600000xoEGeAAM"/>
    <x v="204"/>
    <s v="a1E360000012H9MEAU"/>
    <x v="404"/>
  </r>
  <r>
    <n v="39"/>
    <x v="192"/>
    <n v="1"/>
    <s v="USD"/>
    <n v="2"/>
    <x v="2"/>
    <s v="0013600000xoEI0AAM"/>
    <x v="203"/>
    <s v="a1E360000012H9FEAU"/>
    <x v="405"/>
  </r>
  <r>
    <n v="187"/>
    <x v="193"/>
    <n v="1"/>
    <s v="USD"/>
    <n v="4"/>
    <x v="3"/>
    <s v="0013600000xoEFOAA2"/>
    <x v="205"/>
    <s v="a1E360000012HiVEAU"/>
    <x v="406"/>
  </r>
  <r>
    <n v="187"/>
    <x v="193"/>
    <n v="1"/>
    <s v="USD"/>
    <n v="4"/>
    <x v="3"/>
    <s v="0013600000xoEHGAA2"/>
    <x v="206"/>
    <s v="a1E360000012HiUEAU"/>
    <x v="407"/>
  </r>
  <r>
    <n v="187"/>
    <x v="193"/>
    <n v="1"/>
    <s v="USD"/>
    <n v="4"/>
    <x v="3"/>
    <s v="0013600000xoEHhAAM"/>
    <x v="207"/>
    <s v="a1E360000012HiWEAU"/>
    <x v="408"/>
  </r>
  <r>
    <m/>
    <x v="194"/>
    <m/>
    <m/>
    <m/>
    <x v="4"/>
    <m/>
    <x v="4"/>
    <m/>
    <x v="7"/>
  </r>
  <r>
    <m/>
    <x v="195"/>
    <m/>
    <m/>
    <m/>
    <x v="4"/>
    <m/>
    <x v="4"/>
    <m/>
    <x v="7"/>
  </r>
  <r>
    <m/>
    <x v="196"/>
    <m/>
    <m/>
    <m/>
    <x v="4"/>
    <m/>
    <x v="4"/>
    <m/>
    <x v="7"/>
  </r>
  <r>
    <m/>
    <x v="197"/>
    <m/>
    <m/>
    <m/>
    <x v="4"/>
    <m/>
    <x v="4"/>
    <m/>
    <x v="7"/>
  </r>
  <r>
    <n v="134"/>
    <x v="198"/>
    <n v="1"/>
    <s v="USD"/>
    <n v="1"/>
    <x v="0"/>
    <s v="0013600000xoEKzAAM"/>
    <x v="208"/>
    <s v="a1E36000001hEgNEAU"/>
    <x v="409"/>
  </r>
  <r>
    <n v="134"/>
    <x v="198"/>
    <n v="1"/>
    <s v="USD"/>
    <n v="3"/>
    <x v="1"/>
    <s v="0013600000xoEIaAAM"/>
    <x v="209"/>
    <s v="a1E360000012Hh6EAE"/>
    <x v="410"/>
  </r>
  <r>
    <n v="134"/>
    <x v="198"/>
    <n v="1"/>
    <s v="USD"/>
    <n v="2"/>
    <x v="2"/>
    <s v="0013600000xoEI1AAM"/>
    <x v="210"/>
    <s v="a1E360000012Hh7EAE"/>
    <x v="411"/>
  </r>
  <r>
    <m/>
    <x v="199"/>
    <m/>
    <m/>
    <m/>
    <x v="4"/>
    <m/>
    <x v="4"/>
    <m/>
    <x v="7"/>
  </r>
  <r>
    <m/>
    <x v="200"/>
    <m/>
    <m/>
    <m/>
    <x v="4"/>
    <m/>
    <x v="4"/>
    <m/>
    <x v="7"/>
  </r>
  <r>
    <n v="150"/>
    <x v="201"/>
    <n v="1"/>
    <s v="USD"/>
    <n v="1"/>
    <x v="0"/>
    <s v="0013600000xoEF7AAM"/>
    <x v="211"/>
    <s v="a1E360000012HAVEA2"/>
    <x v="412"/>
  </r>
  <r>
    <n v="150"/>
    <x v="201"/>
    <n v="1"/>
    <s v="USD"/>
    <n v="1"/>
    <x v="0"/>
    <s v="0013600000xoEKNAA2"/>
    <x v="212"/>
    <s v="a1E360000012HAWEA2"/>
    <x v="413"/>
  </r>
  <r>
    <n v="150"/>
    <x v="201"/>
    <n v="1"/>
    <s v="USD"/>
    <n v="2"/>
    <x v="2"/>
    <s v="0013600000xoEKMAA2"/>
    <x v="213"/>
    <s v="a1E360000012HAXEA2"/>
    <x v="414"/>
  </r>
  <r>
    <m/>
    <x v="202"/>
    <m/>
    <m/>
    <m/>
    <x v="4"/>
    <m/>
    <x v="4"/>
    <m/>
    <x v="7"/>
  </r>
  <r>
    <n v="177"/>
    <x v="203"/>
    <n v="1"/>
    <s v="USD"/>
    <n v="2"/>
    <x v="2"/>
    <s v="0013600000xoEHyAAM"/>
    <x v="214"/>
    <s v="a1E360000012HiGEAU"/>
    <x v="415"/>
  </r>
  <r>
    <n v="41"/>
    <x v="204"/>
    <n v="1"/>
    <s v="USD"/>
    <n v="1"/>
    <x v="0"/>
    <s v="0013600000xoEIvAAM"/>
    <x v="1"/>
    <s v="a1E360000012H9PEAU"/>
    <x v="416"/>
  </r>
  <r>
    <n v="41"/>
    <x v="204"/>
    <n v="1"/>
    <s v="USD"/>
    <n v="3"/>
    <x v="1"/>
    <s v="0013600000xoEHZAA2"/>
    <x v="215"/>
    <s v="a1E360000012H9TEAU"/>
    <x v="417"/>
  </r>
  <r>
    <n v="41"/>
    <x v="204"/>
    <n v="1"/>
    <s v="USD"/>
    <n v="3"/>
    <x v="1"/>
    <s v="0013600000xoEFpAAM"/>
    <x v="216"/>
    <s v="a1E360000012H9REAU"/>
    <x v="418"/>
  </r>
  <r>
    <n v="41"/>
    <x v="204"/>
    <n v="1"/>
    <s v="USD"/>
    <n v="4"/>
    <x v="3"/>
    <s v="0013600000xoEHZAA2"/>
    <x v="215"/>
    <s v="a1E360000012H9SEAU"/>
    <x v="419"/>
  </r>
  <r>
    <n v="41"/>
    <x v="204"/>
    <n v="1"/>
    <s v="USD"/>
    <n v="4"/>
    <x v="3"/>
    <s v="0013600000xoEFpAAM"/>
    <x v="216"/>
    <s v="a1E360000012H9QEAU"/>
    <x v="420"/>
  </r>
  <r>
    <n v="244"/>
    <x v="205"/>
    <n v="1"/>
    <s v="USD"/>
    <n v="3"/>
    <x v="1"/>
    <s v="0013600000xoEIAAA2"/>
    <x v="217"/>
    <s v="a1E360000012HiiEAE"/>
    <x v="421"/>
  </r>
  <r>
    <n v="244"/>
    <x v="205"/>
    <n v="1"/>
    <s v="USD"/>
    <n v="4"/>
    <x v="3"/>
    <s v="0013600000xoEIAAA2"/>
    <x v="217"/>
    <s v="a1E360000012HijEAE"/>
    <x v="422"/>
  </r>
  <r>
    <n v="42"/>
    <x v="206"/>
    <n v="1"/>
    <s v="USD"/>
    <n v="1"/>
    <x v="0"/>
    <s v="0013600000xoEIlAAM"/>
    <x v="1"/>
    <s v="a1E360000012H9WEAU"/>
    <x v="423"/>
  </r>
  <r>
    <n v="42"/>
    <x v="206"/>
    <n v="1"/>
    <s v="USD"/>
    <n v="3"/>
    <x v="1"/>
    <s v="0013600000xoEI4AAM"/>
    <x v="218"/>
    <s v="a1E360000012H9UEAU"/>
    <x v="424"/>
  </r>
  <r>
    <n v="42"/>
    <x v="206"/>
    <n v="1"/>
    <s v="USD"/>
    <n v="2"/>
    <x v="2"/>
    <s v="0013600000xoEI4AAM"/>
    <x v="218"/>
    <s v="a1E360000012H9VEAU"/>
    <x v="42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0">
  <r>
    <n v="1"/>
    <x v="0"/>
    <x v="0"/>
    <s v="Procurement of LLINs (or ITNs) for mass campaigns"/>
    <x v="0"/>
    <m/>
    <m/>
    <m/>
    <m/>
    <m/>
    <m/>
    <m/>
    <m/>
    <m/>
    <s v="-"/>
    <n v="0"/>
    <s v="-"/>
    <n v="0"/>
    <s v="-"/>
    <n v="0"/>
    <s v="-"/>
    <n v="0"/>
    <m/>
    <n v="0"/>
    <m/>
    <m/>
    <m/>
    <m/>
    <n v="0"/>
    <m/>
    <n v="0"/>
    <m/>
    <n v="0"/>
    <m/>
    <n v="0"/>
    <m/>
    <n v="0"/>
    <m/>
    <m/>
    <m/>
    <m/>
    <n v="0"/>
    <m/>
    <n v="0"/>
    <m/>
    <n v="0"/>
    <m/>
    <n v="0"/>
    <m/>
    <n v="0"/>
    <m/>
    <m/>
    <m/>
    <m/>
    <n v="0"/>
    <n v="0"/>
    <n v="0"/>
    <n v="0"/>
    <n v="0"/>
    <n v="0"/>
    <n v="0"/>
    <n v="0"/>
    <n v="0"/>
    <m/>
    <n v="0"/>
    <n v="0"/>
    <m/>
    <m/>
    <n v="0"/>
    <s v="Malaria"/>
    <x v="0"/>
  </r>
  <r>
    <n v="2"/>
    <x v="0"/>
    <x v="0"/>
    <s v="PSM costs"/>
    <x v="1"/>
    <m/>
    <m/>
    <m/>
    <m/>
    <m/>
    <m/>
    <m/>
    <m/>
    <m/>
    <s v="-"/>
    <n v="0"/>
    <s v="-"/>
    <n v="0"/>
    <s v="-"/>
    <n v="0"/>
    <s v="-"/>
    <n v="0"/>
    <m/>
    <n v="0"/>
    <m/>
    <m/>
    <m/>
    <m/>
    <n v="0"/>
    <m/>
    <n v="0"/>
    <m/>
    <n v="0"/>
    <m/>
    <n v="0"/>
    <m/>
    <n v="0"/>
    <m/>
    <m/>
    <m/>
    <m/>
    <n v="0"/>
    <m/>
    <n v="0"/>
    <m/>
    <n v="0"/>
    <m/>
    <n v="0"/>
    <m/>
    <n v="0"/>
    <m/>
    <m/>
    <m/>
    <m/>
    <n v="0"/>
    <n v="0"/>
    <n v="0"/>
    <n v="0"/>
    <n v="0"/>
    <n v="0"/>
    <n v="0"/>
    <n v="0"/>
    <n v="0"/>
    <m/>
    <n v="0"/>
    <n v="0"/>
    <m/>
    <m/>
    <n v="0"/>
    <s v="Malaria"/>
    <x v="1"/>
  </r>
  <r>
    <n v="3"/>
    <x v="0"/>
    <x v="0"/>
    <s v="PSM costs"/>
    <x v="2"/>
    <m/>
    <m/>
    <m/>
    <m/>
    <m/>
    <m/>
    <m/>
    <m/>
    <m/>
    <s v="-"/>
    <n v="0"/>
    <s v="-"/>
    <n v="0"/>
    <s v="-"/>
    <n v="0"/>
    <s v="-"/>
    <n v="0"/>
    <m/>
    <n v="0"/>
    <m/>
    <m/>
    <m/>
    <m/>
    <n v="0"/>
    <m/>
    <n v="0"/>
    <m/>
    <n v="0"/>
    <m/>
    <n v="0"/>
    <m/>
    <n v="0"/>
    <m/>
    <m/>
    <m/>
    <m/>
    <n v="0"/>
    <m/>
    <n v="0"/>
    <m/>
    <n v="0"/>
    <m/>
    <n v="0"/>
    <m/>
    <n v="0"/>
    <m/>
    <m/>
    <m/>
    <m/>
    <n v="0"/>
    <n v="0"/>
    <n v="0"/>
    <n v="0"/>
    <n v="0"/>
    <n v="0"/>
    <n v="0"/>
    <n v="0"/>
    <n v="0"/>
    <m/>
    <n v="0"/>
    <n v="0"/>
    <m/>
    <m/>
    <n v="0"/>
    <s v="Malaria"/>
    <x v="1"/>
  </r>
  <r>
    <n v="4"/>
    <x v="0"/>
    <x v="0"/>
    <s v="PSM costs"/>
    <x v="3"/>
    <m/>
    <m/>
    <m/>
    <m/>
    <m/>
    <m/>
    <m/>
    <m/>
    <m/>
    <s v="-"/>
    <n v="0"/>
    <s v="-"/>
    <n v="0"/>
    <s v="-"/>
    <n v="0"/>
    <s v="-"/>
    <n v="0"/>
    <m/>
    <n v="0"/>
    <m/>
    <m/>
    <m/>
    <m/>
    <n v="0"/>
    <m/>
    <n v="0"/>
    <m/>
    <n v="0"/>
    <m/>
    <n v="0"/>
    <m/>
    <n v="0"/>
    <m/>
    <m/>
    <m/>
    <m/>
    <n v="0"/>
    <m/>
    <n v="0"/>
    <m/>
    <n v="0"/>
    <m/>
    <n v="0"/>
    <m/>
    <n v="0"/>
    <m/>
    <m/>
    <m/>
    <m/>
    <n v="0"/>
    <n v="0"/>
    <n v="0"/>
    <n v="0"/>
    <n v="0"/>
    <n v="0"/>
    <n v="0"/>
    <n v="0"/>
    <n v="0"/>
    <m/>
    <n v="0"/>
    <n v="0"/>
    <m/>
    <m/>
    <n v="0"/>
    <s v="Malaria"/>
    <x v="1"/>
  </r>
  <r>
    <n v="5"/>
    <x v="0"/>
    <x v="0"/>
    <s v="PSM costs"/>
    <x v="4"/>
    <m/>
    <m/>
    <m/>
    <m/>
    <m/>
    <m/>
    <m/>
    <m/>
    <m/>
    <s v="-"/>
    <n v="0"/>
    <s v="-"/>
    <n v="0"/>
    <s v="-"/>
    <n v="0"/>
    <s v="-"/>
    <n v="0"/>
    <m/>
    <n v="0"/>
    <m/>
    <m/>
    <m/>
    <m/>
    <n v="0"/>
    <m/>
    <n v="0"/>
    <m/>
    <n v="0"/>
    <m/>
    <n v="0"/>
    <m/>
    <n v="0"/>
    <m/>
    <m/>
    <m/>
    <m/>
    <n v="0"/>
    <m/>
    <n v="0"/>
    <m/>
    <n v="0"/>
    <m/>
    <n v="0"/>
    <m/>
    <n v="0"/>
    <m/>
    <m/>
    <m/>
    <m/>
    <n v="0"/>
    <n v="0"/>
    <n v="0"/>
    <n v="0"/>
    <n v="0"/>
    <n v="0"/>
    <n v="0"/>
    <n v="0"/>
    <n v="0"/>
    <m/>
    <n v="0"/>
    <n v="0"/>
    <m/>
    <m/>
    <n v="0"/>
    <s v="Malaria"/>
    <x v="1"/>
  </r>
  <r>
    <n v="6"/>
    <x v="0"/>
    <x v="0"/>
    <s v="PSM costs"/>
    <x v="5"/>
    <m/>
    <m/>
    <m/>
    <m/>
    <m/>
    <m/>
    <m/>
    <m/>
    <m/>
    <s v="-"/>
    <n v="0"/>
    <s v="-"/>
    <n v="0"/>
    <s v="-"/>
    <n v="0"/>
    <s v="-"/>
    <n v="0"/>
    <m/>
    <n v="0"/>
    <m/>
    <m/>
    <m/>
    <m/>
    <n v="0"/>
    <m/>
    <n v="0"/>
    <m/>
    <n v="0"/>
    <m/>
    <n v="0"/>
    <m/>
    <n v="0"/>
    <m/>
    <m/>
    <m/>
    <m/>
    <n v="0"/>
    <m/>
    <n v="0"/>
    <m/>
    <n v="0"/>
    <m/>
    <n v="0"/>
    <m/>
    <n v="0"/>
    <m/>
    <m/>
    <m/>
    <m/>
    <n v="0"/>
    <n v="0"/>
    <n v="0"/>
    <n v="0"/>
    <n v="0"/>
    <n v="0"/>
    <n v="0"/>
    <n v="0"/>
    <n v="0"/>
    <m/>
    <n v="0"/>
    <n v="0"/>
    <m/>
    <m/>
    <n v="0"/>
    <s v="Malaria"/>
    <x v="1"/>
  </r>
  <r>
    <n v="7"/>
    <x v="0"/>
    <x v="0"/>
    <s v="PSM costs"/>
    <x v="6"/>
    <m/>
    <m/>
    <m/>
    <m/>
    <m/>
    <m/>
    <m/>
    <m/>
    <m/>
    <s v="-"/>
    <n v="0"/>
    <s v="-"/>
    <n v="0"/>
    <s v="-"/>
    <n v="0"/>
    <s v="-"/>
    <n v="0"/>
    <m/>
    <n v="0"/>
    <m/>
    <m/>
    <m/>
    <m/>
    <n v="0"/>
    <m/>
    <n v="0"/>
    <m/>
    <n v="0"/>
    <m/>
    <n v="0"/>
    <m/>
    <n v="0"/>
    <m/>
    <m/>
    <m/>
    <m/>
    <n v="0"/>
    <m/>
    <n v="0"/>
    <m/>
    <n v="0"/>
    <m/>
    <n v="0"/>
    <m/>
    <n v="0"/>
    <m/>
    <m/>
    <m/>
    <m/>
    <n v="0"/>
    <n v="0"/>
    <n v="0"/>
    <n v="0"/>
    <n v="0"/>
    <n v="0"/>
    <n v="0"/>
    <n v="0"/>
    <n v="0"/>
    <m/>
    <n v="0"/>
    <n v="0"/>
    <m/>
    <m/>
    <n v="0"/>
    <s v="Malaria"/>
    <x v="1"/>
  </r>
  <r>
    <n v="8"/>
    <x v="0"/>
    <x v="0"/>
    <s v="PSM costs"/>
    <x v="7"/>
    <m/>
    <m/>
    <m/>
    <m/>
    <m/>
    <m/>
    <m/>
    <m/>
    <m/>
    <s v="-"/>
    <n v="0"/>
    <s v="-"/>
    <n v="0"/>
    <s v="-"/>
    <n v="0"/>
    <s v="-"/>
    <n v="0"/>
    <m/>
    <n v="0"/>
    <m/>
    <m/>
    <m/>
    <m/>
    <n v="0"/>
    <m/>
    <n v="0"/>
    <m/>
    <n v="0"/>
    <m/>
    <n v="0"/>
    <m/>
    <n v="0"/>
    <m/>
    <m/>
    <m/>
    <m/>
    <n v="0"/>
    <m/>
    <n v="0"/>
    <m/>
    <n v="0"/>
    <m/>
    <n v="0"/>
    <m/>
    <n v="0"/>
    <m/>
    <m/>
    <m/>
    <m/>
    <n v="0"/>
    <n v="0"/>
    <n v="0"/>
    <n v="0"/>
    <n v="0"/>
    <n v="0"/>
    <n v="0"/>
    <n v="0"/>
    <n v="0"/>
    <m/>
    <n v="0"/>
    <n v="0"/>
    <m/>
    <m/>
    <n v="0"/>
    <s v="Malaria"/>
    <x v="1"/>
  </r>
  <r>
    <n v="9"/>
    <x v="0"/>
    <x v="1"/>
    <s v="Procurement of LLINs (or ITNs) for mass campaigns"/>
    <x v="0"/>
    <m/>
    <m/>
    <m/>
    <m/>
    <m/>
    <m/>
    <m/>
    <m/>
    <m/>
    <s v="-"/>
    <n v="0"/>
    <s v="-"/>
    <n v="0"/>
    <s v="-"/>
    <n v="0"/>
    <s v="-"/>
    <n v="0"/>
    <m/>
    <n v="0"/>
    <m/>
    <m/>
    <m/>
    <m/>
    <n v="0"/>
    <m/>
    <n v="0"/>
    <m/>
    <n v="0"/>
    <m/>
    <n v="0"/>
    <m/>
    <n v="0"/>
    <m/>
    <m/>
    <m/>
    <m/>
    <n v="0"/>
    <m/>
    <n v="0"/>
    <m/>
    <n v="0"/>
    <m/>
    <n v="0"/>
    <m/>
    <n v="0"/>
    <m/>
    <m/>
    <m/>
    <m/>
    <n v="0"/>
    <n v="0"/>
    <n v="0"/>
    <n v="0"/>
    <n v="0"/>
    <n v="0"/>
    <n v="0"/>
    <n v="0"/>
    <n v="0"/>
    <m/>
    <n v="0"/>
    <n v="0"/>
    <m/>
    <m/>
    <n v="0"/>
    <s v="Malaria"/>
    <x v="0"/>
  </r>
  <r>
    <n v="10"/>
    <x v="0"/>
    <x v="1"/>
    <s v="PSM costs"/>
    <x v="1"/>
    <m/>
    <m/>
    <m/>
    <m/>
    <m/>
    <m/>
    <m/>
    <m/>
    <m/>
    <s v="-"/>
    <n v="0"/>
    <s v="-"/>
    <n v="0"/>
    <s v="-"/>
    <n v="0"/>
    <s v="-"/>
    <n v="0"/>
    <m/>
    <n v="0"/>
    <m/>
    <m/>
    <m/>
    <m/>
    <n v="0"/>
    <m/>
    <n v="0"/>
    <m/>
    <n v="0"/>
    <m/>
    <n v="0"/>
    <m/>
    <n v="0"/>
    <m/>
    <m/>
    <m/>
    <m/>
    <n v="0"/>
    <m/>
    <n v="0"/>
    <m/>
    <n v="0"/>
    <m/>
    <n v="0"/>
    <m/>
    <n v="0"/>
    <m/>
    <m/>
    <m/>
    <m/>
    <n v="0"/>
    <n v="0"/>
    <n v="0"/>
    <n v="0"/>
    <n v="0"/>
    <n v="0"/>
    <n v="0"/>
    <n v="0"/>
    <n v="0"/>
    <m/>
    <n v="0"/>
    <n v="0"/>
    <m/>
    <m/>
    <n v="0"/>
    <s v="Malaria"/>
    <x v="1"/>
  </r>
  <r>
    <n v="11"/>
    <x v="0"/>
    <x v="1"/>
    <s v="PSM costs"/>
    <x v="2"/>
    <m/>
    <m/>
    <m/>
    <m/>
    <m/>
    <m/>
    <m/>
    <m/>
    <m/>
    <s v="-"/>
    <n v="0"/>
    <s v="-"/>
    <n v="0"/>
    <s v="-"/>
    <n v="0"/>
    <s v="-"/>
    <n v="0"/>
    <m/>
    <n v="0"/>
    <m/>
    <m/>
    <m/>
    <m/>
    <n v="0"/>
    <m/>
    <n v="0"/>
    <m/>
    <n v="0"/>
    <m/>
    <n v="0"/>
    <m/>
    <n v="0"/>
    <m/>
    <m/>
    <m/>
    <m/>
    <n v="0"/>
    <m/>
    <n v="0"/>
    <m/>
    <n v="0"/>
    <m/>
    <n v="0"/>
    <m/>
    <n v="0"/>
    <m/>
    <m/>
    <m/>
    <m/>
    <n v="0"/>
    <n v="0"/>
    <n v="0"/>
    <n v="0"/>
    <n v="0"/>
    <n v="0"/>
    <n v="0"/>
    <n v="0"/>
    <n v="0"/>
    <m/>
    <n v="0"/>
    <n v="0"/>
    <m/>
    <m/>
    <n v="0"/>
    <s v="Malaria"/>
    <x v="1"/>
  </r>
  <r>
    <n v="12"/>
    <x v="0"/>
    <x v="1"/>
    <s v="PSM costs"/>
    <x v="3"/>
    <m/>
    <m/>
    <m/>
    <m/>
    <m/>
    <m/>
    <m/>
    <m/>
    <m/>
    <s v="-"/>
    <n v="0"/>
    <s v="-"/>
    <n v="0"/>
    <s v="-"/>
    <n v="0"/>
    <s v="-"/>
    <n v="0"/>
    <m/>
    <n v="0"/>
    <m/>
    <m/>
    <m/>
    <m/>
    <n v="0"/>
    <m/>
    <n v="0"/>
    <m/>
    <n v="0"/>
    <m/>
    <n v="0"/>
    <m/>
    <n v="0"/>
    <m/>
    <m/>
    <m/>
    <m/>
    <n v="0"/>
    <m/>
    <n v="0"/>
    <m/>
    <n v="0"/>
    <m/>
    <n v="0"/>
    <m/>
    <n v="0"/>
    <m/>
    <m/>
    <m/>
    <m/>
    <n v="0"/>
    <n v="0"/>
    <n v="0"/>
    <n v="0"/>
    <n v="0"/>
    <n v="0"/>
    <n v="0"/>
    <n v="0"/>
    <n v="0"/>
    <m/>
    <n v="0"/>
    <n v="0"/>
    <m/>
    <m/>
    <n v="0"/>
    <s v="Malaria"/>
    <x v="1"/>
  </r>
  <r>
    <n v="13"/>
    <x v="0"/>
    <x v="1"/>
    <s v="PSM costs"/>
    <x v="4"/>
    <m/>
    <m/>
    <m/>
    <m/>
    <m/>
    <m/>
    <m/>
    <m/>
    <m/>
    <s v="-"/>
    <n v="0"/>
    <s v="-"/>
    <n v="0"/>
    <s v="-"/>
    <n v="0"/>
    <s v="-"/>
    <n v="0"/>
    <m/>
    <n v="0"/>
    <m/>
    <m/>
    <m/>
    <m/>
    <n v="0"/>
    <m/>
    <n v="0"/>
    <m/>
    <n v="0"/>
    <m/>
    <n v="0"/>
    <m/>
    <n v="0"/>
    <m/>
    <m/>
    <m/>
    <m/>
    <n v="0"/>
    <m/>
    <n v="0"/>
    <m/>
    <n v="0"/>
    <m/>
    <n v="0"/>
    <m/>
    <n v="0"/>
    <m/>
    <m/>
    <m/>
    <m/>
    <n v="0"/>
    <n v="0"/>
    <n v="0"/>
    <n v="0"/>
    <n v="0"/>
    <n v="0"/>
    <n v="0"/>
    <n v="0"/>
    <n v="0"/>
    <m/>
    <n v="0"/>
    <n v="0"/>
    <m/>
    <m/>
    <n v="0"/>
    <s v="Malaria"/>
    <x v="1"/>
  </r>
  <r>
    <n v="14"/>
    <x v="0"/>
    <x v="1"/>
    <s v="PSM costs"/>
    <x v="5"/>
    <m/>
    <m/>
    <m/>
    <m/>
    <m/>
    <m/>
    <m/>
    <m/>
    <m/>
    <s v="-"/>
    <n v="0"/>
    <s v="-"/>
    <n v="0"/>
    <s v="-"/>
    <n v="0"/>
    <s v="-"/>
    <n v="0"/>
    <m/>
    <n v="0"/>
    <m/>
    <m/>
    <m/>
    <m/>
    <n v="0"/>
    <m/>
    <n v="0"/>
    <m/>
    <n v="0"/>
    <m/>
    <n v="0"/>
    <m/>
    <n v="0"/>
    <m/>
    <m/>
    <m/>
    <m/>
    <n v="0"/>
    <m/>
    <n v="0"/>
    <m/>
    <n v="0"/>
    <m/>
    <n v="0"/>
    <m/>
    <n v="0"/>
    <m/>
    <m/>
    <m/>
    <m/>
    <n v="0"/>
    <n v="0"/>
    <n v="0"/>
    <n v="0"/>
    <n v="0"/>
    <n v="0"/>
    <n v="0"/>
    <n v="0"/>
    <n v="0"/>
    <m/>
    <n v="0"/>
    <n v="0"/>
    <m/>
    <m/>
    <n v="0"/>
    <s v="Malaria"/>
    <x v="1"/>
  </r>
  <r>
    <n v="15"/>
    <x v="0"/>
    <x v="1"/>
    <s v="PSM costs"/>
    <x v="6"/>
    <m/>
    <m/>
    <m/>
    <m/>
    <m/>
    <m/>
    <m/>
    <m/>
    <m/>
    <s v="-"/>
    <n v="0"/>
    <s v="-"/>
    <n v="0"/>
    <s v="-"/>
    <n v="0"/>
    <s v="-"/>
    <n v="0"/>
    <m/>
    <n v="0"/>
    <m/>
    <m/>
    <m/>
    <m/>
    <n v="0"/>
    <m/>
    <n v="0"/>
    <m/>
    <n v="0"/>
    <m/>
    <n v="0"/>
    <m/>
    <n v="0"/>
    <m/>
    <m/>
    <m/>
    <m/>
    <n v="0"/>
    <m/>
    <n v="0"/>
    <m/>
    <n v="0"/>
    <m/>
    <n v="0"/>
    <m/>
    <n v="0"/>
    <m/>
    <m/>
    <m/>
    <m/>
    <n v="0"/>
    <n v="0"/>
    <n v="0"/>
    <n v="0"/>
    <n v="0"/>
    <n v="0"/>
    <n v="0"/>
    <n v="0"/>
    <n v="0"/>
    <m/>
    <n v="0"/>
    <n v="0"/>
    <m/>
    <m/>
    <n v="0"/>
    <s v="Malaria"/>
    <x v="1"/>
  </r>
  <r>
    <n v="16"/>
    <x v="0"/>
    <x v="1"/>
    <s v="PSM costs"/>
    <x v="7"/>
    <m/>
    <m/>
    <m/>
    <m/>
    <m/>
    <m/>
    <m/>
    <m/>
    <m/>
    <s v="-"/>
    <n v="0"/>
    <s v="-"/>
    <n v="0"/>
    <s v="-"/>
    <n v="0"/>
    <s v="-"/>
    <n v="0"/>
    <m/>
    <n v="0"/>
    <m/>
    <m/>
    <m/>
    <m/>
    <n v="0"/>
    <m/>
    <n v="0"/>
    <m/>
    <n v="0"/>
    <m/>
    <n v="0"/>
    <m/>
    <n v="0"/>
    <m/>
    <m/>
    <m/>
    <m/>
    <n v="0"/>
    <m/>
    <n v="0"/>
    <m/>
    <n v="0"/>
    <m/>
    <n v="0"/>
    <m/>
    <n v="0"/>
    <m/>
    <m/>
    <m/>
    <m/>
    <n v="0"/>
    <n v="0"/>
    <n v="0"/>
    <n v="0"/>
    <n v="0"/>
    <n v="0"/>
    <n v="0"/>
    <n v="0"/>
    <n v="0"/>
    <m/>
    <n v="0"/>
    <n v="0"/>
    <m/>
    <m/>
    <n v="0"/>
    <s v="Malaria"/>
    <x v="1"/>
  </r>
  <r>
    <n v="17"/>
    <x v="0"/>
    <x v="2"/>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18"/>
    <x v="0"/>
    <x v="2"/>
    <s v="PSM costs"/>
    <x v="1"/>
    <m/>
    <m/>
    <m/>
    <m/>
    <m/>
    <m/>
    <m/>
    <m/>
    <m/>
    <s v="-"/>
    <n v="0"/>
    <s v="-"/>
    <n v="0"/>
    <s v="-"/>
    <n v="0"/>
    <s v="-"/>
    <n v="0"/>
    <m/>
    <n v="0"/>
    <m/>
    <m/>
    <m/>
    <m/>
    <n v="0"/>
    <m/>
    <n v="0"/>
    <m/>
    <n v="0"/>
    <m/>
    <n v="0"/>
    <m/>
    <n v="0"/>
    <m/>
    <m/>
    <m/>
    <m/>
    <n v="0"/>
    <m/>
    <n v="0"/>
    <m/>
    <n v="0"/>
    <m/>
    <n v="0"/>
    <m/>
    <n v="0"/>
    <m/>
    <m/>
    <m/>
    <m/>
    <n v="0"/>
    <n v="0"/>
    <n v="0"/>
    <n v="0"/>
    <n v="0"/>
    <n v="0"/>
    <n v="0"/>
    <n v="0"/>
    <n v="0"/>
    <m/>
    <n v="0"/>
    <n v="0"/>
    <m/>
    <m/>
    <n v="0"/>
    <s v="Malaria"/>
    <x v="1"/>
  </r>
  <r>
    <n v="19"/>
    <x v="0"/>
    <x v="2"/>
    <s v="PSM costs"/>
    <x v="2"/>
    <m/>
    <m/>
    <m/>
    <m/>
    <m/>
    <m/>
    <m/>
    <m/>
    <m/>
    <s v="-"/>
    <n v="0"/>
    <s v="-"/>
    <n v="0"/>
    <s v="-"/>
    <n v="0"/>
    <s v="-"/>
    <n v="0"/>
    <m/>
    <n v="0"/>
    <m/>
    <m/>
    <m/>
    <m/>
    <n v="0"/>
    <m/>
    <n v="0"/>
    <m/>
    <n v="0"/>
    <m/>
    <n v="0"/>
    <m/>
    <n v="0"/>
    <m/>
    <m/>
    <m/>
    <m/>
    <n v="0"/>
    <m/>
    <n v="0"/>
    <m/>
    <n v="0"/>
    <m/>
    <n v="0"/>
    <m/>
    <n v="0"/>
    <m/>
    <m/>
    <m/>
    <m/>
    <n v="0"/>
    <n v="0"/>
    <n v="0"/>
    <n v="0"/>
    <n v="0"/>
    <n v="0"/>
    <n v="0"/>
    <n v="0"/>
    <n v="0"/>
    <m/>
    <n v="0"/>
    <n v="0"/>
    <m/>
    <m/>
    <n v="0"/>
    <s v="Malaria"/>
    <x v="1"/>
  </r>
  <r>
    <n v="20"/>
    <x v="0"/>
    <x v="2"/>
    <s v="PSM costs"/>
    <x v="3"/>
    <m/>
    <m/>
    <m/>
    <m/>
    <m/>
    <m/>
    <m/>
    <m/>
    <m/>
    <s v="-"/>
    <n v="0"/>
    <s v="-"/>
    <n v="0"/>
    <s v="-"/>
    <n v="0"/>
    <s v="-"/>
    <n v="0"/>
    <m/>
    <n v="0"/>
    <m/>
    <m/>
    <m/>
    <m/>
    <n v="0"/>
    <m/>
    <n v="0"/>
    <m/>
    <n v="0"/>
    <m/>
    <n v="0"/>
    <m/>
    <n v="0"/>
    <m/>
    <m/>
    <m/>
    <m/>
    <n v="0"/>
    <m/>
    <n v="0"/>
    <m/>
    <n v="0"/>
    <m/>
    <n v="0"/>
    <m/>
    <n v="0"/>
    <m/>
    <m/>
    <m/>
    <m/>
    <n v="0"/>
    <n v="0"/>
    <n v="0"/>
    <n v="0"/>
    <n v="0"/>
    <n v="0"/>
    <n v="0"/>
    <n v="0"/>
    <n v="0"/>
    <m/>
    <n v="0"/>
    <n v="0"/>
    <m/>
    <m/>
    <n v="0"/>
    <s v="Malaria"/>
    <x v="1"/>
  </r>
  <r>
    <n v="21"/>
    <x v="0"/>
    <x v="2"/>
    <s v="PSM costs"/>
    <x v="4"/>
    <m/>
    <m/>
    <m/>
    <m/>
    <m/>
    <m/>
    <m/>
    <m/>
    <m/>
    <s v="-"/>
    <n v="0"/>
    <s v="-"/>
    <n v="0"/>
    <s v="-"/>
    <n v="0"/>
    <s v="-"/>
    <n v="0"/>
    <m/>
    <n v="0"/>
    <m/>
    <m/>
    <m/>
    <m/>
    <n v="0"/>
    <m/>
    <n v="0"/>
    <m/>
    <n v="0"/>
    <m/>
    <n v="0"/>
    <m/>
    <n v="0"/>
    <m/>
    <m/>
    <m/>
    <m/>
    <n v="0"/>
    <m/>
    <n v="0"/>
    <m/>
    <n v="0"/>
    <m/>
    <n v="0"/>
    <m/>
    <n v="0"/>
    <m/>
    <m/>
    <m/>
    <m/>
    <n v="0"/>
    <n v="0"/>
    <n v="0"/>
    <n v="0"/>
    <n v="0"/>
    <n v="0"/>
    <n v="0"/>
    <n v="0"/>
    <n v="0"/>
    <m/>
    <n v="0"/>
    <n v="0"/>
    <m/>
    <m/>
    <n v="0"/>
    <s v="Malaria"/>
    <x v="1"/>
  </r>
  <r>
    <n v="22"/>
    <x v="0"/>
    <x v="2"/>
    <s v="PSM costs"/>
    <x v="5"/>
    <m/>
    <m/>
    <m/>
    <m/>
    <m/>
    <m/>
    <m/>
    <m/>
    <m/>
    <s v="-"/>
    <n v="0"/>
    <s v="-"/>
    <n v="0"/>
    <s v="-"/>
    <n v="0"/>
    <s v="-"/>
    <n v="0"/>
    <m/>
    <n v="0"/>
    <m/>
    <m/>
    <m/>
    <m/>
    <n v="0"/>
    <m/>
    <n v="0"/>
    <m/>
    <n v="0"/>
    <m/>
    <n v="0"/>
    <m/>
    <n v="0"/>
    <m/>
    <m/>
    <m/>
    <m/>
    <n v="0"/>
    <m/>
    <n v="0"/>
    <m/>
    <n v="0"/>
    <m/>
    <n v="0"/>
    <m/>
    <n v="0"/>
    <m/>
    <m/>
    <m/>
    <m/>
    <n v="0"/>
    <n v="0"/>
    <n v="0"/>
    <n v="0"/>
    <n v="0"/>
    <n v="0"/>
    <n v="0"/>
    <n v="0"/>
    <n v="0"/>
    <m/>
    <n v="0"/>
    <n v="0"/>
    <m/>
    <m/>
    <n v="0"/>
    <s v="Malaria"/>
    <x v="1"/>
  </r>
  <r>
    <n v="23"/>
    <x v="0"/>
    <x v="2"/>
    <s v="PSM costs"/>
    <x v="6"/>
    <m/>
    <m/>
    <m/>
    <m/>
    <m/>
    <m/>
    <m/>
    <m/>
    <m/>
    <s v="-"/>
    <n v="0"/>
    <s v="-"/>
    <n v="0"/>
    <s v="-"/>
    <n v="0"/>
    <s v="-"/>
    <n v="0"/>
    <m/>
    <n v="0"/>
    <m/>
    <m/>
    <m/>
    <m/>
    <n v="0"/>
    <m/>
    <n v="0"/>
    <m/>
    <n v="0"/>
    <m/>
    <n v="0"/>
    <m/>
    <n v="0"/>
    <m/>
    <m/>
    <m/>
    <m/>
    <n v="0"/>
    <m/>
    <n v="0"/>
    <m/>
    <n v="0"/>
    <m/>
    <n v="0"/>
    <m/>
    <n v="0"/>
    <m/>
    <m/>
    <m/>
    <m/>
    <n v="0"/>
    <n v="0"/>
    <n v="0"/>
    <n v="0"/>
    <n v="0"/>
    <n v="0"/>
    <n v="0"/>
    <n v="0"/>
    <n v="0"/>
    <m/>
    <n v="0"/>
    <n v="0"/>
    <m/>
    <m/>
    <n v="0"/>
    <s v="Malaria"/>
    <x v="1"/>
  </r>
  <r>
    <n v="24"/>
    <x v="0"/>
    <x v="2"/>
    <s v="PSM costs"/>
    <x v="7"/>
    <m/>
    <m/>
    <m/>
    <m/>
    <m/>
    <m/>
    <m/>
    <m/>
    <m/>
    <s v="-"/>
    <n v="0"/>
    <s v="-"/>
    <n v="0"/>
    <s v="-"/>
    <n v="0"/>
    <s v="-"/>
    <n v="0"/>
    <m/>
    <n v="0"/>
    <m/>
    <m/>
    <m/>
    <m/>
    <n v="0"/>
    <m/>
    <n v="0"/>
    <m/>
    <n v="0"/>
    <m/>
    <n v="0"/>
    <m/>
    <n v="0"/>
    <m/>
    <m/>
    <m/>
    <m/>
    <n v="0"/>
    <m/>
    <n v="0"/>
    <m/>
    <n v="0"/>
    <m/>
    <n v="0"/>
    <m/>
    <n v="0"/>
    <m/>
    <m/>
    <m/>
    <m/>
    <n v="0"/>
    <n v="0"/>
    <n v="0"/>
    <n v="0"/>
    <n v="0"/>
    <n v="0"/>
    <n v="0"/>
    <n v="0"/>
    <n v="0"/>
    <m/>
    <n v="0"/>
    <n v="0"/>
    <m/>
    <m/>
    <n v="0"/>
    <s v="Malaria"/>
    <x v="1"/>
  </r>
  <r>
    <n v="25"/>
    <x v="0"/>
    <x v="3"/>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26"/>
    <x v="0"/>
    <x v="3"/>
    <s v="PSM costs"/>
    <x v="1"/>
    <m/>
    <m/>
    <m/>
    <m/>
    <m/>
    <m/>
    <m/>
    <m/>
    <m/>
    <s v="-"/>
    <n v="0"/>
    <s v="-"/>
    <n v="0"/>
    <s v="-"/>
    <n v="0"/>
    <s v="-"/>
    <n v="0"/>
    <m/>
    <n v="0"/>
    <m/>
    <m/>
    <m/>
    <m/>
    <n v="0"/>
    <m/>
    <n v="0"/>
    <m/>
    <n v="0"/>
    <m/>
    <n v="0"/>
    <m/>
    <n v="0"/>
    <m/>
    <m/>
    <m/>
    <m/>
    <n v="0"/>
    <m/>
    <n v="0"/>
    <m/>
    <n v="0"/>
    <m/>
    <n v="0"/>
    <m/>
    <n v="0"/>
    <m/>
    <m/>
    <m/>
    <m/>
    <n v="0"/>
    <n v="0"/>
    <n v="0"/>
    <n v="0"/>
    <n v="0"/>
    <n v="0"/>
    <n v="0"/>
    <n v="0"/>
    <n v="0"/>
    <m/>
    <n v="0"/>
    <n v="0"/>
    <m/>
    <m/>
    <n v="0"/>
    <s v="Malaria"/>
    <x v="1"/>
  </r>
  <r>
    <n v="27"/>
    <x v="0"/>
    <x v="3"/>
    <s v="PSM costs"/>
    <x v="2"/>
    <m/>
    <m/>
    <m/>
    <m/>
    <m/>
    <m/>
    <m/>
    <m/>
    <m/>
    <s v="-"/>
    <n v="0"/>
    <s v="-"/>
    <n v="0"/>
    <s v="-"/>
    <n v="0"/>
    <s v="-"/>
    <n v="0"/>
    <m/>
    <n v="0"/>
    <m/>
    <m/>
    <m/>
    <m/>
    <n v="0"/>
    <m/>
    <n v="0"/>
    <m/>
    <n v="0"/>
    <m/>
    <n v="0"/>
    <m/>
    <n v="0"/>
    <m/>
    <m/>
    <m/>
    <m/>
    <n v="0"/>
    <m/>
    <n v="0"/>
    <m/>
    <n v="0"/>
    <m/>
    <n v="0"/>
    <m/>
    <n v="0"/>
    <m/>
    <m/>
    <m/>
    <m/>
    <n v="0"/>
    <n v="0"/>
    <n v="0"/>
    <n v="0"/>
    <n v="0"/>
    <n v="0"/>
    <n v="0"/>
    <n v="0"/>
    <n v="0"/>
    <m/>
    <n v="0"/>
    <n v="0"/>
    <m/>
    <m/>
    <n v="0"/>
    <s v="Malaria"/>
    <x v="1"/>
  </r>
  <r>
    <n v="28"/>
    <x v="0"/>
    <x v="3"/>
    <s v="PSM costs"/>
    <x v="3"/>
    <m/>
    <m/>
    <m/>
    <m/>
    <m/>
    <m/>
    <m/>
    <m/>
    <m/>
    <s v="-"/>
    <n v="0"/>
    <s v="-"/>
    <n v="0"/>
    <s v="-"/>
    <n v="0"/>
    <s v="-"/>
    <n v="0"/>
    <m/>
    <n v="0"/>
    <m/>
    <m/>
    <m/>
    <m/>
    <n v="0"/>
    <m/>
    <n v="0"/>
    <m/>
    <n v="0"/>
    <m/>
    <n v="0"/>
    <m/>
    <n v="0"/>
    <m/>
    <m/>
    <m/>
    <m/>
    <n v="0"/>
    <m/>
    <n v="0"/>
    <m/>
    <n v="0"/>
    <m/>
    <n v="0"/>
    <m/>
    <n v="0"/>
    <m/>
    <m/>
    <m/>
    <m/>
    <n v="0"/>
    <n v="0"/>
    <n v="0"/>
    <n v="0"/>
    <n v="0"/>
    <n v="0"/>
    <n v="0"/>
    <n v="0"/>
    <n v="0"/>
    <m/>
    <n v="0"/>
    <n v="0"/>
    <m/>
    <m/>
    <n v="0"/>
    <s v="Malaria"/>
    <x v="1"/>
  </r>
  <r>
    <n v="29"/>
    <x v="0"/>
    <x v="3"/>
    <s v="PSM costs"/>
    <x v="4"/>
    <m/>
    <m/>
    <m/>
    <m/>
    <m/>
    <m/>
    <m/>
    <m/>
    <m/>
    <s v="-"/>
    <n v="0"/>
    <s v="-"/>
    <n v="0"/>
    <s v="-"/>
    <n v="0"/>
    <s v="-"/>
    <n v="0"/>
    <m/>
    <n v="0"/>
    <m/>
    <m/>
    <m/>
    <m/>
    <n v="0"/>
    <m/>
    <n v="0"/>
    <m/>
    <n v="0"/>
    <m/>
    <n v="0"/>
    <m/>
    <n v="0"/>
    <m/>
    <m/>
    <m/>
    <m/>
    <n v="0"/>
    <m/>
    <n v="0"/>
    <m/>
    <n v="0"/>
    <m/>
    <n v="0"/>
    <m/>
    <n v="0"/>
    <m/>
    <m/>
    <m/>
    <m/>
    <n v="0"/>
    <n v="0"/>
    <n v="0"/>
    <n v="0"/>
    <n v="0"/>
    <n v="0"/>
    <n v="0"/>
    <n v="0"/>
    <n v="0"/>
    <m/>
    <n v="0"/>
    <n v="0"/>
    <m/>
    <m/>
    <n v="0"/>
    <s v="Malaria"/>
    <x v="1"/>
  </r>
  <r>
    <n v="30"/>
    <x v="0"/>
    <x v="3"/>
    <s v="PSM costs"/>
    <x v="5"/>
    <m/>
    <m/>
    <m/>
    <m/>
    <m/>
    <m/>
    <m/>
    <m/>
    <m/>
    <s v="-"/>
    <n v="0"/>
    <s v="-"/>
    <n v="0"/>
    <s v="-"/>
    <n v="0"/>
    <s v="-"/>
    <n v="0"/>
    <m/>
    <n v="0"/>
    <m/>
    <m/>
    <m/>
    <m/>
    <n v="0"/>
    <m/>
    <n v="0"/>
    <m/>
    <n v="0"/>
    <m/>
    <n v="0"/>
    <m/>
    <n v="0"/>
    <m/>
    <m/>
    <m/>
    <m/>
    <n v="0"/>
    <m/>
    <n v="0"/>
    <m/>
    <n v="0"/>
    <m/>
    <n v="0"/>
    <m/>
    <n v="0"/>
    <m/>
    <m/>
    <m/>
    <m/>
    <n v="0"/>
    <n v="0"/>
    <n v="0"/>
    <n v="0"/>
    <n v="0"/>
    <n v="0"/>
    <n v="0"/>
    <n v="0"/>
    <n v="0"/>
    <m/>
    <n v="0"/>
    <n v="0"/>
    <m/>
    <m/>
    <n v="0"/>
    <s v="Malaria"/>
    <x v="1"/>
  </r>
  <r>
    <n v="31"/>
    <x v="0"/>
    <x v="3"/>
    <s v="PSM costs"/>
    <x v="6"/>
    <m/>
    <m/>
    <m/>
    <m/>
    <m/>
    <m/>
    <m/>
    <m/>
    <m/>
    <s v="-"/>
    <n v="0"/>
    <s v="-"/>
    <n v="0"/>
    <s v="-"/>
    <n v="0"/>
    <s v="-"/>
    <n v="0"/>
    <m/>
    <n v="0"/>
    <m/>
    <m/>
    <m/>
    <m/>
    <n v="0"/>
    <m/>
    <n v="0"/>
    <m/>
    <n v="0"/>
    <m/>
    <n v="0"/>
    <m/>
    <n v="0"/>
    <m/>
    <m/>
    <m/>
    <m/>
    <n v="0"/>
    <m/>
    <n v="0"/>
    <m/>
    <n v="0"/>
    <m/>
    <n v="0"/>
    <m/>
    <n v="0"/>
    <m/>
    <m/>
    <m/>
    <m/>
    <n v="0"/>
    <n v="0"/>
    <n v="0"/>
    <n v="0"/>
    <n v="0"/>
    <n v="0"/>
    <n v="0"/>
    <n v="0"/>
    <n v="0"/>
    <m/>
    <n v="0"/>
    <n v="0"/>
    <m/>
    <m/>
    <n v="0"/>
    <s v="Malaria"/>
    <x v="1"/>
  </r>
  <r>
    <n v="32"/>
    <x v="0"/>
    <x v="3"/>
    <s v="PSM costs"/>
    <x v="7"/>
    <m/>
    <m/>
    <m/>
    <m/>
    <m/>
    <m/>
    <m/>
    <m/>
    <m/>
    <s v="-"/>
    <n v="0"/>
    <s v="-"/>
    <n v="0"/>
    <s v="-"/>
    <n v="0"/>
    <s v="-"/>
    <n v="0"/>
    <m/>
    <n v="0"/>
    <m/>
    <m/>
    <m/>
    <m/>
    <n v="0"/>
    <m/>
    <n v="0"/>
    <m/>
    <n v="0"/>
    <m/>
    <n v="0"/>
    <m/>
    <n v="0"/>
    <m/>
    <m/>
    <m/>
    <m/>
    <n v="0"/>
    <m/>
    <n v="0"/>
    <m/>
    <n v="0"/>
    <m/>
    <n v="0"/>
    <m/>
    <n v="0"/>
    <m/>
    <m/>
    <m/>
    <m/>
    <n v="0"/>
    <n v="0"/>
    <n v="0"/>
    <n v="0"/>
    <n v="0"/>
    <n v="0"/>
    <n v="0"/>
    <n v="0"/>
    <n v="0"/>
    <m/>
    <n v="0"/>
    <n v="0"/>
    <m/>
    <m/>
    <n v="0"/>
    <s v="Malaria"/>
    <x v="1"/>
  </r>
  <r>
    <n v="33"/>
    <x v="0"/>
    <x v="4"/>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34"/>
    <x v="0"/>
    <x v="4"/>
    <s v="PSM costs"/>
    <x v="1"/>
    <m/>
    <m/>
    <m/>
    <m/>
    <m/>
    <m/>
    <m/>
    <m/>
    <m/>
    <s v="-"/>
    <n v="0"/>
    <s v="-"/>
    <n v="0"/>
    <s v="-"/>
    <n v="0"/>
    <s v="-"/>
    <n v="0"/>
    <m/>
    <n v="0"/>
    <m/>
    <m/>
    <m/>
    <m/>
    <n v="0"/>
    <m/>
    <n v="0"/>
    <m/>
    <n v="0"/>
    <m/>
    <n v="0"/>
    <m/>
    <n v="0"/>
    <m/>
    <m/>
    <m/>
    <m/>
    <n v="0"/>
    <m/>
    <n v="0"/>
    <m/>
    <n v="0"/>
    <m/>
    <n v="0"/>
    <m/>
    <n v="0"/>
    <m/>
    <m/>
    <m/>
    <m/>
    <n v="0"/>
    <n v="0"/>
    <n v="0"/>
    <n v="0"/>
    <n v="0"/>
    <n v="0"/>
    <n v="0"/>
    <n v="0"/>
    <n v="0"/>
    <m/>
    <n v="0"/>
    <n v="0"/>
    <m/>
    <m/>
    <n v="0"/>
    <s v="Malaria"/>
    <x v="1"/>
  </r>
  <r>
    <n v="35"/>
    <x v="0"/>
    <x v="4"/>
    <s v="PSM costs"/>
    <x v="2"/>
    <m/>
    <m/>
    <m/>
    <m/>
    <m/>
    <m/>
    <m/>
    <m/>
    <m/>
    <s v="-"/>
    <n v="0"/>
    <s v="-"/>
    <n v="0"/>
    <s v="-"/>
    <n v="0"/>
    <s v="-"/>
    <n v="0"/>
    <m/>
    <n v="0"/>
    <m/>
    <m/>
    <m/>
    <m/>
    <n v="0"/>
    <m/>
    <n v="0"/>
    <m/>
    <n v="0"/>
    <m/>
    <n v="0"/>
    <m/>
    <n v="0"/>
    <m/>
    <m/>
    <m/>
    <m/>
    <n v="0"/>
    <m/>
    <n v="0"/>
    <m/>
    <n v="0"/>
    <m/>
    <n v="0"/>
    <m/>
    <n v="0"/>
    <m/>
    <m/>
    <m/>
    <m/>
    <n v="0"/>
    <n v="0"/>
    <n v="0"/>
    <n v="0"/>
    <n v="0"/>
    <n v="0"/>
    <n v="0"/>
    <n v="0"/>
    <n v="0"/>
    <m/>
    <n v="0"/>
    <n v="0"/>
    <m/>
    <m/>
    <n v="0"/>
    <s v="Malaria"/>
    <x v="1"/>
  </r>
  <r>
    <n v="36"/>
    <x v="0"/>
    <x v="4"/>
    <s v="PSM costs"/>
    <x v="3"/>
    <m/>
    <m/>
    <m/>
    <m/>
    <m/>
    <m/>
    <m/>
    <m/>
    <m/>
    <s v="-"/>
    <n v="0"/>
    <s v="-"/>
    <n v="0"/>
    <s v="-"/>
    <n v="0"/>
    <s v="-"/>
    <n v="0"/>
    <m/>
    <n v="0"/>
    <m/>
    <m/>
    <m/>
    <m/>
    <n v="0"/>
    <m/>
    <n v="0"/>
    <m/>
    <n v="0"/>
    <m/>
    <n v="0"/>
    <m/>
    <n v="0"/>
    <m/>
    <m/>
    <m/>
    <m/>
    <n v="0"/>
    <m/>
    <n v="0"/>
    <m/>
    <n v="0"/>
    <m/>
    <n v="0"/>
    <m/>
    <n v="0"/>
    <m/>
    <m/>
    <m/>
    <m/>
    <n v="0"/>
    <n v="0"/>
    <n v="0"/>
    <n v="0"/>
    <n v="0"/>
    <n v="0"/>
    <n v="0"/>
    <n v="0"/>
    <n v="0"/>
    <m/>
    <n v="0"/>
    <n v="0"/>
    <m/>
    <m/>
    <n v="0"/>
    <s v="Malaria"/>
    <x v="1"/>
  </r>
  <r>
    <n v="37"/>
    <x v="0"/>
    <x v="4"/>
    <s v="PSM costs"/>
    <x v="4"/>
    <m/>
    <m/>
    <m/>
    <m/>
    <m/>
    <m/>
    <m/>
    <m/>
    <m/>
    <s v="-"/>
    <n v="0"/>
    <s v="-"/>
    <n v="0"/>
    <s v="-"/>
    <n v="0"/>
    <s v="-"/>
    <n v="0"/>
    <m/>
    <n v="0"/>
    <m/>
    <m/>
    <m/>
    <m/>
    <n v="0"/>
    <m/>
    <n v="0"/>
    <m/>
    <n v="0"/>
    <m/>
    <n v="0"/>
    <m/>
    <n v="0"/>
    <m/>
    <m/>
    <m/>
    <m/>
    <n v="0"/>
    <m/>
    <n v="0"/>
    <m/>
    <n v="0"/>
    <m/>
    <n v="0"/>
    <m/>
    <n v="0"/>
    <m/>
    <m/>
    <m/>
    <m/>
    <n v="0"/>
    <n v="0"/>
    <n v="0"/>
    <n v="0"/>
    <n v="0"/>
    <n v="0"/>
    <n v="0"/>
    <n v="0"/>
    <n v="0"/>
    <m/>
    <n v="0"/>
    <n v="0"/>
    <m/>
    <m/>
    <n v="0"/>
    <s v="Malaria"/>
    <x v="1"/>
  </r>
  <r>
    <n v="38"/>
    <x v="0"/>
    <x v="4"/>
    <s v="PSM costs"/>
    <x v="5"/>
    <m/>
    <m/>
    <m/>
    <m/>
    <m/>
    <m/>
    <m/>
    <m/>
    <m/>
    <s v="-"/>
    <n v="0"/>
    <s v="-"/>
    <n v="0"/>
    <s v="-"/>
    <n v="0"/>
    <s v="-"/>
    <n v="0"/>
    <m/>
    <n v="0"/>
    <m/>
    <m/>
    <m/>
    <m/>
    <n v="0"/>
    <m/>
    <n v="0"/>
    <m/>
    <n v="0"/>
    <m/>
    <n v="0"/>
    <m/>
    <n v="0"/>
    <m/>
    <m/>
    <m/>
    <m/>
    <n v="0"/>
    <m/>
    <n v="0"/>
    <m/>
    <n v="0"/>
    <m/>
    <n v="0"/>
    <m/>
    <n v="0"/>
    <m/>
    <m/>
    <m/>
    <m/>
    <n v="0"/>
    <n v="0"/>
    <n v="0"/>
    <n v="0"/>
    <n v="0"/>
    <n v="0"/>
    <n v="0"/>
    <n v="0"/>
    <n v="0"/>
    <m/>
    <n v="0"/>
    <n v="0"/>
    <m/>
    <m/>
    <n v="0"/>
    <s v="Malaria"/>
    <x v="1"/>
  </r>
  <r>
    <n v="39"/>
    <x v="0"/>
    <x v="4"/>
    <s v="PSM costs"/>
    <x v="6"/>
    <m/>
    <m/>
    <m/>
    <m/>
    <m/>
    <m/>
    <m/>
    <m/>
    <m/>
    <s v="-"/>
    <n v="0"/>
    <s v="-"/>
    <n v="0"/>
    <s v="-"/>
    <n v="0"/>
    <s v="-"/>
    <n v="0"/>
    <m/>
    <n v="0"/>
    <m/>
    <m/>
    <m/>
    <m/>
    <n v="0"/>
    <m/>
    <n v="0"/>
    <m/>
    <n v="0"/>
    <m/>
    <n v="0"/>
    <m/>
    <n v="0"/>
    <m/>
    <m/>
    <m/>
    <m/>
    <n v="0"/>
    <m/>
    <n v="0"/>
    <m/>
    <n v="0"/>
    <m/>
    <n v="0"/>
    <m/>
    <n v="0"/>
    <m/>
    <m/>
    <m/>
    <m/>
    <n v="0"/>
    <n v="0"/>
    <n v="0"/>
    <n v="0"/>
    <n v="0"/>
    <n v="0"/>
    <n v="0"/>
    <n v="0"/>
    <n v="0"/>
    <m/>
    <n v="0"/>
    <n v="0"/>
    <m/>
    <m/>
    <n v="0"/>
    <s v="Malaria"/>
    <x v="1"/>
  </r>
  <r>
    <n v="40"/>
    <x v="0"/>
    <x v="4"/>
    <s v="PSM costs"/>
    <x v="7"/>
    <m/>
    <m/>
    <m/>
    <m/>
    <m/>
    <m/>
    <m/>
    <m/>
    <m/>
    <s v="-"/>
    <n v="0"/>
    <s v="-"/>
    <n v="0"/>
    <s v="-"/>
    <n v="0"/>
    <s v="-"/>
    <n v="0"/>
    <m/>
    <n v="0"/>
    <m/>
    <m/>
    <m/>
    <m/>
    <n v="0"/>
    <m/>
    <n v="0"/>
    <m/>
    <n v="0"/>
    <m/>
    <n v="0"/>
    <m/>
    <n v="0"/>
    <m/>
    <m/>
    <m/>
    <m/>
    <n v="0"/>
    <m/>
    <n v="0"/>
    <m/>
    <n v="0"/>
    <m/>
    <n v="0"/>
    <m/>
    <n v="0"/>
    <m/>
    <m/>
    <m/>
    <m/>
    <n v="0"/>
    <n v="0"/>
    <n v="0"/>
    <n v="0"/>
    <n v="0"/>
    <n v="0"/>
    <n v="0"/>
    <n v="0"/>
    <n v="0"/>
    <m/>
    <n v="0"/>
    <n v="0"/>
    <m/>
    <m/>
    <n v="0"/>
    <s v="Malaria"/>
    <x v="1"/>
  </r>
  <r>
    <n v="41"/>
    <x v="0"/>
    <x v="5"/>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42"/>
    <x v="0"/>
    <x v="5"/>
    <s v="PSM costs"/>
    <x v="1"/>
    <m/>
    <m/>
    <m/>
    <m/>
    <m/>
    <m/>
    <m/>
    <m/>
    <m/>
    <s v="-"/>
    <n v="0"/>
    <s v="-"/>
    <n v="0"/>
    <s v="-"/>
    <n v="0"/>
    <s v="-"/>
    <n v="0"/>
    <m/>
    <n v="0"/>
    <m/>
    <m/>
    <m/>
    <m/>
    <n v="0"/>
    <m/>
    <n v="0"/>
    <m/>
    <n v="0"/>
    <m/>
    <n v="0"/>
    <m/>
    <n v="0"/>
    <m/>
    <m/>
    <m/>
    <m/>
    <n v="0"/>
    <m/>
    <n v="0"/>
    <m/>
    <n v="0"/>
    <m/>
    <n v="0"/>
    <m/>
    <n v="0"/>
    <m/>
    <m/>
    <m/>
    <m/>
    <n v="0"/>
    <n v="0"/>
    <n v="0"/>
    <n v="0"/>
    <n v="0"/>
    <n v="0"/>
    <n v="0"/>
    <n v="0"/>
    <n v="0"/>
    <m/>
    <n v="0"/>
    <n v="0"/>
    <m/>
    <m/>
    <n v="0"/>
    <s v="Malaria"/>
    <x v="1"/>
  </r>
  <r>
    <n v="43"/>
    <x v="0"/>
    <x v="5"/>
    <s v="PSM costs"/>
    <x v="2"/>
    <m/>
    <m/>
    <m/>
    <m/>
    <m/>
    <m/>
    <m/>
    <m/>
    <m/>
    <s v="-"/>
    <n v="0"/>
    <s v="-"/>
    <n v="0"/>
    <s v="-"/>
    <n v="0"/>
    <s v="-"/>
    <n v="0"/>
    <m/>
    <n v="0"/>
    <m/>
    <m/>
    <m/>
    <m/>
    <n v="0"/>
    <m/>
    <n v="0"/>
    <m/>
    <n v="0"/>
    <m/>
    <n v="0"/>
    <m/>
    <n v="0"/>
    <m/>
    <m/>
    <m/>
    <m/>
    <n v="0"/>
    <m/>
    <n v="0"/>
    <m/>
    <n v="0"/>
    <m/>
    <n v="0"/>
    <m/>
    <n v="0"/>
    <m/>
    <m/>
    <m/>
    <m/>
    <n v="0"/>
    <n v="0"/>
    <n v="0"/>
    <n v="0"/>
    <n v="0"/>
    <n v="0"/>
    <n v="0"/>
    <n v="0"/>
    <n v="0"/>
    <m/>
    <n v="0"/>
    <n v="0"/>
    <m/>
    <m/>
    <n v="0"/>
    <s v="Malaria"/>
    <x v="1"/>
  </r>
  <r>
    <n v="44"/>
    <x v="0"/>
    <x v="5"/>
    <s v="PSM costs"/>
    <x v="3"/>
    <m/>
    <m/>
    <m/>
    <m/>
    <m/>
    <m/>
    <m/>
    <m/>
    <m/>
    <s v="-"/>
    <n v="0"/>
    <s v="-"/>
    <n v="0"/>
    <s v="-"/>
    <n v="0"/>
    <s v="-"/>
    <n v="0"/>
    <m/>
    <n v="0"/>
    <m/>
    <m/>
    <m/>
    <m/>
    <n v="0"/>
    <m/>
    <n v="0"/>
    <m/>
    <n v="0"/>
    <m/>
    <n v="0"/>
    <m/>
    <n v="0"/>
    <m/>
    <m/>
    <m/>
    <m/>
    <n v="0"/>
    <m/>
    <n v="0"/>
    <m/>
    <n v="0"/>
    <m/>
    <n v="0"/>
    <m/>
    <n v="0"/>
    <m/>
    <m/>
    <m/>
    <m/>
    <n v="0"/>
    <n v="0"/>
    <n v="0"/>
    <n v="0"/>
    <n v="0"/>
    <n v="0"/>
    <n v="0"/>
    <n v="0"/>
    <n v="0"/>
    <m/>
    <n v="0"/>
    <n v="0"/>
    <m/>
    <m/>
    <n v="0"/>
    <s v="Malaria"/>
    <x v="1"/>
  </r>
  <r>
    <n v="45"/>
    <x v="0"/>
    <x v="5"/>
    <s v="PSM costs"/>
    <x v="4"/>
    <m/>
    <m/>
    <m/>
    <m/>
    <m/>
    <m/>
    <m/>
    <m/>
    <m/>
    <s v="-"/>
    <n v="0"/>
    <s v="-"/>
    <n v="0"/>
    <s v="-"/>
    <n v="0"/>
    <s v="-"/>
    <n v="0"/>
    <m/>
    <n v="0"/>
    <m/>
    <m/>
    <m/>
    <m/>
    <n v="0"/>
    <m/>
    <n v="0"/>
    <m/>
    <n v="0"/>
    <m/>
    <n v="0"/>
    <m/>
    <n v="0"/>
    <m/>
    <m/>
    <m/>
    <m/>
    <n v="0"/>
    <m/>
    <n v="0"/>
    <m/>
    <n v="0"/>
    <m/>
    <n v="0"/>
    <m/>
    <n v="0"/>
    <m/>
    <m/>
    <m/>
    <m/>
    <n v="0"/>
    <n v="0"/>
    <n v="0"/>
    <n v="0"/>
    <n v="0"/>
    <n v="0"/>
    <n v="0"/>
    <n v="0"/>
    <n v="0"/>
    <m/>
    <n v="0"/>
    <n v="0"/>
    <m/>
    <m/>
    <n v="0"/>
    <s v="Malaria"/>
    <x v="1"/>
  </r>
  <r>
    <n v="46"/>
    <x v="0"/>
    <x v="5"/>
    <s v="PSM costs"/>
    <x v="5"/>
    <m/>
    <m/>
    <m/>
    <m/>
    <m/>
    <m/>
    <m/>
    <m/>
    <m/>
    <s v="-"/>
    <n v="0"/>
    <s v="-"/>
    <n v="0"/>
    <s v="-"/>
    <n v="0"/>
    <s v="-"/>
    <n v="0"/>
    <m/>
    <n v="0"/>
    <m/>
    <m/>
    <m/>
    <m/>
    <n v="0"/>
    <m/>
    <n v="0"/>
    <m/>
    <n v="0"/>
    <m/>
    <n v="0"/>
    <m/>
    <n v="0"/>
    <m/>
    <m/>
    <m/>
    <m/>
    <n v="0"/>
    <m/>
    <n v="0"/>
    <m/>
    <n v="0"/>
    <m/>
    <n v="0"/>
    <m/>
    <n v="0"/>
    <m/>
    <m/>
    <m/>
    <m/>
    <n v="0"/>
    <n v="0"/>
    <n v="0"/>
    <n v="0"/>
    <n v="0"/>
    <n v="0"/>
    <n v="0"/>
    <n v="0"/>
    <n v="0"/>
    <m/>
    <n v="0"/>
    <n v="0"/>
    <m/>
    <m/>
    <n v="0"/>
    <s v="Malaria"/>
    <x v="1"/>
  </r>
  <r>
    <n v="47"/>
    <x v="0"/>
    <x v="5"/>
    <s v="PSM costs"/>
    <x v="6"/>
    <m/>
    <m/>
    <m/>
    <m/>
    <m/>
    <m/>
    <m/>
    <m/>
    <m/>
    <s v="-"/>
    <n v="0"/>
    <s v="-"/>
    <n v="0"/>
    <s v="-"/>
    <n v="0"/>
    <s v="-"/>
    <n v="0"/>
    <m/>
    <n v="0"/>
    <m/>
    <m/>
    <m/>
    <m/>
    <n v="0"/>
    <m/>
    <n v="0"/>
    <m/>
    <n v="0"/>
    <m/>
    <n v="0"/>
    <m/>
    <n v="0"/>
    <m/>
    <m/>
    <m/>
    <m/>
    <n v="0"/>
    <m/>
    <n v="0"/>
    <m/>
    <n v="0"/>
    <m/>
    <n v="0"/>
    <m/>
    <n v="0"/>
    <m/>
    <m/>
    <m/>
    <m/>
    <n v="0"/>
    <n v="0"/>
    <n v="0"/>
    <n v="0"/>
    <n v="0"/>
    <n v="0"/>
    <n v="0"/>
    <n v="0"/>
    <n v="0"/>
    <m/>
    <n v="0"/>
    <n v="0"/>
    <m/>
    <m/>
    <n v="0"/>
    <s v="Malaria"/>
    <x v="1"/>
  </r>
  <r>
    <n v="48"/>
    <x v="0"/>
    <x v="5"/>
    <s v="PSM costs"/>
    <x v="7"/>
    <m/>
    <m/>
    <m/>
    <m/>
    <m/>
    <m/>
    <m/>
    <m/>
    <m/>
    <s v="-"/>
    <n v="0"/>
    <s v="-"/>
    <n v="0"/>
    <s v="-"/>
    <n v="0"/>
    <s v="-"/>
    <n v="0"/>
    <m/>
    <n v="0"/>
    <m/>
    <m/>
    <m/>
    <m/>
    <n v="0"/>
    <m/>
    <n v="0"/>
    <m/>
    <n v="0"/>
    <m/>
    <n v="0"/>
    <m/>
    <n v="0"/>
    <m/>
    <m/>
    <m/>
    <m/>
    <n v="0"/>
    <m/>
    <n v="0"/>
    <m/>
    <n v="0"/>
    <m/>
    <n v="0"/>
    <m/>
    <n v="0"/>
    <m/>
    <m/>
    <m/>
    <m/>
    <n v="0"/>
    <n v="0"/>
    <n v="0"/>
    <n v="0"/>
    <n v="0"/>
    <n v="0"/>
    <n v="0"/>
    <n v="0"/>
    <n v="0"/>
    <m/>
    <n v="0"/>
    <n v="0"/>
    <m/>
    <m/>
    <n v="0"/>
    <s v="Malaria"/>
    <x v="1"/>
  </r>
  <r>
    <n v="49"/>
    <x v="0"/>
    <x v="6"/>
    <s v="Procurement of IRS insecticides"/>
    <x v="8"/>
    <m/>
    <m/>
    <m/>
    <m/>
    <m/>
    <m/>
    <m/>
    <m/>
    <m/>
    <s v="-"/>
    <n v="0"/>
    <s v="-"/>
    <n v="0"/>
    <s v="-"/>
    <n v="0"/>
    <s v="-"/>
    <n v="0"/>
    <m/>
    <n v="0"/>
    <m/>
    <m/>
    <m/>
    <m/>
    <n v="0"/>
    <m/>
    <n v="0"/>
    <m/>
    <n v="0"/>
    <m/>
    <n v="0"/>
    <m/>
    <n v="0"/>
    <m/>
    <m/>
    <m/>
    <m/>
    <n v="0"/>
    <m/>
    <n v="0"/>
    <m/>
    <n v="0"/>
    <m/>
    <n v="0"/>
    <m/>
    <n v="0"/>
    <m/>
    <m/>
    <m/>
    <m/>
    <n v="0"/>
    <n v="0"/>
    <n v="0"/>
    <n v="0"/>
    <n v="0"/>
    <n v="0"/>
    <n v="0"/>
    <n v="0"/>
    <n v="0"/>
    <m/>
    <n v="0"/>
    <n v="0"/>
    <m/>
    <m/>
    <n v="0"/>
    <s v="Malaria"/>
    <x v="3"/>
  </r>
  <r>
    <n v="50"/>
    <x v="0"/>
    <x v="6"/>
    <s v="Procurement of IRS equipment, spare parts and accessories"/>
    <x v="9"/>
    <m/>
    <m/>
    <m/>
    <m/>
    <m/>
    <m/>
    <m/>
    <m/>
    <m/>
    <s v="-"/>
    <n v="0"/>
    <s v="-"/>
    <n v="0"/>
    <s v="-"/>
    <n v="0"/>
    <s v="-"/>
    <n v="0"/>
    <m/>
    <n v="0"/>
    <m/>
    <m/>
    <m/>
    <m/>
    <n v="0"/>
    <m/>
    <n v="0"/>
    <m/>
    <n v="0"/>
    <m/>
    <n v="0"/>
    <m/>
    <n v="0"/>
    <m/>
    <m/>
    <m/>
    <m/>
    <n v="0"/>
    <m/>
    <n v="0"/>
    <m/>
    <n v="0"/>
    <m/>
    <n v="0"/>
    <m/>
    <n v="0"/>
    <m/>
    <m/>
    <m/>
    <m/>
    <n v="0"/>
    <n v="0"/>
    <n v="0"/>
    <n v="0"/>
    <n v="0"/>
    <n v="0"/>
    <n v="0"/>
    <n v="0"/>
    <n v="0"/>
    <m/>
    <n v="0"/>
    <n v="0"/>
    <m/>
    <m/>
    <n v="0"/>
    <s v="Malaria"/>
    <x v="4"/>
  </r>
  <r>
    <n v="51"/>
    <x v="0"/>
    <x v="6"/>
    <s v="PSM costs"/>
    <x v="1"/>
    <m/>
    <m/>
    <m/>
    <m/>
    <m/>
    <m/>
    <m/>
    <m/>
    <m/>
    <s v="-"/>
    <n v="0"/>
    <s v="-"/>
    <n v="0"/>
    <s v="-"/>
    <n v="0"/>
    <s v="-"/>
    <n v="0"/>
    <m/>
    <n v="0"/>
    <m/>
    <m/>
    <m/>
    <m/>
    <n v="0"/>
    <m/>
    <n v="0"/>
    <m/>
    <n v="0"/>
    <m/>
    <n v="0"/>
    <m/>
    <n v="0"/>
    <m/>
    <m/>
    <m/>
    <m/>
    <n v="0"/>
    <m/>
    <n v="0"/>
    <m/>
    <n v="0"/>
    <m/>
    <n v="0"/>
    <m/>
    <n v="0"/>
    <m/>
    <m/>
    <m/>
    <m/>
    <n v="0"/>
    <n v="0"/>
    <n v="0"/>
    <n v="0"/>
    <n v="0"/>
    <n v="0"/>
    <n v="0"/>
    <n v="0"/>
    <n v="0"/>
    <m/>
    <n v="0"/>
    <n v="0"/>
    <m/>
    <m/>
    <n v="0"/>
    <s v="Malaria"/>
    <x v="1"/>
  </r>
  <r>
    <n v="52"/>
    <x v="0"/>
    <x v="6"/>
    <s v="PSM costs"/>
    <x v="2"/>
    <m/>
    <m/>
    <m/>
    <m/>
    <m/>
    <m/>
    <m/>
    <m/>
    <m/>
    <s v="-"/>
    <n v="0"/>
    <s v="-"/>
    <n v="0"/>
    <s v="-"/>
    <n v="0"/>
    <s v="-"/>
    <n v="0"/>
    <m/>
    <n v="0"/>
    <m/>
    <m/>
    <m/>
    <m/>
    <n v="0"/>
    <m/>
    <n v="0"/>
    <m/>
    <n v="0"/>
    <m/>
    <n v="0"/>
    <m/>
    <n v="0"/>
    <m/>
    <m/>
    <m/>
    <m/>
    <n v="0"/>
    <m/>
    <n v="0"/>
    <m/>
    <n v="0"/>
    <m/>
    <n v="0"/>
    <m/>
    <n v="0"/>
    <m/>
    <m/>
    <m/>
    <m/>
    <n v="0"/>
    <n v="0"/>
    <n v="0"/>
    <n v="0"/>
    <n v="0"/>
    <n v="0"/>
    <n v="0"/>
    <n v="0"/>
    <n v="0"/>
    <m/>
    <n v="0"/>
    <n v="0"/>
    <m/>
    <m/>
    <n v="0"/>
    <s v="Malaria"/>
    <x v="1"/>
  </r>
  <r>
    <n v="53"/>
    <x v="0"/>
    <x v="6"/>
    <s v="PSM costs"/>
    <x v="3"/>
    <m/>
    <m/>
    <m/>
    <m/>
    <m/>
    <m/>
    <m/>
    <m/>
    <m/>
    <s v="-"/>
    <n v="0"/>
    <s v="-"/>
    <n v="0"/>
    <s v="-"/>
    <n v="0"/>
    <s v="-"/>
    <n v="0"/>
    <m/>
    <n v="0"/>
    <m/>
    <m/>
    <m/>
    <m/>
    <n v="0"/>
    <m/>
    <n v="0"/>
    <m/>
    <n v="0"/>
    <m/>
    <n v="0"/>
    <m/>
    <n v="0"/>
    <m/>
    <m/>
    <m/>
    <m/>
    <n v="0"/>
    <m/>
    <n v="0"/>
    <m/>
    <n v="0"/>
    <m/>
    <n v="0"/>
    <m/>
    <n v="0"/>
    <m/>
    <m/>
    <m/>
    <m/>
    <n v="0"/>
    <n v="0"/>
    <n v="0"/>
    <n v="0"/>
    <n v="0"/>
    <n v="0"/>
    <n v="0"/>
    <n v="0"/>
    <n v="0"/>
    <m/>
    <n v="0"/>
    <n v="0"/>
    <m/>
    <m/>
    <n v="0"/>
    <s v="Malaria"/>
    <x v="1"/>
  </r>
  <r>
    <n v="54"/>
    <x v="0"/>
    <x v="6"/>
    <s v="PSM costs"/>
    <x v="4"/>
    <m/>
    <m/>
    <m/>
    <m/>
    <m/>
    <m/>
    <m/>
    <m/>
    <m/>
    <s v="-"/>
    <n v="0"/>
    <s v="-"/>
    <n v="0"/>
    <s v="-"/>
    <n v="0"/>
    <s v="-"/>
    <n v="0"/>
    <m/>
    <n v="0"/>
    <m/>
    <m/>
    <m/>
    <m/>
    <n v="0"/>
    <m/>
    <n v="0"/>
    <m/>
    <n v="0"/>
    <m/>
    <n v="0"/>
    <m/>
    <n v="0"/>
    <m/>
    <m/>
    <m/>
    <m/>
    <n v="0"/>
    <m/>
    <n v="0"/>
    <m/>
    <n v="0"/>
    <m/>
    <n v="0"/>
    <m/>
    <n v="0"/>
    <m/>
    <m/>
    <m/>
    <m/>
    <n v="0"/>
    <n v="0"/>
    <n v="0"/>
    <n v="0"/>
    <n v="0"/>
    <n v="0"/>
    <n v="0"/>
    <n v="0"/>
    <n v="0"/>
    <m/>
    <n v="0"/>
    <n v="0"/>
    <m/>
    <m/>
    <n v="0"/>
    <s v="Malaria"/>
    <x v="1"/>
  </r>
  <r>
    <n v="55"/>
    <x v="0"/>
    <x v="6"/>
    <s v="PSM costs"/>
    <x v="5"/>
    <m/>
    <m/>
    <m/>
    <m/>
    <m/>
    <m/>
    <m/>
    <m/>
    <m/>
    <s v="-"/>
    <n v="0"/>
    <s v="-"/>
    <n v="0"/>
    <s v="-"/>
    <n v="0"/>
    <s v="-"/>
    <n v="0"/>
    <m/>
    <n v="0"/>
    <m/>
    <m/>
    <m/>
    <m/>
    <n v="0"/>
    <m/>
    <n v="0"/>
    <m/>
    <n v="0"/>
    <m/>
    <n v="0"/>
    <m/>
    <n v="0"/>
    <m/>
    <m/>
    <m/>
    <m/>
    <n v="0"/>
    <m/>
    <n v="0"/>
    <m/>
    <n v="0"/>
    <m/>
    <n v="0"/>
    <m/>
    <n v="0"/>
    <m/>
    <m/>
    <m/>
    <m/>
    <n v="0"/>
    <n v="0"/>
    <n v="0"/>
    <n v="0"/>
    <n v="0"/>
    <n v="0"/>
    <n v="0"/>
    <n v="0"/>
    <n v="0"/>
    <m/>
    <n v="0"/>
    <n v="0"/>
    <m/>
    <m/>
    <n v="0"/>
    <s v="Malaria"/>
    <x v="1"/>
  </r>
  <r>
    <n v="56"/>
    <x v="0"/>
    <x v="6"/>
    <s v="PSM costs"/>
    <x v="6"/>
    <m/>
    <m/>
    <m/>
    <m/>
    <m/>
    <m/>
    <m/>
    <m/>
    <m/>
    <s v="-"/>
    <n v="0"/>
    <s v="-"/>
    <n v="0"/>
    <s v="-"/>
    <n v="0"/>
    <s v="-"/>
    <n v="0"/>
    <m/>
    <n v="0"/>
    <m/>
    <m/>
    <m/>
    <m/>
    <n v="0"/>
    <m/>
    <n v="0"/>
    <m/>
    <n v="0"/>
    <m/>
    <n v="0"/>
    <m/>
    <n v="0"/>
    <m/>
    <m/>
    <m/>
    <m/>
    <n v="0"/>
    <m/>
    <n v="0"/>
    <m/>
    <n v="0"/>
    <m/>
    <n v="0"/>
    <m/>
    <n v="0"/>
    <m/>
    <m/>
    <m/>
    <m/>
    <n v="0"/>
    <n v="0"/>
    <n v="0"/>
    <n v="0"/>
    <n v="0"/>
    <n v="0"/>
    <n v="0"/>
    <n v="0"/>
    <n v="0"/>
    <m/>
    <n v="0"/>
    <n v="0"/>
    <m/>
    <m/>
    <n v="0"/>
    <s v="Malaria"/>
    <x v="1"/>
  </r>
  <r>
    <n v="57"/>
    <x v="0"/>
    <x v="6"/>
    <s v="PSM costs"/>
    <x v="7"/>
    <m/>
    <m/>
    <m/>
    <m/>
    <m/>
    <m/>
    <m/>
    <m/>
    <m/>
    <s v="-"/>
    <n v="0"/>
    <s v="-"/>
    <n v="0"/>
    <s v="-"/>
    <n v="0"/>
    <s v="-"/>
    <n v="0"/>
    <m/>
    <n v="0"/>
    <m/>
    <m/>
    <m/>
    <m/>
    <n v="0"/>
    <m/>
    <n v="0"/>
    <m/>
    <n v="0"/>
    <m/>
    <n v="0"/>
    <m/>
    <n v="0"/>
    <m/>
    <m/>
    <m/>
    <m/>
    <n v="0"/>
    <m/>
    <n v="0"/>
    <m/>
    <n v="0"/>
    <m/>
    <n v="0"/>
    <m/>
    <n v="0"/>
    <m/>
    <m/>
    <m/>
    <m/>
    <n v="0"/>
    <n v="0"/>
    <n v="0"/>
    <n v="0"/>
    <n v="0"/>
    <n v="0"/>
    <n v="0"/>
    <n v="0"/>
    <n v="0"/>
    <m/>
    <n v="0"/>
    <n v="0"/>
    <m/>
    <m/>
    <n v="0"/>
    <s v="Malaria"/>
    <x v="1"/>
  </r>
  <r>
    <n v="69"/>
    <x v="1"/>
    <x v="7"/>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70"/>
    <x v="1"/>
    <x v="7"/>
    <s v="Procurement of RDTs to diagnose malaria"/>
    <x v="11"/>
    <m/>
    <m/>
    <m/>
    <m/>
    <m/>
    <m/>
    <m/>
    <m/>
    <m/>
    <s v="-"/>
    <n v="0"/>
    <s v="-"/>
    <n v="0"/>
    <s v="-"/>
    <n v="0"/>
    <s v="-"/>
    <n v="0"/>
    <m/>
    <n v="0"/>
    <m/>
    <m/>
    <m/>
    <m/>
    <n v="0"/>
    <m/>
    <n v="0"/>
    <m/>
    <n v="0"/>
    <m/>
    <n v="0"/>
    <m/>
    <n v="0"/>
    <m/>
    <m/>
    <m/>
    <m/>
    <n v="0"/>
    <m/>
    <n v="0"/>
    <m/>
    <n v="0"/>
    <m/>
    <n v="0"/>
    <m/>
    <n v="0"/>
    <m/>
    <m/>
    <m/>
    <m/>
    <n v="0"/>
    <n v="0"/>
    <n v="0"/>
    <n v="0"/>
    <n v="0"/>
    <n v="0"/>
    <n v="0"/>
    <n v="0"/>
    <n v="0"/>
    <m/>
    <n v="0"/>
    <n v="0"/>
    <m/>
    <m/>
    <n v="0"/>
    <s v="Malaria"/>
    <x v="6"/>
  </r>
  <r>
    <n v="71"/>
    <x v="1"/>
    <x v="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Malaria"/>
    <x v="7"/>
  </r>
  <r>
    <n v="73"/>
    <x v="1"/>
    <x v="7"/>
    <s v="Procurement of other health equipment"/>
    <x v="9"/>
    <m/>
    <m/>
    <m/>
    <m/>
    <m/>
    <m/>
    <m/>
    <m/>
    <m/>
    <s v="-"/>
    <n v="0"/>
    <s v="-"/>
    <n v="0"/>
    <s v="-"/>
    <n v="0"/>
    <s v="-"/>
    <n v="0"/>
    <m/>
    <n v="0"/>
    <m/>
    <m/>
    <m/>
    <m/>
    <n v="0"/>
    <m/>
    <n v="0"/>
    <m/>
    <n v="0"/>
    <m/>
    <n v="0"/>
    <m/>
    <n v="0"/>
    <m/>
    <m/>
    <m/>
    <m/>
    <n v="0"/>
    <m/>
    <n v="0"/>
    <m/>
    <n v="0"/>
    <m/>
    <n v="0"/>
    <m/>
    <n v="0"/>
    <m/>
    <m/>
    <m/>
    <m/>
    <n v="0"/>
    <n v="0"/>
    <n v="0"/>
    <n v="0"/>
    <n v="0"/>
    <n v="0"/>
    <n v="0"/>
    <n v="0"/>
    <n v="0"/>
    <m/>
    <n v="0"/>
    <n v="0"/>
    <m/>
    <m/>
    <n v="0"/>
    <s v="Malaria"/>
    <x v="8"/>
  </r>
  <r>
    <n v="74"/>
    <x v="1"/>
    <x v="7"/>
    <s v="Procurement of consumables"/>
    <x v="13"/>
    <m/>
    <m/>
    <m/>
    <m/>
    <m/>
    <m/>
    <m/>
    <m/>
    <m/>
    <s v="-"/>
    <n v="0"/>
    <s v="-"/>
    <n v="0"/>
    <s v="-"/>
    <n v="0"/>
    <s v="-"/>
    <n v="0"/>
    <m/>
    <n v="0"/>
    <m/>
    <m/>
    <m/>
    <m/>
    <n v="0"/>
    <m/>
    <n v="0"/>
    <m/>
    <n v="0"/>
    <m/>
    <n v="0"/>
    <m/>
    <n v="0"/>
    <m/>
    <m/>
    <m/>
    <m/>
    <n v="0"/>
    <m/>
    <n v="0"/>
    <m/>
    <n v="0"/>
    <m/>
    <n v="0"/>
    <m/>
    <n v="0"/>
    <m/>
    <m/>
    <m/>
    <m/>
    <n v="0"/>
    <n v="0"/>
    <n v="0"/>
    <n v="0"/>
    <n v="0"/>
    <n v="0"/>
    <n v="0"/>
    <n v="0"/>
    <n v="0"/>
    <m/>
    <n v="0"/>
    <n v="0"/>
    <m/>
    <m/>
    <n v="0"/>
    <s v="Malaria"/>
    <x v="9"/>
  </r>
  <r>
    <n v="75"/>
    <x v="1"/>
    <x v="7"/>
    <s v="Procurement of laboratory reagents"/>
    <x v="14"/>
    <m/>
    <m/>
    <m/>
    <m/>
    <m/>
    <m/>
    <m/>
    <m/>
    <m/>
    <m/>
    <n v="0"/>
    <s v="-"/>
    <n v="0"/>
    <s v="-"/>
    <n v="0"/>
    <s v="-"/>
    <n v="0"/>
    <m/>
    <n v="0"/>
    <m/>
    <m/>
    <m/>
    <m/>
    <n v="0"/>
    <m/>
    <n v="0"/>
    <m/>
    <n v="0"/>
    <m/>
    <n v="0"/>
    <m/>
    <n v="0"/>
    <m/>
    <m/>
    <m/>
    <m/>
    <n v="0"/>
    <m/>
    <n v="0"/>
    <m/>
    <n v="0"/>
    <m/>
    <n v="0"/>
    <m/>
    <n v="0"/>
    <m/>
    <m/>
    <m/>
    <m/>
    <n v="0"/>
    <n v="0"/>
    <n v="0"/>
    <n v="0"/>
    <n v="0"/>
    <n v="0"/>
    <n v="0"/>
    <n v="0"/>
    <n v="0"/>
    <m/>
    <n v="0"/>
    <n v="0"/>
    <m/>
    <m/>
    <n v="0"/>
    <s v="Malaria"/>
    <x v="10"/>
  </r>
  <r>
    <n v="76"/>
    <x v="1"/>
    <x v="7"/>
    <s v="PSM costs"/>
    <x v="1"/>
    <m/>
    <m/>
    <m/>
    <m/>
    <m/>
    <m/>
    <m/>
    <m/>
    <m/>
    <s v="-"/>
    <n v="0"/>
    <s v="-"/>
    <n v="0"/>
    <s v="-"/>
    <n v="0"/>
    <s v="-"/>
    <n v="0"/>
    <m/>
    <n v="0"/>
    <m/>
    <m/>
    <m/>
    <m/>
    <n v="0"/>
    <m/>
    <n v="0"/>
    <m/>
    <n v="0"/>
    <m/>
    <n v="0"/>
    <m/>
    <n v="0"/>
    <m/>
    <m/>
    <m/>
    <m/>
    <n v="0"/>
    <m/>
    <n v="0"/>
    <m/>
    <n v="0"/>
    <m/>
    <n v="0"/>
    <m/>
    <n v="0"/>
    <m/>
    <m/>
    <m/>
    <m/>
    <n v="0"/>
    <n v="0"/>
    <n v="0"/>
    <n v="0"/>
    <n v="0"/>
    <n v="0"/>
    <n v="0"/>
    <n v="0"/>
    <n v="0"/>
    <m/>
    <n v="0"/>
    <n v="0"/>
    <m/>
    <m/>
    <n v="0"/>
    <s v="Malaria"/>
    <x v="1"/>
  </r>
  <r>
    <n v="77"/>
    <x v="1"/>
    <x v="7"/>
    <s v="PSM costs"/>
    <x v="2"/>
    <m/>
    <m/>
    <m/>
    <m/>
    <m/>
    <m/>
    <m/>
    <m/>
    <m/>
    <s v="-"/>
    <n v="0"/>
    <s v="-"/>
    <n v="0"/>
    <s v="-"/>
    <n v="0"/>
    <s v="-"/>
    <n v="0"/>
    <m/>
    <n v="0"/>
    <m/>
    <m/>
    <m/>
    <m/>
    <n v="0"/>
    <m/>
    <n v="0"/>
    <m/>
    <n v="0"/>
    <m/>
    <n v="0"/>
    <m/>
    <n v="0"/>
    <m/>
    <m/>
    <m/>
    <m/>
    <n v="0"/>
    <m/>
    <n v="0"/>
    <m/>
    <n v="0"/>
    <m/>
    <n v="0"/>
    <m/>
    <n v="0"/>
    <m/>
    <m/>
    <m/>
    <m/>
    <n v="0"/>
    <n v="0"/>
    <n v="0"/>
    <n v="0"/>
    <n v="0"/>
    <n v="0"/>
    <n v="0"/>
    <n v="0"/>
    <n v="0"/>
    <m/>
    <n v="0"/>
    <n v="0"/>
    <m/>
    <m/>
    <n v="0"/>
    <s v="Malaria"/>
    <x v="1"/>
  </r>
  <r>
    <n v="78"/>
    <x v="1"/>
    <x v="7"/>
    <s v="PSM costs"/>
    <x v="3"/>
    <m/>
    <m/>
    <m/>
    <m/>
    <m/>
    <m/>
    <m/>
    <m/>
    <m/>
    <s v="-"/>
    <n v="0"/>
    <s v="-"/>
    <n v="0"/>
    <s v="-"/>
    <n v="0"/>
    <s v="-"/>
    <n v="0"/>
    <m/>
    <n v="0"/>
    <m/>
    <m/>
    <m/>
    <m/>
    <n v="0"/>
    <m/>
    <n v="0"/>
    <m/>
    <n v="0"/>
    <m/>
    <n v="0"/>
    <m/>
    <n v="0"/>
    <m/>
    <m/>
    <m/>
    <m/>
    <n v="0"/>
    <m/>
    <n v="0"/>
    <m/>
    <n v="0"/>
    <m/>
    <n v="0"/>
    <m/>
    <n v="0"/>
    <m/>
    <m/>
    <m/>
    <m/>
    <n v="0"/>
    <n v="0"/>
    <n v="0"/>
    <n v="0"/>
    <n v="0"/>
    <n v="0"/>
    <n v="0"/>
    <n v="0"/>
    <n v="0"/>
    <m/>
    <n v="0"/>
    <n v="0"/>
    <m/>
    <m/>
    <n v="0"/>
    <s v="Malaria"/>
    <x v="1"/>
  </r>
  <r>
    <n v="79"/>
    <x v="1"/>
    <x v="7"/>
    <s v="PSM costs"/>
    <x v="4"/>
    <m/>
    <m/>
    <m/>
    <m/>
    <m/>
    <m/>
    <m/>
    <m/>
    <m/>
    <s v="-"/>
    <n v="0"/>
    <s v="-"/>
    <n v="0"/>
    <s v="-"/>
    <n v="0"/>
    <s v="-"/>
    <n v="0"/>
    <m/>
    <n v="0"/>
    <m/>
    <m/>
    <m/>
    <m/>
    <n v="0"/>
    <m/>
    <n v="0"/>
    <m/>
    <n v="0"/>
    <m/>
    <n v="0"/>
    <m/>
    <n v="0"/>
    <m/>
    <m/>
    <m/>
    <m/>
    <n v="0"/>
    <m/>
    <n v="0"/>
    <m/>
    <n v="0"/>
    <m/>
    <n v="0"/>
    <m/>
    <n v="0"/>
    <m/>
    <m/>
    <m/>
    <m/>
    <n v="0"/>
    <n v="0"/>
    <n v="0"/>
    <n v="0"/>
    <n v="0"/>
    <n v="0"/>
    <n v="0"/>
    <n v="0"/>
    <n v="0"/>
    <m/>
    <n v="0"/>
    <n v="0"/>
    <m/>
    <m/>
    <n v="0"/>
    <s v="Malaria"/>
    <x v="1"/>
  </r>
  <r>
    <n v="80"/>
    <x v="1"/>
    <x v="7"/>
    <s v="PSM costs"/>
    <x v="5"/>
    <m/>
    <m/>
    <m/>
    <m/>
    <m/>
    <m/>
    <m/>
    <m/>
    <m/>
    <s v="-"/>
    <n v="0"/>
    <s v="-"/>
    <n v="0"/>
    <s v="-"/>
    <n v="0"/>
    <s v="-"/>
    <n v="0"/>
    <m/>
    <n v="0"/>
    <m/>
    <m/>
    <m/>
    <m/>
    <n v="0"/>
    <m/>
    <n v="0"/>
    <m/>
    <n v="0"/>
    <m/>
    <n v="0"/>
    <m/>
    <n v="0"/>
    <m/>
    <m/>
    <m/>
    <m/>
    <n v="0"/>
    <m/>
    <n v="0"/>
    <m/>
    <n v="0"/>
    <m/>
    <n v="0"/>
    <m/>
    <n v="0"/>
    <m/>
    <m/>
    <m/>
    <m/>
    <n v="0"/>
    <n v="0"/>
    <n v="0"/>
    <n v="0"/>
    <n v="0"/>
    <n v="0"/>
    <n v="0"/>
    <n v="0"/>
    <n v="0"/>
    <m/>
    <n v="0"/>
    <n v="0"/>
    <m/>
    <m/>
    <n v="0"/>
    <s v="Malaria"/>
    <x v="1"/>
  </r>
  <r>
    <n v="81"/>
    <x v="1"/>
    <x v="7"/>
    <s v="PSM costs"/>
    <x v="6"/>
    <m/>
    <m/>
    <m/>
    <m/>
    <m/>
    <m/>
    <m/>
    <m/>
    <m/>
    <s v="-"/>
    <n v="0"/>
    <s v="-"/>
    <n v="0"/>
    <s v="-"/>
    <n v="0"/>
    <s v="-"/>
    <n v="0"/>
    <m/>
    <n v="0"/>
    <m/>
    <m/>
    <m/>
    <m/>
    <n v="0"/>
    <m/>
    <n v="0"/>
    <m/>
    <n v="0"/>
    <m/>
    <n v="0"/>
    <m/>
    <n v="0"/>
    <m/>
    <m/>
    <m/>
    <m/>
    <n v="0"/>
    <m/>
    <n v="0"/>
    <m/>
    <n v="0"/>
    <m/>
    <n v="0"/>
    <m/>
    <n v="0"/>
    <m/>
    <m/>
    <m/>
    <m/>
    <n v="0"/>
    <n v="0"/>
    <n v="0"/>
    <n v="0"/>
    <n v="0"/>
    <n v="0"/>
    <n v="0"/>
    <n v="0"/>
    <n v="0"/>
    <m/>
    <n v="0"/>
    <n v="0"/>
    <m/>
    <m/>
    <n v="0"/>
    <s v="Malaria"/>
    <x v="1"/>
  </r>
  <r>
    <n v="82"/>
    <x v="1"/>
    <x v="7"/>
    <s v="PSM costs"/>
    <x v="7"/>
    <m/>
    <m/>
    <m/>
    <m/>
    <m/>
    <m/>
    <m/>
    <m/>
    <m/>
    <s v="-"/>
    <n v="0"/>
    <s v="-"/>
    <n v="0"/>
    <s v="-"/>
    <n v="0"/>
    <s v="-"/>
    <n v="0"/>
    <m/>
    <n v="0"/>
    <m/>
    <m/>
    <m/>
    <m/>
    <n v="0"/>
    <m/>
    <n v="0"/>
    <m/>
    <n v="0"/>
    <m/>
    <n v="0"/>
    <m/>
    <n v="0"/>
    <m/>
    <m/>
    <m/>
    <m/>
    <n v="0"/>
    <m/>
    <n v="0"/>
    <m/>
    <n v="0"/>
    <m/>
    <n v="0"/>
    <m/>
    <n v="0"/>
    <m/>
    <m/>
    <m/>
    <m/>
    <n v="0"/>
    <n v="0"/>
    <n v="0"/>
    <n v="0"/>
    <n v="0"/>
    <n v="0"/>
    <n v="0"/>
    <n v="0"/>
    <n v="0"/>
    <m/>
    <n v="0"/>
    <n v="0"/>
    <m/>
    <m/>
    <n v="0"/>
    <s v="Malaria"/>
    <x v="1"/>
  </r>
  <r>
    <n v="83"/>
    <x v="1"/>
    <x v="8"/>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84"/>
    <x v="1"/>
    <x v="8"/>
    <s v="Procurement of RDTs to diagnose malaria"/>
    <x v="11"/>
    <m/>
    <m/>
    <m/>
    <m/>
    <m/>
    <m/>
    <m/>
    <e v="#DIV/0!"/>
    <m/>
    <s v="-"/>
    <n v="0"/>
    <s v="-"/>
    <n v="0"/>
    <s v="-"/>
    <n v="0"/>
    <s v="-"/>
    <n v="0"/>
    <m/>
    <n v="0"/>
    <m/>
    <m/>
    <m/>
    <m/>
    <n v="0"/>
    <m/>
    <n v="0"/>
    <m/>
    <n v="0"/>
    <m/>
    <n v="0"/>
    <m/>
    <n v="0"/>
    <m/>
    <m/>
    <m/>
    <m/>
    <n v="0"/>
    <m/>
    <n v="0"/>
    <m/>
    <n v="0"/>
    <m/>
    <n v="0"/>
    <m/>
    <n v="0"/>
    <m/>
    <m/>
    <m/>
    <m/>
    <n v="0"/>
    <n v="0"/>
    <n v="0"/>
    <n v="0"/>
    <n v="0"/>
    <n v="0"/>
    <n v="0"/>
    <n v="0"/>
    <n v="0"/>
    <m/>
    <n v="0"/>
    <n v="0"/>
    <m/>
    <m/>
    <n v="0"/>
    <s v="Malaria"/>
    <x v="6"/>
  </r>
  <r>
    <n v="85"/>
    <x v="1"/>
    <x v="8"/>
    <s v="PSM costs"/>
    <x v="1"/>
    <m/>
    <m/>
    <m/>
    <m/>
    <m/>
    <m/>
    <m/>
    <m/>
    <m/>
    <s v="-"/>
    <n v="0"/>
    <s v="-"/>
    <n v="0"/>
    <s v="-"/>
    <n v="0"/>
    <s v="-"/>
    <n v="0"/>
    <m/>
    <n v="0"/>
    <m/>
    <m/>
    <m/>
    <m/>
    <n v="0"/>
    <m/>
    <n v="0"/>
    <m/>
    <n v="0"/>
    <m/>
    <n v="0"/>
    <m/>
    <n v="0"/>
    <m/>
    <m/>
    <m/>
    <m/>
    <n v="0"/>
    <m/>
    <n v="0"/>
    <m/>
    <n v="0"/>
    <m/>
    <n v="0"/>
    <m/>
    <n v="0"/>
    <m/>
    <m/>
    <m/>
    <m/>
    <n v="0"/>
    <n v="0"/>
    <n v="0"/>
    <n v="0"/>
    <n v="0"/>
    <n v="0"/>
    <n v="0"/>
    <n v="0"/>
    <n v="0"/>
    <m/>
    <n v="0"/>
    <n v="0"/>
    <m/>
    <m/>
    <n v="0"/>
    <s v="Malaria"/>
    <x v="1"/>
  </r>
  <r>
    <n v="86"/>
    <x v="1"/>
    <x v="8"/>
    <s v="PSM costs"/>
    <x v="2"/>
    <m/>
    <m/>
    <m/>
    <m/>
    <m/>
    <m/>
    <m/>
    <m/>
    <m/>
    <s v="-"/>
    <n v="0"/>
    <s v="-"/>
    <n v="0"/>
    <s v="-"/>
    <n v="0"/>
    <s v="-"/>
    <n v="0"/>
    <m/>
    <n v="0"/>
    <m/>
    <m/>
    <m/>
    <m/>
    <n v="0"/>
    <m/>
    <n v="0"/>
    <m/>
    <n v="0"/>
    <m/>
    <n v="0"/>
    <m/>
    <n v="0"/>
    <m/>
    <m/>
    <m/>
    <m/>
    <n v="0"/>
    <m/>
    <n v="0"/>
    <m/>
    <n v="0"/>
    <m/>
    <n v="0"/>
    <m/>
    <n v="0"/>
    <m/>
    <m/>
    <m/>
    <m/>
    <n v="0"/>
    <n v="0"/>
    <n v="0"/>
    <n v="0"/>
    <n v="0"/>
    <n v="0"/>
    <n v="0"/>
    <n v="0"/>
    <n v="0"/>
    <m/>
    <n v="0"/>
    <n v="0"/>
    <m/>
    <m/>
    <n v="0"/>
    <s v="Malaria"/>
    <x v="1"/>
  </r>
  <r>
    <n v="87"/>
    <x v="1"/>
    <x v="8"/>
    <s v="PSM costs"/>
    <x v="3"/>
    <m/>
    <m/>
    <m/>
    <m/>
    <m/>
    <m/>
    <m/>
    <m/>
    <m/>
    <s v="-"/>
    <n v="0"/>
    <s v="-"/>
    <n v="0"/>
    <s v="-"/>
    <n v="0"/>
    <s v="-"/>
    <n v="0"/>
    <m/>
    <n v="0"/>
    <m/>
    <m/>
    <m/>
    <m/>
    <n v="0"/>
    <m/>
    <n v="0"/>
    <m/>
    <n v="0"/>
    <m/>
    <n v="0"/>
    <m/>
    <n v="0"/>
    <m/>
    <m/>
    <m/>
    <m/>
    <n v="0"/>
    <m/>
    <n v="0"/>
    <m/>
    <n v="0"/>
    <m/>
    <n v="0"/>
    <m/>
    <n v="0"/>
    <m/>
    <m/>
    <m/>
    <m/>
    <n v="0"/>
    <n v="0"/>
    <n v="0"/>
    <n v="0"/>
    <n v="0"/>
    <n v="0"/>
    <n v="0"/>
    <n v="0"/>
    <n v="0"/>
    <m/>
    <n v="0"/>
    <n v="0"/>
    <m/>
    <m/>
    <n v="0"/>
    <s v="Malaria"/>
    <x v="1"/>
  </r>
  <r>
    <n v="88"/>
    <x v="1"/>
    <x v="8"/>
    <s v="PSM costs"/>
    <x v="4"/>
    <m/>
    <m/>
    <m/>
    <m/>
    <m/>
    <m/>
    <m/>
    <m/>
    <m/>
    <s v="-"/>
    <n v="0"/>
    <s v="-"/>
    <n v="0"/>
    <s v="-"/>
    <n v="0"/>
    <s v="-"/>
    <n v="0"/>
    <m/>
    <n v="0"/>
    <m/>
    <m/>
    <m/>
    <m/>
    <n v="0"/>
    <m/>
    <n v="0"/>
    <m/>
    <n v="0"/>
    <m/>
    <n v="0"/>
    <m/>
    <n v="0"/>
    <m/>
    <m/>
    <m/>
    <m/>
    <n v="0"/>
    <m/>
    <n v="0"/>
    <m/>
    <n v="0"/>
    <m/>
    <n v="0"/>
    <m/>
    <n v="0"/>
    <m/>
    <m/>
    <m/>
    <m/>
    <n v="0"/>
    <n v="0"/>
    <n v="0"/>
    <n v="0"/>
    <n v="0"/>
    <n v="0"/>
    <n v="0"/>
    <n v="0"/>
    <n v="0"/>
    <m/>
    <n v="0"/>
    <n v="0"/>
    <m/>
    <m/>
    <n v="0"/>
    <s v="Malaria"/>
    <x v="1"/>
  </r>
  <r>
    <n v="89"/>
    <x v="1"/>
    <x v="8"/>
    <s v="PSM costs"/>
    <x v="5"/>
    <m/>
    <m/>
    <m/>
    <m/>
    <m/>
    <m/>
    <m/>
    <m/>
    <m/>
    <s v="-"/>
    <n v="0"/>
    <s v="-"/>
    <n v="0"/>
    <s v="-"/>
    <n v="0"/>
    <s v="-"/>
    <n v="0"/>
    <m/>
    <n v="0"/>
    <m/>
    <m/>
    <m/>
    <m/>
    <n v="0"/>
    <m/>
    <n v="0"/>
    <m/>
    <n v="0"/>
    <m/>
    <n v="0"/>
    <m/>
    <n v="0"/>
    <m/>
    <m/>
    <m/>
    <m/>
    <n v="0"/>
    <m/>
    <n v="0"/>
    <m/>
    <n v="0"/>
    <m/>
    <n v="0"/>
    <m/>
    <n v="0"/>
    <m/>
    <m/>
    <m/>
    <m/>
    <n v="0"/>
    <n v="0"/>
    <n v="0"/>
    <n v="0"/>
    <n v="0"/>
    <n v="0"/>
    <n v="0"/>
    <n v="0"/>
    <n v="0"/>
    <m/>
    <n v="0"/>
    <n v="0"/>
    <m/>
    <m/>
    <n v="0"/>
    <s v="Malaria"/>
    <x v="1"/>
  </r>
  <r>
    <n v="90"/>
    <x v="1"/>
    <x v="8"/>
    <s v="PSM costs"/>
    <x v="6"/>
    <m/>
    <m/>
    <m/>
    <m/>
    <m/>
    <m/>
    <m/>
    <e v="#DIV/0!"/>
    <e v="#DIV/0!"/>
    <s v="-"/>
    <n v="0"/>
    <s v="-"/>
    <n v="0"/>
    <s v="-"/>
    <n v="0"/>
    <s v="-"/>
    <n v="0"/>
    <m/>
    <n v="0"/>
    <m/>
    <m/>
    <m/>
    <m/>
    <n v="0"/>
    <m/>
    <n v="0"/>
    <m/>
    <n v="0"/>
    <m/>
    <n v="0"/>
    <m/>
    <n v="0"/>
    <m/>
    <m/>
    <m/>
    <m/>
    <n v="0"/>
    <m/>
    <n v="0"/>
    <m/>
    <n v="0"/>
    <m/>
    <n v="0"/>
    <m/>
    <n v="0"/>
    <m/>
    <m/>
    <m/>
    <m/>
    <n v="0"/>
    <n v="0"/>
    <n v="0"/>
    <n v="0"/>
    <n v="0"/>
    <n v="0"/>
    <n v="0"/>
    <n v="0"/>
    <n v="0"/>
    <m/>
    <n v="0"/>
    <n v="0"/>
    <m/>
    <m/>
    <n v="0"/>
    <s v="Malaria"/>
    <x v="1"/>
  </r>
  <r>
    <n v="91"/>
    <x v="1"/>
    <x v="8"/>
    <s v="PSM costs"/>
    <x v="7"/>
    <m/>
    <m/>
    <m/>
    <m/>
    <m/>
    <m/>
    <m/>
    <m/>
    <m/>
    <s v="-"/>
    <n v="0"/>
    <s v="-"/>
    <n v="0"/>
    <s v="-"/>
    <n v="0"/>
    <s v="-"/>
    <n v="0"/>
    <m/>
    <n v="0"/>
    <m/>
    <m/>
    <m/>
    <m/>
    <n v="0"/>
    <m/>
    <n v="0"/>
    <m/>
    <n v="0"/>
    <m/>
    <n v="0"/>
    <m/>
    <n v="0"/>
    <m/>
    <m/>
    <m/>
    <m/>
    <n v="0"/>
    <m/>
    <n v="0"/>
    <m/>
    <n v="0"/>
    <m/>
    <n v="0"/>
    <m/>
    <n v="0"/>
    <m/>
    <m/>
    <m/>
    <m/>
    <n v="0"/>
    <n v="0"/>
    <n v="0"/>
    <n v="0"/>
    <n v="0"/>
    <n v="0"/>
    <n v="0"/>
    <n v="0"/>
    <n v="0"/>
    <m/>
    <n v="0"/>
    <n v="0"/>
    <m/>
    <m/>
    <n v="0"/>
    <s v="Malaria"/>
    <x v="1"/>
  </r>
  <r>
    <n v="92"/>
    <x v="1"/>
    <x v="9"/>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93"/>
    <x v="1"/>
    <x v="9"/>
    <s v="Procurement of RDTs to diagnose malaria"/>
    <x v="11"/>
    <m/>
    <m/>
    <m/>
    <m/>
    <m/>
    <m/>
    <m/>
    <m/>
    <m/>
    <s v="-"/>
    <n v="0"/>
    <s v="-"/>
    <n v="0"/>
    <s v="-"/>
    <n v="0"/>
    <s v="-"/>
    <n v="0"/>
    <m/>
    <n v="0"/>
    <m/>
    <m/>
    <m/>
    <m/>
    <n v="0"/>
    <m/>
    <n v="0"/>
    <m/>
    <n v="0"/>
    <m/>
    <n v="0"/>
    <m/>
    <n v="0"/>
    <m/>
    <m/>
    <m/>
    <m/>
    <n v="0"/>
    <m/>
    <n v="0"/>
    <m/>
    <n v="0"/>
    <m/>
    <n v="0"/>
    <m/>
    <n v="0"/>
    <m/>
    <m/>
    <m/>
    <m/>
    <n v="0"/>
    <n v="0"/>
    <n v="0"/>
    <n v="0"/>
    <n v="0"/>
    <n v="0"/>
    <n v="0"/>
    <n v="0"/>
    <n v="0"/>
    <m/>
    <n v="0"/>
    <n v="0"/>
    <m/>
    <m/>
    <n v="0"/>
    <s v="Malaria"/>
    <x v="6"/>
  </r>
  <r>
    <n v="94"/>
    <x v="1"/>
    <x v="9"/>
    <s v="PSM costs"/>
    <x v="1"/>
    <m/>
    <m/>
    <m/>
    <m/>
    <m/>
    <m/>
    <m/>
    <m/>
    <m/>
    <s v="-"/>
    <n v="0"/>
    <s v="-"/>
    <n v="0"/>
    <s v="-"/>
    <n v="0"/>
    <s v="-"/>
    <n v="0"/>
    <m/>
    <n v="0"/>
    <m/>
    <m/>
    <m/>
    <m/>
    <n v="0"/>
    <m/>
    <n v="0"/>
    <m/>
    <n v="0"/>
    <m/>
    <n v="0"/>
    <m/>
    <n v="0"/>
    <m/>
    <m/>
    <m/>
    <m/>
    <n v="0"/>
    <m/>
    <n v="0"/>
    <m/>
    <n v="0"/>
    <m/>
    <n v="0"/>
    <m/>
    <n v="0"/>
    <m/>
    <m/>
    <m/>
    <m/>
    <n v="0"/>
    <n v="0"/>
    <n v="0"/>
    <n v="0"/>
    <n v="0"/>
    <n v="0"/>
    <n v="0"/>
    <n v="0"/>
    <n v="0"/>
    <m/>
    <n v="0"/>
    <n v="0"/>
    <m/>
    <m/>
    <n v="0"/>
    <s v="Malaria"/>
    <x v="1"/>
  </r>
  <r>
    <n v="95"/>
    <x v="1"/>
    <x v="9"/>
    <s v="PSM costs"/>
    <x v="2"/>
    <m/>
    <m/>
    <m/>
    <m/>
    <m/>
    <m/>
    <m/>
    <m/>
    <m/>
    <s v="-"/>
    <n v="0"/>
    <s v="-"/>
    <n v="0"/>
    <s v="-"/>
    <n v="0"/>
    <s v="-"/>
    <n v="0"/>
    <m/>
    <n v="0"/>
    <m/>
    <m/>
    <m/>
    <m/>
    <n v="0"/>
    <m/>
    <n v="0"/>
    <m/>
    <n v="0"/>
    <m/>
    <n v="0"/>
    <m/>
    <n v="0"/>
    <m/>
    <m/>
    <m/>
    <m/>
    <n v="0"/>
    <m/>
    <n v="0"/>
    <m/>
    <n v="0"/>
    <m/>
    <n v="0"/>
    <m/>
    <n v="0"/>
    <m/>
    <m/>
    <m/>
    <m/>
    <n v="0"/>
    <n v="0"/>
    <n v="0"/>
    <n v="0"/>
    <n v="0"/>
    <n v="0"/>
    <n v="0"/>
    <n v="0"/>
    <n v="0"/>
    <m/>
    <n v="0"/>
    <n v="0"/>
    <m/>
    <m/>
    <n v="0"/>
    <s v="Malaria"/>
    <x v="1"/>
  </r>
  <r>
    <n v="96"/>
    <x v="1"/>
    <x v="9"/>
    <s v="PSM costs"/>
    <x v="3"/>
    <m/>
    <m/>
    <m/>
    <m/>
    <m/>
    <m/>
    <m/>
    <e v="#DIV/0!"/>
    <m/>
    <s v="-"/>
    <n v="0"/>
    <s v="-"/>
    <n v="0"/>
    <s v="-"/>
    <n v="0"/>
    <s v="-"/>
    <n v="0"/>
    <m/>
    <n v="0"/>
    <m/>
    <m/>
    <m/>
    <m/>
    <n v="0"/>
    <m/>
    <n v="0"/>
    <m/>
    <n v="0"/>
    <m/>
    <n v="0"/>
    <m/>
    <n v="0"/>
    <m/>
    <m/>
    <m/>
    <m/>
    <n v="0"/>
    <m/>
    <n v="0"/>
    <m/>
    <n v="0"/>
    <m/>
    <n v="0"/>
    <m/>
    <n v="0"/>
    <m/>
    <m/>
    <m/>
    <m/>
    <n v="0"/>
    <n v="0"/>
    <n v="0"/>
    <n v="0"/>
    <n v="0"/>
    <n v="0"/>
    <n v="0"/>
    <n v="0"/>
    <n v="0"/>
    <m/>
    <n v="0"/>
    <n v="0"/>
    <m/>
    <m/>
    <n v="0"/>
    <s v="Malaria"/>
    <x v="1"/>
  </r>
  <r>
    <n v="97"/>
    <x v="1"/>
    <x v="9"/>
    <s v="PSM costs"/>
    <x v="4"/>
    <m/>
    <m/>
    <m/>
    <m/>
    <m/>
    <m/>
    <m/>
    <m/>
    <m/>
    <s v="-"/>
    <n v="0"/>
    <s v="-"/>
    <n v="0"/>
    <s v="-"/>
    <n v="0"/>
    <s v="-"/>
    <n v="0"/>
    <m/>
    <n v="0"/>
    <m/>
    <m/>
    <m/>
    <m/>
    <n v="0"/>
    <m/>
    <n v="0"/>
    <m/>
    <n v="0"/>
    <m/>
    <n v="0"/>
    <m/>
    <n v="0"/>
    <m/>
    <m/>
    <m/>
    <m/>
    <n v="0"/>
    <m/>
    <n v="0"/>
    <m/>
    <n v="0"/>
    <m/>
    <n v="0"/>
    <m/>
    <n v="0"/>
    <m/>
    <m/>
    <m/>
    <m/>
    <n v="0"/>
    <n v="0"/>
    <n v="0"/>
    <n v="0"/>
    <n v="0"/>
    <n v="0"/>
    <n v="0"/>
    <n v="0"/>
    <n v="0"/>
    <m/>
    <n v="0"/>
    <n v="0"/>
    <m/>
    <m/>
    <n v="0"/>
    <s v="Malaria"/>
    <x v="1"/>
  </r>
  <r>
    <n v="98"/>
    <x v="1"/>
    <x v="9"/>
    <s v="PSM costs"/>
    <x v="5"/>
    <m/>
    <m/>
    <m/>
    <m/>
    <m/>
    <m/>
    <m/>
    <m/>
    <m/>
    <s v="-"/>
    <n v="0"/>
    <s v="-"/>
    <n v="0"/>
    <s v="-"/>
    <n v="0"/>
    <s v="-"/>
    <n v="0"/>
    <m/>
    <n v="0"/>
    <m/>
    <m/>
    <m/>
    <m/>
    <n v="0"/>
    <m/>
    <n v="0"/>
    <m/>
    <n v="0"/>
    <m/>
    <n v="0"/>
    <m/>
    <n v="0"/>
    <m/>
    <m/>
    <m/>
    <m/>
    <n v="0"/>
    <m/>
    <n v="0"/>
    <m/>
    <n v="0"/>
    <m/>
    <n v="0"/>
    <m/>
    <n v="0"/>
    <m/>
    <m/>
    <m/>
    <m/>
    <n v="0"/>
    <n v="0"/>
    <n v="0"/>
    <n v="0"/>
    <n v="0"/>
    <n v="0"/>
    <n v="0"/>
    <n v="0"/>
    <n v="0"/>
    <m/>
    <n v="0"/>
    <n v="0"/>
    <m/>
    <m/>
    <n v="0"/>
    <s v="Malaria"/>
    <x v="1"/>
  </r>
  <r>
    <n v="99"/>
    <x v="1"/>
    <x v="9"/>
    <s v="PSM costs"/>
    <x v="6"/>
    <m/>
    <m/>
    <m/>
    <m/>
    <m/>
    <m/>
    <m/>
    <e v="#DIV/0!"/>
    <m/>
    <s v="-"/>
    <n v="0"/>
    <s v="-"/>
    <n v="0"/>
    <s v="-"/>
    <n v="0"/>
    <s v="-"/>
    <n v="0"/>
    <m/>
    <n v="0"/>
    <m/>
    <m/>
    <m/>
    <m/>
    <n v="0"/>
    <m/>
    <n v="0"/>
    <m/>
    <n v="0"/>
    <m/>
    <n v="0"/>
    <m/>
    <n v="0"/>
    <m/>
    <m/>
    <m/>
    <m/>
    <n v="0"/>
    <m/>
    <n v="0"/>
    <m/>
    <n v="0"/>
    <m/>
    <n v="0"/>
    <m/>
    <n v="0"/>
    <m/>
    <m/>
    <m/>
    <m/>
    <n v="0"/>
    <n v="0"/>
    <n v="0"/>
    <n v="0"/>
    <n v="0"/>
    <n v="0"/>
    <n v="0"/>
    <n v="0"/>
    <n v="0"/>
    <m/>
    <n v="0"/>
    <n v="0"/>
    <m/>
    <m/>
    <n v="0"/>
    <s v="Malaria"/>
    <x v="1"/>
  </r>
  <r>
    <n v="100"/>
    <x v="1"/>
    <x v="9"/>
    <s v="PSM costs"/>
    <x v="7"/>
    <m/>
    <m/>
    <m/>
    <m/>
    <m/>
    <m/>
    <m/>
    <e v="#DIV/0!"/>
    <m/>
    <s v="-"/>
    <n v="0"/>
    <s v="-"/>
    <n v="0"/>
    <s v="-"/>
    <n v="0"/>
    <s v="-"/>
    <n v="0"/>
    <m/>
    <n v="0"/>
    <m/>
    <m/>
    <m/>
    <m/>
    <n v="0"/>
    <m/>
    <n v="0"/>
    <m/>
    <n v="0"/>
    <m/>
    <n v="0"/>
    <m/>
    <n v="0"/>
    <m/>
    <m/>
    <m/>
    <m/>
    <n v="0"/>
    <m/>
    <n v="0"/>
    <m/>
    <n v="0"/>
    <m/>
    <n v="0"/>
    <m/>
    <n v="0"/>
    <m/>
    <m/>
    <m/>
    <m/>
    <n v="0"/>
    <n v="0"/>
    <n v="0"/>
    <n v="0"/>
    <n v="0"/>
    <n v="0"/>
    <n v="0"/>
    <n v="0"/>
    <n v="0"/>
    <m/>
    <n v="0"/>
    <n v="0"/>
    <m/>
    <m/>
    <n v="0"/>
    <s v="Malaria"/>
    <x v="1"/>
  </r>
  <r>
    <n v="125"/>
    <x v="2"/>
    <x v="10"/>
    <s v="Procurement of antimalaria medicines for prevention"/>
    <x v="10"/>
    <m/>
    <m/>
    <m/>
    <m/>
    <m/>
    <m/>
    <m/>
    <e v="#DIV/0!"/>
    <e v="#DIV/0!"/>
    <s v="-"/>
    <n v="0"/>
    <s v="-"/>
    <n v="0"/>
    <s v="-"/>
    <n v="0"/>
    <s v="-"/>
    <n v="0"/>
    <m/>
    <n v="0"/>
    <m/>
    <m/>
    <m/>
    <m/>
    <n v="0"/>
    <m/>
    <n v="0"/>
    <m/>
    <n v="0"/>
    <m/>
    <n v="0"/>
    <m/>
    <n v="0"/>
    <m/>
    <m/>
    <m/>
    <m/>
    <n v="0"/>
    <m/>
    <n v="0"/>
    <m/>
    <n v="0"/>
    <m/>
    <n v="0"/>
    <m/>
    <n v="0"/>
    <m/>
    <m/>
    <m/>
    <m/>
    <n v="0"/>
    <n v="0"/>
    <n v="0"/>
    <n v="0"/>
    <n v="0"/>
    <n v="0"/>
    <n v="0"/>
    <n v="0"/>
    <n v="0"/>
    <m/>
    <n v="0"/>
    <n v="0"/>
    <m/>
    <m/>
    <n v="0"/>
    <s v="Malaria"/>
    <x v="11"/>
  </r>
  <r>
    <n v="126"/>
    <x v="2"/>
    <x v="10"/>
    <s v="PSM costs"/>
    <x v="1"/>
    <m/>
    <s v="El Salvador"/>
    <m/>
    <m/>
    <m/>
    <m/>
    <m/>
    <m/>
    <m/>
    <s v="-"/>
    <n v="0"/>
    <s v="-"/>
    <n v="0"/>
    <s v="-"/>
    <n v="0"/>
    <s v="-"/>
    <n v="0"/>
    <m/>
    <n v="0"/>
    <m/>
    <m/>
    <m/>
    <m/>
    <n v="0"/>
    <m/>
    <n v="0"/>
    <m/>
    <n v="0"/>
    <m/>
    <n v="0"/>
    <m/>
    <n v="0"/>
    <m/>
    <m/>
    <m/>
    <m/>
    <n v="0"/>
    <m/>
    <n v="0"/>
    <m/>
    <n v="0"/>
    <m/>
    <n v="0"/>
    <m/>
    <n v="0"/>
    <m/>
    <m/>
    <m/>
    <m/>
    <n v="0"/>
    <n v="0"/>
    <n v="0"/>
    <n v="0"/>
    <n v="0"/>
    <n v="0"/>
    <n v="0"/>
    <n v="0"/>
    <n v="0"/>
    <m/>
    <n v="0"/>
    <n v="0"/>
    <m/>
    <m/>
    <n v="0"/>
    <s v="Malaria"/>
    <x v="1"/>
  </r>
  <r>
    <n v="127"/>
    <x v="2"/>
    <x v="10"/>
    <s v="PSM costs"/>
    <x v="2"/>
    <m/>
    <m/>
    <m/>
    <m/>
    <m/>
    <m/>
    <m/>
    <m/>
    <m/>
    <s v="-"/>
    <n v="0"/>
    <s v="-"/>
    <n v="0"/>
    <s v="-"/>
    <n v="0"/>
    <s v="-"/>
    <n v="0"/>
    <m/>
    <n v="0"/>
    <m/>
    <m/>
    <m/>
    <m/>
    <n v="0"/>
    <m/>
    <n v="0"/>
    <m/>
    <n v="0"/>
    <m/>
    <n v="0"/>
    <m/>
    <n v="0"/>
    <m/>
    <m/>
    <m/>
    <m/>
    <n v="0"/>
    <m/>
    <n v="0"/>
    <m/>
    <n v="0"/>
    <m/>
    <n v="0"/>
    <m/>
    <n v="0"/>
    <m/>
    <m/>
    <m/>
    <m/>
    <n v="0"/>
    <n v="0"/>
    <n v="0"/>
    <n v="0"/>
    <n v="0"/>
    <n v="0"/>
    <n v="0"/>
    <n v="0"/>
    <n v="0"/>
    <m/>
    <n v="0"/>
    <n v="0"/>
    <m/>
    <m/>
    <n v="0"/>
    <s v="Malaria"/>
    <x v="1"/>
  </r>
  <r>
    <n v="128"/>
    <x v="2"/>
    <x v="10"/>
    <s v="PSM costs"/>
    <x v="3"/>
    <m/>
    <m/>
    <m/>
    <m/>
    <m/>
    <m/>
    <m/>
    <m/>
    <m/>
    <s v="-"/>
    <n v="0"/>
    <s v="-"/>
    <n v="0"/>
    <s v="-"/>
    <n v="0"/>
    <s v="-"/>
    <n v="0"/>
    <m/>
    <n v="0"/>
    <m/>
    <m/>
    <m/>
    <m/>
    <n v="0"/>
    <m/>
    <n v="0"/>
    <m/>
    <n v="0"/>
    <m/>
    <n v="0"/>
    <m/>
    <n v="0"/>
    <m/>
    <m/>
    <m/>
    <m/>
    <n v="0"/>
    <m/>
    <n v="0"/>
    <m/>
    <n v="0"/>
    <m/>
    <n v="0"/>
    <m/>
    <n v="0"/>
    <m/>
    <m/>
    <m/>
    <m/>
    <n v="0"/>
    <n v="0"/>
    <n v="0"/>
    <n v="0"/>
    <n v="0"/>
    <n v="0"/>
    <n v="0"/>
    <n v="0"/>
    <n v="0"/>
    <m/>
    <n v="0"/>
    <n v="0"/>
    <m/>
    <m/>
    <n v="0"/>
    <s v="Malaria"/>
    <x v="1"/>
  </r>
  <r>
    <n v="129"/>
    <x v="2"/>
    <x v="10"/>
    <s v="PSM costs"/>
    <x v="4"/>
    <m/>
    <m/>
    <m/>
    <m/>
    <m/>
    <m/>
    <m/>
    <m/>
    <m/>
    <s v="-"/>
    <n v="0"/>
    <s v="-"/>
    <n v="0"/>
    <s v="-"/>
    <n v="0"/>
    <s v="-"/>
    <n v="0"/>
    <m/>
    <n v="0"/>
    <m/>
    <m/>
    <m/>
    <m/>
    <n v="0"/>
    <m/>
    <n v="0"/>
    <m/>
    <n v="0"/>
    <m/>
    <n v="0"/>
    <m/>
    <n v="0"/>
    <m/>
    <m/>
    <m/>
    <m/>
    <n v="0"/>
    <m/>
    <n v="0"/>
    <m/>
    <n v="0"/>
    <m/>
    <n v="0"/>
    <m/>
    <n v="0"/>
    <m/>
    <m/>
    <m/>
    <m/>
    <n v="0"/>
    <n v="0"/>
    <n v="0"/>
    <n v="0"/>
    <n v="0"/>
    <n v="0"/>
    <n v="0"/>
    <n v="0"/>
    <n v="0"/>
    <m/>
    <n v="0"/>
    <n v="0"/>
    <m/>
    <m/>
    <n v="0"/>
    <s v="Malaria"/>
    <x v="1"/>
  </r>
  <r>
    <n v="130"/>
    <x v="2"/>
    <x v="10"/>
    <s v="PSM costs"/>
    <x v="5"/>
    <m/>
    <m/>
    <m/>
    <m/>
    <m/>
    <m/>
    <m/>
    <m/>
    <m/>
    <s v="-"/>
    <n v="0"/>
    <s v="-"/>
    <n v="0"/>
    <s v="-"/>
    <n v="0"/>
    <s v="-"/>
    <n v="0"/>
    <m/>
    <n v="0"/>
    <m/>
    <m/>
    <m/>
    <m/>
    <n v="0"/>
    <m/>
    <n v="0"/>
    <m/>
    <n v="0"/>
    <m/>
    <n v="0"/>
    <m/>
    <n v="0"/>
    <m/>
    <m/>
    <m/>
    <m/>
    <n v="0"/>
    <m/>
    <n v="0"/>
    <m/>
    <n v="0"/>
    <m/>
    <n v="0"/>
    <m/>
    <n v="0"/>
    <m/>
    <m/>
    <m/>
    <m/>
    <n v="0"/>
    <n v="0"/>
    <n v="0"/>
    <n v="0"/>
    <n v="0"/>
    <n v="0"/>
    <n v="0"/>
    <n v="0"/>
    <n v="0"/>
    <m/>
    <n v="0"/>
    <n v="0"/>
    <m/>
    <m/>
    <n v="0"/>
    <s v="Malaria"/>
    <x v="1"/>
  </r>
  <r>
    <n v="131"/>
    <x v="2"/>
    <x v="10"/>
    <s v="PSM costs"/>
    <x v="6"/>
    <m/>
    <m/>
    <m/>
    <m/>
    <m/>
    <m/>
    <m/>
    <m/>
    <m/>
    <s v="-"/>
    <n v="0"/>
    <s v="-"/>
    <n v="0"/>
    <s v="-"/>
    <n v="0"/>
    <s v="-"/>
    <n v="0"/>
    <m/>
    <n v="0"/>
    <m/>
    <m/>
    <m/>
    <m/>
    <n v="0"/>
    <m/>
    <n v="0"/>
    <m/>
    <n v="0"/>
    <m/>
    <n v="0"/>
    <m/>
    <n v="0"/>
    <m/>
    <m/>
    <m/>
    <m/>
    <n v="0"/>
    <m/>
    <n v="0"/>
    <m/>
    <n v="0"/>
    <m/>
    <n v="0"/>
    <m/>
    <n v="0"/>
    <m/>
    <m/>
    <m/>
    <m/>
    <n v="0"/>
    <n v="0"/>
    <n v="0"/>
    <n v="0"/>
    <n v="0"/>
    <n v="0"/>
    <n v="0"/>
    <n v="0"/>
    <n v="0"/>
    <m/>
    <n v="0"/>
    <n v="0"/>
    <m/>
    <m/>
    <n v="0"/>
    <s v="Malaria"/>
    <x v="1"/>
  </r>
  <r>
    <n v="132"/>
    <x v="2"/>
    <x v="10"/>
    <s v="PSM costs"/>
    <x v="7"/>
    <m/>
    <m/>
    <m/>
    <m/>
    <m/>
    <m/>
    <m/>
    <m/>
    <m/>
    <s v="-"/>
    <n v="0"/>
    <s v="-"/>
    <n v="0"/>
    <s v="-"/>
    <n v="0"/>
    <s v="-"/>
    <n v="0"/>
    <m/>
    <n v="0"/>
    <m/>
    <m/>
    <m/>
    <m/>
    <n v="0"/>
    <m/>
    <n v="0"/>
    <m/>
    <n v="0"/>
    <m/>
    <n v="0"/>
    <m/>
    <n v="0"/>
    <m/>
    <m/>
    <m/>
    <m/>
    <n v="0"/>
    <m/>
    <n v="0"/>
    <m/>
    <n v="0"/>
    <m/>
    <n v="0"/>
    <m/>
    <n v="0"/>
    <m/>
    <m/>
    <m/>
    <m/>
    <n v="0"/>
    <n v="0"/>
    <n v="0"/>
    <n v="0"/>
    <n v="0"/>
    <n v="0"/>
    <n v="0"/>
    <n v="0"/>
    <n v="0"/>
    <m/>
    <n v="0"/>
    <n v="0"/>
    <m/>
    <m/>
    <n v="0"/>
    <s v="Malaria"/>
    <x v="1"/>
  </r>
  <r>
    <n v="133"/>
    <x v="2"/>
    <x v="11"/>
    <s v="Procurement of antimalaria medicines for prevention"/>
    <x v="10"/>
    <m/>
    <s v="El Salvador"/>
    <m/>
    <m/>
    <m/>
    <m/>
    <m/>
    <e v="#DIV/0!"/>
    <e v="#DIV/0!"/>
    <s v="-"/>
    <n v="0"/>
    <s v="-"/>
    <n v="0"/>
    <s v="-"/>
    <n v="0"/>
    <s v="-"/>
    <n v="0"/>
    <m/>
    <n v="0"/>
    <m/>
    <m/>
    <m/>
    <m/>
    <n v="0"/>
    <m/>
    <n v="0"/>
    <m/>
    <n v="0"/>
    <m/>
    <n v="0"/>
    <m/>
    <n v="0"/>
    <m/>
    <m/>
    <m/>
    <m/>
    <n v="0"/>
    <m/>
    <n v="0"/>
    <m/>
    <n v="0"/>
    <m/>
    <n v="0"/>
    <m/>
    <n v="0"/>
    <m/>
    <m/>
    <m/>
    <m/>
    <n v="0"/>
    <n v="0"/>
    <n v="0"/>
    <n v="0"/>
    <n v="0"/>
    <n v="0"/>
    <n v="0"/>
    <n v="0"/>
    <n v="0"/>
    <m/>
    <n v="0"/>
    <n v="0"/>
    <m/>
    <m/>
    <n v="0"/>
    <s v="Malaria"/>
    <x v="11"/>
  </r>
  <r>
    <n v="134"/>
    <x v="2"/>
    <x v="11"/>
    <s v="PSM costs"/>
    <x v="1"/>
    <m/>
    <m/>
    <m/>
    <m/>
    <m/>
    <m/>
    <m/>
    <m/>
    <m/>
    <s v="-"/>
    <n v="0"/>
    <s v="-"/>
    <n v="0"/>
    <s v="-"/>
    <n v="0"/>
    <s v="-"/>
    <n v="0"/>
    <m/>
    <n v="0"/>
    <m/>
    <m/>
    <m/>
    <m/>
    <n v="0"/>
    <m/>
    <n v="0"/>
    <m/>
    <n v="0"/>
    <m/>
    <n v="0"/>
    <m/>
    <n v="0"/>
    <m/>
    <m/>
    <m/>
    <m/>
    <n v="0"/>
    <m/>
    <n v="0"/>
    <m/>
    <n v="0"/>
    <m/>
    <n v="0"/>
    <m/>
    <n v="0"/>
    <m/>
    <m/>
    <m/>
    <m/>
    <n v="0"/>
    <n v="0"/>
    <n v="0"/>
    <n v="0"/>
    <n v="0"/>
    <n v="0"/>
    <n v="0"/>
    <n v="0"/>
    <n v="0"/>
    <m/>
    <n v="0"/>
    <n v="0"/>
    <m/>
    <m/>
    <n v="0"/>
    <s v="Malaria"/>
    <x v="1"/>
  </r>
  <r>
    <n v="135"/>
    <x v="2"/>
    <x v="11"/>
    <s v="PSM costs"/>
    <x v="2"/>
    <m/>
    <m/>
    <m/>
    <m/>
    <m/>
    <m/>
    <m/>
    <m/>
    <m/>
    <s v="-"/>
    <n v="0"/>
    <s v="-"/>
    <n v="0"/>
    <s v="-"/>
    <n v="0"/>
    <s v="-"/>
    <n v="0"/>
    <m/>
    <n v="0"/>
    <m/>
    <m/>
    <m/>
    <m/>
    <n v="0"/>
    <m/>
    <n v="0"/>
    <m/>
    <n v="0"/>
    <m/>
    <n v="0"/>
    <m/>
    <n v="0"/>
    <m/>
    <m/>
    <m/>
    <m/>
    <n v="0"/>
    <m/>
    <n v="0"/>
    <m/>
    <n v="0"/>
    <m/>
    <n v="0"/>
    <m/>
    <n v="0"/>
    <m/>
    <m/>
    <m/>
    <m/>
    <n v="0"/>
    <n v="0"/>
    <n v="0"/>
    <n v="0"/>
    <n v="0"/>
    <n v="0"/>
    <n v="0"/>
    <n v="0"/>
    <n v="0"/>
    <m/>
    <n v="0"/>
    <n v="0"/>
    <m/>
    <m/>
    <n v="0"/>
    <s v="Malaria"/>
    <x v="1"/>
  </r>
  <r>
    <n v="136"/>
    <x v="2"/>
    <x v="11"/>
    <s v="PSM costs"/>
    <x v="3"/>
    <m/>
    <m/>
    <m/>
    <m/>
    <m/>
    <m/>
    <m/>
    <m/>
    <m/>
    <s v="-"/>
    <n v="0"/>
    <s v="-"/>
    <n v="0"/>
    <s v="-"/>
    <n v="0"/>
    <s v="-"/>
    <n v="0"/>
    <m/>
    <n v="0"/>
    <m/>
    <m/>
    <m/>
    <m/>
    <n v="0"/>
    <m/>
    <n v="0"/>
    <m/>
    <n v="0"/>
    <m/>
    <n v="0"/>
    <m/>
    <n v="0"/>
    <m/>
    <m/>
    <m/>
    <m/>
    <n v="0"/>
    <m/>
    <n v="0"/>
    <m/>
    <n v="0"/>
    <m/>
    <n v="0"/>
    <m/>
    <n v="0"/>
    <m/>
    <m/>
    <m/>
    <m/>
    <n v="0"/>
    <n v="0"/>
    <n v="0"/>
    <n v="0"/>
    <n v="0"/>
    <n v="0"/>
    <n v="0"/>
    <n v="0"/>
    <n v="0"/>
    <m/>
    <n v="0"/>
    <n v="0"/>
    <m/>
    <m/>
    <n v="0"/>
    <s v="Malaria"/>
    <x v="1"/>
  </r>
  <r>
    <n v="137"/>
    <x v="2"/>
    <x v="11"/>
    <s v="PSM costs"/>
    <x v="4"/>
    <m/>
    <m/>
    <m/>
    <m/>
    <m/>
    <m/>
    <m/>
    <m/>
    <m/>
    <s v="-"/>
    <n v="0"/>
    <s v="-"/>
    <n v="0"/>
    <s v="-"/>
    <n v="0"/>
    <s v="-"/>
    <n v="0"/>
    <m/>
    <n v="0"/>
    <m/>
    <m/>
    <m/>
    <m/>
    <n v="0"/>
    <m/>
    <n v="0"/>
    <m/>
    <n v="0"/>
    <m/>
    <n v="0"/>
    <m/>
    <n v="0"/>
    <m/>
    <m/>
    <m/>
    <m/>
    <n v="0"/>
    <m/>
    <n v="0"/>
    <m/>
    <n v="0"/>
    <m/>
    <n v="0"/>
    <m/>
    <n v="0"/>
    <m/>
    <m/>
    <m/>
    <m/>
    <n v="0"/>
    <n v="0"/>
    <n v="0"/>
    <n v="0"/>
    <n v="0"/>
    <n v="0"/>
    <n v="0"/>
    <n v="0"/>
    <n v="0"/>
    <m/>
    <n v="0"/>
    <n v="0"/>
    <m/>
    <m/>
    <n v="0"/>
    <s v="Malaria"/>
    <x v="1"/>
  </r>
  <r>
    <n v="138"/>
    <x v="2"/>
    <x v="11"/>
    <s v="PSM costs"/>
    <x v="5"/>
    <m/>
    <m/>
    <m/>
    <m/>
    <m/>
    <m/>
    <m/>
    <m/>
    <m/>
    <s v="-"/>
    <n v="0"/>
    <s v="-"/>
    <n v="0"/>
    <s v="-"/>
    <n v="0"/>
    <s v="-"/>
    <n v="0"/>
    <m/>
    <n v="0"/>
    <m/>
    <m/>
    <m/>
    <m/>
    <n v="0"/>
    <m/>
    <n v="0"/>
    <m/>
    <n v="0"/>
    <m/>
    <n v="0"/>
    <m/>
    <n v="0"/>
    <m/>
    <m/>
    <m/>
    <m/>
    <n v="0"/>
    <m/>
    <n v="0"/>
    <m/>
    <n v="0"/>
    <m/>
    <n v="0"/>
    <m/>
    <n v="0"/>
    <m/>
    <m/>
    <m/>
    <m/>
    <n v="0"/>
    <n v="0"/>
    <n v="0"/>
    <n v="0"/>
    <n v="0"/>
    <n v="0"/>
    <n v="0"/>
    <n v="0"/>
    <n v="0"/>
    <m/>
    <n v="0"/>
    <n v="0"/>
    <m/>
    <m/>
    <n v="0"/>
    <s v="Malaria"/>
    <x v="1"/>
  </r>
  <r>
    <n v="139"/>
    <x v="2"/>
    <x v="11"/>
    <s v="PSM costs"/>
    <x v="6"/>
    <m/>
    <s v="El Salvador"/>
    <m/>
    <m/>
    <m/>
    <m/>
    <m/>
    <m/>
    <m/>
    <s v="-"/>
    <n v="0"/>
    <s v="-"/>
    <n v="0"/>
    <s v="-"/>
    <n v="0"/>
    <s v="-"/>
    <n v="0"/>
    <m/>
    <n v="0"/>
    <m/>
    <m/>
    <m/>
    <m/>
    <n v="0"/>
    <m/>
    <n v="0"/>
    <m/>
    <n v="0"/>
    <m/>
    <n v="0"/>
    <m/>
    <n v="0"/>
    <m/>
    <m/>
    <m/>
    <m/>
    <n v="0"/>
    <m/>
    <n v="0"/>
    <m/>
    <n v="0"/>
    <m/>
    <n v="0"/>
    <m/>
    <n v="0"/>
    <m/>
    <m/>
    <m/>
    <m/>
    <n v="0"/>
    <n v="0"/>
    <n v="0"/>
    <n v="0"/>
    <n v="0"/>
    <n v="0"/>
    <n v="0"/>
    <n v="0"/>
    <n v="0"/>
    <m/>
    <n v="0"/>
    <n v="0"/>
    <m/>
    <m/>
    <n v="0"/>
    <s v="Malaria"/>
    <x v="1"/>
  </r>
  <r>
    <n v="140"/>
    <x v="2"/>
    <x v="11"/>
    <s v="PSM costs"/>
    <x v="7"/>
    <m/>
    <s v="El Salvador"/>
    <m/>
    <m/>
    <m/>
    <m/>
    <m/>
    <m/>
    <m/>
    <s v="-"/>
    <n v="0"/>
    <s v="-"/>
    <n v="0"/>
    <s v="-"/>
    <n v="0"/>
    <s v="-"/>
    <n v="0"/>
    <m/>
    <n v="0"/>
    <m/>
    <m/>
    <m/>
    <m/>
    <n v="0"/>
    <m/>
    <n v="0"/>
    <m/>
    <n v="0"/>
    <m/>
    <n v="0"/>
    <m/>
    <n v="0"/>
    <m/>
    <m/>
    <m/>
    <m/>
    <n v="0"/>
    <m/>
    <n v="0"/>
    <m/>
    <n v="0"/>
    <m/>
    <n v="0"/>
    <m/>
    <n v="0"/>
    <m/>
    <m/>
    <m/>
    <m/>
    <n v="0"/>
    <n v="0"/>
    <n v="0"/>
    <n v="0"/>
    <n v="0"/>
    <n v="0"/>
    <n v="0"/>
    <n v="0"/>
    <n v="0"/>
    <m/>
    <n v="0"/>
    <n v="0"/>
    <m/>
    <m/>
    <n v="0"/>
    <s v="Malaria"/>
    <x v="1"/>
  </r>
  <r>
    <n v="141"/>
    <x v="2"/>
    <x v="12"/>
    <s v="Procurement of antimalaria medicines for prevention"/>
    <x v="10"/>
    <m/>
    <m/>
    <m/>
    <m/>
    <m/>
    <m/>
    <m/>
    <m/>
    <m/>
    <s v="-"/>
    <n v="0"/>
    <s v="-"/>
    <n v="0"/>
    <s v="-"/>
    <n v="0"/>
    <s v="-"/>
    <n v="0"/>
    <m/>
    <n v="0"/>
    <m/>
    <m/>
    <m/>
    <m/>
    <n v="0"/>
    <m/>
    <n v="0"/>
    <m/>
    <n v="0"/>
    <m/>
    <n v="0"/>
    <m/>
    <n v="0"/>
    <m/>
    <m/>
    <m/>
    <m/>
    <n v="0"/>
    <m/>
    <n v="0"/>
    <m/>
    <n v="0"/>
    <m/>
    <n v="0"/>
    <m/>
    <n v="0"/>
    <m/>
    <m/>
    <m/>
    <m/>
    <n v="0"/>
    <n v="0"/>
    <n v="0"/>
    <n v="0"/>
    <n v="0"/>
    <n v="0"/>
    <n v="0"/>
    <n v="0"/>
    <n v="0"/>
    <m/>
    <n v="0"/>
    <n v="0"/>
    <m/>
    <m/>
    <n v="0"/>
    <s v="Malaria"/>
    <x v="11"/>
  </r>
  <r>
    <n v="142"/>
    <x v="2"/>
    <x v="12"/>
    <s v="PSM costs"/>
    <x v="1"/>
    <m/>
    <m/>
    <m/>
    <m/>
    <m/>
    <m/>
    <m/>
    <m/>
    <m/>
    <s v="-"/>
    <n v="0"/>
    <s v="-"/>
    <n v="0"/>
    <s v="-"/>
    <n v="0"/>
    <s v="-"/>
    <n v="0"/>
    <m/>
    <n v="0"/>
    <m/>
    <m/>
    <m/>
    <m/>
    <n v="0"/>
    <m/>
    <n v="0"/>
    <m/>
    <n v="0"/>
    <m/>
    <n v="0"/>
    <m/>
    <n v="0"/>
    <m/>
    <m/>
    <m/>
    <m/>
    <n v="0"/>
    <m/>
    <n v="0"/>
    <m/>
    <n v="0"/>
    <m/>
    <n v="0"/>
    <m/>
    <n v="0"/>
    <m/>
    <m/>
    <m/>
    <m/>
    <n v="0"/>
    <n v="0"/>
    <n v="0"/>
    <n v="0"/>
    <n v="0"/>
    <n v="0"/>
    <n v="0"/>
    <n v="0"/>
    <n v="0"/>
    <m/>
    <n v="0"/>
    <n v="0"/>
    <m/>
    <m/>
    <n v="0"/>
    <s v="Malaria"/>
    <x v="1"/>
  </r>
  <r>
    <n v="143"/>
    <x v="2"/>
    <x v="12"/>
    <s v="PSM costs"/>
    <x v="2"/>
    <m/>
    <m/>
    <m/>
    <m/>
    <m/>
    <m/>
    <m/>
    <m/>
    <m/>
    <s v="-"/>
    <n v="0"/>
    <s v="-"/>
    <n v="0"/>
    <s v="-"/>
    <n v="0"/>
    <s v="-"/>
    <n v="0"/>
    <m/>
    <n v="0"/>
    <m/>
    <m/>
    <m/>
    <m/>
    <n v="0"/>
    <m/>
    <n v="0"/>
    <m/>
    <n v="0"/>
    <m/>
    <n v="0"/>
    <m/>
    <n v="0"/>
    <m/>
    <m/>
    <m/>
    <m/>
    <n v="0"/>
    <m/>
    <n v="0"/>
    <m/>
    <n v="0"/>
    <m/>
    <n v="0"/>
    <m/>
    <n v="0"/>
    <m/>
    <m/>
    <m/>
    <m/>
    <n v="0"/>
    <n v="0"/>
    <n v="0"/>
    <n v="0"/>
    <n v="0"/>
    <n v="0"/>
    <n v="0"/>
    <n v="0"/>
    <n v="0"/>
    <m/>
    <n v="0"/>
    <n v="0"/>
    <m/>
    <m/>
    <n v="0"/>
    <s v="Malaria"/>
    <x v="1"/>
  </r>
  <r>
    <n v="144"/>
    <x v="2"/>
    <x v="12"/>
    <s v="PSM costs"/>
    <x v="3"/>
    <m/>
    <m/>
    <m/>
    <m/>
    <m/>
    <m/>
    <m/>
    <m/>
    <m/>
    <s v="-"/>
    <n v="0"/>
    <s v="-"/>
    <n v="0"/>
    <s v="-"/>
    <n v="0"/>
    <s v="-"/>
    <n v="0"/>
    <m/>
    <n v="0"/>
    <m/>
    <m/>
    <m/>
    <m/>
    <n v="0"/>
    <m/>
    <n v="0"/>
    <m/>
    <n v="0"/>
    <m/>
    <n v="0"/>
    <m/>
    <n v="0"/>
    <m/>
    <m/>
    <m/>
    <m/>
    <n v="0"/>
    <m/>
    <n v="0"/>
    <m/>
    <n v="0"/>
    <m/>
    <n v="0"/>
    <m/>
    <n v="0"/>
    <m/>
    <m/>
    <m/>
    <m/>
    <n v="0"/>
    <n v="0"/>
    <n v="0"/>
    <n v="0"/>
    <n v="0"/>
    <n v="0"/>
    <n v="0"/>
    <n v="0"/>
    <n v="0"/>
    <m/>
    <n v="0"/>
    <n v="0"/>
    <m/>
    <m/>
    <n v="0"/>
    <s v="Malaria"/>
    <x v="1"/>
  </r>
  <r>
    <n v="145"/>
    <x v="2"/>
    <x v="12"/>
    <s v="PSM costs"/>
    <x v="4"/>
    <m/>
    <m/>
    <m/>
    <m/>
    <m/>
    <m/>
    <m/>
    <m/>
    <m/>
    <s v="-"/>
    <n v="0"/>
    <s v="-"/>
    <n v="0"/>
    <s v="-"/>
    <n v="0"/>
    <s v="-"/>
    <n v="0"/>
    <m/>
    <n v="0"/>
    <m/>
    <m/>
    <m/>
    <m/>
    <n v="0"/>
    <m/>
    <n v="0"/>
    <m/>
    <n v="0"/>
    <m/>
    <n v="0"/>
    <m/>
    <n v="0"/>
    <m/>
    <m/>
    <m/>
    <m/>
    <n v="0"/>
    <m/>
    <n v="0"/>
    <m/>
    <n v="0"/>
    <m/>
    <n v="0"/>
    <m/>
    <n v="0"/>
    <m/>
    <m/>
    <m/>
    <m/>
    <n v="0"/>
    <n v="0"/>
    <n v="0"/>
    <n v="0"/>
    <n v="0"/>
    <n v="0"/>
    <n v="0"/>
    <n v="0"/>
    <n v="0"/>
    <m/>
    <n v="0"/>
    <n v="0"/>
    <m/>
    <m/>
    <n v="0"/>
    <s v="Malaria"/>
    <x v="1"/>
  </r>
  <r>
    <n v="146"/>
    <x v="2"/>
    <x v="12"/>
    <s v="PSM costs"/>
    <x v="5"/>
    <m/>
    <s v="El Salvador"/>
    <m/>
    <m/>
    <m/>
    <m/>
    <m/>
    <m/>
    <m/>
    <s v="-"/>
    <n v="0"/>
    <s v="-"/>
    <n v="0"/>
    <s v="-"/>
    <n v="0"/>
    <s v="-"/>
    <n v="0"/>
    <m/>
    <n v="0"/>
    <m/>
    <m/>
    <m/>
    <m/>
    <n v="0"/>
    <m/>
    <n v="0"/>
    <m/>
    <n v="0"/>
    <m/>
    <n v="0"/>
    <m/>
    <n v="0"/>
    <m/>
    <m/>
    <m/>
    <m/>
    <n v="0"/>
    <m/>
    <n v="0"/>
    <m/>
    <n v="0"/>
    <m/>
    <n v="0"/>
    <m/>
    <n v="0"/>
    <m/>
    <m/>
    <m/>
    <m/>
    <n v="0"/>
    <n v="0"/>
    <n v="0"/>
    <n v="0"/>
    <n v="0"/>
    <n v="0"/>
    <n v="0"/>
    <n v="0"/>
    <n v="0"/>
    <m/>
    <n v="0"/>
    <n v="0"/>
    <m/>
    <m/>
    <n v="0"/>
    <s v="Malaria"/>
    <x v="1"/>
  </r>
  <r>
    <n v="147"/>
    <x v="2"/>
    <x v="12"/>
    <s v="PSM costs"/>
    <x v="6"/>
    <m/>
    <s v="El Salvador"/>
    <m/>
    <m/>
    <m/>
    <m/>
    <m/>
    <m/>
    <m/>
    <s v="-"/>
    <n v="0"/>
    <s v="-"/>
    <n v="0"/>
    <s v="-"/>
    <n v="0"/>
    <s v="-"/>
    <n v="0"/>
    <m/>
    <n v="0"/>
    <m/>
    <m/>
    <m/>
    <m/>
    <n v="0"/>
    <m/>
    <n v="0"/>
    <m/>
    <n v="0"/>
    <m/>
    <n v="0"/>
    <m/>
    <n v="0"/>
    <m/>
    <m/>
    <m/>
    <m/>
    <n v="0"/>
    <m/>
    <n v="0"/>
    <m/>
    <n v="0"/>
    <m/>
    <n v="0"/>
    <m/>
    <n v="0"/>
    <m/>
    <m/>
    <m/>
    <m/>
    <n v="0"/>
    <n v="0"/>
    <n v="0"/>
    <n v="0"/>
    <n v="0"/>
    <n v="0"/>
    <n v="0"/>
    <n v="0"/>
    <n v="0"/>
    <m/>
    <n v="0"/>
    <n v="0"/>
    <m/>
    <m/>
    <n v="0"/>
    <s v="Malaria"/>
    <x v="1"/>
  </r>
  <r>
    <n v="148"/>
    <x v="2"/>
    <x v="12"/>
    <s v="PSM costs"/>
    <x v="7"/>
    <m/>
    <m/>
    <m/>
    <m/>
    <m/>
    <m/>
    <m/>
    <m/>
    <m/>
    <s v="-"/>
    <n v="0"/>
    <s v="-"/>
    <n v="0"/>
    <s v="-"/>
    <n v="0"/>
    <s v="-"/>
    <n v="0"/>
    <m/>
    <n v="0"/>
    <m/>
    <m/>
    <m/>
    <m/>
    <n v="0"/>
    <m/>
    <n v="0"/>
    <m/>
    <n v="0"/>
    <m/>
    <n v="0"/>
    <m/>
    <n v="0"/>
    <m/>
    <m/>
    <m/>
    <m/>
    <n v="0"/>
    <m/>
    <n v="0"/>
    <m/>
    <n v="0"/>
    <m/>
    <n v="0"/>
    <m/>
    <n v="0"/>
    <m/>
    <m/>
    <m/>
    <m/>
    <n v="0"/>
    <n v="0"/>
    <n v="0"/>
    <n v="0"/>
    <n v="0"/>
    <n v="0"/>
    <n v="0"/>
    <n v="0"/>
    <n v="0"/>
    <m/>
    <n v="0"/>
    <n v="0"/>
    <m/>
    <m/>
    <n v="0"/>
    <s v="Malaria"/>
    <x v="1"/>
  </r>
  <r>
    <n v="149"/>
    <x v="2"/>
    <x v="13"/>
    <s v="Procurement of antimalaria medicines for prevention"/>
    <x v="10"/>
    <m/>
    <m/>
    <m/>
    <m/>
    <m/>
    <m/>
    <m/>
    <m/>
    <m/>
    <s v="-"/>
    <n v="0"/>
    <s v="-"/>
    <n v="0"/>
    <s v="-"/>
    <n v="0"/>
    <s v="-"/>
    <n v="0"/>
    <m/>
    <n v="0"/>
    <m/>
    <m/>
    <m/>
    <m/>
    <n v="0"/>
    <m/>
    <n v="0"/>
    <m/>
    <n v="0"/>
    <m/>
    <n v="0"/>
    <m/>
    <n v="0"/>
    <m/>
    <m/>
    <m/>
    <m/>
    <n v="0"/>
    <m/>
    <n v="0"/>
    <m/>
    <n v="0"/>
    <m/>
    <n v="0"/>
    <m/>
    <n v="0"/>
    <m/>
    <m/>
    <m/>
    <m/>
    <n v="0"/>
    <n v="0"/>
    <n v="0"/>
    <n v="0"/>
    <n v="0"/>
    <n v="0"/>
    <n v="0"/>
    <n v="0"/>
    <n v="0"/>
    <m/>
    <n v="0"/>
    <n v="0"/>
    <m/>
    <m/>
    <n v="0"/>
    <s v="Malaria"/>
    <x v="11"/>
  </r>
  <r>
    <n v="150"/>
    <x v="2"/>
    <x v="13"/>
    <s v="PSM costs"/>
    <x v="1"/>
    <m/>
    <m/>
    <m/>
    <m/>
    <m/>
    <m/>
    <m/>
    <m/>
    <m/>
    <s v="-"/>
    <n v="0"/>
    <s v="-"/>
    <n v="0"/>
    <s v="-"/>
    <n v="0"/>
    <s v="-"/>
    <n v="0"/>
    <m/>
    <n v="0"/>
    <m/>
    <m/>
    <m/>
    <m/>
    <n v="0"/>
    <m/>
    <n v="0"/>
    <m/>
    <n v="0"/>
    <m/>
    <n v="0"/>
    <m/>
    <n v="0"/>
    <m/>
    <m/>
    <m/>
    <m/>
    <n v="0"/>
    <m/>
    <n v="0"/>
    <m/>
    <n v="0"/>
    <m/>
    <n v="0"/>
    <m/>
    <n v="0"/>
    <m/>
    <m/>
    <m/>
    <m/>
    <n v="0"/>
    <n v="0"/>
    <n v="0"/>
    <n v="0"/>
    <n v="0"/>
    <n v="0"/>
    <n v="0"/>
    <n v="0"/>
    <n v="0"/>
    <m/>
    <n v="0"/>
    <n v="0"/>
    <m/>
    <m/>
    <n v="0"/>
    <s v="Malaria"/>
    <x v="1"/>
  </r>
  <r>
    <n v="151"/>
    <x v="2"/>
    <x v="13"/>
    <s v="PSM costs"/>
    <x v="2"/>
    <m/>
    <m/>
    <m/>
    <m/>
    <m/>
    <m/>
    <m/>
    <m/>
    <m/>
    <s v="-"/>
    <n v="0"/>
    <s v="-"/>
    <n v="0"/>
    <s v="-"/>
    <n v="0"/>
    <s v="-"/>
    <n v="0"/>
    <m/>
    <n v="0"/>
    <m/>
    <m/>
    <m/>
    <m/>
    <n v="0"/>
    <m/>
    <n v="0"/>
    <m/>
    <n v="0"/>
    <m/>
    <n v="0"/>
    <m/>
    <n v="0"/>
    <m/>
    <m/>
    <m/>
    <m/>
    <n v="0"/>
    <m/>
    <n v="0"/>
    <m/>
    <n v="0"/>
    <m/>
    <n v="0"/>
    <m/>
    <n v="0"/>
    <m/>
    <m/>
    <m/>
    <m/>
    <n v="0"/>
    <n v="0"/>
    <n v="0"/>
    <n v="0"/>
    <n v="0"/>
    <n v="0"/>
    <n v="0"/>
    <n v="0"/>
    <n v="0"/>
    <m/>
    <n v="0"/>
    <n v="0"/>
    <m/>
    <m/>
    <n v="0"/>
    <s v="Malaria"/>
    <x v="1"/>
  </r>
  <r>
    <n v="152"/>
    <x v="2"/>
    <x v="13"/>
    <s v="PSM costs"/>
    <x v="3"/>
    <m/>
    <m/>
    <m/>
    <m/>
    <m/>
    <m/>
    <m/>
    <m/>
    <m/>
    <s v="-"/>
    <n v="0"/>
    <s v="-"/>
    <n v="0"/>
    <s v="-"/>
    <n v="0"/>
    <s v="-"/>
    <n v="0"/>
    <m/>
    <n v="0"/>
    <m/>
    <m/>
    <m/>
    <m/>
    <n v="0"/>
    <m/>
    <n v="0"/>
    <m/>
    <n v="0"/>
    <m/>
    <n v="0"/>
    <m/>
    <n v="0"/>
    <m/>
    <m/>
    <m/>
    <m/>
    <n v="0"/>
    <m/>
    <n v="0"/>
    <m/>
    <n v="0"/>
    <m/>
    <n v="0"/>
    <m/>
    <n v="0"/>
    <m/>
    <m/>
    <m/>
    <m/>
    <n v="0"/>
    <n v="0"/>
    <n v="0"/>
    <n v="0"/>
    <n v="0"/>
    <n v="0"/>
    <n v="0"/>
    <n v="0"/>
    <n v="0"/>
    <m/>
    <n v="0"/>
    <n v="0"/>
    <m/>
    <m/>
    <n v="0"/>
    <s v="Malaria"/>
    <x v="1"/>
  </r>
  <r>
    <n v="153"/>
    <x v="2"/>
    <x v="13"/>
    <s v="PSM costs"/>
    <x v="4"/>
    <m/>
    <m/>
    <m/>
    <m/>
    <m/>
    <m/>
    <m/>
    <m/>
    <m/>
    <s v="-"/>
    <n v="0"/>
    <s v="-"/>
    <n v="0"/>
    <s v="-"/>
    <n v="0"/>
    <s v="-"/>
    <n v="0"/>
    <m/>
    <n v="0"/>
    <m/>
    <m/>
    <m/>
    <m/>
    <n v="0"/>
    <m/>
    <n v="0"/>
    <m/>
    <n v="0"/>
    <m/>
    <n v="0"/>
    <m/>
    <n v="0"/>
    <m/>
    <m/>
    <m/>
    <m/>
    <n v="0"/>
    <m/>
    <n v="0"/>
    <m/>
    <n v="0"/>
    <m/>
    <n v="0"/>
    <m/>
    <n v="0"/>
    <m/>
    <m/>
    <m/>
    <m/>
    <n v="0"/>
    <n v="0"/>
    <n v="0"/>
    <n v="0"/>
    <n v="0"/>
    <n v="0"/>
    <n v="0"/>
    <n v="0"/>
    <n v="0"/>
    <m/>
    <n v="0"/>
    <n v="0"/>
    <m/>
    <m/>
    <n v="0"/>
    <s v="Malaria"/>
    <x v="1"/>
  </r>
  <r>
    <n v="154"/>
    <x v="2"/>
    <x v="13"/>
    <s v="PSM costs"/>
    <x v="5"/>
    <m/>
    <s v="El Salvador"/>
    <m/>
    <m/>
    <m/>
    <m/>
    <m/>
    <m/>
    <m/>
    <s v="-"/>
    <n v="0"/>
    <s v="-"/>
    <n v="0"/>
    <s v="-"/>
    <n v="0"/>
    <s v="-"/>
    <n v="0"/>
    <m/>
    <n v="0"/>
    <m/>
    <m/>
    <m/>
    <m/>
    <n v="0"/>
    <m/>
    <n v="0"/>
    <m/>
    <n v="0"/>
    <m/>
    <n v="0"/>
    <m/>
    <n v="0"/>
    <m/>
    <m/>
    <m/>
    <m/>
    <n v="0"/>
    <m/>
    <n v="0"/>
    <m/>
    <n v="0"/>
    <m/>
    <n v="0"/>
    <m/>
    <n v="0"/>
    <m/>
    <m/>
    <m/>
    <m/>
    <n v="0"/>
    <n v="0"/>
    <n v="0"/>
    <n v="0"/>
    <n v="0"/>
    <n v="0"/>
    <n v="0"/>
    <n v="0"/>
    <n v="0"/>
    <m/>
    <n v="0"/>
    <n v="0"/>
    <m/>
    <m/>
    <n v="0"/>
    <s v="Malaria"/>
    <x v="1"/>
  </r>
  <r>
    <n v="155"/>
    <x v="2"/>
    <x v="13"/>
    <s v="PSM costs"/>
    <x v="6"/>
    <m/>
    <m/>
    <m/>
    <m/>
    <m/>
    <m/>
    <m/>
    <m/>
    <m/>
    <s v="-"/>
    <n v="0"/>
    <s v="-"/>
    <n v="0"/>
    <s v="-"/>
    <n v="0"/>
    <s v="-"/>
    <n v="0"/>
    <m/>
    <n v="0"/>
    <m/>
    <m/>
    <m/>
    <m/>
    <n v="0"/>
    <m/>
    <n v="0"/>
    <m/>
    <n v="0"/>
    <m/>
    <n v="0"/>
    <m/>
    <n v="0"/>
    <m/>
    <m/>
    <m/>
    <m/>
    <n v="0"/>
    <m/>
    <n v="0"/>
    <m/>
    <n v="0"/>
    <m/>
    <n v="0"/>
    <m/>
    <n v="0"/>
    <m/>
    <m/>
    <m/>
    <m/>
    <n v="0"/>
    <n v="0"/>
    <n v="0"/>
    <n v="0"/>
    <n v="0"/>
    <n v="0"/>
    <n v="0"/>
    <n v="0"/>
    <n v="0"/>
    <m/>
    <n v="0"/>
    <n v="0"/>
    <m/>
    <m/>
    <n v="0"/>
    <s v="Malaria"/>
    <x v="1"/>
  </r>
  <r>
    <n v="156"/>
    <x v="2"/>
    <x v="13"/>
    <s v="PSM costs"/>
    <x v="7"/>
    <m/>
    <m/>
    <m/>
    <m/>
    <m/>
    <m/>
    <m/>
    <m/>
    <m/>
    <s v="-"/>
    <n v="0"/>
    <s v="-"/>
    <n v="0"/>
    <s v="-"/>
    <n v="0"/>
    <s v="-"/>
    <n v="0"/>
    <m/>
    <n v="0"/>
    <m/>
    <m/>
    <m/>
    <m/>
    <n v="0"/>
    <m/>
    <n v="0"/>
    <m/>
    <n v="0"/>
    <m/>
    <n v="0"/>
    <m/>
    <n v="0"/>
    <m/>
    <m/>
    <m/>
    <m/>
    <n v="0"/>
    <m/>
    <n v="0"/>
    <m/>
    <n v="0"/>
    <m/>
    <n v="0"/>
    <m/>
    <n v="0"/>
    <m/>
    <m/>
    <m/>
    <m/>
    <n v="0"/>
    <n v="0"/>
    <n v="0"/>
    <n v="0"/>
    <n v="0"/>
    <n v="0"/>
    <n v="0"/>
    <n v="0"/>
    <n v="0"/>
    <m/>
    <n v="0"/>
    <n v="0"/>
    <m/>
    <m/>
    <n v="0"/>
    <s v="Malaria"/>
    <x v="1"/>
  </r>
  <r>
    <n v="157"/>
    <x v="3"/>
    <x v="14"/>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TB"/>
    <x v="7"/>
  </r>
  <r>
    <n v="158"/>
    <x v="3"/>
    <x v="14"/>
    <s v="Procurement of RDTs to diagnose TB"/>
    <x v="11"/>
    <m/>
    <m/>
    <m/>
    <m/>
    <m/>
    <m/>
    <m/>
    <m/>
    <m/>
    <s v="-"/>
    <n v="0"/>
    <m/>
    <n v="0"/>
    <m/>
    <n v="0"/>
    <m/>
    <n v="0"/>
    <m/>
    <n v="0"/>
    <m/>
    <m/>
    <m/>
    <m/>
    <n v="0"/>
    <m/>
    <n v="0"/>
    <m/>
    <n v="0"/>
    <m/>
    <n v="0"/>
    <m/>
    <n v="0"/>
    <m/>
    <m/>
    <m/>
    <m/>
    <n v="0"/>
    <m/>
    <n v="0"/>
    <m/>
    <n v="0"/>
    <m/>
    <n v="0"/>
    <m/>
    <n v="0"/>
    <m/>
    <m/>
    <m/>
    <m/>
    <n v="0"/>
    <n v="0"/>
    <n v="0"/>
    <n v="0"/>
    <n v="0"/>
    <n v="0"/>
    <n v="0"/>
    <n v="0"/>
    <n v="0"/>
    <m/>
    <n v="0"/>
    <n v="0"/>
    <m/>
    <m/>
    <n v="0"/>
    <s v="TB"/>
    <x v="12"/>
  </r>
  <r>
    <n v="159"/>
    <x v="3"/>
    <x v="14"/>
    <s v="Procurement of laboratory reagents"/>
    <x v="14"/>
    <m/>
    <m/>
    <m/>
    <m/>
    <m/>
    <m/>
    <m/>
    <m/>
    <m/>
    <s v="-"/>
    <n v="0"/>
    <s v="-"/>
    <n v="0"/>
    <s v="-"/>
    <n v="0"/>
    <s v="-"/>
    <n v="0"/>
    <m/>
    <n v="0"/>
    <m/>
    <m/>
    <m/>
    <m/>
    <n v="0"/>
    <m/>
    <n v="0"/>
    <m/>
    <n v="0"/>
    <m/>
    <n v="0"/>
    <m/>
    <n v="0"/>
    <m/>
    <m/>
    <m/>
    <m/>
    <n v="0"/>
    <m/>
    <n v="0"/>
    <m/>
    <n v="0"/>
    <m/>
    <n v="0"/>
    <m/>
    <n v="0"/>
    <m/>
    <m/>
    <m/>
    <m/>
    <n v="0"/>
    <n v="0"/>
    <n v="0"/>
    <n v="0"/>
    <n v="0"/>
    <n v="0"/>
    <n v="0"/>
    <n v="0"/>
    <n v="0"/>
    <m/>
    <n v="0"/>
    <n v="0"/>
    <m/>
    <m/>
    <n v="0"/>
    <s v="TB"/>
    <x v="10"/>
  </r>
  <r>
    <n v="160"/>
    <x v="3"/>
    <x v="14"/>
    <s v="Procurement of consumables"/>
    <x v="13"/>
    <m/>
    <m/>
    <m/>
    <m/>
    <m/>
    <m/>
    <m/>
    <e v="#DIV/0!"/>
    <m/>
    <s v="-"/>
    <n v="0"/>
    <s v="-"/>
    <n v="0"/>
    <s v="-"/>
    <n v="0"/>
    <s v="-"/>
    <n v="0"/>
    <m/>
    <n v="0"/>
    <m/>
    <m/>
    <m/>
    <m/>
    <n v="0"/>
    <m/>
    <n v="0"/>
    <m/>
    <n v="0"/>
    <m/>
    <n v="0"/>
    <m/>
    <n v="0"/>
    <m/>
    <m/>
    <m/>
    <m/>
    <n v="0"/>
    <m/>
    <n v="0"/>
    <m/>
    <n v="0"/>
    <m/>
    <n v="0"/>
    <m/>
    <n v="0"/>
    <m/>
    <m/>
    <m/>
    <m/>
    <n v="0"/>
    <n v="0"/>
    <n v="0"/>
    <n v="0"/>
    <n v="0"/>
    <n v="0"/>
    <n v="0"/>
    <n v="0"/>
    <n v="0"/>
    <m/>
    <n v="0"/>
    <n v="0"/>
    <m/>
    <m/>
    <n v="0"/>
    <s v="TB"/>
    <x v="9"/>
  </r>
  <r>
    <n v="161"/>
    <x v="3"/>
    <x v="14"/>
    <s v="Procurement of TB Molecular Test equipment"/>
    <x v="15"/>
    <m/>
    <m/>
    <m/>
    <m/>
    <m/>
    <m/>
    <m/>
    <e v="#DIV/0!"/>
    <e v="#DIV/0!"/>
    <s v="-"/>
    <n v="0"/>
    <s v="-"/>
    <n v="0"/>
    <s v="-"/>
    <n v="0"/>
    <s v="-"/>
    <n v="0"/>
    <m/>
    <n v="0"/>
    <m/>
    <m/>
    <m/>
    <m/>
    <n v="0"/>
    <m/>
    <n v="0"/>
    <m/>
    <n v="0"/>
    <m/>
    <n v="0"/>
    <m/>
    <n v="0"/>
    <m/>
    <m/>
    <m/>
    <m/>
    <n v="0"/>
    <m/>
    <n v="0"/>
    <m/>
    <n v="0"/>
    <m/>
    <n v="0"/>
    <m/>
    <n v="0"/>
    <m/>
    <m/>
    <m/>
    <m/>
    <n v="0"/>
    <n v="0"/>
    <n v="0"/>
    <n v="0"/>
    <n v="0"/>
    <n v="0"/>
    <n v="0"/>
    <n v="0"/>
    <n v="0"/>
    <m/>
    <n v="0"/>
    <n v="0"/>
    <m/>
    <m/>
    <n v="0"/>
    <s v="TB"/>
    <x v="13"/>
  </r>
  <r>
    <n v="162"/>
    <x v="3"/>
    <x v="14"/>
    <s v="Maintenance and service contracts"/>
    <x v="16"/>
    <m/>
    <s v="El Salvador"/>
    <m/>
    <m/>
    <m/>
    <m/>
    <m/>
    <e v="#DIV/0!"/>
    <e v="#DIV/0!"/>
    <s v="-"/>
    <n v="0"/>
    <s v="-"/>
    <n v="0"/>
    <s v="-"/>
    <n v="0"/>
    <s v="-"/>
    <n v="0"/>
    <m/>
    <n v="0"/>
    <m/>
    <m/>
    <m/>
    <m/>
    <n v="0"/>
    <m/>
    <n v="0"/>
    <m/>
    <n v="0"/>
    <m/>
    <n v="0"/>
    <m/>
    <n v="0"/>
    <m/>
    <m/>
    <m/>
    <m/>
    <n v="0"/>
    <m/>
    <n v="0"/>
    <m/>
    <n v="0"/>
    <m/>
    <n v="0"/>
    <m/>
    <n v="0"/>
    <m/>
    <m/>
    <m/>
    <m/>
    <n v="0"/>
    <n v="0"/>
    <n v="0"/>
    <n v="0"/>
    <n v="0"/>
    <n v="0"/>
    <n v="0"/>
    <n v="0"/>
    <n v="0"/>
    <m/>
    <n v="0"/>
    <n v="0"/>
    <m/>
    <m/>
    <n v="0"/>
    <s v="TB"/>
    <x v="14"/>
  </r>
  <r>
    <n v="163"/>
    <x v="3"/>
    <x v="14"/>
    <s v="Procurement of other health equipment"/>
    <x v="9"/>
    <m/>
    <s v="El Salvador"/>
    <m/>
    <m/>
    <m/>
    <m/>
    <m/>
    <e v="#DIV/0!"/>
    <e v="#DIV/0!"/>
    <s v="-"/>
    <n v="0"/>
    <s v="-"/>
    <n v="0"/>
    <s v="-"/>
    <n v="0"/>
    <s v="-"/>
    <n v="0"/>
    <m/>
    <n v="0"/>
    <m/>
    <m/>
    <m/>
    <m/>
    <n v="0"/>
    <m/>
    <n v="0"/>
    <m/>
    <n v="0"/>
    <m/>
    <n v="0"/>
    <m/>
    <n v="0"/>
    <m/>
    <m/>
    <m/>
    <m/>
    <n v="0"/>
    <m/>
    <n v="0"/>
    <m/>
    <n v="0"/>
    <m/>
    <n v="0"/>
    <m/>
    <n v="0"/>
    <m/>
    <m/>
    <m/>
    <m/>
    <n v="0"/>
    <n v="0"/>
    <n v="0"/>
    <n v="0"/>
    <n v="0"/>
    <n v="0"/>
    <n v="0"/>
    <n v="0"/>
    <n v="0"/>
    <m/>
    <n v="0"/>
    <n v="0"/>
    <m/>
    <m/>
    <n v="0"/>
    <s v="TB"/>
    <x v="8"/>
  </r>
  <r>
    <n v="164"/>
    <x v="3"/>
    <x v="14"/>
    <s v="PSM costs"/>
    <x v="1"/>
    <m/>
    <m/>
    <m/>
    <m/>
    <m/>
    <m/>
    <m/>
    <m/>
    <m/>
    <s v="-"/>
    <n v="0"/>
    <s v="-"/>
    <n v="0"/>
    <s v="-"/>
    <n v="0"/>
    <s v="-"/>
    <n v="0"/>
    <m/>
    <n v="0"/>
    <m/>
    <m/>
    <m/>
    <m/>
    <n v="0"/>
    <m/>
    <n v="0"/>
    <m/>
    <n v="0"/>
    <m/>
    <n v="0"/>
    <m/>
    <n v="0"/>
    <m/>
    <m/>
    <m/>
    <m/>
    <n v="0"/>
    <m/>
    <n v="0"/>
    <m/>
    <n v="0"/>
    <m/>
    <n v="0"/>
    <m/>
    <n v="0"/>
    <m/>
    <m/>
    <m/>
    <m/>
    <n v="0"/>
    <n v="0"/>
    <n v="0"/>
    <n v="0"/>
    <n v="0"/>
    <n v="0"/>
    <n v="0"/>
    <n v="0"/>
    <n v="0"/>
    <m/>
    <n v="0"/>
    <n v="0"/>
    <m/>
    <m/>
    <n v="0"/>
    <s v="TB"/>
    <x v="1"/>
  </r>
  <r>
    <n v="165"/>
    <x v="3"/>
    <x v="14"/>
    <s v="PSM costs"/>
    <x v="2"/>
    <m/>
    <m/>
    <m/>
    <m/>
    <m/>
    <m/>
    <m/>
    <m/>
    <m/>
    <s v="-"/>
    <n v="0"/>
    <s v="-"/>
    <n v="0"/>
    <s v="-"/>
    <n v="0"/>
    <s v="-"/>
    <n v="0"/>
    <m/>
    <n v="0"/>
    <m/>
    <m/>
    <m/>
    <m/>
    <n v="0"/>
    <m/>
    <n v="0"/>
    <m/>
    <n v="0"/>
    <m/>
    <n v="0"/>
    <m/>
    <n v="0"/>
    <m/>
    <m/>
    <m/>
    <m/>
    <n v="0"/>
    <m/>
    <n v="0"/>
    <m/>
    <n v="0"/>
    <m/>
    <n v="0"/>
    <m/>
    <n v="0"/>
    <m/>
    <m/>
    <m/>
    <m/>
    <n v="0"/>
    <n v="0"/>
    <n v="0"/>
    <n v="0"/>
    <n v="0"/>
    <n v="0"/>
    <n v="0"/>
    <n v="0"/>
    <n v="0"/>
    <m/>
    <n v="0"/>
    <n v="0"/>
    <m/>
    <m/>
    <n v="0"/>
    <s v="TB"/>
    <x v="1"/>
  </r>
  <r>
    <n v="166"/>
    <x v="3"/>
    <x v="14"/>
    <s v="PSM costs"/>
    <x v="3"/>
    <m/>
    <m/>
    <m/>
    <m/>
    <m/>
    <m/>
    <m/>
    <m/>
    <m/>
    <s v="-"/>
    <n v="0"/>
    <s v="-"/>
    <n v="0"/>
    <s v="-"/>
    <n v="0"/>
    <s v="-"/>
    <n v="0"/>
    <m/>
    <n v="0"/>
    <m/>
    <m/>
    <m/>
    <m/>
    <n v="0"/>
    <m/>
    <n v="0"/>
    <m/>
    <n v="0"/>
    <m/>
    <n v="0"/>
    <m/>
    <n v="0"/>
    <m/>
    <m/>
    <m/>
    <m/>
    <n v="0"/>
    <m/>
    <n v="0"/>
    <m/>
    <n v="0"/>
    <m/>
    <n v="0"/>
    <m/>
    <n v="0"/>
    <m/>
    <m/>
    <m/>
    <m/>
    <n v="0"/>
    <n v="0"/>
    <n v="0"/>
    <n v="0"/>
    <n v="0"/>
    <n v="0"/>
    <n v="0"/>
    <n v="0"/>
    <n v="0"/>
    <m/>
    <n v="0"/>
    <n v="0"/>
    <m/>
    <m/>
    <n v="0"/>
    <s v="TB"/>
    <x v="1"/>
  </r>
  <r>
    <n v="167"/>
    <x v="3"/>
    <x v="14"/>
    <s v="PSM costs"/>
    <x v="4"/>
    <m/>
    <m/>
    <m/>
    <m/>
    <m/>
    <m/>
    <m/>
    <m/>
    <m/>
    <s v="-"/>
    <n v="0"/>
    <s v="-"/>
    <n v="0"/>
    <s v="-"/>
    <n v="0"/>
    <s v="-"/>
    <n v="0"/>
    <m/>
    <n v="0"/>
    <m/>
    <m/>
    <m/>
    <m/>
    <n v="0"/>
    <m/>
    <n v="0"/>
    <m/>
    <n v="0"/>
    <m/>
    <n v="0"/>
    <m/>
    <n v="0"/>
    <m/>
    <m/>
    <m/>
    <m/>
    <n v="0"/>
    <m/>
    <n v="0"/>
    <m/>
    <n v="0"/>
    <m/>
    <n v="0"/>
    <m/>
    <n v="0"/>
    <m/>
    <m/>
    <m/>
    <m/>
    <n v="0"/>
    <n v="0"/>
    <n v="0"/>
    <n v="0"/>
    <n v="0"/>
    <n v="0"/>
    <n v="0"/>
    <n v="0"/>
    <n v="0"/>
    <m/>
    <n v="0"/>
    <n v="0"/>
    <m/>
    <m/>
    <n v="0"/>
    <s v="TB"/>
    <x v="1"/>
  </r>
  <r>
    <n v="168"/>
    <x v="3"/>
    <x v="14"/>
    <s v="PSM costs"/>
    <x v="5"/>
    <m/>
    <m/>
    <m/>
    <m/>
    <m/>
    <m/>
    <m/>
    <e v="#DIV/0!"/>
    <e v="#DIV/0!"/>
    <s v="-"/>
    <n v="0"/>
    <m/>
    <n v="0"/>
    <s v="-"/>
    <n v="0"/>
    <s v="-"/>
    <n v="0"/>
    <m/>
    <n v="0"/>
    <m/>
    <m/>
    <m/>
    <m/>
    <n v="0"/>
    <m/>
    <n v="0"/>
    <m/>
    <n v="0"/>
    <m/>
    <n v="0"/>
    <m/>
    <n v="0"/>
    <m/>
    <m/>
    <m/>
    <m/>
    <n v="0"/>
    <m/>
    <n v="0"/>
    <m/>
    <n v="0"/>
    <m/>
    <n v="0"/>
    <m/>
    <n v="0"/>
    <m/>
    <m/>
    <m/>
    <m/>
    <n v="0"/>
    <n v="0"/>
    <n v="0"/>
    <n v="0"/>
    <n v="0"/>
    <n v="0"/>
    <n v="0"/>
    <n v="0"/>
    <n v="0"/>
    <m/>
    <n v="0"/>
    <n v="0"/>
    <m/>
    <m/>
    <n v="0"/>
    <s v="TB"/>
    <x v="1"/>
  </r>
  <r>
    <n v="169"/>
    <x v="3"/>
    <x v="14"/>
    <s v="PSM costs"/>
    <x v="6"/>
    <m/>
    <m/>
    <m/>
    <m/>
    <m/>
    <m/>
    <m/>
    <m/>
    <m/>
    <s v="-"/>
    <n v="0"/>
    <s v="-"/>
    <n v="0"/>
    <s v="-"/>
    <n v="0"/>
    <s v="-"/>
    <n v="0"/>
    <m/>
    <n v="0"/>
    <m/>
    <m/>
    <m/>
    <m/>
    <n v="0"/>
    <m/>
    <n v="0"/>
    <m/>
    <n v="0"/>
    <m/>
    <n v="0"/>
    <m/>
    <n v="0"/>
    <m/>
    <m/>
    <m/>
    <m/>
    <n v="0"/>
    <m/>
    <n v="0"/>
    <m/>
    <n v="0"/>
    <m/>
    <n v="0"/>
    <m/>
    <n v="0"/>
    <m/>
    <m/>
    <m/>
    <m/>
    <n v="0"/>
    <n v="0"/>
    <n v="0"/>
    <n v="0"/>
    <n v="0"/>
    <n v="0"/>
    <n v="0"/>
    <n v="0"/>
    <n v="0"/>
    <m/>
    <n v="0"/>
    <n v="0"/>
    <m/>
    <m/>
    <n v="0"/>
    <s v="TB"/>
    <x v="1"/>
  </r>
  <r>
    <n v="170"/>
    <x v="3"/>
    <x v="14"/>
    <s v="PSM costs"/>
    <x v="7"/>
    <m/>
    <m/>
    <m/>
    <m/>
    <m/>
    <m/>
    <m/>
    <m/>
    <m/>
    <s v="-"/>
    <n v="0"/>
    <s v="-"/>
    <n v="0"/>
    <s v="-"/>
    <n v="0"/>
    <s v="-"/>
    <n v="0"/>
    <m/>
    <n v="0"/>
    <m/>
    <m/>
    <m/>
    <m/>
    <n v="0"/>
    <m/>
    <n v="0"/>
    <m/>
    <n v="0"/>
    <m/>
    <n v="0"/>
    <m/>
    <n v="0"/>
    <m/>
    <m/>
    <m/>
    <m/>
    <n v="0"/>
    <m/>
    <n v="0"/>
    <m/>
    <n v="0"/>
    <m/>
    <n v="0"/>
    <m/>
    <n v="0"/>
    <m/>
    <m/>
    <m/>
    <m/>
    <n v="0"/>
    <n v="0"/>
    <n v="0"/>
    <n v="0"/>
    <n v="0"/>
    <n v="0"/>
    <n v="0"/>
    <n v="0"/>
    <n v="0"/>
    <m/>
    <n v="0"/>
    <n v="0"/>
    <m/>
    <m/>
    <n v="0"/>
    <s v="TB"/>
    <x v="1"/>
  </r>
  <r>
    <n v="171"/>
    <x v="3"/>
    <x v="15"/>
    <s v="Treatment of drug-sensitive TB"/>
    <x v="17"/>
    <m/>
    <m/>
    <m/>
    <m/>
    <m/>
    <m/>
    <m/>
    <m/>
    <m/>
    <s v="-"/>
    <n v="0"/>
    <s v="-"/>
    <n v="0"/>
    <s v="-"/>
    <n v="0"/>
    <s v="-"/>
    <n v="0"/>
    <m/>
    <n v="0"/>
    <m/>
    <m/>
    <m/>
    <m/>
    <n v="0"/>
    <m/>
    <n v="0"/>
    <m/>
    <n v="0"/>
    <m/>
    <n v="0"/>
    <m/>
    <n v="0"/>
    <m/>
    <m/>
    <m/>
    <m/>
    <n v="0"/>
    <m/>
    <n v="0"/>
    <m/>
    <n v="0"/>
    <m/>
    <n v="0"/>
    <m/>
    <n v="0"/>
    <m/>
    <m/>
    <m/>
    <m/>
    <n v="0"/>
    <n v="0"/>
    <n v="0"/>
    <n v="0"/>
    <n v="0"/>
    <n v="0"/>
    <n v="0"/>
    <n v="0"/>
    <n v="0"/>
    <m/>
    <n v="0"/>
    <n v="0"/>
    <m/>
    <m/>
    <n v="0"/>
    <s v="TB"/>
    <x v="15"/>
  </r>
  <r>
    <n v="173"/>
    <x v="3"/>
    <x v="15"/>
    <s v="PSM costs"/>
    <x v="1"/>
    <m/>
    <m/>
    <m/>
    <m/>
    <m/>
    <m/>
    <m/>
    <m/>
    <m/>
    <s v="-"/>
    <n v="0"/>
    <s v="-"/>
    <n v="0"/>
    <s v="-"/>
    <n v="0"/>
    <s v="-"/>
    <n v="0"/>
    <m/>
    <n v="0"/>
    <m/>
    <m/>
    <m/>
    <m/>
    <n v="0"/>
    <m/>
    <n v="0"/>
    <m/>
    <n v="0"/>
    <m/>
    <n v="0"/>
    <m/>
    <n v="0"/>
    <m/>
    <m/>
    <m/>
    <m/>
    <n v="0"/>
    <m/>
    <n v="0"/>
    <m/>
    <n v="0"/>
    <m/>
    <n v="0"/>
    <m/>
    <n v="0"/>
    <m/>
    <m/>
    <m/>
    <m/>
    <n v="0"/>
    <n v="0"/>
    <n v="0"/>
    <n v="0"/>
    <n v="0"/>
    <n v="0"/>
    <n v="0"/>
    <n v="0"/>
    <n v="0"/>
    <m/>
    <n v="0"/>
    <n v="0"/>
    <m/>
    <m/>
    <n v="0"/>
    <s v="TB"/>
    <x v="1"/>
  </r>
  <r>
    <n v="174"/>
    <x v="3"/>
    <x v="15"/>
    <s v="PSM costs"/>
    <x v="2"/>
    <m/>
    <m/>
    <m/>
    <m/>
    <m/>
    <m/>
    <m/>
    <m/>
    <m/>
    <s v="-"/>
    <n v="0"/>
    <s v="-"/>
    <n v="0"/>
    <s v="-"/>
    <n v="0"/>
    <s v="-"/>
    <n v="0"/>
    <m/>
    <n v="0"/>
    <m/>
    <m/>
    <m/>
    <m/>
    <n v="0"/>
    <m/>
    <n v="0"/>
    <m/>
    <n v="0"/>
    <m/>
    <n v="0"/>
    <m/>
    <n v="0"/>
    <m/>
    <m/>
    <m/>
    <m/>
    <n v="0"/>
    <m/>
    <n v="0"/>
    <m/>
    <n v="0"/>
    <m/>
    <n v="0"/>
    <m/>
    <n v="0"/>
    <m/>
    <m/>
    <m/>
    <m/>
    <n v="0"/>
    <n v="0"/>
    <n v="0"/>
    <n v="0"/>
    <n v="0"/>
    <n v="0"/>
    <n v="0"/>
    <n v="0"/>
    <n v="0"/>
    <m/>
    <n v="0"/>
    <n v="0"/>
    <m/>
    <m/>
    <n v="0"/>
    <s v="TB"/>
    <x v="1"/>
  </r>
  <r>
    <n v="175"/>
    <x v="3"/>
    <x v="15"/>
    <s v="PSM costs"/>
    <x v="3"/>
    <m/>
    <m/>
    <m/>
    <m/>
    <m/>
    <m/>
    <m/>
    <m/>
    <m/>
    <s v="-"/>
    <n v="0"/>
    <s v="-"/>
    <n v="0"/>
    <s v="-"/>
    <n v="0"/>
    <s v="-"/>
    <n v="0"/>
    <m/>
    <n v="0"/>
    <m/>
    <m/>
    <m/>
    <m/>
    <n v="0"/>
    <m/>
    <n v="0"/>
    <m/>
    <n v="0"/>
    <m/>
    <n v="0"/>
    <m/>
    <n v="0"/>
    <m/>
    <m/>
    <m/>
    <m/>
    <n v="0"/>
    <m/>
    <n v="0"/>
    <m/>
    <n v="0"/>
    <m/>
    <n v="0"/>
    <m/>
    <n v="0"/>
    <m/>
    <m/>
    <m/>
    <m/>
    <n v="0"/>
    <n v="0"/>
    <n v="0"/>
    <n v="0"/>
    <n v="0"/>
    <n v="0"/>
    <n v="0"/>
    <n v="0"/>
    <n v="0"/>
    <m/>
    <n v="0"/>
    <n v="0"/>
    <m/>
    <m/>
    <n v="0"/>
    <s v="TB"/>
    <x v="1"/>
  </r>
  <r>
    <n v="176"/>
    <x v="3"/>
    <x v="15"/>
    <s v="PSM costs"/>
    <x v="4"/>
    <m/>
    <m/>
    <m/>
    <m/>
    <m/>
    <m/>
    <m/>
    <m/>
    <m/>
    <s v="-"/>
    <n v="0"/>
    <s v="-"/>
    <n v="0"/>
    <s v="-"/>
    <n v="0"/>
    <s v="-"/>
    <n v="0"/>
    <m/>
    <n v="0"/>
    <m/>
    <m/>
    <m/>
    <m/>
    <n v="0"/>
    <m/>
    <n v="0"/>
    <m/>
    <n v="0"/>
    <m/>
    <n v="0"/>
    <m/>
    <n v="0"/>
    <m/>
    <m/>
    <m/>
    <m/>
    <n v="0"/>
    <m/>
    <n v="0"/>
    <m/>
    <n v="0"/>
    <m/>
    <n v="0"/>
    <m/>
    <n v="0"/>
    <m/>
    <m/>
    <m/>
    <m/>
    <n v="0"/>
    <n v="0"/>
    <n v="0"/>
    <n v="0"/>
    <n v="0"/>
    <n v="0"/>
    <n v="0"/>
    <n v="0"/>
    <n v="0"/>
    <m/>
    <n v="0"/>
    <n v="0"/>
    <m/>
    <m/>
    <n v="0"/>
    <s v="TB"/>
    <x v="1"/>
  </r>
  <r>
    <n v="177"/>
    <x v="3"/>
    <x v="15"/>
    <s v="PSM costs"/>
    <x v="5"/>
    <m/>
    <m/>
    <m/>
    <m/>
    <m/>
    <m/>
    <m/>
    <m/>
    <m/>
    <s v="-"/>
    <n v="0"/>
    <s v="-"/>
    <n v="0"/>
    <s v="-"/>
    <n v="0"/>
    <s v="-"/>
    <n v="0"/>
    <m/>
    <n v="0"/>
    <m/>
    <m/>
    <m/>
    <m/>
    <n v="0"/>
    <m/>
    <n v="0"/>
    <m/>
    <n v="0"/>
    <m/>
    <n v="0"/>
    <m/>
    <n v="0"/>
    <m/>
    <m/>
    <m/>
    <m/>
    <n v="0"/>
    <m/>
    <n v="0"/>
    <m/>
    <n v="0"/>
    <m/>
    <n v="0"/>
    <m/>
    <n v="0"/>
    <m/>
    <m/>
    <m/>
    <m/>
    <n v="0"/>
    <n v="0"/>
    <n v="0"/>
    <n v="0"/>
    <n v="0"/>
    <n v="0"/>
    <n v="0"/>
    <n v="0"/>
    <n v="0"/>
    <m/>
    <n v="0"/>
    <n v="0"/>
    <m/>
    <m/>
    <n v="0"/>
    <s v="TB"/>
    <x v="1"/>
  </r>
  <r>
    <n v="178"/>
    <x v="3"/>
    <x v="15"/>
    <s v="PSM costs"/>
    <x v="6"/>
    <m/>
    <m/>
    <m/>
    <m/>
    <m/>
    <m/>
    <m/>
    <m/>
    <m/>
    <s v="-"/>
    <n v="0"/>
    <s v="-"/>
    <n v="0"/>
    <s v="-"/>
    <n v="0"/>
    <s v="-"/>
    <n v="0"/>
    <m/>
    <n v="0"/>
    <m/>
    <m/>
    <m/>
    <m/>
    <n v="0"/>
    <m/>
    <n v="0"/>
    <m/>
    <n v="0"/>
    <m/>
    <n v="0"/>
    <m/>
    <n v="0"/>
    <m/>
    <m/>
    <m/>
    <m/>
    <n v="0"/>
    <m/>
    <n v="0"/>
    <m/>
    <n v="0"/>
    <m/>
    <n v="0"/>
    <m/>
    <n v="0"/>
    <m/>
    <m/>
    <m/>
    <m/>
    <n v="0"/>
    <n v="0"/>
    <n v="0"/>
    <n v="0"/>
    <n v="0"/>
    <n v="0"/>
    <n v="0"/>
    <n v="0"/>
    <n v="0"/>
    <m/>
    <n v="0"/>
    <n v="0"/>
    <m/>
    <m/>
    <n v="0"/>
    <s v="TB"/>
    <x v="1"/>
  </r>
  <r>
    <n v="179"/>
    <x v="3"/>
    <x v="15"/>
    <s v="PSM costs"/>
    <x v="7"/>
    <m/>
    <m/>
    <m/>
    <m/>
    <m/>
    <m/>
    <m/>
    <m/>
    <m/>
    <s v="-"/>
    <n v="0"/>
    <s v="-"/>
    <n v="0"/>
    <s v="-"/>
    <n v="0"/>
    <s v="-"/>
    <n v="0"/>
    <m/>
    <n v="0"/>
    <m/>
    <m/>
    <m/>
    <m/>
    <n v="0"/>
    <m/>
    <n v="0"/>
    <m/>
    <n v="0"/>
    <m/>
    <n v="0"/>
    <m/>
    <n v="0"/>
    <m/>
    <m/>
    <m/>
    <m/>
    <n v="0"/>
    <m/>
    <n v="0"/>
    <m/>
    <n v="0"/>
    <m/>
    <n v="0"/>
    <m/>
    <n v="0"/>
    <m/>
    <m/>
    <m/>
    <m/>
    <n v="0"/>
    <n v="0"/>
    <n v="0"/>
    <n v="0"/>
    <n v="0"/>
    <n v="0"/>
    <n v="0"/>
    <n v="0"/>
    <n v="0"/>
    <m/>
    <n v="0"/>
    <n v="0"/>
    <m/>
    <m/>
    <n v="0"/>
    <s v="TB"/>
    <x v="1"/>
  </r>
  <r>
    <n v="180"/>
    <x v="3"/>
    <x v="16"/>
    <s v="Procurement of anti-TB medicines for prevention"/>
    <x v="17"/>
    <m/>
    <m/>
    <m/>
    <m/>
    <m/>
    <m/>
    <m/>
    <m/>
    <m/>
    <s v="-"/>
    <n v="0"/>
    <s v="-"/>
    <n v="0"/>
    <s v="-"/>
    <n v="0"/>
    <s v="-"/>
    <n v="0"/>
    <m/>
    <n v="0"/>
    <m/>
    <m/>
    <m/>
    <m/>
    <n v="0"/>
    <m/>
    <n v="0"/>
    <m/>
    <n v="0"/>
    <m/>
    <n v="0"/>
    <m/>
    <n v="0"/>
    <m/>
    <m/>
    <m/>
    <m/>
    <n v="0"/>
    <m/>
    <n v="0"/>
    <m/>
    <n v="0"/>
    <m/>
    <n v="0"/>
    <m/>
    <n v="0"/>
    <m/>
    <m/>
    <m/>
    <m/>
    <n v="0"/>
    <n v="0"/>
    <n v="0"/>
    <n v="0"/>
    <n v="0"/>
    <n v="0"/>
    <n v="0"/>
    <n v="0"/>
    <n v="0"/>
    <m/>
    <n v="0"/>
    <n v="0"/>
    <m/>
    <m/>
    <n v="0"/>
    <s v="TB"/>
    <x v="16"/>
  </r>
  <r>
    <n v="354"/>
    <x v="4"/>
    <x v="1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TB"/>
    <x v="7"/>
  </r>
  <r>
    <n v="355"/>
    <x v="4"/>
    <x v="17"/>
    <s v="Procurement of RDTs to diagnose TB"/>
    <x v="11"/>
    <m/>
    <m/>
    <m/>
    <m/>
    <m/>
    <m/>
    <m/>
    <m/>
    <m/>
    <s v="-"/>
    <n v="0"/>
    <m/>
    <n v="0"/>
    <m/>
    <n v="0"/>
    <m/>
    <n v="0"/>
    <m/>
    <n v="0"/>
    <m/>
    <m/>
    <m/>
    <m/>
    <n v="0"/>
    <m/>
    <n v="0"/>
    <m/>
    <n v="0"/>
    <m/>
    <n v="0"/>
    <m/>
    <n v="0"/>
    <m/>
    <m/>
    <m/>
    <m/>
    <n v="0"/>
    <m/>
    <n v="0"/>
    <m/>
    <n v="0"/>
    <m/>
    <n v="0"/>
    <m/>
    <n v="0"/>
    <m/>
    <m/>
    <m/>
    <m/>
    <n v="0"/>
    <n v="0"/>
    <n v="0"/>
    <n v="0"/>
    <n v="0"/>
    <n v="0"/>
    <n v="0"/>
    <n v="0"/>
    <n v="0"/>
    <m/>
    <n v="0"/>
    <n v="0"/>
    <m/>
    <m/>
    <n v="0"/>
    <s v="TB"/>
    <x v="12"/>
  </r>
  <r>
    <n v="356"/>
    <x v="4"/>
    <x v="17"/>
    <s v="Procurement of laboratory reagents"/>
    <x v="14"/>
    <m/>
    <m/>
    <m/>
    <m/>
    <m/>
    <m/>
    <m/>
    <m/>
    <m/>
    <s v="-"/>
    <n v="0"/>
    <s v="-"/>
    <n v="0"/>
    <s v="-"/>
    <n v="0"/>
    <s v="-"/>
    <n v="0"/>
    <m/>
    <n v="0"/>
    <m/>
    <m/>
    <m/>
    <m/>
    <n v="0"/>
    <m/>
    <n v="0"/>
    <m/>
    <n v="0"/>
    <m/>
    <n v="0"/>
    <m/>
    <n v="0"/>
    <m/>
    <m/>
    <m/>
    <m/>
    <n v="0"/>
    <m/>
    <n v="0"/>
    <m/>
    <n v="0"/>
    <m/>
    <n v="0"/>
    <m/>
    <n v="0"/>
    <m/>
    <m/>
    <m/>
    <m/>
    <n v="0"/>
    <n v="0"/>
    <n v="0"/>
    <n v="0"/>
    <n v="0"/>
    <n v="0"/>
    <n v="0"/>
    <n v="0"/>
    <n v="0"/>
    <m/>
    <n v="0"/>
    <n v="0"/>
    <m/>
    <m/>
    <n v="0"/>
    <s v="TB"/>
    <x v="10"/>
  </r>
  <r>
    <n v="357"/>
    <x v="4"/>
    <x v="17"/>
    <s v="Procurement of consumables"/>
    <x v="13"/>
    <m/>
    <m/>
    <m/>
    <m/>
    <m/>
    <m/>
    <m/>
    <m/>
    <m/>
    <s v="-"/>
    <n v="0"/>
    <s v="-"/>
    <n v="0"/>
    <s v="-"/>
    <n v="0"/>
    <s v="-"/>
    <n v="0"/>
    <m/>
    <n v="0"/>
    <m/>
    <m/>
    <m/>
    <m/>
    <n v="0"/>
    <m/>
    <n v="0"/>
    <m/>
    <n v="0"/>
    <m/>
    <n v="0"/>
    <m/>
    <n v="0"/>
    <m/>
    <m/>
    <m/>
    <m/>
    <n v="0"/>
    <m/>
    <n v="0"/>
    <m/>
    <n v="0"/>
    <m/>
    <n v="0"/>
    <m/>
    <n v="0"/>
    <m/>
    <m/>
    <m/>
    <m/>
    <n v="0"/>
    <n v="0"/>
    <n v="0"/>
    <n v="0"/>
    <n v="0"/>
    <n v="0"/>
    <n v="0"/>
    <n v="0"/>
    <n v="0"/>
    <m/>
    <n v="0"/>
    <n v="0"/>
    <m/>
    <m/>
    <n v="0"/>
    <s v="TB"/>
    <x v="9"/>
  </r>
  <r>
    <n v="358"/>
    <x v="4"/>
    <x v="17"/>
    <s v="Procurement of TB Molecular Test equipment"/>
    <x v="15"/>
    <m/>
    <m/>
    <m/>
    <m/>
    <m/>
    <m/>
    <m/>
    <m/>
    <m/>
    <s v="-"/>
    <n v="0"/>
    <s v="-"/>
    <n v="0"/>
    <s v="-"/>
    <n v="0"/>
    <s v="-"/>
    <n v="0"/>
    <m/>
    <n v="0"/>
    <m/>
    <m/>
    <m/>
    <m/>
    <n v="0"/>
    <m/>
    <n v="0"/>
    <m/>
    <n v="0"/>
    <m/>
    <n v="0"/>
    <m/>
    <n v="0"/>
    <m/>
    <m/>
    <m/>
    <m/>
    <n v="0"/>
    <m/>
    <n v="0"/>
    <m/>
    <n v="0"/>
    <m/>
    <n v="0"/>
    <m/>
    <n v="0"/>
    <m/>
    <m/>
    <m/>
    <m/>
    <n v="0"/>
    <n v="0"/>
    <n v="0"/>
    <n v="0"/>
    <n v="0"/>
    <n v="0"/>
    <n v="0"/>
    <n v="0"/>
    <n v="0"/>
    <m/>
    <n v="0"/>
    <n v="0"/>
    <m/>
    <m/>
    <n v="0"/>
    <s v="TB"/>
    <x v="13"/>
  </r>
  <r>
    <n v="359"/>
    <x v="4"/>
    <x v="17"/>
    <s v="Maintenance and service contracts"/>
    <x v="16"/>
    <m/>
    <m/>
    <m/>
    <m/>
    <m/>
    <m/>
    <m/>
    <e v="#DIV/0!"/>
    <m/>
    <s v="-"/>
    <n v="0"/>
    <m/>
    <n v="0"/>
    <s v="-"/>
    <n v="0"/>
    <s v="-"/>
    <n v="0"/>
    <m/>
    <n v="0"/>
    <m/>
    <m/>
    <m/>
    <m/>
    <n v="0"/>
    <m/>
    <n v="0"/>
    <m/>
    <n v="0"/>
    <m/>
    <n v="0"/>
    <m/>
    <n v="0"/>
    <m/>
    <m/>
    <m/>
    <m/>
    <n v="0"/>
    <m/>
    <n v="0"/>
    <m/>
    <n v="0"/>
    <m/>
    <n v="0"/>
    <m/>
    <n v="0"/>
    <m/>
    <m/>
    <m/>
    <m/>
    <n v="0"/>
    <n v="0"/>
    <n v="0"/>
    <n v="0"/>
    <n v="0"/>
    <n v="0"/>
    <n v="0"/>
    <n v="0"/>
    <n v="0"/>
    <m/>
    <n v="0"/>
    <n v="0"/>
    <m/>
    <m/>
    <n v="0"/>
    <s v="TB"/>
    <x v="14"/>
  </r>
  <r>
    <n v="360"/>
    <x v="4"/>
    <x v="17"/>
    <s v="Procurement of other health equipment"/>
    <x v="9"/>
    <m/>
    <m/>
    <m/>
    <m/>
    <m/>
    <m/>
    <m/>
    <m/>
    <m/>
    <s v="-"/>
    <n v="0"/>
    <s v="-"/>
    <n v="0"/>
    <s v="-"/>
    <n v="0"/>
    <s v="-"/>
    <n v="0"/>
    <m/>
    <n v="0"/>
    <m/>
    <m/>
    <m/>
    <m/>
    <n v="0"/>
    <m/>
    <n v="0"/>
    <m/>
    <n v="0"/>
    <m/>
    <n v="0"/>
    <m/>
    <n v="0"/>
    <m/>
    <m/>
    <m/>
    <m/>
    <n v="0"/>
    <m/>
    <n v="0"/>
    <m/>
    <n v="0"/>
    <m/>
    <n v="0"/>
    <m/>
    <n v="0"/>
    <m/>
    <m/>
    <m/>
    <m/>
    <n v="0"/>
    <n v="0"/>
    <n v="0"/>
    <n v="0"/>
    <n v="0"/>
    <n v="0"/>
    <n v="0"/>
    <n v="0"/>
    <n v="0"/>
    <m/>
    <n v="0"/>
    <n v="0"/>
    <m/>
    <m/>
    <n v="0"/>
    <s v="TB"/>
    <x v="8"/>
  </r>
  <r>
    <n v="361"/>
    <x v="4"/>
    <x v="17"/>
    <s v="PSM costs"/>
    <x v="1"/>
    <m/>
    <m/>
    <m/>
    <m/>
    <m/>
    <m/>
    <m/>
    <m/>
    <m/>
    <s v="-"/>
    <n v="0"/>
    <s v="-"/>
    <n v="0"/>
    <s v="-"/>
    <n v="0"/>
    <s v="-"/>
    <n v="0"/>
    <m/>
    <n v="0"/>
    <m/>
    <m/>
    <m/>
    <m/>
    <n v="0"/>
    <m/>
    <n v="0"/>
    <m/>
    <n v="0"/>
    <m/>
    <n v="0"/>
    <m/>
    <n v="0"/>
    <m/>
    <m/>
    <m/>
    <m/>
    <n v="0"/>
    <m/>
    <n v="0"/>
    <m/>
    <n v="0"/>
    <m/>
    <n v="0"/>
    <m/>
    <n v="0"/>
    <m/>
    <m/>
    <m/>
    <m/>
    <n v="0"/>
    <n v="0"/>
    <n v="0"/>
    <n v="0"/>
    <n v="0"/>
    <n v="0"/>
    <n v="0"/>
    <n v="0"/>
    <n v="0"/>
    <m/>
    <n v="0"/>
    <n v="0"/>
    <m/>
    <m/>
    <n v="0"/>
    <s v="TB"/>
    <x v="1"/>
  </r>
  <r>
    <n v="362"/>
    <x v="4"/>
    <x v="17"/>
    <s v="PSM costs"/>
    <x v="2"/>
    <m/>
    <m/>
    <m/>
    <m/>
    <m/>
    <m/>
    <m/>
    <m/>
    <m/>
    <s v="-"/>
    <n v="0"/>
    <s v="-"/>
    <n v="0"/>
    <s v="-"/>
    <n v="0"/>
    <s v="-"/>
    <n v="0"/>
    <m/>
    <n v="0"/>
    <m/>
    <m/>
    <m/>
    <m/>
    <n v="0"/>
    <m/>
    <n v="0"/>
    <m/>
    <n v="0"/>
    <m/>
    <n v="0"/>
    <m/>
    <n v="0"/>
    <m/>
    <m/>
    <m/>
    <m/>
    <n v="0"/>
    <m/>
    <n v="0"/>
    <m/>
    <n v="0"/>
    <m/>
    <n v="0"/>
    <m/>
    <n v="0"/>
    <m/>
    <m/>
    <m/>
    <m/>
    <n v="0"/>
    <n v="0"/>
    <n v="0"/>
    <n v="0"/>
    <n v="0"/>
    <n v="0"/>
    <n v="0"/>
    <n v="0"/>
    <n v="0"/>
    <m/>
    <n v="0"/>
    <n v="0"/>
    <m/>
    <m/>
    <n v="0"/>
    <s v="TB"/>
    <x v="1"/>
  </r>
  <r>
    <n v="363"/>
    <x v="4"/>
    <x v="17"/>
    <s v="PSM costs"/>
    <x v="3"/>
    <m/>
    <m/>
    <m/>
    <m/>
    <m/>
    <m/>
    <m/>
    <m/>
    <m/>
    <s v="-"/>
    <n v="0"/>
    <s v="-"/>
    <n v="0"/>
    <s v="-"/>
    <n v="0"/>
    <s v="-"/>
    <n v="0"/>
    <m/>
    <n v="0"/>
    <m/>
    <m/>
    <m/>
    <m/>
    <n v="0"/>
    <m/>
    <n v="0"/>
    <m/>
    <n v="0"/>
    <m/>
    <n v="0"/>
    <m/>
    <n v="0"/>
    <m/>
    <m/>
    <m/>
    <m/>
    <n v="0"/>
    <m/>
    <n v="0"/>
    <m/>
    <n v="0"/>
    <m/>
    <n v="0"/>
    <m/>
    <n v="0"/>
    <m/>
    <m/>
    <m/>
    <m/>
    <n v="0"/>
    <n v="0"/>
    <n v="0"/>
    <n v="0"/>
    <n v="0"/>
    <n v="0"/>
    <n v="0"/>
    <n v="0"/>
    <n v="0"/>
    <m/>
    <n v="0"/>
    <n v="0"/>
    <m/>
    <m/>
    <n v="0"/>
    <s v="TB"/>
    <x v="1"/>
  </r>
  <r>
    <n v="364"/>
    <x v="4"/>
    <x v="17"/>
    <s v="PSM costs"/>
    <x v="4"/>
    <m/>
    <m/>
    <m/>
    <m/>
    <m/>
    <m/>
    <m/>
    <e v="#DIV/0!"/>
    <e v="#DIV/0!"/>
    <s v="-"/>
    <n v="0"/>
    <m/>
    <n v="0"/>
    <m/>
    <n v="0"/>
    <m/>
    <n v="0"/>
    <m/>
    <n v="0"/>
    <m/>
    <m/>
    <m/>
    <m/>
    <n v="0"/>
    <m/>
    <n v="0"/>
    <m/>
    <n v="0"/>
    <m/>
    <n v="0"/>
    <m/>
    <n v="0"/>
    <m/>
    <m/>
    <m/>
    <m/>
    <n v="0"/>
    <m/>
    <n v="0"/>
    <m/>
    <n v="0"/>
    <m/>
    <n v="0"/>
    <m/>
    <n v="0"/>
    <m/>
    <m/>
    <m/>
    <m/>
    <n v="0"/>
    <n v="0"/>
    <n v="0"/>
    <n v="0"/>
    <n v="0"/>
    <n v="0"/>
    <n v="0"/>
    <n v="0"/>
    <n v="0"/>
    <m/>
    <n v="0"/>
    <n v="0"/>
    <m/>
    <m/>
    <n v="0"/>
    <s v="TB"/>
    <x v="1"/>
  </r>
  <r>
    <n v="365"/>
    <x v="4"/>
    <x v="17"/>
    <s v="PSM costs"/>
    <x v="5"/>
    <m/>
    <m/>
    <m/>
    <m/>
    <m/>
    <m/>
    <m/>
    <m/>
    <m/>
    <s v="-"/>
    <n v="0"/>
    <s v="-"/>
    <n v="0"/>
    <s v="-"/>
    <n v="0"/>
    <s v="-"/>
    <n v="0"/>
    <m/>
    <n v="0"/>
    <m/>
    <m/>
    <m/>
    <m/>
    <n v="0"/>
    <m/>
    <n v="0"/>
    <m/>
    <n v="0"/>
    <m/>
    <n v="0"/>
    <m/>
    <n v="0"/>
    <m/>
    <m/>
    <m/>
    <m/>
    <n v="0"/>
    <m/>
    <n v="0"/>
    <m/>
    <n v="0"/>
    <m/>
    <n v="0"/>
    <m/>
    <n v="0"/>
    <m/>
    <m/>
    <m/>
    <m/>
    <n v="0"/>
    <n v="0"/>
    <n v="0"/>
    <n v="0"/>
    <n v="0"/>
    <n v="0"/>
    <n v="0"/>
    <n v="0"/>
    <n v="0"/>
    <m/>
    <n v="0"/>
    <n v="0"/>
    <m/>
    <m/>
    <n v="0"/>
    <s v="TB"/>
    <x v="1"/>
  </r>
  <r>
    <n v="366"/>
    <x v="4"/>
    <x v="17"/>
    <s v="PSM costs"/>
    <x v="6"/>
    <m/>
    <m/>
    <m/>
    <m/>
    <m/>
    <m/>
    <m/>
    <m/>
    <m/>
    <s v="-"/>
    <n v="0"/>
    <s v="-"/>
    <n v="0"/>
    <s v="-"/>
    <n v="0"/>
    <s v="-"/>
    <n v="0"/>
    <m/>
    <n v="0"/>
    <m/>
    <m/>
    <m/>
    <m/>
    <n v="0"/>
    <m/>
    <n v="0"/>
    <m/>
    <n v="0"/>
    <m/>
    <n v="0"/>
    <m/>
    <n v="0"/>
    <m/>
    <m/>
    <m/>
    <m/>
    <n v="0"/>
    <m/>
    <n v="0"/>
    <m/>
    <n v="0"/>
    <m/>
    <n v="0"/>
    <m/>
    <n v="0"/>
    <m/>
    <m/>
    <m/>
    <m/>
    <n v="0"/>
    <n v="0"/>
    <n v="0"/>
    <n v="0"/>
    <n v="0"/>
    <n v="0"/>
    <n v="0"/>
    <n v="0"/>
    <n v="0"/>
    <m/>
    <n v="0"/>
    <n v="0"/>
    <m/>
    <m/>
    <n v="0"/>
    <s v="TB"/>
    <x v="1"/>
  </r>
  <r>
    <n v="367"/>
    <x v="4"/>
    <x v="17"/>
    <s v="PSM costs"/>
    <x v="7"/>
    <m/>
    <m/>
    <m/>
    <m/>
    <m/>
    <m/>
    <m/>
    <m/>
    <m/>
    <s v="-"/>
    <n v="0"/>
    <s v="-"/>
    <n v="0"/>
    <s v="-"/>
    <n v="0"/>
    <s v="-"/>
    <n v="0"/>
    <m/>
    <n v="0"/>
    <m/>
    <m/>
    <m/>
    <m/>
    <n v="0"/>
    <m/>
    <n v="0"/>
    <m/>
    <n v="0"/>
    <m/>
    <n v="0"/>
    <m/>
    <n v="0"/>
    <m/>
    <m/>
    <m/>
    <m/>
    <n v="0"/>
    <m/>
    <n v="0"/>
    <m/>
    <n v="0"/>
    <m/>
    <n v="0"/>
    <m/>
    <n v="0"/>
    <m/>
    <m/>
    <m/>
    <m/>
    <n v="0"/>
    <n v="0"/>
    <n v="0"/>
    <n v="0"/>
    <n v="0"/>
    <n v="0"/>
    <n v="0"/>
    <n v="0"/>
    <n v="0"/>
    <m/>
    <n v="0"/>
    <n v="0"/>
    <m/>
    <m/>
    <n v="0"/>
    <s v="TB"/>
    <x v="1"/>
  </r>
  <r>
    <n v="368"/>
    <x v="4"/>
    <x v="18"/>
    <s v="Treatment of drug-resistant TB"/>
    <x v="17"/>
    <m/>
    <m/>
    <m/>
    <m/>
    <m/>
    <m/>
    <m/>
    <m/>
    <m/>
    <s v="-"/>
    <n v="0"/>
    <s v="-"/>
    <n v="0"/>
    <s v="-"/>
    <n v="0"/>
    <s v="-"/>
    <n v="0"/>
    <m/>
    <n v="0"/>
    <m/>
    <m/>
    <m/>
    <m/>
    <n v="0"/>
    <m/>
    <n v="0"/>
    <m/>
    <n v="0"/>
    <m/>
    <n v="0"/>
    <m/>
    <n v="0"/>
    <m/>
    <m/>
    <m/>
    <m/>
    <n v="0"/>
    <m/>
    <n v="0"/>
    <m/>
    <n v="0"/>
    <m/>
    <n v="0"/>
    <m/>
    <n v="0"/>
    <m/>
    <m/>
    <m/>
    <m/>
    <n v="0"/>
    <n v="0"/>
    <n v="0"/>
    <n v="0"/>
    <n v="0"/>
    <n v="0"/>
    <n v="0"/>
    <n v="0"/>
    <n v="0"/>
    <m/>
    <n v="0"/>
    <n v="0"/>
    <m/>
    <m/>
    <n v="0"/>
    <s v="TB"/>
    <x v="17"/>
  </r>
  <r>
    <n v="369"/>
    <x v="4"/>
    <x v="18"/>
    <s v="Management of side-effects"/>
    <x v="18"/>
    <m/>
    <m/>
    <m/>
    <m/>
    <m/>
    <m/>
    <m/>
    <e v="#DIV/0!"/>
    <e v="#DIV/0!"/>
    <s v="-"/>
    <n v="0"/>
    <m/>
    <n v="0"/>
    <m/>
    <n v="0"/>
    <m/>
    <n v="0"/>
    <m/>
    <n v="0"/>
    <m/>
    <m/>
    <m/>
    <m/>
    <n v="0"/>
    <m/>
    <n v="0"/>
    <m/>
    <n v="0"/>
    <m/>
    <n v="0"/>
    <m/>
    <n v="0"/>
    <m/>
    <m/>
    <m/>
    <m/>
    <n v="0"/>
    <m/>
    <n v="0"/>
    <m/>
    <n v="0"/>
    <m/>
    <n v="0"/>
    <m/>
    <n v="0"/>
    <m/>
    <m/>
    <m/>
    <m/>
    <n v="0"/>
    <n v="0"/>
    <n v="0"/>
    <n v="0"/>
    <n v="0"/>
    <n v="0"/>
    <n v="0"/>
    <n v="0"/>
    <n v="0"/>
    <m/>
    <n v="0"/>
    <n v="0"/>
    <m/>
    <m/>
    <n v="0"/>
    <s v="TB"/>
    <x v="18"/>
  </r>
  <r>
    <n v="370"/>
    <x v="4"/>
    <x v="18"/>
    <s v="Treatment of drug-resistant TB"/>
    <x v="19"/>
    <m/>
    <m/>
    <m/>
    <m/>
    <m/>
    <m/>
    <m/>
    <m/>
    <m/>
    <s v="-"/>
    <n v="0"/>
    <s v="-"/>
    <n v="0"/>
    <s v="-"/>
    <n v="0"/>
    <s v="-"/>
    <n v="0"/>
    <m/>
    <n v="0"/>
    <m/>
    <m/>
    <m/>
    <m/>
    <n v="0"/>
    <m/>
    <n v="0"/>
    <m/>
    <n v="0"/>
    <m/>
    <n v="0"/>
    <m/>
    <n v="0"/>
    <m/>
    <m/>
    <m/>
    <m/>
    <n v="0"/>
    <m/>
    <n v="0"/>
    <m/>
    <n v="0"/>
    <m/>
    <n v="0"/>
    <m/>
    <n v="0"/>
    <m/>
    <m/>
    <m/>
    <m/>
    <n v="0"/>
    <n v="0"/>
    <n v="0"/>
    <n v="0"/>
    <n v="0"/>
    <n v="0"/>
    <n v="0"/>
    <n v="0"/>
    <n v="0"/>
    <m/>
    <n v="0"/>
    <n v="0"/>
    <m/>
    <m/>
    <n v="0"/>
    <s v="TB"/>
    <x v="17"/>
  </r>
  <r>
    <n v="371"/>
    <x v="4"/>
    <x v="18"/>
    <s v="PSM costs"/>
    <x v="1"/>
    <m/>
    <m/>
    <m/>
    <m/>
    <m/>
    <m/>
    <m/>
    <m/>
    <m/>
    <s v="-"/>
    <n v="0"/>
    <s v="-"/>
    <n v="0"/>
    <s v="-"/>
    <n v="0"/>
    <s v="-"/>
    <n v="0"/>
    <m/>
    <n v="0"/>
    <m/>
    <m/>
    <m/>
    <m/>
    <n v="0"/>
    <m/>
    <n v="0"/>
    <m/>
    <n v="0"/>
    <m/>
    <n v="0"/>
    <m/>
    <n v="0"/>
    <m/>
    <m/>
    <m/>
    <m/>
    <n v="0"/>
    <m/>
    <n v="0"/>
    <m/>
    <n v="0"/>
    <m/>
    <n v="0"/>
    <m/>
    <n v="0"/>
    <m/>
    <m/>
    <m/>
    <m/>
    <n v="0"/>
    <n v="0"/>
    <n v="0"/>
    <n v="0"/>
    <n v="0"/>
    <n v="0"/>
    <n v="0"/>
    <n v="0"/>
    <n v="0"/>
    <m/>
    <n v="0"/>
    <n v="0"/>
    <m/>
    <m/>
    <n v="0"/>
    <s v="TB"/>
    <x v="1"/>
  </r>
  <r>
    <n v="372"/>
    <x v="4"/>
    <x v="18"/>
    <s v="PSM costs"/>
    <x v="2"/>
    <m/>
    <m/>
    <m/>
    <m/>
    <m/>
    <m/>
    <m/>
    <m/>
    <m/>
    <s v="-"/>
    <n v="0"/>
    <s v="-"/>
    <n v="0"/>
    <s v="-"/>
    <n v="0"/>
    <s v="-"/>
    <n v="0"/>
    <m/>
    <n v="0"/>
    <m/>
    <m/>
    <m/>
    <m/>
    <n v="0"/>
    <m/>
    <n v="0"/>
    <m/>
    <n v="0"/>
    <m/>
    <n v="0"/>
    <m/>
    <n v="0"/>
    <m/>
    <m/>
    <m/>
    <m/>
    <n v="0"/>
    <m/>
    <n v="0"/>
    <m/>
    <n v="0"/>
    <m/>
    <n v="0"/>
    <m/>
    <n v="0"/>
    <m/>
    <m/>
    <m/>
    <m/>
    <n v="0"/>
    <n v="0"/>
    <n v="0"/>
    <n v="0"/>
    <n v="0"/>
    <n v="0"/>
    <n v="0"/>
    <n v="0"/>
    <n v="0"/>
    <m/>
    <n v="0"/>
    <n v="0"/>
    <m/>
    <m/>
    <n v="0"/>
    <s v="TB"/>
    <x v="1"/>
  </r>
  <r>
    <n v="373"/>
    <x v="4"/>
    <x v="18"/>
    <s v="PSM costs"/>
    <x v="3"/>
    <m/>
    <m/>
    <m/>
    <m/>
    <m/>
    <m/>
    <m/>
    <m/>
    <m/>
    <s v="-"/>
    <n v="0"/>
    <s v="-"/>
    <n v="0"/>
    <s v="-"/>
    <n v="0"/>
    <s v="-"/>
    <n v="0"/>
    <m/>
    <n v="0"/>
    <m/>
    <m/>
    <m/>
    <m/>
    <n v="0"/>
    <m/>
    <n v="0"/>
    <m/>
    <n v="0"/>
    <m/>
    <n v="0"/>
    <m/>
    <n v="0"/>
    <m/>
    <m/>
    <m/>
    <m/>
    <n v="0"/>
    <m/>
    <n v="0"/>
    <m/>
    <n v="0"/>
    <m/>
    <n v="0"/>
    <m/>
    <n v="0"/>
    <m/>
    <m/>
    <m/>
    <m/>
    <n v="0"/>
    <n v="0"/>
    <n v="0"/>
    <n v="0"/>
    <n v="0"/>
    <n v="0"/>
    <n v="0"/>
    <n v="0"/>
    <n v="0"/>
    <m/>
    <n v="0"/>
    <n v="0"/>
    <m/>
    <m/>
    <n v="0"/>
    <s v="TB"/>
    <x v="1"/>
  </r>
  <r>
    <n v="374"/>
    <x v="4"/>
    <x v="18"/>
    <s v="PSM costs"/>
    <x v="4"/>
    <m/>
    <m/>
    <m/>
    <m/>
    <m/>
    <m/>
    <m/>
    <e v="#DIV/0!"/>
    <e v="#DIV/0!"/>
    <s v="-"/>
    <n v="0"/>
    <s v="-"/>
    <n v="0"/>
    <s v="-"/>
    <n v="0"/>
    <s v="-"/>
    <n v="0"/>
    <m/>
    <n v="0"/>
    <m/>
    <m/>
    <m/>
    <m/>
    <n v="0"/>
    <m/>
    <n v="0"/>
    <m/>
    <n v="0"/>
    <m/>
    <n v="0"/>
    <m/>
    <n v="0"/>
    <m/>
    <m/>
    <m/>
    <m/>
    <n v="0"/>
    <m/>
    <n v="0"/>
    <m/>
    <n v="0"/>
    <m/>
    <n v="0"/>
    <m/>
    <n v="0"/>
    <m/>
    <m/>
    <m/>
    <m/>
    <n v="0"/>
    <n v="0"/>
    <n v="0"/>
    <n v="0"/>
    <n v="0"/>
    <n v="0"/>
    <n v="0"/>
    <n v="0"/>
    <n v="0"/>
    <m/>
    <n v="0"/>
    <n v="0"/>
    <m/>
    <m/>
    <n v="0"/>
    <s v="TB"/>
    <x v="1"/>
  </r>
  <r>
    <n v="375"/>
    <x v="4"/>
    <x v="18"/>
    <s v="PSM costs"/>
    <x v="5"/>
    <m/>
    <m/>
    <m/>
    <m/>
    <m/>
    <m/>
    <m/>
    <m/>
    <m/>
    <s v="-"/>
    <n v="0"/>
    <s v="-"/>
    <n v="0"/>
    <s v="-"/>
    <n v="0"/>
    <s v="-"/>
    <n v="0"/>
    <m/>
    <n v="0"/>
    <m/>
    <m/>
    <m/>
    <m/>
    <n v="0"/>
    <m/>
    <n v="0"/>
    <m/>
    <n v="0"/>
    <m/>
    <n v="0"/>
    <m/>
    <n v="0"/>
    <m/>
    <m/>
    <m/>
    <m/>
    <n v="0"/>
    <m/>
    <n v="0"/>
    <m/>
    <n v="0"/>
    <m/>
    <n v="0"/>
    <m/>
    <n v="0"/>
    <m/>
    <m/>
    <m/>
    <m/>
    <n v="0"/>
    <n v="0"/>
    <n v="0"/>
    <n v="0"/>
    <n v="0"/>
    <n v="0"/>
    <n v="0"/>
    <n v="0"/>
    <n v="0"/>
    <m/>
    <n v="0"/>
    <n v="0"/>
    <m/>
    <m/>
    <n v="0"/>
    <s v="TB"/>
    <x v="1"/>
  </r>
  <r>
    <n v="376"/>
    <x v="4"/>
    <x v="18"/>
    <s v="PSM costs"/>
    <x v="6"/>
    <m/>
    <m/>
    <m/>
    <m/>
    <m/>
    <m/>
    <m/>
    <m/>
    <m/>
    <s v="-"/>
    <n v="0"/>
    <s v="-"/>
    <n v="0"/>
    <s v="-"/>
    <n v="0"/>
    <s v="-"/>
    <n v="0"/>
    <m/>
    <n v="0"/>
    <m/>
    <m/>
    <m/>
    <m/>
    <n v="0"/>
    <m/>
    <n v="0"/>
    <m/>
    <n v="0"/>
    <m/>
    <n v="0"/>
    <m/>
    <n v="0"/>
    <m/>
    <m/>
    <m/>
    <m/>
    <n v="0"/>
    <m/>
    <n v="0"/>
    <m/>
    <n v="0"/>
    <m/>
    <n v="0"/>
    <m/>
    <n v="0"/>
    <m/>
    <m/>
    <m/>
    <m/>
    <n v="0"/>
    <n v="0"/>
    <n v="0"/>
    <n v="0"/>
    <n v="0"/>
    <n v="0"/>
    <n v="0"/>
    <n v="0"/>
    <n v="0"/>
    <m/>
    <n v="0"/>
    <n v="0"/>
    <m/>
    <m/>
    <n v="0"/>
    <s v="TB"/>
    <x v="1"/>
  </r>
  <r>
    <n v="377"/>
    <x v="4"/>
    <x v="18"/>
    <s v="PSM costs"/>
    <x v="7"/>
    <m/>
    <m/>
    <m/>
    <m/>
    <m/>
    <m/>
    <m/>
    <m/>
    <m/>
    <s v="-"/>
    <n v="0"/>
    <s v="-"/>
    <n v="0"/>
    <s v="-"/>
    <n v="0"/>
    <s v="-"/>
    <n v="0"/>
    <m/>
    <n v="0"/>
    <m/>
    <m/>
    <m/>
    <m/>
    <n v="0"/>
    <m/>
    <n v="0"/>
    <m/>
    <n v="0"/>
    <m/>
    <n v="0"/>
    <m/>
    <n v="0"/>
    <m/>
    <m/>
    <m/>
    <m/>
    <n v="0"/>
    <m/>
    <n v="0"/>
    <m/>
    <n v="0"/>
    <m/>
    <n v="0"/>
    <m/>
    <n v="0"/>
    <m/>
    <m/>
    <m/>
    <m/>
    <n v="0"/>
    <n v="0"/>
    <n v="0"/>
    <n v="0"/>
    <n v="0"/>
    <n v="0"/>
    <n v="0"/>
    <n v="0"/>
    <n v="0"/>
    <m/>
    <n v="0"/>
    <n v="0"/>
    <m/>
    <m/>
    <n v="0"/>
    <s v="TB"/>
    <x v="1"/>
  </r>
  <r>
    <n v="428"/>
    <x v="5"/>
    <x v="19"/>
    <s v="Procurement of condoms &amp; lubricants for Men who have sex with men"/>
    <x v="20"/>
    <m/>
    <m/>
    <m/>
    <m/>
    <m/>
    <m/>
    <m/>
    <e v="#DIV/0!"/>
    <e v="#DIV/0!"/>
    <s v="-"/>
    <n v="0"/>
    <s v="-"/>
    <n v="0"/>
    <s v="-"/>
    <n v="0"/>
    <s v="-"/>
    <n v="0"/>
    <m/>
    <n v="0"/>
    <m/>
    <m/>
    <m/>
    <m/>
    <n v="0"/>
    <m/>
    <n v="0"/>
    <m/>
    <n v="0"/>
    <m/>
    <n v="0"/>
    <m/>
    <n v="0"/>
    <m/>
    <m/>
    <m/>
    <m/>
    <n v="0"/>
    <m/>
    <n v="0"/>
    <m/>
    <n v="0"/>
    <m/>
    <n v="0"/>
    <m/>
    <n v="0"/>
    <m/>
    <m/>
    <m/>
    <m/>
    <n v="0"/>
    <n v="0"/>
    <n v="0"/>
    <n v="0"/>
    <n v="0"/>
    <n v="0"/>
    <n v="0"/>
    <n v="0"/>
    <n v="0"/>
    <m/>
    <n v="0"/>
    <n v="0"/>
    <m/>
    <m/>
    <s v="Men who have sex with men"/>
    <s v="HIV"/>
    <x v="19"/>
  </r>
  <r>
    <n v="429"/>
    <x v="5"/>
    <x v="19"/>
    <s v="Procurement of condoms &amp; lubricants for Men who have sex with men"/>
    <x v="13"/>
    <m/>
    <m/>
    <m/>
    <m/>
    <m/>
    <m/>
    <m/>
    <m/>
    <m/>
    <s v="-"/>
    <n v="0"/>
    <s v="-"/>
    <n v="0"/>
    <s v="-"/>
    <n v="0"/>
    <s v="-"/>
    <n v="0"/>
    <m/>
    <n v="0"/>
    <m/>
    <m/>
    <m/>
    <m/>
    <n v="0"/>
    <m/>
    <n v="0"/>
    <m/>
    <n v="0"/>
    <m/>
    <n v="0"/>
    <m/>
    <n v="0"/>
    <m/>
    <m/>
    <m/>
    <m/>
    <n v="0"/>
    <m/>
    <n v="0"/>
    <m/>
    <n v="0"/>
    <m/>
    <n v="0"/>
    <m/>
    <n v="0"/>
    <m/>
    <m/>
    <m/>
    <m/>
    <n v="0"/>
    <n v="0"/>
    <n v="0"/>
    <n v="0"/>
    <n v="0"/>
    <n v="0"/>
    <n v="0"/>
    <n v="0"/>
    <n v="0"/>
    <m/>
    <n v="0"/>
    <n v="0"/>
    <m/>
    <m/>
    <s v="Men who have sex with men"/>
    <s v="HIV"/>
    <x v="19"/>
  </r>
  <r>
    <n v="430"/>
    <x v="5"/>
    <x v="19"/>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431"/>
    <x v="5"/>
    <x v="19"/>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432"/>
    <x v="5"/>
    <x v="19"/>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433"/>
    <x v="5"/>
    <x v="19"/>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434"/>
    <x v="5"/>
    <x v="19"/>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435"/>
    <x v="5"/>
    <x v="19"/>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436"/>
    <x v="5"/>
    <x v="19"/>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480"/>
    <x v="5"/>
    <x v="19"/>
    <s v="Procurement of condoms &amp; lubricants for Sex workers and their clients"/>
    <x v="20"/>
    <m/>
    <m/>
    <m/>
    <m/>
    <m/>
    <m/>
    <m/>
    <m/>
    <m/>
    <s v="-"/>
    <n v="0"/>
    <s v="-"/>
    <n v="0"/>
    <s v="-"/>
    <n v="0"/>
    <s v="-"/>
    <n v="0"/>
    <m/>
    <n v="0"/>
    <m/>
    <m/>
    <m/>
    <m/>
    <n v="0"/>
    <m/>
    <n v="0"/>
    <m/>
    <n v="0"/>
    <m/>
    <n v="0"/>
    <m/>
    <n v="0"/>
    <m/>
    <m/>
    <m/>
    <m/>
    <n v="0"/>
    <m/>
    <n v="0"/>
    <m/>
    <n v="0"/>
    <m/>
    <n v="0"/>
    <m/>
    <n v="0"/>
    <m/>
    <m/>
    <m/>
    <m/>
    <n v="0"/>
    <n v="0"/>
    <n v="0"/>
    <n v="0"/>
    <n v="0"/>
    <n v="0"/>
    <n v="0"/>
    <n v="0"/>
    <n v="0"/>
    <m/>
    <n v="0"/>
    <n v="0"/>
    <m/>
    <m/>
    <s v="Sex workers and their clients"/>
    <s v="HIV"/>
    <x v="19"/>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s v="Sex workers and their clients"/>
    <s v="HIV"/>
    <x v="19"/>
  </r>
  <r>
    <n v="482"/>
    <x v="5"/>
    <x v="19"/>
    <s v="Procurement of condoms &amp; lubricants for Sex workers and their clients"/>
    <x v="13"/>
    <m/>
    <m/>
    <m/>
    <m/>
    <m/>
    <m/>
    <m/>
    <m/>
    <m/>
    <s v="-"/>
    <n v="0"/>
    <s v="-"/>
    <n v="0"/>
    <s v="-"/>
    <n v="0"/>
    <s v="-"/>
    <n v="0"/>
    <m/>
    <n v="0"/>
    <m/>
    <m/>
    <m/>
    <m/>
    <n v="0"/>
    <m/>
    <n v="0"/>
    <m/>
    <n v="0"/>
    <m/>
    <n v="0"/>
    <m/>
    <n v="0"/>
    <m/>
    <m/>
    <m/>
    <m/>
    <n v="0"/>
    <m/>
    <n v="0"/>
    <m/>
    <n v="0"/>
    <m/>
    <n v="0"/>
    <m/>
    <n v="0"/>
    <m/>
    <m/>
    <m/>
    <m/>
    <n v="0"/>
    <n v="0"/>
    <n v="0"/>
    <n v="0"/>
    <n v="0"/>
    <n v="0"/>
    <n v="0"/>
    <n v="0"/>
    <n v="0"/>
    <m/>
    <n v="0"/>
    <n v="0"/>
    <m/>
    <m/>
    <s v="Sex workers and their clients"/>
    <s v="HIV"/>
    <x v="19"/>
  </r>
  <r>
    <n v="483"/>
    <x v="5"/>
    <x v="19"/>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484"/>
    <x v="5"/>
    <x v="19"/>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485"/>
    <x v="5"/>
    <x v="19"/>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486"/>
    <x v="5"/>
    <x v="19"/>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487"/>
    <x v="5"/>
    <x v="19"/>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488"/>
    <x v="5"/>
    <x v="19"/>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489"/>
    <x v="5"/>
    <x v="19"/>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533"/>
    <x v="5"/>
    <x v="19"/>
    <s v="Procurement of condoms &amp; lubricants for Transgender people"/>
    <x v="20"/>
    <m/>
    <m/>
    <m/>
    <m/>
    <m/>
    <m/>
    <m/>
    <m/>
    <m/>
    <s v="-"/>
    <n v="0"/>
    <s v="-"/>
    <n v="0"/>
    <s v="-"/>
    <n v="0"/>
    <s v="-"/>
    <n v="0"/>
    <m/>
    <n v="0"/>
    <m/>
    <m/>
    <m/>
    <m/>
    <n v="0"/>
    <m/>
    <n v="0"/>
    <m/>
    <n v="0"/>
    <m/>
    <n v="0"/>
    <m/>
    <n v="0"/>
    <m/>
    <m/>
    <m/>
    <m/>
    <n v="0"/>
    <m/>
    <n v="0"/>
    <m/>
    <n v="0"/>
    <m/>
    <n v="0"/>
    <m/>
    <n v="0"/>
    <m/>
    <m/>
    <m/>
    <m/>
    <n v="0"/>
    <n v="0"/>
    <n v="0"/>
    <n v="0"/>
    <n v="0"/>
    <n v="0"/>
    <n v="0"/>
    <n v="0"/>
    <n v="0"/>
    <m/>
    <n v="0"/>
    <n v="0"/>
    <m/>
    <m/>
    <s v="Transgender people"/>
    <s v="HIV"/>
    <x v="19"/>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s v="Transgender people"/>
    <s v="HIV"/>
    <x v="19"/>
  </r>
  <r>
    <n v="535"/>
    <x v="5"/>
    <x v="19"/>
    <s v="Procurement of condoms &amp; lubricants for Transgender people"/>
    <x v="13"/>
    <m/>
    <m/>
    <m/>
    <m/>
    <m/>
    <m/>
    <m/>
    <m/>
    <m/>
    <s v="-"/>
    <n v="0"/>
    <s v="-"/>
    <n v="0"/>
    <s v="-"/>
    <n v="0"/>
    <s v="-"/>
    <n v="0"/>
    <m/>
    <n v="0"/>
    <m/>
    <m/>
    <m/>
    <m/>
    <n v="0"/>
    <m/>
    <n v="0"/>
    <m/>
    <n v="0"/>
    <m/>
    <n v="0"/>
    <m/>
    <n v="0"/>
    <m/>
    <m/>
    <m/>
    <m/>
    <n v="0"/>
    <m/>
    <n v="0"/>
    <m/>
    <n v="0"/>
    <m/>
    <n v="0"/>
    <m/>
    <n v="0"/>
    <m/>
    <m/>
    <m/>
    <m/>
    <n v="0"/>
    <n v="0"/>
    <n v="0"/>
    <n v="0"/>
    <n v="0"/>
    <n v="0"/>
    <n v="0"/>
    <n v="0"/>
    <n v="0"/>
    <m/>
    <n v="0"/>
    <n v="0"/>
    <m/>
    <m/>
    <s v="Transgender people"/>
    <s v="HIV"/>
    <x v="19"/>
  </r>
  <r>
    <n v="536"/>
    <x v="5"/>
    <x v="19"/>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537"/>
    <x v="5"/>
    <x v="19"/>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538"/>
    <x v="5"/>
    <x v="19"/>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539"/>
    <x v="5"/>
    <x v="19"/>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540"/>
    <x v="5"/>
    <x v="19"/>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541"/>
    <x v="5"/>
    <x v="19"/>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542"/>
    <x v="5"/>
    <x v="19"/>
    <s v="PSM costs for Transgender people"/>
    <x v="7"/>
    <m/>
    <m/>
    <m/>
    <m/>
    <m/>
    <m/>
    <m/>
    <e v="#DIV/0!"/>
    <m/>
    <s v="-"/>
    <n v="0"/>
    <s v="-"/>
    <n v="0"/>
    <s v="-"/>
    <n v="0"/>
    <s v="-"/>
    <n v="0"/>
    <m/>
    <n v="0"/>
    <m/>
    <m/>
    <m/>
    <m/>
    <n v="0"/>
    <m/>
    <n v="0"/>
    <m/>
    <n v="0"/>
    <m/>
    <n v="0"/>
    <m/>
    <n v="0"/>
    <m/>
    <m/>
    <m/>
    <m/>
    <n v="0"/>
    <m/>
    <n v="0"/>
    <m/>
    <n v="0"/>
    <m/>
    <n v="0"/>
    <m/>
    <n v="0"/>
    <m/>
    <m/>
    <m/>
    <m/>
    <n v="0"/>
    <n v="0"/>
    <n v="0"/>
    <n v="0"/>
    <n v="0"/>
    <n v="0"/>
    <n v="0"/>
    <n v="0"/>
    <n v="0"/>
    <m/>
    <n v="0"/>
    <n v="0"/>
    <m/>
    <m/>
    <s v="Transgender people"/>
    <s v="HIV"/>
    <x v="1"/>
  </r>
  <r>
    <n v="584"/>
    <x v="5"/>
    <x v="20"/>
    <s v="NSP for People who inject drugs and their partners"/>
    <x v="19"/>
    <m/>
    <m/>
    <m/>
    <m/>
    <m/>
    <m/>
    <m/>
    <m/>
    <m/>
    <s v="-"/>
    <n v="0"/>
    <s v="-"/>
    <n v="0"/>
    <s v="-"/>
    <n v="0"/>
    <s v="-"/>
    <n v="0"/>
    <m/>
    <n v="0"/>
    <m/>
    <m/>
    <m/>
    <m/>
    <n v="0"/>
    <m/>
    <n v="0"/>
    <m/>
    <n v="0"/>
    <m/>
    <n v="0"/>
    <m/>
    <n v="0"/>
    <m/>
    <m/>
    <m/>
    <m/>
    <n v="0"/>
    <m/>
    <n v="0"/>
    <m/>
    <n v="0"/>
    <m/>
    <n v="0"/>
    <m/>
    <n v="0"/>
    <m/>
    <m/>
    <m/>
    <m/>
    <n v="0"/>
    <n v="0"/>
    <n v="0"/>
    <n v="0"/>
    <n v="0"/>
    <n v="0"/>
    <n v="0"/>
    <n v="0"/>
    <n v="0"/>
    <m/>
    <n v="0"/>
    <n v="0"/>
    <m/>
    <m/>
    <s v="People who inject drugs and their partners"/>
    <s v="HIV"/>
    <x v="20"/>
  </r>
  <r>
    <n v="592"/>
    <x v="5"/>
    <x v="21"/>
    <s v="OST for People who inject drugs and their partners"/>
    <x v="22"/>
    <m/>
    <m/>
    <m/>
    <m/>
    <m/>
    <m/>
    <m/>
    <e v="#DIV/0!"/>
    <m/>
    <s v="-"/>
    <n v="0"/>
    <s v="-"/>
    <n v="0"/>
    <s v="-"/>
    <n v="0"/>
    <s v="-"/>
    <n v="0"/>
    <m/>
    <n v="0"/>
    <m/>
    <m/>
    <m/>
    <m/>
    <n v="0"/>
    <m/>
    <n v="0"/>
    <m/>
    <n v="0"/>
    <m/>
    <n v="0"/>
    <m/>
    <n v="0"/>
    <m/>
    <m/>
    <m/>
    <m/>
    <n v="0"/>
    <m/>
    <n v="0"/>
    <m/>
    <n v="0"/>
    <m/>
    <n v="0"/>
    <m/>
    <n v="0"/>
    <m/>
    <m/>
    <m/>
    <m/>
    <n v="0"/>
    <n v="0"/>
    <n v="0"/>
    <n v="0"/>
    <n v="0"/>
    <n v="0"/>
    <n v="0"/>
    <n v="0"/>
    <n v="0"/>
    <m/>
    <n v="0"/>
    <n v="0"/>
    <m/>
    <m/>
    <s v="People who inject drugs and their partners"/>
    <s v="HIV"/>
    <x v="21"/>
  </r>
  <r>
    <n v="593"/>
    <x v="5"/>
    <x v="21"/>
    <s v="PSM costs for People who inject drugs and their partners"/>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4"/>
    <x v="5"/>
    <x v="21"/>
    <s v="PSM costs for People who inject drugs and their partners"/>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5"/>
    <x v="5"/>
    <x v="21"/>
    <s v="PSM costs for People who inject drugs and their partners"/>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6"/>
    <x v="5"/>
    <x v="21"/>
    <s v="PSM costs for People who inject drugs and their partners"/>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7"/>
    <x v="5"/>
    <x v="21"/>
    <s v="PSM costs for People who inject drugs and their partners"/>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8"/>
    <x v="5"/>
    <x v="21"/>
    <s v="PSM costs for People who inject drugs and their partners"/>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9"/>
    <x v="5"/>
    <x v="21"/>
    <s v="PSM costs for People who inject drugs and their partners"/>
    <x v="7"/>
    <m/>
    <m/>
    <m/>
    <m/>
    <m/>
    <m/>
    <m/>
    <e v="#DIV/0!"/>
    <m/>
    <s v="-"/>
    <n v="0"/>
    <s v="-"/>
    <n v="0"/>
    <s v="-"/>
    <n v="0"/>
    <s v="-"/>
    <n v="0"/>
    <m/>
    <n v="0"/>
    <m/>
    <m/>
    <m/>
    <m/>
    <n v="0"/>
    <m/>
    <n v="0"/>
    <m/>
    <n v="0"/>
    <m/>
    <n v="0"/>
    <m/>
    <n v="0"/>
    <m/>
    <m/>
    <m/>
    <m/>
    <n v="0"/>
    <m/>
    <n v="0"/>
    <m/>
    <n v="0"/>
    <m/>
    <n v="0"/>
    <m/>
    <n v="0"/>
    <m/>
    <m/>
    <m/>
    <m/>
    <n v="0"/>
    <n v="0"/>
    <n v="0"/>
    <n v="0"/>
    <n v="0"/>
    <n v="0"/>
    <n v="0"/>
    <n v="0"/>
    <n v="0"/>
    <m/>
    <n v="0"/>
    <n v="0"/>
    <m/>
    <m/>
    <s v="People who inject drugs and their partners"/>
    <s v="HIV"/>
    <x v="1"/>
  </r>
  <r>
    <n v="608"/>
    <x v="5"/>
    <x v="19"/>
    <s v="Procurement of condoms &amp; lubricants for People who inject drugs and their partners"/>
    <x v="20"/>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0"/>
    <x v="5"/>
    <x v="19"/>
    <s v="Procurement of condoms &amp; lubricants for People who inject drugs and their partners"/>
    <x v="13"/>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1"/>
    <x v="5"/>
    <x v="19"/>
    <s v="PSM costs for People who inject drugs and their partners"/>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2"/>
    <x v="5"/>
    <x v="19"/>
    <s v="PSM costs for People who inject drugs and their partners"/>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3"/>
    <x v="5"/>
    <x v="19"/>
    <s v="PSM costs for People who inject drugs and their partners"/>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4"/>
    <x v="5"/>
    <x v="19"/>
    <s v="PSM costs for People who inject drugs and their partners"/>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5"/>
    <x v="5"/>
    <x v="19"/>
    <s v="PSM costs for People who inject drugs and their partners"/>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6"/>
    <x v="5"/>
    <x v="19"/>
    <s v="PSM costs for People who inject drugs and their partners"/>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7"/>
    <x v="5"/>
    <x v="19"/>
    <s v="PSM costs for People who inject drugs and their partners"/>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s v="Other vulnerable populations"/>
    <s v="HIV"/>
    <x v="19"/>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s v="Other vulnerable populations"/>
    <s v="HIV"/>
    <x v="19"/>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s v="Other vulnerable populations"/>
    <s v="HIV"/>
    <x v="19"/>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s v="Men in high prevalence settings"/>
    <s v="HIV"/>
    <x v="19"/>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s v="Men in high prevalence settings"/>
    <s v="HIV"/>
    <x v="19"/>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s v="Non-specified population groups"/>
    <s v="HIV"/>
    <x v="19"/>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s v="Non-specified population groups"/>
    <s v="HIV"/>
    <x v="19"/>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s v="Non-specified population groups"/>
    <s v="HIV"/>
    <x v="19"/>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s v="PMTCT"/>
    <s v="HIV"/>
    <x v="19"/>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s v="PMTCT"/>
    <s v="HIV"/>
    <x v="19"/>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s v="PMTCT"/>
    <s v="HIV"/>
    <x v="19"/>
  </r>
  <r>
    <n v="813"/>
    <x v="6"/>
    <x v="23"/>
    <s v="PSM costs"/>
    <x v="1"/>
    <m/>
    <m/>
    <m/>
    <m/>
    <m/>
    <m/>
    <m/>
    <m/>
    <m/>
    <s v="-"/>
    <n v="0"/>
    <s v="-"/>
    <n v="0"/>
    <s v="-"/>
    <n v="0"/>
    <s v="-"/>
    <n v="0"/>
    <m/>
    <n v="0"/>
    <m/>
    <m/>
    <m/>
    <m/>
    <n v="0"/>
    <m/>
    <n v="0"/>
    <m/>
    <n v="0"/>
    <m/>
    <n v="0"/>
    <m/>
    <n v="0"/>
    <m/>
    <m/>
    <m/>
    <m/>
    <n v="0"/>
    <m/>
    <n v="0"/>
    <m/>
    <n v="0"/>
    <m/>
    <n v="0"/>
    <m/>
    <n v="0"/>
    <m/>
    <m/>
    <m/>
    <m/>
    <n v="0"/>
    <n v="0"/>
    <n v="0"/>
    <n v="0"/>
    <n v="0"/>
    <n v="0"/>
    <n v="0"/>
    <n v="0"/>
    <n v="0"/>
    <m/>
    <n v="0"/>
    <n v="0"/>
    <m/>
    <m/>
    <s v="PMTCT"/>
    <s v="HIV"/>
    <x v="1"/>
  </r>
  <r>
    <n v="814"/>
    <x v="6"/>
    <x v="23"/>
    <s v="PSM costs"/>
    <x v="2"/>
    <m/>
    <m/>
    <m/>
    <m/>
    <m/>
    <m/>
    <m/>
    <m/>
    <m/>
    <s v="-"/>
    <n v="0"/>
    <s v="-"/>
    <n v="0"/>
    <s v="-"/>
    <n v="0"/>
    <s v="-"/>
    <n v="0"/>
    <m/>
    <n v="0"/>
    <m/>
    <m/>
    <m/>
    <m/>
    <n v="0"/>
    <m/>
    <n v="0"/>
    <m/>
    <n v="0"/>
    <m/>
    <n v="0"/>
    <m/>
    <n v="0"/>
    <m/>
    <m/>
    <m/>
    <m/>
    <n v="0"/>
    <m/>
    <n v="0"/>
    <m/>
    <n v="0"/>
    <m/>
    <n v="0"/>
    <m/>
    <n v="0"/>
    <m/>
    <m/>
    <m/>
    <m/>
    <n v="0"/>
    <n v="0"/>
    <n v="0"/>
    <n v="0"/>
    <n v="0"/>
    <n v="0"/>
    <n v="0"/>
    <n v="0"/>
    <n v="0"/>
    <m/>
    <n v="0"/>
    <n v="0"/>
    <m/>
    <m/>
    <s v="PMTCT"/>
    <s v="HIV"/>
    <x v="1"/>
  </r>
  <r>
    <n v="815"/>
    <x v="6"/>
    <x v="23"/>
    <s v="PSM costs"/>
    <x v="3"/>
    <m/>
    <m/>
    <m/>
    <m/>
    <m/>
    <m/>
    <m/>
    <m/>
    <m/>
    <s v="-"/>
    <n v="0"/>
    <s v="-"/>
    <n v="0"/>
    <s v="-"/>
    <n v="0"/>
    <s v="-"/>
    <n v="0"/>
    <m/>
    <n v="0"/>
    <m/>
    <m/>
    <m/>
    <m/>
    <n v="0"/>
    <m/>
    <n v="0"/>
    <m/>
    <n v="0"/>
    <m/>
    <n v="0"/>
    <m/>
    <n v="0"/>
    <m/>
    <m/>
    <m/>
    <m/>
    <n v="0"/>
    <m/>
    <n v="0"/>
    <m/>
    <n v="0"/>
    <m/>
    <n v="0"/>
    <m/>
    <n v="0"/>
    <m/>
    <m/>
    <m/>
    <m/>
    <n v="0"/>
    <n v="0"/>
    <n v="0"/>
    <n v="0"/>
    <n v="0"/>
    <n v="0"/>
    <n v="0"/>
    <n v="0"/>
    <n v="0"/>
    <m/>
    <n v="0"/>
    <n v="0"/>
    <m/>
    <m/>
    <s v="PMTCT"/>
    <s v="HIV"/>
    <x v="1"/>
  </r>
  <r>
    <n v="816"/>
    <x v="6"/>
    <x v="23"/>
    <s v="PSM costs"/>
    <x v="4"/>
    <m/>
    <m/>
    <m/>
    <m/>
    <m/>
    <m/>
    <m/>
    <m/>
    <m/>
    <s v="-"/>
    <n v="0"/>
    <s v="-"/>
    <n v="0"/>
    <s v="-"/>
    <n v="0"/>
    <s v="-"/>
    <n v="0"/>
    <m/>
    <n v="0"/>
    <m/>
    <m/>
    <m/>
    <m/>
    <n v="0"/>
    <m/>
    <n v="0"/>
    <m/>
    <n v="0"/>
    <m/>
    <n v="0"/>
    <m/>
    <n v="0"/>
    <m/>
    <m/>
    <m/>
    <m/>
    <n v="0"/>
    <m/>
    <n v="0"/>
    <m/>
    <n v="0"/>
    <m/>
    <n v="0"/>
    <m/>
    <n v="0"/>
    <m/>
    <m/>
    <m/>
    <m/>
    <n v="0"/>
    <n v="0"/>
    <n v="0"/>
    <n v="0"/>
    <n v="0"/>
    <n v="0"/>
    <n v="0"/>
    <n v="0"/>
    <n v="0"/>
    <m/>
    <n v="0"/>
    <n v="0"/>
    <m/>
    <m/>
    <s v="PMTCT"/>
    <s v="HIV"/>
    <x v="1"/>
  </r>
  <r>
    <n v="817"/>
    <x v="6"/>
    <x v="23"/>
    <s v="PSM costs"/>
    <x v="5"/>
    <m/>
    <m/>
    <m/>
    <m/>
    <m/>
    <m/>
    <m/>
    <m/>
    <m/>
    <s v="-"/>
    <n v="0"/>
    <s v="-"/>
    <n v="0"/>
    <s v="-"/>
    <n v="0"/>
    <s v="-"/>
    <n v="0"/>
    <m/>
    <n v="0"/>
    <m/>
    <m/>
    <m/>
    <m/>
    <n v="0"/>
    <m/>
    <n v="0"/>
    <m/>
    <n v="0"/>
    <m/>
    <n v="0"/>
    <m/>
    <n v="0"/>
    <m/>
    <m/>
    <m/>
    <m/>
    <n v="0"/>
    <m/>
    <n v="0"/>
    <m/>
    <n v="0"/>
    <m/>
    <n v="0"/>
    <m/>
    <n v="0"/>
    <m/>
    <m/>
    <m/>
    <m/>
    <n v="0"/>
    <n v="0"/>
    <n v="0"/>
    <n v="0"/>
    <n v="0"/>
    <n v="0"/>
    <n v="0"/>
    <n v="0"/>
    <n v="0"/>
    <m/>
    <n v="0"/>
    <n v="0"/>
    <m/>
    <m/>
    <s v="PMTCT"/>
    <s v="HIV"/>
    <x v="1"/>
  </r>
  <r>
    <n v="818"/>
    <x v="6"/>
    <x v="23"/>
    <s v="PSM costs"/>
    <x v="6"/>
    <m/>
    <m/>
    <m/>
    <m/>
    <m/>
    <m/>
    <m/>
    <m/>
    <m/>
    <s v="-"/>
    <n v="0"/>
    <s v="-"/>
    <n v="0"/>
    <s v="-"/>
    <n v="0"/>
    <s v="-"/>
    <n v="0"/>
    <m/>
    <n v="0"/>
    <m/>
    <m/>
    <m/>
    <m/>
    <n v="0"/>
    <m/>
    <n v="0"/>
    <m/>
    <n v="0"/>
    <m/>
    <n v="0"/>
    <m/>
    <n v="0"/>
    <m/>
    <m/>
    <m/>
    <m/>
    <n v="0"/>
    <m/>
    <n v="0"/>
    <m/>
    <n v="0"/>
    <m/>
    <n v="0"/>
    <m/>
    <n v="0"/>
    <m/>
    <m/>
    <m/>
    <m/>
    <n v="0"/>
    <n v="0"/>
    <n v="0"/>
    <n v="0"/>
    <n v="0"/>
    <n v="0"/>
    <n v="0"/>
    <n v="0"/>
    <n v="0"/>
    <m/>
    <n v="0"/>
    <n v="0"/>
    <m/>
    <m/>
    <s v="PMTCT"/>
    <s v="HIV"/>
    <x v="1"/>
  </r>
  <r>
    <n v="819"/>
    <x v="6"/>
    <x v="23"/>
    <s v="PSM costs"/>
    <x v="7"/>
    <m/>
    <m/>
    <m/>
    <m/>
    <m/>
    <m/>
    <m/>
    <m/>
    <m/>
    <s v="-"/>
    <n v="0"/>
    <s v="-"/>
    <n v="0"/>
    <s v="-"/>
    <n v="0"/>
    <s v="-"/>
    <n v="0"/>
    <m/>
    <n v="0"/>
    <m/>
    <m/>
    <m/>
    <m/>
    <n v="0"/>
    <m/>
    <n v="0"/>
    <m/>
    <n v="0"/>
    <m/>
    <n v="0"/>
    <m/>
    <n v="0"/>
    <m/>
    <m/>
    <m/>
    <m/>
    <n v="0"/>
    <m/>
    <n v="0"/>
    <m/>
    <n v="0"/>
    <m/>
    <n v="0"/>
    <m/>
    <n v="0"/>
    <m/>
    <m/>
    <m/>
    <m/>
    <n v="0"/>
    <n v="0"/>
    <n v="0"/>
    <n v="0"/>
    <n v="0"/>
    <n v="0"/>
    <n v="0"/>
    <n v="0"/>
    <n v="0"/>
    <m/>
    <n v="0"/>
    <n v="0"/>
    <m/>
    <m/>
    <s v="PMTCT"/>
    <s v="HIV"/>
    <x v="1"/>
  </r>
  <r>
    <n v="821"/>
    <x v="6"/>
    <x v="24"/>
    <s v="Procurement of RDTs to diagnose HIV, co-infections, and co-morbidities"/>
    <x v="11"/>
    <m/>
    <m/>
    <m/>
    <m/>
    <m/>
    <m/>
    <m/>
    <m/>
    <m/>
    <s v="-"/>
    <n v="0"/>
    <s v="-"/>
    <n v="96534.396599999993"/>
    <s v="-"/>
    <n v="0"/>
    <s v="-"/>
    <n v="0"/>
    <m/>
    <n v="96534.396599999993"/>
    <m/>
    <m/>
    <m/>
    <m/>
    <n v="0"/>
    <m/>
    <n v="100698.50429100002"/>
    <m/>
    <n v="0"/>
    <m/>
    <n v="0"/>
    <m/>
    <n v="100698.50429100002"/>
    <m/>
    <m/>
    <m/>
    <m/>
    <n v="0"/>
    <m/>
    <n v="107223.984681"/>
    <m/>
    <n v="0"/>
    <m/>
    <n v="0"/>
    <m/>
    <n v="107223.984681"/>
    <m/>
    <m/>
    <m/>
    <m/>
    <n v="0"/>
    <n v="0"/>
    <n v="0"/>
    <n v="0"/>
    <n v="0"/>
    <n v="0"/>
    <n v="0"/>
    <n v="0"/>
    <n v="0"/>
    <m/>
    <n v="0"/>
    <n v="304456.885572"/>
    <m/>
    <m/>
    <s v="PMTCT"/>
    <s v="HIV"/>
    <x v="22"/>
  </r>
  <r>
    <n v="822"/>
    <x v="6"/>
    <x v="24"/>
    <s v="PSM costs"/>
    <x v="1"/>
    <m/>
    <m/>
    <m/>
    <m/>
    <m/>
    <m/>
    <m/>
    <m/>
    <m/>
    <s v="-"/>
    <n v="0"/>
    <s v="-"/>
    <n v="5792.0637959999995"/>
    <s v="-"/>
    <n v="0"/>
    <s v="-"/>
    <n v="0"/>
    <m/>
    <n v="5792.0637959999995"/>
    <m/>
    <m/>
    <m/>
    <m/>
    <n v="0"/>
    <m/>
    <n v="6041.9102574599992"/>
    <m/>
    <n v="0"/>
    <m/>
    <n v="0"/>
    <m/>
    <n v="6041.9102574599992"/>
    <m/>
    <m/>
    <m/>
    <m/>
    <n v="0"/>
    <m/>
    <n v="6433.4390808600001"/>
    <m/>
    <n v="0"/>
    <m/>
    <n v="0"/>
    <m/>
    <n v="6433.4390808600001"/>
    <m/>
    <m/>
    <m/>
    <m/>
    <n v="0"/>
    <n v="0"/>
    <n v="0"/>
    <n v="0"/>
    <n v="0"/>
    <n v="0"/>
    <n v="0"/>
    <n v="0"/>
    <n v="0"/>
    <m/>
    <n v="0"/>
    <n v="18267.413134319999"/>
    <m/>
    <m/>
    <s v="PMTCT"/>
    <s v="HIV"/>
    <x v="1"/>
  </r>
  <r>
    <n v="823"/>
    <x v="6"/>
    <x v="24"/>
    <s v="PSM costs"/>
    <x v="2"/>
    <m/>
    <m/>
    <m/>
    <m/>
    <m/>
    <m/>
    <m/>
    <m/>
    <m/>
    <s v="-"/>
    <n v="0"/>
    <s v="-"/>
    <n v="9.65343966E-12"/>
    <s v="-"/>
    <n v="0"/>
    <s v="-"/>
    <n v="0"/>
    <m/>
    <n v="9.65343966E-12"/>
    <m/>
    <m/>
    <m/>
    <m/>
    <n v="0"/>
    <m/>
    <n v="1.00698504291E-11"/>
    <m/>
    <n v="0"/>
    <m/>
    <n v="0"/>
    <m/>
    <n v="1.00698504291E-11"/>
    <m/>
    <m/>
    <m/>
    <m/>
    <n v="0"/>
    <m/>
    <n v="1.0722398468100001E-11"/>
    <m/>
    <n v="0"/>
    <m/>
    <n v="0"/>
    <m/>
    <n v="1.0722398468100001E-11"/>
    <m/>
    <m/>
    <m/>
    <m/>
    <n v="0"/>
    <n v="0"/>
    <n v="0"/>
    <n v="0"/>
    <n v="0"/>
    <n v="0"/>
    <n v="0"/>
    <n v="0"/>
    <n v="0"/>
    <m/>
    <n v="0"/>
    <n v="3.0445688557200003E-11"/>
    <m/>
    <m/>
    <s v="PMTCT"/>
    <s v="HIV"/>
    <x v="1"/>
  </r>
  <r>
    <n v="824"/>
    <x v="6"/>
    <x v="24"/>
    <s v="PSM costs"/>
    <x v="3"/>
    <m/>
    <m/>
    <m/>
    <m/>
    <m/>
    <m/>
    <m/>
    <m/>
    <m/>
    <s v="-"/>
    <n v="0"/>
    <s v="-"/>
    <n v="0"/>
    <s v="-"/>
    <n v="0"/>
    <s v="-"/>
    <n v="0"/>
    <m/>
    <n v="0"/>
    <m/>
    <m/>
    <m/>
    <m/>
    <n v="0"/>
    <m/>
    <n v="0"/>
    <m/>
    <n v="0"/>
    <m/>
    <n v="0"/>
    <m/>
    <n v="0"/>
    <m/>
    <m/>
    <m/>
    <m/>
    <n v="0"/>
    <m/>
    <n v="0"/>
    <m/>
    <n v="0"/>
    <m/>
    <n v="0"/>
    <m/>
    <n v="0"/>
    <m/>
    <m/>
    <m/>
    <m/>
    <n v="0"/>
    <n v="0"/>
    <n v="0"/>
    <n v="0"/>
    <n v="0"/>
    <n v="0"/>
    <n v="0"/>
    <n v="0"/>
    <n v="0"/>
    <m/>
    <n v="0"/>
    <n v="0"/>
    <m/>
    <m/>
    <s v="PMTCT"/>
    <s v="HIV"/>
    <x v="1"/>
  </r>
  <r>
    <n v="825"/>
    <x v="6"/>
    <x v="24"/>
    <s v="PSM costs"/>
    <x v="4"/>
    <m/>
    <m/>
    <m/>
    <m/>
    <m/>
    <m/>
    <m/>
    <m/>
    <m/>
    <s v="-"/>
    <n v="0"/>
    <s v="-"/>
    <n v="0"/>
    <s v="-"/>
    <n v="0"/>
    <s v="-"/>
    <n v="0"/>
    <m/>
    <n v="0"/>
    <m/>
    <m/>
    <m/>
    <m/>
    <n v="0"/>
    <m/>
    <n v="0"/>
    <m/>
    <n v="0"/>
    <m/>
    <n v="0"/>
    <m/>
    <n v="0"/>
    <m/>
    <m/>
    <m/>
    <m/>
    <n v="0"/>
    <m/>
    <n v="0"/>
    <m/>
    <n v="0"/>
    <m/>
    <n v="0"/>
    <m/>
    <n v="0"/>
    <m/>
    <m/>
    <m/>
    <m/>
    <n v="0"/>
    <n v="0"/>
    <n v="0"/>
    <n v="0"/>
    <n v="0"/>
    <n v="0"/>
    <n v="0"/>
    <n v="0"/>
    <n v="0"/>
    <m/>
    <n v="0"/>
    <n v="0"/>
    <m/>
    <m/>
    <s v="PMTCT"/>
    <s v="HIV"/>
    <x v="1"/>
  </r>
  <r>
    <n v="826"/>
    <x v="6"/>
    <x v="24"/>
    <s v="PSM costs"/>
    <x v="5"/>
    <m/>
    <m/>
    <m/>
    <m/>
    <m/>
    <m/>
    <m/>
    <m/>
    <m/>
    <s v="-"/>
    <n v="0"/>
    <s v="-"/>
    <n v="0"/>
    <s v="-"/>
    <n v="0"/>
    <s v="-"/>
    <n v="0"/>
    <m/>
    <n v="0"/>
    <m/>
    <m/>
    <m/>
    <m/>
    <n v="0"/>
    <m/>
    <n v="0"/>
    <m/>
    <n v="0"/>
    <m/>
    <n v="0"/>
    <m/>
    <n v="0"/>
    <m/>
    <m/>
    <m/>
    <m/>
    <n v="0"/>
    <m/>
    <n v="0"/>
    <m/>
    <n v="0"/>
    <m/>
    <n v="0"/>
    <m/>
    <n v="0"/>
    <m/>
    <m/>
    <m/>
    <m/>
    <n v="0"/>
    <n v="0"/>
    <n v="0"/>
    <n v="0"/>
    <n v="0"/>
    <n v="0"/>
    <n v="0"/>
    <n v="0"/>
    <n v="0"/>
    <m/>
    <n v="0"/>
    <n v="0"/>
    <m/>
    <m/>
    <s v="PMTCT"/>
    <s v="HIV"/>
    <x v="1"/>
  </r>
  <r>
    <n v="827"/>
    <x v="6"/>
    <x v="24"/>
    <s v="PSM costs"/>
    <x v="6"/>
    <m/>
    <m/>
    <m/>
    <m/>
    <m/>
    <m/>
    <m/>
    <m/>
    <m/>
    <s v="-"/>
    <n v="0"/>
    <s v="-"/>
    <n v="0"/>
    <s v="-"/>
    <n v="0"/>
    <s v="-"/>
    <n v="0"/>
    <m/>
    <n v="0"/>
    <m/>
    <m/>
    <m/>
    <m/>
    <n v="0"/>
    <m/>
    <n v="0"/>
    <m/>
    <n v="0"/>
    <m/>
    <n v="0"/>
    <m/>
    <n v="0"/>
    <m/>
    <m/>
    <m/>
    <m/>
    <n v="0"/>
    <m/>
    <n v="0"/>
    <m/>
    <n v="0"/>
    <m/>
    <n v="0"/>
    <m/>
    <n v="0"/>
    <m/>
    <m/>
    <m/>
    <m/>
    <n v="0"/>
    <n v="0"/>
    <n v="0"/>
    <n v="0"/>
    <n v="0"/>
    <n v="0"/>
    <n v="0"/>
    <n v="0"/>
    <n v="0"/>
    <m/>
    <n v="0"/>
    <n v="0"/>
    <m/>
    <m/>
    <s v="PMTCT"/>
    <s v="HIV"/>
    <x v="1"/>
  </r>
  <r>
    <n v="828"/>
    <x v="6"/>
    <x v="24"/>
    <s v="PSM costs"/>
    <x v="7"/>
    <m/>
    <m/>
    <m/>
    <m/>
    <m/>
    <m/>
    <m/>
    <m/>
    <m/>
    <s v="-"/>
    <n v="0"/>
    <s v="-"/>
    <n v="0"/>
    <s v="-"/>
    <n v="0"/>
    <s v="-"/>
    <n v="0"/>
    <m/>
    <n v="0"/>
    <m/>
    <m/>
    <m/>
    <m/>
    <n v="0"/>
    <m/>
    <n v="0"/>
    <m/>
    <n v="0"/>
    <m/>
    <n v="0"/>
    <m/>
    <n v="0"/>
    <m/>
    <m/>
    <m/>
    <m/>
    <n v="0"/>
    <m/>
    <n v="0"/>
    <m/>
    <n v="0"/>
    <m/>
    <n v="0"/>
    <m/>
    <n v="0"/>
    <m/>
    <m/>
    <m/>
    <m/>
    <n v="0"/>
    <n v="0"/>
    <n v="0"/>
    <n v="0"/>
    <n v="0"/>
    <n v="0"/>
    <n v="0"/>
    <n v="0"/>
    <n v="0"/>
    <m/>
    <n v="0"/>
    <n v="0"/>
    <m/>
    <m/>
    <s v="PMTCT"/>
    <s v="HIV"/>
    <x v="1"/>
  </r>
  <r>
    <n v="840"/>
    <x v="7"/>
    <x v="25"/>
    <s v="Procurement of RDTs to diagnose HIV, co-infections, and co-morbidities for Men who have sex with men"/>
    <x v="11"/>
    <m/>
    <m/>
    <m/>
    <m/>
    <m/>
    <m/>
    <m/>
    <m/>
    <m/>
    <s v="-"/>
    <n v="0"/>
    <s v="-"/>
    <n v="35980.321041315001"/>
    <s v="-"/>
    <n v="0"/>
    <s v="-"/>
    <n v="0"/>
    <m/>
    <n v="35980.321041315001"/>
    <m/>
    <m/>
    <m/>
    <m/>
    <n v="0"/>
    <m/>
    <n v="37640.942865141005"/>
    <m/>
    <n v="0"/>
    <m/>
    <n v="0"/>
    <m/>
    <n v="37640.942865141005"/>
    <m/>
    <m/>
    <m/>
    <m/>
    <n v="0"/>
    <m/>
    <n v="40047.613783716006"/>
    <m/>
    <n v="0"/>
    <m/>
    <n v="0"/>
    <m/>
    <n v="40047.613783716006"/>
    <m/>
    <m/>
    <m/>
    <m/>
    <n v="0"/>
    <n v="0"/>
    <n v="0"/>
    <n v="0"/>
    <n v="0"/>
    <n v="0"/>
    <n v="0"/>
    <n v="0"/>
    <n v="0"/>
    <m/>
    <n v="0"/>
    <n v="113668.87769017203"/>
    <m/>
    <m/>
    <s v="Men who have sex with men"/>
    <s v="HIV"/>
    <x v="22"/>
  </r>
  <r>
    <n v="841"/>
    <x v="7"/>
    <x v="25"/>
    <s v="PSM costs for Men who have sex with men"/>
    <x v="1"/>
    <m/>
    <m/>
    <m/>
    <m/>
    <m/>
    <m/>
    <m/>
    <m/>
    <m/>
    <s v="-"/>
    <n v="0"/>
    <s v="-"/>
    <n v="2158.8192624788999"/>
    <s v="-"/>
    <n v="0"/>
    <s v="-"/>
    <n v="0"/>
    <m/>
    <n v="2158.8192624788999"/>
    <m/>
    <m/>
    <m/>
    <m/>
    <n v="0"/>
    <m/>
    <n v="2258.4565719084603"/>
    <m/>
    <n v="0"/>
    <m/>
    <n v="0"/>
    <m/>
    <n v="2258.4565719084603"/>
    <m/>
    <m/>
    <m/>
    <m/>
    <n v="0"/>
    <m/>
    <n v="2402.8568270229603"/>
    <m/>
    <n v="0"/>
    <m/>
    <n v="0"/>
    <m/>
    <n v="2402.8568270229603"/>
    <m/>
    <m/>
    <m/>
    <m/>
    <n v="0"/>
    <n v="0"/>
    <n v="0"/>
    <n v="0"/>
    <n v="0"/>
    <n v="0"/>
    <n v="0"/>
    <n v="0"/>
    <n v="0"/>
    <m/>
    <n v="0"/>
    <n v="6820.1326614103209"/>
    <m/>
    <m/>
    <s v="Men who have sex with men"/>
    <s v="HIV"/>
    <x v="1"/>
  </r>
  <r>
    <n v="842"/>
    <x v="7"/>
    <x v="25"/>
    <s v="PSM costs for Men who have sex with men"/>
    <x v="2"/>
    <m/>
    <m/>
    <m/>
    <m/>
    <m/>
    <m/>
    <m/>
    <m/>
    <m/>
    <s v="-"/>
    <n v="0"/>
    <s v="-"/>
    <n v="3.5980321041314995E-12"/>
    <s v="-"/>
    <n v="0"/>
    <s v="-"/>
    <n v="0"/>
    <m/>
    <n v="3.5980321041314995E-12"/>
    <m/>
    <m/>
    <m/>
    <m/>
    <n v="0"/>
    <m/>
    <n v="3.7640942865140997E-12"/>
    <m/>
    <n v="0"/>
    <m/>
    <n v="0"/>
    <m/>
    <n v="3.7640942865140997E-12"/>
    <m/>
    <m/>
    <m/>
    <m/>
    <n v="0"/>
    <m/>
    <n v="4.0047613783715999E-12"/>
    <m/>
    <n v="0"/>
    <m/>
    <n v="0"/>
    <m/>
    <n v="4.0047613783715999E-12"/>
    <m/>
    <m/>
    <m/>
    <m/>
    <n v="0"/>
    <n v="0"/>
    <n v="0"/>
    <n v="0"/>
    <n v="0"/>
    <n v="0"/>
    <n v="0"/>
    <n v="0"/>
    <n v="0"/>
    <m/>
    <n v="0"/>
    <n v="1.1366887769017199E-11"/>
    <m/>
    <m/>
    <s v="Men who have sex with men"/>
    <s v="HIV"/>
    <x v="1"/>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48"/>
    <x v="7"/>
    <x v="26"/>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s v="HIV"/>
    <x v="22"/>
  </r>
  <r>
    <n v="849"/>
    <x v="7"/>
    <x v="26"/>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850"/>
    <x v="7"/>
    <x v="26"/>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851"/>
    <x v="7"/>
    <x v="26"/>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52"/>
    <x v="7"/>
    <x v="26"/>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53"/>
    <x v="7"/>
    <x v="26"/>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54"/>
    <x v="7"/>
    <x v="26"/>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55"/>
    <x v="7"/>
    <x v="26"/>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56"/>
    <x v="7"/>
    <x v="27"/>
    <s v="Procurement of RDTs to diagnose HIV, co-infections, and co-morbidities for Men who have sex with men"/>
    <x v="11"/>
    <m/>
    <m/>
    <m/>
    <m/>
    <m/>
    <m/>
    <m/>
    <m/>
    <m/>
    <s v="-"/>
    <n v="0"/>
    <s v="-"/>
    <n v="6878.9059286849997"/>
    <s v="-"/>
    <n v="0"/>
    <s v="-"/>
    <n v="0"/>
    <m/>
    <n v="6878.9059286849997"/>
    <m/>
    <m/>
    <m/>
    <m/>
    <n v="0"/>
    <m/>
    <n v="7196.392292859"/>
    <m/>
    <n v="0"/>
    <m/>
    <n v="0"/>
    <m/>
    <n v="7196.392292859"/>
    <m/>
    <m/>
    <m/>
    <m/>
    <n v="0"/>
    <m/>
    <n v="7656.5122242840016"/>
    <m/>
    <n v="0"/>
    <m/>
    <n v="0"/>
    <m/>
    <n v="7656.5122242840016"/>
    <m/>
    <m/>
    <m/>
    <m/>
    <n v="0"/>
    <n v="0"/>
    <n v="0"/>
    <n v="0"/>
    <n v="0"/>
    <n v="0"/>
    <n v="0"/>
    <n v="0"/>
    <n v="0"/>
    <m/>
    <n v="0"/>
    <n v="21731.810445828"/>
    <m/>
    <m/>
    <s v="Men who have sex with men"/>
    <s v="HIV"/>
    <x v="22"/>
  </r>
  <r>
    <n v="857"/>
    <x v="7"/>
    <x v="27"/>
    <s v="PSM costs for Men who have sex with men"/>
    <x v="1"/>
    <m/>
    <m/>
    <m/>
    <m/>
    <m/>
    <m/>
    <m/>
    <m/>
    <m/>
    <s v="-"/>
    <n v="0"/>
    <s v="-"/>
    <n v="412.73435572109997"/>
    <s v="-"/>
    <n v="0"/>
    <s v="-"/>
    <n v="0"/>
    <m/>
    <n v="412.73435572109997"/>
    <m/>
    <m/>
    <m/>
    <m/>
    <n v="0"/>
    <m/>
    <n v="431.78353757154002"/>
    <m/>
    <n v="0"/>
    <m/>
    <n v="0"/>
    <m/>
    <n v="431.78353757154002"/>
    <m/>
    <m/>
    <m/>
    <m/>
    <n v="0"/>
    <m/>
    <n v="459.39073345704003"/>
    <m/>
    <n v="0"/>
    <m/>
    <n v="0"/>
    <m/>
    <n v="459.39073345704003"/>
    <m/>
    <m/>
    <m/>
    <m/>
    <n v="0"/>
    <n v="0"/>
    <n v="0"/>
    <n v="0"/>
    <n v="0"/>
    <n v="0"/>
    <n v="0"/>
    <n v="0"/>
    <n v="0"/>
    <m/>
    <n v="0"/>
    <n v="1303.90862674968"/>
    <m/>
    <m/>
    <s v="Men who have sex with men"/>
    <s v="HIV"/>
    <x v="1"/>
  </r>
  <r>
    <n v="858"/>
    <x v="7"/>
    <x v="27"/>
    <s v="PSM costs for Men who have sex with men"/>
    <x v="2"/>
    <m/>
    <m/>
    <m/>
    <m/>
    <m/>
    <m/>
    <m/>
    <m/>
    <m/>
    <s v="-"/>
    <n v="0"/>
    <s v="-"/>
    <n v="6.8789059286849986E-13"/>
    <s v="-"/>
    <n v="0"/>
    <s v="-"/>
    <n v="0"/>
    <m/>
    <n v="6.8789059286849986E-13"/>
    <m/>
    <m/>
    <m/>
    <m/>
    <n v="0"/>
    <m/>
    <n v="7.1963922928590004E-13"/>
    <m/>
    <n v="0"/>
    <m/>
    <n v="0"/>
    <m/>
    <n v="7.1963922928590004E-13"/>
    <m/>
    <m/>
    <m/>
    <m/>
    <n v="0"/>
    <m/>
    <n v="7.6565122242839996E-13"/>
    <m/>
    <n v="0"/>
    <m/>
    <n v="0"/>
    <m/>
    <n v="7.6565122242839996E-13"/>
    <m/>
    <m/>
    <m/>
    <m/>
    <n v="0"/>
    <n v="0"/>
    <n v="0"/>
    <n v="0"/>
    <n v="0"/>
    <n v="0"/>
    <n v="0"/>
    <n v="0"/>
    <n v="0"/>
    <m/>
    <n v="0"/>
    <n v="2.1731810445827999E-12"/>
    <m/>
    <m/>
    <s v="Men who have sex with men"/>
    <s v="HIV"/>
    <x v="1"/>
  </r>
  <r>
    <n v="859"/>
    <x v="7"/>
    <x v="27"/>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60"/>
    <x v="7"/>
    <x v="27"/>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61"/>
    <x v="7"/>
    <x v="27"/>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62"/>
    <x v="7"/>
    <x v="27"/>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63"/>
    <x v="7"/>
    <x v="27"/>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64"/>
    <x v="7"/>
    <x v="25"/>
    <s v="Procurement of RDTs to diagnose HIV, co-infections, and co-morbidities for Sex workers and their clients"/>
    <x v="11"/>
    <m/>
    <m/>
    <m/>
    <m/>
    <m/>
    <m/>
    <m/>
    <m/>
    <m/>
    <s v="-"/>
    <n v="0"/>
    <s v="-"/>
    <n v="10964.808730960001"/>
    <s v="-"/>
    <n v="0"/>
    <s v="-"/>
    <n v="0"/>
    <m/>
    <n v="10964.808730960001"/>
    <m/>
    <m/>
    <m/>
    <m/>
    <n v="0"/>
    <m/>
    <n v="11455.211050964803"/>
    <m/>
    <n v="0"/>
    <m/>
    <n v="0"/>
    <m/>
    <n v="11455.211050964803"/>
    <m/>
    <m/>
    <m/>
    <m/>
    <n v="0"/>
    <m/>
    <n v="12192.310801876802"/>
    <m/>
    <n v="0"/>
    <m/>
    <n v="0"/>
    <m/>
    <n v="12192.310801876802"/>
    <m/>
    <m/>
    <m/>
    <m/>
    <n v="0"/>
    <n v="0"/>
    <n v="0"/>
    <n v="0"/>
    <n v="0"/>
    <n v="0"/>
    <n v="0"/>
    <n v="0"/>
    <n v="0"/>
    <m/>
    <n v="0"/>
    <n v="34612.330583801609"/>
    <m/>
    <m/>
    <s v="Sex workers and their clients"/>
    <s v="HIV"/>
    <x v="22"/>
  </r>
  <r>
    <n v="865"/>
    <x v="7"/>
    <x v="25"/>
    <s v="PSM costs for Sex workers and their clients"/>
    <x v="1"/>
    <m/>
    <m/>
    <m/>
    <m/>
    <m/>
    <m/>
    <m/>
    <m/>
    <m/>
    <s v="-"/>
    <n v="0"/>
    <s v="-"/>
    <n v="657.88852385760003"/>
    <s v="-"/>
    <n v="0"/>
    <s v="-"/>
    <n v="0"/>
    <m/>
    <n v="657.88852385760003"/>
    <m/>
    <m/>
    <m/>
    <m/>
    <n v="0"/>
    <m/>
    <n v="687.31266305788813"/>
    <m/>
    <n v="0"/>
    <m/>
    <n v="0"/>
    <m/>
    <n v="687.31266305788813"/>
    <m/>
    <m/>
    <m/>
    <m/>
    <n v="0"/>
    <m/>
    <n v="731.53864811260814"/>
    <m/>
    <n v="0"/>
    <m/>
    <n v="0"/>
    <m/>
    <n v="731.53864811260814"/>
    <m/>
    <m/>
    <m/>
    <m/>
    <n v="0"/>
    <n v="0"/>
    <n v="0"/>
    <n v="0"/>
    <n v="0"/>
    <n v="0"/>
    <n v="0"/>
    <n v="0"/>
    <n v="0"/>
    <m/>
    <n v="0"/>
    <n v="2076.7398350280964"/>
    <m/>
    <m/>
    <s v="Sex workers and their clients"/>
    <s v="HIV"/>
    <x v="1"/>
  </r>
  <r>
    <n v="866"/>
    <x v="7"/>
    <x v="25"/>
    <s v="PSM costs for Sex workers and their clients"/>
    <x v="2"/>
    <m/>
    <m/>
    <m/>
    <m/>
    <m/>
    <m/>
    <m/>
    <m/>
    <m/>
    <s v="-"/>
    <n v="0"/>
    <s v="-"/>
    <n v="1.0964808730960002E-12"/>
    <s v="-"/>
    <n v="0"/>
    <s v="-"/>
    <n v="0"/>
    <m/>
    <n v="1.0964808730960002E-12"/>
    <m/>
    <m/>
    <m/>
    <m/>
    <n v="0"/>
    <m/>
    <n v="1.1455211050964801E-12"/>
    <m/>
    <n v="0"/>
    <m/>
    <n v="0"/>
    <m/>
    <n v="1.1455211050964801E-12"/>
    <m/>
    <m/>
    <m/>
    <m/>
    <n v="0"/>
    <m/>
    <n v="1.21923108018768E-12"/>
    <m/>
    <n v="0"/>
    <m/>
    <n v="0"/>
    <m/>
    <n v="1.21923108018768E-12"/>
    <m/>
    <m/>
    <m/>
    <m/>
    <n v="0"/>
    <n v="0"/>
    <n v="0"/>
    <n v="0"/>
    <n v="0"/>
    <n v="0"/>
    <n v="0"/>
    <n v="0"/>
    <n v="0"/>
    <m/>
    <n v="0"/>
    <n v="3.4612330583801603E-12"/>
    <m/>
    <m/>
    <s v="Sex workers and their clients"/>
    <s v="HIV"/>
    <x v="1"/>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72"/>
    <x v="7"/>
    <x v="26"/>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s v="HIV"/>
    <x v="22"/>
  </r>
  <r>
    <n v="873"/>
    <x v="7"/>
    <x v="26"/>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74"/>
    <x v="7"/>
    <x v="26"/>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875"/>
    <x v="7"/>
    <x v="26"/>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76"/>
    <x v="7"/>
    <x v="26"/>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77"/>
    <x v="7"/>
    <x v="26"/>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78"/>
    <x v="7"/>
    <x v="26"/>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79"/>
    <x v="7"/>
    <x v="26"/>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80"/>
    <x v="7"/>
    <x v="27"/>
    <s v="Procurement of RDTs to diagnose HIV, co-infections, and co-morbidities for Sex workers and their clients"/>
    <x v="11"/>
    <m/>
    <m/>
    <m/>
    <m/>
    <m/>
    <m/>
    <m/>
    <m/>
    <m/>
    <s v="-"/>
    <n v="0"/>
    <s v="-"/>
    <n v="1728.88046904"/>
    <s v="-"/>
    <n v="0"/>
    <s v="-"/>
    <n v="0"/>
    <m/>
    <n v="1728.88046904"/>
    <m/>
    <m/>
    <m/>
    <m/>
    <n v="0"/>
    <m/>
    <n v="1806.2048450352002"/>
    <m/>
    <n v="0"/>
    <m/>
    <n v="0"/>
    <m/>
    <n v="1806.2048450352002"/>
    <m/>
    <m/>
    <m/>
    <m/>
    <n v="0"/>
    <m/>
    <n v="1922.4273341232001"/>
    <m/>
    <n v="0"/>
    <m/>
    <n v="0"/>
    <m/>
    <n v="1922.4273341232001"/>
    <m/>
    <m/>
    <m/>
    <m/>
    <n v="0"/>
    <n v="0"/>
    <n v="0"/>
    <n v="0"/>
    <n v="0"/>
    <n v="0"/>
    <n v="0"/>
    <n v="0"/>
    <n v="0"/>
    <m/>
    <n v="0"/>
    <n v="5457.5126481984007"/>
    <m/>
    <m/>
    <s v="Sex workers and their clients"/>
    <s v="HIV"/>
    <x v="22"/>
  </r>
  <r>
    <n v="881"/>
    <x v="7"/>
    <x v="27"/>
    <s v="PSM costs for Sex workers and their clients"/>
    <x v="1"/>
    <m/>
    <m/>
    <m/>
    <m/>
    <m/>
    <m/>
    <m/>
    <m/>
    <m/>
    <s v="-"/>
    <n v="0"/>
    <s v="-"/>
    <n v="103.7328281424"/>
    <s v="-"/>
    <n v="0"/>
    <s v="-"/>
    <n v="0"/>
    <m/>
    <n v="103.7328281424"/>
    <m/>
    <m/>
    <m/>
    <m/>
    <n v="0"/>
    <m/>
    <n v="108.37229070211201"/>
    <m/>
    <n v="0"/>
    <m/>
    <n v="0"/>
    <m/>
    <n v="108.37229070211201"/>
    <m/>
    <m/>
    <m/>
    <m/>
    <n v="0"/>
    <m/>
    <n v="115.34564004739201"/>
    <m/>
    <n v="0"/>
    <m/>
    <n v="0"/>
    <m/>
    <n v="115.34564004739201"/>
    <m/>
    <m/>
    <m/>
    <m/>
    <n v="0"/>
    <n v="0"/>
    <n v="0"/>
    <n v="0"/>
    <n v="0"/>
    <n v="0"/>
    <n v="0"/>
    <n v="0"/>
    <n v="0"/>
    <m/>
    <n v="0"/>
    <n v="327.450758891904"/>
    <m/>
    <m/>
    <s v="Sex workers and their clients"/>
    <s v="HIV"/>
    <x v="1"/>
  </r>
  <r>
    <n v="882"/>
    <x v="7"/>
    <x v="27"/>
    <s v="PSM costs for Sex workers and their clients"/>
    <x v="2"/>
    <m/>
    <m/>
    <m/>
    <m/>
    <m/>
    <m/>
    <m/>
    <m/>
    <m/>
    <s v="-"/>
    <n v="0"/>
    <s v="-"/>
    <n v="1.7288804690400001E-13"/>
    <s v="-"/>
    <n v="0"/>
    <s v="-"/>
    <n v="0"/>
    <m/>
    <n v="1.7288804690400001E-13"/>
    <m/>
    <m/>
    <m/>
    <m/>
    <n v="0"/>
    <m/>
    <n v="1.8062048450352E-13"/>
    <m/>
    <n v="0"/>
    <m/>
    <n v="0"/>
    <m/>
    <n v="1.8062048450352E-13"/>
    <m/>
    <m/>
    <m/>
    <m/>
    <n v="0"/>
    <m/>
    <n v="1.9224273341231998E-13"/>
    <m/>
    <n v="0"/>
    <m/>
    <n v="0"/>
    <m/>
    <n v="1.9224273341231998E-13"/>
    <m/>
    <m/>
    <m/>
    <m/>
    <n v="0"/>
    <n v="0"/>
    <n v="0"/>
    <n v="0"/>
    <n v="0"/>
    <n v="0"/>
    <n v="0"/>
    <n v="0"/>
    <n v="0"/>
    <m/>
    <n v="0"/>
    <n v="5.4575126481984004E-13"/>
    <m/>
    <m/>
    <s v="Sex workers and their clients"/>
    <s v="HIV"/>
    <x v="1"/>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88"/>
    <x v="7"/>
    <x v="25"/>
    <s v="Procurement of RDTs to diagnose HIV, co-infections, and co-morbidities for Transgender people"/>
    <x v="11"/>
    <m/>
    <m/>
    <m/>
    <m/>
    <m/>
    <m/>
    <m/>
    <m/>
    <m/>
    <s v="-"/>
    <n v="0"/>
    <s v="-"/>
    <n v="2394.1775342160004"/>
    <s v="-"/>
    <n v="0"/>
    <s v="-"/>
    <n v="0"/>
    <m/>
    <n v="2394.1775342160004"/>
    <m/>
    <m/>
    <m/>
    <m/>
    <n v="0"/>
    <m/>
    <n v="2504.5049524482006"/>
    <m/>
    <n v="0"/>
    <m/>
    <n v="0"/>
    <m/>
    <n v="2504.5049524482006"/>
    <m/>
    <m/>
    <m/>
    <m/>
    <n v="0"/>
    <m/>
    <n v="2664.6885088902"/>
    <m/>
    <n v="0"/>
    <m/>
    <n v="0"/>
    <m/>
    <n v="2664.6885088902"/>
    <m/>
    <m/>
    <m/>
    <m/>
    <n v="0"/>
    <n v="0"/>
    <n v="0"/>
    <n v="0"/>
    <n v="0"/>
    <n v="0"/>
    <n v="0"/>
    <n v="0"/>
    <n v="0"/>
    <m/>
    <n v="0"/>
    <n v="7563.3709955544"/>
    <m/>
    <m/>
    <s v="Transgender people"/>
    <s v="HIV"/>
    <x v="22"/>
  </r>
  <r>
    <n v="889"/>
    <x v="7"/>
    <x v="25"/>
    <s v="PSM costs for Transgender people"/>
    <x v="1"/>
    <m/>
    <m/>
    <m/>
    <m/>
    <m/>
    <m/>
    <m/>
    <m/>
    <m/>
    <s v="-"/>
    <n v="0"/>
    <s v="-"/>
    <n v="143.65065205296"/>
    <s v="-"/>
    <n v="0"/>
    <s v="-"/>
    <n v="0"/>
    <m/>
    <n v="143.65065205296"/>
    <m/>
    <m/>
    <m/>
    <m/>
    <n v="0"/>
    <m/>
    <n v="150.27029714689201"/>
    <m/>
    <n v="0"/>
    <m/>
    <n v="0"/>
    <m/>
    <n v="150.27029714689201"/>
    <m/>
    <m/>
    <m/>
    <m/>
    <n v="0"/>
    <m/>
    <n v="159.88131053341203"/>
    <m/>
    <n v="0"/>
    <m/>
    <n v="0"/>
    <m/>
    <n v="159.88131053341203"/>
    <m/>
    <m/>
    <m/>
    <m/>
    <n v="0"/>
    <n v="0"/>
    <n v="0"/>
    <n v="0"/>
    <n v="0"/>
    <n v="0"/>
    <n v="0"/>
    <n v="0"/>
    <n v="0"/>
    <m/>
    <n v="0"/>
    <n v="453.80225973326401"/>
    <m/>
    <m/>
    <s v="Transgender people"/>
    <s v="HIV"/>
    <x v="1"/>
  </r>
  <r>
    <n v="890"/>
    <x v="7"/>
    <x v="25"/>
    <s v="PSM costs for Transgender people"/>
    <x v="2"/>
    <m/>
    <m/>
    <m/>
    <m/>
    <m/>
    <m/>
    <m/>
    <m/>
    <m/>
    <s v="-"/>
    <n v="0"/>
    <s v="-"/>
    <n v="2.3941775342160001E-13"/>
    <s v="-"/>
    <n v="0"/>
    <s v="-"/>
    <n v="0"/>
    <m/>
    <n v="2.3941775342160001E-13"/>
    <m/>
    <m/>
    <m/>
    <m/>
    <n v="0"/>
    <m/>
    <n v="2.5045049524482002E-13"/>
    <m/>
    <n v="0"/>
    <m/>
    <n v="0"/>
    <m/>
    <n v="2.5045049524482002E-13"/>
    <m/>
    <m/>
    <m/>
    <m/>
    <n v="0"/>
    <m/>
    <n v="2.6646885088902005E-13"/>
    <m/>
    <n v="0"/>
    <m/>
    <n v="0"/>
    <m/>
    <n v="2.6646885088902005E-13"/>
    <m/>
    <m/>
    <m/>
    <m/>
    <n v="0"/>
    <n v="0"/>
    <n v="0"/>
    <n v="0"/>
    <n v="0"/>
    <n v="0"/>
    <n v="0"/>
    <n v="0"/>
    <n v="0"/>
    <m/>
    <n v="0"/>
    <n v="7.5633709955544003E-13"/>
    <m/>
    <m/>
    <s v="Transgender people"/>
    <s v="HIV"/>
    <x v="1"/>
  </r>
  <r>
    <n v="891"/>
    <x v="7"/>
    <x v="25"/>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892"/>
    <x v="7"/>
    <x v="25"/>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893"/>
    <x v="7"/>
    <x v="25"/>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894"/>
    <x v="7"/>
    <x v="25"/>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895"/>
    <x v="7"/>
    <x v="25"/>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896"/>
    <x v="7"/>
    <x v="26"/>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s v="HIV"/>
    <x v="22"/>
  </r>
  <r>
    <n v="897"/>
    <x v="7"/>
    <x v="26"/>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898"/>
    <x v="7"/>
    <x v="26"/>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899"/>
    <x v="7"/>
    <x v="26"/>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900"/>
    <x v="7"/>
    <x v="26"/>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901"/>
    <x v="7"/>
    <x v="26"/>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902"/>
    <x v="7"/>
    <x v="26"/>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903"/>
    <x v="7"/>
    <x v="26"/>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904"/>
    <x v="7"/>
    <x v="27"/>
    <s v="Procurement of RDTs to diagnose HIV, co-infections, and co-morbidities for Transgender people"/>
    <x v="11"/>
    <m/>
    <m/>
    <m/>
    <m/>
    <m/>
    <m/>
    <m/>
    <m/>
    <m/>
    <s v="-"/>
    <n v="0"/>
    <s v="-"/>
    <n v="22.718825784000003"/>
    <s v="-"/>
    <n v="0"/>
    <s v="-"/>
    <n v="0"/>
    <m/>
    <n v="22.718825784000003"/>
    <m/>
    <m/>
    <m/>
    <m/>
    <n v="0"/>
    <m/>
    <n v="23.765744551800005"/>
    <m/>
    <n v="0"/>
    <m/>
    <n v="0"/>
    <m/>
    <n v="23.765744551800005"/>
    <m/>
    <m/>
    <m/>
    <m/>
    <n v="0"/>
    <m/>
    <n v="25.285758109800003"/>
    <m/>
    <n v="0"/>
    <m/>
    <n v="0"/>
    <m/>
    <n v="25.285758109800003"/>
    <m/>
    <m/>
    <m/>
    <m/>
    <n v="0"/>
    <n v="0"/>
    <n v="0"/>
    <n v="0"/>
    <n v="0"/>
    <n v="0"/>
    <n v="0"/>
    <n v="0"/>
    <n v="0"/>
    <m/>
    <n v="0"/>
    <n v="71.770328445600015"/>
    <m/>
    <m/>
    <s v="Transgender people"/>
    <s v="HIV"/>
    <x v="22"/>
  </r>
  <r>
    <n v="905"/>
    <x v="7"/>
    <x v="27"/>
    <s v="PSM costs for Transgender people"/>
    <x v="1"/>
    <m/>
    <m/>
    <m/>
    <m/>
    <m/>
    <m/>
    <m/>
    <m/>
    <m/>
    <s v="-"/>
    <n v="0"/>
    <s v="-"/>
    <n v="1.36312954704"/>
    <s v="-"/>
    <n v="0"/>
    <s v="-"/>
    <n v="0"/>
    <m/>
    <n v="1.36312954704"/>
    <m/>
    <m/>
    <m/>
    <m/>
    <n v="0"/>
    <m/>
    <n v="1.4259446731080001"/>
    <m/>
    <n v="0"/>
    <m/>
    <n v="0"/>
    <m/>
    <n v="1.4259446731080001"/>
    <m/>
    <m/>
    <m/>
    <m/>
    <n v="0"/>
    <m/>
    <n v="1.5171454865880003"/>
    <m/>
    <n v="0"/>
    <m/>
    <n v="0"/>
    <m/>
    <n v="1.5171454865880003"/>
    <m/>
    <m/>
    <m/>
    <m/>
    <n v="0"/>
    <n v="0"/>
    <n v="0"/>
    <n v="0"/>
    <n v="0"/>
    <n v="0"/>
    <n v="0"/>
    <n v="0"/>
    <n v="0"/>
    <m/>
    <n v="0"/>
    <n v="4.306219706736"/>
    <m/>
    <m/>
    <s v="Transgender people"/>
    <s v="HIV"/>
    <x v="1"/>
  </r>
  <r>
    <n v="906"/>
    <x v="7"/>
    <x v="27"/>
    <s v="PSM costs for Transgender people"/>
    <x v="2"/>
    <m/>
    <m/>
    <m/>
    <m/>
    <m/>
    <m/>
    <m/>
    <m/>
    <m/>
    <s v="-"/>
    <n v="0"/>
    <s v="-"/>
    <n v="2.2718825784E-15"/>
    <s v="-"/>
    <n v="0"/>
    <s v="-"/>
    <n v="0"/>
    <m/>
    <n v="2.2718825784E-15"/>
    <m/>
    <m/>
    <m/>
    <m/>
    <n v="0"/>
    <m/>
    <n v="2.3765744551800002E-15"/>
    <m/>
    <n v="0"/>
    <m/>
    <n v="0"/>
    <m/>
    <n v="2.3765744551800002E-15"/>
    <m/>
    <m/>
    <m/>
    <m/>
    <n v="0"/>
    <m/>
    <n v="2.5285758109800004E-15"/>
    <m/>
    <n v="0"/>
    <m/>
    <n v="0"/>
    <m/>
    <n v="2.5285758109800004E-15"/>
    <m/>
    <m/>
    <m/>
    <m/>
    <n v="0"/>
    <n v="0"/>
    <n v="0"/>
    <n v="0"/>
    <n v="0"/>
    <n v="0"/>
    <n v="0"/>
    <n v="0"/>
    <n v="0"/>
    <m/>
    <n v="0"/>
    <n v="7.1770328445600011E-15"/>
    <m/>
    <m/>
    <s v="Transgender people"/>
    <s v="HIV"/>
    <x v="1"/>
  </r>
  <r>
    <n v="907"/>
    <x v="7"/>
    <x v="27"/>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908"/>
    <x v="7"/>
    <x v="27"/>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909"/>
    <x v="7"/>
    <x v="27"/>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910"/>
    <x v="7"/>
    <x v="27"/>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911"/>
    <x v="7"/>
    <x v="27"/>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0"/>
    <x v="7"/>
    <x v="26"/>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1"/>
    <x v="7"/>
    <x v="26"/>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2"/>
    <x v="7"/>
    <x v="26"/>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3"/>
    <x v="7"/>
    <x v="26"/>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4"/>
    <x v="7"/>
    <x v="26"/>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5"/>
    <x v="7"/>
    <x v="26"/>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6"/>
    <x v="7"/>
    <x v="26"/>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7"/>
    <x v="7"/>
    <x v="26"/>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6"/>
    <x v="7"/>
    <x v="25"/>
    <s v="Procurement of RDTs to diagnose HIV, co-infections, and co-morbidities for People in prisons and other closed settings"/>
    <x v="11"/>
    <m/>
    <m/>
    <m/>
    <m/>
    <m/>
    <m/>
    <m/>
    <m/>
    <m/>
    <s v="-"/>
    <n v="0"/>
    <s v="-"/>
    <n v="65353.858739999996"/>
    <s v="-"/>
    <n v="0"/>
    <s v="-"/>
    <n v="0"/>
    <m/>
    <n v="65353.858739999996"/>
    <m/>
    <m/>
    <m/>
    <m/>
    <n v="0"/>
    <m/>
    <n v="68174.152209000007"/>
    <m/>
    <n v="0"/>
    <m/>
    <n v="0"/>
    <m/>
    <n v="68174.152209000007"/>
    <m/>
    <m/>
    <m/>
    <m/>
    <n v="0"/>
    <m/>
    <n v="72591.627879000007"/>
    <m/>
    <n v="0"/>
    <m/>
    <n v="0"/>
    <m/>
    <n v="72591.627879000007"/>
    <m/>
    <m/>
    <m/>
    <m/>
    <n v="0"/>
    <n v="0"/>
    <n v="0"/>
    <n v="0"/>
    <n v="0"/>
    <n v="0"/>
    <n v="0"/>
    <n v="0"/>
    <n v="0"/>
    <m/>
    <n v="0"/>
    <n v="206119.638828"/>
    <m/>
    <m/>
    <s v="People in prisons and other closed settings"/>
    <s v="HIV"/>
    <x v="22"/>
  </r>
  <r>
    <n v="937"/>
    <x v="7"/>
    <x v="25"/>
    <s v="PSM costs for People in prisons and other closed settings"/>
    <x v="1"/>
    <m/>
    <m/>
    <m/>
    <m/>
    <m/>
    <m/>
    <m/>
    <m/>
    <m/>
    <s v="-"/>
    <n v="0"/>
    <s v="-"/>
    <n v="3921.2315243999997"/>
    <s v="-"/>
    <n v="0"/>
    <s v="-"/>
    <n v="0"/>
    <m/>
    <n v="3921.2315243999997"/>
    <m/>
    <m/>
    <m/>
    <m/>
    <n v="0"/>
    <m/>
    <n v="4090.4491325399999"/>
    <m/>
    <n v="0"/>
    <m/>
    <n v="0"/>
    <m/>
    <n v="4090.4491325399999"/>
    <m/>
    <m/>
    <m/>
    <m/>
    <n v="0"/>
    <m/>
    <n v="4355.4976727399999"/>
    <m/>
    <n v="0"/>
    <m/>
    <n v="0"/>
    <m/>
    <n v="4355.4976727399999"/>
    <m/>
    <m/>
    <m/>
    <m/>
    <n v="0"/>
    <n v="0"/>
    <n v="0"/>
    <n v="0"/>
    <n v="0"/>
    <n v="0"/>
    <n v="0"/>
    <n v="0"/>
    <n v="0"/>
    <m/>
    <n v="0"/>
    <n v="12367.17832968"/>
    <m/>
    <m/>
    <s v="People in prisons and other closed settings"/>
    <s v="HIV"/>
    <x v="1"/>
  </r>
  <r>
    <n v="938"/>
    <x v="7"/>
    <x v="25"/>
    <s v="PSM costs for People in prisons and other closed settings"/>
    <x v="2"/>
    <m/>
    <m/>
    <m/>
    <m/>
    <m/>
    <m/>
    <m/>
    <m/>
    <m/>
    <s v="-"/>
    <n v="0"/>
    <s v="-"/>
    <n v="6.5353858740000006E-12"/>
    <s v="-"/>
    <n v="0"/>
    <s v="-"/>
    <n v="0"/>
    <m/>
    <n v="6.5353858740000006E-12"/>
    <m/>
    <m/>
    <m/>
    <m/>
    <n v="0"/>
    <m/>
    <n v="6.8174152209000004E-12"/>
    <m/>
    <n v="0"/>
    <m/>
    <n v="0"/>
    <m/>
    <n v="6.8174152209000004E-12"/>
    <m/>
    <m/>
    <m/>
    <m/>
    <n v="0"/>
    <m/>
    <n v="7.2591627878999995E-12"/>
    <m/>
    <n v="0"/>
    <m/>
    <n v="0"/>
    <m/>
    <n v="7.2591627878999995E-12"/>
    <m/>
    <m/>
    <m/>
    <m/>
    <n v="0"/>
    <n v="0"/>
    <n v="0"/>
    <n v="0"/>
    <n v="0"/>
    <n v="0"/>
    <n v="0"/>
    <n v="0"/>
    <n v="0"/>
    <m/>
    <n v="0"/>
    <n v="2.0611963882800001E-11"/>
    <m/>
    <m/>
    <s v="People in prisons and other closed settings"/>
    <s v="HIV"/>
    <x v="1"/>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60"/>
    <x v="7"/>
    <x v="25"/>
    <s v="Procurement of RDTs to diagnose HIV, co-infections, and co-morbidities for Other vulnerable populations"/>
    <x v="11"/>
    <m/>
    <m/>
    <m/>
    <m/>
    <m/>
    <m/>
    <m/>
    <m/>
    <m/>
    <s v="-"/>
    <n v="0"/>
    <s v="-"/>
    <n v="2819.8744399999996"/>
    <s v="-"/>
    <n v="0"/>
    <s v="-"/>
    <n v="0"/>
    <m/>
    <n v="2819.8744399999996"/>
    <m/>
    <m/>
    <m/>
    <m/>
    <n v="0"/>
    <m/>
    <n v="2950.7927710000004"/>
    <m/>
    <n v="0"/>
    <m/>
    <n v="0"/>
    <m/>
    <n v="2950.7927710000004"/>
    <m/>
    <m/>
    <m/>
    <m/>
    <n v="0"/>
    <m/>
    <n v="3139.2289209999999"/>
    <m/>
    <n v="0"/>
    <m/>
    <n v="0"/>
    <m/>
    <n v="3139.2289209999999"/>
    <m/>
    <m/>
    <m/>
    <m/>
    <n v="0"/>
    <n v="0"/>
    <n v="0"/>
    <n v="0"/>
    <n v="0"/>
    <n v="0"/>
    <n v="0"/>
    <n v="0"/>
    <n v="0"/>
    <m/>
    <n v="0"/>
    <n v="8909.8961319999999"/>
    <m/>
    <m/>
    <s v="Other vulnerable populations"/>
    <s v="HIV"/>
    <x v="22"/>
  </r>
  <r>
    <n v="961"/>
    <x v="7"/>
    <x v="25"/>
    <s v="PSM costs for Other vulnerable populations"/>
    <x v="1"/>
    <m/>
    <m/>
    <m/>
    <m/>
    <m/>
    <m/>
    <m/>
    <m/>
    <m/>
    <s v="-"/>
    <n v="0"/>
    <s v="-"/>
    <n v="169.19246639999997"/>
    <s v="-"/>
    <n v="0"/>
    <s v="-"/>
    <n v="0"/>
    <m/>
    <n v="169.19246639999997"/>
    <m/>
    <m/>
    <m/>
    <m/>
    <n v="0"/>
    <m/>
    <n v="177.04756626"/>
    <m/>
    <n v="0"/>
    <m/>
    <n v="0"/>
    <m/>
    <n v="177.04756626"/>
    <m/>
    <m/>
    <m/>
    <m/>
    <n v="0"/>
    <m/>
    <n v="188.35373525999998"/>
    <m/>
    <n v="0"/>
    <m/>
    <n v="0"/>
    <m/>
    <n v="188.35373525999998"/>
    <m/>
    <m/>
    <m/>
    <m/>
    <n v="0"/>
    <n v="0"/>
    <n v="0"/>
    <n v="0"/>
    <n v="0"/>
    <n v="0"/>
    <n v="0"/>
    <n v="0"/>
    <n v="0"/>
    <m/>
    <n v="0"/>
    <n v="534.59376791999989"/>
    <m/>
    <m/>
    <s v="Other vulnerable populations"/>
    <s v="HIV"/>
    <x v="1"/>
  </r>
  <r>
    <n v="962"/>
    <x v="7"/>
    <x v="25"/>
    <s v="PSM costs for Other vulnerable populations"/>
    <x v="2"/>
    <m/>
    <m/>
    <m/>
    <m/>
    <m/>
    <m/>
    <m/>
    <m/>
    <m/>
    <s v="-"/>
    <n v="0"/>
    <s v="-"/>
    <n v="2.8198744399999997E-13"/>
    <s v="-"/>
    <n v="0"/>
    <s v="-"/>
    <n v="0"/>
    <m/>
    <n v="2.8198744399999997E-13"/>
    <m/>
    <m/>
    <m/>
    <m/>
    <n v="0"/>
    <m/>
    <n v="2.9507927710000001E-13"/>
    <m/>
    <n v="0"/>
    <m/>
    <n v="0"/>
    <m/>
    <n v="2.9507927710000001E-13"/>
    <m/>
    <m/>
    <m/>
    <m/>
    <n v="0"/>
    <m/>
    <n v="3.1392289209999994E-13"/>
    <m/>
    <n v="0"/>
    <m/>
    <n v="0"/>
    <m/>
    <n v="3.1392289209999994E-13"/>
    <m/>
    <m/>
    <m/>
    <m/>
    <n v="0"/>
    <n v="0"/>
    <n v="0"/>
    <n v="0"/>
    <n v="0"/>
    <n v="0"/>
    <n v="0"/>
    <n v="0"/>
    <n v="0"/>
    <m/>
    <n v="0"/>
    <n v="8.9098961319999998E-13"/>
    <m/>
    <m/>
    <s v="Other vulnerable populations"/>
    <s v="HIV"/>
    <x v="1"/>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32"/>
    <x v="7"/>
    <x v="25"/>
    <s v="Procurement of RDTs to diagnose HIV, co-infections, and co-morbidities for Partners of people living with HIV"/>
    <x v="11"/>
    <m/>
    <m/>
    <m/>
    <m/>
    <m/>
    <m/>
    <m/>
    <m/>
    <m/>
    <s v="-"/>
    <n v="0"/>
    <s v="-"/>
    <n v="7873.8279589089998"/>
    <s v="-"/>
    <n v="0"/>
    <s v="-"/>
    <n v="0"/>
    <m/>
    <n v="7873.8279589089998"/>
    <m/>
    <m/>
    <m/>
    <m/>
    <n v="0"/>
    <m/>
    <n v="8221.7110031657994"/>
    <m/>
    <n v="0"/>
    <m/>
    <n v="0"/>
    <m/>
    <n v="8221.7110031657994"/>
    <m/>
    <m/>
    <m/>
    <m/>
    <n v="0"/>
    <m/>
    <n v="8752.0265380588007"/>
    <m/>
    <n v="0"/>
    <m/>
    <n v="0"/>
    <m/>
    <n v="8752.0265380588007"/>
    <m/>
    <m/>
    <m/>
    <m/>
    <n v="0"/>
    <n v="0"/>
    <n v="0"/>
    <n v="0"/>
    <n v="0"/>
    <n v="0"/>
    <n v="0"/>
    <n v="0"/>
    <n v="0"/>
    <m/>
    <n v="0"/>
    <n v="24847.565500133598"/>
    <m/>
    <m/>
    <s v="Men in high prevalence settings"/>
    <s v="HIV"/>
    <x v="22"/>
  </r>
  <r>
    <n v="1033"/>
    <x v="7"/>
    <x v="25"/>
    <s v="PSM costs for Partners of people living with HIV"/>
    <x v="1"/>
    <m/>
    <m/>
    <m/>
    <m/>
    <m/>
    <m/>
    <m/>
    <m/>
    <m/>
    <s v="-"/>
    <n v="0"/>
    <s v="-"/>
    <n v="472.42967753453996"/>
    <s v="-"/>
    <n v="0"/>
    <s v="-"/>
    <n v="0"/>
    <m/>
    <n v="472.42967753453996"/>
    <m/>
    <m/>
    <m/>
    <m/>
    <n v="0"/>
    <m/>
    <n v="493.30266018994797"/>
    <m/>
    <n v="0"/>
    <m/>
    <n v="0"/>
    <m/>
    <n v="493.30266018994797"/>
    <m/>
    <m/>
    <m/>
    <m/>
    <n v="0"/>
    <m/>
    <n v="525.121592283528"/>
    <m/>
    <n v="0"/>
    <m/>
    <n v="0"/>
    <m/>
    <n v="525.121592283528"/>
    <m/>
    <m/>
    <m/>
    <m/>
    <n v="0"/>
    <n v="0"/>
    <n v="0"/>
    <n v="0"/>
    <n v="0"/>
    <n v="0"/>
    <n v="0"/>
    <n v="0"/>
    <n v="0"/>
    <m/>
    <n v="0"/>
    <n v="1490.8539300080158"/>
    <m/>
    <m/>
    <s v="Partners of people living with HIV"/>
    <s v="HIV"/>
    <x v="1"/>
  </r>
  <r>
    <n v="1034"/>
    <x v="7"/>
    <x v="25"/>
    <s v="PSM costs for Partners of people living with HIV"/>
    <x v="2"/>
    <m/>
    <m/>
    <m/>
    <m/>
    <m/>
    <m/>
    <m/>
    <m/>
    <m/>
    <s v="-"/>
    <n v="0"/>
    <s v="-"/>
    <n v="7.8738279589089986E-13"/>
    <s v="-"/>
    <n v="0"/>
    <s v="-"/>
    <n v="0"/>
    <m/>
    <n v="7.8738279589089986E-13"/>
    <m/>
    <m/>
    <m/>
    <m/>
    <n v="0"/>
    <m/>
    <n v="8.2217110031658E-13"/>
    <m/>
    <n v="0"/>
    <m/>
    <n v="0"/>
    <m/>
    <n v="8.2217110031658E-13"/>
    <m/>
    <m/>
    <m/>
    <m/>
    <n v="0"/>
    <m/>
    <n v="8.7520265380587987E-13"/>
    <m/>
    <n v="0"/>
    <m/>
    <n v="0"/>
    <m/>
    <n v="8.7520265380587987E-13"/>
    <m/>
    <m/>
    <m/>
    <m/>
    <n v="0"/>
    <n v="0"/>
    <n v="0"/>
    <n v="0"/>
    <n v="0"/>
    <n v="0"/>
    <n v="0"/>
    <n v="0"/>
    <n v="0"/>
    <m/>
    <n v="0"/>
    <n v="2.4847565500133597E-12"/>
    <m/>
    <m/>
    <s v="Partners of people living with HIV"/>
    <s v="HIV"/>
    <x v="1"/>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48"/>
    <x v="7"/>
    <x v="27"/>
    <s v="Procurement of RDTs to diagnose HIV, co-infections, and co-morbidities for Partners of people living with HIV"/>
    <x v="11"/>
    <m/>
    <m/>
    <m/>
    <m/>
    <m/>
    <m/>
    <m/>
    <m/>
    <m/>
    <s v="-"/>
    <n v="0"/>
    <s v="-"/>
    <n v="17849.229731091"/>
    <s v="-"/>
    <n v="0"/>
    <s v="-"/>
    <n v="0"/>
    <m/>
    <n v="17849.229731091"/>
    <m/>
    <m/>
    <m/>
    <m/>
    <n v="0"/>
    <m/>
    <n v="18637.8479748342"/>
    <m/>
    <n v="0"/>
    <m/>
    <n v="0"/>
    <m/>
    <n v="18637.8479748342"/>
    <m/>
    <m/>
    <m/>
    <m/>
    <n v="0"/>
    <m/>
    <n v="19840.023569941201"/>
    <m/>
    <n v="0"/>
    <m/>
    <n v="0"/>
    <m/>
    <n v="19840.023569941201"/>
    <m/>
    <m/>
    <m/>
    <m/>
    <n v="0"/>
    <n v="0"/>
    <n v="0"/>
    <n v="0"/>
    <n v="0"/>
    <n v="0"/>
    <n v="0"/>
    <n v="0"/>
    <n v="0"/>
    <m/>
    <n v="0"/>
    <n v="56327.1012758664"/>
    <m/>
    <m/>
    <s v="Partners of people living with HIV"/>
    <s v="HIV"/>
    <x v="22"/>
  </r>
  <r>
    <n v="1049"/>
    <x v="7"/>
    <x v="27"/>
    <s v="PSM costs for Partners of people living with HIV"/>
    <x v="1"/>
    <m/>
    <m/>
    <m/>
    <m/>
    <m/>
    <m/>
    <m/>
    <m/>
    <m/>
    <s v="-"/>
    <n v="0"/>
    <s v="-"/>
    <n v="1070.9537838654599"/>
    <s v="-"/>
    <n v="0"/>
    <s v="-"/>
    <n v="0"/>
    <m/>
    <n v="1070.9537838654599"/>
    <m/>
    <m/>
    <m/>
    <m/>
    <n v="0"/>
    <m/>
    <n v="1118.2708784900519"/>
    <m/>
    <n v="0"/>
    <m/>
    <n v="0"/>
    <m/>
    <n v="1118.2708784900519"/>
    <m/>
    <m/>
    <m/>
    <m/>
    <n v="0"/>
    <m/>
    <n v="1190.4014141964719"/>
    <m/>
    <n v="0"/>
    <m/>
    <n v="0"/>
    <m/>
    <n v="1190.4014141964719"/>
    <m/>
    <m/>
    <m/>
    <m/>
    <n v="0"/>
    <n v="0"/>
    <n v="0"/>
    <n v="0"/>
    <n v="0"/>
    <n v="0"/>
    <n v="0"/>
    <n v="0"/>
    <n v="0"/>
    <m/>
    <n v="0"/>
    <n v="3379.6260765519837"/>
    <m/>
    <m/>
    <s v="Partners of people living with HIV"/>
    <s v="HIV"/>
    <x v="1"/>
  </r>
  <r>
    <n v="1050"/>
    <x v="7"/>
    <x v="27"/>
    <s v="PSM costs for Partners of people living with HIV"/>
    <x v="2"/>
    <m/>
    <m/>
    <m/>
    <m/>
    <m/>
    <m/>
    <m/>
    <m/>
    <m/>
    <s v="-"/>
    <n v="0"/>
    <s v="-"/>
    <n v="1.7849229731090998E-12"/>
    <s v="-"/>
    <n v="0"/>
    <s v="-"/>
    <n v="0"/>
    <m/>
    <n v="1.7849229731090998E-12"/>
    <m/>
    <m/>
    <m/>
    <m/>
    <n v="0"/>
    <m/>
    <n v="1.86378479748342E-12"/>
    <m/>
    <n v="0"/>
    <m/>
    <n v="0"/>
    <m/>
    <n v="1.86378479748342E-12"/>
    <m/>
    <m/>
    <m/>
    <m/>
    <n v="0"/>
    <m/>
    <n v="1.9840023569941196E-12"/>
    <m/>
    <n v="0"/>
    <m/>
    <n v="0"/>
    <m/>
    <n v="1.9840023569941196E-12"/>
    <m/>
    <m/>
    <m/>
    <m/>
    <n v="0"/>
    <n v="0"/>
    <n v="0"/>
    <n v="0"/>
    <n v="0"/>
    <n v="0"/>
    <n v="0"/>
    <n v="0"/>
    <n v="0"/>
    <m/>
    <n v="0"/>
    <n v="5.6327101275866396E-12"/>
    <m/>
    <m/>
    <s v="Partners of people living with HIV"/>
    <s v="HIV"/>
    <x v="1"/>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72"/>
    <x v="7"/>
    <x v="27"/>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73"/>
    <x v="7"/>
    <x v="27"/>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74"/>
    <x v="7"/>
    <x v="27"/>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75"/>
    <x v="7"/>
    <x v="27"/>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76"/>
    <x v="7"/>
    <x v="27"/>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77"/>
    <x v="7"/>
    <x v="27"/>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78"/>
    <x v="7"/>
    <x v="27"/>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79"/>
    <x v="7"/>
    <x v="27"/>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80"/>
    <x v="8"/>
    <x v="28"/>
    <s v="Procurement of Antiretroviral medicines"/>
    <x v="23"/>
    <m/>
    <m/>
    <m/>
    <m/>
    <m/>
    <m/>
    <m/>
    <m/>
    <m/>
    <s v="-"/>
    <n v="0"/>
    <s v="-"/>
    <n v="0"/>
    <s v="-"/>
    <n v="0"/>
    <s v="-"/>
    <n v="0"/>
    <m/>
    <n v="0"/>
    <m/>
    <m/>
    <m/>
    <m/>
    <n v="0"/>
    <m/>
    <n v="0"/>
    <m/>
    <n v="0"/>
    <m/>
    <n v="0"/>
    <m/>
    <n v="0"/>
    <m/>
    <m/>
    <m/>
    <m/>
    <n v="0"/>
    <m/>
    <n v="0"/>
    <m/>
    <n v="0"/>
    <m/>
    <n v="0"/>
    <m/>
    <n v="0"/>
    <m/>
    <m/>
    <m/>
    <m/>
    <n v="0"/>
    <n v="0"/>
    <n v="0"/>
    <n v="0"/>
    <n v="0"/>
    <n v="0"/>
    <n v="0"/>
    <n v="0"/>
    <n v="0"/>
    <m/>
    <n v="0"/>
    <n v="0"/>
    <m/>
    <m/>
    <n v="0"/>
    <s v="HIV"/>
    <x v="23"/>
  </r>
  <r>
    <n v="1083"/>
    <x v="8"/>
    <x v="28"/>
    <s v="Procurement of CD4 machines and accessories"/>
    <x v="24"/>
    <m/>
    <m/>
    <m/>
    <m/>
    <m/>
    <m/>
    <m/>
    <m/>
    <m/>
    <s v="-"/>
    <n v="0"/>
    <s v="-"/>
    <n v="0"/>
    <s v="-"/>
    <n v="0"/>
    <s v="-"/>
    <n v="0"/>
    <m/>
    <n v="0"/>
    <m/>
    <m/>
    <m/>
    <m/>
    <n v="0"/>
    <m/>
    <n v="0"/>
    <m/>
    <n v="0"/>
    <m/>
    <n v="0"/>
    <m/>
    <n v="0"/>
    <m/>
    <m/>
    <m/>
    <m/>
    <n v="0"/>
    <m/>
    <n v="0"/>
    <m/>
    <n v="0"/>
    <m/>
    <n v="0"/>
    <m/>
    <n v="0"/>
    <m/>
    <m/>
    <m/>
    <m/>
    <n v="0"/>
    <n v="0"/>
    <n v="0"/>
    <n v="0"/>
    <n v="0"/>
    <n v="0"/>
    <n v="0"/>
    <n v="0"/>
    <n v="0"/>
    <m/>
    <n v="0"/>
    <n v="0"/>
    <m/>
    <m/>
    <n v="0"/>
    <s v="HIV"/>
    <x v="24"/>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n v="0"/>
    <s v="HIV"/>
    <x v="25"/>
  </r>
  <r>
    <n v="1085"/>
    <x v="8"/>
    <x v="28"/>
    <s v="Procurement of TB Molecular Test equipment"/>
    <x v="15"/>
    <m/>
    <m/>
    <m/>
    <m/>
    <m/>
    <m/>
    <m/>
    <m/>
    <m/>
    <s v="-"/>
    <n v="0"/>
    <s v="-"/>
    <n v="0"/>
    <s v="-"/>
    <n v="0"/>
    <s v="-"/>
    <n v="0"/>
    <m/>
    <n v="0"/>
    <m/>
    <m/>
    <m/>
    <m/>
    <n v="0"/>
    <m/>
    <n v="0"/>
    <m/>
    <n v="0"/>
    <m/>
    <n v="0"/>
    <m/>
    <n v="0"/>
    <m/>
    <m/>
    <m/>
    <m/>
    <n v="0"/>
    <m/>
    <n v="0"/>
    <m/>
    <n v="0"/>
    <m/>
    <n v="0"/>
    <m/>
    <n v="0"/>
    <m/>
    <m/>
    <m/>
    <m/>
    <n v="0"/>
    <n v="0"/>
    <n v="0"/>
    <n v="0"/>
    <n v="0"/>
    <n v="0"/>
    <n v="0"/>
    <n v="0"/>
    <n v="0"/>
    <m/>
    <n v="0"/>
    <n v="0"/>
    <m/>
    <m/>
    <n v="0"/>
    <s v="HIV"/>
    <x v="13"/>
  </r>
  <r>
    <n v="1086"/>
    <x v="8"/>
    <x v="28"/>
    <s v="Maintenance and service contracts"/>
    <x v="16"/>
    <m/>
    <m/>
    <m/>
    <m/>
    <m/>
    <m/>
    <m/>
    <m/>
    <m/>
    <s v="-"/>
    <n v="0"/>
    <s v="-"/>
    <n v="0"/>
    <s v="-"/>
    <n v="0"/>
    <s v="-"/>
    <n v="0"/>
    <m/>
    <n v="0"/>
    <m/>
    <m/>
    <m/>
    <m/>
    <n v="0"/>
    <m/>
    <n v="0"/>
    <m/>
    <n v="0"/>
    <m/>
    <n v="0"/>
    <m/>
    <n v="0"/>
    <m/>
    <m/>
    <m/>
    <m/>
    <n v="0"/>
    <m/>
    <n v="0"/>
    <m/>
    <n v="0"/>
    <m/>
    <n v="0"/>
    <m/>
    <n v="0"/>
    <m/>
    <m/>
    <m/>
    <m/>
    <n v="0"/>
    <n v="0"/>
    <n v="0"/>
    <n v="0"/>
    <n v="0"/>
    <n v="0"/>
    <n v="0"/>
    <n v="0"/>
    <n v="0"/>
    <m/>
    <n v="0"/>
    <n v="0"/>
    <m/>
    <m/>
    <n v="0"/>
    <s v="HIV"/>
    <x v="14"/>
  </r>
  <r>
    <n v="1087"/>
    <x v="8"/>
    <x v="28"/>
    <s v="Procurement of other health equipment"/>
    <x v="9"/>
    <m/>
    <m/>
    <m/>
    <m/>
    <m/>
    <m/>
    <m/>
    <m/>
    <m/>
    <s v="-"/>
    <n v="0"/>
    <s v="-"/>
    <n v="255000"/>
    <s v="-"/>
    <n v="0"/>
    <s v="-"/>
    <n v="0"/>
    <m/>
    <n v="255000"/>
    <m/>
    <m/>
    <m/>
    <m/>
    <n v="0"/>
    <m/>
    <n v="0"/>
    <m/>
    <n v="0"/>
    <m/>
    <n v="0"/>
    <m/>
    <n v="0"/>
    <m/>
    <m/>
    <m/>
    <m/>
    <n v="0"/>
    <m/>
    <n v="0"/>
    <m/>
    <n v="0"/>
    <m/>
    <n v="0"/>
    <m/>
    <n v="0"/>
    <m/>
    <m/>
    <m/>
    <m/>
    <n v="0"/>
    <n v="0"/>
    <n v="0"/>
    <n v="0"/>
    <n v="0"/>
    <n v="0"/>
    <n v="0"/>
    <n v="0"/>
    <n v="0"/>
    <m/>
    <n v="0"/>
    <n v="255000"/>
    <m/>
    <m/>
    <n v="0"/>
    <s v="HIV"/>
    <x v="8"/>
  </r>
  <r>
    <n v="1088"/>
    <x v="8"/>
    <x v="28"/>
    <s v="Procurement of laboratory reagents"/>
    <x v="14"/>
    <m/>
    <m/>
    <m/>
    <m/>
    <m/>
    <m/>
    <m/>
    <m/>
    <m/>
    <s v="-"/>
    <n v="0"/>
    <s v="-"/>
    <n v="380413.43999999994"/>
    <s v="-"/>
    <n v="1136451"/>
    <s v="-"/>
    <n v="0"/>
    <m/>
    <n v="1516864.44"/>
    <m/>
    <m/>
    <m/>
    <m/>
    <n v="0"/>
    <m/>
    <n v="1644015.38"/>
    <m/>
    <n v="0"/>
    <m/>
    <n v="0"/>
    <m/>
    <n v="1644015.38"/>
    <m/>
    <m/>
    <m/>
    <m/>
    <n v="0"/>
    <m/>
    <n v="1789812.6"/>
    <m/>
    <n v="0"/>
    <m/>
    <n v="0"/>
    <m/>
    <n v="1789812.6"/>
    <m/>
    <m/>
    <m/>
    <m/>
    <n v="0"/>
    <n v="0"/>
    <n v="0"/>
    <n v="0"/>
    <n v="0"/>
    <n v="0"/>
    <n v="0"/>
    <n v="0"/>
    <n v="0"/>
    <m/>
    <n v="0"/>
    <n v="4950692.42"/>
    <m/>
    <m/>
    <n v="0"/>
    <s v="HIV"/>
    <x v="10"/>
  </r>
  <r>
    <n v="1089"/>
    <x v="8"/>
    <x v="28"/>
    <s v="Procurement of consumables"/>
    <x v="13"/>
    <m/>
    <m/>
    <m/>
    <m/>
    <m/>
    <m/>
    <m/>
    <m/>
    <m/>
    <s v="-"/>
    <n v="0"/>
    <s v="-"/>
    <n v="0"/>
    <s v="-"/>
    <n v="185894"/>
    <s v="-"/>
    <n v="0"/>
    <m/>
    <n v="185894"/>
    <m/>
    <m/>
    <m/>
    <m/>
    <n v="0"/>
    <m/>
    <n v="187954"/>
    <m/>
    <n v="0"/>
    <m/>
    <n v="0"/>
    <m/>
    <n v="187954"/>
    <m/>
    <m/>
    <m/>
    <m/>
    <n v="0"/>
    <m/>
    <n v="191044"/>
    <m/>
    <n v="0"/>
    <m/>
    <n v="0"/>
    <m/>
    <n v="191044"/>
    <m/>
    <m/>
    <m/>
    <m/>
    <n v="0"/>
    <n v="0"/>
    <n v="0"/>
    <n v="0"/>
    <n v="0"/>
    <n v="0"/>
    <n v="0"/>
    <n v="0"/>
    <n v="0"/>
    <m/>
    <n v="0"/>
    <n v="564892"/>
    <m/>
    <m/>
    <n v="0"/>
    <s v="HIV"/>
    <x v="9"/>
  </r>
  <r>
    <n v="1090"/>
    <x v="8"/>
    <x v="28"/>
    <s v="PSM Costs"/>
    <x v="1"/>
    <m/>
    <m/>
    <m/>
    <m/>
    <m/>
    <m/>
    <m/>
    <m/>
    <m/>
    <s v="-"/>
    <n v="0"/>
    <s v="-"/>
    <n v="38124.806399999994"/>
    <s v="-"/>
    <n v="79340.7"/>
    <s v="-"/>
    <n v="0"/>
    <m/>
    <n v="117465.50639999998"/>
    <m/>
    <m/>
    <m/>
    <m/>
    <n v="0"/>
    <m/>
    <n v="109918.16279999999"/>
    <m/>
    <n v="0"/>
    <m/>
    <n v="0"/>
    <m/>
    <n v="109918.16279999999"/>
    <m/>
    <m/>
    <m/>
    <m/>
    <n v="0"/>
    <m/>
    <n v="118851.39599999999"/>
    <m/>
    <n v="0"/>
    <m/>
    <n v="0"/>
    <m/>
    <n v="118851.39599999999"/>
    <m/>
    <m/>
    <m/>
    <m/>
    <n v="0"/>
    <n v="0"/>
    <n v="0"/>
    <n v="0"/>
    <n v="0"/>
    <n v="0"/>
    <n v="0"/>
    <n v="0"/>
    <n v="0"/>
    <m/>
    <n v="0"/>
    <n v="346235.06519999995"/>
    <m/>
    <m/>
    <n v="0"/>
    <s v="HIV"/>
    <x v="1"/>
  </r>
  <r>
    <n v="1091"/>
    <x v="8"/>
    <x v="28"/>
    <s v="PSM Costs"/>
    <x v="2"/>
    <m/>
    <m/>
    <m/>
    <m/>
    <m/>
    <m/>
    <m/>
    <m/>
    <m/>
    <s v="-"/>
    <n v="0"/>
    <s v="-"/>
    <n v="6.3541343999999995E-11"/>
    <s v="-"/>
    <n v="1.322345E-10"/>
    <s v="-"/>
    <n v="0"/>
    <m/>
    <n v="1.95775844E-10"/>
    <m/>
    <m/>
    <m/>
    <m/>
    <n v="0"/>
    <m/>
    <n v="1.8319693799999998E-10"/>
    <m/>
    <n v="0"/>
    <m/>
    <n v="0"/>
    <m/>
    <n v="1.8319693799999998E-10"/>
    <m/>
    <m/>
    <m/>
    <m/>
    <n v="0"/>
    <m/>
    <n v="1.9808565999999999E-10"/>
    <m/>
    <n v="0"/>
    <m/>
    <n v="0"/>
    <m/>
    <n v="1.9808565999999999E-10"/>
    <m/>
    <m/>
    <m/>
    <m/>
    <n v="0"/>
    <n v="0"/>
    <n v="0"/>
    <n v="0"/>
    <n v="0"/>
    <n v="0"/>
    <n v="0"/>
    <n v="0"/>
    <n v="0"/>
    <m/>
    <n v="0"/>
    <n v="5.7705844199999994E-10"/>
    <m/>
    <m/>
    <n v="0"/>
    <s v="HIV"/>
    <x v="1"/>
  </r>
  <r>
    <n v="1092"/>
    <x v="8"/>
    <x v="28"/>
    <s v="PSM Costs"/>
    <x v="3"/>
    <m/>
    <m/>
    <m/>
    <m/>
    <m/>
    <m/>
    <m/>
    <m/>
    <m/>
    <s v="-"/>
    <n v="0"/>
    <s v="-"/>
    <n v="0"/>
    <s v="-"/>
    <n v="0"/>
    <s v="-"/>
    <n v="0"/>
    <m/>
    <n v="0"/>
    <m/>
    <m/>
    <m/>
    <m/>
    <n v="0"/>
    <m/>
    <n v="0"/>
    <m/>
    <n v="0"/>
    <m/>
    <n v="0"/>
    <m/>
    <n v="0"/>
    <m/>
    <m/>
    <m/>
    <m/>
    <n v="0"/>
    <m/>
    <n v="0"/>
    <m/>
    <n v="0"/>
    <m/>
    <n v="0"/>
    <m/>
    <n v="0"/>
    <m/>
    <m/>
    <m/>
    <m/>
    <n v="0"/>
    <n v="0"/>
    <n v="0"/>
    <n v="0"/>
    <n v="0"/>
    <n v="0"/>
    <n v="0"/>
    <n v="0"/>
    <n v="0"/>
    <m/>
    <n v="0"/>
    <n v="0"/>
    <m/>
    <m/>
    <n v="0"/>
    <s v="HIV"/>
    <x v="1"/>
  </r>
  <r>
    <n v="1093"/>
    <x v="8"/>
    <x v="28"/>
    <s v="PSM Costs"/>
    <x v="4"/>
    <m/>
    <m/>
    <m/>
    <m/>
    <m/>
    <m/>
    <m/>
    <m/>
    <m/>
    <s v="-"/>
    <n v="0"/>
    <s v="-"/>
    <n v="0"/>
    <s v="-"/>
    <n v="0"/>
    <s v="-"/>
    <n v="0"/>
    <m/>
    <n v="0"/>
    <m/>
    <m/>
    <m/>
    <m/>
    <n v="0"/>
    <m/>
    <n v="0"/>
    <m/>
    <n v="0"/>
    <m/>
    <n v="0"/>
    <m/>
    <n v="0"/>
    <m/>
    <m/>
    <m/>
    <m/>
    <n v="0"/>
    <m/>
    <n v="0"/>
    <m/>
    <n v="0"/>
    <m/>
    <n v="0"/>
    <m/>
    <n v="0"/>
    <m/>
    <m/>
    <m/>
    <m/>
    <n v="0"/>
    <n v="0"/>
    <n v="0"/>
    <n v="0"/>
    <n v="0"/>
    <n v="0"/>
    <n v="0"/>
    <n v="0"/>
    <n v="0"/>
    <m/>
    <n v="0"/>
    <n v="0"/>
    <m/>
    <m/>
    <n v="0"/>
    <s v="HIV"/>
    <x v="1"/>
  </r>
  <r>
    <n v="1094"/>
    <x v="8"/>
    <x v="28"/>
    <s v="PSM Costs"/>
    <x v="5"/>
    <m/>
    <m/>
    <m/>
    <m/>
    <m/>
    <m/>
    <m/>
    <m/>
    <m/>
    <s v="-"/>
    <n v="0"/>
    <s v="-"/>
    <n v="0"/>
    <s v="-"/>
    <n v="0"/>
    <s v="-"/>
    <n v="0"/>
    <m/>
    <n v="0"/>
    <m/>
    <m/>
    <m/>
    <m/>
    <n v="0"/>
    <m/>
    <n v="0"/>
    <m/>
    <n v="0"/>
    <m/>
    <n v="0"/>
    <m/>
    <n v="0"/>
    <m/>
    <m/>
    <m/>
    <m/>
    <n v="0"/>
    <m/>
    <n v="0"/>
    <m/>
    <n v="0"/>
    <m/>
    <n v="0"/>
    <m/>
    <n v="0"/>
    <m/>
    <m/>
    <m/>
    <m/>
    <n v="0"/>
    <n v="0"/>
    <n v="0"/>
    <n v="0"/>
    <n v="0"/>
    <n v="0"/>
    <n v="0"/>
    <n v="0"/>
    <n v="0"/>
    <m/>
    <n v="0"/>
    <n v="0"/>
    <m/>
    <m/>
    <n v="0"/>
    <s v="HIV"/>
    <x v="1"/>
  </r>
  <r>
    <n v="1095"/>
    <x v="8"/>
    <x v="28"/>
    <s v="PSM Costs"/>
    <x v="6"/>
    <m/>
    <m/>
    <m/>
    <m/>
    <m/>
    <m/>
    <m/>
    <m/>
    <m/>
    <s v="-"/>
    <n v="0"/>
    <s v="-"/>
    <n v="0"/>
    <s v="-"/>
    <n v="0"/>
    <s v="-"/>
    <n v="0"/>
    <m/>
    <n v="0"/>
    <m/>
    <m/>
    <m/>
    <m/>
    <n v="0"/>
    <m/>
    <n v="0"/>
    <m/>
    <n v="0"/>
    <m/>
    <n v="0"/>
    <m/>
    <n v="0"/>
    <m/>
    <m/>
    <m/>
    <m/>
    <n v="0"/>
    <m/>
    <n v="0"/>
    <m/>
    <n v="0"/>
    <m/>
    <n v="0"/>
    <m/>
    <n v="0"/>
    <m/>
    <m/>
    <m/>
    <m/>
    <n v="0"/>
    <n v="0"/>
    <n v="0"/>
    <n v="0"/>
    <n v="0"/>
    <n v="0"/>
    <n v="0"/>
    <n v="0"/>
    <n v="0"/>
    <m/>
    <n v="0"/>
    <n v="0"/>
    <m/>
    <m/>
    <n v="0"/>
    <s v="HIV"/>
    <x v="1"/>
  </r>
  <r>
    <n v="1096"/>
    <x v="8"/>
    <x v="28"/>
    <s v="PSM Costs"/>
    <x v="7"/>
    <m/>
    <m/>
    <m/>
    <m/>
    <m/>
    <m/>
    <m/>
    <m/>
    <m/>
    <s v="-"/>
    <n v="0"/>
    <s v="-"/>
    <n v="0"/>
    <s v="-"/>
    <n v="0"/>
    <s v="-"/>
    <n v="0"/>
    <m/>
    <n v="0"/>
    <m/>
    <m/>
    <m/>
    <m/>
    <n v="0"/>
    <m/>
    <n v="0"/>
    <m/>
    <n v="0"/>
    <m/>
    <n v="0"/>
    <m/>
    <n v="0"/>
    <m/>
    <m/>
    <m/>
    <m/>
    <n v="0"/>
    <m/>
    <n v="0"/>
    <m/>
    <n v="0"/>
    <m/>
    <n v="0"/>
    <m/>
    <n v="0"/>
    <m/>
    <m/>
    <m/>
    <m/>
    <n v="0"/>
    <n v="0"/>
    <n v="0"/>
    <n v="0"/>
    <n v="0"/>
    <n v="0"/>
    <n v="0"/>
    <n v="0"/>
    <n v="0"/>
    <m/>
    <n v="0"/>
    <n v="0"/>
    <m/>
    <m/>
    <n v="0"/>
    <s v="HIV"/>
    <x v="1"/>
  </r>
  <r>
    <n v="1109"/>
    <x v="8"/>
    <x v="29"/>
    <s v="Procurement of OI and STI medicines"/>
    <x v="26"/>
    <m/>
    <m/>
    <m/>
    <m/>
    <m/>
    <m/>
    <m/>
    <m/>
    <m/>
    <s v="-"/>
    <n v="0"/>
    <s v="-"/>
    <n v="88680"/>
    <s v="-"/>
    <n v="0"/>
    <s v="-"/>
    <n v="0"/>
    <m/>
    <n v="88680"/>
    <m/>
    <m/>
    <m/>
    <m/>
    <n v="0"/>
    <m/>
    <n v="88680"/>
    <m/>
    <n v="0"/>
    <m/>
    <n v="0"/>
    <m/>
    <n v="88680"/>
    <m/>
    <m/>
    <m/>
    <m/>
    <n v="0"/>
    <m/>
    <n v="88680"/>
    <m/>
    <n v="0"/>
    <m/>
    <n v="0"/>
    <m/>
    <n v="88680"/>
    <m/>
    <m/>
    <m/>
    <m/>
    <n v="0"/>
    <n v="0"/>
    <n v="0"/>
    <n v="0"/>
    <n v="0"/>
    <n v="0"/>
    <n v="0"/>
    <n v="0"/>
    <n v="0"/>
    <m/>
    <n v="0"/>
    <n v="266040"/>
    <m/>
    <m/>
    <n v="0"/>
    <s v="HIV"/>
    <x v="26"/>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n v="0"/>
    <s v="HIV"/>
    <x v="16"/>
  </r>
  <r>
    <n v="1111"/>
    <x v="8"/>
    <x v="29"/>
    <s v="Procurement of other medicines"/>
    <x v="18"/>
    <m/>
    <m/>
    <m/>
    <m/>
    <m/>
    <m/>
    <m/>
    <m/>
    <m/>
    <s v="-"/>
    <n v="0"/>
    <s v="-"/>
    <n v="63432.5"/>
    <s v="-"/>
    <n v="0"/>
    <s v="-"/>
    <n v="0"/>
    <m/>
    <n v="63432.5"/>
    <m/>
    <m/>
    <m/>
    <m/>
    <n v="0"/>
    <m/>
    <n v="63432.5"/>
    <m/>
    <n v="0"/>
    <m/>
    <n v="0"/>
    <m/>
    <n v="63432.5"/>
    <m/>
    <m/>
    <m/>
    <m/>
    <n v="0"/>
    <m/>
    <n v="63432.5"/>
    <m/>
    <n v="0"/>
    <m/>
    <n v="0"/>
    <m/>
    <n v="63432.5"/>
    <m/>
    <m/>
    <m/>
    <m/>
    <n v="0"/>
    <n v="0"/>
    <n v="0"/>
    <n v="0"/>
    <n v="0"/>
    <n v="0"/>
    <n v="0"/>
    <n v="0"/>
    <n v="0"/>
    <m/>
    <n v="0"/>
    <n v="190297.5"/>
    <m/>
    <m/>
    <n v="0"/>
    <s v="HIV"/>
    <x v="27"/>
  </r>
  <r>
    <n v="1115"/>
    <x v="8"/>
    <x v="29"/>
    <s v="PSM Costs"/>
    <x v="1"/>
    <m/>
    <m/>
    <m/>
    <m/>
    <m/>
    <m/>
    <m/>
    <m/>
    <m/>
    <s v="-"/>
    <n v="0"/>
    <s v="-"/>
    <n v="9126.75"/>
    <s v="-"/>
    <n v="0"/>
    <s v="-"/>
    <n v="0"/>
    <m/>
    <n v="9126.75"/>
    <m/>
    <m/>
    <m/>
    <m/>
    <n v="0"/>
    <m/>
    <n v="9126.75"/>
    <m/>
    <n v="0"/>
    <m/>
    <n v="0"/>
    <m/>
    <n v="9126.75"/>
    <m/>
    <m/>
    <m/>
    <m/>
    <n v="0"/>
    <m/>
    <n v="9126.75"/>
    <m/>
    <n v="0"/>
    <m/>
    <n v="0"/>
    <m/>
    <n v="9126.75"/>
    <m/>
    <m/>
    <m/>
    <m/>
    <n v="0"/>
    <n v="0"/>
    <n v="0"/>
    <n v="0"/>
    <n v="0"/>
    <n v="0"/>
    <n v="0"/>
    <n v="0"/>
    <n v="0"/>
    <m/>
    <n v="0"/>
    <n v="27380.25"/>
    <m/>
    <m/>
    <n v="0"/>
    <s v="HIV"/>
    <x v="1"/>
  </r>
  <r>
    <n v="1116"/>
    <x v="8"/>
    <x v="29"/>
    <s v="PSM Costs"/>
    <x v="2"/>
    <m/>
    <m/>
    <m/>
    <m/>
    <m/>
    <m/>
    <m/>
    <m/>
    <m/>
    <s v="-"/>
    <n v="0"/>
    <s v="-"/>
    <n v="1.5211249999999999E-11"/>
    <s v="-"/>
    <n v="0"/>
    <s v="-"/>
    <n v="0"/>
    <m/>
    <n v="1.5211249999999999E-11"/>
    <m/>
    <m/>
    <m/>
    <m/>
    <n v="0"/>
    <m/>
    <n v="1.5211249999999999E-11"/>
    <m/>
    <n v="0"/>
    <m/>
    <n v="0"/>
    <m/>
    <n v="1.5211249999999999E-11"/>
    <m/>
    <m/>
    <m/>
    <m/>
    <n v="0"/>
    <m/>
    <n v="1.5211249999999999E-11"/>
    <m/>
    <n v="0"/>
    <m/>
    <n v="0"/>
    <m/>
    <n v="1.5211249999999999E-11"/>
    <m/>
    <m/>
    <m/>
    <m/>
    <n v="0"/>
    <n v="0"/>
    <n v="0"/>
    <n v="0"/>
    <n v="0"/>
    <n v="0"/>
    <n v="0"/>
    <n v="0"/>
    <n v="0"/>
    <m/>
    <n v="0"/>
    <n v="4.5633749999999995E-11"/>
    <m/>
    <m/>
    <n v="0"/>
    <s v="HIV"/>
    <x v="1"/>
  </r>
  <r>
    <n v="1117"/>
    <x v="8"/>
    <x v="29"/>
    <s v="PSM Costs"/>
    <x v="3"/>
    <m/>
    <m/>
    <m/>
    <m/>
    <m/>
    <m/>
    <m/>
    <m/>
    <m/>
    <s v="-"/>
    <n v="0"/>
    <s v="-"/>
    <n v="0"/>
    <s v="-"/>
    <n v="0"/>
    <s v="-"/>
    <n v="0"/>
    <m/>
    <n v="0"/>
    <m/>
    <m/>
    <m/>
    <m/>
    <n v="0"/>
    <m/>
    <n v="0"/>
    <m/>
    <n v="0"/>
    <m/>
    <n v="0"/>
    <m/>
    <n v="0"/>
    <m/>
    <m/>
    <m/>
    <m/>
    <n v="0"/>
    <m/>
    <n v="0"/>
    <m/>
    <n v="0"/>
    <m/>
    <n v="0"/>
    <m/>
    <n v="0"/>
    <m/>
    <m/>
    <m/>
    <m/>
    <n v="0"/>
    <n v="0"/>
    <n v="0"/>
    <n v="0"/>
    <n v="0"/>
    <n v="0"/>
    <n v="0"/>
    <n v="0"/>
    <n v="0"/>
    <m/>
    <n v="0"/>
    <n v="0"/>
    <m/>
    <m/>
    <n v="0"/>
    <s v="HIV"/>
    <x v="1"/>
  </r>
  <r>
    <n v="1118"/>
    <x v="8"/>
    <x v="29"/>
    <s v="PSM Costs"/>
    <x v="4"/>
    <m/>
    <m/>
    <m/>
    <m/>
    <m/>
    <m/>
    <m/>
    <m/>
    <m/>
    <s v="-"/>
    <n v="0"/>
    <s v="-"/>
    <n v="0"/>
    <s v="-"/>
    <n v="0"/>
    <s v="-"/>
    <n v="0"/>
    <m/>
    <n v="0"/>
    <m/>
    <m/>
    <m/>
    <m/>
    <n v="0"/>
    <m/>
    <n v="0"/>
    <m/>
    <n v="0"/>
    <m/>
    <n v="0"/>
    <m/>
    <n v="0"/>
    <m/>
    <m/>
    <m/>
    <m/>
    <n v="0"/>
    <m/>
    <n v="0"/>
    <m/>
    <n v="0"/>
    <m/>
    <n v="0"/>
    <m/>
    <n v="0"/>
    <m/>
    <m/>
    <m/>
    <m/>
    <n v="0"/>
    <n v="0"/>
    <n v="0"/>
    <n v="0"/>
    <n v="0"/>
    <n v="0"/>
    <n v="0"/>
    <n v="0"/>
    <n v="0"/>
    <m/>
    <n v="0"/>
    <n v="0"/>
    <m/>
    <m/>
    <n v="0"/>
    <s v="HIV"/>
    <x v="1"/>
  </r>
  <r>
    <n v="1119"/>
    <x v="8"/>
    <x v="29"/>
    <s v="PSM Costs"/>
    <x v="5"/>
    <m/>
    <m/>
    <m/>
    <m/>
    <m/>
    <m/>
    <m/>
    <m/>
    <m/>
    <s v="-"/>
    <n v="0"/>
    <s v="-"/>
    <n v="0"/>
    <s v="-"/>
    <n v="0"/>
    <s v="-"/>
    <n v="0"/>
    <m/>
    <n v="0"/>
    <m/>
    <m/>
    <m/>
    <m/>
    <n v="0"/>
    <m/>
    <n v="0"/>
    <m/>
    <n v="0"/>
    <m/>
    <n v="0"/>
    <m/>
    <n v="0"/>
    <m/>
    <m/>
    <m/>
    <m/>
    <n v="0"/>
    <m/>
    <n v="0"/>
    <m/>
    <n v="0"/>
    <m/>
    <n v="0"/>
    <m/>
    <n v="0"/>
    <m/>
    <m/>
    <m/>
    <m/>
    <n v="0"/>
    <n v="0"/>
    <n v="0"/>
    <n v="0"/>
    <n v="0"/>
    <n v="0"/>
    <n v="0"/>
    <n v="0"/>
    <n v="0"/>
    <m/>
    <n v="0"/>
    <n v="0"/>
    <m/>
    <m/>
    <n v="0"/>
    <s v="HIV"/>
    <x v="1"/>
  </r>
  <r>
    <n v="1120"/>
    <x v="8"/>
    <x v="29"/>
    <s v="PSM Costs"/>
    <x v="6"/>
    <m/>
    <m/>
    <m/>
    <m/>
    <m/>
    <m/>
    <m/>
    <m/>
    <m/>
    <s v="-"/>
    <n v="0"/>
    <s v="-"/>
    <n v="0"/>
    <s v="-"/>
    <n v="0"/>
    <s v="-"/>
    <n v="0"/>
    <m/>
    <n v="0"/>
    <m/>
    <m/>
    <m/>
    <m/>
    <n v="0"/>
    <m/>
    <n v="0"/>
    <m/>
    <n v="0"/>
    <m/>
    <n v="0"/>
    <m/>
    <n v="0"/>
    <m/>
    <m/>
    <m/>
    <m/>
    <n v="0"/>
    <m/>
    <n v="0"/>
    <m/>
    <n v="0"/>
    <m/>
    <n v="0"/>
    <m/>
    <n v="0"/>
    <m/>
    <m/>
    <m/>
    <m/>
    <n v="0"/>
    <n v="0"/>
    <n v="0"/>
    <n v="0"/>
    <n v="0"/>
    <n v="0"/>
    <n v="0"/>
    <n v="0"/>
    <n v="0"/>
    <m/>
    <n v="0"/>
    <n v="0"/>
    <m/>
    <m/>
    <n v="0"/>
    <s v="HIV"/>
    <x v="1"/>
  </r>
  <r>
    <n v="1121"/>
    <x v="8"/>
    <x v="29"/>
    <s v="PSM Costs"/>
    <x v="7"/>
    <m/>
    <m/>
    <m/>
    <m/>
    <m/>
    <m/>
    <m/>
    <m/>
    <m/>
    <s v="-"/>
    <n v="0"/>
    <s v="-"/>
    <n v="0"/>
    <s v="-"/>
    <n v="0"/>
    <s v="-"/>
    <n v="0"/>
    <m/>
    <n v="0"/>
    <m/>
    <m/>
    <m/>
    <m/>
    <n v="0"/>
    <m/>
    <n v="0"/>
    <m/>
    <n v="0"/>
    <m/>
    <n v="0"/>
    <m/>
    <n v="0"/>
    <m/>
    <m/>
    <m/>
    <m/>
    <n v="0"/>
    <m/>
    <n v="0"/>
    <m/>
    <n v="0"/>
    <m/>
    <n v="0"/>
    <m/>
    <n v="0"/>
    <m/>
    <m/>
    <m/>
    <m/>
    <n v="0"/>
    <n v="0"/>
    <n v="0"/>
    <n v="0"/>
    <n v="0"/>
    <n v="0"/>
    <n v="0"/>
    <n v="0"/>
    <n v="0"/>
    <m/>
    <n v="0"/>
    <n v="0"/>
    <m/>
    <m/>
    <n v="0"/>
    <s v="HIV"/>
    <x v="1"/>
  </r>
  <r>
    <n v="72"/>
    <x v="1"/>
    <x v="7"/>
    <s v="Maintenance and service contracts"/>
    <x v="16"/>
    <m/>
    <m/>
    <m/>
    <m/>
    <m/>
    <m/>
    <m/>
    <m/>
    <m/>
    <s v="-"/>
    <n v="0"/>
    <s v="-"/>
    <n v="0"/>
    <s v="-"/>
    <n v="0"/>
    <s v="-"/>
    <n v="0"/>
    <m/>
    <n v="0"/>
    <m/>
    <m/>
    <m/>
    <m/>
    <n v="0"/>
    <m/>
    <n v="0"/>
    <m/>
    <n v="0"/>
    <m/>
    <n v="0"/>
    <m/>
    <n v="0"/>
    <m/>
    <m/>
    <m/>
    <m/>
    <n v="0"/>
    <m/>
    <n v="0"/>
    <m/>
    <n v="0"/>
    <m/>
    <n v="0"/>
    <m/>
    <n v="0"/>
    <m/>
    <m/>
    <m/>
    <m/>
    <n v="0"/>
    <n v="0"/>
    <n v="0"/>
    <n v="0"/>
    <n v="0"/>
    <n v="0"/>
    <n v="0"/>
    <n v="0"/>
    <n v="0"/>
    <m/>
    <n v="0"/>
    <n v="0"/>
    <m/>
    <m/>
    <n v="0"/>
    <s v="Malaria"/>
    <x v="14"/>
  </r>
  <r>
    <m/>
    <x v="9"/>
    <x v="30"/>
    <s v="Procurement of medicines"/>
    <x v="18"/>
    <m/>
    <m/>
    <m/>
    <m/>
    <m/>
    <m/>
    <m/>
    <m/>
    <m/>
    <m/>
    <n v="0"/>
    <m/>
    <n v="0"/>
    <m/>
    <n v="0"/>
    <m/>
    <n v="0"/>
    <m/>
    <n v="0"/>
    <m/>
    <m/>
    <m/>
    <m/>
    <n v="0"/>
    <m/>
    <n v="0"/>
    <m/>
    <n v="0"/>
    <m/>
    <n v="0"/>
    <m/>
    <n v="0"/>
    <m/>
    <m/>
    <m/>
    <m/>
    <n v="0"/>
    <m/>
    <n v="0"/>
    <m/>
    <n v="0"/>
    <m/>
    <n v="0"/>
    <m/>
    <n v="0"/>
    <m/>
    <m/>
    <m/>
    <m/>
    <m/>
    <m/>
    <m/>
    <m/>
    <m/>
    <m/>
    <m/>
    <m/>
    <n v="0"/>
    <m/>
    <n v="0"/>
    <n v="0"/>
    <m/>
    <m/>
    <n v="0"/>
    <s v="COVID"/>
    <x v="28"/>
  </r>
  <r>
    <m/>
    <x v="9"/>
    <x v="30"/>
    <s v="Procurement of diagnostic reagents &amp; consumables"/>
    <x v="14"/>
    <m/>
    <m/>
    <m/>
    <m/>
    <m/>
    <m/>
    <m/>
    <m/>
    <m/>
    <m/>
    <n v="0"/>
    <m/>
    <n v="0"/>
    <m/>
    <n v="0"/>
    <m/>
    <n v="0"/>
    <m/>
    <n v="0"/>
    <m/>
    <m/>
    <m/>
    <m/>
    <n v="0"/>
    <m/>
    <n v="0"/>
    <m/>
    <n v="0"/>
    <m/>
    <n v="0"/>
    <m/>
    <n v="0"/>
    <m/>
    <m/>
    <m/>
    <m/>
    <n v="0"/>
    <m/>
    <n v="0"/>
    <m/>
    <n v="0"/>
    <m/>
    <n v="0"/>
    <m/>
    <n v="0"/>
    <m/>
    <m/>
    <m/>
    <m/>
    <m/>
    <m/>
    <m/>
    <m/>
    <m/>
    <m/>
    <m/>
    <m/>
    <n v="0"/>
    <m/>
    <n v="0"/>
    <n v="0"/>
    <m/>
    <m/>
    <n v="0"/>
    <s v="COVID"/>
    <x v="29"/>
  </r>
  <r>
    <m/>
    <x v="9"/>
    <x v="30"/>
    <s v="Procurement of PPE &amp; consumables"/>
    <x v="13"/>
    <m/>
    <m/>
    <m/>
    <m/>
    <m/>
    <m/>
    <m/>
    <m/>
    <m/>
    <m/>
    <n v="0"/>
    <m/>
    <n v="0"/>
    <m/>
    <n v="0"/>
    <m/>
    <n v="0"/>
    <m/>
    <n v="0"/>
    <m/>
    <m/>
    <m/>
    <m/>
    <n v="0"/>
    <m/>
    <n v="0"/>
    <m/>
    <n v="0"/>
    <m/>
    <n v="0"/>
    <m/>
    <n v="0"/>
    <m/>
    <m/>
    <m/>
    <m/>
    <n v="0"/>
    <m/>
    <n v="0"/>
    <m/>
    <n v="0"/>
    <m/>
    <n v="0"/>
    <m/>
    <n v="0"/>
    <m/>
    <m/>
    <m/>
    <m/>
    <m/>
    <m/>
    <m/>
    <m/>
    <m/>
    <m/>
    <m/>
    <m/>
    <n v="0"/>
    <m/>
    <n v="0"/>
    <n v="0"/>
    <m/>
    <m/>
    <n v="0"/>
    <s v="COVID"/>
    <x v="30"/>
  </r>
  <r>
    <m/>
    <x v="9"/>
    <x v="30"/>
    <s v="Maintenance and service contracts"/>
    <x v="16"/>
    <m/>
    <m/>
    <m/>
    <m/>
    <m/>
    <m/>
    <m/>
    <m/>
    <m/>
    <m/>
    <n v="0"/>
    <m/>
    <n v="0"/>
    <m/>
    <n v="0"/>
    <m/>
    <n v="0"/>
    <m/>
    <n v="0"/>
    <m/>
    <m/>
    <m/>
    <m/>
    <n v="0"/>
    <m/>
    <n v="0"/>
    <m/>
    <n v="0"/>
    <m/>
    <n v="0"/>
    <m/>
    <n v="0"/>
    <m/>
    <m/>
    <m/>
    <m/>
    <n v="0"/>
    <m/>
    <n v="0"/>
    <m/>
    <n v="0"/>
    <m/>
    <n v="0"/>
    <m/>
    <n v="0"/>
    <m/>
    <m/>
    <m/>
    <m/>
    <m/>
    <m/>
    <m/>
    <m/>
    <m/>
    <m/>
    <m/>
    <m/>
    <m/>
    <m/>
    <m/>
    <n v="0"/>
    <m/>
    <m/>
    <m/>
    <s v="COVID"/>
    <x v="14"/>
  </r>
  <r>
    <m/>
    <x v="9"/>
    <x v="30"/>
    <s v="Procurement of medical &amp; laboratory equipment"/>
    <x v="9"/>
    <m/>
    <m/>
    <m/>
    <m/>
    <m/>
    <m/>
    <m/>
    <m/>
    <m/>
    <m/>
    <n v="0"/>
    <m/>
    <n v="0"/>
    <m/>
    <n v="0"/>
    <m/>
    <n v="0"/>
    <m/>
    <n v="0"/>
    <m/>
    <m/>
    <m/>
    <m/>
    <n v="0"/>
    <m/>
    <n v="0"/>
    <m/>
    <n v="0"/>
    <m/>
    <n v="0"/>
    <m/>
    <n v="0"/>
    <m/>
    <m/>
    <m/>
    <m/>
    <n v="0"/>
    <m/>
    <n v="0"/>
    <m/>
    <n v="0"/>
    <m/>
    <n v="0"/>
    <m/>
    <n v="0"/>
    <m/>
    <m/>
    <m/>
    <m/>
    <m/>
    <m/>
    <m/>
    <m/>
    <m/>
    <m/>
    <m/>
    <m/>
    <n v="0"/>
    <m/>
    <n v="0"/>
    <n v="0"/>
    <m/>
    <m/>
    <n v="0"/>
    <s v="COVID"/>
    <x v="31"/>
  </r>
  <r>
    <m/>
    <x v="9"/>
    <x v="30"/>
    <s v="PSM Costs"/>
    <x v="1"/>
    <m/>
    <m/>
    <m/>
    <m/>
    <m/>
    <m/>
    <m/>
    <m/>
    <m/>
    <m/>
    <n v="0"/>
    <m/>
    <n v="0"/>
    <m/>
    <n v="0"/>
    <m/>
    <n v="0"/>
    <m/>
    <n v="0"/>
    <m/>
    <m/>
    <m/>
    <m/>
    <n v="0"/>
    <m/>
    <n v="0"/>
    <m/>
    <n v="0"/>
    <m/>
    <n v="0"/>
    <m/>
    <n v="0"/>
    <m/>
    <m/>
    <m/>
    <m/>
    <n v="0"/>
    <m/>
    <n v="0"/>
    <m/>
    <n v="0"/>
    <m/>
    <n v="0"/>
    <m/>
    <n v="0"/>
    <m/>
    <m/>
    <m/>
    <m/>
    <m/>
    <m/>
    <m/>
    <m/>
    <m/>
    <m/>
    <m/>
    <m/>
    <n v="0"/>
    <m/>
    <n v="0"/>
    <n v="0"/>
    <m/>
    <m/>
    <n v="0"/>
    <s v="COVID"/>
    <x v="1"/>
  </r>
  <r>
    <m/>
    <x v="9"/>
    <x v="30"/>
    <s v="PSM Costs"/>
    <x v="2"/>
    <m/>
    <m/>
    <m/>
    <m/>
    <m/>
    <m/>
    <m/>
    <m/>
    <m/>
    <m/>
    <n v="0"/>
    <m/>
    <n v="0"/>
    <m/>
    <n v="0"/>
    <m/>
    <n v="0"/>
    <m/>
    <n v="0"/>
    <m/>
    <m/>
    <m/>
    <m/>
    <n v="0"/>
    <m/>
    <n v="0"/>
    <m/>
    <n v="0"/>
    <m/>
    <n v="0"/>
    <m/>
    <n v="0"/>
    <m/>
    <m/>
    <m/>
    <m/>
    <n v="0"/>
    <m/>
    <n v="0"/>
    <m/>
    <n v="0"/>
    <m/>
    <n v="0"/>
    <m/>
    <n v="0"/>
    <m/>
    <m/>
    <m/>
    <m/>
    <m/>
    <m/>
    <m/>
    <m/>
    <m/>
    <m/>
    <m/>
    <m/>
    <n v="0"/>
    <m/>
    <n v="0"/>
    <n v="0"/>
    <m/>
    <m/>
    <n v="0"/>
    <s v="COVID"/>
    <x v="1"/>
  </r>
  <r>
    <m/>
    <x v="9"/>
    <x v="30"/>
    <s v="PSM Costs"/>
    <x v="3"/>
    <m/>
    <m/>
    <m/>
    <m/>
    <m/>
    <m/>
    <m/>
    <m/>
    <m/>
    <m/>
    <n v="0"/>
    <m/>
    <n v="0"/>
    <m/>
    <n v="0"/>
    <m/>
    <n v="0"/>
    <m/>
    <n v="0"/>
    <m/>
    <m/>
    <m/>
    <m/>
    <n v="0"/>
    <m/>
    <n v="0"/>
    <m/>
    <n v="0"/>
    <m/>
    <n v="0"/>
    <m/>
    <n v="0"/>
    <m/>
    <m/>
    <m/>
    <m/>
    <n v="0"/>
    <m/>
    <n v="0"/>
    <m/>
    <n v="0"/>
    <m/>
    <n v="0"/>
    <m/>
    <n v="0"/>
    <m/>
    <m/>
    <m/>
    <m/>
    <m/>
    <m/>
    <m/>
    <m/>
    <m/>
    <m/>
    <m/>
    <m/>
    <n v="0"/>
    <m/>
    <n v="0"/>
    <n v="0"/>
    <m/>
    <m/>
    <n v="0"/>
    <s v="COVID"/>
    <x v="1"/>
  </r>
  <r>
    <m/>
    <x v="9"/>
    <x v="30"/>
    <s v="PSM Costs"/>
    <x v="4"/>
    <m/>
    <m/>
    <m/>
    <m/>
    <m/>
    <m/>
    <m/>
    <m/>
    <m/>
    <m/>
    <n v="0"/>
    <m/>
    <n v="0"/>
    <m/>
    <n v="0"/>
    <m/>
    <n v="0"/>
    <m/>
    <n v="0"/>
    <m/>
    <m/>
    <m/>
    <m/>
    <n v="0"/>
    <m/>
    <n v="0"/>
    <m/>
    <n v="0"/>
    <m/>
    <n v="0"/>
    <m/>
    <n v="0"/>
    <m/>
    <m/>
    <m/>
    <m/>
    <n v="0"/>
    <m/>
    <n v="0"/>
    <m/>
    <n v="0"/>
    <m/>
    <n v="0"/>
    <m/>
    <n v="0"/>
    <m/>
    <m/>
    <m/>
    <m/>
    <m/>
    <m/>
    <m/>
    <m/>
    <m/>
    <m/>
    <m/>
    <m/>
    <n v="0"/>
    <m/>
    <n v="0"/>
    <n v="0"/>
    <m/>
    <m/>
    <n v="0"/>
    <s v="COVID"/>
    <x v="1"/>
  </r>
  <r>
    <m/>
    <x v="9"/>
    <x v="30"/>
    <s v="PSM Costs"/>
    <x v="5"/>
    <m/>
    <m/>
    <m/>
    <m/>
    <m/>
    <m/>
    <m/>
    <m/>
    <m/>
    <m/>
    <n v="0"/>
    <m/>
    <n v="0"/>
    <m/>
    <n v="0"/>
    <m/>
    <n v="0"/>
    <m/>
    <n v="0"/>
    <m/>
    <m/>
    <m/>
    <m/>
    <n v="0"/>
    <m/>
    <n v="0"/>
    <m/>
    <n v="0"/>
    <m/>
    <n v="0"/>
    <m/>
    <n v="0"/>
    <m/>
    <m/>
    <m/>
    <m/>
    <n v="0"/>
    <m/>
    <n v="0"/>
    <m/>
    <n v="0"/>
    <m/>
    <n v="0"/>
    <m/>
    <n v="0"/>
    <m/>
    <m/>
    <m/>
    <m/>
    <m/>
    <m/>
    <m/>
    <m/>
    <m/>
    <m/>
    <m/>
    <m/>
    <n v="0"/>
    <m/>
    <n v="0"/>
    <n v="0"/>
    <m/>
    <m/>
    <n v="0"/>
    <s v="COVID"/>
    <x v="1"/>
  </r>
  <r>
    <m/>
    <x v="9"/>
    <x v="30"/>
    <s v="PSM Costs"/>
    <x v="6"/>
    <m/>
    <m/>
    <m/>
    <m/>
    <m/>
    <m/>
    <m/>
    <m/>
    <m/>
    <m/>
    <n v="0"/>
    <m/>
    <n v="0"/>
    <m/>
    <n v="0"/>
    <m/>
    <n v="0"/>
    <m/>
    <n v="0"/>
    <m/>
    <m/>
    <m/>
    <m/>
    <n v="0"/>
    <m/>
    <n v="0"/>
    <m/>
    <n v="0"/>
    <m/>
    <n v="0"/>
    <m/>
    <n v="0"/>
    <m/>
    <m/>
    <m/>
    <m/>
    <n v="0"/>
    <m/>
    <n v="0"/>
    <m/>
    <n v="0"/>
    <m/>
    <n v="0"/>
    <m/>
    <n v="0"/>
    <m/>
    <m/>
    <m/>
    <m/>
    <m/>
    <m/>
    <m/>
    <m/>
    <m/>
    <m/>
    <m/>
    <m/>
    <n v="0"/>
    <m/>
    <n v="0"/>
    <n v="0"/>
    <m/>
    <m/>
    <n v="0"/>
    <s v="COVID"/>
    <x v="1"/>
  </r>
  <r>
    <m/>
    <x v="9"/>
    <x v="30"/>
    <s v="PSM Costs"/>
    <x v="7"/>
    <m/>
    <m/>
    <m/>
    <m/>
    <m/>
    <m/>
    <m/>
    <m/>
    <m/>
    <m/>
    <n v="0"/>
    <m/>
    <n v="0"/>
    <m/>
    <n v="0"/>
    <m/>
    <n v="0"/>
    <m/>
    <n v="0"/>
    <m/>
    <m/>
    <m/>
    <m/>
    <n v="0"/>
    <m/>
    <n v="0"/>
    <m/>
    <n v="0"/>
    <m/>
    <n v="0"/>
    <m/>
    <n v="0"/>
    <m/>
    <m/>
    <m/>
    <m/>
    <n v="0"/>
    <m/>
    <n v="0"/>
    <m/>
    <n v="0"/>
    <m/>
    <n v="0"/>
    <m/>
    <n v="0"/>
    <m/>
    <m/>
    <m/>
    <m/>
    <m/>
    <m/>
    <m/>
    <m/>
    <m/>
    <m/>
    <m/>
    <m/>
    <n v="0"/>
    <m/>
    <n v="0"/>
    <n v="0"/>
    <m/>
    <m/>
    <n v="0"/>
    <s v="COVID"/>
    <x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0">
  <r>
    <n v="1"/>
    <x v="0"/>
    <x v="0"/>
    <s v="Procurement of LLINs (or ITNs) for mass campaigns"/>
    <x v="0"/>
    <m/>
    <m/>
    <m/>
    <m/>
    <m/>
    <m/>
    <m/>
    <m/>
    <m/>
    <s v="-"/>
    <n v="0"/>
    <s v="-"/>
    <n v="0"/>
    <s v="-"/>
    <n v="0"/>
    <s v="-"/>
    <n v="0"/>
    <m/>
    <n v="0"/>
    <m/>
    <m/>
    <m/>
    <m/>
    <n v="0"/>
    <m/>
    <n v="0"/>
    <m/>
    <n v="0"/>
    <m/>
    <n v="0"/>
    <m/>
    <n v="0"/>
    <m/>
    <m/>
    <m/>
    <m/>
    <n v="0"/>
    <m/>
    <n v="0"/>
    <m/>
    <n v="0"/>
    <m/>
    <n v="0"/>
    <m/>
    <n v="0"/>
    <m/>
    <m/>
    <m/>
    <m/>
    <n v="0"/>
    <n v="0"/>
    <n v="0"/>
    <n v="0"/>
    <n v="0"/>
    <n v="0"/>
    <n v="0"/>
    <n v="0"/>
    <n v="0"/>
    <m/>
    <n v="0"/>
    <n v="0"/>
    <m/>
    <m/>
    <x v="0"/>
    <x v="0"/>
  </r>
  <r>
    <n v="2"/>
    <x v="0"/>
    <x v="0"/>
    <s v="PSM costs"/>
    <x v="1"/>
    <m/>
    <m/>
    <m/>
    <m/>
    <m/>
    <m/>
    <m/>
    <m/>
    <m/>
    <s v="-"/>
    <n v="0"/>
    <s v="-"/>
    <n v="0"/>
    <s v="-"/>
    <n v="0"/>
    <s v="-"/>
    <n v="0"/>
    <m/>
    <n v="0"/>
    <m/>
    <m/>
    <m/>
    <m/>
    <n v="0"/>
    <m/>
    <n v="0"/>
    <m/>
    <n v="0"/>
    <m/>
    <n v="0"/>
    <m/>
    <n v="0"/>
    <m/>
    <m/>
    <m/>
    <m/>
    <n v="0"/>
    <m/>
    <n v="0"/>
    <m/>
    <n v="0"/>
    <m/>
    <n v="0"/>
    <m/>
    <n v="0"/>
    <m/>
    <m/>
    <m/>
    <m/>
    <n v="0"/>
    <n v="0"/>
    <n v="0"/>
    <n v="0"/>
    <n v="0"/>
    <n v="0"/>
    <n v="0"/>
    <n v="0"/>
    <n v="0"/>
    <m/>
    <n v="0"/>
    <n v="0"/>
    <m/>
    <m/>
    <x v="0"/>
    <x v="0"/>
  </r>
  <r>
    <n v="3"/>
    <x v="0"/>
    <x v="0"/>
    <s v="PSM costs"/>
    <x v="2"/>
    <m/>
    <m/>
    <m/>
    <m/>
    <m/>
    <m/>
    <m/>
    <m/>
    <m/>
    <s v="-"/>
    <n v="0"/>
    <s v="-"/>
    <n v="0"/>
    <s v="-"/>
    <n v="0"/>
    <s v="-"/>
    <n v="0"/>
    <m/>
    <n v="0"/>
    <m/>
    <m/>
    <m/>
    <m/>
    <n v="0"/>
    <m/>
    <n v="0"/>
    <m/>
    <n v="0"/>
    <m/>
    <n v="0"/>
    <m/>
    <n v="0"/>
    <m/>
    <m/>
    <m/>
    <m/>
    <n v="0"/>
    <m/>
    <n v="0"/>
    <m/>
    <n v="0"/>
    <m/>
    <n v="0"/>
    <m/>
    <n v="0"/>
    <m/>
    <m/>
    <m/>
    <m/>
    <n v="0"/>
    <n v="0"/>
    <n v="0"/>
    <n v="0"/>
    <n v="0"/>
    <n v="0"/>
    <n v="0"/>
    <n v="0"/>
    <n v="0"/>
    <m/>
    <n v="0"/>
    <n v="0"/>
    <m/>
    <m/>
    <x v="0"/>
    <x v="0"/>
  </r>
  <r>
    <n v="4"/>
    <x v="0"/>
    <x v="0"/>
    <s v="PSM costs"/>
    <x v="3"/>
    <m/>
    <m/>
    <m/>
    <m/>
    <m/>
    <m/>
    <m/>
    <m/>
    <m/>
    <s v="-"/>
    <n v="0"/>
    <s v="-"/>
    <n v="0"/>
    <s v="-"/>
    <n v="0"/>
    <s v="-"/>
    <n v="0"/>
    <m/>
    <n v="0"/>
    <m/>
    <m/>
    <m/>
    <m/>
    <n v="0"/>
    <m/>
    <n v="0"/>
    <m/>
    <n v="0"/>
    <m/>
    <n v="0"/>
    <m/>
    <n v="0"/>
    <m/>
    <m/>
    <m/>
    <m/>
    <n v="0"/>
    <m/>
    <n v="0"/>
    <m/>
    <n v="0"/>
    <m/>
    <n v="0"/>
    <m/>
    <n v="0"/>
    <m/>
    <m/>
    <m/>
    <m/>
    <n v="0"/>
    <n v="0"/>
    <n v="0"/>
    <n v="0"/>
    <n v="0"/>
    <n v="0"/>
    <n v="0"/>
    <n v="0"/>
    <n v="0"/>
    <m/>
    <n v="0"/>
    <n v="0"/>
    <m/>
    <m/>
    <x v="0"/>
    <x v="0"/>
  </r>
  <r>
    <n v="5"/>
    <x v="0"/>
    <x v="0"/>
    <s v="PSM costs"/>
    <x v="4"/>
    <m/>
    <m/>
    <m/>
    <m/>
    <m/>
    <m/>
    <m/>
    <m/>
    <m/>
    <s v="-"/>
    <n v="0"/>
    <s v="-"/>
    <n v="0"/>
    <s v="-"/>
    <n v="0"/>
    <s v="-"/>
    <n v="0"/>
    <m/>
    <n v="0"/>
    <m/>
    <m/>
    <m/>
    <m/>
    <n v="0"/>
    <m/>
    <n v="0"/>
    <m/>
    <n v="0"/>
    <m/>
    <n v="0"/>
    <m/>
    <n v="0"/>
    <m/>
    <m/>
    <m/>
    <m/>
    <n v="0"/>
    <m/>
    <n v="0"/>
    <m/>
    <n v="0"/>
    <m/>
    <n v="0"/>
    <m/>
    <n v="0"/>
    <m/>
    <m/>
    <m/>
    <m/>
    <n v="0"/>
    <n v="0"/>
    <n v="0"/>
    <n v="0"/>
    <n v="0"/>
    <n v="0"/>
    <n v="0"/>
    <n v="0"/>
    <n v="0"/>
    <m/>
    <n v="0"/>
    <n v="0"/>
    <m/>
    <m/>
    <x v="0"/>
    <x v="0"/>
  </r>
  <r>
    <n v="6"/>
    <x v="0"/>
    <x v="0"/>
    <s v="PSM costs"/>
    <x v="5"/>
    <m/>
    <m/>
    <m/>
    <m/>
    <m/>
    <m/>
    <m/>
    <m/>
    <m/>
    <s v="-"/>
    <n v="0"/>
    <s v="-"/>
    <n v="0"/>
    <s v="-"/>
    <n v="0"/>
    <s v="-"/>
    <n v="0"/>
    <m/>
    <n v="0"/>
    <m/>
    <m/>
    <m/>
    <m/>
    <n v="0"/>
    <m/>
    <n v="0"/>
    <m/>
    <n v="0"/>
    <m/>
    <n v="0"/>
    <m/>
    <n v="0"/>
    <m/>
    <m/>
    <m/>
    <m/>
    <n v="0"/>
    <m/>
    <n v="0"/>
    <m/>
    <n v="0"/>
    <m/>
    <n v="0"/>
    <m/>
    <n v="0"/>
    <m/>
    <m/>
    <m/>
    <m/>
    <n v="0"/>
    <n v="0"/>
    <n v="0"/>
    <n v="0"/>
    <n v="0"/>
    <n v="0"/>
    <n v="0"/>
    <n v="0"/>
    <n v="0"/>
    <m/>
    <n v="0"/>
    <n v="0"/>
    <m/>
    <m/>
    <x v="0"/>
    <x v="0"/>
  </r>
  <r>
    <n v="7"/>
    <x v="0"/>
    <x v="0"/>
    <s v="PSM costs"/>
    <x v="6"/>
    <m/>
    <m/>
    <m/>
    <m/>
    <m/>
    <m/>
    <m/>
    <m/>
    <m/>
    <s v="-"/>
    <n v="0"/>
    <s v="-"/>
    <n v="0"/>
    <s v="-"/>
    <n v="0"/>
    <s v="-"/>
    <n v="0"/>
    <m/>
    <n v="0"/>
    <m/>
    <m/>
    <m/>
    <m/>
    <n v="0"/>
    <m/>
    <n v="0"/>
    <m/>
    <n v="0"/>
    <m/>
    <n v="0"/>
    <m/>
    <n v="0"/>
    <m/>
    <m/>
    <m/>
    <m/>
    <n v="0"/>
    <m/>
    <n v="0"/>
    <m/>
    <n v="0"/>
    <m/>
    <n v="0"/>
    <m/>
    <n v="0"/>
    <m/>
    <m/>
    <m/>
    <m/>
    <n v="0"/>
    <n v="0"/>
    <n v="0"/>
    <n v="0"/>
    <n v="0"/>
    <n v="0"/>
    <n v="0"/>
    <n v="0"/>
    <n v="0"/>
    <m/>
    <n v="0"/>
    <n v="0"/>
    <m/>
    <m/>
    <x v="0"/>
    <x v="0"/>
  </r>
  <r>
    <n v="8"/>
    <x v="0"/>
    <x v="0"/>
    <s v="PSM costs"/>
    <x v="7"/>
    <m/>
    <m/>
    <m/>
    <m/>
    <m/>
    <m/>
    <m/>
    <m/>
    <m/>
    <s v="-"/>
    <n v="0"/>
    <s v="-"/>
    <n v="0"/>
    <s v="-"/>
    <n v="0"/>
    <s v="-"/>
    <n v="0"/>
    <m/>
    <n v="0"/>
    <m/>
    <m/>
    <m/>
    <m/>
    <n v="0"/>
    <m/>
    <n v="0"/>
    <m/>
    <n v="0"/>
    <m/>
    <n v="0"/>
    <m/>
    <n v="0"/>
    <m/>
    <m/>
    <m/>
    <m/>
    <n v="0"/>
    <m/>
    <n v="0"/>
    <m/>
    <n v="0"/>
    <m/>
    <n v="0"/>
    <m/>
    <n v="0"/>
    <m/>
    <m/>
    <m/>
    <m/>
    <n v="0"/>
    <n v="0"/>
    <n v="0"/>
    <n v="0"/>
    <n v="0"/>
    <n v="0"/>
    <n v="0"/>
    <n v="0"/>
    <n v="0"/>
    <m/>
    <n v="0"/>
    <n v="0"/>
    <m/>
    <m/>
    <x v="0"/>
    <x v="0"/>
  </r>
  <r>
    <n v="9"/>
    <x v="0"/>
    <x v="1"/>
    <s v="Procurement of LLINs (or ITNs) for mass campaigns"/>
    <x v="0"/>
    <m/>
    <m/>
    <m/>
    <m/>
    <m/>
    <m/>
    <m/>
    <m/>
    <m/>
    <s v="-"/>
    <n v="0"/>
    <s v="-"/>
    <n v="0"/>
    <s v="-"/>
    <n v="0"/>
    <s v="-"/>
    <n v="0"/>
    <m/>
    <n v="0"/>
    <m/>
    <m/>
    <m/>
    <m/>
    <n v="0"/>
    <m/>
    <n v="0"/>
    <m/>
    <n v="0"/>
    <m/>
    <n v="0"/>
    <m/>
    <n v="0"/>
    <m/>
    <m/>
    <m/>
    <m/>
    <n v="0"/>
    <m/>
    <n v="0"/>
    <m/>
    <n v="0"/>
    <m/>
    <n v="0"/>
    <m/>
    <n v="0"/>
    <m/>
    <m/>
    <m/>
    <m/>
    <n v="0"/>
    <n v="0"/>
    <n v="0"/>
    <n v="0"/>
    <n v="0"/>
    <n v="0"/>
    <n v="0"/>
    <n v="0"/>
    <n v="0"/>
    <m/>
    <n v="0"/>
    <n v="0"/>
    <m/>
    <m/>
    <x v="0"/>
    <x v="0"/>
  </r>
  <r>
    <n v="10"/>
    <x v="0"/>
    <x v="1"/>
    <s v="PSM costs"/>
    <x v="1"/>
    <m/>
    <m/>
    <m/>
    <m/>
    <m/>
    <m/>
    <m/>
    <m/>
    <m/>
    <s v="-"/>
    <n v="0"/>
    <s v="-"/>
    <n v="0"/>
    <s v="-"/>
    <n v="0"/>
    <s v="-"/>
    <n v="0"/>
    <m/>
    <n v="0"/>
    <m/>
    <m/>
    <m/>
    <m/>
    <n v="0"/>
    <m/>
    <n v="0"/>
    <m/>
    <n v="0"/>
    <m/>
    <n v="0"/>
    <m/>
    <n v="0"/>
    <m/>
    <m/>
    <m/>
    <m/>
    <n v="0"/>
    <m/>
    <n v="0"/>
    <m/>
    <n v="0"/>
    <m/>
    <n v="0"/>
    <m/>
    <n v="0"/>
    <m/>
    <m/>
    <m/>
    <m/>
    <n v="0"/>
    <n v="0"/>
    <n v="0"/>
    <n v="0"/>
    <n v="0"/>
    <n v="0"/>
    <n v="0"/>
    <n v="0"/>
    <n v="0"/>
    <m/>
    <n v="0"/>
    <n v="0"/>
    <m/>
    <m/>
    <x v="0"/>
    <x v="0"/>
  </r>
  <r>
    <n v="11"/>
    <x v="0"/>
    <x v="1"/>
    <s v="PSM costs"/>
    <x v="2"/>
    <m/>
    <m/>
    <m/>
    <m/>
    <m/>
    <m/>
    <m/>
    <m/>
    <m/>
    <s v="-"/>
    <n v="0"/>
    <s v="-"/>
    <n v="0"/>
    <s v="-"/>
    <n v="0"/>
    <s v="-"/>
    <n v="0"/>
    <m/>
    <n v="0"/>
    <m/>
    <m/>
    <m/>
    <m/>
    <n v="0"/>
    <m/>
    <n v="0"/>
    <m/>
    <n v="0"/>
    <m/>
    <n v="0"/>
    <m/>
    <n v="0"/>
    <m/>
    <m/>
    <m/>
    <m/>
    <n v="0"/>
    <m/>
    <n v="0"/>
    <m/>
    <n v="0"/>
    <m/>
    <n v="0"/>
    <m/>
    <n v="0"/>
    <m/>
    <m/>
    <m/>
    <m/>
    <n v="0"/>
    <n v="0"/>
    <n v="0"/>
    <n v="0"/>
    <n v="0"/>
    <n v="0"/>
    <n v="0"/>
    <n v="0"/>
    <n v="0"/>
    <m/>
    <n v="0"/>
    <n v="0"/>
    <m/>
    <m/>
    <x v="0"/>
    <x v="0"/>
  </r>
  <r>
    <n v="12"/>
    <x v="0"/>
    <x v="1"/>
    <s v="PSM costs"/>
    <x v="3"/>
    <m/>
    <m/>
    <m/>
    <m/>
    <m/>
    <m/>
    <m/>
    <m/>
    <m/>
    <s v="-"/>
    <n v="0"/>
    <s v="-"/>
    <n v="0"/>
    <s v="-"/>
    <n v="0"/>
    <s v="-"/>
    <n v="0"/>
    <m/>
    <n v="0"/>
    <m/>
    <m/>
    <m/>
    <m/>
    <n v="0"/>
    <m/>
    <n v="0"/>
    <m/>
    <n v="0"/>
    <m/>
    <n v="0"/>
    <m/>
    <n v="0"/>
    <m/>
    <m/>
    <m/>
    <m/>
    <n v="0"/>
    <m/>
    <n v="0"/>
    <m/>
    <n v="0"/>
    <m/>
    <n v="0"/>
    <m/>
    <n v="0"/>
    <m/>
    <m/>
    <m/>
    <m/>
    <n v="0"/>
    <n v="0"/>
    <n v="0"/>
    <n v="0"/>
    <n v="0"/>
    <n v="0"/>
    <n v="0"/>
    <n v="0"/>
    <n v="0"/>
    <m/>
    <n v="0"/>
    <n v="0"/>
    <m/>
    <m/>
    <x v="0"/>
    <x v="0"/>
  </r>
  <r>
    <n v="13"/>
    <x v="0"/>
    <x v="1"/>
    <s v="PSM costs"/>
    <x v="4"/>
    <m/>
    <m/>
    <m/>
    <m/>
    <m/>
    <m/>
    <m/>
    <m/>
    <m/>
    <s v="-"/>
    <n v="0"/>
    <s v="-"/>
    <n v="0"/>
    <s v="-"/>
    <n v="0"/>
    <s v="-"/>
    <n v="0"/>
    <m/>
    <n v="0"/>
    <m/>
    <m/>
    <m/>
    <m/>
    <n v="0"/>
    <m/>
    <n v="0"/>
    <m/>
    <n v="0"/>
    <m/>
    <n v="0"/>
    <m/>
    <n v="0"/>
    <m/>
    <m/>
    <m/>
    <m/>
    <n v="0"/>
    <m/>
    <n v="0"/>
    <m/>
    <n v="0"/>
    <m/>
    <n v="0"/>
    <m/>
    <n v="0"/>
    <m/>
    <m/>
    <m/>
    <m/>
    <n v="0"/>
    <n v="0"/>
    <n v="0"/>
    <n v="0"/>
    <n v="0"/>
    <n v="0"/>
    <n v="0"/>
    <n v="0"/>
    <n v="0"/>
    <m/>
    <n v="0"/>
    <n v="0"/>
    <m/>
    <m/>
    <x v="0"/>
    <x v="0"/>
  </r>
  <r>
    <n v="14"/>
    <x v="0"/>
    <x v="1"/>
    <s v="PSM costs"/>
    <x v="5"/>
    <m/>
    <m/>
    <m/>
    <m/>
    <m/>
    <m/>
    <m/>
    <m/>
    <m/>
    <s v="-"/>
    <n v="0"/>
    <s v="-"/>
    <n v="0"/>
    <s v="-"/>
    <n v="0"/>
    <s v="-"/>
    <n v="0"/>
    <m/>
    <n v="0"/>
    <m/>
    <m/>
    <m/>
    <m/>
    <n v="0"/>
    <m/>
    <n v="0"/>
    <m/>
    <n v="0"/>
    <m/>
    <n v="0"/>
    <m/>
    <n v="0"/>
    <m/>
    <m/>
    <m/>
    <m/>
    <n v="0"/>
    <m/>
    <n v="0"/>
    <m/>
    <n v="0"/>
    <m/>
    <n v="0"/>
    <m/>
    <n v="0"/>
    <m/>
    <m/>
    <m/>
    <m/>
    <n v="0"/>
    <n v="0"/>
    <n v="0"/>
    <n v="0"/>
    <n v="0"/>
    <n v="0"/>
    <n v="0"/>
    <n v="0"/>
    <n v="0"/>
    <m/>
    <n v="0"/>
    <n v="0"/>
    <m/>
    <m/>
    <x v="0"/>
    <x v="0"/>
  </r>
  <r>
    <n v="15"/>
    <x v="0"/>
    <x v="1"/>
    <s v="PSM costs"/>
    <x v="6"/>
    <m/>
    <m/>
    <m/>
    <m/>
    <m/>
    <m/>
    <m/>
    <m/>
    <m/>
    <s v="-"/>
    <n v="0"/>
    <s v="-"/>
    <n v="0"/>
    <s v="-"/>
    <n v="0"/>
    <s v="-"/>
    <n v="0"/>
    <m/>
    <n v="0"/>
    <m/>
    <m/>
    <m/>
    <m/>
    <n v="0"/>
    <m/>
    <n v="0"/>
    <m/>
    <n v="0"/>
    <m/>
    <n v="0"/>
    <m/>
    <n v="0"/>
    <m/>
    <m/>
    <m/>
    <m/>
    <n v="0"/>
    <m/>
    <n v="0"/>
    <m/>
    <n v="0"/>
    <m/>
    <n v="0"/>
    <m/>
    <n v="0"/>
    <m/>
    <m/>
    <m/>
    <m/>
    <n v="0"/>
    <n v="0"/>
    <n v="0"/>
    <n v="0"/>
    <n v="0"/>
    <n v="0"/>
    <n v="0"/>
    <n v="0"/>
    <n v="0"/>
    <m/>
    <n v="0"/>
    <n v="0"/>
    <m/>
    <m/>
    <x v="0"/>
    <x v="0"/>
  </r>
  <r>
    <n v="16"/>
    <x v="0"/>
    <x v="1"/>
    <s v="PSM costs"/>
    <x v="7"/>
    <m/>
    <m/>
    <m/>
    <m/>
    <m/>
    <m/>
    <m/>
    <m/>
    <m/>
    <s v="-"/>
    <n v="0"/>
    <s v="-"/>
    <n v="0"/>
    <s v="-"/>
    <n v="0"/>
    <s v="-"/>
    <n v="0"/>
    <m/>
    <n v="0"/>
    <m/>
    <m/>
    <m/>
    <m/>
    <n v="0"/>
    <m/>
    <n v="0"/>
    <m/>
    <n v="0"/>
    <m/>
    <n v="0"/>
    <m/>
    <n v="0"/>
    <m/>
    <m/>
    <m/>
    <m/>
    <n v="0"/>
    <m/>
    <n v="0"/>
    <m/>
    <n v="0"/>
    <m/>
    <n v="0"/>
    <m/>
    <n v="0"/>
    <m/>
    <m/>
    <m/>
    <m/>
    <n v="0"/>
    <n v="0"/>
    <n v="0"/>
    <n v="0"/>
    <n v="0"/>
    <n v="0"/>
    <n v="0"/>
    <n v="0"/>
    <n v="0"/>
    <m/>
    <n v="0"/>
    <n v="0"/>
    <m/>
    <m/>
    <x v="0"/>
    <x v="0"/>
  </r>
  <r>
    <n v="17"/>
    <x v="0"/>
    <x v="2"/>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18"/>
    <x v="0"/>
    <x v="2"/>
    <s v="PSM costs"/>
    <x v="1"/>
    <m/>
    <m/>
    <m/>
    <m/>
    <m/>
    <m/>
    <m/>
    <m/>
    <m/>
    <s v="-"/>
    <n v="0"/>
    <s v="-"/>
    <n v="0"/>
    <s v="-"/>
    <n v="0"/>
    <s v="-"/>
    <n v="0"/>
    <m/>
    <n v="0"/>
    <m/>
    <m/>
    <m/>
    <m/>
    <n v="0"/>
    <m/>
    <n v="0"/>
    <m/>
    <n v="0"/>
    <m/>
    <n v="0"/>
    <m/>
    <n v="0"/>
    <m/>
    <m/>
    <m/>
    <m/>
    <n v="0"/>
    <m/>
    <n v="0"/>
    <m/>
    <n v="0"/>
    <m/>
    <n v="0"/>
    <m/>
    <n v="0"/>
    <m/>
    <m/>
    <m/>
    <m/>
    <n v="0"/>
    <n v="0"/>
    <n v="0"/>
    <n v="0"/>
    <n v="0"/>
    <n v="0"/>
    <n v="0"/>
    <n v="0"/>
    <n v="0"/>
    <m/>
    <n v="0"/>
    <n v="0"/>
    <m/>
    <m/>
    <x v="0"/>
    <x v="0"/>
  </r>
  <r>
    <n v="19"/>
    <x v="0"/>
    <x v="2"/>
    <s v="PSM costs"/>
    <x v="2"/>
    <m/>
    <m/>
    <m/>
    <m/>
    <m/>
    <m/>
    <m/>
    <m/>
    <m/>
    <s v="-"/>
    <n v="0"/>
    <s v="-"/>
    <n v="0"/>
    <s v="-"/>
    <n v="0"/>
    <s v="-"/>
    <n v="0"/>
    <m/>
    <n v="0"/>
    <m/>
    <m/>
    <m/>
    <m/>
    <n v="0"/>
    <m/>
    <n v="0"/>
    <m/>
    <n v="0"/>
    <m/>
    <n v="0"/>
    <m/>
    <n v="0"/>
    <m/>
    <m/>
    <m/>
    <m/>
    <n v="0"/>
    <m/>
    <n v="0"/>
    <m/>
    <n v="0"/>
    <m/>
    <n v="0"/>
    <m/>
    <n v="0"/>
    <m/>
    <m/>
    <m/>
    <m/>
    <n v="0"/>
    <n v="0"/>
    <n v="0"/>
    <n v="0"/>
    <n v="0"/>
    <n v="0"/>
    <n v="0"/>
    <n v="0"/>
    <n v="0"/>
    <m/>
    <n v="0"/>
    <n v="0"/>
    <m/>
    <m/>
    <x v="0"/>
    <x v="0"/>
  </r>
  <r>
    <n v="20"/>
    <x v="0"/>
    <x v="2"/>
    <s v="PSM costs"/>
    <x v="3"/>
    <m/>
    <m/>
    <m/>
    <m/>
    <m/>
    <m/>
    <m/>
    <m/>
    <m/>
    <s v="-"/>
    <n v="0"/>
    <s v="-"/>
    <n v="0"/>
    <s v="-"/>
    <n v="0"/>
    <s v="-"/>
    <n v="0"/>
    <m/>
    <n v="0"/>
    <m/>
    <m/>
    <m/>
    <m/>
    <n v="0"/>
    <m/>
    <n v="0"/>
    <m/>
    <n v="0"/>
    <m/>
    <n v="0"/>
    <m/>
    <n v="0"/>
    <m/>
    <m/>
    <m/>
    <m/>
    <n v="0"/>
    <m/>
    <n v="0"/>
    <m/>
    <n v="0"/>
    <m/>
    <n v="0"/>
    <m/>
    <n v="0"/>
    <m/>
    <m/>
    <m/>
    <m/>
    <n v="0"/>
    <n v="0"/>
    <n v="0"/>
    <n v="0"/>
    <n v="0"/>
    <n v="0"/>
    <n v="0"/>
    <n v="0"/>
    <n v="0"/>
    <m/>
    <n v="0"/>
    <n v="0"/>
    <m/>
    <m/>
    <x v="0"/>
    <x v="0"/>
  </r>
  <r>
    <n v="21"/>
    <x v="0"/>
    <x v="2"/>
    <s v="PSM costs"/>
    <x v="4"/>
    <m/>
    <m/>
    <m/>
    <m/>
    <m/>
    <m/>
    <m/>
    <m/>
    <m/>
    <s v="-"/>
    <n v="0"/>
    <s v="-"/>
    <n v="0"/>
    <s v="-"/>
    <n v="0"/>
    <s v="-"/>
    <n v="0"/>
    <m/>
    <n v="0"/>
    <m/>
    <m/>
    <m/>
    <m/>
    <n v="0"/>
    <m/>
    <n v="0"/>
    <m/>
    <n v="0"/>
    <m/>
    <n v="0"/>
    <m/>
    <n v="0"/>
    <m/>
    <m/>
    <m/>
    <m/>
    <n v="0"/>
    <m/>
    <n v="0"/>
    <m/>
    <n v="0"/>
    <m/>
    <n v="0"/>
    <m/>
    <n v="0"/>
    <m/>
    <m/>
    <m/>
    <m/>
    <n v="0"/>
    <n v="0"/>
    <n v="0"/>
    <n v="0"/>
    <n v="0"/>
    <n v="0"/>
    <n v="0"/>
    <n v="0"/>
    <n v="0"/>
    <m/>
    <n v="0"/>
    <n v="0"/>
    <m/>
    <m/>
    <x v="0"/>
    <x v="0"/>
  </r>
  <r>
    <n v="22"/>
    <x v="0"/>
    <x v="2"/>
    <s v="PSM costs"/>
    <x v="5"/>
    <m/>
    <m/>
    <m/>
    <m/>
    <m/>
    <m/>
    <m/>
    <m/>
    <m/>
    <s v="-"/>
    <n v="0"/>
    <s v="-"/>
    <n v="0"/>
    <s v="-"/>
    <n v="0"/>
    <s v="-"/>
    <n v="0"/>
    <m/>
    <n v="0"/>
    <m/>
    <m/>
    <m/>
    <m/>
    <n v="0"/>
    <m/>
    <n v="0"/>
    <m/>
    <n v="0"/>
    <m/>
    <n v="0"/>
    <m/>
    <n v="0"/>
    <m/>
    <m/>
    <m/>
    <m/>
    <n v="0"/>
    <m/>
    <n v="0"/>
    <m/>
    <n v="0"/>
    <m/>
    <n v="0"/>
    <m/>
    <n v="0"/>
    <m/>
    <m/>
    <m/>
    <m/>
    <n v="0"/>
    <n v="0"/>
    <n v="0"/>
    <n v="0"/>
    <n v="0"/>
    <n v="0"/>
    <n v="0"/>
    <n v="0"/>
    <n v="0"/>
    <m/>
    <n v="0"/>
    <n v="0"/>
    <m/>
    <m/>
    <x v="0"/>
    <x v="0"/>
  </r>
  <r>
    <n v="23"/>
    <x v="0"/>
    <x v="2"/>
    <s v="PSM costs"/>
    <x v="6"/>
    <m/>
    <m/>
    <m/>
    <m/>
    <m/>
    <m/>
    <m/>
    <m/>
    <m/>
    <s v="-"/>
    <n v="0"/>
    <s v="-"/>
    <n v="0"/>
    <s v="-"/>
    <n v="0"/>
    <s v="-"/>
    <n v="0"/>
    <m/>
    <n v="0"/>
    <m/>
    <m/>
    <m/>
    <m/>
    <n v="0"/>
    <m/>
    <n v="0"/>
    <m/>
    <n v="0"/>
    <m/>
    <n v="0"/>
    <m/>
    <n v="0"/>
    <m/>
    <m/>
    <m/>
    <m/>
    <n v="0"/>
    <m/>
    <n v="0"/>
    <m/>
    <n v="0"/>
    <m/>
    <n v="0"/>
    <m/>
    <n v="0"/>
    <m/>
    <m/>
    <m/>
    <m/>
    <n v="0"/>
    <n v="0"/>
    <n v="0"/>
    <n v="0"/>
    <n v="0"/>
    <n v="0"/>
    <n v="0"/>
    <n v="0"/>
    <n v="0"/>
    <m/>
    <n v="0"/>
    <n v="0"/>
    <m/>
    <m/>
    <x v="0"/>
    <x v="0"/>
  </r>
  <r>
    <n v="24"/>
    <x v="0"/>
    <x v="2"/>
    <s v="PSM costs"/>
    <x v="7"/>
    <m/>
    <m/>
    <m/>
    <m/>
    <m/>
    <m/>
    <m/>
    <m/>
    <m/>
    <s v="-"/>
    <n v="0"/>
    <s v="-"/>
    <n v="0"/>
    <s v="-"/>
    <n v="0"/>
    <s v="-"/>
    <n v="0"/>
    <m/>
    <n v="0"/>
    <m/>
    <m/>
    <m/>
    <m/>
    <n v="0"/>
    <m/>
    <n v="0"/>
    <m/>
    <n v="0"/>
    <m/>
    <n v="0"/>
    <m/>
    <n v="0"/>
    <m/>
    <m/>
    <m/>
    <m/>
    <n v="0"/>
    <m/>
    <n v="0"/>
    <m/>
    <n v="0"/>
    <m/>
    <n v="0"/>
    <m/>
    <n v="0"/>
    <m/>
    <m/>
    <m/>
    <m/>
    <n v="0"/>
    <n v="0"/>
    <n v="0"/>
    <n v="0"/>
    <n v="0"/>
    <n v="0"/>
    <n v="0"/>
    <n v="0"/>
    <n v="0"/>
    <m/>
    <n v="0"/>
    <n v="0"/>
    <m/>
    <m/>
    <x v="0"/>
    <x v="0"/>
  </r>
  <r>
    <n v="25"/>
    <x v="0"/>
    <x v="3"/>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26"/>
    <x v="0"/>
    <x v="3"/>
    <s v="PSM costs"/>
    <x v="1"/>
    <m/>
    <m/>
    <m/>
    <m/>
    <m/>
    <m/>
    <m/>
    <m/>
    <m/>
    <s v="-"/>
    <n v="0"/>
    <s v="-"/>
    <n v="0"/>
    <s v="-"/>
    <n v="0"/>
    <s v="-"/>
    <n v="0"/>
    <m/>
    <n v="0"/>
    <m/>
    <m/>
    <m/>
    <m/>
    <n v="0"/>
    <m/>
    <n v="0"/>
    <m/>
    <n v="0"/>
    <m/>
    <n v="0"/>
    <m/>
    <n v="0"/>
    <m/>
    <m/>
    <m/>
    <m/>
    <n v="0"/>
    <m/>
    <n v="0"/>
    <m/>
    <n v="0"/>
    <m/>
    <n v="0"/>
    <m/>
    <n v="0"/>
    <m/>
    <m/>
    <m/>
    <m/>
    <n v="0"/>
    <n v="0"/>
    <n v="0"/>
    <n v="0"/>
    <n v="0"/>
    <n v="0"/>
    <n v="0"/>
    <n v="0"/>
    <n v="0"/>
    <m/>
    <n v="0"/>
    <n v="0"/>
    <m/>
    <m/>
    <x v="0"/>
    <x v="0"/>
  </r>
  <r>
    <n v="27"/>
    <x v="0"/>
    <x v="3"/>
    <s v="PSM costs"/>
    <x v="2"/>
    <m/>
    <m/>
    <m/>
    <m/>
    <m/>
    <m/>
    <m/>
    <m/>
    <m/>
    <s v="-"/>
    <n v="0"/>
    <s v="-"/>
    <n v="0"/>
    <s v="-"/>
    <n v="0"/>
    <s v="-"/>
    <n v="0"/>
    <m/>
    <n v="0"/>
    <m/>
    <m/>
    <m/>
    <m/>
    <n v="0"/>
    <m/>
    <n v="0"/>
    <m/>
    <n v="0"/>
    <m/>
    <n v="0"/>
    <m/>
    <n v="0"/>
    <m/>
    <m/>
    <m/>
    <m/>
    <n v="0"/>
    <m/>
    <n v="0"/>
    <m/>
    <n v="0"/>
    <m/>
    <n v="0"/>
    <m/>
    <n v="0"/>
    <m/>
    <m/>
    <m/>
    <m/>
    <n v="0"/>
    <n v="0"/>
    <n v="0"/>
    <n v="0"/>
    <n v="0"/>
    <n v="0"/>
    <n v="0"/>
    <n v="0"/>
    <n v="0"/>
    <m/>
    <n v="0"/>
    <n v="0"/>
    <m/>
    <m/>
    <x v="0"/>
    <x v="0"/>
  </r>
  <r>
    <n v="28"/>
    <x v="0"/>
    <x v="3"/>
    <s v="PSM costs"/>
    <x v="3"/>
    <m/>
    <m/>
    <m/>
    <m/>
    <m/>
    <m/>
    <m/>
    <m/>
    <m/>
    <s v="-"/>
    <n v="0"/>
    <s v="-"/>
    <n v="0"/>
    <s v="-"/>
    <n v="0"/>
    <s v="-"/>
    <n v="0"/>
    <m/>
    <n v="0"/>
    <m/>
    <m/>
    <m/>
    <m/>
    <n v="0"/>
    <m/>
    <n v="0"/>
    <m/>
    <n v="0"/>
    <m/>
    <n v="0"/>
    <m/>
    <n v="0"/>
    <m/>
    <m/>
    <m/>
    <m/>
    <n v="0"/>
    <m/>
    <n v="0"/>
    <m/>
    <n v="0"/>
    <m/>
    <n v="0"/>
    <m/>
    <n v="0"/>
    <m/>
    <m/>
    <m/>
    <m/>
    <n v="0"/>
    <n v="0"/>
    <n v="0"/>
    <n v="0"/>
    <n v="0"/>
    <n v="0"/>
    <n v="0"/>
    <n v="0"/>
    <n v="0"/>
    <m/>
    <n v="0"/>
    <n v="0"/>
    <m/>
    <m/>
    <x v="0"/>
    <x v="0"/>
  </r>
  <r>
    <n v="29"/>
    <x v="0"/>
    <x v="3"/>
    <s v="PSM costs"/>
    <x v="4"/>
    <m/>
    <m/>
    <m/>
    <m/>
    <m/>
    <m/>
    <m/>
    <m/>
    <m/>
    <s v="-"/>
    <n v="0"/>
    <s v="-"/>
    <n v="0"/>
    <s v="-"/>
    <n v="0"/>
    <s v="-"/>
    <n v="0"/>
    <m/>
    <n v="0"/>
    <m/>
    <m/>
    <m/>
    <m/>
    <n v="0"/>
    <m/>
    <n v="0"/>
    <m/>
    <n v="0"/>
    <m/>
    <n v="0"/>
    <m/>
    <n v="0"/>
    <m/>
    <m/>
    <m/>
    <m/>
    <n v="0"/>
    <m/>
    <n v="0"/>
    <m/>
    <n v="0"/>
    <m/>
    <n v="0"/>
    <m/>
    <n v="0"/>
    <m/>
    <m/>
    <m/>
    <m/>
    <n v="0"/>
    <n v="0"/>
    <n v="0"/>
    <n v="0"/>
    <n v="0"/>
    <n v="0"/>
    <n v="0"/>
    <n v="0"/>
    <n v="0"/>
    <m/>
    <n v="0"/>
    <n v="0"/>
    <m/>
    <m/>
    <x v="0"/>
    <x v="0"/>
  </r>
  <r>
    <n v="30"/>
    <x v="0"/>
    <x v="3"/>
    <s v="PSM costs"/>
    <x v="5"/>
    <m/>
    <m/>
    <m/>
    <m/>
    <m/>
    <m/>
    <m/>
    <m/>
    <m/>
    <s v="-"/>
    <n v="0"/>
    <s v="-"/>
    <n v="0"/>
    <s v="-"/>
    <n v="0"/>
    <s v="-"/>
    <n v="0"/>
    <m/>
    <n v="0"/>
    <m/>
    <m/>
    <m/>
    <m/>
    <n v="0"/>
    <m/>
    <n v="0"/>
    <m/>
    <n v="0"/>
    <m/>
    <n v="0"/>
    <m/>
    <n v="0"/>
    <m/>
    <m/>
    <m/>
    <m/>
    <n v="0"/>
    <m/>
    <n v="0"/>
    <m/>
    <n v="0"/>
    <m/>
    <n v="0"/>
    <m/>
    <n v="0"/>
    <m/>
    <m/>
    <m/>
    <m/>
    <n v="0"/>
    <n v="0"/>
    <n v="0"/>
    <n v="0"/>
    <n v="0"/>
    <n v="0"/>
    <n v="0"/>
    <n v="0"/>
    <n v="0"/>
    <m/>
    <n v="0"/>
    <n v="0"/>
    <m/>
    <m/>
    <x v="0"/>
    <x v="0"/>
  </r>
  <r>
    <n v="31"/>
    <x v="0"/>
    <x v="3"/>
    <s v="PSM costs"/>
    <x v="6"/>
    <m/>
    <m/>
    <m/>
    <m/>
    <m/>
    <m/>
    <m/>
    <m/>
    <m/>
    <s v="-"/>
    <n v="0"/>
    <s v="-"/>
    <n v="0"/>
    <s v="-"/>
    <n v="0"/>
    <s v="-"/>
    <n v="0"/>
    <m/>
    <n v="0"/>
    <m/>
    <m/>
    <m/>
    <m/>
    <n v="0"/>
    <m/>
    <n v="0"/>
    <m/>
    <n v="0"/>
    <m/>
    <n v="0"/>
    <m/>
    <n v="0"/>
    <m/>
    <m/>
    <m/>
    <m/>
    <n v="0"/>
    <m/>
    <n v="0"/>
    <m/>
    <n v="0"/>
    <m/>
    <n v="0"/>
    <m/>
    <n v="0"/>
    <m/>
    <m/>
    <m/>
    <m/>
    <n v="0"/>
    <n v="0"/>
    <n v="0"/>
    <n v="0"/>
    <n v="0"/>
    <n v="0"/>
    <n v="0"/>
    <n v="0"/>
    <n v="0"/>
    <m/>
    <n v="0"/>
    <n v="0"/>
    <m/>
    <m/>
    <x v="0"/>
    <x v="0"/>
  </r>
  <r>
    <n v="32"/>
    <x v="0"/>
    <x v="3"/>
    <s v="PSM costs"/>
    <x v="7"/>
    <m/>
    <m/>
    <m/>
    <m/>
    <m/>
    <m/>
    <m/>
    <m/>
    <m/>
    <s v="-"/>
    <n v="0"/>
    <s v="-"/>
    <n v="0"/>
    <s v="-"/>
    <n v="0"/>
    <s v="-"/>
    <n v="0"/>
    <m/>
    <n v="0"/>
    <m/>
    <m/>
    <m/>
    <m/>
    <n v="0"/>
    <m/>
    <n v="0"/>
    <m/>
    <n v="0"/>
    <m/>
    <n v="0"/>
    <m/>
    <n v="0"/>
    <m/>
    <m/>
    <m/>
    <m/>
    <n v="0"/>
    <m/>
    <n v="0"/>
    <m/>
    <n v="0"/>
    <m/>
    <n v="0"/>
    <m/>
    <n v="0"/>
    <m/>
    <m/>
    <m/>
    <m/>
    <n v="0"/>
    <n v="0"/>
    <n v="0"/>
    <n v="0"/>
    <n v="0"/>
    <n v="0"/>
    <n v="0"/>
    <n v="0"/>
    <n v="0"/>
    <m/>
    <n v="0"/>
    <n v="0"/>
    <m/>
    <m/>
    <x v="0"/>
    <x v="0"/>
  </r>
  <r>
    <n v="33"/>
    <x v="0"/>
    <x v="4"/>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34"/>
    <x v="0"/>
    <x v="4"/>
    <s v="PSM costs"/>
    <x v="1"/>
    <m/>
    <m/>
    <m/>
    <m/>
    <m/>
    <m/>
    <m/>
    <m/>
    <m/>
    <s v="-"/>
    <n v="0"/>
    <s v="-"/>
    <n v="0"/>
    <s v="-"/>
    <n v="0"/>
    <s v="-"/>
    <n v="0"/>
    <m/>
    <n v="0"/>
    <m/>
    <m/>
    <m/>
    <m/>
    <n v="0"/>
    <m/>
    <n v="0"/>
    <m/>
    <n v="0"/>
    <m/>
    <n v="0"/>
    <m/>
    <n v="0"/>
    <m/>
    <m/>
    <m/>
    <m/>
    <n v="0"/>
    <m/>
    <n v="0"/>
    <m/>
    <n v="0"/>
    <m/>
    <n v="0"/>
    <m/>
    <n v="0"/>
    <m/>
    <m/>
    <m/>
    <m/>
    <n v="0"/>
    <n v="0"/>
    <n v="0"/>
    <n v="0"/>
    <n v="0"/>
    <n v="0"/>
    <n v="0"/>
    <n v="0"/>
    <n v="0"/>
    <m/>
    <n v="0"/>
    <n v="0"/>
    <m/>
    <m/>
    <x v="0"/>
    <x v="0"/>
  </r>
  <r>
    <n v="35"/>
    <x v="0"/>
    <x v="4"/>
    <s v="PSM costs"/>
    <x v="2"/>
    <m/>
    <m/>
    <m/>
    <m/>
    <m/>
    <m/>
    <m/>
    <m/>
    <m/>
    <s v="-"/>
    <n v="0"/>
    <s v="-"/>
    <n v="0"/>
    <s v="-"/>
    <n v="0"/>
    <s v="-"/>
    <n v="0"/>
    <m/>
    <n v="0"/>
    <m/>
    <m/>
    <m/>
    <m/>
    <n v="0"/>
    <m/>
    <n v="0"/>
    <m/>
    <n v="0"/>
    <m/>
    <n v="0"/>
    <m/>
    <n v="0"/>
    <m/>
    <m/>
    <m/>
    <m/>
    <n v="0"/>
    <m/>
    <n v="0"/>
    <m/>
    <n v="0"/>
    <m/>
    <n v="0"/>
    <m/>
    <n v="0"/>
    <m/>
    <m/>
    <m/>
    <m/>
    <n v="0"/>
    <n v="0"/>
    <n v="0"/>
    <n v="0"/>
    <n v="0"/>
    <n v="0"/>
    <n v="0"/>
    <n v="0"/>
    <n v="0"/>
    <m/>
    <n v="0"/>
    <n v="0"/>
    <m/>
    <m/>
    <x v="0"/>
    <x v="0"/>
  </r>
  <r>
    <n v="36"/>
    <x v="0"/>
    <x v="4"/>
    <s v="PSM costs"/>
    <x v="3"/>
    <m/>
    <m/>
    <m/>
    <m/>
    <m/>
    <m/>
    <m/>
    <m/>
    <m/>
    <s v="-"/>
    <n v="0"/>
    <s v="-"/>
    <n v="0"/>
    <s v="-"/>
    <n v="0"/>
    <s v="-"/>
    <n v="0"/>
    <m/>
    <n v="0"/>
    <m/>
    <m/>
    <m/>
    <m/>
    <n v="0"/>
    <m/>
    <n v="0"/>
    <m/>
    <n v="0"/>
    <m/>
    <n v="0"/>
    <m/>
    <n v="0"/>
    <m/>
    <m/>
    <m/>
    <m/>
    <n v="0"/>
    <m/>
    <n v="0"/>
    <m/>
    <n v="0"/>
    <m/>
    <n v="0"/>
    <m/>
    <n v="0"/>
    <m/>
    <m/>
    <m/>
    <m/>
    <n v="0"/>
    <n v="0"/>
    <n v="0"/>
    <n v="0"/>
    <n v="0"/>
    <n v="0"/>
    <n v="0"/>
    <n v="0"/>
    <n v="0"/>
    <m/>
    <n v="0"/>
    <n v="0"/>
    <m/>
    <m/>
    <x v="0"/>
    <x v="0"/>
  </r>
  <r>
    <n v="37"/>
    <x v="0"/>
    <x v="4"/>
    <s v="PSM costs"/>
    <x v="4"/>
    <m/>
    <m/>
    <m/>
    <m/>
    <m/>
    <m/>
    <m/>
    <m/>
    <m/>
    <s v="-"/>
    <n v="0"/>
    <s v="-"/>
    <n v="0"/>
    <s v="-"/>
    <n v="0"/>
    <s v="-"/>
    <n v="0"/>
    <m/>
    <n v="0"/>
    <m/>
    <m/>
    <m/>
    <m/>
    <n v="0"/>
    <m/>
    <n v="0"/>
    <m/>
    <n v="0"/>
    <m/>
    <n v="0"/>
    <m/>
    <n v="0"/>
    <m/>
    <m/>
    <m/>
    <m/>
    <n v="0"/>
    <m/>
    <n v="0"/>
    <m/>
    <n v="0"/>
    <m/>
    <n v="0"/>
    <m/>
    <n v="0"/>
    <m/>
    <m/>
    <m/>
    <m/>
    <n v="0"/>
    <n v="0"/>
    <n v="0"/>
    <n v="0"/>
    <n v="0"/>
    <n v="0"/>
    <n v="0"/>
    <n v="0"/>
    <n v="0"/>
    <m/>
    <n v="0"/>
    <n v="0"/>
    <m/>
    <m/>
    <x v="0"/>
    <x v="0"/>
  </r>
  <r>
    <n v="38"/>
    <x v="0"/>
    <x v="4"/>
    <s v="PSM costs"/>
    <x v="5"/>
    <m/>
    <m/>
    <m/>
    <m/>
    <m/>
    <m/>
    <m/>
    <m/>
    <m/>
    <s v="-"/>
    <n v="0"/>
    <s v="-"/>
    <n v="0"/>
    <s v="-"/>
    <n v="0"/>
    <s v="-"/>
    <n v="0"/>
    <m/>
    <n v="0"/>
    <m/>
    <m/>
    <m/>
    <m/>
    <n v="0"/>
    <m/>
    <n v="0"/>
    <m/>
    <n v="0"/>
    <m/>
    <n v="0"/>
    <m/>
    <n v="0"/>
    <m/>
    <m/>
    <m/>
    <m/>
    <n v="0"/>
    <m/>
    <n v="0"/>
    <m/>
    <n v="0"/>
    <m/>
    <n v="0"/>
    <m/>
    <n v="0"/>
    <m/>
    <m/>
    <m/>
    <m/>
    <n v="0"/>
    <n v="0"/>
    <n v="0"/>
    <n v="0"/>
    <n v="0"/>
    <n v="0"/>
    <n v="0"/>
    <n v="0"/>
    <n v="0"/>
    <m/>
    <n v="0"/>
    <n v="0"/>
    <m/>
    <m/>
    <x v="0"/>
    <x v="0"/>
  </r>
  <r>
    <n v="39"/>
    <x v="0"/>
    <x v="4"/>
    <s v="PSM costs"/>
    <x v="6"/>
    <m/>
    <m/>
    <m/>
    <m/>
    <m/>
    <m/>
    <m/>
    <m/>
    <m/>
    <s v="-"/>
    <n v="0"/>
    <s v="-"/>
    <n v="0"/>
    <s v="-"/>
    <n v="0"/>
    <s v="-"/>
    <n v="0"/>
    <m/>
    <n v="0"/>
    <m/>
    <m/>
    <m/>
    <m/>
    <n v="0"/>
    <m/>
    <n v="0"/>
    <m/>
    <n v="0"/>
    <m/>
    <n v="0"/>
    <m/>
    <n v="0"/>
    <m/>
    <m/>
    <m/>
    <m/>
    <n v="0"/>
    <m/>
    <n v="0"/>
    <m/>
    <n v="0"/>
    <m/>
    <n v="0"/>
    <m/>
    <n v="0"/>
    <m/>
    <m/>
    <m/>
    <m/>
    <n v="0"/>
    <n v="0"/>
    <n v="0"/>
    <n v="0"/>
    <n v="0"/>
    <n v="0"/>
    <n v="0"/>
    <n v="0"/>
    <n v="0"/>
    <m/>
    <n v="0"/>
    <n v="0"/>
    <m/>
    <m/>
    <x v="0"/>
    <x v="0"/>
  </r>
  <r>
    <n v="40"/>
    <x v="0"/>
    <x v="4"/>
    <s v="PSM costs"/>
    <x v="7"/>
    <m/>
    <m/>
    <m/>
    <m/>
    <m/>
    <m/>
    <m/>
    <m/>
    <m/>
    <s v="-"/>
    <n v="0"/>
    <s v="-"/>
    <n v="0"/>
    <s v="-"/>
    <n v="0"/>
    <s v="-"/>
    <n v="0"/>
    <m/>
    <n v="0"/>
    <m/>
    <m/>
    <m/>
    <m/>
    <n v="0"/>
    <m/>
    <n v="0"/>
    <m/>
    <n v="0"/>
    <m/>
    <n v="0"/>
    <m/>
    <n v="0"/>
    <m/>
    <m/>
    <m/>
    <m/>
    <n v="0"/>
    <m/>
    <n v="0"/>
    <m/>
    <n v="0"/>
    <m/>
    <n v="0"/>
    <m/>
    <n v="0"/>
    <m/>
    <m/>
    <m/>
    <m/>
    <n v="0"/>
    <n v="0"/>
    <n v="0"/>
    <n v="0"/>
    <n v="0"/>
    <n v="0"/>
    <n v="0"/>
    <n v="0"/>
    <n v="0"/>
    <m/>
    <n v="0"/>
    <n v="0"/>
    <m/>
    <m/>
    <x v="0"/>
    <x v="0"/>
  </r>
  <r>
    <n v="41"/>
    <x v="0"/>
    <x v="5"/>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42"/>
    <x v="0"/>
    <x v="5"/>
    <s v="PSM costs"/>
    <x v="1"/>
    <m/>
    <m/>
    <m/>
    <m/>
    <m/>
    <m/>
    <m/>
    <m/>
    <m/>
    <s v="-"/>
    <n v="0"/>
    <s v="-"/>
    <n v="0"/>
    <s v="-"/>
    <n v="0"/>
    <s v="-"/>
    <n v="0"/>
    <m/>
    <n v="0"/>
    <m/>
    <m/>
    <m/>
    <m/>
    <n v="0"/>
    <m/>
    <n v="0"/>
    <m/>
    <n v="0"/>
    <m/>
    <n v="0"/>
    <m/>
    <n v="0"/>
    <m/>
    <m/>
    <m/>
    <m/>
    <n v="0"/>
    <m/>
    <n v="0"/>
    <m/>
    <n v="0"/>
    <m/>
    <n v="0"/>
    <m/>
    <n v="0"/>
    <m/>
    <m/>
    <m/>
    <m/>
    <n v="0"/>
    <n v="0"/>
    <n v="0"/>
    <n v="0"/>
    <n v="0"/>
    <n v="0"/>
    <n v="0"/>
    <n v="0"/>
    <n v="0"/>
    <m/>
    <n v="0"/>
    <n v="0"/>
    <m/>
    <m/>
    <x v="0"/>
    <x v="0"/>
  </r>
  <r>
    <n v="43"/>
    <x v="0"/>
    <x v="5"/>
    <s v="PSM costs"/>
    <x v="2"/>
    <m/>
    <m/>
    <m/>
    <m/>
    <m/>
    <m/>
    <m/>
    <m/>
    <m/>
    <s v="-"/>
    <n v="0"/>
    <s v="-"/>
    <n v="0"/>
    <s v="-"/>
    <n v="0"/>
    <s v="-"/>
    <n v="0"/>
    <m/>
    <n v="0"/>
    <m/>
    <m/>
    <m/>
    <m/>
    <n v="0"/>
    <m/>
    <n v="0"/>
    <m/>
    <n v="0"/>
    <m/>
    <n v="0"/>
    <m/>
    <n v="0"/>
    <m/>
    <m/>
    <m/>
    <m/>
    <n v="0"/>
    <m/>
    <n v="0"/>
    <m/>
    <n v="0"/>
    <m/>
    <n v="0"/>
    <m/>
    <n v="0"/>
    <m/>
    <m/>
    <m/>
    <m/>
    <n v="0"/>
    <n v="0"/>
    <n v="0"/>
    <n v="0"/>
    <n v="0"/>
    <n v="0"/>
    <n v="0"/>
    <n v="0"/>
    <n v="0"/>
    <m/>
    <n v="0"/>
    <n v="0"/>
    <m/>
    <m/>
    <x v="0"/>
    <x v="0"/>
  </r>
  <r>
    <n v="44"/>
    <x v="0"/>
    <x v="5"/>
    <s v="PSM costs"/>
    <x v="3"/>
    <m/>
    <m/>
    <m/>
    <m/>
    <m/>
    <m/>
    <m/>
    <m/>
    <m/>
    <s v="-"/>
    <n v="0"/>
    <s v="-"/>
    <n v="0"/>
    <s v="-"/>
    <n v="0"/>
    <s v="-"/>
    <n v="0"/>
    <m/>
    <n v="0"/>
    <m/>
    <m/>
    <m/>
    <m/>
    <n v="0"/>
    <m/>
    <n v="0"/>
    <m/>
    <n v="0"/>
    <m/>
    <n v="0"/>
    <m/>
    <n v="0"/>
    <m/>
    <m/>
    <m/>
    <m/>
    <n v="0"/>
    <m/>
    <n v="0"/>
    <m/>
    <n v="0"/>
    <m/>
    <n v="0"/>
    <m/>
    <n v="0"/>
    <m/>
    <m/>
    <m/>
    <m/>
    <n v="0"/>
    <n v="0"/>
    <n v="0"/>
    <n v="0"/>
    <n v="0"/>
    <n v="0"/>
    <n v="0"/>
    <n v="0"/>
    <n v="0"/>
    <m/>
    <n v="0"/>
    <n v="0"/>
    <m/>
    <m/>
    <x v="0"/>
    <x v="0"/>
  </r>
  <r>
    <n v="45"/>
    <x v="0"/>
    <x v="5"/>
    <s v="PSM costs"/>
    <x v="4"/>
    <m/>
    <m/>
    <m/>
    <m/>
    <m/>
    <m/>
    <m/>
    <m/>
    <m/>
    <s v="-"/>
    <n v="0"/>
    <s v="-"/>
    <n v="0"/>
    <s v="-"/>
    <n v="0"/>
    <s v="-"/>
    <n v="0"/>
    <m/>
    <n v="0"/>
    <m/>
    <m/>
    <m/>
    <m/>
    <n v="0"/>
    <m/>
    <n v="0"/>
    <m/>
    <n v="0"/>
    <m/>
    <n v="0"/>
    <m/>
    <n v="0"/>
    <m/>
    <m/>
    <m/>
    <m/>
    <n v="0"/>
    <m/>
    <n v="0"/>
    <m/>
    <n v="0"/>
    <m/>
    <n v="0"/>
    <m/>
    <n v="0"/>
    <m/>
    <m/>
    <m/>
    <m/>
    <n v="0"/>
    <n v="0"/>
    <n v="0"/>
    <n v="0"/>
    <n v="0"/>
    <n v="0"/>
    <n v="0"/>
    <n v="0"/>
    <n v="0"/>
    <m/>
    <n v="0"/>
    <n v="0"/>
    <m/>
    <m/>
    <x v="0"/>
    <x v="0"/>
  </r>
  <r>
    <n v="46"/>
    <x v="0"/>
    <x v="5"/>
    <s v="PSM costs"/>
    <x v="5"/>
    <m/>
    <m/>
    <m/>
    <m/>
    <m/>
    <m/>
    <m/>
    <m/>
    <m/>
    <s v="-"/>
    <n v="0"/>
    <s v="-"/>
    <n v="0"/>
    <s v="-"/>
    <n v="0"/>
    <s v="-"/>
    <n v="0"/>
    <m/>
    <n v="0"/>
    <m/>
    <m/>
    <m/>
    <m/>
    <n v="0"/>
    <m/>
    <n v="0"/>
    <m/>
    <n v="0"/>
    <m/>
    <n v="0"/>
    <m/>
    <n v="0"/>
    <m/>
    <m/>
    <m/>
    <m/>
    <n v="0"/>
    <m/>
    <n v="0"/>
    <m/>
    <n v="0"/>
    <m/>
    <n v="0"/>
    <m/>
    <n v="0"/>
    <m/>
    <m/>
    <m/>
    <m/>
    <n v="0"/>
    <n v="0"/>
    <n v="0"/>
    <n v="0"/>
    <n v="0"/>
    <n v="0"/>
    <n v="0"/>
    <n v="0"/>
    <n v="0"/>
    <m/>
    <n v="0"/>
    <n v="0"/>
    <m/>
    <m/>
    <x v="0"/>
    <x v="0"/>
  </r>
  <r>
    <n v="47"/>
    <x v="0"/>
    <x v="5"/>
    <s v="PSM costs"/>
    <x v="6"/>
    <m/>
    <m/>
    <m/>
    <m/>
    <m/>
    <m/>
    <m/>
    <m/>
    <m/>
    <s v="-"/>
    <n v="0"/>
    <s v="-"/>
    <n v="0"/>
    <s v="-"/>
    <n v="0"/>
    <s v="-"/>
    <n v="0"/>
    <m/>
    <n v="0"/>
    <m/>
    <m/>
    <m/>
    <m/>
    <n v="0"/>
    <m/>
    <n v="0"/>
    <m/>
    <n v="0"/>
    <m/>
    <n v="0"/>
    <m/>
    <n v="0"/>
    <m/>
    <m/>
    <m/>
    <m/>
    <n v="0"/>
    <m/>
    <n v="0"/>
    <m/>
    <n v="0"/>
    <m/>
    <n v="0"/>
    <m/>
    <n v="0"/>
    <m/>
    <m/>
    <m/>
    <m/>
    <n v="0"/>
    <n v="0"/>
    <n v="0"/>
    <n v="0"/>
    <n v="0"/>
    <n v="0"/>
    <n v="0"/>
    <n v="0"/>
    <n v="0"/>
    <m/>
    <n v="0"/>
    <n v="0"/>
    <m/>
    <m/>
    <x v="0"/>
    <x v="0"/>
  </r>
  <r>
    <n v="48"/>
    <x v="0"/>
    <x v="5"/>
    <s v="PSM costs"/>
    <x v="7"/>
    <m/>
    <m/>
    <m/>
    <m/>
    <m/>
    <m/>
    <m/>
    <m/>
    <m/>
    <s v="-"/>
    <n v="0"/>
    <s v="-"/>
    <n v="0"/>
    <s v="-"/>
    <n v="0"/>
    <s v="-"/>
    <n v="0"/>
    <m/>
    <n v="0"/>
    <m/>
    <m/>
    <m/>
    <m/>
    <n v="0"/>
    <m/>
    <n v="0"/>
    <m/>
    <n v="0"/>
    <m/>
    <n v="0"/>
    <m/>
    <n v="0"/>
    <m/>
    <m/>
    <m/>
    <m/>
    <n v="0"/>
    <m/>
    <n v="0"/>
    <m/>
    <n v="0"/>
    <m/>
    <n v="0"/>
    <m/>
    <n v="0"/>
    <m/>
    <m/>
    <m/>
    <m/>
    <n v="0"/>
    <n v="0"/>
    <n v="0"/>
    <n v="0"/>
    <n v="0"/>
    <n v="0"/>
    <n v="0"/>
    <n v="0"/>
    <n v="0"/>
    <m/>
    <n v="0"/>
    <n v="0"/>
    <m/>
    <m/>
    <x v="0"/>
    <x v="0"/>
  </r>
  <r>
    <n v="49"/>
    <x v="0"/>
    <x v="6"/>
    <s v="Procurement of IRS insecticides"/>
    <x v="8"/>
    <m/>
    <m/>
    <m/>
    <m/>
    <m/>
    <m/>
    <m/>
    <m/>
    <m/>
    <s v="-"/>
    <n v="0"/>
    <s v="-"/>
    <n v="0"/>
    <s v="-"/>
    <n v="0"/>
    <s v="-"/>
    <n v="0"/>
    <m/>
    <n v="0"/>
    <m/>
    <m/>
    <m/>
    <m/>
    <n v="0"/>
    <m/>
    <n v="0"/>
    <m/>
    <n v="0"/>
    <m/>
    <n v="0"/>
    <m/>
    <n v="0"/>
    <m/>
    <m/>
    <m/>
    <m/>
    <n v="0"/>
    <m/>
    <n v="0"/>
    <m/>
    <n v="0"/>
    <m/>
    <n v="0"/>
    <m/>
    <n v="0"/>
    <m/>
    <m/>
    <m/>
    <m/>
    <n v="0"/>
    <n v="0"/>
    <n v="0"/>
    <n v="0"/>
    <n v="0"/>
    <n v="0"/>
    <n v="0"/>
    <n v="0"/>
    <n v="0"/>
    <m/>
    <n v="0"/>
    <n v="0"/>
    <m/>
    <m/>
    <x v="0"/>
    <x v="0"/>
  </r>
  <r>
    <n v="50"/>
    <x v="0"/>
    <x v="6"/>
    <s v="Procurement of IRS equipment, spare parts and accessories"/>
    <x v="9"/>
    <m/>
    <m/>
    <m/>
    <m/>
    <m/>
    <m/>
    <m/>
    <m/>
    <m/>
    <s v="-"/>
    <n v="0"/>
    <s v="-"/>
    <n v="0"/>
    <s v="-"/>
    <n v="0"/>
    <s v="-"/>
    <n v="0"/>
    <m/>
    <n v="0"/>
    <m/>
    <m/>
    <m/>
    <m/>
    <n v="0"/>
    <m/>
    <n v="0"/>
    <m/>
    <n v="0"/>
    <m/>
    <n v="0"/>
    <m/>
    <n v="0"/>
    <m/>
    <m/>
    <m/>
    <m/>
    <n v="0"/>
    <m/>
    <n v="0"/>
    <m/>
    <n v="0"/>
    <m/>
    <n v="0"/>
    <m/>
    <n v="0"/>
    <m/>
    <m/>
    <m/>
    <m/>
    <n v="0"/>
    <n v="0"/>
    <n v="0"/>
    <n v="0"/>
    <n v="0"/>
    <n v="0"/>
    <n v="0"/>
    <n v="0"/>
    <n v="0"/>
    <m/>
    <n v="0"/>
    <n v="0"/>
    <m/>
    <m/>
    <x v="0"/>
    <x v="0"/>
  </r>
  <r>
    <n v="51"/>
    <x v="0"/>
    <x v="6"/>
    <s v="PSM costs"/>
    <x v="1"/>
    <m/>
    <m/>
    <m/>
    <m/>
    <m/>
    <m/>
    <m/>
    <m/>
    <m/>
    <s v="-"/>
    <n v="0"/>
    <s v="-"/>
    <n v="0"/>
    <s v="-"/>
    <n v="0"/>
    <s v="-"/>
    <n v="0"/>
    <m/>
    <n v="0"/>
    <m/>
    <m/>
    <m/>
    <m/>
    <n v="0"/>
    <m/>
    <n v="0"/>
    <m/>
    <n v="0"/>
    <m/>
    <n v="0"/>
    <m/>
    <n v="0"/>
    <m/>
    <m/>
    <m/>
    <m/>
    <n v="0"/>
    <m/>
    <n v="0"/>
    <m/>
    <n v="0"/>
    <m/>
    <n v="0"/>
    <m/>
    <n v="0"/>
    <m/>
    <m/>
    <m/>
    <m/>
    <n v="0"/>
    <n v="0"/>
    <n v="0"/>
    <n v="0"/>
    <n v="0"/>
    <n v="0"/>
    <n v="0"/>
    <n v="0"/>
    <n v="0"/>
    <m/>
    <n v="0"/>
    <n v="0"/>
    <m/>
    <m/>
    <x v="0"/>
    <x v="0"/>
  </r>
  <r>
    <n v="52"/>
    <x v="0"/>
    <x v="6"/>
    <s v="PSM costs"/>
    <x v="2"/>
    <m/>
    <m/>
    <m/>
    <m/>
    <m/>
    <m/>
    <m/>
    <m/>
    <m/>
    <s v="-"/>
    <n v="0"/>
    <s v="-"/>
    <n v="0"/>
    <s v="-"/>
    <n v="0"/>
    <s v="-"/>
    <n v="0"/>
    <m/>
    <n v="0"/>
    <m/>
    <m/>
    <m/>
    <m/>
    <n v="0"/>
    <m/>
    <n v="0"/>
    <m/>
    <n v="0"/>
    <m/>
    <n v="0"/>
    <m/>
    <n v="0"/>
    <m/>
    <m/>
    <m/>
    <m/>
    <n v="0"/>
    <m/>
    <n v="0"/>
    <m/>
    <n v="0"/>
    <m/>
    <n v="0"/>
    <m/>
    <n v="0"/>
    <m/>
    <m/>
    <m/>
    <m/>
    <n v="0"/>
    <n v="0"/>
    <n v="0"/>
    <n v="0"/>
    <n v="0"/>
    <n v="0"/>
    <n v="0"/>
    <n v="0"/>
    <n v="0"/>
    <m/>
    <n v="0"/>
    <n v="0"/>
    <m/>
    <m/>
    <x v="0"/>
    <x v="0"/>
  </r>
  <r>
    <n v="53"/>
    <x v="0"/>
    <x v="6"/>
    <s v="PSM costs"/>
    <x v="3"/>
    <m/>
    <m/>
    <m/>
    <m/>
    <m/>
    <m/>
    <m/>
    <m/>
    <m/>
    <s v="-"/>
    <n v="0"/>
    <s v="-"/>
    <n v="0"/>
    <s v="-"/>
    <n v="0"/>
    <s v="-"/>
    <n v="0"/>
    <m/>
    <n v="0"/>
    <m/>
    <m/>
    <m/>
    <m/>
    <n v="0"/>
    <m/>
    <n v="0"/>
    <m/>
    <n v="0"/>
    <m/>
    <n v="0"/>
    <m/>
    <n v="0"/>
    <m/>
    <m/>
    <m/>
    <m/>
    <n v="0"/>
    <m/>
    <n v="0"/>
    <m/>
    <n v="0"/>
    <m/>
    <n v="0"/>
    <m/>
    <n v="0"/>
    <m/>
    <m/>
    <m/>
    <m/>
    <n v="0"/>
    <n v="0"/>
    <n v="0"/>
    <n v="0"/>
    <n v="0"/>
    <n v="0"/>
    <n v="0"/>
    <n v="0"/>
    <n v="0"/>
    <m/>
    <n v="0"/>
    <n v="0"/>
    <m/>
    <m/>
    <x v="0"/>
    <x v="0"/>
  </r>
  <r>
    <n v="54"/>
    <x v="0"/>
    <x v="6"/>
    <s v="PSM costs"/>
    <x v="4"/>
    <m/>
    <m/>
    <m/>
    <m/>
    <m/>
    <m/>
    <m/>
    <m/>
    <m/>
    <s v="-"/>
    <n v="0"/>
    <s v="-"/>
    <n v="0"/>
    <s v="-"/>
    <n v="0"/>
    <s v="-"/>
    <n v="0"/>
    <m/>
    <n v="0"/>
    <m/>
    <m/>
    <m/>
    <m/>
    <n v="0"/>
    <m/>
    <n v="0"/>
    <m/>
    <n v="0"/>
    <m/>
    <n v="0"/>
    <m/>
    <n v="0"/>
    <m/>
    <m/>
    <m/>
    <m/>
    <n v="0"/>
    <m/>
    <n v="0"/>
    <m/>
    <n v="0"/>
    <m/>
    <n v="0"/>
    <m/>
    <n v="0"/>
    <m/>
    <m/>
    <m/>
    <m/>
    <n v="0"/>
    <n v="0"/>
    <n v="0"/>
    <n v="0"/>
    <n v="0"/>
    <n v="0"/>
    <n v="0"/>
    <n v="0"/>
    <n v="0"/>
    <m/>
    <n v="0"/>
    <n v="0"/>
    <m/>
    <m/>
    <x v="0"/>
    <x v="0"/>
  </r>
  <r>
    <n v="55"/>
    <x v="0"/>
    <x v="6"/>
    <s v="PSM costs"/>
    <x v="5"/>
    <m/>
    <m/>
    <m/>
    <m/>
    <m/>
    <m/>
    <m/>
    <m/>
    <m/>
    <s v="-"/>
    <n v="0"/>
    <s v="-"/>
    <n v="0"/>
    <s v="-"/>
    <n v="0"/>
    <s v="-"/>
    <n v="0"/>
    <m/>
    <n v="0"/>
    <m/>
    <m/>
    <m/>
    <m/>
    <n v="0"/>
    <m/>
    <n v="0"/>
    <m/>
    <n v="0"/>
    <m/>
    <n v="0"/>
    <m/>
    <n v="0"/>
    <m/>
    <m/>
    <m/>
    <m/>
    <n v="0"/>
    <m/>
    <n v="0"/>
    <m/>
    <n v="0"/>
    <m/>
    <n v="0"/>
    <m/>
    <n v="0"/>
    <m/>
    <m/>
    <m/>
    <m/>
    <n v="0"/>
    <n v="0"/>
    <n v="0"/>
    <n v="0"/>
    <n v="0"/>
    <n v="0"/>
    <n v="0"/>
    <n v="0"/>
    <n v="0"/>
    <m/>
    <n v="0"/>
    <n v="0"/>
    <m/>
    <m/>
    <x v="0"/>
    <x v="0"/>
  </r>
  <r>
    <n v="56"/>
    <x v="0"/>
    <x v="6"/>
    <s v="PSM costs"/>
    <x v="6"/>
    <m/>
    <m/>
    <m/>
    <m/>
    <m/>
    <m/>
    <m/>
    <m/>
    <m/>
    <s v="-"/>
    <n v="0"/>
    <s v="-"/>
    <n v="0"/>
    <s v="-"/>
    <n v="0"/>
    <s v="-"/>
    <n v="0"/>
    <m/>
    <n v="0"/>
    <m/>
    <m/>
    <m/>
    <m/>
    <n v="0"/>
    <m/>
    <n v="0"/>
    <m/>
    <n v="0"/>
    <m/>
    <n v="0"/>
    <m/>
    <n v="0"/>
    <m/>
    <m/>
    <m/>
    <m/>
    <n v="0"/>
    <m/>
    <n v="0"/>
    <m/>
    <n v="0"/>
    <m/>
    <n v="0"/>
    <m/>
    <n v="0"/>
    <m/>
    <m/>
    <m/>
    <m/>
    <n v="0"/>
    <n v="0"/>
    <n v="0"/>
    <n v="0"/>
    <n v="0"/>
    <n v="0"/>
    <n v="0"/>
    <n v="0"/>
    <n v="0"/>
    <m/>
    <n v="0"/>
    <n v="0"/>
    <m/>
    <m/>
    <x v="0"/>
    <x v="0"/>
  </r>
  <r>
    <n v="57"/>
    <x v="0"/>
    <x v="6"/>
    <s v="PSM costs"/>
    <x v="7"/>
    <m/>
    <m/>
    <m/>
    <m/>
    <m/>
    <m/>
    <m/>
    <m/>
    <m/>
    <s v="-"/>
    <n v="0"/>
    <s v="-"/>
    <n v="0"/>
    <s v="-"/>
    <n v="0"/>
    <s v="-"/>
    <n v="0"/>
    <m/>
    <n v="0"/>
    <m/>
    <m/>
    <m/>
    <m/>
    <n v="0"/>
    <m/>
    <n v="0"/>
    <m/>
    <n v="0"/>
    <m/>
    <n v="0"/>
    <m/>
    <n v="0"/>
    <m/>
    <m/>
    <m/>
    <m/>
    <n v="0"/>
    <m/>
    <n v="0"/>
    <m/>
    <n v="0"/>
    <m/>
    <n v="0"/>
    <m/>
    <n v="0"/>
    <m/>
    <m/>
    <m/>
    <m/>
    <n v="0"/>
    <n v="0"/>
    <n v="0"/>
    <n v="0"/>
    <n v="0"/>
    <n v="0"/>
    <n v="0"/>
    <n v="0"/>
    <n v="0"/>
    <m/>
    <n v="0"/>
    <n v="0"/>
    <m/>
    <m/>
    <x v="0"/>
    <x v="0"/>
  </r>
  <r>
    <n v="69"/>
    <x v="1"/>
    <x v="7"/>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70"/>
    <x v="1"/>
    <x v="7"/>
    <s v="Procurement of RDTs to diagnose malaria"/>
    <x v="11"/>
    <m/>
    <m/>
    <m/>
    <m/>
    <m/>
    <m/>
    <m/>
    <m/>
    <m/>
    <s v="-"/>
    <n v="0"/>
    <s v="-"/>
    <n v="0"/>
    <s v="-"/>
    <n v="0"/>
    <s v="-"/>
    <n v="0"/>
    <m/>
    <n v="0"/>
    <m/>
    <m/>
    <m/>
    <m/>
    <n v="0"/>
    <m/>
    <n v="0"/>
    <m/>
    <n v="0"/>
    <m/>
    <n v="0"/>
    <m/>
    <n v="0"/>
    <m/>
    <m/>
    <m/>
    <m/>
    <n v="0"/>
    <m/>
    <n v="0"/>
    <m/>
    <n v="0"/>
    <m/>
    <n v="0"/>
    <m/>
    <n v="0"/>
    <m/>
    <m/>
    <m/>
    <m/>
    <n v="0"/>
    <n v="0"/>
    <n v="0"/>
    <n v="0"/>
    <n v="0"/>
    <n v="0"/>
    <n v="0"/>
    <n v="0"/>
    <n v="0"/>
    <m/>
    <n v="0"/>
    <n v="0"/>
    <m/>
    <m/>
    <x v="0"/>
    <x v="0"/>
  </r>
  <r>
    <n v="71"/>
    <x v="1"/>
    <x v="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0"/>
  </r>
  <r>
    <n v="73"/>
    <x v="1"/>
    <x v="7"/>
    <s v="Procurement of other health equipment"/>
    <x v="9"/>
    <m/>
    <m/>
    <m/>
    <m/>
    <m/>
    <m/>
    <m/>
    <m/>
    <m/>
    <s v="-"/>
    <n v="0"/>
    <s v="-"/>
    <n v="0"/>
    <s v="-"/>
    <n v="0"/>
    <s v="-"/>
    <n v="0"/>
    <m/>
    <n v="0"/>
    <m/>
    <m/>
    <m/>
    <m/>
    <n v="0"/>
    <m/>
    <n v="0"/>
    <m/>
    <n v="0"/>
    <m/>
    <n v="0"/>
    <m/>
    <n v="0"/>
    <m/>
    <m/>
    <m/>
    <m/>
    <n v="0"/>
    <m/>
    <n v="0"/>
    <m/>
    <n v="0"/>
    <m/>
    <n v="0"/>
    <m/>
    <n v="0"/>
    <m/>
    <m/>
    <m/>
    <m/>
    <n v="0"/>
    <n v="0"/>
    <n v="0"/>
    <n v="0"/>
    <n v="0"/>
    <n v="0"/>
    <n v="0"/>
    <n v="0"/>
    <n v="0"/>
    <m/>
    <n v="0"/>
    <n v="0"/>
    <m/>
    <m/>
    <x v="0"/>
    <x v="0"/>
  </r>
  <r>
    <n v="74"/>
    <x v="1"/>
    <x v="7"/>
    <s v="Procurement of consumables"/>
    <x v="13"/>
    <m/>
    <m/>
    <m/>
    <m/>
    <m/>
    <m/>
    <m/>
    <m/>
    <m/>
    <s v="-"/>
    <n v="0"/>
    <s v="-"/>
    <n v="0"/>
    <s v="-"/>
    <n v="0"/>
    <s v="-"/>
    <n v="0"/>
    <m/>
    <n v="0"/>
    <m/>
    <m/>
    <m/>
    <m/>
    <n v="0"/>
    <m/>
    <n v="0"/>
    <m/>
    <n v="0"/>
    <m/>
    <n v="0"/>
    <m/>
    <n v="0"/>
    <m/>
    <m/>
    <m/>
    <m/>
    <n v="0"/>
    <m/>
    <n v="0"/>
    <m/>
    <n v="0"/>
    <m/>
    <n v="0"/>
    <m/>
    <n v="0"/>
    <m/>
    <m/>
    <m/>
    <m/>
    <n v="0"/>
    <n v="0"/>
    <n v="0"/>
    <n v="0"/>
    <n v="0"/>
    <n v="0"/>
    <n v="0"/>
    <n v="0"/>
    <n v="0"/>
    <m/>
    <n v="0"/>
    <n v="0"/>
    <m/>
    <m/>
    <x v="0"/>
    <x v="0"/>
  </r>
  <r>
    <n v="75"/>
    <x v="1"/>
    <x v="7"/>
    <s v="Procurement of laboratory reagents"/>
    <x v="14"/>
    <m/>
    <m/>
    <m/>
    <m/>
    <m/>
    <m/>
    <m/>
    <m/>
    <m/>
    <m/>
    <n v="0"/>
    <s v="-"/>
    <n v="0"/>
    <s v="-"/>
    <n v="0"/>
    <s v="-"/>
    <n v="0"/>
    <m/>
    <n v="0"/>
    <m/>
    <m/>
    <m/>
    <m/>
    <n v="0"/>
    <m/>
    <n v="0"/>
    <m/>
    <n v="0"/>
    <m/>
    <n v="0"/>
    <m/>
    <n v="0"/>
    <m/>
    <m/>
    <m/>
    <m/>
    <n v="0"/>
    <m/>
    <n v="0"/>
    <m/>
    <n v="0"/>
    <m/>
    <n v="0"/>
    <m/>
    <n v="0"/>
    <m/>
    <m/>
    <m/>
    <m/>
    <n v="0"/>
    <n v="0"/>
    <n v="0"/>
    <n v="0"/>
    <n v="0"/>
    <n v="0"/>
    <n v="0"/>
    <n v="0"/>
    <n v="0"/>
    <m/>
    <n v="0"/>
    <n v="0"/>
    <m/>
    <m/>
    <x v="0"/>
    <x v="0"/>
  </r>
  <r>
    <n v="76"/>
    <x v="1"/>
    <x v="7"/>
    <s v="PSM costs"/>
    <x v="1"/>
    <m/>
    <m/>
    <m/>
    <m/>
    <m/>
    <m/>
    <m/>
    <m/>
    <m/>
    <s v="-"/>
    <n v="0"/>
    <s v="-"/>
    <n v="0"/>
    <s v="-"/>
    <n v="0"/>
    <s v="-"/>
    <n v="0"/>
    <m/>
    <n v="0"/>
    <m/>
    <m/>
    <m/>
    <m/>
    <n v="0"/>
    <m/>
    <n v="0"/>
    <m/>
    <n v="0"/>
    <m/>
    <n v="0"/>
    <m/>
    <n v="0"/>
    <m/>
    <m/>
    <m/>
    <m/>
    <n v="0"/>
    <m/>
    <n v="0"/>
    <m/>
    <n v="0"/>
    <m/>
    <n v="0"/>
    <m/>
    <n v="0"/>
    <m/>
    <m/>
    <m/>
    <m/>
    <n v="0"/>
    <n v="0"/>
    <n v="0"/>
    <n v="0"/>
    <n v="0"/>
    <n v="0"/>
    <n v="0"/>
    <n v="0"/>
    <n v="0"/>
    <m/>
    <n v="0"/>
    <n v="0"/>
    <m/>
    <m/>
    <x v="0"/>
    <x v="0"/>
  </r>
  <r>
    <n v="77"/>
    <x v="1"/>
    <x v="7"/>
    <s v="PSM costs"/>
    <x v="2"/>
    <m/>
    <m/>
    <m/>
    <m/>
    <m/>
    <m/>
    <m/>
    <m/>
    <m/>
    <s v="-"/>
    <n v="0"/>
    <s v="-"/>
    <n v="0"/>
    <s v="-"/>
    <n v="0"/>
    <s v="-"/>
    <n v="0"/>
    <m/>
    <n v="0"/>
    <m/>
    <m/>
    <m/>
    <m/>
    <n v="0"/>
    <m/>
    <n v="0"/>
    <m/>
    <n v="0"/>
    <m/>
    <n v="0"/>
    <m/>
    <n v="0"/>
    <m/>
    <m/>
    <m/>
    <m/>
    <n v="0"/>
    <m/>
    <n v="0"/>
    <m/>
    <n v="0"/>
    <m/>
    <n v="0"/>
    <m/>
    <n v="0"/>
    <m/>
    <m/>
    <m/>
    <m/>
    <n v="0"/>
    <n v="0"/>
    <n v="0"/>
    <n v="0"/>
    <n v="0"/>
    <n v="0"/>
    <n v="0"/>
    <n v="0"/>
    <n v="0"/>
    <m/>
    <n v="0"/>
    <n v="0"/>
    <m/>
    <m/>
    <x v="0"/>
    <x v="0"/>
  </r>
  <r>
    <n v="78"/>
    <x v="1"/>
    <x v="7"/>
    <s v="PSM costs"/>
    <x v="3"/>
    <m/>
    <m/>
    <m/>
    <m/>
    <m/>
    <m/>
    <m/>
    <m/>
    <m/>
    <s v="-"/>
    <n v="0"/>
    <s v="-"/>
    <n v="0"/>
    <s v="-"/>
    <n v="0"/>
    <s v="-"/>
    <n v="0"/>
    <m/>
    <n v="0"/>
    <m/>
    <m/>
    <m/>
    <m/>
    <n v="0"/>
    <m/>
    <n v="0"/>
    <m/>
    <n v="0"/>
    <m/>
    <n v="0"/>
    <m/>
    <n v="0"/>
    <m/>
    <m/>
    <m/>
    <m/>
    <n v="0"/>
    <m/>
    <n v="0"/>
    <m/>
    <n v="0"/>
    <m/>
    <n v="0"/>
    <m/>
    <n v="0"/>
    <m/>
    <m/>
    <m/>
    <m/>
    <n v="0"/>
    <n v="0"/>
    <n v="0"/>
    <n v="0"/>
    <n v="0"/>
    <n v="0"/>
    <n v="0"/>
    <n v="0"/>
    <n v="0"/>
    <m/>
    <n v="0"/>
    <n v="0"/>
    <m/>
    <m/>
    <x v="0"/>
    <x v="0"/>
  </r>
  <r>
    <n v="79"/>
    <x v="1"/>
    <x v="7"/>
    <s v="PSM costs"/>
    <x v="4"/>
    <m/>
    <m/>
    <m/>
    <m/>
    <m/>
    <m/>
    <m/>
    <m/>
    <m/>
    <s v="-"/>
    <n v="0"/>
    <s v="-"/>
    <n v="0"/>
    <s v="-"/>
    <n v="0"/>
    <s v="-"/>
    <n v="0"/>
    <m/>
    <n v="0"/>
    <m/>
    <m/>
    <m/>
    <m/>
    <n v="0"/>
    <m/>
    <n v="0"/>
    <m/>
    <n v="0"/>
    <m/>
    <n v="0"/>
    <m/>
    <n v="0"/>
    <m/>
    <m/>
    <m/>
    <m/>
    <n v="0"/>
    <m/>
    <n v="0"/>
    <m/>
    <n v="0"/>
    <m/>
    <n v="0"/>
    <m/>
    <n v="0"/>
    <m/>
    <m/>
    <m/>
    <m/>
    <n v="0"/>
    <n v="0"/>
    <n v="0"/>
    <n v="0"/>
    <n v="0"/>
    <n v="0"/>
    <n v="0"/>
    <n v="0"/>
    <n v="0"/>
    <m/>
    <n v="0"/>
    <n v="0"/>
    <m/>
    <m/>
    <x v="0"/>
    <x v="0"/>
  </r>
  <r>
    <n v="80"/>
    <x v="1"/>
    <x v="7"/>
    <s v="PSM costs"/>
    <x v="5"/>
    <m/>
    <m/>
    <m/>
    <m/>
    <m/>
    <m/>
    <m/>
    <m/>
    <m/>
    <s v="-"/>
    <n v="0"/>
    <s v="-"/>
    <n v="0"/>
    <s v="-"/>
    <n v="0"/>
    <s v="-"/>
    <n v="0"/>
    <m/>
    <n v="0"/>
    <m/>
    <m/>
    <m/>
    <m/>
    <n v="0"/>
    <m/>
    <n v="0"/>
    <m/>
    <n v="0"/>
    <m/>
    <n v="0"/>
    <m/>
    <n v="0"/>
    <m/>
    <m/>
    <m/>
    <m/>
    <n v="0"/>
    <m/>
    <n v="0"/>
    <m/>
    <n v="0"/>
    <m/>
    <n v="0"/>
    <m/>
    <n v="0"/>
    <m/>
    <m/>
    <m/>
    <m/>
    <n v="0"/>
    <n v="0"/>
    <n v="0"/>
    <n v="0"/>
    <n v="0"/>
    <n v="0"/>
    <n v="0"/>
    <n v="0"/>
    <n v="0"/>
    <m/>
    <n v="0"/>
    <n v="0"/>
    <m/>
    <m/>
    <x v="0"/>
    <x v="0"/>
  </r>
  <r>
    <n v="81"/>
    <x v="1"/>
    <x v="7"/>
    <s v="PSM costs"/>
    <x v="6"/>
    <m/>
    <m/>
    <m/>
    <m/>
    <m/>
    <m/>
    <m/>
    <m/>
    <m/>
    <s v="-"/>
    <n v="0"/>
    <s v="-"/>
    <n v="0"/>
    <s v="-"/>
    <n v="0"/>
    <s v="-"/>
    <n v="0"/>
    <m/>
    <n v="0"/>
    <m/>
    <m/>
    <m/>
    <m/>
    <n v="0"/>
    <m/>
    <n v="0"/>
    <m/>
    <n v="0"/>
    <m/>
    <n v="0"/>
    <m/>
    <n v="0"/>
    <m/>
    <m/>
    <m/>
    <m/>
    <n v="0"/>
    <m/>
    <n v="0"/>
    <m/>
    <n v="0"/>
    <m/>
    <n v="0"/>
    <m/>
    <n v="0"/>
    <m/>
    <m/>
    <m/>
    <m/>
    <n v="0"/>
    <n v="0"/>
    <n v="0"/>
    <n v="0"/>
    <n v="0"/>
    <n v="0"/>
    <n v="0"/>
    <n v="0"/>
    <n v="0"/>
    <m/>
    <n v="0"/>
    <n v="0"/>
    <m/>
    <m/>
    <x v="0"/>
    <x v="0"/>
  </r>
  <r>
    <n v="82"/>
    <x v="1"/>
    <x v="7"/>
    <s v="PSM costs"/>
    <x v="7"/>
    <m/>
    <m/>
    <m/>
    <m/>
    <m/>
    <m/>
    <m/>
    <m/>
    <m/>
    <s v="-"/>
    <n v="0"/>
    <s v="-"/>
    <n v="0"/>
    <s v="-"/>
    <n v="0"/>
    <s v="-"/>
    <n v="0"/>
    <m/>
    <n v="0"/>
    <m/>
    <m/>
    <m/>
    <m/>
    <n v="0"/>
    <m/>
    <n v="0"/>
    <m/>
    <n v="0"/>
    <m/>
    <n v="0"/>
    <m/>
    <n v="0"/>
    <m/>
    <m/>
    <m/>
    <m/>
    <n v="0"/>
    <m/>
    <n v="0"/>
    <m/>
    <n v="0"/>
    <m/>
    <n v="0"/>
    <m/>
    <n v="0"/>
    <m/>
    <m/>
    <m/>
    <m/>
    <n v="0"/>
    <n v="0"/>
    <n v="0"/>
    <n v="0"/>
    <n v="0"/>
    <n v="0"/>
    <n v="0"/>
    <n v="0"/>
    <n v="0"/>
    <m/>
    <n v="0"/>
    <n v="0"/>
    <m/>
    <m/>
    <x v="0"/>
    <x v="0"/>
  </r>
  <r>
    <n v="83"/>
    <x v="1"/>
    <x v="8"/>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84"/>
    <x v="1"/>
    <x v="8"/>
    <s v="Procurement of RDTs to diagnose malaria"/>
    <x v="11"/>
    <m/>
    <m/>
    <m/>
    <m/>
    <m/>
    <m/>
    <m/>
    <e v="#DIV/0!"/>
    <m/>
    <s v="-"/>
    <n v="0"/>
    <s v="-"/>
    <n v="0"/>
    <s v="-"/>
    <n v="0"/>
    <s v="-"/>
    <n v="0"/>
    <m/>
    <n v="0"/>
    <m/>
    <m/>
    <m/>
    <m/>
    <n v="0"/>
    <m/>
    <n v="0"/>
    <m/>
    <n v="0"/>
    <m/>
    <n v="0"/>
    <m/>
    <n v="0"/>
    <m/>
    <m/>
    <m/>
    <m/>
    <n v="0"/>
    <m/>
    <n v="0"/>
    <m/>
    <n v="0"/>
    <m/>
    <n v="0"/>
    <m/>
    <n v="0"/>
    <m/>
    <m/>
    <m/>
    <m/>
    <n v="0"/>
    <n v="0"/>
    <n v="0"/>
    <n v="0"/>
    <n v="0"/>
    <n v="0"/>
    <n v="0"/>
    <n v="0"/>
    <n v="0"/>
    <m/>
    <n v="0"/>
    <n v="0"/>
    <m/>
    <m/>
    <x v="0"/>
    <x v="0"/>
  </r>
  <r>
    <n v="85"/>
    <x v="1"/>
    <x v="8"/>
    <s v="PSM costs"/>
    <x v="1"/>
    <m/>
    <m/>
    <m/>
    <m/>
    <m/>
    <m/>
    <m/>
    <m/>
    <m/>
    <s v="-"/>
    <n v="0"/>
    <s v="-"/>
    <n v="0"/>
    <s v="-"/>
    <n v="0"/>
    <s v="-"/>
    <n v="0"/>
    <m/>
    <n v="0"/>
    <m/>
    <m/>
    <m/>
    <m/>
    <n v="0"/>
    <m/>
    <n v="0"/>
    <m/>
    <n v="0"/>
    <m/>
    <n v="0"/>
    <m/>
    <n v="0"/>
    <m/>
    <m/>
    <m/>
    <m/>
    <n v="0"/>
    <m/>
    <n v="0"/>
    <m/>
    <n v="0"/>
    <m/>
    <n v="0"/>
    <m/>
    <n v="0"/>
    <m/>
    <m/>
    <m/>
    <m/>
    <n v="0"/>
    <n v="0"/>
    <n v="0"/>
    <n v="0"/>
    <n v="0"/>
    <n v="0"/>
    <n v="0"/>
    <n v="0"/>
    <n v="0"/>
    <m/>
    <n v="0"/>
    <n v="0"/>
    <m/>
    <m/>
    <x v="0"/>
    <x v="0"/>
  </r>
  <r>
    <n v="86"/>
    <x v="1"/>
    <x v="8"/>
    <s v="PSM costs"/>
    <x v="2"/>
    <m/>
    <m/>
    <m/>
    <m/>
    <m/>
    <m/>
    <m/>
    <m/>
    <m/>
    <s v="-"/>
    <n v="0"/>
    <s v="-"/>
    <n v="0"/>
    <s v="-"/>
    <n v="0"/>
    <s v="-"/>
    <n v="0"/>
    <m/>
    <n v="0"/>
    <m/>
    <m/>
    <m/>
    <m/>
    <n v="0"/>
    <m/>
    <n v="0"/>
    <m/>
    <n v="0"/>
    <m/>
    <n v="0"/>
    <m/>
    <n v="0"/>
    <m/>
    <m/>
    <m/>
    <m/>
    <n v="0"/>
    <m/>
    <n v="0"/>
    <m/>
    <n v="0"/>
    <m/>
    <n v="0"/>
    <m/>
    <n v="0"/>
    <m/>
    <m/>
    <m/>
    <m/>
    <n v="0"/>
    <n v="0"/>
    <n v="0"/>
    <n v="0"/>
    <n v="0"/>
    <n v="0"/>
    <n v="0"/>
    <n v="0"/>
    <n v="0"/>
    <m/>
    <n v="0"/>
    <n v="0"/>
    <m/>
    <m/>
    <x v="0"/>
    <x v="0"/>
  </r>
  <r>
    <n v="87"/>
    <x v="1"/>
    <x v="8"/>
    <s v="PSM costs"/>
    <x v="3"/>
    <m/>
    <m/>
    <m/>
    <m/>
    <m/>
    <m/>
    <m/>
    <m/>
    <m/>
    <s v="-"/>
    <n v="0"/>
    <s v="-"/>
    <n v="0"/>
    <s v="-"/>
    <n v="0"/>
    <s v="-"/>
    <n v="0"/>
    <m/>
    <n v="0"/>
    <m/>
    <m/>
    <m/>
    <m/>
    <n v="0"/>
    <m/>
    <n v="0"/>
    <m/>
    <n v="0"/>
    <m/>
    <n v="0"/>
    <m/>
    <n v="0"/>
    <m/>
    <m/>
    <m/>
    <m/>
    <n v="0"/>
    <m/>
    <n v="0"/>
    <m/>
    <n v="0"/>
    <m/>
    <n v="0"/>
    <m/>
    <n v="0"/>
    <m/>
    <m/>
    <m/>
    <m/>
    <n v="0"/>
    <n v="0"/>
    <n v="0"/>
    <n v="0"/>
    <n v="0"/>
    <n v="0"/>
    <n v="0"/>
    <n v="0"/>
    <n v="0"/>
    <m/>
    <n v="0"/>
    <n v="0"/>
    <m/>
    <m/>
    <x v="0"/>
    <x v="0"/>
  </r>
  <r>
    <n v="88"/>
    <x v="1"/>
    <x v="8"/>
    <s v="PSM costs"/>
    <x v="4"/>
    <m/>
    <m/>
    <m/>
    <m/>
    <m/>
    <m/>
    <m/>
    <m/>
    <m/>
    <s v="-"/>
    <n v="0"/>
    <s v="-"/>
    <n v="0"/>
    <s v="-"/>
    <n v="0"/>
    <s v="-"/>
    <n v="0"/>
    <m/>
    <n v="0"/>
    <m/>
    <m/>
    <m/>
    <m/>
    <n v="0"/>
    <m/>
    <n v="0"/>
    <m/>
    <n v="0"/>
    <m/>
    <n v="0"/>
    <m/>
    <n v="0"/>
    <m/>
    <m/>
    <m/>
    <m/>
    <n v="0"/>
    <m/>
    <n v="0"/>
    <m/>
    <n v="0"/>
    <m/>
    <n v="0"/>
    <m/>
    <n v="0"/>
    <m/>
    <m/>
    <m/>
    <m/>
    <n v="0"/>
    <n v="0"/>
    <n v="0"/>
    <n v="0"/>
    <n v="0"/>
    <n v="0"/>
    <n v="0"/>
    <n v="0"/>
    <n v="0"/>
    <m/>
    <n v="0"/>
    <n v="0"/>
    <m/>
    <m/>
    <x v="0"/>
    <x v="0"/>
  </r>
  <r>
    <n v="89"/>
    <x v="1"/>
    <x v="8"/>
    <s v="PSM costs"/>
    <x v="5"/>
    <m/>
    <m/>
    <m/>
    <m/>
    <m/>
    <m/>
    <m/>
    <m/>
    <m/>
    <s v="-"/>
    <n v="0"/>
    <s v="-"/>
    <n v="0"/>
    <s v="-"/>
    <n v="0"/>
    <s v="-"/>
    <n v="0"/>
    <m/>
    <n v="0"/>
    <m/>
    <m/>
    <m/>
    <m/>
    <n v="0"/>
    <m/>
    <n v="0"/>
    <m/>
    <n v="0"/>
    <m/>
    <n v="0"/>
    <m/>
    <n v="0"/>
    <m/>
    <m/>
    <m/>
    <m/>
    <n v="0"/>
    <m/>
    <n v="0"/>
    <m/>
    <n v="0"/>
    <m/>
    <n v="0"/>
    <m/>
    <n v="0"/>
    <m/>
    <m/>
    <m/>
    <m/>
    <n v="0"/>
    <n v="0"/>
    <n v="0"/>
    <n v="0"/>
    <n v="0"/>
    <n v="0"/>
    <n v="0"/>
    <n v="0"/>
    <n v="0"/>
    <m/>
    <n v="0"/>
    <n v="0"/>
    <m/>
    <m/>
    <x v="0"/>
    <x v="0"/>
  </r>
  <r>
    <n v="90"/>
    <x v="1"/>
    <x v="8"/>
    <s v="PSM costs"/>
    <x v="6"/>
    <m/>
    <m/>
    <m/>
    <m/>
    <m/>
    <m/>
    <m/>
    <e v="#DIV/0!"/>
    <e v="#DIV/0!"/>
    <s v="-"/>
    <n v="0"/>
    <s v="-"/>
    <n v="0"/>
    <s v="-"/>
    <n v="0"/>
    <s v="-"/>
    <n v="0"/>
    <m/>
    <n v="0"/>
    <m/>
    <m/>
    <m/>
    <m/>
    <n v="0"/>
    <m/>
    <n v="0"/>
    <m/>
    <n v="0"/>
    <m/>
    <n v="0"/>
    <m/>
    <n v="0"/>
    <m/>
    <m/>
    <m/>
    <m/>
    <n v="0"/>
    <m/>
    <n v="0"/>
    <m/>
    <n v="0"/>
    <m/>
    <n v="0"/>
    <m/>
    <n v="0"/>
    <m/>
    <m/>
    <m/>
    <m/>
    <n v="0"/>
    <n v="0"/>
    <n v="0"/>
    <n v="0"/>
    <n v="0"/>
    <n v="0"/>
    <n v="0"/>
    <n v="0"/>
    <n v="0"/>
    <m/>
    <n v="0"/>
    <n v="0"/>
    <m/>
    <m/>
    <x v="0"/>
    <x v="0"/>
  </r>
  <r>
    <n v="91"/>
    <x v="1"/>
    <x v="8"/>
    <s v="PSM costs"/>
    <x v="7"/>
    <m/>
    <m/>
    <m/>
    <m/>
    <m/>
    <m/>
    <m/>
    <m/>
    <m/>
    <s v="-"/>
    <n v="0"/>
    <s v="-"/>
    <n v="0"/>
    <s v="-"/>
    <n v="0"/>
    <s v="-"/>
    <n v="0"/>
    <m/>
    <n v="0"/>
    <m/>
    <m/>
    <m/>
    <m/>
    <n v="0"/>
    <m/>
    <n v="0"/>
    <m/>
    <n v="0"/>
    <m/>
    <n v="0"/>
    <m/>
    <n v="0"/>
    <m/>
    <m/>
    <m/>
    <m/>
    <n v="0"/>
    <m/>
    <n v="0"/>
    <m/>
    <n v="0"/>
    <m/>
    <n v="0"/>
    <m/>
    <n v="0"/>
    <m/>
    <m/>
    <m/>
    <m/>
    <n v="0"/>
    <n v="0"/>
    <n v="0"/>
    <n v="0"/>
    <n v="0"/>
    <n v="0"/>
    <n v="0"/>
    <n v="0"/>
    <n v="0"/>
    <m/>
    <n v="0"/>
    <n v="0"/>
    <m/>
    <m/>
    <x v="0"/>
    <x v="0"/>
  </r>
  <r>
    <n v="92"/>
    <x v="1"/>
    <x v="9"/>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93"/>
    <x v="1"/>
    <x v="9"/>
    <s v="Procurement of RDTs to diagnose malaria"/>
    <x v="11"/>
    <m/>
    <m/>
    <m/>
    <m/>
    <m/>
    <m/>
    <m/>
    <m/>
    <m/>
    <s v="-"/>
    <n v="0"/>
    <s v="-"/>
    <n v="0"/>
    <s v="-"/>
    <n v="0"/>
    <s v="-"/>
    <n v="0"/>
    <m/>
    <n v="0"/>
    <m/>
    <m/>
    <m/>
    <m/>
    <n v="0"/>
    <m/>
    <n v="0"/>
    <m/>
    <n v="0"/>
    <m/>
    <n v="0"/>
    <m/>
    <n v="0"/>
    <m/>
    <m/>
    <m/>
    <m/>
    <n v="0"/>
    <m/>
    <n v="0"/>
    <m/>
    <n v="0"/>
    <m/>
    <n v="0"/>
    <m/>
    <n v="0"/>
    <m/>
    <m/>
    <m/>
    <m/>
    <n v="0"/>
    <n v="0"/>
    <n v="0"/>
    <n v="0"/>
    <n v="0"/>
    <n v="0"/>
    <n v="0"/>
    <n v="0"/>
    <n v="0"/>
    <m/>
    <n v="0"/>
    <n v="0"/>
    <m/>
    <m/>
    <x v="0"/>
    <x v="0"/>
  </r>
  <r>
    <n v="94"/>
    <x v="1"/>
    <x v="9"/>
    <s v="PSM costs"/>
    <x v="1"/>
    <m/>
    <m/>
    <m/>
    <m/>
    <m/>
    <m/>
    <m/>
    <m/>
    <m/>
    <s v="-"/>
    <n v="0"/>
    <s v="-"/>
    <n v="0"/>
    <s v="-"/>
    <n v="0"/>
    <s v="-"/>
    <n v="0"/>
    <m/>
    <n v="0"/>
    <m/>
    <m/>
    <m/>
    <m/>
    <n v="0"/>
    <m/>
    <n v="0"/>
    <m/>
    <n v="0"/>
    <m/>
    <n v="0"/>
    <m/>
    <n v="0"/>
    <m/>
    <m/>
    <m/>
    <m/>
    <n v="0"/>
    <m/>
    <n v="0"/>
    <m/>
    <n v="0"/>
    <m/>
    <n v="0"/>
    <m/>
    <n v="0"/>
    <m/>
    <m/>
    <m/>
    <m/>
    <n v="0"/>
    <n v="0"/>
    <n v="0"/>
    <n v="0"/>
    <n v="0"/>
    <n v="0"/>
    <n v="0"/>
    <n v="0"/>
    <n v="0"/>
    <m/>
    <n v="0"/>
    <n v="0"/>
    <m/>
    <m/>
    <x v="0"/>
    <x v="0"/>
  </r>
  <r>
    <n v="95"/>
    <x v="1"/>
    <x v="9"/>
    <s v="PSM costs"/>
    <x v="2"/>
    <m/>
    <m/>
    <m/>
    <m/>
    <m/>
    <m/>
    <m/>
    <m/>
    <m/>
    <s v="-"/>
    <n v="0"/>
    <s v="-"/>
    <n v="0"/>
    <s v="-"/>
    <n v="0"/>
    <s v="-"/>
    <n v="0"/>
    <m/>
    <n v="0"/>
    <m/>
    <m/>
    <m/>
    <m/>
    <n v="0"/>
    <m/>
    <n v="0"/>
    <m/>
    <n v="0"/>
    <m/>
    <n v="0"/>
    <m/>
    <n v="0"/>
    <m/>
    <m/>
    <m/>
    <m/>
    <n v="0"/>
    <m/>
    <n v="0"/>
    <m/>
    <n v="0"/>
    <m/>
    <n v="0"/>
    <m/>
    <n v="0"/>
    <m/>
    <m/>
    <m/>
    <m/>
    <n v="0"/>
    <n v="0"/>
    <n v="0"/>
    <n v="0"/>
    <n v="0"/>
    <n v="0"/>
    <n v="0"/>
    <n v="0"/>
    <n v="0"/>
    <m/>
    <n v="0"/>
    <n v="0"/>
    <m/>
    <m/>
    <x v="0"/>
    <x v="0"/>
  </r>
  <r>
    <n v="96"/>
    <x v="1"/>
    <x v="9"/>
    <s v="PSM costs"/>
    <x v="3"/>
    <m/>
    <m/>
    <m/>
    <m/>
    <m/>
    <m/>
    <m/>
    <e v="#DIV/0!"/>
    <m/>
    <s v="-"/>
    <n v="0"/>
    <s v="-"/>
    <n v="0"/>
    <s v="-"/>
    <n v="0"/>
    <s v="-"/>
    <n v="0"/>
    <m/>
    <n v="0"/>
    <m/>
    <m/>
    <m/>
    <m/>
    <n v="0"/>
    <m/>
    <n v="0"/>
    <m/>
    <n v="0"/>
    <m/>
    <n v="0"/>
    <m/>
    <n v="0"/>
    <m/>
    <m/>
    <m/>
    <m/>
    <n v="0"/>
    <m/>
    <n v="0"/>
    <m/>
    <n v="0"/>
    <m/>
    <n v="0"/>
    <m/>
    <n v="0"/>
    <m/>
    <m/>
    <m/>
    <m/>
    <n v="0"/>
    <n v="0"/>
    <n v="0"/>
    <n v="0"/>
    <n v="0"/>
    <n v="0"/>
    <n v="0"/>
    <n v="0"/>
    <n v="0"/>
    <m/>
    <n v="0"/>
    <n v="0"/>
    <m/>
    <m/>
    <x v="0"/>
    <x v="0"/>
  </r>
  <r>
    <n v="97"/>
    <x v="1"/>
    <x v="9"/>
    <s v="PSM costs"/>
    <x v="4"/>
    <m/>
    <m/>
    <m/>
    <m/>
    <m/>
    <m/>
    <m/>
    <m/>
    <m/>
    <s v="-"/>
    <n v="0"/>
    <s v="-"/>
    <n v="0"/>
    <s v="-"/>
    <n v="0"/>
    <s v="-"/>
    <n v="0"/>
    <m/>
    <n v="0"/>
    <m/>
    <m/>
    <m/>
    <m/>
    <n v="0"/>
    <m/>
    <n v="0"/>
    <m/>
    <n v="0"/>
    <m/>
    <n v="0"/>
    <m/>
    <n v="0"/>
    <m/>
    <m/>
    <m/>
    <m/>
    <n v="0"/>
    <m/>
    <n v="0"/>
    <m/>
    <n v="0"/>
    <m/>
    <n v="0"/>
    <m/>
    <n v="0"/>
    <m/>
    <m/>
    <m/>
    <m/>
    <n v="0"/>
    <n v="0"/>
    <n v="0"/>
    <n v="0"/>
    <n v="0"/>
    <n v="0"/>
    <n v="0"/>
    <n v="0"/>
    <n v="0"/>
    <m/>
    <n v="0"/>
    <n v="0"/>
    <m/>
    <m/>
    <x v="0"/>
    <x v="0"/>
  </r>
  <r>
    <n v="98"/>
    <x v="1"/>
    <x v="9"/>
    <s v="PSM costs"/>
    <x v="5"/>
    <m/>
    <m/>
    <m/>
    <m/>
    <m/>
    <m/>
    <m/>
    <m/>
    <m/>
    <s v="-"/>
    <n v="0"/>
    <s v="-"/>
    <n v="0"/>
    <s v="-"/>
    <n v="0"/>
    <s v="-"/>
    <n v="0"/>
    <m/>
    <n v="0"/>
    <m/>
    <m/>
    <m/>
    <m/>
    <n v="0"/>
    <m/>
    <n v="0"/>
    <m/>
    <n v="0"/>
    <m/>
    <n v="0"/>
    <m/>
    <n v="0"/>
    <m/>
    <m/>
    <m/>
    <m/>
    <n v="0"/>
    <m/>
    <n v="0"/>
    <m/>
    <n v="0"/>
    <m/>
    <n v="0"/>
    <m/>
    <n v="0"/>
    <m/>
    <m/>
    <m/>
    <m/>
    <n v="0"/>
    <n v="0"/>
    <n v="0"/>
    <n v="0"/>
    <n v="0"/>
    <n v="0"/>
    <n v="0"/>
    <n v="0"/>
    <n v="0"/>
    <m/>
    <n v="0"/>
    <n v="0"/>
    <m/>
    <m/>
    <x v="0"/>
    <x v="0"/>
  </r>
  <r>
    <n v="99"/>
    <x v="1"/>
    <x v="9"/>
    <s v="PSM costs"/>
    <x v="6"/>
    <m/>
    <m/>
    <m/>
    <m/>
    <m/>
    <m/>
    <m/>
    <e v="#DIV/0!"/>
    <m/>
    <s v="-"/>
    <n v="0"/>
    <s v="-"/>
    <n v="0"/>
    <s v="-"/>
    <n v="0"/>
    <s v="-"/>
    <n v="0"/>
    <m/>
    <n v="0"/>
    <m/>
    <m/>
    <m/>
    <m/>
    <n v="0"/>
    <m/>
    <n v="0"/>
    <m/>
    <n v="0"/>
    <m/>
    <n v="0"/>
    <m/>
    <n v="0"/>
    <m/>
    <m/>
    <m/>
    <m/>
    <n v="0"/>
    <m/>
    <n v="0"/>
    <m/>
    <n v="0"/>
    <m/>
    <n v="0"/>
    <m/>
    <n v="0"/>
    <m/>
    <m/>
    <m/>
    <m/>
    <n v="0"/>
    <n v="0"/>
    <n v="0"/>
    <n v="0"/>
    <n v="0"/>
    <n v="0"/>
    <n v="0"/>
    <n v="0"/>
    <n v="0"/>
    <m/>
    <n v="0"/>
    <n v="0"/>
    <m/>
    <m/>
    <x v="0"/>
    <x v="0"/>
  </r>
  <r>
    <n v="100"/>
    <x v="1"/>
    <x v="9"/>
    <s v="PSM costs"/>
    <x v="7"/>
    <m/>
    <m/>
    <m/>
    <m/>
    <m/>
    <m/>
    <m/>
    <e v="#DIV/0!"/>
    <m/>
    <s v="-"/>
    <n v="0"/>
    <s v="-"/>
    <n v="0"/>
    <s v="-"/>
    <n v="0"/>
    <s v="-"/>
    <n v="0"/>
    <m/>
    <n v="0"/>
    <m/>
    <m/>
    <m/>
    <m/>
    <n v="0"/>
    <m/>
    <n v="0"/>
    <m/>
    <n v="0"/>
    <m/>
    <n v="0"/>
    <m/>
    <n v="0"/>
    <m/>
    <m/>
    <m/>
    <m/>
    <n v="0"/>
    <m/>
    <n v="0"/>
    <m/>
    <n v="0"/>
    <m/>
    <n v="0"/>
    <m/>
    <n v="0"/>
    <m/>
    <m/>
    <m/>
    <m/>
    <n v="0"/>
    <n v="0"/>
    <n v="0"/>
    <n v="0"/>
    <n v="0"/>
    <n v="0"/>
    <n v="0"/>
    <n v="0"/>
    <n v="0"/>
    <m/>
    <n v="0"/>
    <n v="0"/>
    <m/>
    <m/>
    <x v="0"/>
    <x v="0"/>
  </r>
  <r>
    <n v="125"/>
    <x v="2"/>
    <x v="10"/>
    <s v="Procurement of antimalaria medicines for prevention"/>
    <x v="10"/>
    <m/>
    <m/>
    <m/>
    <m/>
    <m/>
    <m/>
    <m/>
    <e v="#DIV/0!"/>
    <e v="#DIV/0!"/>
    <s v="-"/>
    <n v="0"/>
    <s v="-"/>
    <n v="0"/>
    <s v="-"/>
    <n v="0"/>
    <s v="-"/>
    <n v="0"/>
    <m/>
    <n v="0"/>
    <m/>
    <m/>
    <m/>
    <m/>
    <n v="0"/>
    <m/>
    <n v="0"/>
    <m/>
    <n v="0"/>
    <m/>
    <n v="0"/>
    <m/>
    <n v="0"/>
    <m/>
    <m/>
    <m/>
    <m/>
    <n v="0"/>
    <m/>
    <n v="0"/>
    <m/>
    <n v="0"/>
    <m/>
    <n v="0"/>
    <m/>
    <n v="0"/>
    <m/>
    <m/>
    <m/>
    <m/>
    <n v="0"/>
    <n v="0"/>
    <n v="0"/>
    <n v="0"/>
    <n v="0"/>
    <n v="0"/>
    <n v="0"/>
    <n v="0"/>
    <n v="0"/>
    <m/>
    <n v="0"/>
    <n v="0"/>
    <m/>
    <m/>
    <x v="0"/>
    <x v="0"/>
  </r>
  <r>
    <n v="126"/>
    <x v="2"/>
    <x v="10"/>
    <s v="PSM costs"/>
    <x v="1"/>
    <m/>
    <s v="El Salvador"/>
    <m/>
    <m/>
    <m/>
    <m/>
    <m/>
    <m/>
    <m/>
    <s v="-"/>
    <n v="0"/>
    <s v="-"/>
    <n v="0"/>
    <s v="-"/>
    <n v="0"/>
    <s v="-"/>
    <n v="0"/>
    <m/>
    <n v="0"/>
    <m/>
    <m/>
    <m/>
    <m/>
    <n v="0"/>
    <m/>
    <n v="0"/>
    <m/>
    <n v="0"/>
    <m/>
    <n v="0"/>
    <m/>
    <n v="0"/>
    <m/>
    <m/>
    <m/>
    <m/>
    <n v="0"/>
    <m/>
    <n v="0"/>
    <m/>
    <n v="0"/>
    <m/>
    <n v="0"/>
    <m/>
    <n v="0"/>
    <m/>
    <m/>
    <m/>
    <m/>
    <n v="0"/>
    <n v="0"/>
    <n v="0"/>
    <n v="0"/>
    <n v="0"/>
    <n v="0"/>
    <n v="0"/>
    <n v="0"/>
    <n v="0"/>
    <m/>
    <n v="0"/>
    <n v="0"/>
    <m/>
    <m/>
    <x v="0"/>
    <x v="0"/>
  </r>
  <r>
    <n v="127"/>
    <x v="2"/>
    <x v="10"/>
    <s v="PSM costs"/>
    <x v="2"/>
    <m/>
    <m/>
    <m/>
    <m/>
    <m/>
    <m/>
    <m/>
    <m/>
    <m/>
    <s v="-"/>
    <n v="0"/>
    <s v="-"/>
    <n v="0"/>
    <s v="-"/>
    <n v="0"/>
    <s v="-"/>
    <n v="0"/>
    <m/>
    <n v="0"/>
    <m/>
    <m/>
    <m/>
    <m/>
    <n v="0"/>
    <m/>
    <n v="0"/>
    <m/>
    <n v="0"/>
    <m/>
    <n v="0"/>
    <m/>
    <n v="0"/>
    <m/>
    <m/>
    <m/>
    <m/>
    <n v="0"/>
    <m/>
    <n v="0"/>
    <m/>
    <n v="0"/>
    <m/>
    <n v="0"/>
    <m/>
    <n v="0"/>
    <m/>
    <m/>
    <m/>
    <m/>
    <n v="0"/>
    <n v="0"/>
    <n v="0"/>
    <n v="0"/>
    <n v="0"/>
    <n v="0"/>
    <n v="0"/>
    <n v="0"/>
    <n v="0"/>
    <m/>
    <n v="0"/>
    <n v="0"/>
    <m/>
    <m/>
    <x v="0"/>
    <x v="0"/>
  </r>
  <r>
    <n v="128"/>
    <x v="2"/>
    <x v="10"/>
    <s v="PSM costs"/>
    <x v="3"/>
    <m/>
    <m/>
    <m/>
    <m/>
    <m/>
    <m/>
    <m/>
    <m/>
    <m/>
    <s v="-"/>
    <n v="0"/>
    <s v="-"/>
    <n v="0"/>
    <s v="-"/>
    <n v="0"/>
    <s v="-"/>
    <n v="0"/>
    <m/>
    <n v="0"/>
    <m/>
    <m/>
    <m/>
    <m/>
    <n v="0"/>
    <m/>
    <n v="0"/>
    <m/>
    <n v="0"/>
    <m/>
    <n v="0"/>
    <m/>
    <n v="0"/>
    <m/>
    <m/>
    <m/>
    <m/>
    <n v="0"/>
    <m/>
    <n v="0"/>
    <m/>
    <n v="0"/>
    <m/>
    <n v="0"/>
    <m/>
    <n v="0"/>
    <m/>
    <m/>
    <m/>
    <m/>
    <n v="0"/>
    <n v="0"/>
    <n v="0"/>
    <n v="0"/>
    <n v="0"/>
    <n v="0"/>
    <n v="0"/>
    <n v="0"/>
    <n v="0"/>
    <m/>
    <n v="0"/>
    <n v="0"/>
    <m/>
    <m/>
    <x v="0"/>
    <x v="0"/>
  </r>
  <r>
    <n v="129"/>
    <x v="2"/>
    <x v="10"/>
    <s v="PSM costs"/>
    <x v="4"/>
    <m/>
    <m/>
    <m/>
    <m/>
    <m/>
    <m/>
    <m/>
    <m/>
    <m/>
    <s v="-"/>
    <n v="0"/>
    <s v="-"/>
    <n v="0"/>
    <s v="-"/>
    <n v="0"/>
    <s v="-"/>
    <n v="0"/>
    <m/>
    <n v="0"/>
    <m/>
    <m/>
    <m/>
    <m/>
    <n v="0"/>
    <m/>
    <n v="0"/>
    <m/>
    <n v="0"/>
    <m/>
    <n v="0"/>
    <m/>
    <n v="0"/>
    <m/>
    <m/>
    <m/>
    <m/>
    <n v="0"/>
    <m/>
    <n v="0"/>
    <m/>
    <n v="0"/>
    <m/>
    <n v="0"/>
    <m/>
    <n v="0"/>
    <m/>
    <m/>
    <m/>
    <m/>
    <n v="0"/>
    <n v="0"/>
    <n v="0"/>
    <n v="0"/>
    <n v="0"/>
    <n v="0"/>
    <n v="0"/>
    <n v="0"/>
    <n v="0"/>
    <m/>
    <n v="0"/>
    <n v="0"/>
    <m/>
    <m/>
    <x v="0"/>
    <x v="0"/>
  </r>
  <r>
    <n v="130"/>
    <x v="2"/>
    <x v="10"/>
    <s v="PSM costs"/>
    <x v="5"/>
    <m/>
    <m/>
    <m/>
    <m/>
    <m/>
    <m/>
    <m/>
    <m/>
    <m/>
    <s v="-"/>
    <n v="0"/>
    <s v="-"/>
    <n v="0"/>
    <s v="-"/>
    <n v="0"/>
    <s v="-"/>
    <n v="0"/>
    <m/>
    <n v="0"/>
    <m/>
    <m/>
    <m/>
    <m/>
    <n v="0"/>
    <m/>
    <n v="0"/>
    <m/>
    <n v="0"/>
    <m/>
    <n v="0"/>
    <m/>
    <n v="0"/>
    <m/>
    <m/>
    <m/>
    <m/>
    <n v="0"/>
    <m/>
    <n v="0"/>
    <m/>
    <n v="0"/>
    <m/>
    <n v="0"/>
    <m/>
    <n v="0"/>
    <m/>
    <m/>
    <m/>
    <m/>
    <n v="0"/>
    <n v="0"/>
    <n v="0"/>
    <n v="0"/>
    <n v="0"/>
    <n v="0"/>
    <n v="0"/>
    <n v="0"/>
    <n v="0"/>
    <m/>
    <n v="0"/>
    <n v="0"/>
    <m/>
    <m/>
    <x v="0"/>
    <x v="0"/>
  </r>
  <r>
    <n v="131"/>
    <x v="2"/>
    <x v="10"/>
    <s v="PSM costs"/>
    <x v="6"/>
    <m/>
    <m/>
    <m/>
    <m/>
    <m/>
    <m/>
    <m/>
    <m/>
    <m/>
    <s v="-"/>
    <n v="0"/>
    <s v="-"/>
    <n v="0"/>
    <s v="-"/>
    <n v="0"/>
    <s v="-"/>
    <n v="0"/>
    <m/>
    <n v="0"/>
    <m/>
    <m/>
    <m/>
    <m/>
    <n v="0"/>
    <m/>
    <n v="0"/>
    <m/>
    <n v="0"/>
    <m/>
    <n v="0"/>
    <m/>
    <n v="0"/>
    <m/>
    <m/>
    <m/>
    <m/>
    <n v="0"/>
    <m/>
    <n v="0"/>
    <m/>
    <n v="0"/>
    <m/>
    <n v="0"/>
    <m/>
    <n v="0"/>
    <m/>
    <m/>
    <m/>
    <m/>
    <n v="0"/>
    <n v="0"/>
    <n v="0"/>
    <n v="0"/>
    <n v="0"/>
    <n v="0"/>
    <n v="0"/>
    <n v="0"/>
    <n v="0"/>
    <m/>
    <n v="0"/>
    <n v="0"/>
    <m/>
    <m/>
    <x v="0"/>
    <x v="0"/>
  </r>
  <r>
    <n v="132"/>
    <x v="2"/>
    <x v="10"/>
    <s v="PSM costs"/>
    <x v="7"/>
    <m/>
    <m/>
    <m/>
    <m/>
    <m/>
    <m/>
    <m/>
    <m/>
    <m/>
    <s v="-"/>
    <n v="0"/>
    <s v="-"/>
    <n v="0"/>
    <s v="-"/>
    <n v="0"/>
    <s v="-"/>
    <n v="0"/>
    <m/>
    <n v="0"/>
    <m/>
    <m/>
    <m/>
    <m/>
    <n v="0"/>
    <m/>
    <n v="0"/>
    <m/>
    <n v="0"/>
    <m/>
    <n v="0"/>
    <m/>
    <n v="0"/>
    <m/>
    <m/>
    <m/>
    <m/>
    <n v="0"/>
    <m/>
    <n v="0"/>
    <m/>
    <n v="0"/>
    <m/>
    <n v="0"/>
    <m/>
    <n v="0"/>
    <m/>
    <m/>
    <m/>
    <m/>
    <n v="0"/>
    <n v="0"/>
    <n v="0"/>
    <n v="0"/>
    <n v="0"/>
    <n v="0"/>
    <n v="0"/>
    <n v="0"/>
    <n v="0"/>
    <m/>
    <n v="0"/>
    <n v="0"/>
    <m/>
    <m/>
    <x v="0"/>
    <x v="0"/>
  </r>
  <r>
    <n v="133"/>
    <x v="2"/>
    <x v="11"/>
    <s v="Procurement of antimalaria medicines for prevention"/>
    <x v="10"/>
    <m/>
    <s v="El Salvador"/>
    <m/>
    <m/>
    <m/>
    <m/>
    <m/>
    <e v="#DIV/0!"/>
    <e v="#DIV/0!"/>
    <s v="-"/>
    <n v="0"/>
    <s v="-"/>
    <n v="0"/>
    <s v="-"/>
    <n v="0"/>
    <s v="-"/>
    <n v="0"/>
    <m/>
    <n v="0"/>
    <m/>
    <m/>
    <m/>
    <m/>
    <n v="0"/>
    <m/>
    <n v="0"/>
    <m/>
    <n v="0"/>
    <m/>
    <n v="0"/>
    <m/>
    <n v="0"/>
    <m/>
    <m/>
    <m/>
    <m/>
    <n v="0"/>
    <m/>
    <n v="0"/>
    <m/>
    <n v="0"/>
    <m/>
    <n v="0"/>
    <m/>
    <n v="0"/>
    <m/>
    <m/>
    <m/>
    <m/>
    <n v="0"/>
    <n v="0"/>
    <n v="0"/>
    <n v="0"/>
    <n v="0"/>
    <n v="0"/>
    <n v="0"/>
    <n v="0"/>
    <n v="0"/>
    <m/>
    <n v="0"/>
    <n v="0"/>
    <m/>
    <m/>
    <x v="0"/>
    <x v="0"/>
  </r>
  <r>
    <n v="134"/>
    <x v="2"/>
    <x v="11"/>
    <s v="PSM costs"/>
    <x v="1"/>
    <m/>
    <m/>
    <m/>
    <m/>
    <m/>
    <m/>
    <m/>
    <m/>
    <m/>
    <s v="-"/>
    <n v="0"/>
    <s v="-"/>
    <n v="0"/>
    <s v="-"/>
    <n v="0"/>
    <s v="-"/>
    <n v="0"/>
    <m/>
    <n v="0"/>
    <m/>
    <m/>
    <m/>
    <m/>
    <n v="0"/>
    <m/>
    <n v="0"/>
    <m/>
    <n v="0"/>
    <m/>
    <n v="0"/>
    <m/>
    <n v="0"/>
    <m/>
    <m/>
    <m/>
    <m/>
    <n v="0"/>
    <m/>
    <n v="0"/>
    <m/>
    <n v="0"/>
    <m/>
    <n v="0"/>
    <m/>
    <n v="0"/>
    <m/>
    <m/>
    <m/>
    <m/>
    <n v="0"/>
    <n v="0"/>
    <n v="0"/>
    <n v="0"/>
    <n v="0"/>
    <n v="0"/>
    <n v="0"/>
    <n v="0"/>
    <n v="0"/>
    <m/>
    <n v="0"/>
    <n v="0"/>
    <m/>
    <m/>
    <x v="0"/>
    <x v="0"/>
  </r>
  <r>
    <n v="135"/>
    <x v="2"/>
    <x v="11"/>
    <s v="PSM costs"/>
    <x v="2"/>
    <m/>
    <m/>
    <m/>
    <m/>
    <m/>
    <m/>
    <m/>
    <m/>
    <m/>
    <s v="-"/>
    <n v="0"/>
    <s v="-"/>
    <n v="0"/>
    <s v="-"/>
    <n v="0"/>
    <s v="-"/>
    <n v="0"/>
    <m/>
    <n v="0"/>
    <m/>
    <m/>
    <m/>
    <m/>
    <n v="0"/>
    <m/>
    <n v="0"/>
    <m/>
    <n v="0"/>
    <m/>
    <n v="0"/>
    <m/>
    <n v="0"/>
    <m/>
    <m/>
    <m/>
    <m/>
    <n v="0"/>
    <m/>
    <n v="0"/>
    <m/>
    <n v="0"/>
    <m/>
    <n v="0"/>
    <m/>
    <n v="0"/>
    <m/>
    <m/>
    <m/>
    <m/>
    <n v="0"/>
    <n v="0"/>
    <n v="0"/>
    <n v="0"/>
    <n v="0"/>
    <n v="0"/>
    <n v="0"/>
    <n v="0"/>
    <n v="0"/>
    <m/>
    <n v="0"/>
    <n v="0"/>
    <m/>
    <m/>
    <x v="0"/>
    <x v="0"/>
  </r>
  <r>
    <n v="136"/>
    <x v="2"/>
    <x v="11"/>
    <s v="PSM costs"/>
    <x v="3"/>
    <m/>
    <m/>
    <m/>
    <m/>
    <m/>
    <m/>
    <m/>
    <m/>
    <m/>
    <s v="-"/>
    <n v="0"/>
    <s v="-"/>
    <n v="0"/>
    <s v="-"/>
    <n v="0"/>
    <s v="-"/>
    <n v="0"/>
    <m/>
    <n v="0"/>
    <m/>
    <m/>
    <m/>
    <m/>
    <n v="0"/>
    <m/>
    <n v="0"/>
    <m/>
    <n v="0"/>
    <m/>
    <n v="0"/>
    <m/>
    <n v="0"/>
    <m/>
    <m/>
    <m/>
    <m/>
    <n v="0"/>
    <m/>
    <n v="0"/>
    <m/>
    <n v="0"/>
    <m/>
    <n v="0"/>
    <m/>
    <n v="0"/>
    <m/>
    <m/>
    <m/>
    <m/>
    <n v="0"/>
    <n v="0"/>
    <n v="0"/>
    <n v="0"/>
    <n v="0"/>
    <n v="0"/>
    <n v="0"/>
    <n v="0"/>
    <n v="0"/>
    <m/>
    <n v="0"/>
    <n v="0"/>
    <m/>
    <m/>
    <x v="0"/>
    <x v="0"/>
  </r>
  <r>
    <n v="137"/>
    <x v="2"/>
    <x v="11"/>
    <s v="PSM costs"/>
    <x v="4"/>
    <m/>
    <m/>
    <m/>
    <m/>
    <m/>
    <m/>
    <m/>
    <m/>
    <m/>
    <s v="-"/>
    <n v="0"/>
    <s v="-"/>
    <n v="0"/>
    <s v="-"/>
    <n v="0"/>
    <s v="-"/>
    <n v="0"/>
    <m/>
    <n v="0"/>
    <m/>
    <m/>
    <m/>
    <m/>
    <n v="0"/>
    <m/>
    <n v="0"/>
    <m/>
    <n v="0"/>
    <m/>
    <n v="0"/>
    <m/>
    <n v="0"/>
    <m/>
    <m/>
    <m/>
    <m/>
    <n v="0"/>
    <m/>
    <n v="0"/>
    <m/>
    <n v="0"/>
    <m/>
    <n v="0"/>
    <m/>
    <n v="0"/>
    <m/>
    <m/>
    <m/>
    <m/>
    <n v="0"/>
    <n v="0"/>
    <n v="0"/>
    <n v="0"/>
    <n v="0"/>
    <n v="0"/>
    <n v="0"/>
    <n v="0"/>
    <n v="0"/>
    <m/>
    <n v="0"/>
    <n v="0"/>
    <m/>
    <m/>
    <x v="0"/>
    <x v="0"/>
  </r>
  <r>
    <n v="138"/>
    <x v="2"/>
    <x v="11"/>
    <s v="PSM costs"/>
    <x v="5"/>
    <m/>
    <m/>
    <m/>
    <m/>
    <m/>
    <m/>
    <m/>
    <m/>
    <m/>
    <s v="-"/>
    <n v="0"/>
    <s v="-"/>
    <n v="0"/>
    <s v="-"/>
    <n v="0"/>
    <s v="-"/>
    <n v="0"/>
    <m/>
    <n v="0"/>
    <m/>
    <m/>
    <m/>
    <m/>
    <n v="0"/>
    <m/>
    <n v="0"/>
    <m/>
    <n v="0"/>
    <m/>
    <n v="0"/>
    <m/>
    <n v="0"/>
    <m/>
    <m/>
    <m/>
    <m/>
    <n v="0"/>
    <m/>
    <n v="0"/>
    <m/>
    <n v="0"/>
    <m/>
    <n v="0"/>
    <m/>
    <n v="0"/>
    <m/>
    <m/>
    <m/>
    <m/>
    <n v="0"/>
    <n v="0"/>
    <n v="0"/>
    <n v="0"/>
    <n v="0"/>
    <n v="0"/>
    <n v="0"/>
    <n v="0"/>
    <n v="0"/>
    <m/>
    <n v="0"/>
    <n v="0"/>
    <m/>
    <m/>
    <x v="0"/>
    <x v="0"/>
  </r>
  <r>
    <n v="139"/>
    <x v="2"/>
    <x v="11"/>
    <s v="PSM costs"/>
    <x v="6"/>
    <m/>
    <s v="El Salvador"/>
    <m/>
    <m/>
    <m/>
    <m/>
    <m/>
    <m/>
    <m/>
    <s v="-"/>
    <n v="0"/>
    <s v="-"/>
    <n v="0"/>
    <s v="-"/>
    <n v="0"/>
    <s v="-"/>
    <n v="0"/>
    <m/>
    <n v="0"/>
    <m/>
    <m/>
    <m/>
    <m/>
    <n v="0"/>
    <m/>
    <n v="0"/>
    <m/>
    <n v="0"/>
    <m/>
    <n v="0"/>
    <m/>
    <n v="0"/>
    <m/>
    <m/>
    <m/>
    <m/>
    <n v="0"/>
    <m/>
    <n v="0"/>
    <m/>
    <n v="0"/>
    <m/>
    <n v="0"/>
    <m/>
    <n v="0"/>
    <m/>
    <m/>
    <m/>
    <m/>
    <n v="0"/>
    <n v="0"/>
    <n v="0"/>
    <n v="0"/>
    <n v="0"/>
    <n v="0"/>
    <n v="0"/>
    <n v="0"/>
    <n v="0"/>
    <m/>
    <n v="0"/>
    <n v="0"/>
    <m/>
    <m/>
    <x v="0"/>
    <x v="0"/>
  </r>
  <r>
    <n v="140"/>
    <x v="2"/>
    <x v="11"/>
    <s v="PSM costs"/>
    <x v="7"/>
    <m/>
    <s v="El Salvador"/>
    <m/>
    <m/>
    <m/>
    <m/>
    <m/>
    <m/>
    <m/>
    <s v="-"/>
    <n v="0"/>
    <s v="-"/>
    <n v="0"/>
    <s v="-"/>
    <n v="0"/>
    <s v="-"/>
    <n v="0"/>
    <m/>
    <n v="0"/>
    <m/>
    <m/>
    <m/>
    <m/>
    <n v="0"/>
    <m/>
    <n v="0"/>
    <m/>
    <n v="0"/>
    <m/>
    <n v="0"/>
    <m/>
    <n v="0"/>
    <m/>
    <m/>
    <m/>
    <m/>
    <n v="0"/>
    <m/>
    <n v="0"/>
    <m/>
    <n v="0"/>
    <m/>
    <n v="0"/>
    <m/>
    <n v="0"/>
    <m/>
    <m/>
    <m/>
    <m/>
    <n v="0"/>
    <n v="0"/>
    <n v="0"/>
    <n v="0"/>
    <n v="0"/>
    <n v="0"/>
    <n v="0"/>
    <n v="0"/>
    <n v="0"/>
    <m/>
    <n v="0"/>
    <n v="0"/>
    <m/>
    <m/>
    <x v="0"/>
    <x v="0"/>
  </r>
  <r>
    <n v="141"/>
    <x v="2"/>
    <x v="12"/>
    <s v="Procurement of antimalaria medicines for prevention"/>
    <x v="10"/>
    <m/>
    <m/>
    <m/>
    <m/>
    <m/>
    <m/>
    <m/>
    <m/>
    <m/>
    <s v="-"/>
    <n v="0"/>
    <s v="-"/>
    <n v="0"/>
    <s v="-"/>
    <n v="0"/>
    <s v="-"/>
    <n v="0"/>
    <m/>
    <n v="0"/>
    <m/>
    <m/>
    <m/>
    <m/>
    <n v="0"/>
    <m/>
    <n v="0"/>
    <m/>
    <n v="0"/>
    <m/>
    <n v="0"/>
    <m/>
    <n v="0"/>
    <m/>
    <m/>
    <m/>
    <m/>
    <n v="0"/>
    <m/>
    <n v="0"/>
    <m/>
    <n v="0"/>
    <m/>
    <n v="0"/>
    <m/>
    <n v="0"/>
    <m/>
    <m/>
    <m/>
    <m/>
    <n v="0"/>
    <n v="0"/>
    <n v="0"/>
    <n v="0"/>
    <n v="0"/>
    <n v="0"/>
    <n v="0"/>
    <n v="0"/>
    <n v="0"/>
    <m/>
    <n v="0"/>
    <n v="0"/>
    <m/>
    <m/>
    <x v="0"/>
    <x v="0"/>
  </r>
  <r>
    <n v="142"/>
    <x v="2"/>
    <x v="12"/>
    <s v="PSM costs"/>
    <x v="1"/>
    <m/>
    <m/>
    <m/>
    <m/>
    <m/>
    <m/>
    <m/>
    <m/>
    <m/>
    <s v="-"/>
    <n v="0"/>
    <s v="-"/>
    <n v="0"/>
    <s v="-"/>
    <n v="0"/>
    <s v="-"/>
    <n v="0"/>
    <m/>
    <n v="0"/>
    <m/>
    <m/>
    <m/>
    <m/>
    <n v="0"/>
    <m/>
    <n v="0"/>
    <m/>
    <n v="0"/>
    <m/>
    <n v="0"/>
    <m/>
    <n v="0"/>
    <m/>
    <m/>
    <m/>
    <m/>
    <n v="0"/>
    <m/>
    <n v="0"/>
    <m/>
    <n v="0"/>
    <m/>
    <n v="0"/>
    <m/>
    <n v="0"/>
    <m/>
    <m/>
    <m/>
    <m/>
    <n v="0"/>
    <n v="0"/>
    <n v="0"/>
    <n v="0"/>
    <n v="0"/>
    <n v="0"/>
    <n v="0"/>
    <n v="0"/>
    <n v="0"/>
    <m/>
    <n v="0"/>
    <n v="0"/>
    <m/>
    <m/>
    <x v="0"/>
    <x v="0"/>
  </r>
  <r>
    <n v="143"/>
    <x v="2"/>
    <x v="12"/>
    <s v="PSM costs"/>
    <x v="2"/>
    <m/>
    <m/>
    <m/>
    <m/>
    <m/>
    <m/>
    <m/>
    <m/>
    <m/>
    <s v="-"/>
    <n v="0"/>
    <s v="-"/>
    <n v="0"/>
    <s v="-"/>
    <n v="0"/>
    <s v="-"/>
    <n v="0"/>
    <m/>
    <n v="0"/>
    <m/>
    <m/>
    <m/>
    <m/>
    <n v="0"/>
    <m/>
    <n v="0"/>
    <m/>
    <n v="0"/>
    <m/>
    <n v="0"/>
    <m/>
    <n v="0"/>
    <m/>
    <m/>
    <m/>
    <m/>
    <n v="0"/>
    <m/>
    <n v="0"/>
    <m/>
    <n v="0"/>
    <m/>
    <n v="0"/>
    <m/>
    <n v="0"/>
    <m/>
    <m/>
    <m/>
    <m/>
    <n v="0"/>
    <n v="0"/>
    <n v="0"/>
    <n v="0"/>
    <n v="0"/>
    <n v="0"/>
    <n v="0"/>
    <n v="0"/>
    <n v="0"/>
    <m/>
    <n v="0"/>
    <n v="0"/>
    <m/>
    <m/>
    <x v="0"/>
    <x v="0"/>
  </r>
  <r>
    <n v="144"/>
    <x v="2"/>
    <x v="12"/>
    <s v="PSM costs"/>
    <x v="3"/>
    <m/>
    <m/>
    <m/>
    <m/>
    <m/>
    <m/>
    <m/>
    <m/>
    <m/>
    <s v="-"/>
    <n v="0"/>
    <s v="-"/>
    <n v="0"/>
    <s v="-"/>
    <n v="0"/>
    <s v="-"/>
    <n v="0"/>
    <m/>
    <n v="0"/>
    <m/>
    <m/>
    <m/>
    <m/>
    <n v="0"/>
    <m/>
    <n v="0"/>
    <m/>
    <n v="0"/>
    <m/>
    <n v="0"/>
    <m/>
    <n v="0"/>
    <m/>
    <m/>
    <m/>
    <m/>
    <n v="0"/>
    <m/>
    <n v="0"/>
    <m/>
    <n v="0"/>
    <m/>
    <n v="0"/>
    <m/>
    <n v="0"/>
    <m/>
    <m/>
    <m/>
    <m/>
    <n v="0"/>
    <n v="0"/>
    <n v="0"/>
    <n v="0"/>
    <n v="0"/>
    <n v="0"/>
    <n v="0"/>
    <n v="0"/>
    <n v="0"/>
    <m/>
    <n v="0"/>
    <n v="0"/>
    <m/>
    <m/>
    <x v="0"/>
    <x v="0"/>
  </r>
  <r>
    <n v="145"/>
    <x v="2"/>
    <x v="12"/>
    <s v="PSM costs"/>
    <x v="4"/>
    <m/>
    <m/>
    <m/>
    <m/>
    <m/>
    <m/>
    <m/>
    <m/>
    <m/>
    <s v="-"/>
    <n v="0"/>
    <s v="-"/>
    <n v="0"/>
    <s v="-"/>
    <n v="0"/>
    <s v="-"/>
    <n v="0"/>
    <m/>
    <n v="0"/>
    <m/>
    <m/>
    <m/>
    <m/>
    <n v="0"/>
    <m/>
    <n v="0"/>
    <m/>
    <n v="0"/>
    <m/>
    <n v="0"/>
    <m/>
    <n v="0"/>
    <m/>
    <m/>
    <m/>
    <m/>
    <n v="0"/>
    <m/>
    <n v="0"/>
    <m/>
    <n v="0"/>
    <m/>
    <n v="0"/>
    <m/>
    <n v="0"/>
    <m/>
    <m/>
    <m/>
    <m/>
    <n v="0"/>
    <n v="0"/>
    <n v="0"/>
    <n v="0"/>
    <n v="0"/>
    <n v="0"/>
    <n v="0"/>
    <n v="0"/>
    <n v="0"/>
    <m/>
    <n v="0"/>
    <n v="0"/>
    <m/>
    <m/>
    <x v="0"/>
    <x v="0"/>
  </r>
  <r>
    <n v="146"/>
    <x v="2"/>
    <x v="12"/>
    <s v="PSM costs"/>
    <x v="5"/>
    <m/>
    <s v="El Salvador"/>
    <m/>
    <m/>
    <m/>
    <m/>
    <m/>
    <m/>
    <m/>
    <s v="-"/>
    <n v="0"/>
    <s v="-"/>
    <n v="0"/>
    <s v="-"/>
    <n v="0"/>
    <s v="-"/>
    <n v="0"/>
    <m/>
    <n v="0"/>
    <m/>
    <m/>
    <m/>
    <m/>
    <n v="0"/>
    <m/>
    <n v="0"/>
    <m/>
    <n v="0"/>
    <m/>
    <n v="0"/>
    <m/>
    <n v="0"/>
    <m/>
    <m/>
    <m/>
    <m/>
    <n v="0"/>
    <m/>
    <n v="0"/>
    <m/>
    <n v="0"/>
    <m/>
    <n v="0"/>
    <m/>
    <n v="0"/>
    <m/>
    <m/>
    <m/>
    <m/>
    <n v="0"/>
    <n v="0"/>
    <n v="0"/>
    <n v="0"/>
    <n v="0"/>
    <n v="0"/>
    <n v="0"/>
    <n v="0"/>
    <n v="0"/>
    <m/>
    <n v="0"/>
    <n v="0"/>
    <m/>
    <m/>
    <x v="0"/>
    <x v="0"/>
  </r>
  <r>
    <n v="147"/>
    <x v="2"/>
    <x v="12"/>
    <s v="PSM costs"/>
    <x v="6"/>
    <m/>
    <s v="El Salvador"/>
    <m/>
    <m/>
    <m/>
    <m/>
    <m/>
    <m/>
    <m/>
    <s v="-"/>
    <n v="0"/>
    <s v="-"/>
    <n v="0"/>
    <s v="-"/>
    <n v="0"/>
    <s v="-"/>
    <n v="0"/>
    <m/>
    <n v="0"/>
    <m/>
    <m/>
    <m/>
    <m/>
    <n v="0"/>
    <m/>
    <n v="0"/>
    <m/>
    <n v="0"/>
    <m/>
    <n v="0"/>
    <m/>
    <n v="0"/>
    <m/>
    <m/>
    <m/>
    <m/>
    <n v="0"/>
    <m/>
    <n v="0"/>
    <m/>
    <n v="0"/>
    <m/>
    <n v="0"/>
    <m/>
    <n v="0"/>
    <m/>
    <m/>
    <m/>
    <m/>
    <n v="0"/>
    <n v="0"/>
    <n v="0"/>
    <n v="0"/>
    <n v="0"/>
    <n v="0"/>
    <n v="0"/>
    <n v="0"/>
    <n v="0"/>
    <m/>
    <n v="0"/>
    <n v="0"/>
    <m/>
    <m/>
    <x v="0"/>
    <x v="0"/>
  </r>
  <r>
    <n v="148"/>
    <x v="2"/>
    <x v="12"/>
    <s v="PSM costs"/>
    <x v="7"/>
    <m/>
    <m/>
    <m/>
    <m/>
    <m/>
    <m/>
    <m/>
    <m/>
    <m/>
    <s v="-"/>
    <n v="0"/>
    <s v="-"/>
    <n v="0"/>
    <s v="-"/>
    <n v="0"/>
    <s v="-"/>
    <n v="0"/>
    <m/>
    <n v="0"/>
    <m/>
    <m/>
    <m/>
    <m/>
    <n v="0"/>
    <m/>
    <n v="0"/>
    <m/>
    <n v="0"/>
    <m/>
    <n v="0"/>
    <m/>
    <n v="0"/>
    <m/>
    <m/>
    <m/>
    <m/>
    <n v="0"/>
    <m/>
    <n v="0"/>
    <m/>
    <n v="0"/>
    <m/>
    <n v="0"/>
    <m/>
    <n v="0"/>
    <m/>
    <m/>
    <m/>
    <m/>
    <n v="0"/>
    <n v="0"/>
    <n v="0"/>
    <n v="0"/>
    <n v="0"/>
    <n v="0"/>
    <n v="0"/>
    <n v="0"/>
    <n v="0"/>
    <m/>
    <n v="0"/>
    <n v="0"/>
    <m/>
    <m/>
    <x v="0"/>
    <x v="0"/>
  </r>
  <r>
    <n v="149"/>
    <x v="2"/>
    <x v="13"/>
    <s v="Procurement of antimalaria medicines for prevention"/>
    <x v="10"/>
    <m/>
    <m/>
    <m/>
    <m/>
    <m/>
    <m/>
    <m/>
    <m/>
    <m/>
    <s v="-"/>
    <n v="0"/>
    <s v="-"/>
    <n v="0"/>
    <s v="-"/>
    <n v="0"/>
    <s v="-"/>
    <n v="0"/>
    <m/>
    <n v="0"/>
    <m/>
    <m/>
    <m/>
    <m/>
    <n v="0"/>
    <m/>
    <n v="0"/>
    <m/>
    <n v="0"/>
    <m/>
    <n v="0"/>
    <m/>
    <n v="0"/>
    <m/>
    <m/>
    <m/>
    <m/>
    <n v="0"/>
    <m/>
    <n v="0"/>
    <m/>
    <n v="0"/>
    <m/>
    <n v="0"/>
    <m/>
    <n v="0"/>
    <m/>
    <m/>
    <m/>
    <m/>
    <n v="0"/>
    <n v="0"/>
    <n v="0"/>
    <n v="0"/>
    <n v="0"/>
    <n v="0"/>
    <n v="0"/>
    <n v="0"/>
    <n v="0"/>
    <m/>
    <n v="0"/>
    <n v="0"/>
    <m/>
    <m/>
    <x v="0"/>
    <x v="0"/>
  </r>
  <r>
    <n v="150"/>
    <x v="2"/>
    <x v="13"/>
    <s v="PSM costs"/>
    <x v="1"/>
    <m/>
    <m/>
    <m/>
    <m/>
    <m/>
    <m/>
    <m/>
    <m/>
    <m/>
    <s v="-"/>
    <n v="0"/>
    <s v="-"/>
    <n v="0"/>
    <s v="-"/>
    <n v="0"/>
    <s v="-"/>
    <n v="0"/>
    <m/>
    <n v="0"/>
    <m/>
    <m/>
    <m/>
    <m/>
    <n v="0"/>
    <m/>
    <n v="0"/>
    <m/>
    <n v="0"/>
    <m/>
    <n v="0"/>
    <m/>
    <n v="0"/>
    <m/>
    <m/>
    <m/>
    <m/>
    <n v="0"/>
    <m/>
    <n v="0"/>
    <m/>
    <n v="0"/>
    <m/>
    <n v="0"/>
    <m/>
    <n v="0"/>
    <m/>
    <m/>
    <m/>
    <m/>
    <n v="0"/>
    <n v="0"/>
    <n v="0"/>
    <n v="0"/>
    <n v="0"/>
    <n v="0"/>
    <n v="0"/>
    <n v="0"/>
    <n v="0"/>
    <m/>
    <n v="0"/>
    <n v="0"/>
    <m/>
    <m/>
    <x v="0"/>
    <x v="0"/>
  </r>
  <r>
    <n v="151"/>
    <x v="2"/>
    <x v="13"/>
    <s v="PSM costs"/>
    <x v="2"/>
    <m/>
    <m/>
    <m/>
    <m/>
    <m/>
    <m/>
    <m/>
    <m/>
    <m/>
    <s v="-"/>
    <n v="0"/>
    <s v="-"/>
    <n v="0"/>
    <s v="-"/>
    <n v="0"/>
    <s v="-"/>
    <n v="0"/>
    <m/>
    <n v="0"/>
    <m/>
    <m/>
    <m/>
    <m/>
    <n v="0"/>
    <m/>
    <n v="0"/>
    <m/>
    <n v="0"/>
    <m/>
    <n v="0"/>
    <m/>
    <n v="0"/>
    <m/>
    <m/>
    <m/>
    <m/>
    <n v="0"/>
    <m/>
    <n v="0"/>
    <m/>
    <n v="0"/>
    <m/>
    <n v="0"/>
    <m/>
    <n v="0"/>
    <m/>
    <m/>
    <m/>
    <m/>
    <n v="0"/>
    <n v="0"/>
    <n v="0"/>
    <n v="0"/>
    <n v="0"/>
    <n v="0"/>
    <n v="0"/>
    <n v="0"/>
    <n v="0"/>
    <m/>
    <n v="0"/>
    <n v="0"/>
    <m/>
    <m/>
    <x v="0"/>
    <x v="0"/>
  </r>
  <r>
    <n v="152"/>
    <x v="2"/>
    <x v="13"/>
    <s v="PSM costs"/>
    <x v="3"/>
    <m/>
    <m/>
    <m/>
    <m/>
    <m/>
    <m/>
    <m/>
    <m/>
    <m/>
    <s v="-"/>
    <n v="0"/>
    <s v="-"/>
    <n v="0"/>
    <s v="-"/>
    <n v="0"/>
    <s v="-"/>
    <n v="0"/>
    <m/>
    <n v="0"/>
    <m/>
    <m/>
    <m/>
    <m/>
    <n v="0"/>
    <m/>
    <n v="0"/>
    <m/>
    <n v="0"/>
    <m/>
    <n v="0"/>
    <m/>
    <n v="0"/>
    <m/>
    <m/>
    <m/>
    <m/>
    <n v="0"/>
    <m/>
    <n v="0"/>
    <m/>
    <n v="0"/>
    <m/>
    <n v="0"/>
    <m/>
    <n v="0"/>
    <m/>
    <m/>
    <m/>
    <m/>
    <n v="0"/>
    <n v="0"/>
    <n v="0"/>
    <n v="0"/>
    <n v="0"/>
    <n v="0"/>
    <n v="0"/>
    <n v="0"/>
    <n v="0"/>
    <m/>
    <n v="0"/>
    <n v="0"/>
    <m/>
    <m/>
    <x v="0"/>
    <x v="0"/>
  </r>
  <r>
    <n v="153"/>
    <x v="2"/>
    <x v="13"/>
    <s v="PSM costs"/>
    <x v="4"/>
    <m/>
    <m/>
    <m/>
    <m/>
    <m/>
    <m/>
    <m/>
    <m/>
    <m/>
    <s v="-"/>
    <n v="0"/>
    <s v="-"/>
    <n v="0"/>
    <s v="-"/>
    <n v="0"/>
    <s v="-"/>
    <n v="0"/>
    <m/>
    <n v="0"/>
    <m/>
    <m/>
    <m/>
    <m/>
    <n v="0"/>
    <m/>
    <n v="0"/>
    <m/>
    <n v="0"/>
    <m/>
    <n v="0"/>
    <m/>
    <n v="0"/>
    <m/>
    <m/>
    <m/>
    <m/>
    <n v="0"/>
    <m/>
    <n v="0"/>
    <m/>
    <n v="0"/>
    <m/>
    <n v="0"/>
    <m/>
    <n v="0"/>
    <m/>
    <m/>
    <m/>
    <m/>
    <n v="0"/>
    <n v="0"/>
    <n v="0"/>
    <n v="0"/>
    <n v="0"/>
    <n v="0"/>
    <n v="0"/>
    <n v="0"/>
    <n v="0"/>
    <m/>
    <n v="0"/>
    <n v="0"/>
    <m/>
    <m/>
    <x v="0"/>
    <x v="0"/>
  </r>
  <r>
    <n v="154"/>
    <x v="2"/>
    <x v="13"/>
    <s v="PSM costs"/>
    <x v="5"/>
    <m/>
    <s v="El Salvador"/>
    <m/>
    <m/>
    <m/>
    <m/>
    <m/>
    <m/>
    <m/>
    <s v="-"/>
    <n v="0"/>
    <s v="-"/>
    <n v="0"/>
    <s v="-"/>
    <n v="0"/>
    <s v="-"/>
    <n v="0"/>
    <m/>
    <n v="0"/>
    <m/>
    <m/>
    <m/>
    <m/>
    <n v="0"/>
    <m/>
    <n v="0"/>
    <m/>
    <n v="0"/>
    <m/>
    <n v="0"/>
    <m/>
    <n v="0"/>
    <m/>
    <m/>
    <m/>
    <m/>
    <n v="0"/>
    <m/>
    <n v="0"/>
    <m/>
    <n v="0"/>
    <m/>
    <n v="0"/>
    <m/>
    <n v="0"/>
    <m/>
    <m/>
    <m/>
    <m/>
    <n v="0"/>
    <n v="0"/>
    <n v="0"/>
    <n v="0"/>
    <n v="0"/>
    <n v="0"/>
    <n v="0"/>
    <n v="0"/>
    <n v="0"/>
    <m/>
    <n v="0"/>
    <n v="0"/>
    <m/>
    <m/>
    <x v="0"/>
    <x v="0"/>
  </r>
  <r>
    <n v="155"/>
    <x v="2"/>
    <x v="13"/>
    <s v="PSM costs"/>
    <x v="6"/>
    <m/>
    <m/>
    <m/>
    <m/>
    <m/>
    <m/>
    <m/>
    <m/>
    <m/>
    <s v="-"/>
    <n v="0"/>
    <s v="-"/>
    <n v="0"/>
    <s v="-"/>
    <n v="0"/>
    <s v="-"/>
    <n v="0"/>
    <m/>
    <n v="0"/>
    <m/>
    <m/>
    <m/>
    <m/>
    <n v="0"/>
    <m/>
    <n v="0"/>
    <m/>
    <n v="0"/>
    <m/>
    <n v="0"/>
    <m/>
    <n v="0"/>
    <m/>
    <m/>
    <m/>
    <m/>
    <n v="0"/>
    <m/>
    <n v="0"/>
    <m/>
    <n v="0"/>
    <m/>
    <n v="0"/>
    <m/>
    <n v="0"/>
    <m/>
    <m/>
    <m/>
    <m/>
    <n v="0"/>
    <n v="0"/>
    <n v="0"/>
    <n v="0"/>
    <n v="0"/>
    <n v="0"/>
    <n v="0"/>
    <n v="0"/>
    <n v="0"/>
    <m/>
    <n v="0"/>
    <n v="0"/>
    <m/>
    <m/>
    <x v="0"/>
    <x v="0"/>
  </r>
  <r>
    <n v="156"/>
    <x v="2"/>
    <x v="13"/>
    <s v="PSM costs"/>
    <x v="7"/>
    <m/>
    <m/>
    <m/>
    <m/>
    <m/>
    <m/>
    <m/>
    <m/>
    <m/>
    <s v="-"/>
    <n v="0"/>
    <s v="-"/>
    <n v="0"/>
    <s v="-"/>
    <n v="0"/>
    <s v="-"/>
    <n v="0"/>
    <m/>
    <n v="0"/>
    <m/>
    <m/>
    <m/>
    <m/>
    <n v="0"/>
    <m/>
    <n v="0"/>
    <m/>
    <n v="0"/>
    <m/>
    <n v="0"/>
    <m/>
    <n v="0"/>
    <m/>
    <m/>
    <m/>
    <m/>
    <n v="0"/>
    <m/>
    <n v="0"/>
    <m/>
    <n v="0"/>
    <m/>
    <n v="0"/>
    <m/>
    <n v="0"/>
    <m/>
    <m/>
    <m/>
    <m/>
    <n v="0"/>
    <n v="0"/>
    <n v="0"/>
    <n v="0"/>
    <n v="0"/>
    <n v="0"/>
    <n v="0"/>
    <n v="0"/>
    <n v="0"/>
    <m/>
    <n v="0"/>
    <n v="0"/>
    <m/>
    <m/>
    <x v="0"/>
    <x v="0"/>
  </r>
  <r>
    <n v="157"/>
    <x v="3"/>
    <x v="14"/>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1"/>
  </r>
  <r>
    <n v="158"/>
    <x v="3"/>
    <x v="14"/>
    <s v="Procurement of RDTs to diagnose TB"/>
    <x v="11"/>
    <m/>
    <m/>
    <m/>
    <m/>
    <m/>
    <m/>
    <m/>
    <m/>
    <m/>
    <s v="-"/>
    <n v="0"/>
    <m/>
    <n v="0"/>
    <m/>
    <n v="0"/>
    <m/>
    <n v="0"/>
    <m/>
    <n v="0"/>
    <m/>
    <m/>
    <m/>
    <m/>
    <n v="0"/>
    <m/>
    <n v="0"/>
    <m/>
    <n v="0"/>
    <m/>
    <n v="0"/>
    <m/>
    <n v="0"/>
    <m/>
    <m/>
    <m/>
    <m/>
    <n v="0"/>
    <m/>
    <n v="0"/>
    <m/>
    <n v="0"/>
    <m/>
    <n v="0"/>
    <m/>
    <n v="0"/>
    <m/>
    <m/>
    <m/>
    <m/>
    <n v="0"/>
    <n v="0"/>
    <n v="0"/>
    <n v="0"/>
    <n v="0"/>
    <n v="0"/>
    <n v="0"/>
    <n v="0"/>
    <n v="0"/>
    <m/>
    <n v="0"/>
    <n v="0"/>
    <m/>
    <m/>
    <x v="0"/>
    <x v="1"/>
  </r>
  <r>
    <n v="159"/>
    <x v="3"/>
    <x v="14"/>
    <s v="Procurement of laboratory reagents"/>
    <x v="14"/>
    <m/>
    <m/>
    <m/>
    <m/>
    <m/>
    <m/>
    <m/>
    <m/>
    <m/>
    <s v="-"/>
    <n v="0"/>
    <s v="-"/>
    <n v="0"/>
    <s v="-"/>
    <n v="0"/>
    <s v="-"/>
    <n v="0"/>
    <m/>
    <n v="0"/>
    <m/>
    <m/>
    <m/>
    <m/>
    <n v="0"/>
    <m/>
    <n v="0"/>
    <m/>
    <n v="0"/>
    <m/>
    <n v="0"/>
    <m/>
    <n v="0"/>
    <m/>
    <m/>
    <m/>
    <m/>
    <n v="0"/>
    <m/>
    <n v="0"/>
    <m/>
    <n v="0"/>
    <m/>
    <n v="0"/>
    <m/>
    <n v="0"/>
    <m/>
    <m/>
    <m/>
    <m/>
    <n v="0"/>
    <n v="0"/>
    <n v="0"/>
    <n v="0"/>
    <n v="0"/>
    <n v="0"/>
    <n v="0"/>
    <n v="0"/>
    <n v="0"/>
    <m/>
    <n v="0"/>
    <n v="0"/>
    <m/>
    <m/>
    <x v="0"/>
    <x v="1"/>
  </r>
  <r>
    <n v="160"/>
    <x v="3"/>
    <x v="14"/>
    <s v="Procurement of consumables"/>
    <x v="13"/>
    <m/>
    <m/>
    <m/>
    <m/>
    <m/>
    <m/>
    <m/>
    <e v="#DIV/0!"/>
    <m/>
    <s v="-"/>
    <n v="0"/>
    <s v="-"/>
    <n v="0"/>
    <s v="-"/>
    <n v="0"/>
    <s v="-"/>
    <n v="0"/>
    <m/>
    <n v="0"/>
    <m/>
    <m/>
    <m/>
    <m/>
    <n v="0"/>
    <m/>
    <n v="0"/>
    <m/>
    <n v="0"/>
    <m/>
    <n v="0"/>
    <m/>
    <n v="0"/>
    <m/>
    <m/>
    <m/>
    <m/>
    <n v="0"/>
    <m/>
    <n v="0"/>
    <m/>
    <n v="0"/>
    <m/>
    <n v="0"/>
    <m/>
    <n v="0"/>
    <m/>
    <m/>
    <m/>
    <m/>
    <n v="0"/>
    <n v="0"/>
    <n v="0"/>
    <n v="0"/>
    <n v="0"/>
    <n v="0"/>
    <n v="0"/>
    <n v="0"/>
    <n v="0"/>
    <m/>
    <n v="0"/>
    <n v="0"/>
    <m/>
    <m/>
    <x v="0"/>
    <x v="1"/>
  </r>
  <r>
    <n v="161"/>
    <x v="3"/>
    <x v="14"/>
    <s v="Procurement of TB Molecular Test equipment"/>
    <x v="15"/>
    <m/>
    <m/>
    <m/>
    <m/>
    <m/>
    <m/>
    <m/>
    <e v="#DIV/0!"/>
    <e v="#DIV/0!"/>
    <s v="-"/>
    <n v="0"/>
    <s v="-"/>
    <n v="0"/>
    <s v="-"/>
    <n v="0"/>
    <s v="-"/>
    <n v="0"/>
    <m/>
    <n v="0"/>
    <m/>
    <m/>
    <m/>
    <m/>
    <n v="0"/>
    <m/>
    <n v="0"/>
    <m/>
    <n v="0"/>
    <m/>
    <n v="0"/>
    <m/>
    <n v="0"/>
    <m/>
    <m/>
    <m/>
    <m/>
    <n v="0"/>
    <m/>
    <n v="0"/>
    <m/>
    <n v="0"/>
    <m/>
    <n v="0"/>
    <m/>
    <n v="0"/>
    <m/>
    <m/>
    <m/>
    <m/>
    <n v="0"/>
    <n v="0"/>
    <n v="0"/>
    <n v="0"/>
    <n v="0"/>
    <n v="0"/>
    <n v="0"/>
    <n v="0"/>
    <n v="0"/>
    <m/>
    <n v="0"/>
    <n v="0"/>
    <m/>
    <m/>
    <x v="0"/>
    <x v="1"/>
  </r>
  <r>
    <n v="162"/>
    <x v="3"/>
    <x v="14"/>
    <s v="Maintenance and service contracts"/>
    <x v="16"/>
    <m/>
    <s v="El Salvador"/>
    <m/>
    <m/>
    <m/>
    <m/>
    <m/>
    <e v="#DIV/0!"/>
    <e v="#DIV/0!"/>
    <s v="-"/>
    <n v="0"/>
    <s v="-"/>
    <n v="0"/>
    <s v="-"/>
    <n v="0"/>
    <s v="-"/>
    <n v="0"/>
    <m/>
    <n v="0"/>
    <m/>
    <m/>
    <m/>
    <m/>
    <n v="0"/>
    <m/>
    <n v="0"/>
    <m/>
    <n v="0"/>
    <m/>
    <n v="0"/>
    <m/>
    <n v="0"/>
    <m/>
    <m/>
    <m/>
    <m/>
    <n v="0"/>
    <m/>
    <n v="0"/>
    <m/>
    <n v="0"/>
    <m/>
    <n v="0"/>
    <m/>
    <n v="0"/>
    <m/>
    <m/>
    <m/>
    <m/>
    <n v="0"/>
    <n v="0"/>
    <n v="0"/>
    <n v="0"/>
    <n v="0"/>
    <n v="0"/>
    <n v="0"/>
    <n v="0"/>
    <n v="0"/>
    <m/>
    <n v="0"/>
    <n v="0"/>
    <m/>
    <m/>
    <x v="0"/>
    <x v="1"/>
  </r>
  <r>
    <n v="163"/>
    <x v="3"/>
    <x v="14"/>
    <s v="Procurement of other health equipment"/>
    <x v="9"/>
    <m/>
    <s v="El Salvador"/>
    <m/>
    <m/>
    <m/>
    <m/>
    <m/>
    <e v="#DIV/0!"/>
    <e v="#DIV/0!"/>
    <s v="-"/>
    <n v="0"/>
    <s v="-"/>
    <n v="0"/>
    <s v="-"/>
    <n v="0"/>
    <s v="-"/>
    <n v="0"/>
    <m/>
    <n v="0"/>
    <m/>
    <m/>
    <m/>
    <m/>
    <n v="0"/>
    <m/>
    <n v="0"/>
    <m/>
    <n v="0"/>
    <m/>
    <n v="0"/>
    <m/>
    <n v="0"/>
    <m/>
    <m/>
    <m/>
    <m/>
    <n v="0"/>
    <m/>
    <n v="0"/>
    <m/>
    <n v="0"/>
    <m/>
    <n v="0"/>
    <m/>
    <n v="0"/>
    <m/>
    <m/>
    <m/>
    <m/>
    <n v="0"/>
    <n v="0"/>
    <n v="0"/>
    <n v="0"/>
    <n v="0"/>
    <n v="0"/>
    <n v="0"/>
    <n v="0"/>
    <n v="0"/>
    <m/>
    <n v="0"/>
    <n v="0"/>
    <m/>
    <m/>
    <x v="0"/>
    <x v="1"/>
  </r>
  <r>
    <n v="164"/>
    <x v="3"/>
    <x v="14"/>
    <s v="PSM costs"/>
    <x v="1"/>
    <m/>
    <m/>
    <m/>
    <m/>
    <m/>
    <m/>
    <m/>
    <m/>
    <m/>
    <s v="-"/>
    <n v="0"/>
    <s v="-"/>
    <n v="0"/>
    <s v="-"/>
    <n v="0"/>
    <s v="-"/>
    <n v="0"/>
    <m/>
    <n v="0"/>
    <m/>
    <m/>
    <m/>
    <m/>
    <n v="0"/>
    <m/>
    <n v="0"/>
    <m/>
    <n v="0"/>
    <m/>
    <n v="0"/>
    <m/>
    <n v="0"/>
    <m/>
    <m/>
    <m/>
    <m/>
    <n v="0"/>
    <m/>
    <n v="0"/>
    <m/>
    <n v="0"/>
    <m/>
    <n v="0"/>
    <m/>
    <n v="0"/>
    <m/>
    <m/>
    <m/>
    <m/>
    <n v="0"/>
    <n v="0"/>
    <n v="0"/>
    <n v="0"/>
    <n v="0"/>
    <n v="0"/>
    <n v="0"/>
    <n v="0"/>
    <n v="0"/>
    <m/>
    <n v="0"/>
    <n v="0"/>
    <m/>
    <m/>
    <x v="0"/>
    <x v="1"/>
  </r>
  <r>
    <n v="165"/>
    <x v="3"/>
    <x v="14"/>
    <s v="PSM costs"/>
    <x v="2"/>
    <m/>
    <m/>
    <m/>
    <m/>
    <m/>
    <m/>
    <m/>
    <m/>
    <m/>
    <s v="-"/>
    <n v="0"/>
    <s v="-"/>
    <n v="0"/>
    <s v="-"/>
    <n v="0"/>
    <s v="-"/>
    <n v="0"/>
    <m/>
    <n v="0"/>
    <m/>
    <m/>
    <m/>
    <m/>
    <n v="0"/>
    <m/>
    <n v="0"/>
    <m/>
    <n v="0"/>
    <m/>
    <n v="0"/>
    <m/>
    <n v="0"/>
    <m/>
    <m/>
    <m/>
    <m/>
    <n v="0"/>
    <m/>
    <n v="0"/>
    <m/>
    <n v="0"/>
    <m/>
    <n v="0"/>
    <m/>
    <n v="0"/>
    <m/>
    <m/>
    <m/>
    <m/>
    <n v="0"/>
    <n v="0"/>
    <n v="0"/>
    <n v="0"/>
    <n v="0"/>
    <n v="0"/>
    <n v="0"/>
    <n v="0"/>
    <n v="0"/>
    <m/>
    <n v="0"/>
    <n v="0"/>
    <m/>
    <m/>
    <x v="0"/>
    <x v="1"/>
  </r>
  <r>
    <n v="166"/>
    <x v="3"/>
    <x v="14"/>
    <s v="PSM costs"/>
    <x v="3"/>
    <m/>
    <m/>
    <m/>
    <m/>
    <m/>
    <m/>
    <m/>
    <m/>
    <m/>
    <s v="-"/>
    <n v="0"/>
    <s v="-"/>
    <n v="0"/>
    <s v="-"/>
    <n v="0"/>
    <s v="-"/>
    <n v="0"/>
    <m/>
    <n v="0"/>
    <m/>
    <m/>
    <m/>
    <m/>
    <n v="0"/>
    <m/>
    <n v="0"/>
    <m/>
    <n v="0"/>
    <m/>
    <n v="0"/>
    <m/>
    <n v="0"/>
    <m/>
    <m/>
    <m/>
    <m/>
    <n v="0"/>
    <m/>
    <n v="0"/>
    <m/>
    <n v="0"/>
    <m/>
    <n v="0"/>
    <m/>
    <n v="0"/>
    <m/>
    <m/>
    <m/>
    <m/>
    <n v="0"/>
    <n v="0"/>
    <n v="0"/>
    <n v="0"/>
    <n v="0"/>
    <n v="0"/>
    <n v="0"/>
    <n v="0"/>
    <n v="0"/>
    <m/>
    <n v="0"/>
    <n v="0"/>
    <m/>
    <m/>
    <x v="0"/>
    <x v="1"/>
  </r>
  <r>
    <n v="167"/>
    <x v="3"/>
    <x v="14"/>
    <s v="PSM costs"/>
    <x v="4"/>
    <m/>
    <m/>
    <m/>
    <m/>
    <m/>
    <m/>
    <m/>
    <m/>
    <m/>
    <s v="-"/>
    <n v="0"/>
    <s v="-"/>
    <n v="0"/>
    <s v="-"/>
    <n v="0"/>
    <s v="-"/>
    <n v="0"/>
    <m/>
    <n v="0"/>
    <m/>
    <m/>
    <m/>
    <m/>
    <n v="0"/>
    <m/>
    <n v="0"/>
    <m/>
    <n v="0"/>
    <m/>
    <n v="0"/>
    <m/>
    <n v="0"/>
    <m/>
    <m/>
    <m/>
    <m/>
    <n v="0"/>
    <m/>
    <n v="0"/>
    <m/>
    <n v="0"/>
    <m/>
    <n v="0"/>
    <m/>
    <n v="0"/>
    <m/>
    <m/>
    <m/>
    <m/>
    <n v="0"/>
    <n v="0"/>
    <n v="0"/>
    <n v="0"/>
    <n v="0"/>
    <n v="0"/>
    <n v="0"/>
    <n v="0"/>
    <n v="0"/>
    <m/>
    <n v="0"/>
    <n v="0"/>
    <m/>
    <m/>
    <x v="0"/>
    <x v="1"/>
  </r>
  <r>
    <n v="168"/>
    <x v="3"/>
    <x v="14"/>
    <s v="PSM costs"/>
    <x v="5"/>
    <m/>
    <m/>
    <m/>
    <m/>
    <m/>
    <m/>
    <m/>
    <e v="#DIV/0!"/>
    <e v="#DIV/0!"/>
    <s v="-"/>
    <n v="0"/>
    <m/>
    <n v="0"/>
    <s v="-"/>
    <n v="0"/>
    <s v="-"/>
    <n v="0"/>
    <m/>
    <n v="0"/>
    <m/>
    <m/>
    <m/>
    <m/>
    <n v="0"/>
    <m/>
    <n v="0"/>
    <m/>
    <n v="0"/>
    <m/>
    <n v="0"/>
    <m/>
    <n v="0"/>
    <m/>
    <m/>
    <m/>
    <m/>
    <n v="0"/>
    <m/>
    <n v="0"/>
    <m/>
    <n v="0"/>
    <m/>
    <n v="0"/>
    <m/>
    <n v="0"/>
    <m/>
    <m/>
    <m/>
    <m/>
    <n v="0"/>
    <n v="0"/>
    <n v="0"/>
    <n v="0"/>
    <n v="0"/>
    <n v="0"/>
    <n v="0"/>
    <n v="0"/>
    <n v="0"/>
    <m/>
    <n v="0"/>
    <n v="0"/>
    <m/>
    <m/>
    <x v="0"/>
    <x v="1"/>
  </r>
  <r>
    <n v="169"/>
    <x v="3"/>
    <x v="14"/>
    <s v="PSM costs"/>
    <x v="6"/>
    <m/>
    <m/>
    <m/>
    <m/>
    <m/>
    <m/>
    <m/>
    <m/>
    <m/>
    <s v="-"/>
    <n v="0"/>
    <s v="-"/>
    <n v="0"/>
    <s v="-"/>
    <n v="0"/>
    <s v="-"/>
    <n v="0"/>
    <m/>
    <n v="0"/>
    <m/>
    <m/>
    <m/>
    <m/>
    <n v="0"/>
    <m/>
    <n v="0"/>
    <m/>
    <n v="0"/>
    <m/>
    <n v="0"/>
    <m/>
    <n v="0"/>
    <m/>
    <m/>
    <m/>
    <m/>
    <n v="0"/>
    <m/>
    <n v="0"/>
    <m/>
    <n v="0"/>
    <m/>
    <n v="0"/>
    <m/>
    <n v="0"/>
    <m/>
    <m/>
    <m/>
    <m/>
    <n v="0"/>
    <n v="0"/>
    <n v="0"/>
    <n v="0"/>
    <n v="0"/>
    <n v="0"/>
    <n v="0"/>
    <n v="0"/>
    <n v="0"/>
    <m/>
    <n v="0"/>
    <n v="0"/>
    <m/>
    <m/>
    <x v="0"/>
    <x v="1"/>
  </r>
  <r>
    <n v="170"/>
    <x v="3"/>
    <x v="14"/>
    <s v="PSM costs"/>
    <x v="7"/>
    <m/>
    <m/>
    <m/>
    <m/>
    <m/>
    <m/>
    <m/>
    <m/>
    <m/>
    <s v="-"/>
    <n v="0"/>
    <s v="-"/>
    <n v="0"/>
    <s v="-"/>
    <n v="0"/>
    <s v="-"/>
    <n v="0"/>
    <m/>
    <n v="0"/>
    <m/>
    <m/>
    <m/>
    <m/>
    <n v="0"/>
    <m/>
    <n v="0"/>
    <m/>
    <n v="0"/>
    <m/>
    <n v="0"/>
    <m/>
    <n v="0"/>
    <m/>
    <m/>
    <m/>
    <m/>
    <n v="0"/>
    <m/>
    <n v="0"/>
    <m/>
    <n v="0"/>
    <m/>
    <n v="0"/>
    <m/>
    <n v="0"/>
    <m/>
    <m/>
    <m/>
    <m/>
    <n v="0"/>
    <n v="0"/>
    <n v="0"/>
    <n v="0"/>
    <n v="0"/>
    <n v="0"/>
    <n v="0"/>
    <n v="0"/>
    <n v="0"/>
    <m/>
    <n v="0"/>
    <n v="0"/>
    <m/>
    <m/>
    <x v="0"/>
    <x v="1"/>
  </r>
  <r>
    <n v="171"/>
    <x v="3"/>
    <x v="15"/>
    <s v="Treatment of drug-sensitive TB"/>
    <x v="17"/>
    <m/>
    <m/>
    <m/>
    <m/>
    <m/>
    <m/>
    <m/>
    <m/>
    <m/>
    <s v="-"/>
    <n v="0"/>
    <s v="-"/>
    <n v="0"/>
    <s v="-"/>
    <n v="0"/>
    <s v="-"/>
    <n v="0"/>
    <m/>
    <n v="0"/>
    <m/>
    <m/>
    <m/>
    <m/>
    <n v="0"/>
    <m/>
    <n v="0"/>
    <m/>
    <n v="0"/>
    <m/>
    <n v="0"/>
    <m/>
    <n v="0"/>
    <m/>
    <m/>
    <m/>
    <m/>
    <n v="0"/>
    <m/>
    <n v="0"/>
    <m/>
    <n v="0"/>
    <m/>
    <n v="0"/>
    <m/>
    <n v="0"/>
    <m/>
    <m/>
    <m/>
    <m/>
    <n v="0"/>
    <n v="0"/>
    <n v="0"/>
    <n v="0"/>
    <n v="0"/>
    <n v="0"/>
    <n v="0"/>
    <n v="0"/>
    <n v="0"/>
    <m/>
    <n v="0"/>
    <n v="0"/>
    <m/>
    <m/>
    <x v="0"/>
    <x v="1"/>
  </r>
  <r>
    <n v="173"/>
    <x v="3"/>
    <x v="15"/>
    <s v="PSM costs"/>
    <x v="1"/>
    <m/>
    <m/>
    <m/>
    <m/>
    <m/>
    <m/>
    <m/>
    <m/>
    <m/>
    <s v="-"/>
    <n v="0"/>
    <s v="-"/>
    <n v="0"/>
    <s v="-"/>
    <n v="0"/>
    <s v="-"/>
    <n v="0"/>
    <m/>
    <n v="0"/>
    <m/>
    <m/>
    <m/>
    <m/>
    <n v="0"/>
    <m/>
    <n v="0"/>
    <m/>
    <n v="0"/>
    <m/>
    <n v="0"/>
    <m/>
    <n v="0"/>
    <m/>
    <m/>
    <m/>
    <m/>
    <n v="0"/>
    <m/>
    <n v="0"/>
    <m/>
    <n v="0"/>
    <m/>
    <n v="0"/>
    <m/>
    <n v="0"/>
    <m/>
    <m/>
    <m/>
    <m/>
    <n v="0"/>
    <n v="0"/>
    <n v="0"/>
    <n v="0"/>
    <n v="0"/>
    <n v="0"/>
    <n v="0"/>
    <n v="0"/>
    <n v="0"/>
    <m/>
    <n v="0"/>
    <n v="0"/>
    <m/>
    <m/>
    <x v="0"/>
    <x v="1"/>
  </r>
  <r>
    <n v="174"/>
    <x v="3"/>
    <x v="15"/>
    <s v="PSM costs"/>
    <x v="2"/>
    <m/>
    <m/>
    <m/>
    <m/>
    <m/>
    <m/>
    <m/>
    <m/>
    <m/>
    <s v="-"/>
    <n v="0"/>
    <s v="-"/>
    <n v="0"/>
    <s v="-"/>
    <n v="0"/>
    <s v="-"/>
    <n v="0"/>
    <m/>
    <n v="0"/>
    <m/>
    <m/>
    <m/>
    <m/>
    <n v="0"/>
    <m/>
    <n v="0"/>
    <m/>
    <n v="0"/>
    <m/>
    <n v="0"/>
    <m/>
    <n v="0"/>
    <m/>
    <m/>
    <m/>
    <m/>
    <n v="0"/>
    <m/>
    <n v="0"/>
    <m/>
    <n v="0"/>
    <m/>
    <n v="0"/>
    <m/>
    <n v="0"/>
    <m/>
    <m/>
    <m/>
    <m/>
    <n v="0"/>
    <n v="0"/>
    <n v="0"/>
    <n v="0"/>
    <n v="0"/>
    <n v="0"/>
    <n v="0"/>
    <n v="0"/>
    <n v="0"/>
    <m/>
    <n v="0"/>
    <n v="0"/>
    <m/>
    <m/>
    <x v="0"/>
    <x v="1"/>
  </r>
  <r>
    <n v="175"/>
    <x v="3"/>
    <x v="15"/>
    <s v="PSM costs"/>
    <x v="3"/>
    <m/>
    <m/>
    <m/>
    <m/>
    <m/>
    <m/>
    <m/>
    <m/>
    <m/>
    <s v="-"/>
    <n v="0"/>
    <s v="-"/>
    <n v="0"/>
    <s v="-"/>
    <n v="0"/>
    <s v="-"/>
    <n v="0"/>
    <m/>
    <n v="0"/>
    <m/>
    <m/>
    <m/>
    <m/>
    <n v="0"/>
    <m/>
    <n v="0"/>
    <m/>
    <n v="0"/>
    <m/>
    <n v="0"/>
    <m/>
    <n v="0"/>
    <m/>
    <m/>
    <m/>
    <m/>
    <n v="0"/>
    <m/>
    <n v="0"/>
    <m/>
    <n v="0"/>
    <m/>
    <n v="0"/>
    <m/>
    <n v="0"/>
    <m/>
    <m/>
    <m/>
    <m/>
    <n v="0"/>
    <n v="0"/>
    <n v="0"/>
    <n v="0"/>
    <n v="0"/>
    <n v="0"/>
    <n v="0"/>
    <n v="0"/>
    <n v="0"/>
    <m/>
    <n v="0"/>
    <n v="0"/>
    <m/>
    <m/>
    <x v="0"/>
    <x v="1"/>
  </r>
  <r>
    <n v="176"/>
    <x v="3"/>
    <x v="15"/>
    <s v="PSM costs"/>
    <x v="4"/>
    <m/>
    <m/>
    <m/>
    <m/>
    <m/>
    <m/>
    <m/>
    <m/>
    <m/>
    <s v="-"/>
    <n v="0"/>
    <s v="-"/>
    <n v="0"/>
    <s v="-"/>
    <n v="0"/>
    <s v="-"/>
    <n v="0"/>
    <m/>
    <n v="0"/>
    <m/>
    <m/>
    <m/>
    <m/>
    <n v="0"/>
    <m/>
    <n v="0"/>
    <m/>
    <n v="0"/>
    <m/>
    <n v="0"/>
    <m/>
    <n v="0"/>
    <m/>
    <m/>
    <m/>
    <m/>
    <n v="0"/>
    <m/>
    <n v="0"/>
    <m/>
    <n v="0"/>
    <m/>
    <n v="0"/>
    <m/>
    <n v="0"/>
    <m/>
    <m/>
    <m/>
    <m/>
    <n v="0"/>
    <n v="0"/>
    <n v="0"/>
    <n v="0"/>
    <n v="0"/>
    <n v="0"/>
    <n v="0"/>
    <n v="0"/>
    <n v="0"/>
    <m/>
    <n v="0"/>
    <n v="0"/>
    <m/>
    <m/>
    <x v="0"/>
    <x v="1"/>
  </r>
  <r>
    <n v="177"/>
    <x v="3"/>
    <x v="15"/>
    <s v="PSM costs"/>
    <x v="5"/>
    <m/>
    <m/>
    <m/>
    <m/>
    <m/>
    <m/>
    <m/>
    <m/>
    <m/>
    <s v="-"/>
    <n v="0"/>
    <s v="-"/>
    <n v="0"/>
    <s v="-"/>
    <n v="0"/>
    <s v="-"/>
    <n v="0"/>
    <m/>
    <n v="0"/>
    <m/>
    <m/>
    <m/>
    <m/>
    <n v="0"/>
    <m/>
    <n v="0"/>
    <m/>
    <n v="0"/>
    <m/>
    <n v="0"/>
    <m/>
    <n v="0"/>
    <m/>
    <m/>
    <m/>
    <m/>
    <n v="0"/>
    <m/>
    <n v="0"/>
    <m/>
    <n v="0"/>
    <m/>
    <n v="0"/>
    <m/>
    <n v="0"/>
    <m/>
    <m/>
    <m/>
    <m/>
    <n v="0"/>
    <n v="0"/>
    <n v="0"/>
    <n v="0"/>
    <n v="0"/>
    <n v="0"/>
    <n v="0"/>
    <n v="0"/>
    <n v="0"/>
    <m/>
    <n v="0"/>
    <n v="0"/>
    <m/>
    <m/>
    <x v="0"/>
    <x v="1"/>
  </r>
  <r>
    <n v="178"/>
    <x v="3"/>
    <x v="15"/>
    <s v="PSM costs"/>
    <x v="6"/>
    <m/>
    <m/>
    <m/>
    <m/>
    <m/>
    <m/>
    <m/>
    <m/>
    <m/>
    <s v="-"/>
    <n v="0"/>
    <s v="-"/>
    <n v="0"/>
    <s v="-"/>
    <n v="0"/>
    <s v="-"/>
    <n v="0"/>
    <m/>
    <n v="0"/>
    <m/>
    <m/>
    <m/>
    <m/>
    <n v="0"/>
    <m/>
    <n v="0"/>
    <m/>
    <n v="0"/>
    <m/>
    <n v="0"/>
    <m/>
    <n v="0"/>
    <m/>
    <m/>
    <m/>
    <m/>
    <n v="0"/>
    <m/>
    <n v="0"/>
    <m/>
    <n v="0"/>
    <m/>
    <n v="0"/>
    <m/>
    <n v="0"/>
    <m/>
    <m/>
    <m/>
    <m/>
    <n v="0"/>
    <n v="0"/>
    <n v="0"/>
    <n v="0"/>
    <n v="0"/>
    <n v="0"/>
    <n v="0"/>
    <n v="0"/>
    <n v="0"/>
    <m/>
    <n v="0"/>
    <n v="0"/>
    <m/>
    <m/>
    <x v="0"/>
    <x v="1"/>
  </r>
  <r>
    <n v="179"/>
    <x v="3"/>
    <x v="15"/>
    <s v="PSM costs"/>
    <x v="7"/>
    <m/>
    <m/>
    <m/>
    <m/>
    <m/>
    <m/>
    <m/>
    <m/>
    <m/>
    <s v="-"/>
    <n v="0"/>
    <s v="-"/>
    <n v="0"/>
    <s v="-"/>
    <n v="0"/>
    <s v="-"/>
    <n v="0"/>
    <m/>
    <n v="0"/>
    <m/>
    <m/>
    <m/>
    <m/>
    <n v="0"/>
    <m/>
    <n v="0"/>
    <m/>
    <n v="0"/>
    <m/>
    <n v="0"/>
    <m/>
    <n v="0"/>
    <m/>
    <m/>
    <m/>
    <m/>
    <n v="0"/>
    <m/>
    <n v="0"/>
    <m/>
    <n v="0"/>
    <m/>
    <n v="0"/>
    <m/>
    <n v="0"/>
    <m/>
    <m/>
    <m/>
    <m/>
    <n v="0"/>
    <n v="0"/>
    <n v="0"/>
    <n v="0"/>
    <n v="0"/>
    <n v="0"/>
    <n v="0"/>
    <n v="0"/>
    <n v="0"/>
    <m/>
    <n v="0"/>
    <n v="0"/>
    <m/>
    <m/>
    <x v="0"/>
    <x v="1"/>
  </r>
  <r>
    <n v="180"/>
    <x v="3"/>
    <x v="16"/>
    <s v="Procurement of anti-TB medicines for prevention"/>
    <x v="17"/>
    <m/>
    <m/>
    <m/>
    <m/>
    <m/>
    <m/>
    <m/>
    <m/>
    <m/>
    <s v="-"/>
    <n v="0"/>
    <s v="-"/>
    <n v="0"/>
    <s v="-"/>
    <n v="0"/>
    <s v="-"/>
    <n v="0"/>
    <m/>
    <n v="0"/>
    <m/>
    <m/>
    <m/>
    <m/>
    <n v="0"/>
    <m/>
    <n v="0"/>
    <m/>
    <n v="0"/>
    <m/>
    <n v="0"/>
    <m/>
    <n v="0"/>
    <m/>
    <m/>
    <m/>
    <m/>
    <n v="0"/>
    <m/>
    <n v="0"/>
    <m/>
    <n v="0"/>
    <m/>
    <n v="0"/>
    <m/>
    <n v="0"/>
    <m/>
    <m/>
    <m/>
    <m/>
    <n v="0"/>
    <n v="0"/>
    <n v="0"/>
    <n v="0"/>
    <n v="0"/>
    <n v="0"/>
    <n v="0"/>
    <n v="0"/>
    <n v="0"/>
    <m/>
    <n v="0"/>
    <n v="0"/>
    <m/>
    <m/>
    <x v="0"/>
    <x v="1"/>
  </r>
  <r>
    <n v="354"/>
    <x v="4"/>
    <x v="1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1"/>
  </r>
  <r>
    <n v="355"/>
    <x v="4"/>
    <x v="17"/>
    <s v="Procurement of RDTs to diagnose TB"/>
    <x v="11"/>
    <m/>
    <m/>
    <m/>
    <m/>
    <m/>
    <m/>
    <m/>
    <m/>
    <m/>
    <s v="-"/>
    <n v="0"/>
    <m/>
    <n v="0"/>
    <m/>
    <n v="0"/>
    <m/>
    <n v="0"/>
    <m/>
    <n v="0"/>
    <m/>
    <m/>
    <m/>
    <m/>
    <n v="0"/>
    <m/>
    <n v="0"/>
    <m/>
    <n v="0"/>
    <m/>
    <n v="0"/>
    <m/>
    <n v="0"/>
    <m/>
    <m/>
    <m/>
    <m/>
    <n v="0"/>
    <m/>
    <n v="0"/>
    <m/>
    <n v="0"/>
    <m/>
    <n v="0"/>
    <m/>
    <n v="0"/>
    <m/>
    <m/>
    <m/>
    <m/>
    <n v="0"/>
    <n v="0"/>
    <n v="0"/>
    <n v="0"/>
    <n v="0"/>
    <n v="0"/>
    <n v="0"/>
    <n v="0"/>
    <n v="0"/>
    <m/>
    <n v="0"/>
    <n v="0"/>
    <m/>
    <m/>
    <x v="0"/>
    <x v="1"/>
  </r>
  <r>
    <n v="356"/>
    <x v="4"/>
    <x v="17"/>
    <s v="Procurement of laboratory reagents"/>
    <x v="14"/>
    <m/>
    <m/>
    <m/>
    <m/>
    <m/>
    <m/>
    <m/>
    <m/>
    <m/>
    <s v="-"/>
    <n v="0"/>
    <s v="-"/>
    <n v="0"/>
    <s v="-"/>
    <n v="0"/>
    <s v="-"/>
    <n v="0"/>
    <m/>
    <n v="0"/>
    <m/>
    <m/>
    <m/>
    <m/>
    <n v="0"/>
    <m/>
    <n v="0"/>
    <m/>
    <n v="0"/>
    <m/>
    <n v="0"/>
    <m/>
    <n v="0"/>
    <m/>
    <m/>
    <m/>
    <m/>
    <n v="0"/>
    <m/>
    <n v="0"/>
    <m/>
    <n v="0"/>
    <m/>
    <n v="0"/>
    <m/>
    <n v="0"/>
    <m/>
    <m/>
    <m/>
    <m/>
    <n v="0"/>
    <n v="0"/>
    <n v="0"/>
    <n v="0"/>
    <n v="0"/>
    <n v="0"/>
    <n v="0"/>
    <n v="0"/>
    <n v="0"/>
    <m/>
    <n v="0"/>
    <n v="0"/>
    <m/>
    <m/>
    <x v="0"/>
    <x v="1"/>
  </r>
  <r>
    <n v="357"/>
    <x v="4"/>
    <x v="17"/>
    <s v="Procurement of consumables"/>
    <x v="13"/>
    <m/>
    <m/>
    <m/>
    <m/>
    <m/>
    <m/>
    <m/>
    <m/>
    <m/>
    <s v="-"/>
    <n v="0"/>
    <s v="-"/>
    <n v="0"/>
    <s v="-"/>
    <n v="0"/>
    <s v="-"/>
    <n v="0"/>
    <m/>
    <n v="0"/>
    <m/>
    <m/>
    <m/>
    <m/>
    <n v="0"/>
    <m/>
    <n v="0"/>
    <m/>
    <n v="0"/>
    <m/>
    <n v="0"/>
    <m/>
    <n v="0"/>
    <m/>
    <m/>
    <m/>
    <m/>
    <n v="0"/>
    <m/>
    <n v="0"/>
    <m/>
    <n v="0"/>
    <m/>
    <n v="0"/>
    <m/>
    <n v="0"/>
    <m/>
    <m/>
    <m/>
    <m/>
    <n v="0"/>
    <n v="0"/>
    <n v="0"/>
    <n v="0"/>
    <n v="0"/>
    <n v="0"/>
    <n v="0"/>
    <n v="0"/>
    <n v="0"/>
    <m/>
    <n v="0"/>
    <n v="0"/>
    <m/>
    <m/>
    <x v="0"/>
    <x v="1"/>
  </r>
  <r>
    <n v="358"/>
    <x v="4"/>
    <x v="17"/>
    <s v="Procurement of TB Molecular Test equipment"/>
    <x v="15"/>
    <m/>
    <m/>
    <m/>
    <m/>
    <m/>
    <m/>
    <m/>
    <m/>
    <m/>
    <s v="-"/>
    <n v="0"/>
    <s v="-"/>
    <n v="0"/>
    <s v="-"/>
    <n v="0"/>
    <s v="-"/>
    <n v="0"/>
    <m/>
    <n v="0"/>
    <m/>
    <m/>
    <m/>
    <m/>
    <n v="0"/>
    <m/>
    <n v="0"/>
    <m/>
    <n v="0"/>
    <m/>
    <n v="0"/>
    <m/>
    <n v="0"/>
    <m/>
    <m/>
    <m/>
    <m/>
    <n v="0"/>
    <m/>
    <n v="0"/>
    <m/>
    <n v="0"/>
    <m/>
    <n v="0"/>
    <m/>
    <n v="0"/>
    <m/>
    <m/>
    <m/>
    <m/>
    <n v="0"/>
    <n v="0"/>
    <n v="0"/>
    <n v="0"/>
    <n v="0"/>
    <n v="0"/>
    <n v="0"/>
    <n v="0"/>
    <n v="0"/>
    <m/>
    <n v="0"/>
    <n v="0"/>
    <m/>
    <m/>
    <x v="0"/>
    <x v="1"/>
  </r>
  <r>
    <n v="359"/>
    <x v="4"/>
    <x v="17"/>
    <s v="Maintenance and service contracts"/>
    <x v="16"/>
    <m/>
    <m/>
    <m/>
    <m/>
    <m/>
    <m/>
    <m/>
    <e v="#DIV/0!"/>
    <m/>
    <s v="-"/>
    <n v="0"/>
    <m/>
    <n v="0"/>
    <s v="-"/>
    <n v="0"/>
    <s v="-"/>
    <n v="0"/>
    <m/>
    <n v="0"/>
    <m/>
    <m/>
    <m/>
    <m/>
    <n v="0"/>
    <m/>
    <n v="0"/>
    <m/>
    <n v="0"/>
    <m/>
    <n v="0"/>
    <m/>
    <n v="0"/>
    <m/>
    <m/>
    <m/>
    <m/>
    <n v="0"/>
    <m/>
    <n v="0"/>
    <m/>
    <n v="0"/>
    <m/>
    <n v="0"/>
    <m/>
    <n v="0"/>
    <m/>
    <m/>
    <m/>
    <m/>
    <n v="0"/>
    <n v="0"/>
    <n v="0"/>
    <n v="0"/>
    <n v="0"/>
    <n v="0"/>
    <n v="0"/>
    <n v="0"/>
    <n v="0"/>
    <m/>
    <n v="0"/>
    <n v="0"/>
    <m/>
    <m/>
    <x v="0"/>
    <x v="1"/>
  </r>
  <r>
    <n v="360"/>
    <x v="4"/>
    <x v="17"/>
    <s v="Procurement of other health equipment"/>
    <x v="9"/>
    <m/>
    <m/>
    <m/>
    <m/>
    <m/>
    <m/>
    <m/>
    <m/>
    <m/>
    <s v="-"/>
    <n v="0"/>
    <s v="-"/>
    <n v="0"/>
    <s v="-"/>
    <n v="0"/>
    <s v="-"/>
    <n v="0"/>
    <m/>
    <n v="0"/>
    <m/>
    <m/>
    <m/>
    <m/>
    <n v="0"/>
    <m/>
    <n v="0"/>
    <m/>
    <n v="0"/>
    <m/>
    <n v="0"/>
    <m/>
    <n v="0"/>
    <m/>
    <m/>
    <m/>
    <m/>
    <n v="0"/>
    <m/>
    <n v="0"/>
    <m/>
    <n v="0"/>
    <m/>
    <n v="0"/>
    <m/>
    <n v="0"/>
    <m/>
    <m/>
    <m/>
    <m/>
    <n v="0"/>
    <n v="0"/>
    <n v="0"/>
    <n v="0"/>
    <n v="0"/>
    <n v="0"/>
    <n v="0"/>
    <n v="0"/>
    <n v="0"/>
    <m/>
    <n v="0"/>
    <n v="0"/>
    <m/>
    <m/>
    <x v="0"/>
    <x v="1"/>
  </r>
  <r>
    <n v="361"/>
    <x v="4"/>
    <x v="17"/>
    <s v="PSM costs"/>
    <x v="1"/>
    <m/>
    <m/>
    <m/>
    <m/>
    <m/>
    <m/>
    <m/>
    <m/>
    <m/>
    <s v="-"/>
    <n v="0"/>
    <s v="-"/>
    <n v="0"/>
    <s v="-"/>
    <n v="0"/>
    <s v="-"/>
    <n v="0"/>
    <m/>
    <n v="0"/>
    <m/>
    <m/>
    <m/>
    <m/>
    <n v="0"/>
    <m/>
    <n v="0"/>
    <m/>
    <n v="0"/>
    <m/>
    <n v="0"/>
    <m/>
    <n v="0"/>
    <m/>
    <m/>
    <m/>
    <m/>
    <n v="0"/>
    <m/>
    <n v="0"/>
    <m/>
    <n v="0"/>
    <m/>
    <n v="0"/>
    <m/>
    <n v="0"/>
    <m/>
    <m/>
    <m/>
    <m/>
    <n v="0"/>
    <n v="0"/>
    <n v="0"/>
    <n v="0"/>
    <n v="0"/>
    <n v="0"/>
    <n v="0"/>
    <n v="0"/>
    <n v="0"/>
    <m/>
    <n v="0"/>
    <n v="0"/>
    <m/>
    <m/>
    <x v="0"/>
    <x v="1"/>
  </r>
  <r>
    <n v="362"/>
    <x v="4"/>
    <x v="17"/>
    <s v="PSM costs"/>
    <x v="2"/>
    <m/>
    <m/>
    <m/>
    <m/>
    <m/>
    <m/>
    <m/>
    <m/>
    <m/>
    <s v="-"/>
    <n v="0"/>
    <s v="-"/>
    <n v="0"/>
    <s v="-"/>
    <n v="0"/>
    <s v="-"/>
    <n v="0"/>
    <m/>
    <n v="0"/>
    <m/>
    <m/>
    <m/>
    <m/>
    <n v="0"/>
    <m/>
    <n v="0"/>
    <m/>
    <n v="0"/>
    <m/>
    <n v="0"/>
    <m/>
    <n v="0"/>
    <m/>
    <m/>
    <m/>
    <m/>
    <n v="0"/>
    <m/>
    <n v="0"/>
    <m/>
    <n v="0"/>
    <m/>
    <n v="0"/>
    <m/>
    <n v="0"/>
    <m/>
    <m/>
    <m/>
    <m/>
    <n v="0"/>
    <n v="0"/>
    <n v="0"/>
    <n v="0"/>
    <n v="0"/>
    <n v="0"/>
    <n v="0"/>
    <n v="0"/>
    <n v="0"/>
    <m/>
    <n v="0"/>
    <n v="0"/>
    <m/>
    <m/>
    <x v="0"/>
    <x v="1"/>
  </r>
  <r>
    <n v="363"/>
    <x v="4"/>
    <x v="17"/>
    <s v="PSM costs"/>
    <x v="3"/>
    <m/>
    <m/>
    <m/>
    <m/>
    <m/>
    <m/>
    <m/>
    <m/>
    <m/>
    <s v="-"/>
    <n v="0"/>
    <s v="-"/>
    <n v="0"/>
    <s v="-"/>
    <n v="0"/>
    <s v="-"/>
    <n v="0"/>
    <m/>
    <n v="0"/>
    <m/>
    <m/>
    <m/>
    <m/>
    <n v="0"/>
    <m/>
    <n v="0"/>
    <m/>
    <n v="0"/>
    <m/>
    <n v="0"/>
    <m/>
    <n v="0"/>
    <m/>
    <m/>
    <m/>
    <m/>
    <n v="0"/>
    <m/>
    <n v="0"/>
    <m/>
    <n v="0"/>
    <m/>
    <n v="0"/>
    <m/>
    <n v="0"/>
    <m/>
    <m/>
    <m/>
    <m/>
    <n v="0"/>
    <n v="0"/>
    <n v="0"/>
    <n v="0"/>
    <n v="0"/>
    <n v="0"/>
    <n v="0"/>
    <n v="0"/>
    <n v="0"/>
    <m/>
    <n v="0"/>
    <n v="0"/>
    <m/>
    <m/>
    <x v="0"/>
    <x v="1"/>
  </r>
  <r>
    <n v="364"/>
    <x v="4"/>
    <x v="17"/>
    <s v="PSM costs"/>
    <x v="4"/>
    <m/>
    <m/>
    <m/>
    <m/>
    <m/>
    <m/>
    <m/>
    <e v="#DIV/0!"/>
    <e v="#DIV/0!"/>
    <s v="-"/>
    <n v="0"/>
    <m/>
    <n v="0"/>
    <m/>
    <n v="0"/>
    <m/>
    <n v="0"/>
    <m/>
    <n v="0"/>
    <m/>
    <m/>
    <m/>
    <m/>
    <n v="0"/>
    <m/>
    <n v="0"/>
    <m/>
    <n v="0"/>
    <m/>
    <n v="0"/>
    <m/>
    <n v="0"/>
    <m/>
    <m/>
    <m/>
    <m/>
    <n v="0"/>
    <m/>
    <n v="0"/>
    <m/>
    <n v="0"/>
    <m/>
    <n v="0"/>
    <m/>
    <n v="0"/>
    <m/>
    <m/>
    <m/>
    <m/>
    <n v="0"/>
    <n v="0"/>
    <n v="0"/>
    <n v="0"/>
    <n v="0"/>
    <n v="0"/>
    <n v="0"/>
    <n v="0"/>
    <n v="0"/>
    <m/>
    <n v="0"/>
    <n v="0"/>
    <m/>
    <m/>
    <x v="0"/>
    <x v="1"/>
  </r>
  <r>
    <n v="365"/>
    <x v="4"/>
    <x v="17"/>
    <s v="PSM costs"/>
    <x v="5"/>
    <m/>
    <m/>
    <m/>
    <m/>
    <m/>
    <m/>
    <m/>
    <m/>
    <m/>
    <s v="-"/>
    <n v="0"/>
    <s v="-"/>
    <n v="0"/>
    <s v="-"/>
    <n v="0"/>
    <s v="-"/>
    <n v="0"/>
    <m/>
    <n v="0"/>
    <m/>
    <m/>
    <m/>
    <m/>
    <n v="0"/>
    <m/>
    <n v="0"/>
    <m/>
    <n v="0"/>
    <m/>
    <n v="0"/>
    <m/>
    <n v="0"/>
    <m/>
    <m/>
    <m/>
    <m/>
    <n v="0"/>
    <m/>
    <n v="0"/>
    <m/>
    <n v="0"/>
    <m/>
    <n v="0"/>
    <m/>
    <n v="0"/>
    <m/>
    <m/>
    <m/>
    <m/>
    <n v="0"/>
    <n v="0"/>
    <n v="0"/>
    <n v="0"/>
    <n v="0"/>
    <n v="0"/>
    <n v="0"/>
    <n v="0"/>
    <n v="0"/>
    <m/>
    <n v="0"/>
    <n v="0"/>
    <m/>
    <m/>
    <x v="0"/>
    <x v="1"/>
  </r>
  <r>
    <n v="366"/>
    <x v="4"/>
    <x v="17"/>
    <s v="PSM costs"/>
    <x v="6"/>
    <m/>
    <m/>
    <m/>
    <m/>
    <m/>
    <m/>
    <m/>
    <m/>
    <m/>
    <s v="-"/>
    <n v="0"/>
    <s v="-"/>
    <n v="0"/>
    <s v="-"/>
    <n v="0"/>
    <s v="-"/>
    <n v="0"/>
    <m/>
    <n v="0"/>
    <m/>
    <m/>
    <m/>
    <m/>
    <n v="0"/>
    <m/>
    <n v="0"/>
    <m/>
    <n v="0"/>
    <m/>
    <n v="0"/>
    <m/>
    <n v="0"/>
    <m/>
    <m/>
    <m/>
    <m/>
    <n v="0"/>
    <m/>
    <n v="0"/>
    <m/>
    <n v="0"/>
    <m/>
    <n v="0"/>
    <m/>
    <n v="0"/>
    <m/>
    <m/>
    <m/>
    <m/>
    <n v="0"/>
    <n v="0"/>
    <n v="0"/>
    <n v="0"/>
    <n v="0"/>
    <n v="0"/>
    <n v="0"/>
    <n v="0"/>
    <n v="0"/>
    <m/>
    <n v="0"/>
    <n v="0"/>
    <m/>
    <m/>
    <x v="0"/>
    <x v="1"/>
  </r>
  <r>
    <n v="367"/>
    <x v="4"/>
    <x v="17"/>
    <s v="PSM costs"/>
    <x v="7"/>
    <m/>
    <m/>
    <m/>
    <m/>
    <m/>
    <m/>
    <m/>
    <m/>
    <m/>
    <s v="-"/>
    <n v="0"/>
    <s v="-"/>
    <n v="0"/>
    <s v="-"/>
    <n v="0"/>
    <s v="-"/>
    <n v="0"/>
    <m/>
    <n v="0"/>
    <m/>
    <m/>
    <m/>
    <m/>
    <n v="0"/>
    <m/>
    <n v="0"/>
    <m/>
    <n v="0"/>
    <m/>
    <n v="0"/>
    <m/>
    <n v="0"/>
    <m/>
    <m/>
    <m/>
    <m/>
    <n v="0"/>
    <m/>
    <n v="0"/>
    <m/>
    <n v="0"/>
    <m/>
    <n v="0"/>
    <m/>
    <n v="0"/>
    <m/>
    <m/>
    <m/>
    <m/>
    <n v="0"/>
    <n v="0"/>
    <n v="0"/>
    <n v="0"/>
    <n v="0"/>
    <n v="0"/>
    <n v="0"/>
    <n v="0"/>
    <n v="0"/>
    <m/>
    <n v="0"/>
    <n v="0"/>
    <m/>
    <m/>
    <x v="0"/>
    <x v="1"/>
  </r>
  <r>
    <n v="368"/>
    <x v="4"/>
    <x v="18"/>
    <s v="Treatment of drug-resistant TB"/>
    <x v="17"/>
    <m/>
    <m/>
    <m/>
    <m/>
    <m/>
    <m/>
    <m/>
    <m/>
    <m/>
    <s v="-"/>
    <n v="0"/>
    <s v="-"/>
    <n v="0"/>
    <s v="-"/>
    <n v="0"/>
    <s v="-"/>
    <n v="0"/>
    <m/>
    <n v="0"/>
    <m/>
    <m/>
    <m/>
    <m/>
    <n v="0"/>
    <m/>
    <n v="0"/>
    <m/>
    <n v="0"/>
    <m/>
    <n v="0"/>
    <m/>
    <n v="0"/>
    <m/>
    <m/>
    <m/>
    <m/>
    <n v="0"/>
    <m/>
    <n v="0"/>
    <m/>
    <n v="0"/>
    <m/>
    <n v="0"/>
    <m/>
    <n v="0"/>
    <m/>
    <m/>
    <m/>
    <m/>
    <n v="0"/>
    <n v="0"/>
    <n v="0"/>
    <n v="0"/>
    <n v="0"/>
    <n v="0"/>
    <n v="0"/>
    <n v="0"/>
    <n v="0"/>
    <m/>
    <n v="0"/>
    <n v="0"/>
    <m/>
    <m/>
    <x v="0"/>
    <x v="1"/>
  </r>
  <r>
    <n v="369"/>
    <x v="4"/>
    <x v="18"/>
    <s v="Management of side-effects"/>
    <x v="18"/>
    <m/>
    <m/>
    <m/>
    <m/>
    <m/>
    <m/>
    <m/>
    <e v="#DIV/0!"/>
    <e v="#DIV/0!"/>
    <s v="-"/>
    <n v="0"/>
    <m/>
    <n v="0"/>
    <m/>
    <n v="0"/>
    <m/>
    <n v="0"/>
    <m/>
    <n v="0"/>
    <m/>
    <m/>
    <m/>
    <m/>
    <n v="0"/>
    <m/>
    <n v="0"/>
    <m/>
    <n v="0"/>
    <m/>
    <n v="0"/>
    <m/>
    <n v="0"/>
    <m/>
    <m/>
    <m/>
    <m/>
    <n v="0"/>
    <m/>
    <n v="0"/>
    <m/>
    <n v="0"/>
    <m/>
    <n v="0"/>
    <m/>
    <n v="0"/>
    <m/>
    <m/>
    <m/>
    <m/>
    <n v="0"/>
    <n v="0"/>
    <n v="0"/>
    <n v="0"/>
    <n v="0"/>
    <n v="0"/>
    <n v="0"/>
    <n v="0"/>
    <n v="0"/>
    <m/>
    <n v="0"/>
    <n v="0"/>
    <m/>
    <m/>
    <x v="0"/>
    <x v="1"/>
  </r>
  <r>
    <n v="370"/>
    <x v="4"/>
    <x v="18"/>
    <s v="Treatment of drug-resistant TB"/>
    <x v="19"/>
    <m/>
    <m/>
    <m/>
    <m/>
    <m/>
    <m/>
    <m/>
    <m/>
    <m/>
    <s v="-"/>
    <n v="0"/>
    <s v="-"/>
    <n v="0"/>
    <s v="-"/>
    <n v="0"/>
    <s v="-"/>
    <n v="0"/>
    <m/>
    <n v="0"/>
    <m/>
    <m/>
    <m/>
    <m/>
    <n v="0"/>
    <m/>
    <n v="0"/>
    <m/>
    <n v="0"/>
    <m/>
    <n v="0"/>
    <m/>
    <n v="0"/>
    <m/>
    <m/>
    <m/>
    <m/>
    <n v="0"/>
    <m/>
    <n v="0"/>
    <m/>
    <n v="0"/>
    <m/>
    <n v="0"/>
    <m/>
    <n v="0"/>
    <m/>
    <m/>
    <m/>
    <m/>
    <n v="0"/>
    <n v="0"/>
    <n v="0"/>
    <n v="0"/>
    <n v="0"/>
    <n v="0"/>
    <n v="0"/>
    <n v="0"/>
    <n v="0"/>
    <m/>
    <n v="0"/>
    <n v="0"/>
    <m/>
    <m/>
    <x v="0"/>
    <x v="1"/>
  </r>
  <r>
    <n v="371"/>
    <x v="4"/>
    <x v="18"/>
    <s v="PSM costs"/>
    <x v="1"/>
    <m/>
    <m/>
    <m/>
    <m/>
    <m/>
    <m/>
    <m/>
    <m/>
    <m/>
    <s v="-"/>
    <n v="0"/>
    <s v="-"/>
    <n v="0"/>
    <s v="-"/>
    <n v="0"/>
    <s v="-"/>
    <n v="0"/>
    <m/>
    <n v="0"/>
    <m/>
    <m/>
    <m/>
    <m/>
    <n v="0"/>
    <m/>
    <n v="0"/>
    <m/>
    <n v="0"/>
    <m/>
    <n v="0"/>
    <m/>
    <n v="0"/>
    <m/>
    <m/>
    <m/>
    <m/>
    <n v="0"/>
    <m/>
    <n v="0"/>
    <m/>
    <n v="0"/>
    <m/>
    <n v="0"/>
    <m/>
    <n v="0"/>
    <m/>
    <m/>
    <m/>
    <m/>
    <n v="0"/>
    <n v="0"/>
    <n v="0"/>
    <n v="0"/>
    <n v="0"/>
    <n v="0"/>
    <n v="0"/>
    <n v="0"/>
    <n v="0"/>
    <m/>
    <n v="0"/>
    <n v="0"/>
    <m/>
    <m/>
    <x v="0"/>
    <x v="1"/>
  </r>
  <r>
    <n v="372"/>
    <x v="4"/>
    <x v="18"/>
    <s v="PSM costs"/>
    <x v="2"/>
    <m/>
    <m/>
    <m/>
    <m/>
    <m/>
    <m/>
    <m/>
    <m/>
    <m/>
    <s v="-"/>
    <n v="0"/>
    <s v="-"/>
    <n v="0"/>
    <s v="-"/>
    <n v="0"/>
    <s v="-"/>
    <n v="0"/>
    <m/>
    <n v="0"/>
    <m/>
    <m/>
    <m/>
    <m/>
    <n v="0"/>
    <m/>
    <n v="0"/>
    <m/>
    <n v="0"/>
    <m/>
    <n v="0"/>
    <m/>
    <n v="0"/>
    <m/>
    <m/>
    <m/>
    <m/>
    <n v="0"/>
    <m/>
    <n v="0"/>
    <m/>
    <n v="0"/>
    <m/>
    <n v="0"/>
    <m/>
    <n v="0"/>
    <m/>
    <m/>
    <m/>
    <m/>
    <n v="0"/>
    <n v="0"/>
    <n v="0"/>
    <n v="0"/>
    <n v="0"/>
    <n v="0"/>
    <n v="0"/>
    <n v="0"/>
    <n v="0"/>
    <m/>
    <n v="0"/>
    <n v="0"/>
    <m/>
    <m/>
    <x v="0"/>
    <x v="1"/>
  </r>
  <r>
    <n v="373"/>
    <x v="4"/>
    <x v="18"/>
    <s v="PSM costs"/>
    <x v="3"/>
    <m/>
    <m/>
    <m/>
    <m/>
    <m/>
    <m/>
    <m/>
    <m/>
    <m/>
    <s v="-"/>
    <n v="0"/>
    <s v="-"/>
    <n v="0"/>
    <s v="-"/>
    <n v="0"/>
    <s v="-"/>
    <n v="0"/>
    <m/>
    <n v="0"/>
    <m/>
    <m/>
    <m/>
    <m/>
    <n v="0"/>
    <m/>
    <n v="0"/>
    <m/>
    <n v="0"/>
    <m/>
    <n v="0"/>
    <m/>
    <n v="0"/>
    <m/>
    <m/>
    <m/>
    <m/>
    <n v="0"/>
    <m/>
    <n v="0"/>
    <m/>
    <n v="0"/>
    <m/>
    <n v="0"/>
    <m/>
    <n v="0"/>
    <m/>
    <m/>
    <m/>
    <m/>
    <n v="0"/>
    <n v="0"/>
    <n v="0"/>
    <n v="0"/>
    <n v="0"/>
    <n v="0"/>
    <n v="0"/>
    <n v="0"/>
    <n v="0"/>
    <m/>
    <n v="0"/>
    <n v="0"/>
    <m/>
    <m/>
    <x v="0"/>
    <x v="1"/>
  </r>
  <r>
    <n v="374"/>
    <x v="4"/>
    <x v="18"/>
    <s v="PSM costs"/>
    <x v="4"/>
    <m/>
    <m/>
    <m/>
    <m/>
    <m/>
    <m/>
    <m/>
    <e v="#DIV/0!"/>
    <e v="#DIV/0!"/>
    <s v="-"/>
    <n v="0"/>
    <s v="-"/>
    <n v="0"/>
    <s v="-"/>
    <n v="0"/>
    <s v="-"/>
    <n v="0"/>
    <m/>
    <n v="0"/>
    <m/>
    <m/>
    <m/>
    <m/>
    <n v="0"/>
    <m/>
    <n v="0"/>
    <m/>
    <n v="0"/>
    <m/>
    <n v="0"/>
    <m/>
    <n v="0"/>
    <m/>
    <m/>
    <m/>
    <m/>
    <n v="0"/>
    <m/>
    <n v="0"/>
    <m/>
    <n v="0"/>
    <m/>
    <n v="0"/>
    <m/>
    <n v="0"/>
    <m/>
    <m/>
    <m/>
    <m/>
    <n v="0"/>
    <n v="0"/>
    <n v="0"/>
    <n v="0"/>
    <n v="0"/>
    <n v="0"/>
    <n v="0"/>
    <n v="0"/>
    <n v="0"/>
    <m/>
    <n v="0"/>
    <n v="0"/>
    <m/>
    <m/>
    <x v="0"/>
    <x v="1"/>
  </r>
  <r>
    <n v="375"/>
    <x v="4"/>
    <x v="18"/>
    <s v="PSM costs"/>
    <x v="5"/>
    <m/>
    <m/>
    <m/>
    <m/>
    <m/>
    <m/>
    <m/>
    <m/>
    <m/>
    <s v="-"/>
    <n v="0"/>
    <s v="-"/>
    <n v="0"/>
    <s v="-"/>
    <n v="0"/>
    <s v="-"/>
    <n v="0"/>
    <m/>
    <n v="0"/>
    <m/>
    <m/>
    <m/>
    <m/>
    <n v="0"/>
    <m/>
    <n v="0"/>
    <m/>
    <n v="0"/>
    <m/>
    <n v="0"/>
    <m/>
    <n v="0"/>
    <m/>
    <m/>
    <m/>
    <m/>
    <n v="0"/>
    <m/>
    <n v="0"/>
    <m/>
    <n v="0"/>
    <m/>
    <n v="0"/>
    <m/>
    <n v="0"/>
    <m/>
    <m/>
    <m/>
    <m/>
    <n v="0"/>
    <n v="0"/>
    <n v="0"/>
    <n v="0"/>
    <n v="0"/>
    <n v="0"/>
    <n v="0"/>
    <n v="0"/>
    <n v="0"/>
    <m/>
    <n v="0"/>
    <n v="0"/>
    <m/>
    <m/>
    <x v="0"/>
    <x v="1"/>
  </r>
  <r>
    <n v="376"/>
    <x v="4"/>
    <x v="18"/>
    <s v="PSM costs"/>
    <x v="6"/>
    <m/>
    <m/>
    <m/>
    <m/>
    <m/>
    <m/>
    <m/>
    <m/>
    <m/>
    <s v="-"/>
    <n v="0"/>
    <s v="-"/>
    <n v="0"/>
    <s v="-"/>
    <n v="0"/>
    <s v="-"/>
    <n v="0"/>
    <m/>
    <n v="0"/>
    <m/>
    <m/>
    <m/>
    <m/>
    <n v="0"/>
    <m/>
    <n v="0"/>
    <m/>
    <n v="0"/>
    <m/>
    <n v="0"/>
    <m/>
    <n v="0"/>
    <m/>
    <m/>
    <m/>
    <m/>
    <n v="0"/>
    <m/>
    <n v="0"/>
    <m/>
    <n v="0"/>
    <m/>
    <n v="0"/>
    <m/>
    <n v="0"/>
    <m/>
    <m/>
    <m/>
    <m/>
    <n v="0"/>
    <n v="0"/>
    <n v="0"/>
    <n v="0"/>
    <n v="0"/>
    <n v="0"/>
    <n v="0"/>
    <n v="0"/>
    <n v="0"/>
    <m/>
    <n v="0"/>
    <n v="0"/>
    <m/>
    <m/>
    <x v="0"/>
    <x v="1"/>
  </r>
  <r>
    <n v="377"/>
    <x v="4"/>
    <x v="18"/>
    <s v="PSM costs"/>
    <x v="7"/>
    <m/>
    <m/>
    <m/>
    <m/>
    <m/>
    <m/>
    <m/>
    <m/>
    <m/>
    <s v="-"/>
    <n v="0"/>
    <s v="-"/>
    <n v="0"/>
    <s v="-"/>
    <n v="0"/>
    <s v="-"/>
    <n v="0"/>
    <m/>
    <n v="0"/>
    <m/>
    <m/>
    <m/>
    <m/>
    <n v="0"/>
    <m/>
    <n v="0"/>
    <m/>
    <n v="0"/>
    <m/>
    <n v="0"/>
    <m/>
    <n v="0"/>
    <m/>
    <m/>
    <m/>
    <m/>
    <n v="0"/>
    <m/>
    <n v="0"/>
    <m/>
    <n v="0"/>
    <m/>
    <n v="0"/>
    <m/>
    <n v="0"/>
    <m/>
    <m/>
    <m/>
    <m/>
    <n v="0"/>
    <n v="0"/>
    <n v="0"/>
    <n v="0"/>
    <n v="0"/>
    <n v="0"/>
    <n v="0"/>
    <n v="0"/>
    <n v="0"/>
    <m/>
    <n v="0"/>
    <n v="0"/>
    <m/>
    <m/>
    <x v="0"/>
    <x v="1"/>
  </r>
  <r>
    <n v="428"/>
    <x v="5"/>
    <x v="19"/>
    <s v="Procurement of condoms &amp; lubricants for Men who have sex with men"/>
    <x v="20"/>
    <m/>
    <m/>
    <m/>
    <m/>
    <m/>
    <m/>
    <m/>
    <e v="#DIV/0!"/>
    <e v="#DIV/0!"/>
    <s v="-"/>
    <n v="0"/>
    <s v="-"/>
    <n v="0"/>
    <s v="-"/>
    <n v="0"/>
    <s v="-"/>
    <n v="0"/>
    <m/>
    <n v="0"/>
    <m/>
    <m/>
    <m/>
    <m/>
    <n v="0"/>
    <m/>
    <n v="0"/>
    <m/>
    <n v="0"/>
    <m/>
    <n v="0"/>
    <m/>
    <n v="0"/>
    <m/>
    <m/>
    <m/>
    <m/>
    <n v="0"/>
    <m/>
    <n v="0"/>
    <m/>
    <n v="0"/>
    <m/>
    <n v="0"/>
    <m/>
    <n v="0"/>
    <m/>
    <m/>
    <m/>
    <m/>
    <n v="0"/>
    <n v="0"/>
    <n v="0"/>
    <n v="0"/>
    <n v="0"/>
    <n v="0"/>
    <n v="0"/>
    <n v="0"/>
    <n v="0"/>
    <m/>
    <n v="0"/>
    <n v="0"/>
    <m/>
    <m/>
    <x v="1"/>
    <x v="2"/>
  </r>
  <r>
    <n v="429"/>
    <x v="5"/>
    <x v="19"/>
    <s v="Procurement of condoms &amp; lubricants for Men who have sex with men"/>
    <x v="13"/>
    <m/>
    <m/>
    <m/>
    <m/>
    <m/>
    <m/>
    <m/>
    <m/>
    <m/>
    <s v="-"/>
    <n v="0"/>
    <s v="-"/>
    <n v="0"/>
    <s v="-"/>
    <n v="0"/>
    <s v="-"/>
    <n v="0"/>
    <m/>
    <n v="0"/>
    <m/>
    <m/>
    <m/>
    <m/>
    <n v="0"/>
    <m/>
    <n v="0"/>
    <m/>
    <n v="0"/>
    <m/>
    <n v="0"/>
    <m/>
    <n v="0"/>
    <m/>
    <m/>
    <m/>
    <m/>
    <n v="0"/>
    <m/>
    <n v="0"/>
    <m/>
    <n v="0"/>
    <m/>
    <n v="0"/>
    <m/>
    <n v="0"/>
    <m/>
    <m/>
    <m/>
    <m/>
    <n v="0"/>
    <n v="0"/>
    <n v="0"/>
    <n v="0"/>
    <n v="0"/>
    <n v="0"/>
    <n v="0"/>
    <n v="0"/>
    <n v="0"/>
    <m/>
    <n v="0"/>
    <n v="0"/>
    <m/>
    <m/>
    <x v="1"/>
    <x v="2"/>
  </r>
  <r>
    <n v="430"/>
    <x v="5"/>
    <x v="19"/>
    <s v="PSM costs for Men who have sex with men"/>
    <x v="1"/>
    <m/>
    <m/>
    <m/>
    <m/>
    <m/>
    <m/>
    <m/>
    <m/>
    <m/>
    <s v="-"/>
    <n v="0"/>
    <s v="-"/>
    <n v="0"/>
    <s v="-"/>
    <n v="0"/>
    <s v="-"/>
    <n v="0"/>
    <m/>
    <n v="0"/>
    <m/>
    <m/>
    <m/>
    <m/>
    <n v="0"/>
    <m/>
    <n v="0"/>
    <m/>
    <n v="0"/>
    <m/>
    <n v="0"/>
    <m/>
    <n v="0"/>
    <m/>
    <m/>
    <m/>
    <m/>
    <n v="0"/>
    <m/>
    <n v="0"/>
    <m/>
    <n v="0"/>
    <m/>
    <n v="0"/>
    <m/>
    <n v="0"/>
    <m/>
    <m/>
    <m/>
    <m/>
    <n v="0"/>
    <n v="0"/>
    <n v="0"/>
    <n v="0"/>
    <n v="0"/>
    <n v="0"/>
    <n v="0"/>
    <n v="0"/>
    <n v="0"/>
    <m/>
    <n v="0"/>
    <n v="0"/>
    <m/>
    <m/>
    <x v="1"/>
    <x v="2"/>
  </r>
  <r>
    <n v="431"/>
    <x v="5"/>
    <x v="19"/>
    <s v="PSM costs for Men who have sex with men"/>
    <x v="2"/>
    <m/>
    <m/>
    <m/>
    <m/>
    <m/>
    <m/>
    <m/>
    <m/>
    <m/>
    <s v="-"/>
    <n v="0"/>
    <s v="-"/>
    <n v="0"/>
    <s v="-"/>
    <n v="0"/>
    <s v="-"/>
    <n v="0"/>
    <m/>
    <n v="0"/>
    <m/>
    <m/>
    <m/>
    <m/>
    <n v="0"/>
    <m/>
    <n v="0"/>
    <m/>
    <n v="0"/>
    <m/>
    <n v="0"/>
    <m/>
    <n v="0"/>
    <m/>
    <m/>
    <m/>
    <m/>
    <n v="0"/>
    <m/>
    <n v="0"/>
    <m/>
    <n v="0"/>
    <m/>
    <n v="0"/>
    <m/>
    <n v="0"/>
    <m/>
    <m/>
    <m/>
    <m/>
    <n v="0"/>
    <n v="0"/>
    <n v="0"/>
    <n v="0"/>
    <n v="0"/>
    <n v="0"/>
    <n v="0"/>
    <n v="0"/>
    <n v="0"/>
    <m/>
    <n v="0"/>
    <n v="0"/>
    <m/>
    <m/>
    <x v="1"/>
    <x v="2"/>
  </r>
  <r>
    <n v="432"/>
    <x v="5"/>
    <x v="19"/>
    <s v="PSM costs for Men who have sex with men"/>
    <x v="3"/>
    <m/>
    <m/>
    <m/>
    <m/>
    <m/>
    <m/>
    <m/>
    <m/>
    <m/>
    <s v="-"/>
    <n v="0"/>
    <s v="-"/>
    <n v="0"/>
    <s v="-"/>
    <n v="0"/>
    <s v="-"/>
    <n v="0"/>
    <m/>
    <n v="0"/>
    <m/>
    <m/>
    <m/>
    <m/>
    <n v="0"/>
    <m/>
    <n v="0"/>
    <m/>
    <n v="0"/>
    <m/>
    <n v="0"/>
    <m/>
    <n v="0"/>
    <m/>
    <m/>
    <m/>
    <m/>
    <n v="0"/>
    <m/>
    <n v="0"/>
    <m/>
    <n v="0"/>
    <m/>
    <n v="0"/>
    <m/>
    <n v="0"/>
    <m/>
    <m/>
    <m/>
    <m/>
    <n v="0"/>
    <n v="0"/>
    <n v="0"/>
    <n v="0"/>
    <n v="0"/>
    <n v="0"/>
    <n v="0"/>
    <n v="0"/>
    <n v="0"/>
    <m/>
    <n v="0"/>
    <n v="0"/>
    <m/>
    <m/>
    <x v="1"/>
    <x v="2"/>
  </r>
  <r>
    <n v="433"/>
    <x v="5"/>
    <x v="19"/>
    <s v="PSM costs for Men who have sex with men"/>
    <x v="4"/>
    <m/>
    <m/>
    <m/>
    <m/>
    <m/>
    <m/>
    <m/>
    <m/>
    <m/>
    <s v="-"/>
    <n v="0"/>
    <s v="-"/>
    <n v="0"/>
    <s v="-"/>
    <n v="0"/>
    <s v="-"/>
    <n v="0"/>
    <m/>
    <n v="0"/>
    <m/>
    <m/>
    <m/>
    <m/>
    <n v="0"/>
    <m/>
    <n v="0"/>
    <m/>
    <n v="0"/>
    <m/>
    <n v="0"/>
    <m/>
    <n v="0"/>
    <m/>
    <m/>
    <m/>
    <m/>
    <n v="0"/>
    <m/>
    <n v="0"/>
    <m/>
    <n v="0"/>
    <m/>
    <n v="0"/>
    <m/>
    <n v="0"/>
    <m/>
    <m/>
    <m/>
    <m/>
    <n v="0"/>
    <n v="0"/>
    <n v="0"/>
    <n v="0"/>
    <n v="0"/>
    <n v="0"/>
    <n v="0"/>
    <n v="0"/>
    <n v="0"/>
    <m/>
    <n v="0"/>
    <n v="0"/>
    <m/>
    <m/>
    <x v="1"/>
    <x v="2"/>
  </r>
  <r>
    <n v="434"/>
    <x v="5"/>
    <x v="19"/>
    <s v="PSM costs for Men who have sex with men"/>
    <x v="5"/>
    <m/>
    <m/>
    <m/>
    <m/>
    <m/>
    <m/>
    <m/>
    <m/>
    <m/>
    <s v="-"/>
    <n v="0"/>
    <s v="-"/>
    <n v="0"/>
    <s v="-"/>
    <n v="0"/>
    <s v="-"/>
    <n v="0"/>
    <m/>
    <n v="0"/>
    <m/>
    <m/>
    <m/>
    <m/>
    <n v="0"/>
    <m/>
    <n v="0"/>
    <m/>
    <n v="0"/>
    <m/>
    <n v="0"/>
    <m/>
    <n v="0"/>
    <m/>
    <m/>
    <m/>
    <m/>
    <n v="0"/>
    <m/>
    <n v="0"/>
    <m/>
    <n v="0"/>
    <m/>
    <n v="0"/>
    <m/>
    <n v="0"/>
    <m/>
    <m/>
    <m/>
    <m/>
    <n v="0"/>
    <n v="0"/>
    <n v="0"/>
    <n v="0"/>
    <n v="0"/>
    <n v="0"/>
    <n v="0"/>
    <n v="0"/>
    <n v="0"/>
    <m/>
    <n v="0"/>
    <n v="0"/>
    <m/>
    <m/>
    <x v="1"/>
    <x v="2"/>
  </r>
  <r>
    <n v="435"/>
    <x v="5"/>
    <x v="19"/>
    <s v="PSM costs for Men who have sex with men"/>
    <x v="6"/>
    <m/>
    <m/>
    <m/>
    <m/>
    <m/>
    <m/>
    <m/>
    <m/>
    <m/>
    <s v="-"/>
    <n v="0"/>
    <s v="-"/>
    <n v="0"/>
    <s v="-"/>
    <n v="0"/>
    <s v="-"/>
    <n v="0"/>
    <m/>
    <n v="0"/>
    <m/>
    <m/>
    <m/>
    <m/>
    <n v="0"/>
    <m/>
    <n v="0"/>
    <m/>
    <n v="0"/>
    <m/>
    <n v="0"/>
    <m/>
    <n v="0"/>
    <m/>
    <m/>
    <m/>
    <m/>
    <n v="0"/>
    <m/>
    <n v="0"/>
    <m/>
    <n v="0"/>
    <m/>
    <n v="0"/>
    <m/>
    <n v="0"/>
    <m/>
    <m/>
    <m/>
    <m/>
    <n v="0"/>
    <n v="0"/>
    <n v="0"/>
    <n v="0"/>
    <n v="0"/>
    <n v="0"/>
    <n v="0"/>
    <n v="0"/>
    <n v="0"/>
    <m/>
    <n v="0"/>
    <n v="0"/>
    <m/>
    <m/>
    <x v="1"/>
    <x v="2"/>
  </r>
  <r>
    <n v="436"/>
    <x v="5"/>
    <x v="19"/>
    <s v="PSM costs for Men who have sex with men"/>
    <x v="7"/>
    <m/>
    <m/>
    <m/>
    <m/>
    <m/>
    <m/>
    <m/>
    <m/>
    <m/>
    <s v="-"/>
    <n v="0"/>
    <s v="-"/>
    <n v="0"/>
    <s v="-"/>
    <n v="0"/>
    <s v="-"/>
    <n v="0"/>
    <m/>
    <n v="0"/>
    <m/>
    <m/>
    <m/>
    <m/>
    <n v="0"/>
    <m/>
    <n v="0"/>
    <m/>
    <n v="0"/>
    <m/>
    <n v="0"/>
    <m/>
    <n v="0"/>
    <m/>
    <m/>
    <m/>
    <m/>
    <n v="0"/>
    <m/>
    <n v="0"/>
    <m/>
    <n v="0"/>
    <m/>
    <n v="0"/>
    <m/>
    <n v="0"/>
    <m/>
    <m/>
    <m/>
    <m/>
    <n v="0"/>
    <n v="0"/>
    <n v="0"/>
    <n v="0"/>
    <n v="0"/>
    <n v="0"/>
    <n v="0"/>
    <n v="0"/>
    <n v="0"/>
    <m/>
    <n v="0"/>
    <n v="0"/>
    <m/>
    <m/>
    <x v="1"/>
    <x v="2"/>
  </r>
  <r>
    <n v="480"/>
    <x v="5"/>
    <x v="19"/>
    <s v="Procurement of condoms &amp; lubricants for Sex workers and their clients"/>
    <x v="20"/>
    <m/>
    <m/>
    <m/>
    <m/>
    <m/>
    <m/>
    <m/>
    <m/>
    <m/>
    <s v="-"/>
    <n v="0"/>
    <s v="-"/>
    <n v="0"/>
    <s v="-"/>
    <n v="0"/>
    <s v="-"/>
    <n v="0"/>
    <m/>
    <n v="0"/>
    <m/>
    <m/>
    <m/>
    <m/>
    <n v="0"/>
    <m/>
    <n v="0"/>
    <m/>
    <n v="0"/>
    <m/>
    <n v="0"/>
    <m/>
    <n v="0"/>
    <m/>
    <m/>
    <m/>
    <m/>
    <n v="0"/>
    <m/>
    <n v="0"/>
    <m/>
    <n v="0"/>
    <m/>
    <n v="0"/>
    <m/>
    <n v="0"/>
    <m/>
    <m/>
    <m/>
    <m/>
    <n v="0"/>
    <n v="0"/>
    <n v="0"/>
    <n v="0"/>
    <n v="0"/>
    <n v="0"/>
    <n v="0"/>
    <n v="0"/>
    <n v="0"/>
    <m/>
    <n v="0"/>
    <n v="0"/>
    <m/>
    <m/>
    <x v="2"/>
    <x v="2"/>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x v="2"/>
    <x v="2"/>
  </r>
  <r>
    <n v="482"/>
    <x v="5"/>
    <x v="19"/>
    <s v="Procurement of condoms &amp; lubricants for Sex workers and their clients"/>
    <x v="13"/>
    <m/>
    <m/>
    <m/>
    <m/>
    <m/>
    <m/>
    <m/>
    <m/>
    <m/>
    <s v="-"/>
    <n v="0"/>
    <s v="-"/>
    <n v="0"/>
    <s v="-"/>
    <n v="0"/>
    <s v="-"/>
    <n v="0"/>
    <m/>
    <n v="0"/>
    <m/>
    <m/>
    <m/>
    <m/>
    <n v="0"/>
    <m/>
    <n v="0"/>
    <m/>
    <n v="0"/>
    <m/>
    <n v="0"/>
    <m/>
    <n v="0"/>
    <m/>
    <m/>
    <m/>
    <m/>
    <n v="0"/>
    <m/>
    <n v="0"/>
    <m/>
    <n v="0"/>
    <m/>
    <n v="0"/>
    <m/>
    <n v="0"/>
    <m/>
    <m/>
    <m/>
    <m/>
    <n v="0"/>
    <n v="0"/>
    <n v="0"/>
    <n v="0"/>
    <n v="0"/>
    <n v="0"/>
    <n v="0"/>
    <n v="0"/>
    <n v="0"/>
    <m/>
    <n v="0"/>
    <n v="0"/>
    <m/>
    <m/>
    <x v="2"/>
    <x v="2"/>
  </r>
  <r>
    <n v="483"/>
    <x v="5"/>
    <x v="19"/>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484"/>
    <x v="5"/>
    <x v="19"/>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485"/>
    <x v="5"/>
    <x v="19"/>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486"/>
    <x v="5"/>
    <x v="19"/>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487"/>
    <x v="5"/>
    <x v="19"/>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488"/>
    <x v="5"/>
    <x v="19"/>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489"/>
    <x v="5"/>
    <x v="19"/>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533"/>
    <x v="5"/>
    <x v="19"/>
    <s v="Procurement of condoms &amp; lubricants for Transgender people"/>
    <x v="20"/>
    <m/>
    <m/>
    <m/>
    <m/>
    <m/>
    <m/>
    <m/>
    <m/>
    <m/>
    <s v="-"/>
    <n v="0"/>
    <s v="-"/>
    <n v="0"/>
    <s v="-"/>
    <n v="0"/>
    <s v="-"/>
    <n v="0"/>
    <m/>
    <n v="0"/>
    <m/>
    <m/>
    <m/>
    <m/>
    <n v="0"/>
    <m/>
    <n v="0"/>
    <m/>
    <n v="0"/>
    <m/>
    <n v="0"/>
    <m/>
    <n v="0"/>
    <m/>
    <m/>
    <m/>
    <m/>
    <n v="0"/>
    <m/>
    <n v="0"/>
    <m/>
    <n v="0"/>
    <m/>
    <n v="0"/>
    <m/>
    <n v="0"/>
    <m/>
    <m/>
    <m/>
    <m/>
    <n v="0"/>
    <n v="0"/>
    <n v="0"/>
    <n v="0"/>
    <n v="0"/>
    <n v="0"/>
    <n v="0"/>
    <n v="0"/>
    <n v="0"/>
    <m/>
    <n v="0"/>
    <n v="0"/>
    <m/>
    <m/>
    <x v="3"/>
    <x v="2"/>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x v="3"/>
    <x v="2"/>
  </r>
  <r>
    <n v="535"/>
    <x v="5"/>
    <x v="19"/>
    <s v="Procurement of condoms &amp; lubricants for Transgender people"/>
    <x v="13"/>
    <m/>
    <m/>
    <m/>
    <m/>
    <m/>
    <m/>
    <m/>
    <m/>
    <m/>
    <s v="-"/>
    <n v="0"/>
    <s v="-"/>
    <n v="0"/>
    <s v="-"/>
    <n v="0"/>
    <s v="-"/>
    <n v="0"/>
    <m/>
    <n v="0"/>
    <m/>
    <m/>
    <m/>
    <m/>
    <n v="0"/>
    <m/>
    <n v="0"/>
    <m/>
    <n v="0"/>
    <m/>
    <n v="0"/>
    <m/>
    <n v="0"/>
    <m/>
    <m/>
    <m/>
    <m/>
    <n v="0"/>
    <m/>
    <n v="0"/>
    <m/>
    <n v="0"/>
    <m/>
    <n v="0"/>
    <m/>
    <n v="0"/>
    <m/>
    <m/>
    <m/>
    <m/>
    <n v="0"/>
    <n v="0"/>
    <n v="0"/>
    <n v="0"/>
    <n v="0"/>
    <n v="0"/>
    <n v="0"/>
    <n v="0"/>
    <n v="0"/>
    <m/>
    <n v="0"/>
    <n v="0"/>
    <m/>
    <m/>
    <x v="3"/>
    <x v="2"/>
  </r>
  <r>
    <n v="536"/>
    <x v="5"/>
    <x v="19"/>
    <s v="PSM costs for Transgender people"/>
    <x v="1"/>
    <m/>
    <m/>
    <m/>
    <m/>
    <m/>
    <m/>
    <m/>
    <m/>
    <m/>
    <s v="-"/>
    <n v="0"/>
    <s v="-"/>
    <n v="0"/>
    <s v="-"/>
    <n v="0"/>
    <s v="-"/>
    <n v="0"/>
    <m/>
    <n v="0"/>
    <m/>
    <m/>
    <m/>
    <m/>
    <n v="0"/>
    <m/>
    <n v="0"/>
    <m/>
    <n v="0"/>
    <m/>
    <n v="0"/>
    <m/>
    <n v="0"/>
    <m/>
    <m/>
    <m/>
    <m/>
    <n v="0"/>
    <m/>
    <n v="0"/>
    <m/>
    <n v="0"/>
    <m/>
    <n v="0"/>
    <m/>
    <n v="0"/>
    <m/>
    <m/>
    <m/>
    <m/>
    <n v="0"/>
    <n v="0"/>
    <n v="0"/>
    <n v="0"/>
    <n v="0"/>
    <n v="0"/>
    <n v="0"/>
    <n v="0"/>
    <n v="0"/>
    <m/>
    <n v="0"/>
    <n v="0"/>
    <m/>
    <m/>
    <x v="3"/>
    <x v="2"/>
  </r>
  <r>
    <n v="537"/>
    <x v="5"/>
    <x v="19"/>
    <s v="PSM costs for Transgender people"/>
    <x v="2"/>
    <m/>
    <m/>
    <m/>
    <m/>
    <m/>
    <m/>
    <m/>
    <m/>
    <m/>
    <s v="-"/>
    <n v="0"/>
    <s v="-"/>
    <n v="0"/>
    <s v="-"/>
    <n v="0"/>
    <s v="-"/>
    <n v="0"/>
    <m/>
    <n v="0"/>
    <m/>
    <m/>
    <m/>
    <m/>
    <n v="0"/>
    <m/>
    <n v="0"/>
    <m/>
    <n v="0"/>
    <m/>
    <n v="0"/>
    <m/>
    <n v="0"/>
    <m/>
    <m/>
    <m/>
    <m/>
    <n v="0"/>
    <m/>
    <n v="0"/>
    <m/>
    <n v="0"/>
    <m/>
    <n v="0"/>
    <m/>
    <n v="0"/>
    <m/>
    <m/>
    <m/>
    <m/>
    <n v="0"/>
    <n v="0"/>
    <n v="0"/>
    <n v="0"/>
    <n v="0"/>
    <n v="0"/>
    <n v="0"/>
    <n v="0"/>
    <n v="0"/>
    <m/>
    <n v="0"/>
    <n v="0"/>
    <m/>
    <m/>
    <x v="3"/>
    <x v="2"/>
  </r>
  <r>
    <n v="538"/>
    <x v="5"/>
    <x v="19"/>
    <s v="PSM costs for Transgender people"/>
    <x v="3"/>
    <m/>
    <m/>
    <m/>
    <m/>
    <m/>
    <m/>
    <m/>
    <m/>
    <m/>
    <s v="-"/>
    <n v="0"/>
    <s v="-"/>
    <n v="0"/>
    <s v="-"/>
    <n v="0"/>
    <s v="-"/>
    <n v="0"/>
    <m/>
    <n v="0"/>
    <m/>
    <m/>
    <m/>
    <m/>
    <n v="0"/>
    <m/>
    <n v="0"/>
    <m/>
    <n v="0"/>
    <m/>
    <n v="0"/>
    <m/>
    <n v="0"/>
    <m/>
    <m/>
    <m/>
    <m/>
    <n v="0"/>
    <m/>
    <n v="0"/>
    <m/>
    <n v="0"/>
    <m/>
    <n v="0"/>
    <m/>
    <n v="0"/>
    <m/>
    <m/>
    <m/>
    <m/>
    <n v="0"/>
    <n v="0"/>
    <n v="0"/>
    <n v="0"/>
    <n v="0"/>
    <n v="0"/>
    <n v="0"/>
    <n v="0"/>
    <n v="0"/>
    <m/>
    <n v="0"/>
    <n v="0"/>
    <m/>
    <m/>
    <x v="3"/>
    <x v="2"/>
  </r>
  <r>
    <n v="539"/>
    <x v="5"/>
    <x v="19"/>
    <s v="PSM costs for Transgender people"/>
    <x v="4"/>
    <m/>
    <m/>
    <m/>
    <m/>
    <m/>
    <m/>
    <m/>
    <m/>
    <m/>
    <s v="-"/>
    <n v="0"/>
    <s v="-"/>
    <n v="0"/>
    <s v="-"/>
    <n v="0"/>
    <s v="-"/>
    <n v="0"/>
    <m/>
    <n v="0"/>
    <m/>
    <m/>
    <m/>
    <m/>
    <n v="0"/>
    <m/>
    <n v="0"/>
    <m/>
    <n v="0"/>
    <m/>
    <n v="0"/>
    <m/>
    <n v="0"/>
    <m/>
    <m/>
    <m/>
    <m/>
    <n v="0"/>
    <m/>
    <n v="0"/>
    <m/>
    <n v="0"/>
    <m/>
    <n v="0"/>
    <m/>
    <n v="0"/>
    <m/>
    <m/>
    <m/>
    <m/>
    <n v="0"/>
    <n v="0"/>
    <n v="0"/>
    <n v="0"/>
    <n v="0"/>
    <n v="0"/>
    <n v="0"/>
    <n v="0"/>
    <n v="0"/>
    <m/>
    <n v="0"/>
    <n v="0"/>
    <m/>
    <m/>
    <x v="3"/>
    <x v="2"/>
  </r>
  <r>
    <n v="540"/>
    <x v="5"/>
    <x v="19"/>
    <s v="PSM costs for Transgender people"/>
    <x v="5"/>
    <m/>
    <m/>
    <m/>
    <m/>
    <m/>
    <m/>
    <m/>
    <m/>
    <m/>
    <s v="-"/>
    <n v="0"/>
    <s v="-"/>
    <n v="0"/>
    <s v="-"/>
    <n v="0"/>
    <s v="-"/>
    <n v="0"/>
    <m/>
    <n v="0"/>
    <m/>
    <m/>
    <m/>
    <m/>
    <n v="0"/>
    <m/>
    <n v="0"/>
    <m/>
    <n v="0"/>
    <m/>
    <n v="0"/>
    <m/>
    <n v="0"/>
    <m/>
    <m/>
    <m/>
    <m/>
    <n v="0"/>
    <m/>
    <n v="0"/>
    <m/>
    <n v="0"/>
    <m/>
    <n v="0"/>
    <m/>
    <n v="0"/>
    <m/>
    <m/>
    <m/>
    <m/>
    <n v="0"/>
    <n v="0"/>
    <n v="0"/>
    <n v="0"/>
    <n v="0"/>
    <n v="0"/>
    <n v="0"/>
    <n v="0"/>
    <n v="0"/>
    <m/>
    <n v="0"/>
    <n v="0"/>
    <m/>
    <m/>
    <x v="3"/>
    <x v="2"/>
  </r>
  <r>
    <n v="541"/>
    <x v="5"/>
    <x v="19"/>
    <s v="PSM costs for Transgender people"/>
    <x v="6"/>
    <m/>
    <m/>
    <m/>
    <m/>
    <m/>
    <m/>
    <m/>
    <m/>
    <m/>
    <s v="-"/>
    <n v="0"/>
    <s v="-"/>
    <n v="0"/>
    <s v="-"/>
    <n v="0"/>
    <s v="-"/>
    <n v="0"/>
    <m/>
    <n v="0"/>
    <m/>
    <m/>
    <m/>
    <m/>
    <n v="0"/>
    <m/>
    <n v="0"/>
    <m/>
    <n v="0"/>
    <m/>
    <n v="0"/>
    <m/>
    <n v="0"/>
    <m/>
    <m/>
    <m/>
    <m/>
    <n v="0"/>
    <m/>
    <n v="0"/>
    <m/>
    <n v="0"/>
    <m/>
    <n v="0"/>
    <m/>
    <n v="0"/>
    <m/>
    <m/>
    <m/>
    <m/>
    <n v="0"/>
    <n v="0"/>
    <n v="0"/>
    <n v="0"/>
    <n v="0"/>
    <n v="0"/>
    <n v="0"/>
    <n v="0"/>
    <n v="0"/>
    <m/>
    <n v="0"/>
    <n v="0"/>
    <m/>
    <m/>
    <x v="3"/>
    <x v="2"/>
  </r>
  <r>
    <n v="542"/>
    <x v="5"/>
    <x v="19"/>
    <s v="PSM costs for Transgender people"/>
    <x v="7"/>
    <m/>
    <m/>
    <m/>
    <m/>
    <m/>
    <m/>
    <m/>
    <e v="#DIV/0!"/>
    <m/>
    <s v="-"/>
    <n v="0"/>
    <s v="-"/>
    <n v="0"/>
    <s v="-"/>
    <n v="0"/>
    <s v="-"/>
    <n v="0"/>
    <m/>
    <n v="0"/>
    <m/>
    <m/>
    <m/>
    <m/>
    <n v="0"/>
    <m/>
    <n v="0"/>
    <m/>
    <n v="0"/>
    <m/>
    <n v="0"/>
    <m/>
    <n v="0"/>
    <m/>
    <m/>
    <m/>
    <m/>
    <n v="0"/>
    <m/>
    <n v="0"/>
    <m/>
    <n v="0"/>
    <m/>
    <n v="0"/>
    <m/>
    <n v="0"/>
    <m/>
    <m/>
    <m/>
    <m/>
    <n v="0"/>
    <n v="0"/>
    <n v="0"/>
    <n v="0"/>
    <n v="0"/>
    <n v="0"/>
    <n v="0"/>
    <n v="0"/>
    <n v="0"/>
    <m/>
    <n v="0"/>
    <n v="0"/>
    <m/>
    <m/>
    <x v="3"/>
    <x v="2"/>
  </r>
  <r>
    <n v="584"/>
    <x v="5"/>
    <x v="20"/>
    <s v="NSP for People who inject drugs and their partners"/>
    <x v="19"/>
    <m/>
    <m/>
    <m/>
    <m/>
    <m/>
    <m/>
    <m/>
    <m/>
    <m/>
    <s v="-"/>
    <n v="0"/>
    <s v="-"/>
    <n v="0"/>
    <s v="-"/>
    <n v="0"/>
    <s v="-"/>
    <n v="0"/>
    <m/>
    <n v="0"/>
    <m/>
    <m/>
    <m/>
    <m/>
    <n v="0"/>
    <m/>
    <n v="0"/>
    <m/>
    <n v="0"/>
    <m/>
    <n v="0"/>
    <m/>
    <n v="0"/>
    <m/>
    <m/>
    <m/>
    <m/>
    <n v="0"/>
    <m/>
    <n v="0"/>
    <m/>
    <n v="0"/>
    <m/>
    <n v="0"/>
    <m/>
    <n v="0"/>
    <m/>
    <m/>
    <m/>
    <m/>
    <n v="0"/>
    <n v="0"/>
    <n v="0"/>
    <n v="0"/>
    <n v="0"/>
    <n v="0"/>
    <n v="0"/>
    <n v="0"/>
    <n v="0"/>
    <m/>
    <n v="0"/>
    <n v="0"/>
    <m/>
    <m/>
    <x v="4"/>
    <x v="2"/>
  </r>
  <r>
    <n v="592"/>
    <x v="5"/>
    <x v="21"/>
    <s v="OST for People who inject drugs and their partners"/>
    <x v="22"/>
    <m/>
    <m/>
    <m/>
    <m/>
    <m/>
    <m/>
    <m/>
    <e v="#DIV/0!"/>
    <m/>
    <s v="-"/>
    <n v="0"/>
    <s v="-"/>
    <n v="0"/>
    <s v="-"/>
    <n v="0"/>
    <s v="-"/>
    <n v="0"/>
    <m/>
    <n v="0"/>
    <m/>
    <m/>
    <m/>
    <m/>
    <n v="0"/>
    <m/>
    <n v="0"/>
    <m/>
    <n v="0"/>
    <m/>
    <n v="0"/>
    <m/>
    <n v="0"/>
    <m/>
    <m/>
    <m/>
    <m/>
    <n v="0"/>
    <m/>
    <n v="0"/>
    <m/>
    <n v="0"/>
    <m/>
    <n v="0"/>
    <m/>
    <n v="0"/>
    <m/>
    <m/>
    <m/>
    <m/>
    <n v="0"/>
    <n v="0"/>
    <n v="0"/>
    <n v="0"/>
    <n v="0"/>
    <n v="0"/>
    <n v="0"/>
    <n v="0"/>
    <n v="0"/>
    <m/>
    <n v="0"/>
    <n v="0"/>
    <m/>
    <m/>
    <x v="4"/>
    <x v="2"/>
  </r>
  <r>
    <n v="593"/>
    <x v="5"/>
    <x v="21"/>
    <s v="PSM costs for People who inject drugs and their partners"/>
    <x v="1"/>
    <m/>
    <m/>
    <m/>
    <m/>
    <m/>
    <m/>
    <m/>
    <m/>
    <m/>
    <s v="-"/>
    <n v="0"/>
    <s v="-"/>
    <n v="0"/>
    <s v="-"/>
    <n v="0"/>
    <s v="-"/>
    <n v="0"/>
    <m/>
    <n v="0"/>
    <m/>
    <m/>
    <m/>
    <m/>
    <n v="0"/>
    <m/>
    <n v="0"/>
    <m/>
    <n v="0"/>
    <m/>
    <n v="0"/>
    <m/>
    <n v="0"/>
    <m/>
    <m/>
    <m/>
    <m/>
    <n v="0"/>
    <m/>
    <n v="0"/>
    <m/>
    <n v="0"/>
    <m/>
    <n v="0"/>
    <m/>
    <n v="0"/>
    <m/>
    <m/>
    <m/>
    <m/>
    <n v="0"/>
    <n v="0"/>
    <n v="0"/>
    <n v="0"/>
    <n v="0"/>
    <n v="0"/>
    <n v="0"/>
    <n v="0"/>
    <n v="0"/>
    <m/>
    <n v="0"/>
    <n v="0"/>
    <m/>
    <m/>
    <x v="4"/>
    <x v="2"/>
  </r>
  <r>
    <n v="594"/>
    <x v="5"/>
    <x v="21"/>
    <s v="PSM costs for People who inject drugs and their partners"/>
    <x v="2"/>
    <m/>
    <m/>
    <m/>
    <m/>
    <m/>
    <m/>
    <m/>
    <m/>
    <m/>
    <s v="-"/>
    <n v="0"/>
    <s v="-"/>
    <n v="0"/>
    <s v="-"/>
    <n v="0"/>
    <s v="-"/>
    <n v="0"/>
    <m/>
    <n v="0"/>
    <m/>
    <m/>
    <m/>
    <m/>
    <n v="0"/>
    <m/>
    <n v="0"/>
    <m/>
    <n v="0"/>
    <m/>
    <n v="0"/>
    <m/>
    <n v="0"/>
    <m/>
    <m/>
    <m/>
    <m/>
    <n v="0"/>
    <m/>
    <n v="0"/>
    <m/>
    <n v="0"/>
    <m/>
    <n v="0"/>
    <m/>
    <n v="0"/>
    <m/>
    <m/>
    <m/>
    <m/>
    <n v="0"/>
    <n v="0"/>
    <n v="0"/>
    <n v="0"/>
    <n v="0"/>
    <n v="0"/>
    <n v="0"/>
    <n v="0"/>
    <n v="0"/>
    <m/>
    <n v="0"/>
    <n v="0"/>
    <m/>
    <m/>
    <x v="4"/>
    <x v="2"/>
  </r>
  <r>
    <n v="595"/>
    <x v="5"/>
    <x v="21"/>
    <s v="PSM costs for People who inject drugs and their partners"/>
    <x v="3"/>
    <m/>
    <m/>
    <m/>
    <m/>
    <m/>
    <m/>
    <m/>
    <m/>
    <m/>
    <s v="-"/>
    <n v="0"/>
    <s v="-"/>
    <n v="0"/>
    <s v="-"/>
    <n v="0"/>
    <s v="-"/>
    <n v="0"/>
    <m/>
    <n v="0"/>
    <m/>
    <m/>
    <m/>
    <m/>
    <n v="0"/>
    <m/>
    <n v="0"/>
    <m/>
    <n v="0"/>
    <m/>
    <n v="0"/>
    <m/>
    <n v="0"/>
    <m/>
    <m/>
    <m/>
    <m/>
    <n v="0"/>
    <m/>
    <n v="0"/>
    <m/>
    <n v="0"/>
    <m/>
    <n v="0"/>
    <m/>
    <n v="0"/>
    <m/>
    <m/>
    <m/>
    <m/>
    <n v="0"/>
    <n v="0"/>
    <n v="0"/>
    <n v="0"/>
    <n v="0"/>
    <n v="0"/>
    <n v="0"/>
    <n v="0"/>
    <n v="0"/>
    <m/>
    <n v="0"/>
    <n v="0"/>
    <m/>
    <m/>
    <x v="4"/>
    <x v="2"/>
  </r>
  <r>
    <n v="596"/>
    <x v="5"/>
    <x v="21"/>
    <s v="PSM costs for People who inject drugs and their partners"/>
    <x v="4"/>
    <m/>
    <m/>
    <m/>
    <m/>
    <m/>
    <m/>
    <m/>
    <m/>
    <m/>
    <s v="-"/>
    <n v="0"/>
    <s v="-"/>
    <n v="0"/>
    <s v="-"/>
    <n v="0"/>
    <s v="-"/>
    <n v="0"/>
    <m/>
    <n v="0"/>
    <m/>
    <m/>
    <m/>
    <m/>
    <n v="0"/>
    <m/>
    <n v="0"/>
    <m/>
    <n v="0"/>
    <m/>
    <n v="0"/>
    <m/>
    <n v="0"/>
    <m/>
    <m/>
    <m/>
    <m/>
    <n v="0"/>
    <m/>
    <n v="0"/>
    <m/>
    <n v="0"/>
    <m/>
    <n v="0"/>
    <m/>
    <n v="0"/>
    <m/>
    <m/>
    <m/>
    <m/>
    <n v="0"/>
    <n v="0"/>
    <n v="0"/>
    <n v="0"/>
    <n v="0"/>
    <n v="0"/>
    <n v="0"/>
    <n v="0"/>
    <n v="0"/>
    <m/>
    <n v="0"/>
    <n v="0"/>
    <m/>
    <m/>
    <x v="4"/>
    <x v="2"/>
  </r>
  <r>
    <n v="597"/>
    <x v="5"/>
    <x v="21"/>
    <s v="PSM costs for People who inject drugs and their partners"/>
    <x v="5"/>
    <m/>
    <m/>
    <m/>
    <m/>
    <m/>
    <m/>
    <m/>
    <m/>
    <m/>
    <s v="-"/>
    <n v="0"/>
    <s v="-"/>
    <n v="0"/>
    <s v="-"/>
    <n v="0"/>
    <s v="-"/>
    <n v="0"/>
    <m/>
    <n v="0"/>
    <m/>
    <m/>
    <m/>
    <m/>
    <n v="0"/>
    <m/>
    <n v="0"/>
    <m/>
    <n v="0"/>
    <m/>
    <n v="0"/>
    <m/>
    <n v="0"/>
    <m/>
    <m/>
    <m/>
    <m/>
    <n v="0"/>
    <m/>
    <n v="0"/>
    <m/>
    <n v="0"/>
    <m/>
    <n v="0"/>
    <m/>
    <n v="0"/>
    <m/>
    <m/>
    <m/>
    <m/>
    <n v="0"/>
    <n v="0"/>
    <n v="0"/>
    <n v="0"/>
    <n v="0"/>
    <n v="0"/>
    <n v="0"/>
    <n v="0"/>
    <n v="0"/>
    <m/>
    <n v="0"/>
    <n v="0"/>
    <m/>
    <m/>
    <x v="4"/>
    <x v="2"/>
  </r>
  <r>
    <n v="598"/>
    <x v="5"/>
    <x v="21"/>
    <s v="PSM costs for People who inject drugs and their partners"/>
    <x v="6"/>
    <m/>
    <m/>
    <m/>
    <m/>
    <m/>
    <m/>
    <m/>
    <m/>
    <m/>
    <s v="-"/>
    <n v="0"/>
    <s v="-"/>
    <n v="0"/>
    <s v="-"/>
    <n v="0"/>
    <s v="-"/>
    <n v="0"/>
    <m/>
    <n v="0"/>
    <m/>
    <m/>
    <m/>
    <m/>
    <n v="0"/>
    <m/>
    <n v="0"/>
    <m/>
    <n v="0"/>
    <m/>
    <n v="0"/>
    <m/>
    <n v="0"/>
    <m/>
    <m/>
    <m/>
    <m/>
    <n v="0"/>
    <m/>
    <n v="0"/>
    <m/>
    <n v="0"/>
    <m/>
    <n v="0"/>
    <m/>
    <n v="0"/>
    <m/>
    <m/>
    <m/>
    <m/>
    <n v="0"/>
    <n v="0"/>
    <n v="0"/>
    <n v="0"/>
    <n v="0"/>
    <n v="0"/>
    <n v="0"/>
    <n v="0"/>
    <n v="0"/>
    <m/>
    <n v="0"/>
    <n v="0"/>
    <m/>
    <m/>
    <x v="4"/>
    <x v="2"/>
  </r>
  <r>
    <n v="599"/>
    <x v="5"/>
    <x v="21"/>
    <s v="PSM costs for People who inject drugs and their partners"/>
    <x v="7"/>
    <m/>
    <m/>
    <m/>
    <m/>
    <m/>
    <m/>
    <m/>
    <e v="#DIV/0!"/>
    <m/>
    <s v="-"/>
    <n v="0"/>
    <s v="-"/>
    <n v="0"/>
    <s v="-"/>
    <n v="0"/>
    <s v="-"/>
    <n v="0"/>
    <m/>
    <n v="0"/>
    <m/>
    <m/>
    <m/>
    <m/>
    <n v="0"/>
    <m/>
    <n v="0"/>
    <m/>
    <n v="0"/>
    <m/>
    <n v="0"/>
    <m/>
    <n v="0"/>
    <m/>
    <m/>
    <m/>
    <m/>
    <n v="0"/>
    <m/>
    <n v="0"/>
    <m/>
    <n v="0"/>
    <m/>
    <n v="0"/>
    <m/>
    <n v="0"/>
    <m/>
    <m/>
    <m/>
    <m/>
    <n v="0"/>
    <n v="0"/>
    <n v="0"/>
    <n v="0"/>
    <n v="0"/>
    <n v="0"/>
    <n v="0"/>
    <n v="0"/>
    <n v="0"/>
    <m/>
    <n v="0"/>
    <n v="0"/>
    <m/>
    <m/>
    <x v="4"/>
    <x v="2"/>
  </r>
  <r>
    <n v="608"/>
    <x v="5"/>
    <x v="19"/>
    <s v="Procurement of condoms &amp; lubricants for People who inject drugs and their partners"/>
    <x v="20"/>
    <m/>
    <m/>
    <m/>
    <m/>
    <m/>
    <m/>
    <m/>
    <m/>
    <m/>
    <s v="-"/>
    <n v="0"/>
    <s v="-"/>
    <n v="0"/>
    <s v="-"/>
    <n v="0"/>
    <s v="-"/>
    <n v="0"/>
    <m/>
    <n v="0"/>
    <m/>
    <m/>
    <m/>
    <m/>
    <n v="0"/>
    <m/>
    <n v="0"/>
    <m/>
    <n v="0"/>
    <m/>
    <n v="0"/>
    <m/>
    <n v="0"/>
    <m/>
    <m/>
    <m/>
    <m/>
    <n v="0"/>
    <m/>
    <n v="0"/>
    <m/>
    <n v="0"/>
    <m/>
    <n v="0"/>
    <m/>
    <n v="0"/>
    <m/>
    <m/>
    <m/>
    <m/>
    <n v="0"/>
    <n v="0"/>
    <n v="0"/>
    <n v="0"/>
    <n v="0"/>
    <n v="0"/>
    <n v="0"/>
    <n v="0"/>
    <n v="0"/>
    <m/>
    <n v="0"/>
    <n v="0"/>
    <m/>
    <m/>
    <x v="4"/>
    <x v="2"/>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x v="4"/>
    <x v="2"/>
  </r>
  <r>
    <n v="610"/>
    <x v="5"/>
    <x v="19"/>
    <s v="Procurement of condoms &amp; lubricants for People who inject drugs and their partners"/>
    <x v="13"/>
    <m/>
    <m/>
    <m/>
    <m/>
    <m/>
    <m/>
    <m/>
    <m/>
    <m/>
    <s v="-"/>
    <n v="0"/>
    <s v="-"/>
    <n v="0"/>
    <s v="-"/>
    <n v="0"/>
    <s v="-"/>
    <n v="0"/>
    <m/>
    <n v="0"/>
    <m/>
    <m/>
    <m/>
    <m/>
    <n v="0"/>
    <m/>
    <n v="0"/>
    <m/>
    <n v="0"/>
    <m/>
    <n v="0"/>
    <m/>
    <n v="0"/>
    <m/>
    <m/>
    <m/>
    <m/>
    <n v="0"/>
    <m/>
    <n v="0"/>
    <m/>
    <n v="0"/>
    <m/>
    <n v="0"/>
    <m/>
    <n v="0"/>
    <m/>
    <m/>
    <m/>
    <m/>
    <n v="0"/>
    <n v="0"/>
    <n v="0"/>
    <n v="0"/>
    <n v="0"/>
    <n v="0"/>
    <n v="0"/>
    <n v="0"/>
    <n v="0"/>
    <m/>
    <n v="0"/>
    <n v="0"/>
    <m/>
    <m/>
    <x v="4"/>
    <x v="2"/>
  </r>
  <r>
    <n v="611"/>
    <x v="5"/>
    <x v="19"/>
    <s v="PSM costs for People who inject drugs and their partners"/>
    <x v="1"/>
    <m/>
    <m/>
    <m/>
    <m/>
    <m/>
    <m/>
    <m/>
    <m/>
    <m/>
    <s v="-"/>
    <n v="0"/>
    <s v="-"/>
    <n v="0"/>
    <s v="-"/>
    <n v="0"/>
    <s v="-"/>
    <n v="0"/>
    <m/>
    <n v="0"/>
    <m/>
    <m/>
    <m/>
    <m/>
    <n v="0"/>
    <m/>
    <n v="0"/>
    <m/>
    <n v="0"/>
    <m/>
    <n v="0"/>
    <m/>
    <n v="0"/>
    <m/>
    <m/>
    <m/>
    <m/>
    <n v="0"/>
    <m/>
    <n v="0"/>
    <m/>
    <n v="0"/>
    <m/>
    <n v="0"/>
    <m/>
    <n v="0"/>
    <m/>
    <m/>
    <m/>
    <m/>
    <n v="0"/>
    <n v="0"/>
    <n v="0"/>
    <n v="0"/>
    <n v="0"/>
    <n v="0"/>
    <n v="0"/>
    <n v="0"/>
    <n v="0"/>
    <m/>
    <n v="0"/>
    <n v="0"/>
    <m/>
    <m/>
    <x v="4"/>
    <x v="2"/>
  </r>
  <r>
    <n v="612"/>
    <x v="5"/>
    <x v="19"/>
    <s v="PSM costs for People who inject drugs and their partners"/>
    <x v="2"/>
    <m/>
    <m/>
    <m/>
    <m/>
    <m/>
    <m/>
    <m/>
    <m/>
    <m/>
    <s v="-"/>
    <n v="0"/>
    <s v="-"/>
    <n v="0"/>
    <s v="-"/>
    <n v="0"/>
    <s v="-"/>
    <n v="0"/>
    <m/>
    <n v="0"/>
    <m/>
    <m/>
    <m/>
    <m/>
    <n v="0"/>
    <m/>
    <n v="0"/>
    <m/>
    <n v="0"/>
    <m/>
    <n v="0"/>
    <m/>
    <n v="0"/>
    <m/>
    <m/>
    <m/>
    <m/>
    <n v="0"/>
    <m/>
    <n v="0"/>
    <m/>
    <n v="0"/>
    <m/>
    <n v="0"/>
    <m/>
    <n v="0"/>
    <m/>
    <m/>
    <m/>
    <m/>
    <n v="0"/>
    <n v="0"/>
    <n v="0"/>
    <n v="0"/>
    <n v="0"/>
    <n v="0"/>
    <n v="0"/>
    <n v="0"/>
    <n v="0"/>
    <m/>
    <n v="0"/>
    <n v="0"/>
    <m/>
    <m/>
    <x v="4"/>
    <x v="2"/>
  </r>
  <r>
    <n v="613"/>
    <x v="5"/>
    <x v="19"/>
    <s v="PSM costs for People who inject drugs and their partners"/>
    <x v="3"/>
    <m/>
    <m/>
    <m/>
    <m/>
    <m/>
    <m/>
    <m/>
    <m/>
    <m/>
    <s v="-"/>
    <n v="0"/>
    <s v="-"/>
    <n v="0"/>
    <s v="-"/>
    <n v="0"/>
    <s v="-"/>
    <n v="0"/>
    <m/>
    <n v="0"/>
    <m/>
    <m/>
    <m/>
    <m/>
    <n v="0"/>
    <m/>
    <n v="0"/>
    <m/>
    <n v="0"/>
    <m/>
    <n v="0"/>
    <m/>
    <n v="0"/>
    <m/>
    <m/>
    <m/>
    <m/>
    <n v="0"/>
    <m/>
    <n v="0"/>
    <m/>
    <n v="0"/>
    <m/>
    <n v="0"/>
    <m/>
    <n v="0"/>
    <m/>
    <m/>
    <m/>
    <m/>
    <n v="0"/>
    <n v="0"/>
    <n v="0"/>
    <n v="0"/>
    <n v="0"/>
    <n v="0"/>
    <n v="0"/>
    <n v="0"/>
    <n v="0"/>
    <m/>
    <n v="0"/>
    <n v="0"/>
    <m/>
    <m/>
    <x v="4"/>
    <x v="2"/>
  </r>
  <r>
    <n v="614"/>
    <x v="5"/>
    <x v="19"/>
    <s v="PSM costs for People who inject drugs and their partners"/>
    <x v="4"/>
    <m/>
    <m/>
    <m/>
    <m/>
    <m/>
    <m/>
    <m/>
    <m/>
    <m/>
    <s v="-"/>
    <n v="0"/>
    <s v="-"/>
    <n v="0"/>
    <s v="-"/>
    <n v="0"/>
    <s v="-"/>
    <n v="0"/>
    <m/>
    <n v="0"/>
    <m/>
    <m/>
    <m/>
    <m/>
    <n v="0"/>
    <m/>
    <n v="0"/>
    <m/>
    <n v="0"/>
    <m/>
    <n v="0"/>
    <m/>
    <n v="0"/>
    <m/>
    <m/>
    <m/>
    <m/>
    <n v="0"/>
    <m/>
    <n v="0"/>
    <m/>
    <n v="0"/>
    <m/>
    <n v="0"/>
    <m/>
    <n v="0"/>
    <m/>
    <m/>
    <m/>
    <m/>
    <n v="0"/>
    <n v="0"/>
    <n v="0"/>
    <n v="0"/>
    <n v="0"/>
    <n v="0"/>
    <n v="0"/>
    <n v="0"/>
    <n v="0"/>
    <m/>
    <n v="0"/>
    <n v="0"/>
    <m/>
    <m/>
    <x v="4"/>
    <x v="2"/>
  </r>
  <r>
    <n v="615"/>
    <x v="5"/>
    <x v="19"/>
    <s v="PSM costs for People who inject drugs and their partners"/>
    <x v="5"/>
    <m/>
    <m/>
    <m/>
    <m/>
    <m/>
    <m/>
    <m/>
    <m/>
    <m/>
    <s v="-"/>
    <n v="0"/>
    <s v="-"/>
    <n v="0"/>
    <s v="-"/>
    <n v="0"/>
    <s v="-"/>
    <n v="0"/>
    <m/>
    <n v="0"/>
    <m/>
    <m/>
    <m/>
    <m/>
    <n v="0"/>
    <m/>
    <n v="0"/>
    <m/>
    <n v="0"/>
    <m/>
    <n v="0"/>
    <m/>
    <n v="0"/>
    <m/>
    <m/>
    <m/>
    <m/>
    <n v="0"/>
    <m/>
    <n v="0"/>
    <m/>
    <n v="0"/>
    <m/>
    <n v="0"/>
    <m/>
    <n v="0"/>
    <m/>
    <m/>
    <m/>
    <m/>
    <n v="0"/>
    <n v="0"/>
    <n v="0"/>
    <n v="0"/>
    <n v="0"/>
    <n v="0"/>
    <n v="0"/>
    <n v="0"/>
    <n v="0"/>
    <m/>
    <n v="0"/>
    <n v="0"/>
    <m/>
    <m/>
    <x v="4"/>
    <x v="2"/>
  </r>
  <r>
    <n v="616"/>
    <x v="5"/>
    <x v="19"/>
    <s v="PSM costs for People who inject drugs and their partners"/>
    <x v="6"/>
    <m/>
    <m/>
    <m/>
    <m/>
    <m/>
    <m/>
    <m/>
    <m/>
    <m/>
    <s v="-"/>
    <n v="0"/>
    <s v="-"/>
    <n v="0"/>
    <s v="-"/>
    <n v="0"/>
    <s v="-"/>
    <n v="0"/>
    <m/>
    <n v="0"/>
    <m/>
    <m/>
    <m/>
    <m/>
    <n v="0"/>
    <m/>
    <n v="0"/>
    <m/>
    <n v="0"/>
    <m/>
    <n v="0"/>
    <m/>
    <n v="0"/>
    <m/>
    <m/>
    <m/>
    <m/>
    <n v="0"/>
    <m/>
    <n v="0"/>
    <m/>
    <n v="0"/>
    <m/>
    <n v="0"/>
    <m/>
    <n v="0"/>
    <m/>
    <m/>
    <m/>
    <m/>
    <n v="0"/>
    <n v="0"/>
    <n v="0"/>
    <n v="0"/>
    <n v="0"/>
    <n v="0"/>
    <n v="0"/>
    <n v="0"/>
    <n v="0"/>
    <m/>
    <n v="0"/>
    <n v="0"/>
    <m/>
    <m/>
    <x v="4"/>
    <x v="2"/>
  </r>
  <r>
    <n v="617"/>
    <x v="5"/>
    <x v="19"/>
    <s v="PSM costs for People who inject drugs and their partners"/>
    <x v="7"/>
    <m/>
    <m/>
    <m/>
    <m/>
    <m/>
    <m/>
    <m/>
    <m/>
    <m/>
    <s v="-"/>
    <n v="0"/>
    <s v="-"/>
    <n v="0"/>
    <s v="-"/>
    <n v="0"/>
    <s v="-"/>
    <n v="0"/>
    <m/>
    <n v="0"/>
    <m/>
    <m/>
    <m/>
    <m/>
    <n v="0"/>
    <m/>
    <n v="0"/>
    <m/>
    <n v="0"/>
    <m/>
    <n v="0"/>
    <m/>
    <n v="0"/>
    <m/>
    <m/>
    <m/>
    <m/>
    <n v="0"/>
    <m/>
    <n v="0"/>
    <m/>
    <n v="0"/>
    <m/>
    <n v="0"/>
    <m/>
    <n v="0"/>
    <m/>
    <m/>
    <m/>
    <m/>
    <n v="0"/>
    <n v="0"/>
    <n v="0"/>
    <n v="0"/>
    <n v="0"/>
    <n v="0"/>
    <n v="0"/>
    <n v="0"/>
    <n v="0"/>
    <m/>
    <n v="0"/>
    <n v="0"/>
    <m/>
    <m/>
    <x v="4"/>
    <x v="2"/>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x v="5"/>
    <x v="2"/>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x v="5"/>
    <x v="2"/>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x v="5"/>
    <x v="2"/>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x v="6"/>
    <x v="2"/>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x v="6"/>
    <x v="2"/>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x v="6"/>
    <x v="2"/>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x v="7"/>
    <x v="2"/>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x v="7"/>
    <x v="2"/>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x v="7"/>
    <x v="2"/>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x v="8"/>
    <x v="2"/>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x v="8"/>
    <x v="2"/>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x v="9"/>
    <x v="2"/>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x v="9"/>
    <x v="2"/>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x v="9"/>
    <x v="2"/>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x v="10"/>
    <x v="2"/>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x v="10"/>
    <x v="2"/>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x v="10"/>
    <x v="2"/>
  </r>
  <r>
    <n v="813"/>
    <x v="6"/>
    <x v="23"/>
    <s v="PSM costs"/>
    <x v="1"/>
    <m/>
    <m/>
    <m/>
    <m/>
    <m/>
    <m/>
    <m/>
    <m/>
    <m/>
    <s v="-"/>
    <n v="0"/>
    <s v="-"/>
    <n v="0"/>
    <s v="-"/>
    <n v="0"/>
    <s v="-"/>
    <n v="0"/>
    <m/>
    <n v="0"/>
    <m/>
    <m/>
    <m/>
    <m/>
    <n v="0"/>
    <m/>
    <n v="0"/>
    <m/>
    <n v="0"/>
    <m/>
    <n v="0"/>
    <m/>
    <n v="0"/>
    <m/>
    <m/>
    <m/>
    <m/>
    <n v="0"/>
    <m/>
    <n v="0"/>
    <m/>
    <n v="0"/>
    <m/>
    <n v="0"/>
    <m/>
    <n v="0"/>
    <m/>
    <m/>
    <m/>
    <m/>
    <n v="0"/>
    <n v="0"/>
    <n v="0"/>
    <n v="0"/>
    <n v="0"/>
    <n v="0"/>
    <n v="0"/>
    <n v="0"/>
    <n v="0"/>
    <m/>
    <n v="0"/>
    <n v="0"/>
    <m/>
    <m/>
    <x v="10"/>
    <x v="2"/>
  </r>
  <r>
    <n v="814"/>
    <x v="6"/>
    <x v="23"/>
    <s v="PSM costs"/>
    <x v="2"/>
    <m/>
    <m/>
    <m/>
    <m/>
    <m/>
    <m/>
    <m/>
    <m/>
    <m/>
    <s v="-"/>
    <n v="0"/>
    <s v="-"/>
    <n v="0"/>
    <s v="-"/>
    <n v="0"/>
    <s v="-"/>
    <n v="0"/>
    <m/>
    <n v="0"/>
    <m/>
    <m/>
    <m/>
    <m/>
    <n v="0"/>
    <m/>
    <n v="0"/>
    <m/>
    <n v="0"/>
    <m/>
    <n v="0"/>
    <m/>
    <n v="0"/>
    <m/>
    <m/>
    <m/>
    <m/>
    <n v="0"/>
    <m/>
    <n v="0"/>
    <m/>
    <n v="0"/>
    <m/>
    <n v="0"/>
    <m/>
    <n v="0"/>
    <m/>
    <m/>
    <m/>
    <m/>
    <n v="0"/>
    <n v="0"/>
    <n v="0"/>
    <n v="0"/>
    <n v="0"/>
    <n v="0"/>
    <n v="0"/>
    <n v="0"/>
    <n v="0"/>
    <m/>
    <n v="0"/>
    <n v="0"/>
    <m/>
    <m/>
    <x v="10"/>
    <x v="2"/>
  </r>
  <r>
    <n v="815"/>
    <x v="6"/>
    <x v="23"/>
    <s v="PSM costs"/>
    <x v="3"/>
    <m/>
    <m/>
    <m/>
    <m/>
    <m/>
    <m/>
    <m/>
    <m/>
    <m/>
    <s v="-"/>
    <n v="0"/>
    <s v="-"/>
    <n v="0"/>
    <s v="-"/>
    <n v="0"/>
    <s v="-"/>
    <n v="0"/>
    <m/>
    <n v="0"/>
    <m/>
    <m/>
    <m/>
    <m/>
    <n v="0"/>
    <m/>
    <n v="0"/>
    <m/>
    <n v="0"/>
    <m/>
    <n v="0"/>
    <m/>
    <n v="0"/>
    <m/>
    <m/>
    <m/>
    <m/>
    <n v="0"/>
    <m/>
    <n v="0"/>
    <m/>
    <n v="0"/>
    <m/>
    <n v="0"/>
    <m/>
    <n v="0"/>
    <m/>
    <m/>
    <m/>
    <m/>
    <n v="0"/>
    <n v="0"/>
    <n v="0"/>
    <n v="0"/>
    <n v="0"/>
    <n v="0"/>
    <n v="0"/>
    <n v="0"/>
    <n v="0"/>
    <m/>
    <n v="0"/>
    <n v="0"/>
    <m/>
    <m/>
    <x v="10"/>
    <x v="2"/>
  </r>
  <r>
    <n v="816"/>
    <x v="6"/>
    <x v="23"/>
    <s v="PSM costs"/>
    <x v="4"/>
    <m/>
    <m/>
    <m/>
    <m/>
    <m/>
    <m/>
    <m/>
    <m/>
    <m/>
    <s v="-"/>
    <n v="0"/>
    <s v="-"/>
    <n v="0"/>
    <s v="-"/>
    <n v="0"/>
    <s v="-"/>
    <n v="0"/>
    <m/>
    <n v="0"/>
    <m/>
    <m/>
    <m/>
    <m/>
    <n v="0"/>
    <m/>
    <n v="0"/>
    <m/>
    <n v="0"/>
    <m/>
    <n v="0"/>
    <m/>
    <n v="0"/>
    <m/>
    <m/>
    <m/>
    <m/>
    <n v="0"/>
    <m/>
    <n v="0"/>
    <m/>
    <n v="0"/>
    <m/>
    <n v="0"/>
    <m/>
    <n v="0"/>
    <m/>
    <m/>
    <m/>
    <m/>
    <n v="0"/>
    <n v="0"/>
    <n v="0"/>
    <n v="0"/>
    <n v="0"/>
    <n v="0"/>
    <n v="0"/>
    <n v="0"/>
    <n v="0"/>
    <m/>
    <n v="0"/>
    <n v="0"/>
    <m/>
    <m/>
    <x v="10"/>
    <x v="2"/>
  </r>
  <r>
    <n v="817"/>
    <x v="6"/>
    <x v="23"/>
    <s v="PSM costs"/>
    <x v="5"/>
    <m/>
    <m/>
    <m/>
    <m/>
    <m/>
    <m/>
    <m/>
    <m/>
    <m/>
    <s v="-"/>
    <n v="0"/>
    <s v="-"/>
    <n v="0"/>
    <s v="-"/>
    <n v="0"/>
    <s v="-"/>
    <n v="0"/>
    <m/>
    <n v="0"/>
    <m/>
    <m/>
    <m/>
    <m/>
    <n v="0"/>
    <m/>
    <n v="0"/>
    <m/>
    <n v="0"/>
    <m/>
    <n v="0"/>
    <m/>
    <n v="0"/>
    <m/>
    <m/>
    <m/>
    <m/>
    <n v="0"/>
    <m/>
    <n v="0"/>
    <m/>
    <n v="0"/>
    <m/>
    <n v="0"/>
    <m/>
    <n v="0"/>
    <m/>
    <m/>
    <m/>
    <m/>
    <n v="0"/>
    <n v="0"/>
    <n v="0"/>
    <n v="0"/>
    <n v="0"/>
    <n v="0"/>
    <n v="0"/>
    <n v="0"/>
    <n v="0"/>
    <m/>
    <n v="0"/>
    <n v="0"/>
    <m/>
    <m/>
    <x v="10"/>
    <x v="2"/>
  </r>
  <r>
    <n v="818"/>
    <x v="6"/>
    <x v="23"/>
    <s v="PSM costs"/>
    <x v="6"/>
    <m/>
    <m/>
    <m/>
    <m/>
    <m/>
    <m/>
    <m/>
    <m/>
    <m/>
    <s v="-"/>
    <n v="0"/>
    <s v="-"/>
    <n v="0"/>
    <s v="-"/>
    <n v="0"/>
    <s v="-"/>
    <n v="0"/>
    <m/>
    <n v="0"/>
    <m/>
    <m/>
    <m/>
    <m/>
    <n v="0"/>
    <m/>
    <n v="0"/>
    <m/>
    <n v="0"/>
    <m/>
    <n v="0"/>
    <m/>
    <n v="0"/>
    <m/>
    <m/>
    <m/>
    <m/>
    <n v="0"/>
    <m/>
    <n v="0"/>
    <m/>
    <n v="0"/>
    <m/>
    <n v="0"/>
    <m/>
    <n v="0"/>
    <m/>
    <m/>
    <m/>
    <m/>
    <n v="0"/>
    <n v="0"/>
    <n v="0"/>
    <n v="0"/>
    <n v="0"/>
    <n v="0"/>
    <n v="0"/>
    <n v="0"/>
    <n v="0"/>
    <m/>
    <n v="0"/>
    <n v="0"/>
    <m/>
    <m/>
    <x v="10"/>
    <x v="2"/>
  </r>
  <r>
    <n v="819"/>
    <x v="6"/>
    <x v="23"/>
    <s v="PSM costs"/>
    <x v="7"/>
    <m/>
    <m/>
    <m/>
    <m/>
    <m/>
    <m/>
    <m/>
    <m/>
    <m/>
    <s v="-"/>
    <n v="0"/>
    <s v="-"/>
    <n v="0"/>
    <s v="-"/>
    <n v="0"/>
    <s v="-"/>
    <n v="0"/>
    <m/>
    <n v="0"/>
    <m/>
    <m/>
    <m/>
    <m/>
    <n v="0"/>
    <m/>
    <n v="0"/>
    <m/>
    <n v="0"/>
    <m/>
    <n v="0"/>
    <m/>
    <n v="0"/>
    <m/>
    <m/>
    <m/>
    <m/>
    <n v="0"/>
    <m/>
    <n v="0"/>
    <m/>
    <n v="0"/>
    <m/>
    <n v="0"/>
    <m/>
    <n v="0"/>
    <m/>
    <m/>
    <m/>
    <m/>
    <n v="0"/>
    <n v="0"/>
    <n v="0"/>
    <n v="0"/>
    <n v="0"/>
    <n v="0"/>
    <n v="0"/>
    <n v="0"/>
    <n v="0"/>
    <m/>
    <n v="0"/>
    <n v="0"/>
    <m/>
    <m/>
    <x v="10"/>
    <x v="2"/>
  </r>
  <r>
    <n v="821"/>
    <x v="6"/>
    <x v="24"/>
    <s v="Procurement of RDTs to diagnose HIV, co-infections, and co-morbidities"/>
    <x v="11"/>
    <m/>
    <m/>
    <m/>
    <m/>
    <m/>
    <m/>
    <m/>
    <m/>
    <m/>
    <s v="-"/>
    <n v="0"/>
    <s v="-"/>
    <n v="96534.396599999993"/>
    <s v="-"/>
    <n v="0"/>
    <s v="-"/>
    <n v="0"/>
    <m/>
    <n v="96534.396599999993"/>
    <m/>
    <m/>
    <m/>
    <m/>
    <n v="0"/>
    <m/>
    <n v="100698.50429100002"/>
    <m/>
    <n v="0"/>
    <m/>
    <n v="0"/>
    <m/>
    <n v="100698.50429100002"/>
    <m/>
    <m/>
    <m/>
    <m/>
    <n v="0"/>
    <m/>
    <n v="107223.984681"/>
    <m/>
    <n v="0"/>
    <m/>
    <n v="0"/>
    <m/>
    <n v="107223.984681"/>
    <m/>
    <m/>
    <m/>
    <m/>
    <n v="0"/>
    <n v="0"/>
    <n v="0"/>
    <n v="0"/>
    <n v="0"/>
    <n v="0"/>
    <n v="0"/>
    <n v="0"/>
    <n v="0"/>
    <m/>
    <n v="0"/>
    <n v="304456.885572"/>
    <m/>
    <s v="El 80% de mujeres embarazadas acuden al MINSAL, para la prevención de la transmisión materno infantil del VIH y la sífilis congénita. Se cubrira el 80% del primer perfil prenatal  de las embarazadas, antes de las 12 semanas de gestaciòn y sus respectivas  pruebas de confirmación  para VIH."/>
    <x v="10"/>
    <x v="2"/>
  </r>
  <r>
    <n v="822"/>
    <x v="6"/>
    <x v="24"/>
    <s v="PSM costs"/>
    <x v="1"/>
    <m/>
    <m/>
    <m/>
    <m/>
    <m/>
    <m/>
    <m/>
    <m/>
    <m/>
    <s v="-"/>
    <n v="0"/>
    <s v="-"/>
    <n v="5792.0637959999995"/>
    <s v="-"/>
    <n v="0"/>
    <s v="-"/>
    <n v="0"/>
    <m/>
    <n v="5792.0637959999995"/>
    <m/>
    <m/>
    <m/>
    <m/>
    <n v="0"/>
    <m/>
    <n v="6041.9102574599992"/>
    <m/>
    <n v="0"/>
    <m/>
    <n v="0"/>
    <m/>
    <n v="6041.9102574599992"/>
    <m/>
    <m/>
    <m/>
    <m/>
    <n v="0"/>
    <m/>
    <n v="6433.4390808600001"/>
    <m/>
    <n v="0"/>
    <m/>
    <n v="0"/>
    <m/>
    <n v="6433.4390808600001"/>
    <m/>
    <m/>
    <m/>
    <m/>
    <n v="0"/>
    <n v="0"/>
    <n v="0"/>
    <n v="0"/>
    <n v="0"/>
    <n v="0"/>
    <n v="0"/>
    <n v="0"/>
    <n v="0"/>
    <m/>
    <n v="0"/>
    <n v="18267.413134319999"/>
    <m/>
    <s v="El porcentaje estimado para el GAS es del 6% en relación al costo de la intervención"/>
    <x v="10"/>
    <x v="2"/>
  </r>
  <r>
    <n v="823"/>
    <x v="6"/>
    <x v="24"/>
    <s v="PSM costs"/>
    <x v="2"/>
    <m/>
    <m/>
    <m/>
    <m/>
    <m/>
    <m/>
    <m/>
    <m/>
    <m/>
    <s v="-"/>
    <n v="0"/>
    <s v="-"/>
    <n v="9.65343966E-12"/>
    <s v="-"/>
    <n v="0"/>
    <s v="-"/>
    <n v="0"/>
    <m/>
    <n v="9.65343966E-12"/>
    <m/>
    <m/>
    <m/>
    <m/>
    <n v="0"/>
    <m/>
    <n v="1.00698504291E-11"/>
    <m/>
    <n v="0"/>
    <m/>
    <n v="0"/>
    <m/>
    <n v="1.00698504291E-11"/>
    <m/>
    <m/>
    <m/>
    <m/>
    <n v="0"/>
    <m/>
    <n v="1.0722398468100001E-11"/>
    <m/>
    <n v="0"/>
    <m/>
    <n v="0"/>
    <m/>
    <n v="1.0722398468100001E-11"/>
    <m/>
    <m/>
    <m/>
    <m/>
    <n v="0"/>
    <n v="0"/>
    <n v="0"/>
    <n v="0"/>
    <n v="0"/>
    <n v="0"/>
    <n v="0"/>
    <n v="0"/>
    <n v="0"/>
    <m/>
    <n v="0"/>
    <n v="3.0445688557200003E-11"/>
    <m/>
    <m/>
    <x v="10"/>
    <x v="2"/>
  </r>
  <r>
    <n v="824"/>
    <x v="6"/>
    <x v="24"/>
    <s v="PSM costs"/>
    <x v="3"/>
    <m/>
    <m/>
    <m/>
    <m/>
    <m/>
    <m/>
    <m/>
    <m/>
    <m/>
    <s v="-"/>
    <n v="0"/>
    <s v="-"/>
    <n v="0"/>
    <s v="-"/>
    <n v="0"/>
    <s v="-"/>
    <n v="0"/>
    <m/>
    <n v="0"/>
    <m/>
    <m/>
    <m/>
    <m/>
    <n v="0"/>
    <m/>
    <n v="0"/>
    <m/>
    <n v="0"/>
    <m/>
    <n v="0"/>
    <m/>
    <n v="0"/>
    <m/>
    <m/>
    <m/>
    <m/>
    <n v="0"/>
    <m/>
    <n v="0"/>
    <m/>
    <n v="0"/>
    <m/>
    <n v="0"/>
    <m/>
    <n v="0"/>
    <m/>
    <m/>
    <m/>
    <m/>
    <n v="0"/>
    <n v="0"/>
    <n v="0"/>
    <n v="0"/>
    <n v="0"/>
    <n v="0"/>
    <n v="0"/>
    <n v="0"/>
    <n v="0"/>
    <m/>
    <n v="0"/>
    <n v="0"/>
    <m/>
    <m/>
    <x v="10"/>
    <x v="2"/>
  </r>
  <r>
    <n v="825"/>
    <x v="6"/>
    <x v="24"/>
    <s v="PSM costs"/>
    <x v="4"/>
    <m/>
    <m/>
    <m/>
    <m/>
    <m/>
    <m/>
    <m/>
    <m/>
    <m/>
    <s v="-"/>
    <n v="0"/>
    <s v="-"/>
    <n v="0"/>
    <s v="-"/>
    <n v="0"/>
    <s v="-"/>
    <n v="0"/>
    <m/>
    <n v="0"/>
    <m/>
    <m/>
    <m/>
    <m/>
    <n v="0"/>
    <m/>
    <n v="0"/>
    <m/>
    <n v="0"/>
    <m/>
    <n v="0"/>
    <m/>
    <n v="0"/>
    <m/>
    <m/>
    <m/>
    <m/>
    <n v="0"/>
    <m/>
    <n v="0"/>
    <m/>
    <n v="0"/>
    <m/>
    <n v="0"/>
    <m/>
    <n v="0"/>
    <m/>
    <m/>
    <m/>
    <m/>
    <n v="0"/>
    <n v="0"/>
    <n v="0"/>
    <n v="0"/>
    <n v="0"/>
    <n v="0"/>
    <n v="0"/>
    <n v="0"/>
    <n v="0"/>
    <m/>
    <n v="0"/>
    <n v="0"/>
    <m/>
    <m/>
    <x v="10"/>
    <x v="2"/>
  </r>
  <r>
    <n v="826"/>
    <x v="6"/>
    <x v="24"/>
    <s v="PSM costs"/>
    <x v="5"/>
    <m/>
    <m/>
    <m/>
    <m/>
    <m/>
    <m/>
    <m/>
    <m/>
    <m/>
    <s v="-"/>
    <n v="0"/>
    <s v="-"/>
    <n v="0"/>
    <s v="-"/>
    <n v="0"/>
    <s v="-"/>
    <n v="0"/>
    <m/>
    <n v="0"/>
    <m/>
    <m/>
    <m/>
    <m/>
    <n v="0"/>
    <m/>
    <n v="0"/>
    <m/>
    <n v="0"/>
    <m/>
    <n v="0"/>
    <m/>
    <n v="0"/>
    <m/>
    <m/>
    <m/>
    <m/>
    <n v="0"/>
    <m/>
    <n v="0"/>
    <m/>
    <n v="0"/>
    <m/>
    <n v="0"/>
    <m/>
    <n v="0"/>
    <m/>
    <m/>
    <m/>
    <m/>
    <n v="0"/>
    <n v="0"/>
    <n v="0"/>
    <n v="0"/>
    <n v="0"/>
    <n v="0"/>
    <n v="0"/>
    <n v="0"/>
    <n v="0"/>
    <m/>
    <n v="0"/>
    <n v="0"/>
    <m/>
    <m/>
    <x v="10"/>
    <x v="2"/>
  </r>
  <r>
    <n v="827"/>
    <x v="6"/>
    <x v="24"/>
    <s v="PSM costs"/>
    <x v="6"/>
    <m/>
    <m/>
    <m/>
    <m/>
    <m/>
    <m/>
    <m/>
    <m/>
    <m/>
    <s v="-"/>
    <n v="0"/>
    <s v="-"/>
    <n v="0"/>
    <s v="-"/>
    <n v="0"/>
    <s v="-"/>
    <n v="0"/>
    <m/>
    <n v="0"/>
    <m/>
    <m/>
    <m/>
    <m/>
    <n v="0"/>
    <m/>
    <n v="0"/>
    <m/>
    <n v="0"/>
    <m/>
    <n v="0"/>
    <m/>
    <n v="0"/>
    <m/>
    <m/>
    <m/>
    <m/>
    <n v="0"/>
    <m/>
    <n v="0"/>
    <m/>
    <n v="0"/>
    <m/>
    <n v="0"/>
    <m/>
    <n v="0"/>
    <m/>
    <m/>
    <m/>
    <m/>
    <n v="0"/>
    <n v="0"/>
    <n v="0"/>
    <n v="0"/>
    <n v="0"/>
    <n v="0"/>
    <n v="0"/>
    <n v="0"/>
    <n v="0"/>
    <m/>
    <n v="0"/>
    <n v="0"/>
    <m/>
    <m/>
    <x v="10"/>
    <x v="2"/>
  </r>
  <r>
    <n v="828"/>
    <x v="6"/>
    <x v="24"/>
    <s v="PSM costs"/>
    <x v="7"/>
    <m/>
    <m/>
    <m/>
    <m/>
    <m/>
    <m/>
    <m/>
    <m/>
    <m/>
    <s v="-"/>
    <n v="0"/>
    <s v="-"/>
    <n v="0"/>
    <s v="-"/>
    <n v="0"/>
    <s v="-"/>
    <n v="0"/>
    <m/>
    <n v="0"/>
    <m/>
    <m/>
    <m/>
    <m/>
    <n v="0"/>
    <m/>
    <n v="0"/>
    <m/>
    <n v="0"/>
    <m/>
    <n v="0"/>
    <m/>
    <n v="0"/>
    <m/>
    <m/>
    <m/>
    <m/>
    <n v="0"/>
    <m/>
    <n v="0"/>
    <m/>
    <n v="0"/>
    <m/>
    <n v="0"/>
    <m/>
    <n v="0"/>
    <m/>
    <m/>
    <m/>
    <m/>
    <n v="0"/>
    <n v="0"/>
    <n v="0"/>
    <n v="0"/>
    <n v="0"/>
    <n v="0"/>
    <n v="0"/>
    <n v="0"/>
    <n v="0"/>
    <m/>
    <n v="0"/>
    <n v="0"/>
    <m/>
    <m/>
    <x v="10"/>
    <x v="2"/>
  </r>
  <r>
    <n v="840"/>
    <x v="7"/>
    <x v="25"/>
    <s v="Procurement of RDTs to diagnose HIV, co-infections, and co-morbidities for Men who have sex with men"/>
    <x v="11"/>
    <m/>
    <m/>
    <m/>
    <m/>
    <m/>
    <m/>
    <m/>
    <m/>
    <m/>
    <s v="-"/>
    <n v="0"/>
    <s v="-"/>
    <n v="35980.321041315001"/>
    <s v="-"/>
    <n v="0"/>
    <s v="-"/>
    <n v="0"/>
    <m/>
    <n v="35980.321041315001"/>
    <m/>
    <m/>
    <m/>
    <m/>
    <n v="0"/>
    <m/>
    <n v="37640.942865141005"/>
    <m/>
    <n v="0"/>
    <m/>
    <n v="0"/>
    <m/>
    <n v="37640.942865141005"/>
    <m/>
    <m/>
    <m/>
    <m/>
    <n v="0"/>
    <m/>
    <n v="40047.613783716006"/>
    <m/>
    <n v="0"/>
    <m/>
    <n v="0"/>
    <m/>
    <n v="40047.613783716006"/>
    <m/>
    <m/>
    <m/>
    <m/>
    <n v="0"/>
    <n v="0"/>
    <n v="0"/>
    <n v="0"/>
    <n v="0"/>
    <n v="0"/>
    <n v="0"/>
    <n v="0"/>
    <n v="0"/>
    <m/>
    <n v="0"/>
    <n v="113668.87769017203"/>
    <m/>
    <s v="En la atencion integral de las ITS, se hará vigilancia  de las Hepatitis B y C, teniendo en cuenta los servicios de salud especializados en población clave a nivel nacional  e intervenciones en la población HSH con servicios de salud sexual y atención integral de las ITS, con manejo de casos clínicos y sindrómicos de pacientes con síntomas de ITS, se ha considerado importante el diagnóstico etiológico de las ITS provocadas por diferentes agentes, entre estos: Neisseria, clamidias, Herpes Virus, Virus de papiloma humano, por lo que se solicita el apoyo para la adquisición de pruebas para estos agentes "/>
    <x v="1"/>
    <x v="2"/>
  </r>
  <r>
    <n v="841"/>
    <x v="7"/>
    <x v="25"/>
    <s v="PSM costs for Men who have sex with men"/>
    <x v="1"/>
    <m/>
    <m/>
    <m/>
    <m/>
    <m/>
    <m/>
    <m/>
    <m/>
    <m/>
    <s v="-"/>
    <n v="0"/>
    <s v="-"/>
    <n v="2158.8192624788999"/>
    <s v="-"/>
    <n v="0"/>
    <s v="-"/>
    <n v="0"/>
    <m/>
    <n v="2158.8192624788999"/>
    <m/>
    <m/>
    <m/>
    <m/>
    <n v="0"/>
    <m/>
    <n v="2258.4565719084603"/>
    <m/>
    <n v="0"/>
    <m/>
    <n v="0"/>
    <m/>
    <n v="2258.4565719084603"/>
    <m/>
    <m/>
    <m/>
    <m/>
    <n v="0"/>
    <m/>
    <n v="2402.8568270229603"/>
    <m/>
    <n v="0"/>
    <m/>
    <n v="0"/>
    <m/>
    <n v="2402.8568270229603"/>
    <m/>
    <m/>
    <m/>
    <m/>
    <n v="0"/>
    <n v="0"/>
    <n v="0"/>
    <n v="0"/>
    <n v="0"/>
    <n v="0"/>
    <n v="0"/>
    <n v="0"/>
    <n v="0"/>
    <m/>
    <n v="0"/>
    <n v="6820.1326614103209"/>
    <m/>
    <s v="El porcentaje estimado para el GAS es del 6% en relación al costo de la intervención"/>
    <x v="1"/>
    <x v="2"/>
  </r>
  <r>
    <n v="842"/>
    <x v="7"/>
    <x v="25"/>
    <s v="PSM costs for Men who have sex with men"/>
    <x v="2"/>
    <m/>
    <m/>
    <m/>
    <m/>
    <m/>
    <m/>
    <m/>
    <m/>
    <m/>
    <s v="-"/>
    <n v="0"/>
    <s v="-"/>
    <n v="3.5980321041314995E-12"/>
    <s v="-"/>
    <n v="0"/>
    <s v="-"/>
    <n v="0"/>
    <m/>
    <n v="3.5980321041314995E-12"/>
    <m/>
    <m/>
    <m/>
    <m/>
    <n v="0"/>
    <m/>
    <n v="3.7640942865140997E-12"/>
    <m/>
    <n v="0"/>
    <m/>
    <n v="0"/>
    <m/>
    <n v="3.7640942865140997E-12"/>
    <m/>
    <m/>
    <m/>
    <m/>
    <n v="0"/>
    <m/>
    <n v="4.0047613783715999E-12"/>
    <m/>
    <n v="0"/>
    <m/>
    <n v="0"/>
    <m/>
    <n v="4.0047613783715999E-12"/>
    <m/>
    <m/>
    <m/>
    <m/>
    <n v="0"/>
    <n v="0"/>
    <n v="0"/>
    <n v="0"/>
    <n v="0"/>
    <n v="0"/>
    <n v="0"/>
    <n v="0"/>
    <n v="0"/>
    <m/>
    <n v="0"/>
    <n v="1.1366887769017199E-11"/>
    <m/>
    <m/>
    <x v="1"/>
    <x v="2"/>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x v="1"/>
    <x v="2"/>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x v="1"/>
    <x v="2"/>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x v="1"/>
    <x v="2"/>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x v="1"/>
    <x v="2"/>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x v="1"/>
    <x v="2"/>
  </r>
  <r>
    <n v="848"/>
    <x v="7"/>
    <x v="26"/>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49"/>
    <x v="7"/>
    <x v="26"/>
    <s v="PSM costs for Men who have sex with men"/>
    <x v="1"/>
    <m/>
    <m/>
    <m/>
    <m/>
    <m/>
    <m/>
    <m/>
    <m/>
    <m/>
    <s v="-"/>
    <n v="0"/>
    <s v="-"/>
    <n v="0"/>
    <s v="-"/>
    <n v="0"/>
    <s v="-"/>
    <n v="0"/>
    <m/>
    <n v="0"/>
    <m/>
    <m/>
    <m/>
    <m/>
    <n v="0"/>
    <m/>
    <n v="0"/>
    <m/>
    <n v="0"/>
    <m/>
    <n v="0"/>
    <m/>
    <n v="0"/>
    <m/>
    <m/>
    <m/>
    <m/>
    <n v="0"/>
    <m/>
    <n v="0"/>
    <m/>
    <n v="0"/>
    <m/>
    <n v="0"/>
    <m/>
    <n v="0"/>
    <m/>
    <m/>
    <m/>
    <m/>
    <n v="0"/>
    <n v="0"/>
    <n v="0"/>
    <n v="0"/>
    <n v="0"/>
    <n v="0"/>
    <n v="0"/>
    <n v="0"/>
    <n v="0"/>
    <m/>
    <n v="0"/>
    <n v="0"/>
    <m/>
    <m/>
    <x v="1"/>
    <x v="2"/>
  </r>
  <r>
    <n v="850"/>
    <x v="7"/>
    <x v="26"/>
    <s v="PSM costs for Men who have sex with men"/>
    <x v="2"/>
    <m/>
    <m/>
    <m/>
    <m/>
    <m/>
    <m/>
    <m/>
    <m/>
    <m/>
    <s v="-"/>
    <n v="0"/>
    <s v="-"/>
    <n v="0"/>
    <s v="-"/>
    <n v="0"/>
    <s v="-"/>
    <n v="0"/>
    <m/>
    <n v="0"/>
    <m/>
    <m/>
    <m/>
    <m/>
    <n v="0"/>
    <m/>
    <n v="0"/>
    <m/>
    <n v="0"/>
    <m/>
    <n v="0"/>
    <m/>
    <n v="0"/>
    <m/>
    <m/>
    <m/>
    <m/>
    <n v="0"/>
    <m/>
    <n v="0"/>
    <m/>
    <n v="0"/>
    <m/>
    <n v="0"/>
    <m/>
    <n v="0"/>
    <m/>
    <m/>
    <m/>
    <m/>
    <n v="0"/>
    <n v="0"/>
    <n v="0"/>
    <n v="0"/>
    <n v="0"/>
    <n v="0"/>
    <n v="0"/>
    <n v="0"/>
    <n v="0"/>
    <m/>
    <n v="0"/>
    <n v="0"/>
    <m/>
    <m/>
    <x v="1"/>
    <x v="2"/>
  </r>
  <r>
    <n v="851"/>
    <x v="7"/>
    <x v="26"/>
    <s v="PSM costs for Men who have sex with men"/>
    <x v="3"/>
    <m/>
    <m/>
    <m/>
    <m/>
    <m/>
    <m/>
    <m/>
    <m/>
    <m/>
    <s v="-"/>
    <n v="0"/>
    <s v="-"/>
    <n v="0"/>
    <s v="-"/>
    <n v="0"/>
    <s v="-"/>
    <n v="0"/>
    <m/>
    <n v="0"/>
    <m/>
    <m/>
    <m/>
    <m/>
    <n v="0"/>
    <m/>
    <n v="0"/>
    <m/>
    <n v="0"/>
    <m/>
    <n v="0"/>
    <m/>
    <n v="0"/>
    <m/>
    <m/>
    <m/>
    <m/>
    <n v="0"/>
    <m/>
    <n v="0"/>
    <m/>
    <n v="0"/>
    <m/>
    <n v="0"/>
    <m/>
    <n v="0"/>
    <m/>
    <m/>
    <m/>
    <m/>
    <n v="0"/>
    <n v="0"/>
    <n v="0"/>
    <n v="0"/>
    <n v="0"/>
    <n v="0"/>
    <n v="0"/>
    <n v="0"/>
    <n v="0"/>
    <m/>
    <n v="0"/>
    <n v="0"/>
    <m/>
    <m/>
    <x v="1"/>
    <x v="2"/>
  </r>
  <r>
    <n v="852"/>
    <x v="7"/>
    <x v="26"/>
    <s v="PSM costs for Men who have sex with men"/>
    <x v="4"/>
    <m/>
    <m/>
    <m/>
    <m/>
    <m/>
    <m/>
    <m/>
    <m/>
    <m/>
    <s v="-"/>
    <n v="0"/>
    <s v="-"/>
    <n v="0"/>
    <s v="-"/>
    <n v="0"/>
    <s v="-"/>
    <n v="0"/>
    <m/>
    <n v="0"/>
    <m/>
    <m/>
    <m/>
    <m/>
    <n v="0"/>
    <m/>
    <n v="0"/>
    <m/>
    <n v="0"/>
    <m/>
    <n v="0"/>
    <m/>
    <n v="0"/>
    <m/>
    <m/>
    <m/>
    <m/>
    <n v="0"/>
    <m/>
    <n v="0"/>
    <m/>
    <n v="0"/>
    <m/>
    <n v="0"/>
    <m/>
    <n v="0"/>
    <m/>
    <m/>
    <m/>
    <m/>
    <n v="0"/>
    <n v="0"/>
    <n v="0"/>
    <n v="0"/>
    <n v="0"/>
    <n v="0"/>
    <n v="0"/>
    <n v="0"/>
    <n v="0"/>
    <m/>
    <n v="0"/>
    <n v="0"/>
    <m/>
    <m/>
    <x v="1"/>
    <x v="2"/>
  </r>
  <r>
    <n v="853"/>
    <x v="7"/>
    <x v="26"/>
    <s v="PSM costs for Men who have sex with men"/>
    <x v="5"/>
    <m/>
    <m/>
    <m/>
    <m/>
    <m/>
    <m/>
    <m/>
    <m/>
    <m/>
    <s v="-"/>
    <n v="0"/>
    <s v="-"/>
    <n v="0"/>
    <s v="-"/>
    <n v="0"/>
    <s v="-"/>
    <n v="0"/>
    <m/>
    <n v="0"/>
    <m/>
    <m/>
    <m/>
    <m/>
    <n v="0"/>
    <m/>
    <n v="0"/>
    <m/>
    <n v="0"/>
    <m/>
    <n v="0"/>
    <m/>
    <n v="0"/>
    <m/>
    <m/>
    <m/>
    <m/>
    <n v="0"/>
    <m/>
    <n v="0"/>
    <m/>
    <n v="0"/>
    <m/>
    <n v="0"/>
    <m/>
    <n v="0"/>
    <m/>
    <m/>
    <m/>
    <m/>
    <n v="0"/>
    <n v="0"/>
    <n v="0"/>
    <n v="0"/>
    <n v="0"/>
    <n v="0"/>
    <n v="0"/>
    <n v="0"/>
    <n v="0"/>
    <m/>
    <n v="0"/>
    <n v="0"/>
    <m/>
    <m/>
    <x v="1"/>
    <x v="2"/>
  </r>
  <r>
    <n v="854"/>
    <x v="7"/>
    <x v="26"/>
    <s v="PSM costs for Men who have sex with men"/>
    <x v="6"/>
    <m/>
    <m/>
    <m/>
    <m/>
    <m/>
    <m/>
    <m/>
    <m/>
    <m/>
    <s v="-"/>
    <n v="0"/>
    <s v="-"/>
    <n v="0"/>
    <s v="-"/>
    <n v="0"/>
    <s v="-"/>
    <n v="0"/>
    <m/>
    <n v="0"/>
    <m/>
    <m/>
    <m/>
    <m/>
    <n v="0"/>
    <m/>
    <n v="0"/>
    <m/>
    <n v="0"/>
    <m/>
    <n v="0"/>
    <m/>
    <n v="0"/>
    <m/>
    <m/>
    <m/>
    <m/>
    <n v="0"/>
    <m/>
    <n v="0"/>
    <m/>
    <n v="0"/>
    <m/>
    <n v="0"/>
    <m/>
    <n v="0"/>
    <m/>
    <m/>
    <m/>
    <m/>
    <n v="0"/>
    <n v="0"/>
    <n v="0"/>
    <n v="0"/>
    <n v="0"/>
    <n v="0"/>
    <n v="0"/>
    <n v="0"/>
    <n v="0"/>
    <m/>
    <n v="0"/>
    <n v="0"/>
    <m/>
    <m/>
    <x v="1"/>
    <x v="2"/>
  </r>
  <r>
    <n v="855"/>
    <x v="7"/>
    <x v="26"/>
    <s v="PSM costs for Men who have sex with men"/>
    <x v="7"/>
    <m/>
    <m/>
    <m/>
    <m/>
    <m/>
    <m/>
    <m/>
    <m/>
    <m/>
    <s v="-"/>
    <n v="0"/>
    <s v="-"/>
    <n v="0"/>
    <s v="-"/>
    <n v="0"/>
    <s v="-"/>
    <n v="0"/>
    <m/>
    <n v="0"/>
    <m/>
    <m/>
    <m/>
    <m/>
    <n v="0"/>
    <m/>
    <n v="0"/>
    <m/>
    <n v="0"/>
    <m/>
    <n v="0"/>
    <m/>
    <n v="0"/>
    <m/>
    <m/>
    <m/>
    <m/>
    <n v="0"/>
    <m/>
    <n v="0"/>
    <m/>
    <n v="0"/>
    <m/>
    <n v="0"/>
    <m/>
    <n v="0"/>
    <m/>
    <m/>
    <m/>
    <m/>
    <n v="0"/>
    <n v="0"/>
    <n v="0"/>
    <n v="0"/>
    <n v="0"/>
    <n v="0"/>
    <n v="0"/>
    <n v="0"/>
    <n v="0"/>
    <m/>
    <n v="0"/>
    <n v="0"/>
    <m/>
    <m/>
    <x v="1"/>
    <x v="2"/>
  </r>
  <r>
    <n v="856"/>
    <x v="7"/>
    <x v="27"/>
    <s v="Procurement of RDTs to diagnose HIV, co-infections, and co-morbidities for Men who have sex with men"/>
    <x v="11"/>
    <m/>
    <m/>
    <m/>
    <m/>
    <m/>
    <m/>
    <m/>
    <m/>
    <m/>
    <s v="-"/>
    <n v="0"/>
    <s v="-"/>
    <n v="6878.9059286849997"/>
    <s v="-"/>
    <n v="0"/>
    <s v="-"/>
    <n v="0"/>
    <m/>
    <n v="6878.9059286849997"/>
    <m/>
    <m/>
    <m/>
    <m/>
    <n v="0"/>
    <m/>
    <n v="7196.392292859"/>
    <m/>
    <n v="0"/>
    <m/>
    <n v="0"/>
    <m/>
    <n v="7196.392292859"/>
    <m/>
    <m/>
    <m/>
    <m/>
    <n v="0"/>
    <m/>
    <n v="7656.5122242840016"/>
    <m/>
    <n v="0"/>
    <m/>
    <n v="0"/>
    <m/>
    <n v="7656.5122242840016"/>
    <m/>
    <m/>
    <m/>
    <m/>
    <n v="0"/>
    <n v="0"/>
    <n v="0"/>
    <n v="0"/>
    <n v="0"/>
    <n v="0"/>
    <n v="0"/>
    <n v="0"/>
    <n v="0"/>
    <m/>
    <n v="0"/>
    <n v="21731.810445828"/>
    <m/>
    <m/>
    <x v="1"/>
    <x v="2"/>
  </r>
  <r>
    <n v="857"/>
    <x v="7"/>
    <x v="27"/>
    <s v="PSM costs for Men who have sex with men"/>
    <x v="1"/>
    <m/>
    <m/>
    <m/>
    <m/>
    <m/>
    <m/>
    <m/>
    <m/>
    <m/>
    <s v="-"/>
    <n v="0"/>
    <s v="-"/>
    <n v="412.73435572109997"/>
    <s v="-"/>
    <n v="0"/>
    <s v="-"/>
    <n v="0"/>
    <m/>
    <n v="412.73435572109997"/>
    <m/>
    <m/>
    <m/>
    <m/>
    <n v="0"/>
    <m/>
    <n v="431.78353757154002"/>
    <m/>
    <n v="0"/>
    <m/>
    <n v="0"/>
    <m/>
    <n v="431.78353757154002"/>
    <m/>
    <m/>
    <m/>
    <m/>
    <n v="0"/>
    <m/>
    <n v="459.39073345704003"/>
    <m/>
    <n v="0"/>
    <m/>
    <n v="0"/>
    <m/>
    <n v="459.39073345704003"/>
    <m/>
    <m/>
    <m/>
    <m/>
    <n v="0"/>
    <n v="0"/>
    <n v="0"/>
    <n v="0"/>
    <n v="0"/>
    <n v="0"/>
    <n v="0"/>
    <n v="0"/>
    <n v="0"/>
    <m/>
    <n v="0"/>
    <n v="1303.90862674968"/>
    <m/>
    <s v="El porcentaje estimado para el GAS es del 6% en relación al costo de la intervención"/>
    <x v="1"/>
    <x v="2"/>
  </r>
  <r>
    <n v="858"/>
    <x v="7"/>
    <x v="27"/>
    <s v="PSM costs for Men who have sex with men"/>
    <x v="2"/>
    <m/>
    <m/>
    <m/>
    <m/>
    <m/>
    <m/>
    <m/>
    <m/>
    <m/>
    <s v="-"/>
    <n v="0"/>
    <s v="-"/>
    <n v="6.8789059286849986E-13"/>
    <s v="-"/>
    <n v="0"/>
    <s v="-"/>
    <n v="0"/>
    <m/>
    <n v="6.8789059286849986E-13"/>
    <m/>
    <m/>
    <m/>
    <m/>
    <n v="0"/>
    <m/>
    <n v="7.1963922928590004E-13"/>
    <m/>
    <n v="0"/>
    <m/>
    <n v="0"/>
    <m/>
    <n v="7.1963922928590004E-13"/>
    <m/>
    <m/>
    <m/>
    <m/>
    <n v="0"/>
    <m/>
    <n v="7.6565122242839996E-13"/>
    <m/>
    <n v="0"/>
    <m/>
    <n v="0"/>
    <m/>
    <n v="7.6565122242839996E-13"/>
    <m/>
    <m/>
    <m/>
    <m/>
    <n v="0"/>
    <n v="0"/>
    <n v="0"/>
    <n v="0"/>
    <n v="0"/>
    <n v="0"/>
    <n v="0"/>
    <n v="0"/>
    <n v="0"/>
    <m/>
    <n v="0"/>
    <n v="2.1731810445827999E-12"/>
    <m/>
    <m/>
    <x v="1"/>
    <x v="2"/>
  </r>
  <r>
    <n v="859"/>
    <x v="7"/>
    <x v="27"/>
    <s v="PSM costs for Men who have sex with men"/>
    <x v="3"/>
    <m/>
    <m/>
    <m/>
    <m/>
    <m/>
    <m/>
    <m/>
    <m/>
    <m/>
    <s v="-"/>
    <n v="0"/>
    <s v="-"/>
    <n v="0"/>
    <s v="-"/>
    <n v="0"/>
    <s v="-"/>
    <n v="0"/>
    <m/>
    <n v="0"/>
    <m/>
    <m/>
    <m/>
    <m/>
    <n v="0"/>
    <m/>
    <n v="0"/>
    <m/>
    <n v="0"/>
    <m/>
    <n v="0"/>
    <m/>
    <n v="0"/>
    <m/>
    <m/>
    <m/>
    <m/>
    <n v="0"/>
    <m/>
    <n v="0"/>
    <m/>
    <n v="0"/>
    <m/>
    <n v="0"/>
    <m/>
    <n v="0"/>
    <m/>
    <m/>
    <m/>
    <m/>
    <n v="0"/>
    <n v="0"/>
    <n v="0"/>
    <n v="0"/>
    <n v="0"/>
    <n v="0"/>
    <n v="0"/>
    <n v="0"/>
    <n v="0"/>
    <m/>
    <n v="0"/>
    <n v="0"/>
    <m/>
    <m/>
    <x v="1"/>
    <x v="2"/>
  </r>
  <r>
    <n v="860"/>
    <x v="7"/>
    <x v="27"/>
    <s v="PSM costs for Men who have sex with men"/>
    <x v="4"/>
    <m/>
    <m/>
    <m/>
    <m/>
    <m/>
    <m/>
    <m/>
    <m/>
    <m/>
    <s v="-"/>
    <n v="0"/>
    <s v="-"/>
    <n v="0"/>
    <s v="-"/>
    <n v="0"/>
    <s v="-"/>
    <n v="0"/>
    <m/>
    <n v="0"/>
    <m/>
    <m/>
    <m/>
    <m/>
    <n v="0"/>
    <m/>
    <n v="0"/>
    <m/>
    <n v="0"/>
    <m/>
    <n v="0"/>
    <m/>
    <n v="0"/>
    <m/>
    <m/>
    <m/>
    <m/>
    <n v="0"/>
    <m/>
    <n v="0"/>
    <m/>
    <n v="0"/>
    <m/>
    <n v="0"/>
    <m/>
    <n v="0"/>
    <m/>
    <m/>
    <m/>
    <m/>
    <n v="0"/>
    <n v="0"/>
    <n v="0"/>
    <n v="0"/>
    <n v="0"/>
    <n v="0"/>
    <n v="0"/>
    <n v="0"/>
    <n v="0"/>
    <m/>
    <n v="0"/>
    <n v="0"/>
    <m/>
    <m/>
    <x v="1"/>
    <x v="2"/>
  </r>
  <r>
    <n v="861"/>
    <x v="7"/>
    <x v="27"/>
    <s v="PSM costs for Men who have sex with men"/>
    <x v="5"/>
    <m/>
    <m/>
    <m/>
    <m/>
    <m/>
    <m/>
    <m/>
    <m/>
    <m/>
    <s v="-"/>
    <n v="0"/>
    <s v="-"/>
    <n v="0"/>
    <s v="-"/>
    <n v="0"/>
    <s v="-"/>
    <n v="0"/>
    <m/>
    <n v="0"/>
    <m/>
    <m/>
    <m/>
    <m/>
    <n v="0"/>
    <m/>
    <n v="0"/>
    <m/>
    <n v="0"/>
    <m/>
    <n v="0"/>
    <m/>
    <n v="0"/>
    <m/>
    <m/>
    <m/>
    <m/>
    <n v="0"/>
    <m/>
    <n v="0"/>
    <m/>
    <n v="0"/>
    <m/>
    <n v="0"/>
    <m/>
    <n v="0"/>
    <m/>
    <m/>
    <m/>
    <m/>
    <n v="0"/>
    <n v="0"/>
    <n v="0"/>
    <n v="0"/>
    <n v="0"/>
    <n v="0"/>
    <n v="0"/>
    <n v="0"/>
    <n v="0"/>
    <m/>
    <n v="0"/>
    <n v="0"/>
    <m/>
    <m/>
    <x v="1"/>
    <x v="2"/>
  </r>
  <r>
    <n v="862"/>
    <x v="7"/>
    <x v="27"/>
    <s v="PSM costs for Men who have sex with men"/>
    <x v="6"/>
    <m/>
    <m/>
    <m/>
    <m/>
    <m/>
    <m/>
    <m/>
    <m/>
    <m/>
    <s v="-"/>
    <n v="0"/>
    <s v="-"/>
    <n v="0"/>
    <s v="-"/>
    <n v="0"/>
    <s v="-"/>
    <n v="0"/>
    <m/>
    <n v="0"/>
    <m/>
    <m/>
    <m/>
    <m/>
    <n v="0"/>
    <m/>
    <n v="0"/>
    <m/>
    <n v="0"/>
    <m/>
    <n v="0"/>
    <m/>
    <n v="0"/>
    <m/>
    <m/>
    <m/>
    <m/>
    <n v="0"/>
    <m/>
    <n v="0"/>
    <m/>
    <n v="0"/>
    <m/>
    <n v="0"/>
    <m/>
    <n v="0"/>
    <m/>
    <m/>
    <m/>
    <m/>
    <n v="0"/>
    <n v="0"/>
    <n v="0"/>
    <n v="0"/>
    <n v="0"/>
    <n v="0"/>
    <n v="0"/>
    <n v="0"/>
    <n v="0"/>
    <m/>
    <n v="0"/>
    <n v="0"/>
    <m/>
    <m/>
    <x v="1"/>
    <x v="2"/>
  </r>
  <r>
    <n v="863"/>
    <x v="7"/>
    <x v="27"/>
    <s v="PSM costs for Men who have sex with men"/>
    <x v="7"/>
    <m/>
    <m/>
    <m/>
    <m/>
    <m/>
    <m/>
    <m/>
    <m/>
    <m/>
    <s v="-"/>
    <n v="0"/>
    <s v="-"/>
    <n v="0"/>
    <s v="-"/>
    <n v="0"/>
    <s v="-"/>
    <n v="0"/>
    <m/>
    <n v="0"/>
    <m/>
    <m/>
    <m/>
    <m/>
    <n v="0"/>
    <m/>
    <n v="0"/>
    <m/>
    <n v="0"/>
    <m/>
    <n v="0"/>
    <m/>
    <n v="0"/>
    <m/>
    <m/>
    <m/>
    <m/>
    <n v="0"/>
    <m/>
    <n v="0"/>
    <m/>
    <n v="0"/>
    <m/>
    <n v="0"/>
    <m/>
    <n v="0"/>
    <m/>
    <m/>
    <m/>
    <m/>
    <n v="0"/>
    <n v="0"/>
    <n v="0"/>
    <n v="0"/>
    <n v="0"/>
    <n v="0"/>
    <n v="0"/>
    <n v="0"/>
    <n v="0"/>
    <m/>
    <n v="0"/>
    <n v="0"/>
    <m/>
    <m/>
    <x v="1"/>
    <x v="2"/>
  </r>
  <r>
    <n v="864"/>
    <x v="7"/>
    <x v="25"/>
    <s v="Procurement of RDTs to diagnose HIV, co-infections, and co-morbidities for Sex workers and their clients"/>
    <x v="11"/>
    <m/>
    <m/>
    <m/>
    <m/>
    <m/>
    <m/>
    <m/>
    <m/>
    <m/>
    <s v="-"/>
    <n v="0"/>
    <s v="-"/>
    <n v="10964.808730960001"/>
    <s v="-"/>
    <n v="0"/>
    <s v="-"/>
    <n v="0"/>
    <m/>
    <n v="10964.808730960001"/>
    <m/>
    <m/>
    <m/>
    <m/>
    <n v="0"/>
    <m/>
    <n v="11455.211050964803"/>
    <m/>
    <n v="0"/>
    <m/>
    <n v="0"/>
    <m/>
    <n v="11455.211050964803"/>
    <m/>
    <m/>
    <m/>
    <m/>
    <n v="0"/>
    <m/>
    <n v="12192.310801876802"/>
    <m/>
    <n v="0"/>
    <m/>
    <n v="0"/>
    <m/>
    <n v="12192.310801876802"/>
    <m/>
    <m/>
    <m/>
    <m/>
    <n v="0"/>
    <n v="0"/>
    <n v="0"/>
    <n v="0"/>
    <n v="0"/>
    <n v="0"/>
    <n v="0"/>
    <n v="0"/>
    <n v="0"/>
    <m/>
    <n v="0"/>
    <n v="34612.330583801609"/>
    <m/>
    <s v="En la atencion integral de las ITS, se hará vigilancia  de las Hepatitis B y C, teniendo en cuenta los servicios de salud especializados en población clave a nivel nacional  e intervenciones en la población en trabajadoras(es) sexuales y sus clientes  con servicios de salud sexual y atención integral de las ITS, con manejo de casos clínicos y sindrómicos de pacientes con síntomas de ITS, se ha considerado importante el diagnóstico etiológico de las ITS provocadas por diferentes agentes, entre estos: Neisseria, clamidias, Herpes Virus, Virus de papiloma humano, por lo que se solicita el apoyo para la adquisición de pruebas para estos agentes "/>
    <x v="2"/>
    <x v="2"/>
  </r>
  <r>
    <n v="865"/>
    <x v="7"/>
    <x v="25"/>
    <s v="PSM costs for Sex workers and their clients"/>
    <x v="1"/>
    <m/>
    <m/>
    <m/>
    <m/>
    <m/>
    <m/>
    <m/>
    <m/>
    <m/>
    <s v="-"/>
    <n v="0"/>
    <s v="-"/>
    <n v="657.88852385760003"/>
    <s v="-"/>
    <n v="0"/>
    <s v="-"/>
    <n v="0"/>
    <m/>
    <n v="657.88852385760003"/>
    <m/>
    <m/>
    <m/>
    <m/>
    <n v="0"/>
    <m/>
    <n v="687.31266305788813"/>
    <m/>
    <n v="0"/>
    <m/>
    <n v="0"/>
    <m/>
    <n v="687.31266305788813"/>
    <m/>
    <m/>
    <m/>
    <m/>
    <n v="0"/>
    <m/>
    <n v="731.53864811260814"/>
    <m/>
    <n v="0"/>
    <m/>
    <n v="0"/>
    <m/>
    <n v="731.53864811260814"/>
    <m/>
    <m/>
    <m/>
    <m/>
    <n v="0"/>
    <n v="0"/>
    <n v="0"/>
    <n v="0"/>
    <n v="0"/>
    <n v="0"/>
    <n v="0"/>
    <n v="0"/>
    <n v="0"/>
    <m/>
    <n v="0"/>
    <n v="2076.7398350280964"/>
    <m/>
    <s v="El porcentaje estimado para el GAS es del 6% en relación al costo de la intervención"/>
    <x v="2"/>
    <x v="2"/>
  </r>
  <r>
    <n v="866"/>
    <x v="7"/>
    <x v="25"/>
    <s v="PSM costs for Sex workers and their clients"/>
    <x v="2"/>
    <m/>
    <m/>
    <m/>
    <m/>
    <m/>
    <m/>
    <m/>
    <m/>
    <m/>
    <s v="-"/>
    <n v="0"/>
    <s v="-"/>
    <n v="1.0964808730960002E-12"/>
    <s v="-"/>
    <n v="0"/>
    <s v="-"/>
    <n v="0"/>
    <m/>
    <n v="1.0964808730960002E-12"/>
    <m/>
    <m/>
    <m/>
    <m/>
    <n v="0"/>
    <m/>
    <n v="1.1455211050964801E-12"/>
    <m/>
    <n v="0"/>
    <m/>
    <n v="0"/>
    <m/>
    <n v="1.1455211050964801E-12"/>
    <m/>
    <m/>
    <m/>
    <m/>
    <n v="0"/>
    <m/>
    <n v="1.21923108018768E-12"/>
    <m/>
    <n v="0"/>
    <m/>
    <n v="0"/>
    <m/>
    <n v="1.21923108018768E-12"/>
    <m/>
    <m/>
    <m/>
    <m/>
    <n v="0"/>
    <n v="0"/>
    <n v="0"/>
    <n v="0"/>
    <n v="0"/>
    <n v="0"/>
    <n v="0"/>
    <n v="0"/>
    <n v="0"/>
    <m/>
    <n v="0"/>
    <n v="3.4612330583801603E-12"/>
    <m/>
    <m/>
    <x v="2"/>
    <x v="2"/>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72"/>
    <x v="7"/>
    <x v="26"/>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73"/>
    <x v="7"/>
    <x v="26"/>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74"/>
    <x v="7"/>
    <x v="26"/>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75"/>
    <x v="7"/>
    <x v="26"/>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76"/>
    <x v="7"/>
    <x v="26"/>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77"/>
    <x v="7"/>
    <x v="26"/>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78"/>
    <x v="7"/>
    <x v="26"/>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79"/>
    <x v="7"/>
    <x v="26"/>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80"/>
    <x v="7"/>
    <x v="27"/>
    <s v="Procurement of RDTs to diagnose HIV, co-infections, and co-morbidities for Sex workers and their clients"/>
    <x v="11"/>
    <m/>
    <m/>
    <m/>
    <m/>
    <m/>
    <m/>
    <m/>
    <m/>
    <m/>
    <s v="-"/>
    <n v="0"/>
    <s v="-"/>
    <n v="1728.88046904"/>
    <s v="-"/>
    <n v="0"/>
    <s v="-"/>
    <n v="0"/>
    <m/>
    <n v="1728.88046904"/>
    <m/>
    <m/>
    <m/>
    <m/>
    <n v="0"/>
    <m/>
    <n v="1806.2048450352002"/>
    <m/>
    <n v="0"/>
    <m/>
    <n v="0"/>
    <m/>
    <n v="1806.2048450352002"/>
    <m/>
    <m/>
    <m/>
    <m/>
    <n v="0"/>
    <m/>
    <n v="1922.4273341232001"/>
    <m/>
    <n v="0"/>
    <m/>
    <n v="0"/>
    <m/>
    <n v="1922.4273341232001"/>
    <m/>
    <m/>
    <m/>
    <m/>
    <n v="0"/>
    <n v="0"/>
    <n v="0"/>
    <n v="0"/>
    <n v="0"/>
    <n v="0"/>
    <n v="0"/>
    <n v="0"/>
    <n v="0"/>
    <m/>
    <n v="0"/>
    <n v="5457.5126481984007"/>
    <m/>
    <m/>
    <x v="2"/>
    <x v="2"/>
  </r>
  <r>
    <n v="881"/>
    <x v="7"/>
    <x v="27"/>
    <s v="PSM costs for Sex workers and their clients"/>
    <x v="1"/>
    <m/>
    <m/>
    <m/>
    <m/>
    <m/>
    <m/>
    <m/>
    <m/>
    <m/>
    <s v="-"/>
    <n v="0"/>
    <s v="-"/>
    <n v="103.7328281424"/>
    <s v="-"/>
    <n v="0"/>
    <s v="-"/>
    <n v="0"/>
    <m/>
    <n v="103.7328281424"/>
    <m/>
    <m/>
    <m/>
    <m/>
    <n v="0"/>
    <m/>
    <n v="108.37229070211201"/>
    <m/>
    <n v="0"/>
    <m/>
    <n v="0"/>
    <m/>
    <n v="108.37229070211201"/>
    <m/>
    <m/>
    <m/>
    <m/>
    <n v="0"/>
    <m/>
    <n v="115.34564004739201"/>
    <m/>
    <n v="0"/>
    <m/>
    <n v="0"/>
    <m/>
    <n v="115.34564004739201"/>
    <m/>
    <m/>
    <m/>
    <m/>
    <n v="0"/>
    <n v="0"/>
    <n v="0"/>
    <n v="0"/>
    <n v="0"/>
    <n v="0"/>
    <n v="0"/>
    <n v="0"/>
    <n v="0"/>
    <m/>
    <n v="0"/>
    <n v="327.450758891904"/>
    <m/>
    <s v="El porcentaje estimado para el GAS es del 6% en relación al costo de la intervención"/>
    <x v="2"/>
    <x v="2"/>
  </r>
  <r>
    <n v="882"/>
    <x v="7"/>
    <x v="27"/>
    <s v="PSM costs for Sex workers and their clients"/>
    <x v="2"/>
    <m/>
    <m/>
    <m/>
    <m/>
    <m/>
    <m/>
    <m/>
    <m/>
    <m/>
    <s v="-"/>
    <n v="0"/>
    <s v="-"/>
    <n v="1.7288804690400001E-13"/>
    <s v="-"/>
    <n v="0"/>
    <s v="-"/>
    <n v="0"/>
    <m/>
    <n v="1.7288804690400001E-13"/>
    <m/>
    <m/>
    <m/>
    <m/>
    <n v="0"/>
    <m/>
    <n v="1.8062048450352E-13"/>
    <m/>
    <n v="0"/>
    <m/>
    <n v="0"/>
    <m/>
    <n v="1.8062048450352E-13"/>
    <m/>
    <m/>
    <m/>
    <m/>
    <n v="0"/>
    <m/>
    <n v="1.9224273341231998E-13"/>
    <m/>
    <n v="0"/>
    <m/>
    <n v="0"/>
    <m/>
    <n v="1.9224273341231998E-13"/>
    <m/>
    <m/>
    <m/>
    <m/>
    <n v="0"/>
    <n v="0"/>
    <n v="0"/>
    <n v="0"/>
    <n v="0"/>
    <n v="0"/>
    <n v="0"/>
    <n v="0"/>
    <n v="0"/>
    <m/>
    <n v="0"/>
    <n v="5.4575126481984004E-13"/>
    <m/>
    <m/>
    <x v="2"/>
    <x v="2"/>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88"/>
    <x v="7"/>
    <x v="25"/>
    <s v="Procurement of RDTs to diagnose HIV, co-infections, and co-morbidities for Transgender people"/>
    <x v="11"/>
    <m/>
    <m/>
    <m/>
    <m/>
    <m/>
    <m/>
    <m/>
    <m/>
    <m/>
    <s v="-"/>
    <n v="0"/>
    <s v="-"/>
    <n v="2394.1775342160004"/>
    <s v="-"/>
    <n v="0"/>
    <s v="-"/>
    <n v="0"/>
    <m/>
    <n v="2394.1775342160004"/>
    <m/>
    <m/>
    <m/>
    <m/>
    <n v="0"/>
    <m/>
    <n v="2504.5049524482006"/>
    <m/>
    <n v="0"/>
    <m/>
    <n v="0"/>
    <m/>
    <n v="2504.5049524482006"/>
    <m/>
    <m/>
    <m/>
    <m/>
    <n v="0"/>
    <m/>
    <n v="2664.6885088902"/>
    <m/>
    <n v="0"/>
    <m/>
    <n v="0"/>
    <m/>
    <n v="2664.6885088902"/>
    <m/>
    <m/>
    <m/>
    <m/>
    <n v="0"/>
    <n v="0"/>
    <n v="0"/>
    <n v="0"/>
    <n v="0"/>
    <n v="0"/>
    <n v="0"/>
    <n v="0"/>
    <n v="0"/>
    <m/>
    <n v="0"/>
    <n v="7563.3709955544"/>
    <m/>
    <s v="En la atencion integral de las ITS, se hará vigilancia  de las Hepatitis B y C, teniendo en cuenta los servicios de salud especializados en población clave a nivel nacional  e intervenciones en la población Mujeres Trans con servicios de salud sexual y atención integral de las ITS, con manejo de casos clínicos y sindrómicos de pacientes con síntomas de ITS, se ha considerado importante el diagnóstico etiológico de las ITS provocadas por diferentes agentes, entre estos: Neisseria, clamidias, Herpes Virus, Virus de papiloma humano, por lo que se solicita el apoyo para la adquisición de pruebas para estos agentes "/>
    <x v="3"/>
    <x v="2"/>
  </r>
  <r>
    <n v="889"/>
    <x v="7"/>
    <x v="25"/>
    <s v="PSM costs for Transgender people"/>
    <x v="1"/>
    <m/>
    <m/>
    <m/>
    <m/>
    <m/>
    <m/>
    <m/>
    <m/>
    <m/>
    <s v="-"/>
    <n v="0"/>
    <s v="-"/>
    <n v="143.65065205296"/>
    <s v="-"/>
    <n v="0"/>
    <s v="-"/>
    <n v="0"/>
    <m/>
    <n v="143.65065205296"/>
    <m/>
    <m/>
    <m/>
    <m/>
    <n v="0"/>
    <m/>
    <n v="150.27029714689201"/>
    <m/>
    <n v="0"/>
    <m/>
    <n v="0"/>
    <m/>
    <n v="150.27029714689201"/>
    <m/>
    <m/>
    <m/>
    <m/>
    <n v="0"/>
    <m/>
    <n v="159.88131053341203"/>
    <m/>
    <n v="0"/>
    <m/>
    <n v="0"/>
    <m/>
    <n v="159.88131053341203"/>
    <m/>
    <m/>
    <m/>
    <m/>
    <n v="0"/>
    <n v="0"/>
    <n v="0"/>
    <n v="0"/>
    <n v="0"/>
    <n v="0"/>
    <n v="0"/>
    <n v="0"/>
    <n v="0"/>
    <m/>
    <n v="0"/>
    <n v="453.80225973326401"/>
    <m/>
    <s v="El porcentaje estimado para el GAS es del 6% en relación al costo de la intervención"/>
    <x v="3"/>
    <x v="2"/>
  </r>
  <r>
    <n v="890"/>
    <x v="7"/>
    <x v="25"/>
    <s v="PSM costs for Transgender people"/>
    <x v="2"/>
    <m/>
    <m/>
    <m/>
    <m/>
    <m/>
    <m/>
    <m/>
    <m/>
    <m/>
    <s v="-"/>
    <n v="0"/>
    <s v="-"/>
    <n v="2.3941775342160001E-13"/>
    <s v="-"/>
    <n v="0"/>
    <s v="-"/>
    <n v="0"/>
    <m/>
    <n v="2.3941775342160001E-13"/>
    <m/>
    <m/>
    <m/>
    <m/>
    <n v="0"/>
    <m/>
    <n v="2.5045049524482002E-13"/>
    <m/>
    <n v="0"/>
    <m/>
    <n v="0"/>
    <m/>
    <n v="2.5045049524482002E-13"/>
    <m/>
    <m/>
    <m/>
    <m/>
    <n v="0"/>
    <m/>
    <n v="2.6646885088902005E-13"/>
    <m/>
    <n v="0"/>
    <m/>
    <n v="0"/>
    <m/>
    <n v="2.6646885088902005E-13"/>
    <m/>
    <m/>
    <m/>
    <m/>
    <n v="0"/>
    <n v="0"/>
    <n v="0"/>
    <n v="0"/>
    <n v="0"/>
    <n v="0"/>
    <n v="0"/>
    <n v="0"/>
    <n v="0"/>
    <m/>
    <n v="0"/>
    <n v="7.5633709955544003E-13"/>
    <m/>
    <m/>
    <x v="3"/>
    <x v="2"/>
  </r>
  <r>
    <n v="891"/>
    <x v="7"/>
    <x v="25"/>
    <s v="PSM costs for Transgender people"/>
    <x v="3"/>
    <m/>
    <m/>
    <m/>
    <m/>
    <m/>
    <m/>
    <m/>
    <m/>
    <m/>
    <s v="-"/>
    <n v="0"/>
    <s v="-"/>
    <n v="0"/>
    <s v="-"/>
    <n v="0"/>
    <s v="-"/>
    <n v="0"/>
    <m/>
    <n v="0"/>
    <m/>
    <m/>
    <m/>
    <m/>
    <n v="0"/>
    <m/>
    <n v="0"/>
    <m/>
    <n v="0"/>
    <m/>
    <n v="0"/>
    <m/>
    <n v="0"/>
    <m/>
    <m/>
    <m/>
    <m/>
    <n v="0"/>
    <m/>
    <n v="0"/>
    <m/>
    <n v="0"/>
    <m/>
    <n v="0"/>
    <m/>
    <n v="0"/>
    <m/>
    <m/>
    <m/>
    <m/>
    <n v="0"/>
    <n v="0"/>
    <n v="0"/>
    <n v="0"/>
    <n v="0"/>
    <n v="0"/>
    <n v="0"/>
    <n v="0"/>
    <n v="0"/>
    <m/>
    <n v="0"/>
    <n v="0"/>
    <m/>
    <m/>
    <x v="3"/>
    <x v="2"/>
  </r>
  <r>
    <n v="892"/>
    <x v="7"/>
    <x v="25"/>
    <s v="PSM costs for Transgender people"/>
    <x v="4"/>
    <m/>
    <m/>
    <m/>
    <m/>
    <m/>
    <m/>
    <m/>
    <m/>
    <m/>
    <s v="-"/>
    <n v="0"/>
    <s v="-"/>
    <n v="0"/>
    <s v="-"/>
    <n v="0"/>
    <s v="-"/>
    <n v="0"/>
    <m/>
    <n v="0"/>
    <m/>
    <m/>
    <m/>
    <m/>
    <n v="0"/>
    <m/>
    <n v="0"/>
    <m/>
    <n v="0"/>
    <m/>
    <n v="0"/>
    <m/>
    <n v="0"/>
    <m/>
    <m/>
    <m/>
    <m/>
    <n v="0"/>
    <m/>
    <n v="0"/>
    <m/>
    <n v="0"/>
    <m/>
    <n v="0"/>
    <m/>
    <n v="0"/>
    <m/>
    <m/>
    <m/>
    <m/>
    <n v="0"/>
    <n v="0"/>
    <n v="0"/>
    <n v="0"/>
    <n v="0"/>
    <n v="0"/>
    <n v="0"/>
    <n v="0"/>
    <n v="0"/>
    <m/>
    <n v="0"/>
    <n v="0"/>
    <m/>
    <m/>
    <x v="3"/>
    <x v="2"/>
  </r>
  <r>
    <n v="893"/>
    <x v="7"/>
    <x v="25"/>
    <s v="PSM costs for Transgender people"/>
    <x v="5"/>
    <m/>
    <m/>
    <m/>
    <m/>
    <m/>
    <m/>
    <m/>
    <m/>
    <m/>
    <s v="-"/>
    <n v="0"/>
    <s v="-"/>
    <n v="0"/>
    <s v="-"/>
    <n v="0"/>
    <s v="-"/>
    <n v="0"/>
    <m/>
    <n v="0"/>
    <m/>
    <m/>
    <m/>
    <m/>
    <n v="0"/>
    <m/>
    <n v="0"/>
    <m/>
    <n v="0"/>
    <m/>
    <n v="0"/>
    <m/>
    <n v="0"/>
    <m/>
    <m/>
    <m/>
    <m/>
    <n v="0"/>
    <m/>
    <n v="0"/>
    <m/>
    <n v="0"/>
    <m/>
    <n v="0"/>
    <m/>
    <n v="0"/>
    <m/>
    <m/>
    <m/>
    <m/>
    <n v="0"/>
    <n v="0"/>
    <n v="0"/>
    <n v="0"/>
    <n v="0"/>
    <n v="0"/>
    <n v="0"/>
    <n v="0"/>
    <n v="0"/>
    <m/>
    <n v="0"/>
    <n v="0"/>
    <m/>
    <m/>
    <x v="3"/>
    <x v="2"/>
  </r>
  <r>
    <n v="894"/>
    <x v="7"/>
    <x v="25"/>
    <s v="PSM costs for Transgender people"/>
    <x v="6"/>
    <m/>
    <m/>
    <m/>
    <m/>
    <m/>
    <m/>
    <m/>
    <m/>
    <m/>
    <s v="-"/>
    <n v="0"/>
    <s v="-"/>
    <n v="0"/>
    <s v="-"/>
    <n v="0"/>
    <s v="-"/>
    <n v="0"/>
    <m/>
    <n v="0"/>
    <m/>
    <m/>
    <m/>
    <m/>
    <n v="0"/>
    <m/>
    <n v="0"/>
    <m/>
    <n v="0"/>
    <m/>
    <n v="0"/>
    <m/>
    <n v="0"/>
    <m/>
    <m/>
    <m/>
    <m/>
    <n v="0"/>
    <m/>
    <n v="0"/>
    <m/>
    <n v="0"/>
    <m/>
    <n v="0"/>
    <m/>
    <n v="0"/>
    <m/>
    <m/>
    <m/>
    <m/>
    <n v="0"/>
    <n v="0"/>
    <n v="0"/>
    <n v="0"/>
    <n v="0"/>
    <n v="0"/>
    <n v="0"/>
    <n v="0"/>
    <n v="0"/>
    <m/>
    <n v="0"/>
    <n v="0"/>
    <m/>
    <m/>
    <x v="3"/>
    <x v="2"/>
  </r>
  <r>
    <n v="895"/>
    <x v="7"/>
    <x v="25"/>
    <s v="PSM costs for Transgender people"/>
    <x v="7"/>
    <m/>
    <m/>
    <m/>
    <m/>
    <m/>
    <m/>
    <m/>
    <m/>
    <m/>
    <s v="-"/>
    <n v="0"/>
    <s v="-"/>
    <n v="0"/>
    <s v="-"/>
    <n v="0"/>
    <s v="-"/>
    <n v="0"/>
    <m/>
    <n v="0"/>
    <m/>
    <m/>
    <m/>
    <m/>
    <n v="0"/>
    <m/>
    <n v="0"/>
    <m/>
    <n v="0"/>
    <m/>
    <n v="0"/>
    <m/>
    <n v="0"/>
    <m/>
    <m/>
    <m/>
    <m/>
    <n v="0"/>
    <m/>
    <n v="0"/>
    <m/>
    <n v="0"/>
    <m/>
    <n v="0"/>
    <m/>
    <n v="0"/>
    <m/>
    <m/>
    <m/>
    <m/>
    <n v="0"/>
    <n v="0"/>
    <n v="0"/>
    <n v="0"/>
    <n v="0"/>
    <n v="0"/>
    <n v="0"/>
    <n v="0"/>
    <n v="0"/>
    <m/>
    <n v="0"/>
    <n v="0"/>
    <m/>
    <m/>
    <x v="3"/>
    <x v="2"/>
  </r>
  <r>
    <n v="896"/>
    <x v="7"/>
    <x v="26"/>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897"/>
    <x v="7"/>
    <x v="26"/>
    <s v="PSM costs for Transgender people"/>
    <x v="1"/>
    <m/>
    <m/>
    <m/>
    <m/>
    <m/>
    <m/>
    <m/>
    <m/>
    <m/>
    <s v="-"/>
    <n v="0"/>
    <s v="-"/>
    <n v="0"/>
    <s v="-"/>
    <n v="0"/>
    <s v="-"/>
    <n v="0"/>
    <m/>
    <n v="0"/>
    <m/>
    <m/>
    <m/>
    <m/>
    <n v="0"/>
    <m/>
    <n v="0"/>
    <m/>
    <n v="0"/>
    <m/>
    <n v="0"/>
    <m/>
    <n v="0"/>
    <m/>
    <m/>
    <m/>
    <m/>
    <n v="0"/>
    <m/>
    <n v="0"/>
    <m/>
    <n v="0"/>
    <m/>
    <n v="0"/>
    <m/>
    <n v="0"/>
    <m/>
    <m/>
    <m/>
    <m/>
    <n v="0"/>
    <n v="0"/>
    <n v="0"/>
    <n v="0"/>
    <n v="0"/>
    <n v="0"/>
    <n v="0"/>
    <n v="0"/>
    <n v="0"/>
    <m/>
    <n v="0"/>
    <n v="0"/>
    <m/>
    <m/>
    <x v="3"/>
    <x v="2"/>
  </r>
  <r>
    <n v="898"/>
    <x v="7"/>
    <x v="26"/>
    <s v="PSM costs for Transgender people"/>
    <x v="2"/>
    <m/>
    <m/>
    <m/>
    <m/>
    <m/>
    <m/>
    <m/>
    <m/>
    <m/>
    <s v="-"/>
    <n v="0"/>
    <s v="-"/>
    <n v="0"/>
    <s v="-"/>
    <n v="0"/>
    <s v="-"/>
    <n v="0"/>
    <m/>
    <n v="0"/>
    <m/>
    <m/>
    <m/>
    <m/>
    <n v="0"/>
    <m/>
    <n v="0"/>
    <m/>
    <n v="0"/>
    <m/>
    <n v="0"/>
    <m/>
    <n v="0"/>
    <m/>
    <m/>
    <m/>
    <m/>
    <n v="0"/>
    <m/>
    <n v="0"/>
    <m/>
    <n v="0"/>
    <m/>
    <n v="0"/>
    <m/>
    <n v="0"/>
    <m/>
    <m/>
    <m/>
    <m/>
    <n v="0"/>
    <n v="0"/>
    <n v="0"/>
    <n v="0"/>
    <n v="0"/>
    <n v="0"/>
    <n v="0"/>
    <n v="0"/>
    <n v="0"/>
    <m/>
    <n v="0"/>
    <n v="0"/>
    <m/>
    <m/>
    <x v="3"/>
    <x v="2"/>
  </r>
  <r>
    <n v="899"/>
    <x v="7"/>
    <x v="26"/>
    <s v="PSM costs for Transgender people"/>
    <x v="3"/>
    <m/>
    <m/>
    <m/>
    <m/>
    <m/>
    <m/>
    <m/>
    <m/>
    <m/>
    <s v="-"/>
    <n v="0"/>
    <s v="-"/>
    <n v="0"/>
    <s v="-"/>
    <n v="0"/>
    <s v="-"/>
    <n v="0"/>
    <m/>
    <n v="0"/>
    <m/>
    <m/>
    <m/>
    <m/>
    <n v="0"/>
    <m/>
    <n v="0"/>
    <m/>
    <n v="0"/>
    <m/>
    <n v="0"/>
    <m/>
    <n v="0"/>
    <m/>
    <m/>
    <m/>
    <m/>
    <n v="0"/>
    <m/>
    <n v="0"/>
    <m/>
    <n v="0"/>
    <m/>
    <n v="0"/>
    <m/>
    <n v="0"/>
    <m/>
    <m/>
    <m/>
    <m/>
    <n v="0"/>
    <n v="0"/>
    <n v="0"/>
    <n v="0"/>
    <n v="0"/>
    <n v="0"/>
    <n v="0"/>
    <n v="0"/>
    <n v="0"/>
    <m/>
    <n v="0"/>
    <n v="0"/>
    <m/>
    <m/>
    <x v="3"/>
    <x v="2"/>
  </r>
  <r>
    <n v="900"/>
    <x v="7"/>
    <x v="26"/>
    <s v="PSM costs for Transgender people"/>
    <x v="4"/>
    <m/>
    <m/>
    <m/>
    <m/>
    <m/>
    <m/>
    <m/>
    <m/>
    <m/>
    <s v="-"/>
    <n v="0"/>
    <s v="-"/>
    <n v="0"/>
    <s v="-"/>
    <n v="0"/>
    <s v="-"/>
    <n v="0"/>
    <m/>
    <n v="0"/>
    <m/>
    <m/>
    <m/>
    <m/>
    <n v="0"/>
    <m/>
    <n v="0"/>
    <m/>
    <n v="0"/>
    <m/>
    <n v="0"/>
    <m/>
    <n v="0"/>
    <m/>
    <m/>
    <m/>
    <m/>
    <n v="0"/>
    <m/>
    <n v="0"/>
    <m/>
    <n v="0"/>
    <m/>
    <n v="0"/>
    <m/>
    <n v="0"/>
    <m/>
    <m/>
    <m/>
    <m/>
    <n v="0"/>
    <n v="0"/>
    <n v="0"/>
    <n v="0"/>
    <n v="0"/>
    <n v="0"/>
    <n v="0"/>
    <n v="0"/>
    <n v="0"/>
    <m/>
    <n v="0"/>
    <n v="0"/>
    <m/>
    <m/>
    <x v="3"/>
    <x v="2"/>
  </r>
  <r>
    <n v="901"/>
    <x v="7"/>
    <x v="26"/>
    <s v="PSM costs for Transgender people"/>
    <x v="5"/>
    <m/>
    <m/>
    <m/>
    <m/>
    <m/>
    <m/>
    <m/>
    <m/>
    <m/>
    <s v="-"/>
    <n v="0"/>
    <s v="-"/>
    <n v="0"/>
    <s v="-"/>
    <n v="0"/>
    <s v="-"/>
    <n v="0"/>
    <m/>
    <n v="0"/>
    <m/>
    <m/>
    <m/>
    <m/>
    <n v="0"/>
    <m/>
    <n v="0"/>
    <m/>
    <n v="0"/>
    <m/>
    <n v="0"/>
    <m/>
    <n v="0"/>
    <m/>
    <m/>
    <m/>
    <m/>
    <n v="0"/>
    <m/>
    <n v="0"/>
    <m/>
    <n v="0"/>
    <m/>
    <n v="0"/>
    <m/>
    <n v="0"/>
    <m/>
    <m/>
    <m/>
    <m/>
    <n v="0"/>
    <n v="0"/>
    <n v="0"/>
    <n v="0"/>
    <n v="0"/>
    <n v="0"/>
    <n v="0"/>
    <n v="0"/>
    <n v="0"/>
    <m/>
    <n v="0"/>
    <n v="0"/>
    <m/>
    <m/>
    <x v="3"/>
    <x v="2"/>
  </r>
  <r>
    <n v="902"/>
    <x v="7"/>
    <x v="26"/>
    <s v="PSM costs for Transgender people"/>
    <x v="6"/>
    <m/>
    <m/>
    <m/>
    <m/>
    <m/>
    <m/>
    <m/>
    <m/>
    <m/>
    <s v="-"/>
    <n v="0"/>
    <s v="-"/>
    <n v="0"/>
    <s v="-"/>
    <n v="0"/>
    <s v="-"/>
    <n v="0"/>
    <m/>
    <n v="0"/>
    <m/>
    <m/>
    <m/>
    <m/>
    <n v="0"/>
    <m/>
    <n v="0"/>
    <m/>
    <n v="0"/>
    <m/>
    <n v="0"/>
    <m/>
    <n v="0"/>
    <m/>
    <m/>
    <m/>
    <m/>
    <n v="0"/>
    <m/>
    <n v="0"/>
    <m/>
    <n v="0"/>
    <m/>
    <n v="0"/>
    <m/>
    <n v="0"/>
    <m/>
    <m/>
    <m/>
    <m/>
    <n v="0"/>
    <n v="0"/>
    <n v="0"/>
    <n v="0"/>
    <n v="0"/>
    <n v="0"/>
    <n v="0"/>
    <n v="0"/>
    <n v="0"/>
    <m/>
    <n v="0"/>
    <n v="0"/>
    <m/>
    <m/>
    <x v="3"/>
    <x v="2"/>
  </r>
  <r>
    <n v="903"/>
    <x v="7"/>
    <x v="26"/>
    <s v="PSM costs for Transgender people"/>
    <x v="7"/>
    <m/>
    <m/>
    <m/>
    <m/>
    <m/>
    <m/>
    <m/>
    <m/>
    <m/>
    <s v="-"/>
    <n v="0"/>
    <s v="-"/>
    <n v="0"/>
    <s v="-"/>
    <n v="0"/>
    <s v="-"/>
    <n v="0"/>
    <m/>
    <n v="0"/>
    <m/>
    <m/>
    <m/>
    <m/>
    <n v="0"/>
    <m/>
    <n v="0"/>
    <m/>
    <n v="0"/>
    <m/>
    <n v="0"/>
    <m/>
    <n v="0"/>
    <m/>
    <m/>
    <m/>
    <m/>
    <n v="0"/>
    <m/>
    <n v="0"/>
    <m/>
    <n v="0"/>
    <m/>
    <n v="0"/>
    <m/>
    <n v="0"/>
    <m/>
    <m/>
    <m/>
    <m/>
    <n v="0"/>
    <n v="0"/>
    <n v="0"/>
    <n v="0"/>
    <n v="0"/>
    <n v="0"/>
    <n v="0"/>
    <n v="0"/>
    <n v="0"/>
    <m/>
    <n v="0"/>
    <n v="0"/>
    <m/>
    <m/>
    <x v="3"/>
    <x v="2"/>
  </r>
  <r>
    <n v="904"/>
    <x v="7"/>
    <x v="27"/>
    <s v="Procurement of RDTs to diagnose HIV, co-infections, and co-morbidities for Transgender people"/>
    <x v="11"/>
    <m/>
    <m/>
    <m/>
    <m/>
    <m/>
    <m/>
    <m/>
    <m/>
    <m/>
    <s v="-"/>
    <n v="0"/>
    <s v="-"/>
    <n v="22.718825784000003"/>
    <s v="-"/>
    <n v="0"/>
    <s v="-"/>
    <n v="0"/>
    <m/>
    <n v="22.718825784000003"/>
    <m/>
    <m/>
    <m/>
    <m/>
    <n v="0"/>
    <m/>
    <n v="23.765744551800005"/>
    <m/>
    <n v="0"/>
    <m/>
    <n v="0"/>
    <m/>
    <n v="23.765744551800005"/>
    <m/>
    <m/>
    <m/>
    <m/>
    <n v="0"/>
    <m/>
    <n v="25.285758109800003"/>
    <m/>
    <n v="0"/>
    <m/>
    <n v="0"/>
    <m/>
    <n v="25.285758109800003"/>
    <m/>
    <m/>
    <m/>
    <m/>
    <n v="0"/>
    <n v="0"/>
    <n v="0"/>
    <n v="0"/>
    <n v="0"/>
    <n v="0"/>
    <n v="0"/>
    <n v="0"/>
    <n v="0"/>
    <m/>
    <n v="0"/>
    <n v="71.770328445600015"/>
    <m/>
    <m/>
    <x v="3"/>
    <x v="2"/>
  </r>
  <r>
    <n v="905"/>
    <x v="7"/>
    <x v="27"/>
    <s v="PSM costs for Transgender people"/>
    <x v="1"/>
    <m/>
    <m/>
    <m/>
    <m/>
    <m/>
    <m/>
    <m/>
    <m/>
    <m/>
    <s v="-"/>
    <n v="0"/>
    <s v="-"/>
    <n v="1.36312954704"/>
    <s v="-"/>
    <n v="0"/>
    <s v="-"/>
    <n v="0"/>
    <m/>
    <n v="1.36312954704"/>
    <m/>
    <m/>
    <m/>
    <m/>
    <n v="0"/>
    <m/>
    <n v="1.4259446731080001"/>
    <m/>
    <n v="0"/>
    <m/>
    <n v="0"/>
    <m/>
    <n v="1.4259446731080001"/>
    <m/>
    <m/>
    <m/>
    <m/>
    <n v="0"/>
    <m/>
    <n v="1.5171454865880003"/>
    <m/>
    <n v="0"/>
    <m/>
    <n v="0"/>
    <m/>
    <n v="1.5171454865880003"/>
    <m/>
    <m/>
    <m/>
    <m/>
    <n v="0"/>
    <n v="0"/>
    <n v="0"/>
    <n v="0"/>
    <n v="0"/>
    <n v="0"/>
    <n v="0"/>
    <n v="0"/>
    <n v="0"/>
    <m/>
    <n v="0"/>
    <n v="4.306219706736"/>
    <m/>
    <s v="El porcentaje estimado para el GAS es del 6% en relación al costo de la intervención"/>
    <x v="3"/>
    <x v="2"/>
  </r>
  <r>
    <n v="906"/>
    <x v="7"/>
    <x v="27"/>
    <s v="PSM costs for Transgender people"/>
    <x v="2"/>
    <m/>
    <m/>
    <m/>
    <m/>
    <m/>
    <m/>
    <m/>
    <m/>
    <m/>
    <s v="-"/>
    <n v="0"/>
    <s v="-"/>
    <n v="2.2718825784E-15"/>
    <s v="-"/>
    <n v="0"/>
    <s v="-"/>
    <n v="0"/>
    <m/>
    <n v="2.2718825784E-15"/>
    <m/>
    <m/>
    <m/>
    <m/>
    <n v="0"/>
    <m/>
    <n v="2.3765744551800002E-15"/>
    <m/>
    <n v="0"/>
    <m/>
    <n v="0"/>
    <m/>
    <n v="2.3765744551800002E-15"/>
    <m/>
    <m/>
    <m/>
    <m/>
    <n v="0"/>
    <m/>
    <n v="2.5285758109800004E-15"/>
    <m/>
    <n v="0"/>
    <m/>
    <n v="0"/>
    <m/>
    <n v="2.5285758109800004E-15"/>
    <m/>
    <m/>
    <m/>
    <m/>
    <n v="0"/>
    <n v="0"/>
    <n v="0"/>
    <n v="0"/>
    <n v="0"/>
    <n v="0"/>
    <n v="0"/>
    <n v="0"/>
    <n v="0"/>
    <m/>
    <n v="0"/>
    <n v="7.1770328445600011E-15"/>
    <m/>
    <m/>
    <x v="3"/>
    <x v="2"/>
  </r>
  <r>
    <n v="907"/>
    <x v="7"/>
    <x v="27"/>
    <s v="PSM costs for Transgender people"/>
    <x v="3"/>
    <m/>
    <m/>
    <m/>
    <m/>
    <m/>
    <m/>
    <m/>
    <m/>
    <m/>
    <s v="-"/>
    <n v="0"/>
    <s v="-"/>
    <n v="0"/>
    <s v="-"/>
    <n v="0"/>
    <s v="-"/>
    <n v="0"/>
    <m/>
    <n v="0"/>
    <m/>
    <m/>
    <m/>
    <m/>
    <n v="0"/>
    <m/>
    <n v="0"/>
    <m/>
    <n v="0"/>
    <m/>
    <n v="0"/>
    <m/>
    <n v="0"/>
    <m/>
    <m/>
    <m/>
    <m/>
    <n v="0"/>
    <m/>
    <n v="0"/>
    <m/>
    <n v="0"/>
    <m/>
    <n v="0"/>
    <m/>
    <n v="0"/>
    <m/>
    <m/>
    <m/>
    <m/>
    <n v="0"/>
    <n v="0"/>
    <n v="0"/>
    <n v="0"/>
    <n v="0"/>
    <n v="0"/>
    <n v="0"/>
    <n v="0"/>
    <n v="0"/>
    <m/>
    <n v="0"/>
    <n v="0"/>
    <m/>
    <m/>
    <x v="3"/>
    <x v="2"/>
  </r>
  <r>
    <n v="908"/>
    <x v="7"/>
    <x v="27"/>
    <s v="PSM costs for Transgender people"/>
    <x v="4"/>
    <m/>
    <m/>
    <m/>
    <m/>
    <m/>
    <m/>
    <m/>
    <m/>
    <m/>
    <s v="-"/>
    <n v="0"/>
    <s v="-"/>
    <n v="0"/>
    <s v="-"/>
    <n v="0"/>
    <s v="-"/>
    <n v="0"/>
    <m/>
    <n v="0"/>
    <m/>
    <m/>
    <m/>
    <m/>
    <n v="0"/>
    <m/>
    <n v="0"/>
    <m/>
    <n v="0"/>
    <m/>
    <n v="0"/>
    <m/>
    <n v="0"/>
    <m/>
    <m/>
    <m/>
    <m/>
    <n v="0"/>
    <m/>
    <n v="0"/>
    <m/>
    <n v="0"/>
    <m/>
    <n v="0"/>
    <m/>
    <n v="0"/>
    <m/>
    <m/>
    <m/>
    <m/>
    <n v="0"/>
    <n v="0"/>
    <n v="0"/>
    <n v="0"/>
    <n v="0"/>
    <n v="0"/>
    <n v="0"/>
    <n v="0"/>
    <n v="0"/>
    <m/>
    <n v="0"/>
    <n v="0"/>
    <m/>
    <m/>
    <x v="3"/>
    <x v="2"/>
  </r>
  <r>
    <n v="909"/>
    <x v="7"/>
    <x v="27"/>
    <s v="PSM costs for Transgender people"/>
    <x v="5"/>
    <m/>
    <m/>
    <m/>
    <m/>
    <m/>
    <m/>
    <m/>
    <m/>
    <m/>
    <s v="-"/>
    <n v="0"/>
    <s v="-"/>
    <n v="0"/>
    <s v="-"/>
    <n v="0"/>
    <s v="-"/>
    <n v="0"/>
    <m/>
    <n v="0"/>
    <m/>
    <m/>
    <m/>
    <m/>
    <n v="0"/>
    <m/>
    <n v="0"/>
    <m/>
    <n v="0"/>
    <m/>
    <n v="0"/>
    <m/>
    <n v="0"/>
    <m/>
    <m/>
    <m/>
    <m/>
    <n v="0"/>
    <m/>
    <n v="0"/>
    <m/>
    <n v="0"/>
    <m/>
    <n v="0"/>
    <m/>
    <n v="0"/>
    <m/>
    <m/>
    <m/>
    <m/>
    <n v="0"/>
    <n v="0"/>
    <n v="0"/>
    <n v="0"/>
    <n v="0"/>
    <n v="0"/>
    <n v="0"/>
    <n v="0"/>
    <n v="0"/>
    <m/>
    <n v="0"/>
    <n v="0"/>
    <m/>
    <m/>
    <x v="3"/>
    <x v="2"/>
  </r>
  <r>
    <n v="910"/>
    <x v="7"/>
    <x v="27"/>
    <s v="PSM costs for Transgender people"/>
    <x v="6"/>
    <m/>
    <m/>
    <m/>
    <m/>
    <m/>
    <m/>
    <m/>
    <m/>
    <m/>
    <s v="-"/>
    <n v="0"/>
    <s v="-"/>
    <n v="0"/>
    <s v="-"/>
    <n v="0"/>
    <s v="-"/>
    <n v="0"/>
    <m/>
    <n v="0"/>
    <m/>
    <m/>
    <m/>
    <m/>
    <n v="0"/>
    <m/>
    <n v="0"/>
    <m/>
    <n v="0"/>
    <m/>
    <n v="0"/>
    <m/>
    <n v="0"/>
    <m/>
    <m/>
    <m/>
    <m/>
    <n v="0"/>
    <m/>
    <n v="0"/>
    <m/>
    <n v="0"/>
    <m/>
    <n v="0"/>
    <m/>
    <n v="0"/>
    <m/>
    <m/>
    <m/>
    <m/>
    <n v="0"/>
    <n v="0"/>
    <n v="0"/>
    <n v="0"/>
    <n v="0"/>
    <n v="0"/>
    <n v="0"/>
    <n v="0"/>
    <n v="0"/>
    <m/>
    <n v="0"/>
    <n v="0"/>
    <m/>
    <m/>
    <x v="3"/>
    <x v="2"/>
  </r>
  <r>
    <n v="911"/>
    <x v="7"/>
    <x v="27"/>
    <s v="PSM costs for Transgender people"/>
    <x v="7"/>
    <m/>
    <m/>
    <m/>
    <m/>
    <m/>
    <m/>
    <m/>
    <m/>
    <m/>
    <s v="-"/>
    <n v="0"/>
    <s v="-"/>
    <n v="0"/>
    <s v="-"/>
    <n v="0"/>
    <s v="-"/>
    <n v="0"/>
    <m/>
    <n v="0"/>
    <m/>
    <m/>
    <m/>
    <m/>
    <n v="0"/>
    <m/>
    <n v="0"/>
    <m/>
    <n v="0"/>
    <m/>
    <n v="0"/>
    <m/>
    <n v="0"/>
    <m/>
    <m/>
    <m/>
    <m/>
    <n v="0"/>
    <m/>
    <n v="0"/>
    <m/>
    <n v="0"/>
    <m/>
    <n v="0"/>
    <m/>
    <n v="0"/>
    <m/>
    <m/>
    <m/>
    <m/>
    <n v="0"/>
    <n v="0"/>
    <n v="0"/>
    <n v="0"/>
    <n v="0"/>
    <n v="0"/>
    <n v="0"/>
    <n v="0"/>
    <n v="0"/>
    <m/>
    <n v="0"/>
    <n v="0"/>
    <m/>
    <m/>
    <x v="3"/>
    <x v="2"/>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20"/>
    <x v="7"/>
    <x v="26"/>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21"/>
    <x v="7"/>
    <x v="26"/>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22"/>
    <x v="7"/>
    <x v="26"/>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23"/>
    <x v="7"/>
    <x v="26"/>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24"/>
    <x v="7"/>
    <x v="26"/>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25"/>
    <x v="7"/>
    <x v="26"/>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26"/>
    <x v="7"/>
    <x v="26"/>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27"/>
    <x v="7"/>
    <x v="26"/>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36"/>
    <x v="7"/>
    <x v="25"/>
    <s v="Procurement of RDTs to diagnose HIV, co-infections, and co-morbidities for People in prisons and other closed settings"/>
    <x v="11"/>
    <m/>
    <m/>
    <m/>
    <m/>
    <m/>
    <m/>
    <m/>
    <m/>
    <m/>
    <s v="-"/>
    <n v="0"/>
    <s v="-"/>
    <n v="65353.858739999996"/>
    <s v="-"/>
    <n v="0"/>
    <s v="-"/>
    <n v="0"/>
    <m/>
    <n v="65353.858739999996"/>
    <m/>
    <m/>
    <m/>
    <m/>
    <n v="0"/>
    <m/>
    <n v="68174.152209000007"/>
    <m/>
    <n v="0"/>
    <m/>
    <n v="0"/>
    <m/>
    <n v="68174.152209000007"/>
    <m/>
    <m/>
    <m/>
    <m/>
    <n v="0"/>
    <m/>
    <n v="72591.627879000007"/>
    <m/>
    <n v="0"/>
    <m/>
    <n v="0"/>
    <m/>
    <n v="72591.627879000007"/>
    <m/>
    <m/>
    <m/>
    <m/>
    <n v="0"/>
    <n v="0"/>
    <n v="0"/>
    <n v="0"/>
    <n v="0"/>
    <n v="0"/>
    <n v="0"/>
    <n v="0"/>
    <n v="0"/>
    <m/>
    <n v="0"/>
    <n v="206119.638828"/>
    <m/>
    <s v="En este rubro se ha incluido 1 prueba por año dirigida a personas privadas de libertad PPL para fortalecer  las medidas preventivas en los Centros Penales y disminuir los riesgos de transmisiòn que conllevan la reclusiòn, hacinamiento , estigma y discriminaciòn "/>
    <x v="5"/>
    <x v="2"/>
  </r>
  <r>
    <n v="937"/>
    <x v="7"/>
    <x v="25"/>
    <s v="PSM costs for People in prisons and other closed settings"/>
    <x v="1"/>
    <m/>
    <m/>
    <m/>
    <m/>
    <m/>
    <m/>
    <m/>
    <m/>
    <m/>
    <s v="-"/>
    <n v="0"/>
    <s v="-"/>
    <n v="3921.2315243999997"/>
    <s v="-"/>
    <n v="0"/>
    <s v="-"/>
    <n v="0"/>
    <m/>
    <n v="3921.2315243999997"/>
    <m/>
    <m/>
    <m/>
    <m/>
    <n v="0"/>
    <m/>
    <n v="4090.4491325399999"/>
    <m/>
    <n v="0"/>
    <m/>
    <n v="0"/>
    <m/>
    <n v="4090.4491325399999"/>
    <m/>
    <m/>
    <m/>
    <m/>
    <n v="0"/>
    <m/>
    <n v="4355.4976727399999"/>
    <m/>
    <n v="0"/>
    <m/>
    <n v="0"/>
    <m/>
    <n v="4355.4976727399999"/>
    <m/>
    <m/>
    <m/>
    <m/>
    <n v="0"/>
    <n v="0"/>
    <n v="0"/>
    <n v="0"/>
    <n v="0"/>
    <n v="0"/>
    <n v="0"/>
    <n v="0"/>
    <n v="0"/>
    <m/>
    <n v="0"/>
    <n v="12367.17832968"/>
    <m/>
    <s v="El porcentaje estimado para el GAS es del 6% en relación al costo de la intervención"/>
    <x v="5"/>
    <x v="2"/>
  </r>
  <r>
    <n v="938"/>
    <x v="7"/>
    <x v="25"/>
    <s v="PSM costs for People in prisons and other closed settings"/>
    <x v="2"/>
    <m/>
    <m/>
    <m/>
    <m/>
    <m/>
    <m/>
    <m/>
    <m/>
    <m/>
    <s v="-"/>
    <n v="0"/>
    <s v="-"/>
    <n v="6.5353858740000006E-12"/>
    <s v="-"/>
    <n v="0"/>
    <s v="-"/>
    <n v="0"/>
    <m/>
    <n v="6.5353858740000006E-12"/>
    <m/>
    <m/>
    <m/>
    <m/>
    <n v="0"/>
    <m/>
    <n v="6.8174152209000004E-12"/>
    <m/>
    <n v="0"/>
    <m/>
    <n v="0"/>
    <m/>
    <n v="6.8174152209000004E-12"/>
    <m/>
    <m/>
    <m/>
    <m/>
    <n v="0"/>
    <m/>
    <n v="7.2591627878999995E-12"/>
    <m/>
    <n v="0"/>
    <m/>
    <n v="0"/>
    <m/>
    <n v="7.2591627878999995E-12"/>
    <m/>
    <m/>
    <m/>
    <m/>
    <n v="0"/>
    <n v="0"/>
    <n v="0"/>
    <n v="0"/>
    <n v="0"/>
    <n v="0"/>
    <n v="0"/>
    <n v="0"/>
    <n v="0"/>
    <m/>
    <n v="0"/>
    <n v="2.0611963882800001E-11"/>
    <m/>
    <m/>
    <x v="5"/>
    <x v="2"/>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60"/>
    <x v="7"/>
    <x v="25"/>
    <s v="Procurement of RDTs to diagnose HIV, co-infections, and co-morbidities for Other vulnerable populations"/>
    <x v="11"/>
    <m/>
    <m/>
    <m/>
    <m/>
    <m/>
    <m/>
    <m/>
    <m/>
    <m/>
    <s v="-"/>
    <n v="0"/>
    <s v="-"/>
    <n v="2819.8744399999996"/>
    <s v="-"/>
    <n v="0"/>
    <s v="-"/>
    <n v="0"/>
    <m/>
    <n v="2819.8744399999996"/>
    <m/>
    <m/>
    <m/>
    <m/>
    <n v="0"/>
    <m/>
    <n v="2950.7927710000004"/>
    <m/>
    <n v="0"/>
    <m/>
    <n v="0"/>
    <m/>
    <n v="2950.7927710000004"/>
    <m/>
    <m/>
    <m/>
    <m/>
    <n v="0"/>
    <m/>
    <n v="3139.2289209999999"/>
    <m/>
    <n v="0"/>
    <m/>
    <n v="0"/>
    <m/>
    <n v="3139.2289209999999"/>
    <m/>
    <m/>
    <m/>
    <m/>
    <n v="0"/>
    <n v="0"/>
    <n v="0"/>
    <n v="0"/>
    <n v="0"/>
    <n v="0"/>
    <n v="0"/>
    <n v="0"/>
    <n v="0"/>
    <m/>
    <n v="0"/>
    <n v="8909.8961319999999"/>
    <m/>
    <s v="Durante la prestacion de servicios de salud el personal puede sufrir accidentes con diferentes elementos cortopunzantes u otros, por lo que en este rubro se han considerado las pruebas necesarias para testear otras poblaciones vulnerables como  las personas que sufren accidentes laborales y/o abusos sexuales y que entran a la estrategia de profilaxis post exposiciòn al VIH"/>
    <x v="6"/>
    <x v="2"/>
  </r>
  <r>
    <n v="961"/>
    <x v="7"/>
    <x v="25"/>
    <s v="PSM costs for Other vulnerable populations"/>
    <x v="1"/>
    <m/>
    <m/>
    <m/>
    <m/>
    <m/>
    <m/>
    <m/>
    <m/>
    <m/>
    <s v="-"/>
    <n v="0"/>
    <s v="-"/>
    <n v="169.19246639999997"/>
    <s v="-"/>
    <n v="0"/>
    <s v="-"/>
    <n v="0"/>
    <m/>
    <n v="169.19246639999997"/>
    <m/>
    <m/>
    <m/>
    <m/>
    <n v="0"/>
    <m/>
    <n v="177.04756626"/>
    <m/>
    <n v="0"/>
    <m/>
    <n v="0"/>
    <m/>
    <n v="177.04756626"/>
    <m/>
    <m/>
    <m/>
    <m/>
    <n v="0"/>
    <m/>
    <n v="188.35373525999998"/>
    <m/>
    <n v="0"/>
    <m/>
    <n v="0"/>
    <m/>
    <n v="188.35373525999998"/>
    <m/>
    <m/>
    <m/>
    <m/>
    <n v="0"/>
    <n v="0"/>
    <n v="0"/>
    <n v="0"/>
    <n v="0"/>
    <n v="0"/>
    <n v="0"/>
    <n v="0"/>
    <n v="0"/>
    <m/>
    <n v="0"/>
    <n v="534.59376791999989"/>
    <m/>
    <s v="El porcentaje estimado para el GAS es del 6% en relación al costo de la intervención"/>
    <x v="6"/>
    <x v="2"/>
  </r>
  <r>
    <n v="962"/>
    <x v="7"/>
    <x v="25"/>
    <s v="PSM costs for Other vulnerable populations"/>
    <x v="2"/>
    <m/>
    <m/>
    <m/>
    <m/>
    <m/>
    <m/>
    <m/>
    <m/>
    <m/>
    <s v="-"/>
    <n v="0"/>
    <s v="-"/>
    <n v="2.8198744399999997E-13"/>
    <s v="-"/>
    <n v="0"/>
    <s v="-"/>
    <n v="0"/>
    <m/>
    <n v="2.8198744399999997E-13"/>
    <m/>
    <m/>
    <m/>
    <m/>
    <n v="0"/>
    <m/>
    <n v="2.9507927710000001E-13"/>
    <m/>
    <n v="0"/>
    <m/>
    <n v="0"/>
    <m/>
    <n v="2.9507927710000001E-13"/>
    <m/>
    <m/>
    <m/>
    <m/>
    <n v="0"/>
    <m/>
    <n v="3.1392289209999994E-13"/>
    <m/>
    <n v="0"/>
    <m/>
    <n v="0"/>
    <m/>
    <n v="3.1392289209999994E-13"/>
    <m/>
    <m/>
    <m/>
    <m/>
    <n v="0"/>
    <n v="0"/>
    <n v="0"/>
    <n v="0"/>
    <n v="0"/>
    <n v="0"/>
    <n v="0"/>
    <n v="0"/>
    <n v="0"/>
    <m/>
    <n v="0"/>
    <n v="8.9098961319999998E-13"/>
    <m/>
    <m/>
    <x v="6"/>
    <x v="2"/>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32"/>
    <x v="7"/>
    <x v="25"/>
    <s v="Procurement of RDTs to diagnose HIV, co-infections, and co-morbidities for Partners of people living with HIV"/>
    <x v="11"/>
    <m/>
    <m/>
    <m/>
    <m/>
    <m/>
    <m/>
    <m/>
    <m/>
    <m/>
    <s v="-"/>
    <n v="0"/>
    <s v="-"/>
    <n v="7873.8279589089998"/>
    <s v="-"/>
    <n v="0"/>
    <s v="-"/>
    <n v="0"/>
    <m/>
    <n v="7873.8279589089998"/>
    <m/>
    <m/>
    <m/>
    <m/>
    <n v="0"/>
    <m/>
    <n v="8221.7110031657994"/>
    <m/>
    <n v="0"/>
    <m/>
    <n v="0"/>
    <m/>
    <n v="8221.7110031657994"/>
    <m/>
    <m/>
    <m/>
    <m/>
    <n v="0"/>
    <m/>
    <n v="8752.0265380588007"/>
    <m/>
    <n v="0"/>
    <m/>
    <n v="0"/>
    <m/>
    <n v="8752.0265380588007"/>
    <m/>
    <m/>
    <m/>
    <m/>
    <n v="0"/>
    <n v="0"/>
    <n v="0"/>
    <n v="0"/>
    <n v="0"/>
    <n v="0"/>
    <n v="0"/>
    <n v="0"/>
    <n v="0"/>
    <m/>
    <n v="0"/>
    <n v="24847.565500133598"/>
    <m/>
    <s v="Las pruebas a adquirir en este rubro son necesarias para el diagnostico de personas serodiscordantes o parejas de casos VIH, fortalecer su diagnostico y vigilancia del estatus serologico "/>
    <x v="8"/>
    <x v="2"/>
  </r>
  <r>
    <n v="1033"/>
    <x v="7"/>
    <x v="25"/>
    <s v="PSM costs for Partners of people living with HIV"/>
    <x v="1"/>
    <m/>
    <m/>
    <m/>
    <m/>
    <m/>
    <m/>
    <m/>
    <m/>
    <m/>
    <s v="-"/>
    <n v="0"/>
    <s v="-"/>
    <n v="472.42967753453996"/>
    <s v="-"/>
    <n v="0"/>
    <s v="-"/>
    <n v="0"/>
    <m/>
    <n v="472.42967753453996"/>
    <m/>
    <m/>
    <m/>
    <m/>
    <n v="0"/>
    <m/>
    <n v="493.30266018994797"/>
    <m/>
    <n v="0"/>
    <m/>
    <n v="0"/>
    <m/>
    <n v="493.30266018994797"/>
    <m/>
    <m/>
    <m/>
    <m/>
    <n v="0"/>
    <m/>
    <n v="525.121592283528"/>
    <m/>
    <n v="0"/>
    <m/>
    <n v="0"/>
    <m/>
    <n v="525.121592283528"/>
    <m/>
    <m/>
    <m/>
    <m/>
    <n v="0"/>
    <n v="0"/>
    <n v="0"/>
    <n v="0"/>
    <n v="0"/>
    <n v="0"/>
    <n v="0"/>
    <n v="0"/>
    <n v="0"/>
    <m/>
    <n v="0"/>
    <n v="1490.8539300080158"/>
    <m/>
    <s v="El porcentaje estimado para el GAS es del 6% en relación al costo de la intervención"/>
    <x v="11"/>
    <x v="2"/>
  </r>
  <r>
    <n v="1034"/>
    <x v="7"/>
    <x v="25"/>
    <s v="PSM costs for Partners of people living with HIV"/>
    <x v="2"/>
    <m/>
    <m/>
    <m/>
    <m/>
    <m/>
    <m/>
    <m/>
    <m/>
    <m/>
    <s v="-"/>
    <n v="0"/>
    <s v="-"/>
    <n v="7.8738279589089986E-13"/>
    <s v="-"/>
    <n v="0"/>
    <s v="-"/>
    <n v="0"/>
    <m/>
    <n v="7.8738279589089986E-13"/>
    <m/>
    <m/>
    <m/>
    <m/>
    <n v="0"/>
    <m/>
    <n v="8.2217110031658E-13"/>
    <m/>
    <n v="0"/>
    <m/>
    <n v="0"/>
    <m/>
    <n v="8.2217110031658E-13"/>
    <m/>
    <m/>
    <m/>
    <m/>
    <n v="0"/>
    <m/>
    <n v="8.7520265380587987E-13"/>
    <m/>
    <n v="0"/>
    <m/>
    <n v="0"/>
    <m/>
    <n v="8.7520265380587987E-13"/>
    <m/>
    <m/>
    <m/>
    <m/>
    <n v="0"/>
    <n v="0"/>
    <n v="0"/>
    <n v="0"/>
    <n v="0"/>
    <n v="0"/>
    <n v="0"/>
    <n v="0"/>
    <n v="0"/>
    <m/>
    <n v="0"/>
    <n v="2.4847565500133597E-12"/>
    <m/>
    <m/>
    <x v="11"/>
    <x v="2"/>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11"/>
    <x v="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48"/>
    <x v="7"/>
    <x v="27"/>
    <s v="Procurement of RDTs to diagnose HIV, co-infections, and co-morbidities for Partners of people living with HIV"/>
    <x v="11"/>
    <m/>
    <m/>
    <m/>
    <m/>
    <m/>
    <m/>
    <m/>
    <m/>
    <m/>
    <s v="-"/>
    <n v="0"/>
    <s v="-"/>
    <n v="17849.229731091"/>
    <s v="-"/>
    <n v="0"/>
    <s v="-"/>
    <n v="0"/>
    <m/>
    <n v="17849.229731091"/>
    <m/>
    <m/>
    <m/>
    <m/>
    <n v="0"/>
    <m/>
    <n v="18637.8479748342"/>
    <m/>
    <n v="0"/>
    <m/>
    <n v="0"/>
    <m/>
    <n v="18637.8479748342"/>
    <m/>
    <m/>
    <m/>
    <m/>
    <n v="0"/>
    <m/>
    <n v="19840.023569941201"/>
    <m/>
    <n v="0"/>
    <m/>
    <n v="0"/>
    <m/>
    <n v="19840.023569941201"/>
    <m/>
    <m/>
    <m/>
    <m/>
    <n v="0"/>
    <n v="0"/>
    <n v="0"/>
    <n v="0"/>
    <n v="0"/>
    <n v="0"/>
    <n v="0"/>
    <n v="0"/>
    <n v="0"/>
    <m/>
    <n v="0"/>
    <n v="56327.1012758664"/>
    <m/>
    <s v="Dentro de los modelos diferenciados de atenciòn durante esta subvenciòn, se usaran las pruebas autoadministradas  bajo la modalidad asistida una nueva estrategia a implementar en el país Se plantea facilitar la disponibilidad de realización de auto test para VIH para conocer el estado serológico en un entorno privado y de su conveniencia, utilizando fluido oral o con sangre obtenida al pincharse un dedo para poblaciones claves o personas en riesgo que son atendidas en establecimientos de salud donde no hay laboratorio clínico, incluye a la Fuerza Armada y cotizantes del Instituto del Seguro Social, lo cual contribuye a la búsqueda de los casos positivos "/>
    <x v="11"/>
    <x v="2"/>
  </r>
  <r>
    <n v="1049"/>
    <x v="7"/>
    <x v="27"/>
    <s v="PSM costs for Partners of people living with HIV"/>
    <x v="1"/>
    <m/>
    <m/>
    <m/>
    <m/>
    <m/>
    <m/>
    <m/>
    <m/>
    <m/>
    <s v="-"/>
    <n v="0"/>
    <s v="-"/>
    <n v="1070.9537838654599"/>
    <s v="-"/>
    <n v="0"/>
    <s v="-"/>
    <n v="0"/>
    <m/>
    <n v="1070.9537838654599"/>
    <m/>
    <m/>
    <m/>
    <m/>
    <n v="0"/>
    <m/>
    <n v="1118.2708784900519"/>
    <m/>
    <n v="0"/>
    <m/>
    <n v="0"/>
    <m/>
    <n v="1118.2708784900519"/>
    <m/>
    <m/>
    <m/>
    <m/>
    <n v="0"/>
    <m/>
    <n v="1190.4014141964719"/>
    <m/>
    <n v="0"/>
    <m/>
    <n v="0"/>
    <m/>
    <n v="1190.4014141964719"/>
    <m/>
    <m/>
    <m/>
    <m/>
    <n v="0"/>
    <n v="0"/>
    <n v="0"/>
    <n v="0"/>
    <n v="0"/>
    <n v="0"/>
    <n v="0"/>
    <n v="0"/>
    <n v="0"/>
    <m/>
    <n v="0"/>
    <n v="3379.6260765519837"/>
    <m/>
    <s v="El porcentaje estimado para el GAS es del 6% en relación al costo de la intervención"/>
    <x v="11"/>
    <x v="2"/>
  </r>
  <r>
    <n v="1050"/>
    <x v="7"/>
    <x v="27"/>
    <s v="PSM costs for Partners of people living with HIV"/>
    <x v="2"/>
    <m/>
    <m/>
    <m/>
    <m/>
    <m/>
    <m/>
    <m/>
    <m/>
    <m/>
    <s v="-"/>
    <n v="0"/>
    <s v="-"/>
    <n v="1.7849229731090998E-12"/>
    <s v="-"/>
    <n v="0"/>
    <s v="-"/>
    <n v="0"/>
    <m/>
    <n v="1.7849229731090998E-12"/>
    <m/>
    <m/>
    <m/>
    <m/>
    <n v="0"/>
    <m/>
    <n v="1.86378479748342E-12"/>
    <m/>
    <n v="0"/>
    <m/>
    <n v="0"/>
    <m/>
    <n v="1.86378479748342E-12"/>
    <m/>
    <m/>
    <m/>
    <m/>
    <n v="0"/>
    <m/>
    <n v="1.9840023569941196E-12"/>
    <m/>
    <n v="0"/>
    <m/>
    <n v="0"/>
    <m/>
    <n v="1.9840023569941196E-12"/>
    <m/>
    <m/>
    <m/>
    <m/>
    <n v="0"/>
    <n v="0"/>
    <n v="0"/>
    <n v="0"/>
    <n v="0"/>
    <n v="0"/>
    <n v="0"/>
    <n v="0"/>
    <n v="0"/>
    <m/>
    <n v="0"/>
    <n v="5.6327101275866396E-12"/>
    <m/>
    <m/>
    <x v="11"/>
    <x v="2"/>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72"/>
    <x v="7"/>
    <x v="27"/>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73"/>
    <x v="7"/>
    <x v="27"/>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74"/>
    <x v="7"/>
    <x v="27"/>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75"/>
    <x v="7"/>
    <x v="27"/>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76"/>
    <x v="7"/>
    <x v="27"/>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77"/>
    <x v="7"/>
    <x v="27"/>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78"/>
    <x v="7"/>
    <x v="27"/>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79"/>
    <x v="7"/>
    <x v="27"/>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80"/>
    <x v="8"/>
    <x v="28"/>
    <s v="Procurement of Antiretroviral medicines"/>
    <x v="23"/>
    <m/>
    <m/>
    <m/>
    <m/>
    <m/>
    <m/>
    <m/>
    <m/>
    <m/>
    <s v="-"/>
    <n v="0"/>
    <s v="-"/>
    <n v="0"/>
    <s v="-"/>
    <n v="0"/>
    <s v="-"/>
    <n v="0"/>
    <m/>
    <n v="0"/>
    <m/>
    <m/>
    <m/>
    <m/>
    <n v="0"/>
    <m/>
    <n v="0"/>
    <m/>
    <n v="0"/>
    <m/>
    <n v="0"/>
    <m/>
    <n v="0"/>
    <m/>
    <m/>
    <m/>
    <m/>
    <n v="0"/>
    <m/>
    <n v="0"/>
    <m/>
    <n v="0"/>
    <m/>
    <n v="0"/>
    <m/>
    <n v="0"/>
    <m/>
    <m/>
    <m/>
    <m/>
    <n v="0"/>
    <n v="0"/>
    <n v="0"/>
    <n v="0"/>
    <n v="0"/>
    <n v="0"/>
    <n v="0"/>
    <n v="0"/>
    <n v="0"/>
    <m/>
    <n v="0"/>
    <n v="0"/>
    <m/>
    <m/>
    <x v="0"/>
    <x v="2"/>
  </r>
  <r>
    <n v="1083"/>
    <x v="8"/>
    <x v="28"/>
    <s v="Procurement of CD4 machines and accessories"/>
    <x v="24"/>
    <m/>
    <m/>
    <m/>
    <m/>
    <m/>
    <m/>
    <m/>
    <m/>
    <m/>
    <s v="-"/>
    <n v="0"/>
    <s v="-"/>
    <n v="0"/>
    <s v="-"/>
    <n v="0"/>
    <s v="-"/>
    <n v="0"/>
    <m/>
    <n v="0"/>
    <m/>
    <m/>
    <m/>
    <m/>
    <n v="0"/>
    <m/>
    <n v="0"/>
    <m/>
    <n v="0"/>
    <m/>
    <n v="0"/>
    <m/>
    <n v="0"/>
    <m/>
    <m/>
    <m/>
    <m/>
    <n v="0"/>
    <m/>
    <n v="0"/>
    <m/>
    <n v="0"/>
    <m/>
    <n v="0"/>
    <m/>
    <n v="0"/>
    <m/>
    <m/>
    <m/>
    <m/>
    <n v="0"/>
    <n v="0"/>
    <n v="0"/>
    <n v="0"/>
    <n v="0"/>
    <n v="0"/>
    <n v="0"/>
    <n v="0"/>
    <n v="0"/>
    <m/>
    <n v="0"/>
    <n v="0"/>
    <m/>
    <m/>
    <x v="0"/>
    <x v="2"/>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x v="0"/>
    <x v="2"/>
  </r>
  <r>
    <n v="1085"/>
    <x v="8"/>
    <x v="28"/>
    <s v="Procurement of TB Molecular Test equipment"/>
    <x v="15"/>
    <m/>
    <m/>
    <m/>
    <m/>
    <m/>
    <m/>
    <m/>
    <m/>
    <m/>
    <s v="-"/>
    <n v="0"/>
    <s v="-"/>
    <n v="0"/>
    <s v="-"/>
    <n v="0"/>
    <s v="-"/>
    <n v="0"/>
    <m/>
    <n v="0"/>
    <m/>
    <m/>
    <m/>
    <m/>
    <n v="0"/>
    <m/>
    <n v="0"/>
    <m/>
    <n v="0"/>
    <m/>
    <n v="0"/>
    <m/>
    <n v="0"/>
    <m/>
    <m/>
    <m/>
    <m/>
    <n v="0"/>
    <m/>
    <n v="0"/>
    <m/>
    <n v="0"/>
    <m/>
    <n v="0"/>
    <m/>
    <n v="0"/>
    <m/>
    <m/>
    <m/>
    <m/>
    <n v="0"/>
    <n v="0"/>
    <n v="0"/>
    <n v="0"/>
    <n v="0"/>
    <n v="0"/>
    <n v="0"/>
    <n v="0"/>
    <n v="0"/>
    <m/>
    <n v="0"/>
    <n v="0"/>
    <m/>
    <m/>
    <x v="0"/>
    <x v="2"/>
  </r>
  <r>
    <n v="1086"/>
    <x v="8"/>
    <x v="28"/>
    <s v="Maintenance and service contracts"/>
    <x v="16"/>
    <m/>
    <m/>
    <m/>
    <m/>
    <m/>
    <m/>
    <m/>
    <m/>
    <m/>
    <s v="-"/>
    <n v="0"/>
    <s v="-"/>
    <n v="0"/>
    <s v="-"/>
    <n v="0"/>
    <s v="-"/>
    <n v="0"/>
    <m/>
    <n v="0"/>
    <m/>
    <m/>
    <m/>
    <m/>
    <n v="0"/>
    <m/>
    <n v="0"/>
    <m/>
    <n v="0"/>
    <m/>
    <n v="0"/>
    <m/>
    <n v="0"/>
    <m/>
    <m/>
    <m/>
    <m/>
    <n v="0"/>
    <m/>
    <n v="0"/>
    <m/>
    <n v="0"/>
    <m/>
    <n v="0"/>
    <m/>
    <n v="0"/>
    <m/>
    <m/>
    <m/>
    <m/>
    <n v="0"/>
    <n v="0"/>
    <n v="0"/>
    <n v="0"/>
    <n v="0"/>
    <n v="0"/>
    <n v="0"/>
    <n v="0"/>
    <n v="0"/>
    <m/>
    <n v="0"/>
    <n v="0"/>
    <m/>
    <m/>
    <x v="0"/>
    <x v="2"/>
  </r>
  <r>
    <n v="1087"/>
    <x v="8"/>
    <x v="28"/>
    <s v="Procurement of other health equipment"/>
    <x v="9"/>
    <m/>
    <m/>
    <m/>
    <m/>
    <m/>
    <m/>
    <m/>
    <m/>
    <m/>
    <s v="-"/>
    <n v="0"/>
    <s v="-"/>
    <n v="255000"/>
    <s v="-"/>
    <n v="0"/>
    <s v="-"/>
    <n v="0"/>
    <m/>
    <n v="255000"/>
    <m/>
    <m/>
    <m/>
    <m/>
    <n v="0"/>
    <m/>
    <n v="0"/>
    <m/>
    <n v="0"/>
    <m/>
    <n v="0"/>
    <m/>
    <n v="0"/>
    <m/>
    <m/>
    <m/>
    <m/>
    <n v="0"/>
    <m/>
    <n v="0"/>
    <m/>
    <n v="0"/>
    <m/>
    <n v="0"/>
    <m/>
    <n v="0"/>
    <m/>
    <m/>
    <m/>
    <m/>
    <n v="0"/>
    <n v="0"/>
    <n v="0"/>
    <n v="0"/>
    <n v="0"/>
    <n v="0"/>
    <n v="0"/>
    <n v="0"/>
    <n v="0"/>
    <m/>
    <n v="0"/>
    <n v="255000"/>
    <m/>
    <s v="Los equipos ha adquirir fortaleceran las diferentes actividades de prestaciòn de servicios toma, manejo y procesamientos de diferentes pruebas de VIH e ITS a la poblaciòn clave"/>
    <x v="0"/>
    <x v="2"/>
  </r>
  <r>
    <n v="1088"/>
    <x v="8"/>
    <x v="28"/>
    <s v="Procurement of laboratory reagents"/>
    <x v="14"/>
    <m/>
    <m/>
    <m/>
    <m/>
    <m/>
    <m/>
    <m/>
    <m/>
    <m/>
    <s v="-"/>
    <n v="0"/>
    <s v="-"/>
    <n v="380413.43999999994"/>
    <s v="-"/>
    <n v="1136451"/>
    <s v="-"/>
    <n v="0"/>
    <m/>
    <n v="1516864.44"/>
    <m/>
    <m/>
    <m/>
    <m/>
    <n v="0"/>
    <m/>
    <n v="1644015.38"/>
    <m/>
    <n v="0"/>
    <m/>
    <n v="0"/>
    <m/>
    <n v="1644015.38"/>
    <m/>
    <m/>
    <m/>
    <m/>
    <n v="0"/>
    <m/>
    <n v="1789812.6"/>
    <m/>
    <n v="0"/>
    <m/>
    <n v="0"/>
    <m/>
    <n v="1789812.6"/>
    <m/>
    <m/>
    <m/>
    <m/>
    <n v="0"/>
    <n v="0"/>
    <n v="0"/>
    <n v="0"/>
    <n v="0"/>
    <n v="0"/>
    <n v="0"/>
    <n v="0"/>
    <n v="0"/>
    <m/>
    <n v="0"/>
    <n v="4950692.42"/>
    <m/>
    <s v="Para el seguimiento de las personas con VIH es necesaria la adquisición de reactivos, consumibles y servicios de mantenimiento para pruebas de carga viral para VIH. Se realizará una prueba  por persona dentro de la cohorte  al año, estas pruebas son necesarias para la evaluaciòn virológica y éxito del tratamiento, detección de sospechas y confirmación de las fallas virológicas en los 20 hospitales con TAR descentralizados en todo el país, los cuales ascenderán a 31 al finalizar la subvención."/>
    <x v="0"/>
    <x v="2"/>
  </r>
  <r>
    <n v="1089"/>
    <x v="8"/>
    <x v="28"/>
    <s v="Procurement of consumables"/>
    <x v="13"/>
    <m/>
    <m/>
    <m/>
    <m/>
    <m/>
    <m/>
    <m/>
    <m/>
    <m/>
    <s v="-"/>
    <n v="0"/>
    <s v="-"/>
    <n v="0"/>
    <s v="-"/>
    <n v="185894"/>
    <s v="-"/>
    <n v="0"/>
    <m/>
    <n v="185894"/>
    <m/>
    <m/>
    <m/>
    <m/>
    <n v="0"/>
    <m/>
    <n v="187954"/>
    <m/>
    <n v="0"/>
    <m/>
    <n v="0"/>
    <m/>
    <n v="187954"/>
    <m/>
    <m/>
    <m/>
    <m/>
    <n v="0"/>
    <m/>
    <n v="191044"/>
    <m/>
    <n v="0"/>
    <m/>
    <n v="0"/>
    <m/>
    <n v="191044"/>
    <m/>
    <m/>
    <m/>
    <m/>
    <n v="0"/>
    <n v="0"/>
    <n v="0"/>
    <n v="0"/>
    <n v="0"/>
    <n v="0"/>
    <n v="0"/>
    <n v="0"/>
    <n v="0"/>
    <m/>
    <n v="0"/>
    <n v="564892"/>
    <m/>
    <s v="Estos Insumos para procesamiento, bioseguridad individuales y colectivos para la toma, manejo y realizacion de las pruebas, se han incluido para desarrollar adecuadamente las pruebas diagnosticas dentro de la nueva normalidad  a las personas de las poblaciones clave HSH, Nujeres TRANS, TS entre otras, tanto en diagnostico como en seguimiento de VIH y otras ITS, en los dos perfiles contenidos en la intervenciòn durante cada año de la suvbenciòn"/>
    <x v="0"/>
    <x v="2"/>
  </r>
  <r>
    <n v="1090"/>
    <x v="8"/>
    <x v="28"/>
    <s v="PSM Costs"/>
    <x v="1"/>
    <m/>
    <m/>
    <m/>
    <m/>
    <m/>
    <m/>
    <m/>
    <m/>
    <m/>
    <s v="-"/>
    <n v="0"/>
    <s v="-"/>
    <n v="38124.806399999994"/>
    <s v="-"/>
    <n v="79340.7"/>
    <s v="-"/>
    <n v="0"/>
    <m/>
    <n v="117465.50639999998"/>
    <m/>
    <m/>
    <m/>
    <m/>
    <n v="0"/>
    <m/>
    <n v="109918.16279999999"/>
    <m/>
    <n v="0"/>
    <m/>
    <n v="0"/>
    <m/>
    <n v="109918.16279999999"/>
    <m/>
    <m/>
    <m/>
    <m/>
    <n v="0"/>
    <m/>
    <n v="118851.39599999999"/>
    <m/>
    <n v="0"/>
    <m/>
    <n v="0"/>
    <m/>
    <n v="118851.39599999999"/>
    <m/>
    <m/>
    <m/>
    <m/>
    <n v="0"/>
    <n v="0"/>
    <n v="0"/>
    <n v="0"/>
    <n v="0"/>
    <n v="0"/>
    <n v="0"/>
    <n v="0"/>
    <n v="0"/>
    <m/>
    <n v="0"/>
    <n v="346235.06519999995"/>
    <m/>
    <s v="El porcentaje estimado para el GAS es del 6% en relación al costo de la intervención"/>
    <x v="0"/>
    <x v="2"/>
  </r>
  <r>
    <n v="1091"/>
    <x v="8"/>
    <x v="28"/>
    <s v="PSM Costs"/>
    <x v="2"/>
    <m/>
    <m/>
    <m/>
    <m/>
    <m/>
    <m/>
    <m/>
    <m/>
    <m/>
    <s v="-"/>
    <n v="0"/>
    <s v="-"/>
    <n v="6.3541343999999995E-11"/>
    <s v="-"/>
    <n v="1.322345E-10"/>
    <s v="-"/>
    <n v="0"/>
    <m/>
    <n v="1.95775844E-10"/>
    <m/>
    <m/>
    <m/>
    <m/>
    <n v="0"/>
    <m/>
    <n v="1.8319693799999998E-10"/>
    <m/>
    <n v="0"/>
    <m/>
    <n v="0"/>
    <m/>
    <n v="1.8319693799999998E-10"/>
    <m/>
    <m/>
    <m/>
    <m/>
    <n v="0"/>
    <m/>
    <n v="1.9808565999999999E-10"/>
    <m/>
    <n v="0"/>
    <m/>
    <n v="0"/>
    <m/>
    <n v="1.9808565999999999E-10"/>
    <m/>
    <m/>
    <m/>
    <m/>
    <n v="0"/>
    <n v="0"/>
    <n v="0"/>
    <n v="0"/>
    <n v="0"/>
    <n v="0"/>
    <n v="0"/>
    <n v="0"/>
    <n v="0"/>
    <m/>
    <n v="0"/>
    <n v="5.7705844199999994E-10"/>
    <m/>
    <m/>
    <x v="0"/>
    <x v="2"/>
  </r>
  <r>
    <n v="1092"/>
    <x v="8"/>
    <x v="28"/>
    <s v="PSM Costs"/>
    <x v="3"/>
    <m/>
    <m/>
    <m/>
    <m/>
    <m/>
    <m/>
    <m/>
    <m/>
    <m/>
    <s v="-"/>
    <n v="0"/>
    <s v="-"/>
    <n v="0"/>
    <s v="-"/>
    <n v="0"/>
    <s v="-"/>
    <n v="0"/>
    <m/>
    <n v="0"/>
    <m/>
    <m/>
    <m/>
    <m/>
    <n v="0"/>
    <m/>
    <n v="0"/>
    <m/>
    <n v="0"/>
    <m/>
    <n v="0"/>
    <m/>
    <n v="0"/>
    <m/>
    <m/>
    <m/>
    <m/>
    <n v="0"/>
    <m/>
    <n v="0"/>
    <m/>
    <n v="0"/>
    <m/>
    <n v="0"/>
    <m/>
    <n v="0"/>
    <m/>
    <m/>
    <m/>
    <m/>
    <n v="0"/>
    <n v="0"/>
    <n v="0"/>
    <n v="0"/>
    <n v="0"/>
    <n v="0"/>
    <n v="0"/>
    <n v="0"/>
    <n v="0"/>
    <m/>
    <n v="0"/>
    <n v="0"/>
    <m/>
    <m/>
    <x v="0"/>
    <x v="2"/>
  </r>
  <r>
    <n v="1093"/>
    <x v="8"/>
    <x v="28"/>
    <s v="PSM Costs"/>
    <x v="4"/>
    <m/>
    <m/>
    <m/>
    <m/>
    <m/>
    <m/>
    <m/>
    <m/>
    <m/>
    <s v="-"/>
    <n v="0"/>
    <s v="-"/>
    <n v="0"/>
    <s v="-"/>
    <n v="0"/>
    <s v="-"/>
    <n v="0"/>
    <m/>
    <n v="0"/>
    <m/>
    <m/>
    <m/>
    <m/>
    <n v="0"/>
    <m/>
    <n v="0"/>
    <m/>
    <n v="0"/>
    <m/>
    <n v="0"/>
    <m/>
    <n v="0"/>
    <m/>
    <m/>
    <m/>
    <m/>
    <n v="0"/>
    <m/>
    <n v="0"/>
    <m/>
    <n v="0"/>
    <m/>
    <n v="0"/>
    <m/>
    <n v="0"/>
    <m/>
    <m/>
    <m/>
    <m/>
    <n v="0"/>
    <n v="0"/>
    <n v="0"/>
    <n v="0"/>
    <n v="0"/>
    <n v="0"/>
    <n v="0"/>
    <n v="0"/>
    <n v="0"/>
    <m/>
    <n v="0"/>
    <n v="0"/>
    <m/>
    <m/>
    <x v="0"/>
    <x v="2"/>
  </r>
  <r>
    <n v="1094"/>
    <x v="8"/>
    <x v="28"/>
    <s v="PSM Costs"/>
    <x v="5"/>
    <m/>
    <m/>
    <m/>
    <m/>
    <m/>
    <m/>
    <m/>
    <m/>
    <m/>
    <s v="-"/>
    <n v="0"/>
    <s v="-"/>
    <n v="0"/>
    <s v="-"/>
    <n v="0"/>
    <s v="-"/>
    <n v="0"/>
    <m/>
    <n v="0"/>
    <m/>
    <m/>
    <m/>
    <m/>
    <n v="0"/>
    <m/>
    <n v="0"/>
    <m/>
    <n v="0"/>
    <m/>
    <n v="0"/>
    <m/>
    <n v="0"/>
    <m/>
    <m/>
    <m/>
    <m/>
    <n v="0"/>
    <m/>
    <n v="0"/>
    <m/>
    <n v="0"/>
    <m/>
    <n v="0"/>
    <m/>
    <n v="0"/>
    <m/>
    <m/>
    <m/>
    <m/>
    <n v="0"/>
    <n v="0"/>
    <n v="0"/>
    <n v="0"/>
    <n v="0"/>
    <n v="0"/>
    <n v="0"/>
    <n v="0"/>
    <n v="0"/>
    <m/>
    <n v="0"/>
    <n v="0"/>
    <m/>
    <m/>
    <x v="0"/>
    <x v="2"/>
  </r>
  <r>
    <n v="1095"/>
    <x v="8"/>
    <x v="28"/>
    <s v="PSM Costs"/>
    <x v="6"/>
    <m/>
    <m/>
    <m/>
    <m/>
    <m/>
    <m/>
    <m/>
    <m/>
    <m/>
    <s v="-"/>
    <n v="0"/>
    <s v="-"/>
    <n v="0"/>
    <s v="-"/>
    <n v="0"/>
    <s v="-"/>
    <n v="0"/>
    <m/>
    <n v="0"/>
    <m/>
    <m/>
    <m/>
    <m/>
    <n v="0"/>
    <m/>
    <n v="0"/>
    <m/>
    <n v="0"/>
    <m/>
    <n v="0"/>
    <m/>
    <n v="0"/>
    <m/>
    <m/>
    <m/>
    <m/>
    <n v="0"/>
    <m/>
    <n v="0"/>
    <m/>
    <n v="0"/>
    <m/>
    <n v="0"/>
    <m/>
    <n v="0"/>
    <m/>
    <m/>
    <m/>
    <m/>
    <n v="0"/>
    <n v="0"/>
    <n v="0"/>
    <n v="0"/>
    <n v="0"/>
    <n v="0"/>
    <n v="0"/>
    <n v="0"/>
    <n v="0"/>
    <m/>
    <n v="0"/>
    <n v="0"/>
    <m/>
    <m/>
    <x v="0"/>
    <x v="2"/>
  </r>
  <r>
    <n v="1096"/>
    <x v="8"/>
    <x v="28"/>
    <s v="PSM Costs"/>
    <x v="7"/>
    <m/>
    <m/>
    <m/>
    <m/>
    <m/>
    <m/>
    <m/>
    <m/>
    <m/>
    <s v="-"/>
    <n v="0"/>
    <s v="-"/>
    <n v="0"/>
    <s v="-"/>
    <n v="0"/>
    <s v="-"/>
    <n v="0"/>
    <m/>
    <n v="0"/>
    <m/>
    <m/>
    <m/>
    <m/>
    <n v="0"/>
    <m/>
    <n v="0"/>
    <m/>
    <n v="0"/>
    <m/>
    <n v="0"/>
    <m/>
    <n v="0"/>
    <m/>
    <m/>
    <m/>
    <m/>
    <n v="0"/>
    <m/>
    <n v="0"/>
    <m/>
    <n v="0"/>
    <m/>
    <n v="0"/>
    <m/>
    <n v="0"/>
    <m/>
    <m/>
    <m/>
    <m/>
    <n v="0"/>
    <n v="0"/>
    <n v="0"/>
    <n v="0"/>
    <n v="0"/>
    <n v="0"/>
    <n v="0"/>
    <n v="0"/>
    <n v="0"/>
    <m/>
    <n v="0"/>
    <n v="0"/>
    <m/>
    <m/>
    <x v="0"/>
    <x v="2"/>
  </r>
  <r>
    <n v="1109"/>
    <x v="8"/>
    <x v="29"/>
    <s v="Procurement of OI and STI medicines"/>
    <x v="26"/>
    <m/>
    <m/>
    <m/>
    <m/>
    <m/>
    <m/>
    <m/>
    <m/>
    <m/>
    <s v="-"/>
    <n v="0"/>
    <s v="-"/>
    <n v="88680"/>
    <s v="-"/>
    <n v="0"/>
    <s v="-"/>
    <n v="0"/>
    <m/>
    <n v="88680"/>
    <m/>
    <m/>
    <m/>
    <m/>
    <n v="0"/>
    <m/>
    <n v="88680"/>
    <m/>
    <n v="0"/>
    <m/>
    <n v="0"/>
    <m/>
    <n v="88680"/>
    <m/>
    <m/>
    <m/>
    <m/>
    <n v="0"/>
    <m/>
    <n v="88680"/>
    <m/>
    <n v="0"/>
    <m/>
    <n v="0"/>
    <m/>
    <n v="88680"/>
    <m/>
    <m/>
    <m/>
    <m/>
    <n v="0"/>
    <n v="0"/>
    <n v="0"/>
    <n v="0"/>
    <n v="0"/>
    <n v="0"/>
    <n v="0"/>
    <n v="0"/>
    <n v="0"/>
    <m/>
    <n v="0"/>
    <n v="266040"/>
    <m/>
    <m/>
    <x v="0"/>
    <x v="2"/>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x v="0"/>
    <x v="2"/>
  </r>
  <r>
    <n v="1111"/>
    <x v="8"/>
    <x v="29"/>
    <s v="Procurement of other medicines"/>
    <x v="18"/>
    <m/>
    <m/>
    <m/>
    <m/>
    <m/>
    <m/>
    <m/>
    <m/>
    <m/>
    <s v="-"/>
    <n v="0"/>
    <s v="-"/>
    <n v="63432.5"/>
    <s v="-"/>
    <n v="0"/>
    <s v="-"/>
    <n v="0"/>
    <m/>
    <n v="63432.5"/>
    <m/>
    <m/>
    <m/>
    <m/>
    <n v="0"/>
    <m/>
    <n v="63432.5"/>
    <m/>
    <n v="0"/>
    <m/>
    <n v="0"/>
    <m/>
    <n v="63432.5"/>
    <m/>
    <m/>
    <m/>
    <m/>
    <n v="0"/>
    <m/>
    <n v="63432.5"/>
    <m/>
    <n v="0"/>
    <m/>
    <n v="0"/>
    <m/>
    <n v="63432.5"/>
    <m/>
    <m/>
    <m/>
    <m/>
    <n v="0"/>
    <n v="0"/>
    <n v="0"/>
    <n v="0"/>
    <n v="0"/>
    <n v="0"/>
    <n v="0"/>
    <n v="0"/>
    <n v="0"/>
    <m/>
    <n v="0"/>
    <n v="190297.5"/>
    <m/>
    <m/>
    <x v="0"/>
    <x v="2"/>
  </r>
  <r>
    <n v="1115"/>
    <x v="8"/>
    <x v="29"/>
    <s v="PSM Costs"/>
    <x v="1"/>
    <m/>
    <m/>
    <m/>
    <m/>
    <m/>
    <m/>
    <m/>
    <m/>
    <m/>
    <s v="-"/>
    <n v="0"/>
    <s v="-"/>
    <n v="9126.75"/>
    <s v="-"/>
    <n v="0"/>
    <s v="-"/>
    <n v="0"/>
    <m/>
    <n v="9126.75"/>
    <m/>
    <m/>
    <m/>
    <m/>
    <n v="0"/>
    <m/>
    <n v="9126.75"/>
    <m/>
    <n v="0"/>
    <m/>
    <n v="0"/>
    <m/>
    <n v="9126.75"/>
    <m/>
    <m/>
    <m/>
    <m/>
    <n v="0"/>
    <m/>
    <n v="9126.75"/>
    <m/>
    <n v="0"/>
    <m/>
    <n v="0"/>
    <m/>
    <n v="9126.75"/>
    <m/>
    <m/>
    <m/>
    <m/>
    <n v="0"/>
    <n v="0"/>
    <n v="0"/>
    <n v="0"/>
    <n v="0"/>
    <n v="0"/>
    <n v="0"/>
    <n v="0"/>
    <n v="0"/>
    <m/>
    <n v="0"/>
    <n v="27380.25"/>
    <m/>
    <s v="El porcentaje estimado para el GAS es del 6% en relación al costo de la intervención"/>
    <x v="0"/>
    <x v="2"/>
  </r>
  <r>
    <n v="1116"/>
    <x v="8"/>
    <x v="29"/>
    <s v="PSM Costs"/>
    <x v="2"/>
    <m/>
    <m/>
    <m/>
    <m/>
    <m/>
    <m/>
    <m/>
    <m/>
    <m/>
    <s v="-"/>
    <n v="0"/>
    <s v="-"/>
    <n v="1.5211249999999999E-11"/>
    <s v="-"/>
    <n v="0"/>
    <s v="-"/>
    <n v="0"/>
    <m/>
    <n v="1.5211249999999999E-11"/>
    <m/>
    <m/>
    <m/>
    <m/>
    <n v="0"/>
    <m/>
    <n v="1.5211249999999999E-11"/>
    <m/>
    <n v="0"/>
    <m/>
    <n v="0"/>
    <m/>
    <n v="1.5211249999999999E-11"/>
    <m/>
    <m/>
    <m/>
    <m/>
    <n v="0"/>
    <m/>
    <n v="1.5211249999999999E-11"/>
    <m/>
    <n v="0"/>
    <m/>
    <n v="0"/>
    <m/>
    <n v="1.5211249999999999E-11"/>
    <m/>
    <m/>
    <m/>
    <m/>
    <n v="0"/>
    <n v="0"/>
    <n v="0"/>
    <n v="0"/>
    <n v="0"/>
    <n v="0"/>
    <n v="0"/>
    <n v="0"/>
    <n v="0"/>
    <m/>
    <n v="0"/>
    <n v="4.5633749999999995E-11"/>
    <m/>
    <m/>
    <x v="0"/>
    <x v="2"/>
  </r>
  <r>
    <n v="1117"/>
    <x v="8"/>
    <x v="29"/>
    <s v="PSM Costs"/>
    <x v="3"/>
    <m/>
    <m/>
    <m/>
    <m/>
    <m/>
    <m/>
    <m/>
    <m/>
    <m/>
    <s v="-"/>
    <n v="0"/>
    <s v="-"/>
    <n v="0"/>
    <s v="-"/>
    <n v="0"/>
    <s v="-"/>
    <n v="0"/>
    <m/>
    <n v="0"/>
    <m/>
    <m/>
    <m/>
    <m/>
    <n v="0"/>
    <m/>
    <n v="0"/>
    <m/>
    <n v="0"/>
    <m/>
    <n v="0"/>
    <m/>
    <n v="0"/>
    <m/>
    <m/>
    <m/>
    <m/>
    <n v="0"/>
    <m/>
    <n v="0"/>
    <m/>
    <n v="0"/>
    <m/>
    <n v="0"/>
    <m/>
    <n v="0"/>
    <m/>
    <m/>
    <m/>
    <m/>
    <n v="0"/>
    <n v="0"/>
    <n v="0"/>
    <n v="0"/>
    <n v="0"/>
    <n v="0"/>
    <n v="0"/>
    <n v="0"/>
    <n v="0"/>
    <m/>
    <n v="0"/>
    <n v="0"/>
    <m/>
    <m/>
    <x v="0"/>
    <x v="2"/>
  </r>
  <r>
    <n v="1118"/>
    <x v="8"/>
    <x v="29"/>
    <s v="PSM Costs"/>
    <x v="4"/>
    <m/>
    <m/>
    <m/>
    <m/>
    <m/>
    <m/>
    <m/>
    <m/>
    <m/>
    <s v="-"/>
    <n v="0"/>
    <s v="-"/>
    <n v="0"/>
    <s v="-"/>
    <n v="0"/>
    <s v="-"/>
    <n v="0"/>
    <m/>
    <n v="0"/>
    <m/>
    <m/>
    <m/>
    <m/>
    <n v="0"/>
    <m/>
    <n v="0"/>
    <m/>
    <n v="0"/>
    <m/>
    <n v="0"/>
    <m/>
    <n v="0"/>
    <m/>
    <m/>
    <m/>
    <m/>
    <n v="0"/>
    <m/>
    <n v="0"/>
    <m/>
    <n v="0"/>
    <m/>
    <n v="0"/>
    <m/>
    <n v="0"/>
    <m/>
    <m/>
    <m/>
    <m/>
    <n v="0"/>
    <n v="0"/>
    <n v="0"/>
    <n v="0"/>
    <n v="0"/>
    <n v="0"/>
    <n v="0"/>
    <n v="0"/>
    <n v="0"/>
    <m/>
    <n v="0"/>
    <n v="0"/>
    <m/>
    <m/>
    <x v="0"/>
    <x v="2"/>
  </r>
  <r>
    <n v="1119"/>
    <x v="8"/>
    <x v="29"/>
    <s v="PSM Costs"/>
    <x v="5"/>
    <m/>
    <m/>
    <m/>
    <m/>
    <m/>
    <m/>
    <m/>
    <m/>
    <m/>
    <s v="-"/>
    <n v="0"/>
    <s v="-"/>
    <n v="0"/>
    <s v="-"/>
    <n v="0"/>
    <s v="-"/>
    <n v="0"/>
    <m/>
    <n v="0"/>
    <m/>
    <m/>
    <m/>
    <m/>
    <n v="0"/>
    <m/>
    <n v="0"/>
    <m/>
    <n v="0"/>
    <m/>
    <n v="0"/>
    <m/>
    <n v="0"/>
    <m/>
    <m/>
    <m/>
    <m/>
    <n v="0"/>
    <m/>
    <n v="0"/>
    <m/>
    <n v="0"/>
    <m/>
    <n v="0"/>
    <m/>
    <n v="0"/>
    <m/>
    <m/>
    <m/>
    <m/>
    <n v="0"/>
    <n v="0"/>
    <n v="0"/>
    <n v="0"/>
    <n v="0"/>
    <n v="0"/>
    <n v="0"/>
    <n v="0"/>
    <n v="0"/>
    <m/>
    <n v="0"/>
    <n v="0"/>
    <m/>
    <m/>
    <x v="0"/>
    <x v="2"/>
  </r>
  <r>
    <n v="1120"/>
    <x v="8"/>
    <x v="29"/>
    <s v="PSM Costs"/>
    <x v="6"/>
    <m/>
    <m/>
    <m/>
    <m/>
    <m/>
    <m/>
    <m/>
    <m/>
    <m/>
    <s v="-"/>
    <n v="0"/>
    <s v="-"/>
    <n v="0"/>
    <s v="-"/>
    <n v="0"/>
    <s v="-"/>
    <n v="0"/>
    <m/>
    <n v="0"/>
    <m/>
    <m/>
    <m/>
    <m/>
    <n v="0"/>
    <m/>
    <n v="0"/>
    <m/>
    <n v="0"/>
    <m/>
    <n v="0"/>
    <m/>
    <n v="0"/>
    <m/>
    <m/>
    <m/>
    <m/>
    <n v="0"/>
    <m/>
    <n v="0"/>
    <m/>
    <n v="0"/>
    <m/>
    <n v="0"/>
    <m/>
    <n v="0"/>
    <m/>
    <m/>
    <m/>
    <m/>
    <n v="0"/>
    <n v="0"/>
    <n v="0"/>
    <n v="0"/>
    <n v="0"/>
    <n v="0"/>
    <n v="0"/>
    <n v="0"/>
    <n v="0"/>
    <m/>
    <n v="0"/>
    <n v="0"/>
    <m/>
    <m/>
    <x v="0"/>
    <x v="2"/>
  </r>
  <r>
    <n v="1121"/>
    <x v="8"/>
    <x v="29"/>
    <s v="PSM Costs"/>
    <x v="7"/>
    <m/>
    <m/>
    <m/>
    <m/>
    <m/>
    <m/>
    <m/>
    <m/>
    <m/>
    <s v="-"/>
    <n v="0"/>
    <s v="-"/>
    <n v="0"/>
    <s v="-"/>
    <n v="0"/>
    <s v="-"/>
    <n v="0"/>
    <m/>
    <n v="0"/>
    <m/>
    <m/>
    <m/>
    <m/>
    <n v="0"/>
    <m/>
    <n v="0"/>
    <m/>
    <n v="0"/>
    <m/>
    <n v="0"/>
    <m/>
    <n v="0"/>
    <m/>
    <m/>
    <m/>
    <m/>
    <n v="0"/>
    <m/>
    <n v="0"/>
    <m/>
    <n v="0"/>
    <m/>
    <n v="0"/>
    <m/>
    <n v="0"/>
    <m/>
    <m/>
    <m/>
    <m/>
    <n v="0"/>
    <n v="0"/>
    <n v="0"/>
    <n v="0"/>
    <n v="0"/>
    <n v="0"/>
    <n v="0"/>
    <n v="0"/>
    <n v="0"/>
    <m/>
    <n v="0"/>
    <n v="0"/>
    <m/>
    <m/>
    <x v="0"/>
    <x v="2"/>
  </r>
  <r>
    <n v="72"/>
    <x v="1"/>
    <x v="7"/>
    <s v="Maintenance and service contracts"/>
    <x v="16"/>
    <m/>
    <m/>
    <m/>
    <m/>
    <m/>
    <m/>
    <m/>
    <m/>
    <m/>
    <s v="-"/>
    <n v="0"/>
    <s v="-"/>
    <n v="0"/>
    <s v="-"/>
    <n v="0"/>
    <s v="-"/>
    <n v="0"/>
    <m/>
    <n v="0"/>
    <m/>
    <m/>
    <m/>
    <m/>
    <n v="0"/>
    <m/>
    <n v="0"/>
    <m/>
    <n v="0"/>
    <m/>
    <n v="0"/>
    <m/>
    <n v="0"/>
    <m/>
    <m/>
    <m/>
    <m/>
    <n v="0"/>
    <m/>
    <n v="0"/>
    <m/>
    <n v="0"/>
    <m/>
    <n v="0"/>
    <m/>
    <n v="0"/>
    <m/>
    <m/>
    <m/>
    <m/>
    <n v="0"/>
    <n v="0"/>
    <n v="0"/>
    <n v="0"/>
    <n v="0"/>
    <n v="0"/>
    <n v="0"/>
    <n v="0"/>
    <n v="0"/>
    <m/>
    <n v="0"/>
    <n v="0"/>
    <m/>
    <m/>
    <x v="0"/>
    <x v="0"/>
  </r>
  <r>
    <m/>
    <x v="9"/>
    <x v="30"/>
    <s v="Procurement of medicines"/>
    <x v="18"/>
    <m/>
    <m/>
    <m/>
    <m/>
    <m/>
    <m/>
    <m/>
    <m/>
    <m/>
    <m/>
    <n v="0"/>
    <m/>
    <n v="0"/>
    <m/>
    <n v="0"/>
    <m/>
    <n v="0"/>
    <m/>
    <n v="0"/>
    <m/>
    <m/>
    <m/>
    <m/>
    <n v="0"/>
    <m/>
    <n v="0"/>
    <m/>
    <n v="0"/>
    <m/>
    <n v="0"/>
    <m/>
    <n v="0"/>
    <m/>
    <m/>
    <m/>
    <m/>
    <n v="0"/>
    <m/>
    <n v="0"/>
    <m/>
    <n v="0"/>
    <m/>
    <n v="0"/>
    <m/>
    <n v="0"/>
    <m/>
    <m/>
    <m/>
    <m/>
    <m/>
    <m/>
    <m/>
    <m/>
    <m/>
    <m/>
    <m/>
    <m/>
    <n v="0"/>
    <m/>
    <n v="0"/>
    <n v="0"/>
    <m/>
    <m/>
    <x v="0"/>
    <x v="3"/>
  </r>
  <r>
    <m/>
    <x v="9"/>
    <x v="30"/>
    <s v="Procurement of diagnostic reagents &amp; consumables"/>
    <x v="14"/>
    <m/>
    <m/>
    <m/>
    <m/>
    <m/>
    <m/>
    <m/>
    <m/>
    <m/>
    <m/>
    <n v="0"/>
    <m/>
    <n v="0"/>
    <m/>
    <n v="0"/>
    <m/>
    <n v="0"/>
    <m/>
    <n v="0"/>
    <m/>
    <m/>
    <m/>
    <m/>
    <n v="0"/>
    <m/>
    <n v="0"/>
    <m/>
    <n v="0"/>
    <m/>
    <n v="0"/>
    <m/>
    <n v="0"/>
    <m/>
    <m/>
    <m/>
    <m/>
    <n v="0"/>
    <m/>
    <n v="0"/>
    <m/>
    <n v="0"/>
    <m/>
    <n v="0"/>
    <m/>
    <n v="0"/>
    <m/>
    <m/>
    <m/>
    <m/>
    <m/>
    <m/>
    <m/>
    <m/>
    <m/>
    <m/>
    <m/>
    <m/>
    <n v="0"/>
    <m/>
    <n v="0"/>
    <n v="0"/>
    <m/>
    <m/>
    <x v="0"/>
    <x v="3"/>
  </r>
  <r>
    <m/>
    <x v="9"/>
    <x v="30"/>
    <s v="Procurement of PPE &amp; consumables"/>
    <x v="13"/>
    <m/>
    <m/>
    <m/>
    <m/>
    <m/>
    <m/>
    <m/>
    <m/>
    <m/>
    <m/>
    <n v="0"/>
    <m/>
    <n v="0"/>
    <m/>
    <n v="0"/>
    <m/>
    <n v="0"/>
    <m/>
    <n v="0"/>
    <m/>
    <m/>
    <m/>
    <m/>
    <n v="0"/>
    <m/>
    <n v="0"/>
    <m/>
    <n v="0"/>
    <m/>
    <n v="0"/>
    <m/>
    <n v="0"/>
    <m/>
    <m/>
    <m/>
    <m/>
    <n v="0"/>
    <m/>
    <n v="0"/>
    <m/>
    <n v="0"/>
    <m/>
    <n v="0"/>
    <m/>
    <n v="0"/>
    <m/>
    <m/>
    <m/>
    <m/>
    <m/>
    <m/>
    <m/>
    <m/>
    <m/>
    <m/>
    <m/>
    <m/>
    <n v="0"/>
    <m/>
    <n v="0"/>
    <n v="0"/>
    <m/>
    <m/>
    <x v="0"/>
    <x v="3"/>
  </r>
  <r>
    <m/>
    <x v="9"/>
    <x v="30"/>
    <s v="Maintenance and service contracts"/>
    <x v="16"/>
    <m/>
    <m/>
    <m/>
    <m/>
    <m/>
    <m/>
    <m/>
    <m/>
    <m/>
    <m/>
    <n v="0"/>
    <m/>
    <n v="0"/>
    <m/>
    <n v="0"/>
    <m/>
    <n v="0"/>
    <m/>
    <n v="0"/>
    <m/>
    <m/>
    <m/>
    <m/>
    <n v="0"/>
    <m/>
    <n v="0"/>
    <m/>
    <n v="0"/>
    <m/>
    <n v="0"/>
    <m/>
    <n v="0"/>
    <m/>
    <m/>
    <m/>
    <m/>
    <n v="0"/>
    <m/>
    <n v="0"/>
    <m/>
    <n v="0"/>
    <m/>
    <n v="0"/>
    <m/>
    <n v="0"/>
    <m/>
    <m/>
    <m/>
    <m/>
    <m/>
    <m/>
    <m/>
    <m/>
    <m/>
    <m/>
    <m/>
    <m/>
    <m/>
    <m/>
    <m/>
    <n v="0"/>
    <m/>
    <m/>
    <x v="12"/>
    <x v="3"/>
  </r>
  <r>
    <m/>
    <x v="9"/>
    <x v="30"/>
    <s v="Procurement of medical &amp; laboratory equipment"/>
    <x v="9"/>
    <m/>
    <m/>
    <m/>
    <m/>
    <m/>
    <m/>
    <m/>
    <m/>
    <m/>
    <m/>
    <n v="0"/>
    <m/>
    <n v="0"/>
    <m/>
    <n v="0"/>
    <m/>
    <n v="0"/>
    <m/>
    <n v="0"/>
    <m/>
    <m/>
    <m/>
    <m/>
    <n v="0"/>
    <m/>
    <n v="0"/>
    <m/>
    <n v="0"/>
    <m/>
    <n v="0"/>
    <m/>
    <n v="0"/>
    <m/>
    <m/>
    <m/>
    <m/>
    <n v="0"/>
    <m/>
    <n v="0"/>
    <m/>
    <n v="0"/>
    <m/>
    <n v="0"/>
    <m/>
    <n v="0"/>
    <m/>
    <m/>
    <m/>
    <m/>
    <m/>
    <m/>
    <m/>
    <m/>
    <m/>
    <m/>
    <m/>
    <m/>
    <n v="0"/>
    <m/>
    <n v="0"/>
    <n v="0"/>
    <m/>
    <m/>
    <x v="0"/>
    <x v="3"/>
  </r>
  <r>
    <m/>
    <x v="9"/>
    <x v="30"/>
    <s v="PSM Costs"/>
    <x v="1"/>
    <m/>
    <m/>
    <m/>
    <m/>
    <m/>
    <m/>
    <m/>
    <m/>
    <m/>
    <m/>
    <n v="0"/>
    <m/>
    <n v="0"/>
    <m/>
    <n v="0"/>
    <m/>
    <n v="0"/>
    <m/>
    <n v="0"/>
    <m/>
    <m/>
    <m/>
    <m/>
    <n v="0"/>
    <m/>
    <n v="0"/>
    <m/>
    <n v="0"/>
    <m/>
    <n v="0"/>
    <m/>
    <n v="0"/>
    <m/>
    <m/>
    <m/>
    <m/>
    <n v="0"/>
    <m/>
    <n v="0"/>
    <m/>
    <n v="0"/>
    <m/>
    <n v="0"/>
    <m/>
    <n v="0"/>
    <m/>
    <m/>
    <m/>
    <m/>
    <m/>
    <m/>
    <m/>
    <m/>
    <m/>
    <m/>
    <m/>
    <m/>
    <n v="0"/>
    <m/>
    <n v="0"/>
    <n v="0"/>
    <m/>
    <m/>
    <x v="0"/>
    <x v="3"/>
  </r>
  <r>
    <m/>
    <x v="9"/>
    <x v="30"/>
    <s v="PSM Costs"/>
    <x v="2"/>
    <m/>
    <m/>
    <m/>
    <m/>
    <m/>
    <m/>
    <m/>
    <m/>
    <m/>
    <m/>
    <n v="0"/>
    <m/>
    <n v="0"/>
    <m/>
    <n v="0"/>
    <m/>
    <n v="0"/>
    <m/>
    <n v="0"/>
    <m/>
    <m/>
    <m/>
    <m/>
    <n v="0"/>
    <m/>
    <n v="0"/>
    <m/>
    <n v="0"/>
    <m/>
    <n v="0"/>
    <m/>
    <n v="0"/>
    <m/>
    <m/>
    <m/>
    <m/>
    <n v="0"/>
    <m/>
    <n v="0"/>
    <m/>
    <n v="0"/>
    <m/>
    <n v="0"/>
    <m/>
    <n v="0"/>
    <m/>
    <m/>
    <m/>
    <m/>
    <m/>
    <m/>
    <m/>
    <m/>
    <m/>
    <m/>
    <m/>
    <m/>
    <n v="0"/>
    <m/>
    <n v="0"/>
    <n v="0"/>
    <m/>
    <m/>
    <x v="0"/>
    <x v="3"/>
  </r>
  <r>
    <m/>
    <x v="9"/>
    <x v="30"/>
    <s v="PSM Costs"/>
    <x v="3"/>
    <m/>
    <m/>
    <m/>
    <m/>
    <m/>
    <m/>
    <m/>
    <m/>
    <m/>
    <m/>
    <n v="0"/>
    <m/>
    <n v="0"/>
    <m/>
    <n v="0"/>
    <m/>
    <n v="0"/>
    <m/>
    <n v="0"/>
    <m/>
    <m/>
    <m/>
    <m/>
    <n v="0"/>
    <m/>
    <n v="0"/>
    <m/>
    <n v="0"/>
    <m/>
    <n v="0"/>
    <m/>
    <n v="0"/>
    <m/>
    <m/>
    <m/>
    <m/>
    <n v="0"/>
    <m/>
    <n v="0"/>
    <m/>
    <n v="0"/>
    <m/>
    <n v="0"/>
    <m/>
    <n v="0"/>
    <m/>
    <m/>
    <m/>
    <m/>
    <m/>
    <m/>
    <m/>
    <m/>
    <m/>
    <m/>
    <m/>
    <m/>
    <n v="0"/>
    <m/>
    <n v="0"/>
    <n v="0"/>
    <m/>
    <m/>
    <x v="0"/>
    <x v="3"/>
  </r>
  <r>
    <m/>
    <x v="9"/>
    <x v="30"/>
    <s v="PSM Costs"/>
    <x v="4"/>
    <m/>
    <m/>
    <m/>
    <m/>
    <m/>
    <m/>
    <m/>
    <m/>
    <m/>
    <m/>
    <n v="0"/>
    <m/>
    <n v="0"/>
    <m/>
    <n v="0"/>
    <m/>
    <n v="0"/>
    <m/>
    <n v="0"/>
    <m/>
    <m/>
    <m/>
    <m/>
    <n v="0"/>
    <m/>
    <n v="0"/>
    <m/>
    <n v="0"/>
    <m/>
    <n v="0"/>
    <m/>
    <n v="0"/>
    <m/>
    <m/>
    <m/>
    <m/>
    <n v="0"/>
    <m/>
    <n v="0"/>
    <m/>
    <n v="0"/>
    <m/>
    <n v="0"/>
    <m/>
    <n v="0"/>
    <m/>
    <m/>
    <m/>
    <m/>
    <m/>
    <m/>
    <m/>
    <m/>
    <m/>
    <m/>
    <m/>
    <m/>
    <n v="0"/>
    <m/>
    <n v="0"/>
    <n v="0"/>
    <m/>
    <m/>
    <x v="0"/>
    <x v="3"/>
  </r>
  <r>
    <m/>
    <x v="9"/>
    <x v="30"/>
    <s v="PSM Costs"/>
    <x v="5"/>
    <m/>
    <m/>
    <m/>
    <m/>
    <m/>
    <m/>
    <m/>
    <m/>
    <m/>
    <m/>
    <n v="0"/>
    <m/>
    <n v="0"/>
    <m/>
    <n v="0"/>
    <m/>
    <n v="0"/>
    <m/>
    <n v="0"/>
    <m/>
    <m/>
    <m/>
    <m/>
    <n v="0"/>
    <m/>
    <n v="0"/>
    <m/>
    <n v="0"/>
    <m/>
    <n v="0"/>
    <m/>
    <n v="0"/>
    <m/>
    <m/>
    <m/>
    <m/>
    <n v="0"/>
    <m/>
    <n v="0"/>
    <m/>
    <n v="0"/>
    <m/>
    <n v="0"/>
    <m/>
    <n v="0"/>
    <m/>
    <m/>
    <m/>
    <m/>
    <m/>
    <m/>
    <m/>
    <m/>
    <m/>
    <m/>
    <m/>
    <m/>
    <n v="0"/>
    <m/>
    <n v="0"/>
    <n v="0"/>
    <m/>
    <m/>
    <x v="0"/>
    <x v="3"/>
  </r>
  <r>
    <m/>
    <x v="9"/>
    <x v="30"/>
    <s v="PSM Costs"/>
    <x v="6"/>
    <m/>
    <m/>
    <m/>
    <m/>
    <m/>
    <m/>
    <m/>
    <m/>
    <m/>
    <m/>
    <n v="0"/>
    <m/>
    <n v="0"/>
    <m/>
    <n v="0"/>
    <m/>
    <n v="0"/>
    <m/>
    <n v="0"/>
    <m/>
    <m/>
    <m/>
    <m/>
    <n v="0"/>
    <m/>
    <n v="0"/>
    <m/>
    <n v="0"/>
    <m/>
    <n v="0"/>
    <m/>
    <n v="0"/>
    <m/>
    <m/>
    <m/>
    <m/>
    <n v="0"/>
    <m/>
    <n v="0"/>
    <m/>
    <n v="0"/>
    <m/>
    <n v="0"/>
    <m/>
    <n v="0"/>
    <m/>
    <m/>
    <m/>
    <m/>
    <m/>
    <m/>
    <m/>
    <m/>
    <m/>
    <m/>
    <m/>
    <m/>
    <n v="0"/>
    <m/>
    <n v="0"/>
    <n v="0"/>
    <m/>
    <m/>
    <x v="0"/>
    <x v="3"/>
  </r>
  <r>
    <m/>
    <x v="9"/>
    <x v="30"/>
    <s v="PSM Costs"/>
    <x v="7"/>
    <m/>
    <m/>
    <m/>
    <m/>
    <m/>
    <m/>
    <m/>
    <m/>
    <m/>
    <m/>
    <n v="0"/>
    <m/>
    <n v="0"/>
    <m/>
    <n v="0"/>
    <m/>
    <n v="0"/>
    <m/>
    <n v="0"/>
    <m/>
    <m/>
    <m/>
    <m/>
    <n v="0"/>
    <m/>
    <n v="0"/>
    <m/>
    <n v="0"/>
    <m/>
    <n v="0"/>
    <m/>
    <n v="0"/>
    <m/>
    <m/>
    <m/>
    <m/>
    <n v="0"/>
    <m/>
    <n v="0"/>
    <m/>
    <n v="0"/>
    <m/>
    <n v="0"/>
    <m/>
    <n v="0"/>
    <m/>
    <m/>
    <m/>
    <m/>
    <m/>
    <m/>
    <m/>
    <m/>
    <m/>
    <m/>
    <m/>
    <m/>
    <n v="0"/>
    <m/>
    <n v="0"/>
    <n v="0"/>
    <m/>
    <m/>
    <x v="0"/>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2" cacheId="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R2:U483" firstHeaderRow="1" firstDataRow="1" firstDataCol="4"/>
  <pivotFields count="10">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0"/>
        <item x="1"/>
        <item x="2"/>
        <item x="3"/>
        <item h="1" m="1" x="9"/>
        <item x="4"/>
        <item x="5"/>
        <item h="1" m="1" x="10"/>
        <item x="6"/>
        <item x="7"/>
        <item h="1" x="8"/>
      </items>
      <extLst>
        <ext xmlns:x14="http://schemas.microsoft.com/office/spreadsheetml/2009/9/main" uri="{2946ED86-A175-432a-8AC1-64E0C546D7DE}">
          <x14:pivotField fillDownLabels="1"/>
        </ext>
      </extLst>
    </pivotField>
    <pivotField axis="axisRow" compact="0" outline="0" showAll="0" sortType="ascending" defaultSubtotal="0">
      <items count="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54">
        <item x="34"/>
        <item x="33"/>
        <item x="19"/>
        <item x="9"/>
        <item x="15"/>
        <item x="41"/>
        <item m="1" x="53"/>
        <item x="0"/>
        <item x="1"/>
        <item x="2"/>
        <item x="3"/>
        <item x="40"/>
        <item x="4"/>
        <item x="36"/>
        <item x="16"/>
        <item x="14"/>
        <item x="25"/>
        <item x="5"/>
        <item x="42"/>
        <item x="26"/>
        <item x="27"/>
        <item x="10"/>
        <item x="29"/>
        <item x="30"/>
        <item x="31"/>
        <item x="23"/>
        <item x="28"/>
        <item x="21"/>
        <item x="50"/>
        <item x="20"/>
        <item x="43"/>
        <item x="17"/>
        <item x="44"/>
        <item x="11"/>
        <item x="45"/>
        <item x="24"/>
        <item x="12"/>
        <item x="37"/>
        <item x="13"/>
        <item m="1" x="52"/>
        <item x="49"/>
        <item x="22"/>
        <item x="48"/>
        <item x="47"/>
        <item x="35"/>
        <item x="6"/>
        <item x="38"/>
        <item x="7"/>
        <item x="39"/>
        <item x="8"/>
        <item x="18"/>
        <item x="32"/>
        <item x="46"/>
        <item x="51"/>
      </items>
      <extLst>
        <ext xmlns:x14="http://schemas.microsoft.com/office/spreadsheetml/2009/9/main" uri="{2946ED86-A175-432a-8AC1-64E0C546D7DE}">
          <x14:pivotField fillDownLabels="1"/>
        </ext>
      </extLst>
    </pivotField>
    <pivotField axis="axisRow" compact="0" outline="0" showAll="0" sortType="ascending" defaultSubtotal="0">
      <items count="289">
        <item x="84"/>
        <item x="85"/>
        <item x="86"/>
        <item x="87"/>
        <item x="114"/>
        <item x="70"/>
        <item x="53"/>
        <item x="71"/>
        <item x="267"/>
        <item x="115"/>
        <item x="217"/>
        <item x="116"/>
        <item x="117"/>
        <item x="118"/>
        <item x="119"/>
        <item x="120"/>
        <item x="5"/>
        <item m="1" x="287"/>
        <item x="218"/>
        <item x="219"/>
        <item x="220"/>
        <item x="221"/>
        <item x="222"/>
        <item x="223"/>
        <item x="224"/>
        <item x="88"/>
        <item x="89"/>
        <item x="231"/>
        <item x="14"/>
        <item x="15"/>
        <item x="121"/>
        <item x="54"/>
        <item x="55"/>
        <item x="72"/>
        <item x="56"/>
        <item x="57"/>
        <item x="73"/>
        <item x="268"/>
        <item x="122"/>
        <item x="123"/>
        <item x="16"/>
        <item x="124"/>
        <item x="111"/>
        <item x="125"/>
        <item x="17"/>
        <item x="126"/>
        <item x="127"/>
        <item x="225"/>
        <item x="128"/>
        <item x="129"/>
        <item x="130"/>
        <item x="131"/>
        <item x="269"/>
        <item x="132"/>
        <item x="133"/>
        <item x="58"/>
        <item x="59"/>
        <item x="60"/>
        <item x="61"/>
        <item x="62"/>
        <item x="212"/>
        <item x="63"/>
        <item x="64"/>
        <item x="65"/>
        <item x="254"/>
        <item x="2"/>
        <item x="0"/>
        <item x="1"/>
        <item x="270"/>
        <item x="134"/>
        <item x="135"/>
        <item x="90"/>
        <item x="91"/>
        <item x="271"/>
        <item x="3"/>
        <item x="136"/>
        <item x="137"/>
        <item x="18"/>
        <item x="92"/>
        <item x="93"/>
        <item x="138"/>
        <item x="232"/>
        <item x="139"/>
        <item x="94"/>
        <item x="95"/>
        <item x="96"/>
        <item x="257"/>
        <item x="97"/>
        <item x="98"/>
        <item x="140"/>
        <item x="205"/>
        <item x="19"/>
        <item x="141"/>
        <item x="142"/>
        <item x="260"/>
        <item x="261"/>
        <item x="262"/>
        <item x="272"/>
        <item x="99"/>
        <item x="6"/>
        <item x="38"/>
        <item x="20"/>
        <item x="143"/>
        <item x="144"/>
        <item x="145"/>
        <item x="146"/>
        <item x="216"/>
        <item x="147"/>
        <item x="47"/>
        <item x="66"/>
        <item x="13"/>
        <item x="148"/>
        <item x="7"/>
        <item x="8"/>
        <item x="9"/>
        <item x="21"/>
        <item x="74"/>
        <item x="75"/>
        <item x="76"/>
        <item x="77"/>
        <item x="78"/>
        <item x="51"/>
        <item x="52"/>
        <item x="30"/>
        <item x="31"/>
        <item x="32"/>
        <item x="33"/>
        <item x="149"/>
        <item x="150"/>
        <item x="273"/>
        <item x="22"/>
        <item x="206"/>
        <item x="207"/>
        <item m="1" x="288"/>
        <item x="213"/>
        <item x="208"/>
        <item x="192"/>
        <item x="263"/>
        <item x="193"/>
        <item x="194"/>
        <item x="151"/>
        <item x="239"/>
        <item x="240"/>
        <item x="241"/>
        <item x="23"/>
        <item x="81"/>
        <item x="24"/>
        <item x="152"/>
        <item x="100"/>
        <item x="101"/>
        <item x="102"/>
        <item x="103"/>
        <item x="195"/>
        <item x="274"/>
        <item x="242"/>
        <item x="243"/>
        <item x="244"/>
        <item x="209"/>
        <item x="210"/>
        <item x="153"/>
        <item x="104"/>
        <item x="40"/>
        <item x="154"/>
        <item x="39"/>
        <item x="10"/>
        <item x="233"/>
        <item x="275"/>
        <item x="112"/>
        <item x="155"/>
        <item x="156"/>
        <item x="25"/>
        <item x="26"/>
        <item x="201"/>
        <item x="214"/>
        <item x="215"/>
        <item x="202"/>
        <item x="203"/>
        <item x="255"/>
        <item x="256"/>
        <item x="236"/>
        <item x="237"/>
        <item x="238"/>
        <item x="245"/>
        <item x="246"/>
        <item x="247"/>
        <item x="248"/>
        <item x="249"/>
        <item x="276"/>
        <item x="250"/>
        <item x="251"/>
        <item x="157"/>
        <item x="158"/>
        <item x="105"/>
        <item x="159"/>
        <item x="160"/>
        <item x="161"/>
        <item x="234"/>
        <item x="226"/>
        <item x="106"/>
        <item x="11"/>
        <item x="162"/>
        <item x="4"/>
        <item x="163"/>
        <item x="277"/>
        <item x="264"/>
        <item x="196"/>
        <item x="113"/>
        <item x="164"/>
        <item x="278"/>
        <item x="279"/>
        <item x="165"/>
        <item x="166"/>
        <item x="167"/>
        <item x="227"/>
        <item x="168"/>
        <item x="169"/>
        <item x="170"/>
        <item x="171"/>
        <item x="280"/>
        <item x="228"/>
        <item x="229"/>
        <item x="172"/>
        <item x="281"/>
        <item x="173"/>
        <item x="265"/>
        <item x="174"/>
        <item x="230"/>
        <item x="107"/>
        <item x="175"/>
        <item x="43"/>
        <item x="44"/>
        <item x="45"/>
        <item x="41"/>
        <item x="42"/>
        <item x="204"/>
        <item x="46"/>
        <item x="48"/>
        <item x="27"/>
        <item x="12"/>
        <item x="176"/>
        <item x="197"/>
        <item x="198"/>
        <item x="199"/>
        <item x="200"/>
        <item x="108"/>
        <item x="177"/>
        <item x="178"/>
        <item x="179"/>
        <item x="180"/>
        <item x="181"/>
        <item x="182"/>
        <item x="252"/>
        <item x="253"/>
        <item x="28"/>
        <item x="282"/>
        <item x="183"/>
        <item x="235"/>
        <item x="184"/>
        <item x="283"/>
        <item x="67"/>
        <item x="284"/>
        <item x="79"/>
        <item x="68"/>
        <item x="80"/>
        <item x="266"/>
        <item x="259"/>
        <item x="49"/>
        <item x="109"/>
        <item x="285"/>
        <item x="185"/>
        <item x="186"/>
        <item x="34"/>
        <item x="50"/>
        <item x="35"/>
        <item x="187"/>
        <item x="211"/>
        <item x="188"/>
        <item x="29"/>
        <item x="189"/>
        <item x="69"/>
        <item x="82"/>
        <item x="83"/>
        <item x="36"/>
        <item x="37"/>
        <item x="190"/>
        <item x="258"/>
        <item x="110"/>
        <item x="191"/>
        <item x="28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
    <field x="2"/>
    <field x="4"/>
    <field x="5"/>
  </rowFields>
  <rowItems count="481">
    <i>
      <x/>
      <x/>
      <x v="7"/>
      <x v="66"/>
    </i>
    <i r="3">
      <x v="67"/>
    </i>
    <i r="2">
      <x v="8"/>
      <x v="65"/>
    </i>
    <i r="2">
      <x v="9"/>
      <x v="74"/>
    </i>
    <i r="3">
      <x v="201"/>
    </i>
    <i r="2">
      <x v="10"/>
      <x v="16"/>
    </i>
    <i r="3">
      <x v="99"/>
    </i>
    <i r="3">
      <x v="112"/>
    </i>
    <i r="3">
      <x v="113"/>
    </i>
    <i r="3">
      <x v="114"/>
    </i>
    <i r="3">
      <x v="164"/>
    </i>
    <i r="3">
      <x v="199"/>
    </i>
    <i r="3">
      <x v="238"/>
    </i>
    <i>
      <x v="1"/>
      <x/>
      <x v="12"/>
      <x v="110"/>
    </i>
    <i r="2">
      <x v="17"/>
      <x v="28"/>
    </i>
    <i r="3">
      <x v="29"/>
    </i>
    <i r="3">
      <x v="40"/>
    </i>
    <i r="3">
      <x v="44"/>
    </i>
    <i r="3">
      <x v="77"/>
    </i>
    <i r="3">
      <x v="91"/>
    </i>
    <i r="3">
      <x v="101"/>
    </i>
    <i r="3">
      <x v="115"/>
    </i>
    <i r="3">
      <x v="130"/>
    </i>
    <i r="3">
      <x v="144"/>
    </i>
    <i r="3">
      <x v="146"/>
    </i>
    <i r="3">
      <x v="170"/>
    </i>
    <i r="3">
      <x v="171"/>
    </i>
    <i r="3">
      <x v="237"/>
    </i>
    <i r="3">
      <x v="253"/>
    </i>
    <i r="3">
      <x v="277"/>
    </i>
    <i r="2">
      <x v="45"/>
      <x v="123"/>
    </i>
    <i r="3">
      <x v="124"/>
    </i>
    <i r="3">
      <x v="125"/>
    </i>
    <i r="3">
      <x v="126"/>
    </i>
    <i r="2">
      <x v="47"/>
      <x v="271"/>
    </i>
    <i r="3">
      <x v="273"/>
    </i>
    <i r="2">
      <x v="49"/>
      <x v="282"/>
    </i>
    <i r="3">
      <x v="283"/>
    </i>
    <i>
      <x v="2"/>
      <x/>
      <x v="3"/>
      <x v="100"/>
    </i>
    <i r="3">
      <x v="163"/>
    </i>
    <i r="2">
      <x v="21"/>
      <x v="161"/>
    </i>
    <i r="1">
      <x v="1"/>
      <x v="33"/>
      <x v="232"/>
    </i>
    <i r="3">
      <x v="233"/>
    </i>
    <i r="2">
      <x v="36"/>
      <x v="229"/>
    </i>
    <i r="3">
      <x v="230"/>
    </i>
    <i r="3">
      <x v="231"/>
    </i>
    <i r="3">
      <x v="235"/>
    </i>
    <i r="2">
      <x v="38"/>
      <x v="108"/>
    </i>
    <i r="3">
      <x v="236"/>
    </i>
    <i r="3">
      <x v="266"/>
    </i>
    <i r="3">
      <x v="272"/>
    </i>
    <i r="1">
      <x v="2"/>
      <x v="15"/>
      <x v="121"/>
    </i>
    <i r="3">
      <x v="122"/>
    </i>
    <i r="1">
      <x v="3"/>
      <x v="4"/>
      <x v="6"/>
    </i>
    <i r="3">
      <x v="16"/>
    </i>
    <i r="3">
      <x v="31"/>
    </i>
    <i r="3">
      <x v="32"/>
    </i>
    <i r="3">
      <x v="34"/>
    </i>
    <i r="3">
      <x v="35"/>
    </i>
    <i r="3">
      <x v="55"/>
    </i>
    <i r="3">
      <x v="56"/>
    </i>
    <i r="3">
      <x v="57"/>
    </i>
    <i r="3">
      <x v="58"/>
    </i>
    <i r="3">
      <x v="59"/>
    </i>
    <i r="3">
      <x v="61"/>
    </i>
    <i r="3">
      <x v="62"/>
    </i>
    <i r="3">
      <x v="63"/>
    </i>
    <i r="3">
      <x v="99"/>
    </i>
    <i r="3">
      <x v="109"/>
    </i>
    <i r="3">
      <x v="112"/>
    </i>
    <i r="3">
      <x v="113"/>
    </i>
    <i r="3">
      <x v="114"/>
    </i>
    <i r="3">
      <x v="164"/>
    </i>
    <i r="3">
      <x v="238"/>
    </i>
    <i r="3">
      <x v="259"/>
    </i>
    <i r="3">
      <x v="262"/>
    </i>
    <i r="3">
      <x v="279"/>
    </i>
    <i r="2">
      <x v="14"/>
      <x v="5"/>
    </i>
    <i r="3">
      <x v="7"/>
    </i>
    <i r="3">
      <x v="31"/>
    </i>
    <i r="3">
      <x v="33"/>
    </i>
    <i r="3">
      <x v="34"/>
    </i>
    <i r="3">
      <x v="35"/>
    </i>
    <i r="3">
      <x v="36"/>
    </i>
    <i r="3">
      <x v="116"/>
    </i>
    <i r="3">
      <x v="117"/>
    </i>
    <i r="3">
      <x v="118"/>
    </i>
    <i r="3">
      <x v="119"/>
    </i>
    <i r="3">
      <x v="120"/>
    </i>
    <i r="3">
      <x v="261"/>
    </i>
    <i r="3">
      <x v="263"/>
    </i>
    <i r="2">
      <x v="31"/>
      <x v="145"/>
    </i>
    <i r="2">
      <x v="50"/>
      <x v="280"/>
    </i>
    <i r="3">
      <x v="281"/>
    </i>
    <i>
      <x v="3"/>
      <x/>
      <x v="2"/>
      <x/>
    </i>
    <i r="3">
      <x v="1"/>
    </i>
    <i r="3">
      <x v="2"/>
    </i>
    <i r="3">
      <x v="3"/>
    </i>
    <i r="3">
      <x v="25"/>
    </i>
    <i r="3">
      <x v="26"/>
    </i>
    <i r="3">
      <x v="71"/>
    </i>
    <i r="3">
      <x v="72"/>
    </i>
    <i r="3">
      <x v="78"/>
    </i>
    <i r="3">
      <x v="79"/>
    </i>
    <i r="3">
      <x v="83"/>
    </i>
    <i r="3">
      <x v="84"/>
    </i>
    <i r="3">
      <x v="85"/>
    </i>
    <i r="3">
      <x v="87"/>
    </i>
    <i r="3">
      <x v="88"/>
    </i>
    <i r="3">
      <x v="98"/>
    </i>
    <i r="3">
      <x v="148"/>
    </i>
    <i r="3">
      <x v="149"/>
    </i>
    <i r="3">
      <x v="150"/>
    </i>
    <i r="3">
      <x v="151"/>
    </i>
    <i r="3">
      <x v="160"/>
    </i>
    <i r="3">
      <x v="192"/>
    </i>
    <i r="3">
      <x v="198"/>
    </i>
    <i r="3">
      <x v="227"/>
    </i>
    <i r="3">
      <x v="244"/>
    </i>
    <i r="3">
      <x v="267"/>
    </i>
    <i r="3">
      <x v="286"/>
    </i>
    <i r="2">
      <x v="29"/>
      <x v="42"/>
    </i>
    <i r="3">
      <x v="167"/>
    </i>
    <i r="3">
      <x v="206"/>
    </i>
    <i r="1">
      <x v="1"/>
      <x v="27"/>
      <x v="4"/>
    </i>
    <i r="3">
      <x v="9"/>
    </i>
    <i r="3">
      <x v="11"/>
    </i>
    <i r="3">
      <x v="12"/>
    </i>
    <i r="3">
      <x v="13"/>
    </i>
    <i r="3">
      <x v="14"/>
    </i>
    <i r="3">
      <x v="15"/>
    </i>
    <i r="3">
      <x v="30"/>
    </i>
    <i r="3">
      <x v="38"/>
    </i>
    <i r="3">
      <x v="39"/>
    </i>
    <i r="3">
      <x v="41"/>
    </i>
    <i r="3">
      <x v="43"/>
    </i>
    <i r="3">
      <x v="45"/>
    </i>
    <i r="3">
      <x v="46"/>
    </i>
    <i r="3">
      <x v="48"/>
    </i>
    <i r="3">
      <x v="49"/>
    </i>
    <i r="3">
      <x v="50"/>
    </i>
    <i r="3">
      <x v="51"/>
    </i>
    <i r="3">
      <x v="53"/>
    </i>
    <i r="3">
      <x v="54"/>
    </i>
    <i r="3">
      <x v="69"/>
    </i>
    <i r="3">
      <x v="70"/>
    </i>
    <i r="3">
      <x v="74"/>
    </i>
    <i r="3">
      <x v="75"/>
    </i>
    <i r="3">
      <x v="76"/>
    </i>
    <i r="3">
      <x v="80"/>
    </i>
    <i r="3">
      <x v="82"/>
    </i>
    <i r="3">
      <x v="89"/>
    </i>
    <i r="3">
      <x v="92"/>
    </i>
    <i r="3">
      <x v="93"/>
    </i>
    <i r="3">
      <x v="102"/>
    </i>
    <i r="3">
      <x v="103"/>
    </i>
    <i r="3">
      <x v="104"/>
    </i>
    <i r="3">
      <x v="105"/>
    </i>
    <i r="3">
      <x v="107"/>
    </i>
    <i r="3">
      <x v="111"/>
    </i>
    <i r="3">
      <x v="127"/>
    </i>
    <i r="3">
      <x v="128"/>
    </i>
    <i r="3">
      <x v="140"/>
    </i>
    <i r="3">
      <x v="147"/>
    </i>
    <i r="3">
      <x v="159"/>
    </i>
    <i r="3">
      <x v="162"/>
    </i>
    <i r="3">
      <x v="168"/>
    </i>
    <i r="3">
      <x v="169"/>
    </i>
    <i r="3">
      <x v="190"/>
    </i>
    <i r="3">
      <x v="191"/>
    </i>
    <i r="3">
      <x v="193"/>
    </i>
    <i r="3">
      <x v="194"/>
    </i>
    <i r="3">
      <x v="195"/>
    </i>
    <i r="3">
      <x v="200"/>
    </i>
    <i r="3">
      <x v="202"/>
    </i>
    <i r="3">
      <x v="207"/>
    </i>
    <i r="3">
      <x v="210"/>
    </i>
    <i r="3">
      <x v="211"/>
    </i>
    <i r="3">
      <x v="212"/>
    </i>
    <i r="3">
      <x v="214"/>
    </i>
    <i r="3">
      <x v="215"/>
    </i>
    <i r="3">
      <x v="216"/>
    </i>
    <i r="3">
      <x v="217"/>
    </i>
    <i r="3">
      <x v="221"/>
    </i>
    <i r="3">
      <x v="223"/>
    </i>
    <i r="3">
      <x v="225"/>
    </i>
    <i r="3">
      <x v="228"/>
    </i>
    <i r="3">
      <x v="239"/>
    </i>
    <i r="3">
      <x v="245"/>
    </i>
    <i r="3">
      <x v="246"/>
    </i>
    <i r="3">
      <x v="247"/>
    </i>
    <i r="3">
      <x v="248"/>
    </i>
    <i r="3">
      <x v="249"/>
    </i>
    <i r="3">
      <x v="250"/>
    </i>
    <i r="3">
      <x v="255"/>
    </i>
    <i r="3">
      <x v="257"/>
    </i>
    <i r="3">
      <x v="269"/>
    </i>
    <i r="3">
      <x v="270"/>
    </i>
    <i r="3">
      <x v="274"/>
    </i>
    <i r="3">
      <x v="276"/>
    </i>
    <i r="3">
      <x v="278"/>
    </i>
    <i r="3">
      <x v="284"/>
    </i>
    <i r="3">
      <x v="287"/>
    </i>
    <i r="2">
      <x v="41"/>
      <x v="136"/>
    </i>
    <i r="3">
      <x v="138"/>
    </i>
    <i r="3">
      <x v="139"/>
    </i>
    <i r="3">
      <x v="152"/>
    </i>
    <i r="3">
      <x v="205"/>
    </i>
    <i r="3">
      <x v="240"/>
    </i>
    <i r="3">
      <x v="241"/>
    </i>
    <i r="3">
      <x v="242"/>
    </i>
    <i r="3">
      <x v="243"/>
    </i>
    <i>
      <x v="5"/>
      <x/>
      <x v="25"/>
      <x v="172"/>
    </i>
    <i r="3">
      <x v="175"/>
    </i>
    <i r="3">
      <x v="176"/>
    </i>
    <i r="1">
      <x v="1"/>
      <x v="35"/>
      <x v="234"/>
    </i>
    <i r="1">
      <x v="2"/>
      <x v="16"/>
      <x v="90"/>
    </i>
    <i r="3">
      <x v="131"/>
    </i>
    <i r="3">
      <x v="132"/>
    </i>
    <i r="3">
      <x v="135"/>
    </i>
    <i r="2">
      <x v="19"/>
      <x v="157"/>
    </i>
    <i r="2">
      <x v="20"/>
      <x v="158"/>
    </i>
    <i r="1">
      <x v="3"/>
      <x v="22"/>
      <x v="16"/>
    </i>
    <i r="3">
      <x v="55"/>
    </i>
    <i r="3">
      <x v="56"/>
    </i>
    <i r="3">
      <x v="57"/>
    </i>
    <i r="3">
      <x v="60"/>
    </i>
    <i r="3">
      <x v="61"/>
    </i>
    <i r="3">
      <x v="62"/>
    </i>
    <i r="3">
      <x v="99"/>
    </i>
    <i r="3">
      <x v="112"/>
    </i>
    <i r="3">
      <x v="113"/>
    </i>
    <i r="3">
      <x v="114"/>
    </i>
    <i r="3">
      <x v="134"/>
    </i>
    <i r="3">
      <x v="164"/>
    </i>
    <i r="3">
      <x v="173"/>
    </i>
    <i r="3">
      <x v="174"/>
    </i>
    <i r="3">
      <x v="238"/>
    </i>
    <i r="2">
      <x v="23"/>
      <x v="28"/>
    </i>
    <i r="3">
      <x v="29"/>
    </i>
    <i r="3">
      <x v="40"/>
    </i>
    <i r="3">
      <x v="44"/>
    </i>
    <i r="3">
      <x v="77"/>
    </i>
    <i r="3">
      <x v="91"/>
    </i>
    <i r="3">
      <x v="115"/>
    </i>
    <i r="3">
      <x v="130"/>
    </i>
    <i r="3">
      <x v="144"/>
    </i>
    <i r="3">
      <x v="146"/>
    </i>
    <i r="3">
      <x v="170"/>
    </i>
    <i r="3">
      <x v="171"/>
    </i>
    <i r="3">
      <x v="237"/>
    </i>
    <i r="3">
      <x v="253"/>
    </i>
    <i r="2">
      <x v="24"/>
      <x v="106"/>
    </i>
    <i r="2">
      <x v="26"/>
      <x v="275"/>
    </i>
    <i r="2">
      <x v="51"/>
      <x v="280"/>
    </i>
    <i r="3">
      <x v="281"/>
    </i>
    <i r="3">
      <x v="282"/>
    </i>
    <i r="3">
      <x v="283"/>
    </i>
    <i>
      <x v="6"/>
      <x/>
      <x v="1"/>
      <x v="10"/>
    </i>
    <i r="3">
      <x v="18"/>
    </i>
    <i r="3">
      <x v="19"/>
    </i>
    <i r="3">
      <x v="20"/>
    </i>
    <i r="3">
      <x v="21"/>
    </i>
    <i r="3">
      <x v="22"/>
    </i>
    <i r="3">
      <x v="23"/>
    </i>
    <i r="3">
      <x v="24"/>
    </i>
    <i r="3">
      <x v="47"/>
    </i>
    <i r="3">
      <x v="51"/>
    </i>
    <i r="3">
      <x v="197"/>
    </i>
    <i r="3">
      <x v="213"/>
    </i>
    <i r="3">
      <x v="219"/>
    </i>
    <i r="3">
      <x v="220"/>
    </i>
    <i r="3">
      <x v="226"/>
    </i>
    <i r="1">
      <x v="1"/>
      <x/>
      <x v="10"/>
    </i>
    <i r="3">
      <x v="19"/>
    </i>
    <i r="3">
      <x v="21"/>
    </i>
    <i r="3">
      <x v="22"/>
    </i>
    <i r="3">
      <x v="24"/>
    </i>
    <i r="3">
      <x v="27"/>
    </i>
    <i r="3">
      <x v="51"/>
    </i>
    <i r="3">
      <x v="81"/>
    </i>
    <i r="3">
      <x v="165"/>
    </i>
    <i r="3">
      <x v="196"/>
    </i>
    <i r="3">
      <x v="201"/>
    </i>
    <i r="3">
      <x v="213"/>
    </i>
    <i r="3">
      <x v="220"/>
    </i>
    <i r="3">
      <x v="256"/>
    </i>
    <i>
      <x v="8"/>
      <x/>
      <x v="44"/>
      <x v="172"/>
    </i>
    <i r="3">
      <x v="179"/>
    </i>
    <i r="3">
      <x v="180"/>
    </i>
    <i r="3">
      <x v="181"/>
    </i>
    <i r="1">
      <x v="1"/>
      <x v="13"/>
      <x v="108"/>
    </i>
    <i r="3">
      <x v="110"/>
    </i>
    <i r="2">
      <x v="37"/>
      <x v="236"/>
    </i>
    <i r="3">
      <x v="266"/>
    </i>
    <i r="3">
      <x v="272"/>
    </i>
    <i r="2">
      <x v="46"/>
      <x v="123"/>
    </i>
    <i r="3">
      <x v="124"/>
    </i>
    <i r="3">
      <x v="125"/>
    </i>
    <i r="3">
      <x v="126"/>
    </i>
    <i r="2">
      <x v="48"/>
      <x v="271"/>
    </i>
    <i r="3">
      <x v="273"/>
    </i>
    <i r="1">
      <x v="2"/>
      <x v="11"/>
      <x v="141"/>
    </i>
    <i r="3">
      <x v="142"/>
    </i>
    <i r="3">
      <x v="143"/>
    </i>
    <i r="3">
      <x v="154"/>
    </i>
    <i r="3">
      <x v="155"/>
    </i>
    <i r="3">
      <x v="156"/>
    </i>
    <i r="3">
      <x v="182"/>
    </i>
    <i r="3">
      <x v="183"/>
    </i>
    <i r="3">
      <x v="184"/>
    </i>
    <i r="3">
      <x v="185"/>
    </i>
    <i r="3">
      <x v="186"/>
    </i>
    <i r="3">
      <x v="188"/>
    </i>
    <i r="3">
      <x v="189"/>
    </i>
    <i r="3">
      <x v="251"/>
    </i>
    <i r="3">
      <x v="252"/>
    </i>
    <i r="1">
      <x v="3"/>
      <x v="5"/>
      <x v="16"/>
    </i>
    <i r="3">
      <x v="55"/>
    </i>
    <i r="3">
      <x v="56"/>
    </i>
    <i r="3">
      <x v="57"/>
    </i>
    <i r="3">
      <x v="60"/>
    </i>
    <i r="3">
      <x v="61"/>
    </i>
    <i r="3">
      <x v="62"/>
    </i>
    <i r="3">
      <x v="63"/>
    </i>
    <i r="3">
      <x v="64"/>
    </i>
    <i r="3">
      <x v="99"/>
    </i>
    <i r="3">
      <x v="109"/>
    </i>
    <i r="3">
      <x v="112"/>
    </i>
    <i r="3">
      <x v="113"/>
    </i>
    <i r="3">
      <x v="114"/>
    </i>
    <i r="3">
      <x v="164"/>
    </i>
    <i r="3">
      <x v="177"/>
    </i>
    <i r="3">
      <x v="178"/>
    </i>
    <i r="3">
      <x v="238"/>
    </i>
    <i r="2">
      <x v="18"/>
      <x v="28"/>
    </i>
    <i r="3">
      <x v="29"/>
    </i>
    <i r="3">
      <x v="40"/>
    </i>
    <i r="3">
      <x v="44"/>
    </i>
    <i r="3">
      <x v="77"/>
    </i>
    <i r="3">
      <x v="91"/>
    </i>
    <i r="3">
      <x v="115"/>
    </i>
    <i r="3">
      <x v="130"/>
    </i>
    <i r="3">
      <x v="144"/>
    </i>
    <i r="3">
      <x v="146"/>
    </i>
    <i r="3">
      <x v="170"/>
    </i>
    <i r="3">
      <x v="171"/>
    </i>
    <i r="3">
      <x v="237"/>
    </i>
    <i r="3">
      <x v="253"/>
    </i>
    <i r="2">
      <x v="30"/>
      <x v="86"/>
    </i>
    <i r="3">
      <x v="285"/>
    </i>
    <i r="2">
      <x v="32"/>
      <x v="265"/>
    </i>
    <i r="2">
      <x v="34"/>
      <x v="232"/>
    </i>
    <i r="2">
      <x v="52"/>
      <x v="280"/>
    </i>
    <i r="3">
      <x v="281"/>
    </i>
    <i r="3">
      <x v="282"/>
    </i>
    <i r="3">
      <x v="283"/>
    </i>
    <i>
      <x v="9"/>
      <x/>
      <x v="43"/>
      <x v="94"/>
    </i>
    <i r="3">
      <x v="95"/>
    </i>
    <i r="3">
      <x v="96"/>
    </i>
    <i r="3">
      <x v="136"/>
    </i>
    <i r="3">
      <x v="137"/>
    </i>
    <i r="3">
      <x v="139"/>
    </i>
    <i r="3">
      <x v="204"/>
    </i>
    <i r="3">
      <x v="224"/>
    </i>
    <i r="3">
      <x v="240"/>
    </i>
    <i r="3">
      <x v="241"/>
    </i>
    <i r="3">
      <x v="242"/>
    </i>
    <i r="3">
      <x v="243"/>
    </i>
    <i r="3">
      <x v="264"/>
    </i>
    <i r="1">
      <x v="1"/>
      <x v="42"/>
      <x v="8"/>
    </i>
    <i r="3">
      <x v="12"/>
    </i>
    <i r="3">
      <x v="37"/>
    </i>
    <i r="3">
      <x v="52"/>
    </i>
    <i r="3">
      <x v="68"/>
    </i>
    <i r="3">
      <x v="73"/>
    </i>
    <i r="3">
      <x v="94"/>
    </i>
    <i r="3">
      <x v="97"/>
    </i>
    <i r="3">
      <x v="129"/>
    </i>
    <i r="3">
      <x v="136"/>
    </i>
    <i r="3">
      <x v="152"/>
    </i>
    <i r="3">
      <x v="153"/>
    </i>
    <i r="3">
      <x v="166"/>
    </i>
    <i r="3">
      <x v="187"/>
    </i>
    <i r="3">
      <x v="203"/>
    </i>
    <i r="3">
      <x v="208"/>
    </i>
    <i r="3">
      <x v="209"/>
    </i>
    <i r="3">
      <x v="218"/>
    </i>
    <i r="3">
      <x v="222"/>
    </i>
    <i r="3">
      <x v="224"/>
    </i>
    <i r="3">
      <x v="254"/>
    </i>
    <i r="3">
      <x v="258"/>
    </i>
    <i r="3">
      <x v="260"/>
    </i>
    <i r="3">
      <x v="268"/>
    </i>
    <i r="3">
      <x v="284"/>
    </i>
    <i r="1">
      <x v="2"/>
      <x v="40"/>
      <x v="136"/>
    </i>
    <i r="3">
      <x v="138"/>
    </i>
    <i r="3">
      <x v="139"/>
    </i>
    <i r="3">
      <x v="152"/>
    </i>
    <i r="3">
      <x v="205"/>
    </i>
    <i r="3">
      <x v="240"/>
    </i>
    <i r="3">
      <x v="241"/>
    </i>
    <i r="3">
      <x v="242"/>
    </i>
    <i r="3">
      <x v="243"/>
    </i>
    <i r="1">
      <x v="3"/>
      <x v="28"/>
      <x v="4"/>
    </i>
    <i r="3">
      <x v="9"/>
    </i>
    <i r="3">
      <x v="11"/>
    </i>
    <i r="3">
      <x v="12"/>
    </i>
    <i r="3">
      <x v="13"/>
    </i>
    <i r="3">
      <x v="15"/>
    </i>
    <i r="3">
      <x v="30"/>
    </i>
    <i r="3">
      <x v="38"/>
    </i>
    <i r="3">
      <x v="39"/>
    </i>
    <i r="3">
      <x v="41"/>
    </i>
    <i r="3">
      <x v="43"/>
    </i>
    <i r="3">
      <x v="45"/>
    </i>
    <i r="3">
      <x v="46"/>
    </i>
    <i r="3">
      <x v="48"/>
    </i>
    <i r="3">
      <x v="49"/>
    </i>
    <i r="3">
      <x v="50"/>
    </i>
    <i r="3">
      <x v="51"/>
    </i>
    <i r="3">
      <x v="53"/>
    </i>
    <i r="3">
      <x v="54"/>
    </i>
    <i r="3">
      <x v="69"/>
    </i>
    <i r="3">
      <x v="70"/>
    </i>
    <i r="3">
      <x v="74"/>
    </i>
    <i r="3">
      <x v="75"/>
    </i>
    <i r="3">
      <x v="76"/>
    </i>
    <i r="3">
      <x v="80"/>
    </i>
    <i r="3">
      <x v="82"/>
    </i>
    <i r="3">
      <x v="89"/>
    </i>
    <i r="3">
      <x v="92"/>
    </i>
    <i r="3">
      <x v="93"/>
    </i>
    <i r="3">
      <x v="102"/>
    </i>
    <i r="3">
      <x v="103"/>
    </i>
    <i r="3">
      <x v="104"/>
    </i>
    <i r="3">
      <x v="105"/>
    </i>
    <i r="3">
      <x v="107"/>
    </i>
    <i r="3">
      <x v="111"/>
    </i>
    <i r="3">
      <x v="127"/>
    </i>
    <i r="3">
      <x v="128"/>
    </i>
    <i r="3">
      <x v="140"/>
    </i>
    <i r="3">
      <x v="147"/>
    </i>
    <i r="3">
      <x v="159"/>
    </i>
    <i r="3">
      <x v="162"/>
    </i>
    <i r="3">
      <x v="168"/>
    </i>
    <i r="3">
      <x v="169"/>
    </i>
    <i r="3">
      <x v="190"/>
    </i>
    <i r="3">
      <x v="191"/>
    </i>
    <i r="3">
      <x v="193"/>
    </i>
    <i r="3">
      <x v="194"/>
    </i>
    <i r="3">
      <x v="195"/>
    </i>
    <i r="3">
      <x v="200"/>
    </i>
    <i r="3">
      <x v="202"/>
    </i>
    <i r="3">
      <x v="207"/>
    </i>
    <i r="3">
      <x v="210"/>
    </i>
    <i r="3">
      <x v="211"/>
    </i>
    <i r="3">
      <x v="212"/>
    </i>
    <i r="3">
      <x v="214"/>
    </i>
    <i r="3">
      <x v="215"/>
    </i>
    <i r="3">
      <x v="216"/>
    </i>
    <i r="3">
      <x v="217"/>
    </i>
    <i r="3">
      <x v="221"/>
    </i>
    <i r="3">
      <x v="223"/>
    </i>
    <i r="3">
      <x v="225"/>
    </i>
    <i r="3">
      <x v="228"/>
    </i>
    <i r="3">
      <x v="239"/>
    </i>
    <i r="3">
      <x v="245"/>
    </i>
    <i r="3">
      <x v="246"/>
    </i>
    <i r="3">
      <x v="247"/>
    </i>
    <i r="3">
      <x v="248"/>
    </i>
    <i r="3">
      <x v="249"/>
    </i>
    <i r="3">
      <x v="250"/>
    </i>
    <i r="3">
      <x v="255"/>
    </i>
    <i r="3">
      <x v="269"/>
    </i>
    <i r="3">
      <x v="270"/>
    </i>
    <i r="3">
      <x v="274"/>
    </i>
    <i r="3">
      <x v="276"/>
    </i>
    <i r="3">
      <x v="278"/>
    </i>
    <i r="3">
      <x v="284"/>
    </i>
    <i r="3">
      <x v="287"/>
    </i>
  </rowItems>
  <colItems count="1">
    <i/>
  </colItems>
  <formats count="184">
    <format dxfId="543">
      <pivotArea type="all" dataOnly="0" outline="0" fieldPosition="0"/>
    </format>
    <format dxfId="542">
      <pivotArea field="1" type="button" dataOnly="0" labelOnly="1" outline="0" axis="axisRow" fieldPosition="0"/>
    </format>
    <format dxfId="541">
      <pivotArea field="2" type="button" dataOnly="0" labelOnly="1" outline="0" axis="axisRow" fieldPosition="1"/>
    </format>
    <format dxfId="540">
      <pivotArea field="4" type="button" dataOnly="0" labelOnly="1" outline="0" axis="axisRow" fieldPosition="2"/>
    </format>
    <format dxfId="539">
      <pivotArea field="5" type="button" dataOnly="0" labelOnly="1" outline="0" axis="axisRow" fieldPosition="3"/>
    </format>
    <format dxfId="538">
      <pivotArea dataOnly="0" labelOnly="1" outline="0" fieldPosition="0">
        <references count="1">
          <reference field="1" count="0"/>
        </references>
      </pivotArea>
    </format>
    <format dxfId="537">
      <pivotArea dataOnly="0" labelOnly="1" grandRow="1" outline="0" fieldPosition="0"/>
    </format>
    <format dxfId="536">
      <pivotArea dataOnly="0" labelOnly="1" outline="0" fieldPosition="0">
        <references count="2">
          <reference field="1" count="1" selected="0">
            <x v="0"/>
          </reference>
          <reference field="2" count="1">
            <x v="0"/>
          </reference>
        </references>
      </pivotArea>
    </format>
    <format dxfId="535">
      <pivotArea dataOnly="0" labelOnly="1" outline="0" fieldPosition="0">
        <references count="2">
          <reference field="1" count="1" selected="0">
            <x v="2"/>
          </reference>
          <reference field="2" count="3">
            <x v="1"/>
            <x v="2"/>
            <x v="3"/>
          </reference>
        </references>
      </pivotArea>
    </format>
    <format dxfId="534">
      <pivotArea dataOnly="0" labelOnly="1" outline="0" fieldPosition="0">
        <references count="2">
          <reference field="1" count="1" selected="0">
            <x v="3"/>
          </reference>
          <reference field="2" count="2">
            <x v="0"/>
            <x v="1"/>
          </reference>
        </references>
      </pivotArea>
    </format>
    <format dxfId="533">
      <pivotArea dataOnly="0" labelOnly="1" outline="0" fieldPosition="0">
        <references count="2">
          <reference field="1" count="1" selected="0">
            <x v="5"/>
          </reference>
          <reference field="2" count="4">
            <x v="0"/>
            <x v="1"/>
            <x v="2"/>
            <x v="3"/>
          </reference>
        </references>
      </pivotArea>
    </format>
    <format dxfId="532">
      <pivotArea dataOnly="0" labelOnly="1" outline="0" fieldPosition="0">
        <references count="2">
          <reference field="1" count="1" selected="0">
            <x v="6"/>
          </reference>
          <reference field="2" count="2">
            <x v="0"/>
            <x v="1"/>
          </reference>
        </references>
      </pivotArea>
    </format>
    <format dxfId="531">
      <pivotArea dataOnly="0" labelOnly="1" outline="0" fieldPosition="0">
        <references count="2">
          <reference field="1" count="1" selected="0">
            <x v="8"/>
          </reference>
          <reference field="2" count="4">
            <x v="0"/>
            <x v="1"/>
            <x v="2"/>
            <x v="3"/>
          </reference>
        </references>
      </pivotArea>
    </format>
    <format dxfId="530">
      <pivotArea dataOnly="0" labelOnly="1" outline="0" fieldPosition="0">
        <references count="2">
          <reference field="1" count="1" selected="0">
            <x v="9"/>
          </reference>
          <reference field="2" count="4">
            <x v="0"/>
            <x v="1"/>
            <x v="2"/>
            <x v="3"/>
          </reference>
        </references>
      </pivotArea>
    </format>
    <format dxfId="529">
      <pivotArea dataOnly="0" labelOnly="1" outline="0" fieldPosition="0">
        <references count="2">
          <reference field="1" count="1" selected="0">
            <x v="10"/>
          </reference>
          <reference field="2" count="1">
            <x v="4"/>
          </reference>
        </references>
      </pivotArea>
    </format>
    <format dxfId="528">
      <pivotArea dataOnly="0" labelOnly="1" outline="0" fieldPosition="0">
        <references count="3">
          <reference field="1" count="1" selected="0">
            <x v="0"/>
          </reference>
          <reference field="2" count="1" selected="0">
            <x v="0"/>
          </reference>
          <reference field="4" count="4">
            <x v="6"/>
            <x v="8"/>
            <x v="9"/>
            <x v="10"/>
          </reference>
        </references>
      </pivotArea>
    </format>
    <format dxfId="527">
      <pivotArea dataOnly="0" labelOnly="1" outline="0" fieldPosition="0">
        <references count="3">
          <reference field="1" count="1" selected="0">
            <x v="1"/>
          </reference>
          <reference field="2" count="1" selected="0">
            <x v="0"/>
          </reference>
          <reference field="4" count="5">
            <x v="12"/>
            <x v="17"/>
            <x v="45"/>
            <x v="47"/>
            <x v="49"/>
          </reference>
        </references>
      </pivotArea>
    </format>
    <format dxfId="526">
      <pivotArea dataOnly="0" labelOnly="1" outline="0" fieldPosition="0">
        <references count="3">
          <reference field="1" count="1" selected="0">
            <x v="2"/>
          </reference>
          <reference field="2" count="1" selected="0">
            <x v="0"/>
          </reference>
          <reference field="4" count="2">
            <x v="3"/>
            <x v="21"/>
          </reference>
        </references>
      </pivotArea>
    </format>
    <format dxfId="525">
      <pivotArea dataOnly="0" labelOnly="1" outline="0" fieldPosition="0">
        <references count="3">
          <reference field="1" count="1" selected="0">
            <x v="2"/>
          </reference>
          <reference field="2" count="1" selected="0">
            <x v="1"/>
          </reference>
          <reference field="4" count="3">
            <x v="33"/>
            <x v="36"/>
            <x v="38"/>
          </reference>
        </references>
      </pivotArea>
    </format>
    <format dxfId="524">
      <pivotArea dataOnly="0" labelOnly="1" outline="0" fieldPosition="0">
        <references count="3">
          <reference field="1" count="1" selected="0">
            <x v="2"/>
          </reference>
          <reference field="2" count="1" selected="0">
            <x v="2"/>
          </reference>
          <reference field="4" count="1">
            <x v="15"/>
          </reference>
        </references>
      </pivotArea>
    </format>
    <format dxfId="523">
      <pivotArea dataOnly="0" labelOnly="1" outline="0" fieldPosition="0">
        <references count="3">
          <reference field="1" count="1" selected="0">
            <x v="2"/>
          </reference>
          <reference field="2" count="1" selected="0">
            <x v="3"/>
          </reference>
          <reference field="4" count="4">
            <x v="4"/>
            <x v="14"/>
            <x v="31"/>
            <x v="50"/>
          </reference>
        </references>
      </pivotArea>
    </format>
    <format dxfId="522">
      <pivotArea dataOnly="0" labelOnly="1" outline="0" fieldPosition="0">
        <references count="3">
          <reference field="1" count="1" selected="0">
            <x v="3"/>
          </reference>
          <reference field="2" count="1" selected="0">
            <x v="0"/>
          </reference>
          <reference field="4" count="2">
            <x v="2"/>
            <x v="29"/>
          </reference>
        </references>
      </pivotArea>
    </format>
    <format dxfId="521">
      <pivotArea dataOnly="0" labelOnly="1" outline="0" fieldPosition="0">
        <references count="3">
          <reference field="1" count="1" selected="0">
            <x v="3"/>
          </reference>
          <reference field="2" count="1" selected="0">
            <x v="1"/>
          </reference>
          <reference field="4" count="2">
            <x v="27"/>
            <x v="41"/>
          </reference>
        </references>
      </pivotArea>
    </format>
    <format dxfId="520">
      <pivotArea dataOnly="0" labelOnly="1" outline="0" fieldPosition="0">
        <references count="3">
          <reference field="1" count="1" selected="0">
            <x v="5"/>
          </reference>
          <reference field="2" count="1" selected="0">
            <x v="0"/>
          </reference>
          <reference field="4" count="1">
            <x v="25"/>
          </reference>
        </references>
      </pivotArea>
    </format>
    <format dxfId="519">
      <pivotArea dataOnly="0" labelOnly="1" outline="0" fieldPosition="0">
        <references count="3">
          <reference field="1" count="1" selected="0">
            <x v="5"/>
          </reference>
          <reference field="2" count="1" selected="0">
            <x v="1"/>
          </reference>
          <reference field="4" count="1">
            <x v="35"/>
          </reference>
        </references>
      </pivotArea>
    </format>
    <format dxfId="518">
      <pivotArea dataOnly="0" labelOnly="1" outline="0" fieldPosition="0">
        <references count="3">
          <reference field="1" count="1" selected="0">
            <x v="5"/>
          </reference>
          <reference field="2" count="1" selected="0">
            <x v="2"/>
          </reference>
          <reference field="4" count="4">
            <x v="16"/>
            <x v="19"/>
            <x v="20"/>
            <x v="39"/>
          </reference>
        </references>
      </pivotArea>
    </format>
    <format dxfId="517">
      <pivotArea dataOnly="0" labelOnly="1" outline="0" fieldPosition="0">
        <references count="3">
          <reference field="1" count="1" selected="0">
            <x v="5"/>
          </reference>
          <reference field="2" count="1" selected="0">
            <x v="3"/>
          </reference>
          <reference field="4" count="4">
            <x v="22"/>
            <x v="23"/>
            <x v="24"/>
            <x v="51"/>
          </reference>
        </references>
      </pivotArea>
    </format>
    <format dxfId="516">
      <pivotArea dataOnly="0" labelOnly="1" outline="0" fieldPosition="0">
        <references count="3">
          <reference field="1" count="1" selected="0">
            <x v="6"/>
          </reference>
          <reference field="2" count="1" selected="0">
            <x v="0"/>
          </reference>
          <reference field="4" count="1">
            <x v="1"/>
          </reference>
        </references>
      </pivotArea>
    </format>
    <format dxfId="515">
      <pivotArea dataOnly="0" labelOnly="1" outline="0" fieldPosition="0">
        <references count="3">
          <reference field="1" count="1" selected="0">
            <x v="6"/>
          </reference>
          <reference field="2" count="1" selected="0">
            <x v="1"/>
          </reference>
          <reference field="4" count="1">
            <x v="0"/>
          </reference>
        </references>
      </pivotArea>
    </format>
    <format dxfId="514">
      <pivotArea dataOnly="0" labelOnly="1" outline="0" fieldPosition="0">
        <references count="3">
          <reference field="1" count="1" selected="0">
            <x v="8"/>
          </reference>
          <reference field="2" count="1" selected="0">
            <x v="0"/>
          </reference>
          <reference field="4" count="1">
            <x v="44"/>
          </reference>
        </references>
      </pivotArea>
    </format>
    <format dxfId="513">
      <pivotArea dataOnly="0" labelOnly="1" outline="0" fieldPosition="0">
        <references count="3">
          <reference field="1" count="1" selected="0">
            <x v="8"/>
          </reference>
          <reference field="2" count="1" selected="0">
            <x v="1"/>
          </reference>
          <reference field="4" count="4">
            <x v="13"/>
            <x v="37"/>
            <x v="46"/>
            <x v="48"/>
          </reference>
        </references>
      </pivotArea>
    </format>
    <format dxfId="512">
      <pivotArea dataOnly="0" labelOnly="1" outline="0" fieldPosition="0">
        <references count="3">
          <reference field="1" count="1" selected="0">
            <x v="8"/>
          </reference>
          <reference field="2" count="1" selected="0">
            <x v="2"/>
          </reference>
          <reference field="4" count="1">
            <x v="11"/>
          </reference>
        </references>
      </pivotArea>
    </format>
    <format dxfId="511">
      <pivotArea dataOnly="0" labelOnly="1" outline="0" fieldPosition="0">
        <references count="3">
          <reference field="1" count="1" selected="0">
            <x v="8"/>
          </reference>
          <reference field="2" count="1" selected="0">
            <x v="3"/>
          </reference>
          <reference field="4" count="6">
            <x v="5"/>
            <x v="18"/>
            <x v="30"/>
            <x v="32"/>
            <x v="34"/>
            <x v="52"/>
          </reference>
        </references>
      </pivotArea>
    </format>
    <format dxfId="510">
      <pivotArea dataOnly="0" labelOnly="1" outline="0" fieldPosition="0">
        <references count="3">
          <reference field="1" count="1" selected="0">
            <x v="9"/>
          </reference>
          <reference field="2" count="1" selected="0">
            <x v="0"/>
          </reference>
          <reference field="4" count="1">
            <x v="43"/>
          </reference>
        </references>
      </pivotArea>
    </format>
    <format dxfId="509">
      <pivotArea dataOnly="0" labelOnly="1" outline="0" fieldPosition="0">
        <references count="3">
          <reference field="1" count="1" selected="0">
            <x v="9"/>
          </reference>
          <reference field="2" count="1" selected="0">
            <x v="1"/>
          </reference>
          <reference field="4" count="1">
            <x v="42"/>
          </reference>
        </references>
      </pivotArea>
    </format>
    <format dxfId="508">
      <pivotArea dataOnly="0" labelOnly="1" outline="0" fieldPosition="0">
        <references count="3">
          <reference field="1" count="1" selected="0">
            <x v="9"/>
          </reference>
          <reference field="2" count="1" selected="0">
            <x v="2"/>
          </reference>
          <reference field="4" count="1">
            <x v="40"/>
          </reference>
        </references>
      </pivotArea>
    </format>
    <format dxfId="507">
      <pivotArea dataOnly="0" labelOnly="1" outline="0" fieldPosition="0">
        <references count="3">
          <reference field="1" count="1" selected="0">
            <x v="9"/>
          </reference>
          <reference field="2" count="1" selected="0">
            <x v="3"/>
          </reference>
          <reference field="4" count="1">
            <x v="28"/>
          </reference>
        </references>
      </pivotArea>
    </format>
    <format dxfId="506">
      <pivotArea dataOnly="0" labelOnly="1" outline="0" fieldPosition="0">
        <references count="3">
          <reference field="1" count="1" selected="0">
            <x v="10"/>
          </reference>
          <reference field="2" count="1" selected="0">
            <x v="4"/>
          </reference>
          <reference field="4" count="1">
            <x v="53"/>
          </reference>
        </references>
      </pivotArea>
    </format>
    <format dxfId="505">
      <pivotArea dataOnly="0" labelOnly="1" outline="0" fieldPosition="0">
        <references count="4">
          <reference field="1" count="1" selected="0">
            <x v="0"/>
          </reference>
          <reference field="2" count="1" selected="0">
            <x v="0"/>
          </reference>
          <reference field="4" count="1" selected="0">
            <x v="6"/>
          </reference>
          <reference field="5" count="2">
            <x v="66"/>
            <x v="67"/>
          </reference>
        </references>
      </pivotArea>
    </format>
    <format dxfId="504">
      <pivotArea dataOnly="0" labelOnly="1" outline="0" fieldPosition="0">
        <references count="4">
          <reference field="1" count="1" selected="0">
            <x v="0"/>
          </reference>
          <reference field="2" count="1" selected="0">
            <x v="0"/>
          </reference>
          <reference field="4" count="1" selected="0">
            <x v="8"/>
          </reference>
          <reference field="5" count="1">
            <x v="65"/>
          </reference>
        </references>
      </pivotArea>
    </format>
    <format dxfId="503">
      <pivotArea dataOnly="0" labelOnly="1" outline="0" fieldPosition="0">
        <references count="4">
          <reference field="1" count="1" selected="0">
            <x v="0"/>
          </reference>
          <reference field="2" count="1" selected="0">
            <x v="0"/>
          </reference>
          <reference field="4" count="1" selected="0">
            <x v="9"/>
          </reference>
          <reference field="5" count="2">
            <x v="74"/>
            <x v="201"/>
          </reference>
        </references>
      </pivotArea>
    </format>
    <format dxfId="502">
      <pivotArea dataOnly="0" labelOnly="1" outline="0" fieldPosition="0">
        <references count="4">
          <reference field="1" count="1" selected="0">
            <x v="0"/>
          </reference>
          <reference field="2" count="1" selected="0">
            <x v="0"/>
          </reference>
          <reference field="4" count="1" selected="0">
            <x v="10"/>
          </reference>
          <reference field="5" count="8">
            <x v="16"/>
            <x v="99"/>
            <x v="112"/>
            <x v="113"/>
            <x v="114"/>
            <x v="164"/>
            <x v="199"/>
            <x v="238"/>
          </reference>
        </references>
      </pivotArea>
    </format>
    <format dxfId="501">
      <pivotArea dataOnly="0" labelOnly="1" outline="0" fieldPosition="0">
        <references count="4">
          <reference field="1" count="1" selected="0">
            <x v="1"/>
          </reference>
          <reference field="2" count="1" selected="0">
            <x v="0"/>
          </reference>
          <reference field="4" count="1" selected="0">
            <x v="12"/>
          </reference>
          <reference field="5" count="1">
            <x v="110"/>
          </reference>
        </references>
      </pivotArea>
    </format>
    <format dxfId="500">
      <pivotArea dataOnly="0" labelOnly="1" outline="0" fieldPosition="0">
        <references count="4">
          <reference field="1" count="1" selected="0">
            <x v="1"/>
          </reference>
          <reference field="2" count="1" selected="0">
            <x v="0"/>
          </reference>
          <reference field="4" count="1" selected="0">
            <x v="17"/>
          </reference>
          <reference field="5" count="16">
            <x v="28"/>
            <x v="29"/>
            <x v="40"/>
            <x v="44"/>
            <x v="77"/>
            <x v="91"/>
            <x v="101"/>
            <x v="115"/>
            <x v="130"/>
            <x v="144"/>
            <x v="146"/>
            <x v="170"/>
            <x v="171"/>
            <x v="237"/>
            <x v="253"/>
            <x v="277"/>
          </reference>
        </references>
      </pivotArea>
    </format>
    <format dxfId="499">
      <pivotArea dataOnly="0" labelOnly="1" outline="0" fieldPosition="0">
        <references count="4">
          <reference field="1" count="1" selected="0">
            <x v="1"/>
          </reference>
          <reference field="2" count="1" selected="0">
            <x v="0"/>
          </reference>
          <reference field="4" count="1" selected="0">
            <x v="45"/>
          </reference>
          <reference field="5" count="4">
            <x v="123"/>
            <x v="124"/>
            <x v="125"/>
            <x v="126"/>
          </reference>
        </references>
      </pivotArea>
    </format>
    <format dxfId="498">
      <pivotArea dataOnly="0" labelOnly="1" outline="0" fieldPosition="0">
        <references count="4">
          <reference field="1" count="1" selected="0">
            <x v="1"/>
          </reference>
          <reference field="2" count="1" selected="0">
            <x v="0"/>
          </reference>
          <reference field="4" count="1" selected="0">
            <x v="47"/>
          </reference>
          <reference field="5" count="2">
            <x v="271"/>
            <x v="273"/>
          </reference>
        </references>
      </pivotArea>
    </format>
    <format dxfId="497">
      <pivotArea dataOnly="0" labelOnly="1" outline="0" fieldPosition="0">
        <references count="4">
          <reference field="1" count="1" selected="0">
            <x v="1"/>
          </reference>
          <reference field="2" count="1" selected="0">
            <x v="0"/>
          </reference>
          <reference field="4" count="1" selected="0">
            <x v="49"/>
          </reference>
          <reference field="5" count="2">
            <x v="282"/>
            <x v="283"/>
          </reference>
        </references>
      </pivotArea>
    </format>
    <format dxfId="496">
      <pivotArea dataOnly="0" labelOnly="1" outline="0" fieldPosition="0">
        <references count="4">
          <reference field="1" count="1" selected="0">
            <x v="2"/>
          </reference>
          <reference field="2" count="1" selected="0">
            <x v="0"/>
          </reference>
          <reference field="4" count="1" selected="0">
            <x v="3"/>
          </reference>
          <reference field="5" count="2">
            <x v="100"/>
            <x v="163"/>
          </reference>
        </references>
      </pivotArea>
    </format>
    <format dxfId="495">
      <pivotArea dataOnly="0" labelOnly="1" outline="0" fieldPosition="0">
        <references count="4">
          <reference field="1" count="1" selected="0">
            <x v="2"/>
          </reference>
          <reference field="2" count="1" selected="0">
            <x v="0"/>
          </reference>
          <reference field="4" count="1" selected="0">
            <x v="21"/>
          </reference>
          <reference field="5" count="1">
            <x v="161"/>
          </reference>
        </references>
      </pivotArea>
    </format>
    <format dxfId="494">
      <pivotArea dataOnly="0" labelOnly="1" outline="0" fieldPosition="0">
        <references count="4">
          <reference field="1" count="1" selected="0">
            <x v="2"/>
          </reference>
          <reference field="2" count="1" selected="0">
            <x v="1"/>
          </reference>
          <reference field="4" count="1" selected="0">
            <x v="33"/>
          </reference>
          <reference field="5" count="2">
            <x v="232"/>
            <x v="233"/>
          </reference>
        </references>
      </pivotArea>
    </format>
    <format dxfId="493">
      <pivotArea dataOnly="0" labelOnly="1" outline="0" fieldPosition="0">
        <references count="4">
          <reference field="1" count="1" selected="0">
            <x v="2"/>
          </reference>
          <reference field="2" count="1" selected="0">
            <x v="1"/>
          </reference>
          <reference field="4" count="1" selected="0">
            <x v="36"/>
          </reference>
          <reference field="5" count="4">
            <x v="229"/>
            <x v="230"/>
            <x v="231"/>
            <x v="235"/>
          </reference>
        </references>
      </pivotArea>
    </format>
    <format dxfId="492">
      <pivotArea dataOnly="0" labelOnly="1" outline="0" fieldPosition="0">
        <references count="4">
          <reference field="1" count="1" selected="0">
            <x v="2"/>
          </reference>
          <reference field="2" count="1" selected="0">
            <x v="1"/>
          </reference>
          <reference field="4" count="1" selected="0">
            <x v="38"/>
          </reference>
          <reference field="5" count="4">
            <x v="108"/>
            <x v="236"/>
            <x v="266"/>
            <x v="272"/>
          </reference>
        </references>
      </pivotArea>
    </format>
    <format dxfId="491">
      <pivotArea dataOnly="0" labelOnly="1" outline="0" fieldPosition="0">
        <references count="4">
          <reference field="1" count="1" selected="0">
            <x v="2"/>
          </reference>
          <reference field="2" count="1" selected="0">
            <x v="2"/>
          </reference>
          <reference field="4" count="1" selected="0">
            <x v="15"/>
          </reference>
          <reference field="5" count="2">
            <x v="121"/>
            <x v="122"/>
          </reference>
        </references>
      </pivotArea>
    </format>
    <format dxfId="490">
      <pivotArea dataOnly="0" labelOnly="1" outline="0" fieldPosition="0">
        <references count="4">
          <reference field="1" count="1" selected="0">
            <x v="2"/>
          </reference>
          <reference field="2" count="1" selected="0">
            <x v="3"/>
          </reference>
          <reference field="4" count="1" selected="0">
            <x v="4"/>
          </reference>
          <reference field="5" count="24">
            <x v="6"/>
            <x v="16"/>
            <x v="31"/>
            <x v="32"/>
            <x v="34"/>
            <x v="35"/>
            <x v="55"/>
            <x v="56"/>
            <x v="57"/>
            <x v="58"/>
            <x v="59"/>
            <x v="61"/>
            <x v="62"/>
            <x v="63"/>
            <x v="99"/>
            <x v="109"/>
            <x v="112"/>
            <x v="113"/>
            <x v="114"/>
            <x v="164"/>
            <x v="238"/>
            <x v="259"/>
            <x v="262"/>
            <x v="279"/>
          </reference>
        </references>
      </pivotArea>
    </format>
    <format dxfId="489">
      <pivotArea dataOnly="0" labelOnly="1" outline="0" fieldPosition="0">
        <references count="4">
          <reference field="1" count="1" selected="0">
            <x v="2"/>
          </reference>
          <reference field="2" count="1" selected="0">
            <x v="3"/>
          </reference>
          <reference field="4" count="1" selected="0">
            <x v="14"/>
          </reference>
          <reference field="5" count="14">
            <x v="5"/>
            <x v="7"/>
            <x v="31"/>
            <x v="33"/>
            <x v="34"/>
            <x v="35"/>
            <x v="36"/>
            <x v="116"/>
            <x v="117"/>
            <x v="118"/>
            <x v="119"/>
            <x v="120"/>
            <x v="261"/>
            <x v="263"/>
          </reference>
        </references>
      </pivotArea>
    </format>
    <format dxfId="488">
      <pivotArea dataOnly="0" labelOnly="1" outline="0" fieldPosition="0">
        <references count="4">
          <reference field="1" count="1" selected="0">
            <x v="2"/>
          </reference>
          <reference field="2" count="1" selected="0">
            <x v="3"/>
          </reference>
          <reference field="4" count="1" selected="0">
            <x v="31"/>
          </reference>
          <reference field="5" count="1">
            <x v="145"/>
          </reference>
        </references>
      </pivotArea>
    </format>
    <format dxfId="487">
      <pivotArea dataOnly="0" labelOnly="1" outline="0" fieldPosition="0">
        <references count="4">
          <reference field="1" count="1" selected="0">
            <x v="2"/>
          </reference>
          <reference field="2" count="1" selected="0">
            <x v="3"/>
          </reference>
          <reference field="4" count="1" selected="0">
            <x v="50"/>
          </reference>
          <reference field="5" count="2">
            <x v="280"/>
            <x v="281"/>
          </reference>
        </references>
      </pivotArea>
    </format>
    <format dxfId="486">
      <pivotArea dataOnly="0" labelOnly="1" outline="0" fieldPosition="0">
        <references count="4">
          <reference field="1" count="1" selected="0">
            <x v="3"/>
          </reference>
          <reference field="2" count="1" selected="0">
            <x v="0"/>
          </reference>
          <reference field="4" count="1" selected="0">
            <x v="2"/>
          </reference>
          <reference field="5" count="27">
            <x v="0"/>
            <x v="1"/>
            <x v="2"/>
            <x v="3"/>
            <x v="25"/>
            <x v="26"/>
            <x v="71"/>
            <x v="72"/>
            <x v="78"/>
            <x v="79"/>
            <x v="83"/>
            <x v="84"/>
            <x v="85"/>
            <x v="87"/>
            <x v="88"/>
            <x v="98"/>
            <x v="148"/>
            <x v="149"/>
            <x v="150"/>
            <x v="151"/>
            <x v="160"/>
            <x v="192"/>
            <x v="198"/>
            <x v="227"/>
            <x v="244"/>
            <x v="267"/>
            <x v="286"/>
          </reference>
        </references>
      </pivotArea>
    </format>
    <format dxfId="485">
      <pivotArea dataOnly="0" labelOnly="1" outline="0" fieldPosition="0">
        <references count="4">
          <reference field="1" count="1" selected="0">
            <x v="3"/>
          </reference>
          <reference field="2" count="1" selected="0">
            <x v="0"/>
          </reference>
          <reference field="4" count="1" selected="0">
            <x v="29"/>
          </reference>
          <reference field="5" count="3">
            <x v="42"/>
            <x v="167"/>
            <x v="206"/>
          </reference>
        </references>
      </pivotArea>
    </format>
    <format dxfId="484">
      <pivotArea dataOnly="0" labelOnly="1" outline="0" fieldPosition="0">
        <references count="4">
          <reference field="1" count="1" selected="0">
            <x v="3"/>
          </reference>
          <reference field="2" count="1" selected="0">
            <x v="1"/>
          </reference>
          <reference field="4" count="1" selected="0">
            <x v="27"/>
          </reference>
          <reference field="5" count="50">
            <x v="4"/>
            <x v="9"/>
            <x v="11"/>
            <x v="12"/>
            <x v="13"/>
            <x v="14"/>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reference>
        </references>
      </pivotArea>
    </format>
    <format dxfId="483">
      <pivotArea dataOnly="0" labelOnly="1" outline="0" fieldPosition="0">
        <references count="4">
          <reference field="1" count="1" selected="0">
            <x v="3"/>
          </reference>
          <reference field="2" count="1" selected="0">
            <x v="1"/>
          </reference>
          <reference field="4" count="1" selected="0">
            <x v="27"/>
          </reference>
          <reference field="5" count="29">
            <x v="202"/>
            <x v="207"/>
            <x v="210"/>
            <x v="211"/>
            <x v="212"/>
            <x v="214"/>
            <x v="215"/>
            <x v="216"/>
            <x v="217"/>
            <x v="221"/>
            <x v="223"/>
            <x v="225"/>
            <x v="228"/>
            <x v="239"/>
            <x v="245"/>
            <x v="246"/>
            <x v="247"/>
            <x v="248"/>
            <x v="249"/>
            <x v="250"/>
            <x v="255"/>
            <x v="257"/>
            <x v="269"/>
            <x v="270"/>
            <x v="274"/>
            <x v="276"/>
            <x v="278"/>
            <x v="284"/>
            <x v="287"/>
          </reference>
        </references>
      </pivotArea>
    </format>
    <format dxfId="482">
      <pivotArea dataOnly="0" labelOnly="1" outline="0" fieldPosition="0">
        <references count="4">
          <reference field="1" count="1" selected="0">
            <x v="3"/>
          </reference>
          <reference field="2" count="1" selected="0">
            <x v="1"/>
          </reference>
          <reference field="4" count="1" selected="0">
            <x v="41"/>
          </reference>
          <reference field="5" count="9">
            <x v="136"/>
            <x v="138"/>
            <x v="139"/>
            <x v="152"/>
            <x v="205"/>
            <x v="240"/>
            <x v="241"/>
            <x v="242"/>
            <x v="243"/>
          </reference>
        </references>
      </pivotArea>
    </format>
    <format dxfId="481">
      <pivotArea dataOnly="0" labelOnly="1" outline="0" fieldPosition="0">
        <references count="4">
          <reference field="1" count="1" selected="0">
            <x v="5"/>
          </reference>
          <reference field="2" count="1" selected="0">
            <x v="0"/>
          </reference>
          <reference field="4" count="1" selected="0">
            <x v="25"/>
          </reference>
          <reference field="5" count="3">
            <x v="172"/>
            <x v="175"/>
            <x v="176"/>
          </reference>
        </references>
      </pivotArea>
    </format>
    <format dxfId="480">
      <pivotArea dataOnly="0" labelOnly="1" outline="0" fieldPosition="0">
        <references count="4">
          <reference field="1" count="1" selected="0">
            <x v="5"/>
          </reference>
          <reference field="2" count="1" selected="0">
            <x v="1"/>
          </reference>
          <reference field="4" count="1" selected="0">
            <x v="35"/>
          </reference>
          <reference field="5" count="1">
            <x v="234"/>
          </reference>
        </references>
      </pivotArea>
    </format>
    <format dxfId="479">
      <pivotArea dataOnly="0" labelOnly="1" outline="0" fieldPosition="0">
        <references count="4">
          <reference field="1" count="1" selected="0">
            <x v="5"/>
          </reference>
          <reference field="2" count="1" selected="0">
            <x v="2"/>
          </reference>
          <reference field="4" count="1" selected="0">
            <x v="16"/>
          </reference>
          <reference field="5" count="4">
            <x v="90"/>
            <x v="131"/>
            <x v="132"/>
            <x v="135"/>
          </reference>
        </references>
      </pivotArea>
    </format>
    <format dxfId="478">
      <pivotArea dataOnly="0" labelOnly="1" outline="0" fieldPosition="0">
        <references count="4">
          <reference field="1" count="1" selected="0">
            <x v="5"/>
          </reference>
          <reference field="2" count="1" selected="0">
            <x v="2"/>
          </reference>
          <reference field="4" count="1" selected="0">
            <x v="19"/>
          </reference>
          <reference field="5" count="1">
            <x v="157"/>
          </reference>
        </references>
      </pivotArea>
    </format>
    <format dxfId="477">
      <pivotArea dataOnly="0" labelOnly="1" outline="0" fieldPosition="0">
        <references count="4">
          <reference field="1" count="1" selected="0">
            <x v="5"/>
          </reference>
          <reference field="2" count="1" selected="0">
            <x v="2"/>
          </reference>
          <reference field="4" count="1" selected="0">
            <x v="20"/>
          </reference>
          <reference field="5" count="1">
            <x v="158"/>
          </reference>
        </references>
      </pivotArea>
    </format>
    <format dxfId="476">
      <pivotArea dataOnly="0" labelOnly="1" outline="0" fieldPosition="0">
        <references count="4">
          <reference field="1" count="1" selected="0">
            <x v="5"/>
          </reference>
          <reference field="2" count="1" selected="0">
            <x v="2"/>
          </reference>
          <reference field="4" count="1" selected="0">
            <x v="39"/>
          </reference>
          <reference field="5" count="1">
            <x v="275"/>
          </reference>
        </references>
      </pivotArea>
    </format>
    <format dxfId="475">
      <pivotArea dataOnly="0" labelOnly="1" outline="0" fieldPosition="0">
        <references count="4">
          <reference field="1" count="1" selected="0">
            <x v="5"/>
          </reference>
          <reference field="2" count="1" selected="0">
            <x v="3"/>
          </reference>
          <reference field="4" count="1" selected="0">
            <x v="22"/>
          </reference>
          <reference field="5" count="16">
            <x v="16"/>
            <x v="55"/>
            <x v="56"/>
            <x v="57"/>
            <x v="60"/>
            <x v="61"/>
            <x v="62"/>
            <x v="99"/>
            <x v="112"/>
            <x v="113"/>
            <x v="114"/>
            <x v="134"/>
            <x v="164"/>
            <x v="173"/>
            <x v="174"/>
            <x v="238"/>
          </reference>
        </references>
      </pivotArea>
    </format>
    <format dxfId="474">
      <pivotArea dataOnly="0" labelOnly="1" outline="0" fieldPosition="0">
        <references count="4">
          <reference field="1" count="1" selected="0">
            <x v="5"/>
          </reference>
          <reference field="2" count="1" selected="0">
            <x v="3"/>
          </reference>
          <reference field="4" count="1" selected="0">
            <x v="23"/>
          </reference>
          <reference field="5" count="14">
            <x v="28"/>
            <x v="29"/>
            <x v="40"/>
            <x v="44"/>
            <x v="77"/>
            <x v="91"/>
            <x v="115"/>
            <x v="130"/>
            <x v="144"/>
            <x v="146"/>
            <x v="170"/>
            <x v="171"/>
            <x v="237"/>
            <x v="253"/>
          </reference>
        </references>
      </pivotArea>
    </format>
    <format dxfId="473">
      <pivotArea dataOnly="0" labelOnly="1" outline="0" fieldPosition="0">
        <references count="4">
          <reference field="1" count="1" selected="0">
            <x v="5"/>
          </reference>
          <reference field="2" count="1" selected="0">
            <x v="3"/>
          </reference>
          <reference field="4" count="1" selected="0">
            <x v="24"/>
          </reference>
          <reference field="5" count="1">
            <x v="106"/>
          </reference>
        </references>
      </pivotArea>
    </format>
    <format dxfId="472">
      <pivotArea dataOnly="0" labelOnly="1" outline="0" fieldPosition="0">
        <references count="4">
          <reference field="1" count="1" selected="0">
            <x v="5"/>
          </reference>
          <reference field="2" count="1" selected="0">
            <x v="3"/>
          </reference>
          <reference field="4" count="1" selected="0">
            <x v="51"/>
          </reference>
          <reference field="5" count="4">
            <x v="280"/>
            <x v="281"/>
            <x v="282"/>
            <x v="283"/>
          </reference>
        </references>
      </pivotArea>
    </format>
    <format dxfId="471">
      <pivotArea dataOnly="0" labelOnly="1" outline="0" fieldPosition="0">
        <references count="4">
          <reference field="1" count="1" selected="0">
            <x v="6"/>
          </reference>
          <reference field="2" count="1" selected="0">
            <x v="0"/>
          </reference>
          <reference field="4" count="1" selected="0">
            <x v="1"/>
          </reference>
          <reference field="5" count="15">
            <x v="10"/>
            <x v="18"/>
            <x v="19"/>
            <x v="20"/>
            <x v="21"/>
            <x v="22"/>
            <x v="23"/>
            <x v="24"/>
            <x v="47"/>
            <x v="51"/>
            <x v="197"/>
            <x v="213"/>
            <x v="219"/>
            <x v="220"/>
            <x v="226"/>
          </reference>
        </references>
      </pivotArea>
    </format>
    <format dxfId="470">
      <pivotArea dataOnly="0" labelOnly="1" outline="0" fieldPosition="0">
        <references count="4">
          <reference field="1" count="1" selected="0">
            <x v="6"/>
          </reference>
          <reference field="2" count="1" selected="0">
            <x v="1"/>
          </reference>
          <reference field="4" count="1" selected="0">
            <x v="0"/>
          </reference>
          <reference field="5" count="14">
            <x v="10"/>
            <x v="19"/>
            <x v="21"/>
            <x v="22"/>
            <x v="24"/>
            <x v="27"/>
            <x v="51"/>
            <x v="81"/>
            <x v="165"/>
            <x v="196"/>
            <x v="201"/>
            <x v="213"/>
            <x v="220"/>
            <x v="256"/>
          </reference>
        </references>
      </pivotArea>
    </format>
    <format dxfId="469">
      <pivotArea dataOnly="0" labelOnly="1" outline="0" fieldPosition="0">
        <references count="4">
          <reference field="1" count="1" selected="0">
            <x v="8"/>
          </reference>
          <reference field="2" count="1" selected="0">
            <x v="0"/>
          </reference>
          <reference field="4" count="1" selected="0">
            <x v="44"/>
          </reference>
          <reference field="5" count="4">
            <x v="172"/>
            <x v="179"/>
            <x v="180"/>
            <x v="181"/>
          </reference>
        </references>
      </pivotArea>
    </format>
    <format dxfId="468">
      <pivotArea dataOnly="0" labelOnly="1" outline="0" fieldPosition="0">
        <references count="4">
          <reference field="1" count="1" selected="0">
            <x v="8"/>
          </reference>
          <reference field="2" count="1" selected="0">
            <x v="1"/>
          </reference>
          <reference field="4" count="1" selected="0">
            <x v="13"/>
          </reference>
          <reference field="5" count="2">
            <x v="108"/>
            <x v="110"/>
          </reference>
        </references>
      </pivotArea>
    </format>
    <format dxfId="467">
      <pivotArea dataOnly="0" labelOnly="1" outline="0" fieldPosition="0">
        <references count="4">
          <reference field="1" count="1" selected="0">
            <x v="8"/>
          </reference>
          <reference field="2" count="1" selected="0">
            <x v="1"/>
          </reference>
          <reference field="4" count="1" selected="0">
            <x v="37"/>
          </reference>
          <reference field="5" count="3">
            <x v="236"/>
            <x v="266"/>
            <x v="272"/>
          </reference>
        </references>
      </pivotArea>
    </format>
    <format dxfId="466">
      <pivotArea dataOnly="0" labelOnly="1" outline="0" fieldPosition="0">
        <references count="4">
          <reference field="1" count="1" selected="0">
            <x v="8"/>
          </reference>
          <reference field="2" count="1" selected="0">
            <x v="1"/>
          </reference>
          <reference field="4" count="1" selected="0">
            <x v="46"/>
          </reference>
          <reference field="5" count="4">
            <x v="123"/>
            <x v="124"/>
            <x v="125"/>
            <x v="126"/>
          </reference>
        </references>
      </pivotArea>
    </format>
    <format dxfId="465">
      <pivotArea dataOnly="0" labelOnly="1" outline="0" fieldPosition="0">
        <references count="4">
          <reference field="1" count="1" selected="0">
            <x v="8"/>
          </reference>
          <reference field="2" count="1" selected="0">
            <x v="1"/>
          </reference>
          <reference field="4" count="1" selected="0">
            <x v="48"/>
          </reference>
          <reference field="5" count="2">
            <x v="271"/>
            <x v="273"/>
          </reference>
        </references>
      </pivotArea>
    </format>
    <format dxfId="464">
      <pivotArea dataOnly="0" labelOnly="1" outline="0" fieldPosition="0">
        <references count="4">
          <reference field="1" count="1" selected="0">
            <x v="8"/>
          </reference>
          <reference field="2" count="1" selected="0">
            <x v="2"/>
          </reference>
          <reference field="4" count="1" selected="0">
            <x v="11"/>
          </reference>
          <reference field="5" count="15">
            <x v="141"/>
            <x v="142"/>
            <x v="143"/>
            <x v="154"/>
            <x v="155"/>
            <x v="156"/>
            <x v="182"/>
            <x v="183"/>
            <x v="184"/>
            <x v="185"/>
            <x v="186"/>
            <x v="188"/>
            <x v="189"/>
            <x v="251"/>
            <x v="252"/>
          </reference>
        </references>
      </pivotArea>
    </format>
    <format dxfId="463">
      <pivotArea dataOnly="0" labelOnly="1" outline="0" fieldPosition="0">
        <references count="4">
          <reference field="1" count="1" selected="0">
            <x v="8"/>
          </reference>
          <reference field="2" count="1" selected="0">
            <x v="3"/>
          </reference>
          <reference field="4" count="1" selected="0">
            <x v="5"/>
          </reference>
          <reference field="5" count="18">
            <x v="16"/>
            <x v="55"/>
            <x v="56"/>
            <x v="57"/>
            <x v="60"/>
            <x v="61"/>
            <x v="62"/>
            <x v="63"/>
            <x v="64"/>
            <x v="99"/>
            <x v="109"/>
            <x v="112"/>
            <x v="113"/>
            <x v="114"/>
            <x v="164"/>
            <x v="177"/>
            <x v="178"/>
            <x v="238"/>
          </reference>
        </references>
      </pivotArea>
    </format>
    <format dxfId="462">
      <pivotArea dataOnly="0" labelOnly="1" outline="0" fieldPosition="0">
        <references count="4">
          <reference field="1" count="1" selected="0">
            <x v="8"/>
          </reference>
          <reference field="2" count="1" selected="0">
            <x v="3"/>
          </reference>
          <reference field="4" count="1" selected="0">
            <x v="18"/>
          </reference>
          <reference field="5" count="14">
            <x v="28"/>
            <x v="29"/>
            <x v="40"/>
            <x v="44"/>
            <x v="77"/>
            <x v="91"/>
            <x v="115"/>
            <x v="130"/>
            <x v="144"/>
            <x v="146"/>
            <x v="170"/>
            <x v="171"/>
            <x v="237"/>
            <x v="253"/>
          </reference>
        </references>
      </pivotArea>
    </format>
    <format dxfId="461">
      <pivotArea dataOnly="0" labelOnly="1" outline="0" fieldPosition="0">
        <references count="4">
          <reference field="1" count="1" selected="0">
            <x v="8"/>
          </reference>
          <reference field="2" count="1" selected="0">
            <x v="3"/>
          </reference>
          <reference field="4" count="1" selected="0">
            <x v="30"/>
          </reference>
          <reference field="5" count="2">
            <x v="86"/>
            <x v="285"/>
          </reference>
        </references>
      </pivotArea>
    </format>
    <format dxfId="460">
      <pivotArea dataOnly="0" labelOnly="1" outline="0" fieldPosition="0">
        <references count="4">
          <reference field="1" count="1" selected="0">
            <x v="8"/>
          </reference>
          <reference field="2" count="1" selected="0">
            <x v="3"/>
          </reference>
          <reference field="4" count="1" selected="0">
            <x v="32"/>
          </reference>
          <reference field="5" count="1">
            <x v="265"/>
          </reference>
        </references>
      </pivotArea>
    </format>
    <format dxfId="459">
      <pivotArea dataOnly="0" labelOnly="1" outline="0" fieldPosition="0">
        <references count="4">
          <reference field="1" count="1" selected="0">
            <x v="8"/>
          </reference>
          <reference field="2" count="1" selected="0">
            <x v="3"/>
          </reference>
          <reference field="4" count="1" selected="0">
            <x v="34"/>
          </reference>
          <reference field="5" count="1">
            <x v="232"/>
          </reference>
        </references>
      </pivotArea>
    </format>
    <format dxfId="458">
      <pivotArea dataOnly="0" labelOnly="1" outline="0" fieldPosition="0">
        <references count="4">
          <reference field="1" count="1" selected="0">
            <x v="8"/>
          </reference>
          <reference field="2" count="1" selected="0">
            <x v="3"/>
          </reference>
          <reference field="4" count="1" selected="0">
            <x v="52"/>
          </reference>
          <reference field="5" count="4">
            <x v="280"/>
            <x v="281"/>
            <x v="282"/>
            <x v="283"/>
          </reference>
        </references>
      </pivotArea>
    </format>
    <format dxfId="457">
      <pivotArea dataOnly="0" labelOnly="1" outline="0" fieldPosition="0">
        <references count="4">
          <reference field="1" count="1" selected="0">
            <x v="9"/>
          </reference>
          <reference field="2" count="1" selected="0">
            <x v="0"/>
          </reference>
          <reference field="4" count="1" selected="0">
            <x v="43"/>
          </reference>
          <reference field="5" count="13">
            <x v="94"/>
            <x v="95"/>
            <x v="96"/>
            <x v="136"/>
            <x v="137"/>
            <x v="139"/>
            <x v="204"/>
            <x v="224"/>
            <x v="240"/>
            <x v="241"/>
            <x v="242"/>
            <x v="243"/>
            <x v="264"/>
          </reference>
        </references>
      </pivotArea>
    </format>
    <format dxfId="456">
      <pivotArea dataOnly="0" labelOnly="1" outline="0" fieldPosition="0">
        <references count="4">
          <reference field="1" count="1" selected="0">
            <x v="9"/>
          </reference>
          <reference field="2" count="1" selected="0">
            <x v="1"/>
          </reference>
          <reference field="4" count="1" selected="0">
            <x v="42"/>
          </reference>
          <reference field="5" count="25">
            <x v="8"/>
            <x v="12"/>
            <x v="37"/>
            <x v="52"/>
            <x v="68"/>
            <x v="73"/>
            <x v="94"/>
            <x v="97"/>
            <x v="129"/>
            <x v="136"/>
            <x v="152"/>
            <x v="153"/>
            <x v="166"/>
            <x v="187"/>
            <x v="203"/>
            <x v="208"/>
            <x v="209"/>
            <x v="218"/>
            <x v="222"/>
            <x v="224"/>
            <x v="254"/>
            <x v="258"/>
            <x v="260"/>
            <x v="268"/>
            <x v="284"/>
          </reference>
        </references>
      </pivotArea>
    </format>
    <format dxfId="455">
      <pivotArea dataOnly="0" labelOnly="1" outline="0" fieldPosition="0">
        <references count="4">
          <reference field="1" count="1" selected="0">
            <x v="9"/>
          </reference>
          <reference field="2" count="1" selected="0">
            <x v="2"/>
          </reference>
          <reference field="4" count="1" selected="0">
            <x v="40"/>
          </reference>
          <reference field="5" count="9">
            <x v="136"/>
            <x v="138"/>
            <x v="139"/>
            <x v="152"/>
            <x v="205"/>
            <x v="240"/>
            <x v="241"/>
            <x v="242"/>
            <x v="243"/>
          </reference>
        </references>
      </pivotArea>
    </format>
    <format dxfId="454">
      <pivotArea dataOnly="0" labelOnly="1" outline="0" fieldPosition="0">
        <references count="4">
          <reference field="1" count="1" selected="0">
            <x v="9"/>
          </reference>
          <reference field="2" count="1" selected="0">
            <x v="3"/>
          </reference>
          <reference field="4" count="1" selected="0">
            <x v="28"/>
          </reference>
          <reference field="5" count="50">
            <x v="4"/>
            <x v="9"/>
            <x v="11"/>
            <x v="12"/>
            <x v="13"/>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x v="202"/>
          </reference>
        </references>
      </pivotArea>
    </format>
    <format dxfId="453">
      <pivotArea dataOnly="0" labelOnly="1" outline="0" fieldPosition="0">
        <references count="4">
          <reference field="1" count="1" selected="0">
            <x v="9"/>
          </reference>
          <reference field="2" count="1" selected="0">
            <x v="3"/>
          </reference>
          <reference field="4" count="1" selected="0">
            <x v="28"/>
          </reference>
          <reference field="5" count="27">
            <x v="207"/>
            <x v="210"/>
            <x v="211"/>
            <x v="212"/>
            <x v="214"/>
            <x v="215"/>
            <x v="216"/>
            <x v="217"/>
            <x v="221"/>
            <x v="223"/>
            <x v="225"/>
            <x v="228"/>
            <x v="239"/>
            <x v="245"/>
            <x v="246"/>
            <x v="247"/>
            <x v="248"/>
            <x v="249"/>
            <x v="250"/>
            <x v="255"/>
            <x v="269"/>
            <x v="270"/>
            <x v="274"/>
            <x v="276"/>
            <x v="278"/>
            <x v="284"/>
            <x v="287"/>
          </reference>
        </references>
      </pivotArea>
    </format>
    <format dxfId="452">
      <pivotArea dataOnly="0" labelOnly="1" outline="0" fieldPosition="0">
        <references count="4">
          <reference field="1" count="1" selected="0">
            <x v="10"/>
          </reference>
          <reference field="2" count="1" selected="0">
            <x v="4"/>
          </reference>
          <reference field="4" count="1" selected="0">
            <x v="53"/>
          </reference>
          <reference field="5" count="1">
            <x v="288"/>
          </reference>
        </references>
      </pivotArea>
    </format>
    <format dxfId="451">
      <pivotArea type="all" dataOnly="0" outline="0" fieldPosition="0"/>
    </format>
    <format dxfId="450">
      <pivotArea field="1" type="button" dataOnly="0" labelOnly="1" outline="0" axis="axisRow" fieldPosition="0"/>
    </format>
    <format dxfId="449">
      <pivotArea field="2" type="button" dataOnly="0" labelOnly="1" outline="0" axis="axisRow" fieldPosition="1"/>
    </format>
    <format dxfId="448">
      <pivotArea field="4" type="button" dataOnly="0" labelOnly="1" outline="0" axis="axisRow" fieldPosition="2"/>
    </format>
    <format dxfId="447">
      <pivotArea field="5" type="button" dataOnly="0" labelOnly="1" outline="0" axis="axisRow" fieldPosition="3"/>
    </format>
    <format dxfId="446">
      <pivotArea dataOnly="0" labelOnly="1" outline="0" fieldPosition="0">
        <references count="1">
          <reference field="1" count="0"/>
        </references>
      </pivotArea>
    </format>
    <format dxfId="445">
      <pivotArea dataOnly="0" labelOnly="1" grandRow="1" outline="0" fieldPosition="0"/>
    </format>
    <format dxfId="444">
      <pivotArea dataOnly="0" labelOnly="1" outline="0" fieldPosition="0">
        <references count="2">
          <reference field="1" count="1" selected="0">
            <x v="0"/>
          </reference>
          <reference field="2" count="1">
            <x v="0"/>
          </reference>
        </references>
      </pivotArea>
    </format>
    <format dxfId="443">
      <pivotArea dataOnly="0" labelOnly="1" outline="0" fieldPosition="0">
        <references count="2">
          <reference field="1" count="1" selected="0">
            <x v="2"/>
          </reference>
          <reference field="2" count="3">
            <x v="1"/>
            <x v="2"/>
            <x v="3"/>
          </reference>
        </references>
      </pivotArea>
    </format>
    <format dxfId="442">
      <pivotArea dataOnly="0" labelOnly="1" outline="0" fieldPosition="0">
        <references count="2">
          <reference field="1" count="1" selected="0">
            <x v="3"/>
          </reference>
          <reference field="2" count="2">
            <x v="0"/>
            <x v="1"/>
          </reference>
        </references>
      </pivotArea>
    </format>
    <format dxfId="441">
      <pivotArea dataOnly="0" labelOnly="1" outline="0" fieldPosition="0">
        <references count="2">
          <reference field="1" count="1" selected="0">
            <x v="5"/>
          </reference>
          <reference field="2" count="4">
            <x v="0"/>
            <x v="1"/>
            <x v="2"/>
            <x v="3"/>
          </reference>
        </references>
      </pivotArea>
    </format>
    <format dxfId="440">
      <pivotArea dataOnly="0" labelOnly="1" outline="0" fieldPosition="0">
        <references count="2">
          <reference field="1" count="1" selected="0">
            <x v="6"/>
          </reference>
          <reference field="2" count="2">
            <x v="0"/>
            <x v="1"/>
          </reference>
        </references>
      </pivotArea>
    </format>
    <format dxfId="439">
      <pivotArea dataOnly="0" labelOnly="1" outline="0" fieldPosition="0">
        <references count="2">
          <reference field="1" count="1" selected="0">
            <x v="8"/>
          </reference>
          <reference field="2" count="4">
            <x v="0"/>
            <x v="1"/>
            <x v="2"/>
            <x v="3"/>
          </reference>
        </references>
      </pivotArea>
    </format>
    <format dxfId="438">
      <pivotArea dataOnly="0" labelOnly="1" outline="0" fieldPosition="0">
        <references count="2">
          <reference field="1" count="1" selected="0">
            <x v="9"/>
          </reference>
          <reference field="2" count="4">
            <x v="0"/>
            <x v="1"/>
            <x v="2"/>
            <x v="3"/>
          </reference>
        </references>
      </pivotArea>
    </format>
    <format dxfId="437">
      <pivotArea dataOnly="0" labelOnly="1" outline="0" fieldPosition="0">
        <references count="2">
          <reference field="1" count="1" selected="0">
            <x v="10"/>
          </reference>
          <reference field="2" count="1">
            <x v="4"/>
          </reference>
        </references>
      </pivotArea>
    </format>
    <format dxfId="436">
      <pivotArea dataOnly="0" labelOnly="1" outline="0" fieldPosition="0">
        <references count="3">
          <reference field="1" count="1" selected="0">
            <x v="0"/>
          </reference>
          <reference field="2" count="1" selected="0">
            <x v="0"/>
          </reference>
          <reference field="4" count="4">
            <x v="6"/>
            <x v="8"/>
            <x v="9"/>
            <x v="10"/>
          </reference>
        </references>
      </pivotArea>
    </format>
    <format dxfId="435">
      <pivotArea dataOnly="0" labelOnly="1" outline="0" fieldPosition="0">
        <references count="3">
          <reference field="1" count="1" selected="0">
            <x v="1"/>
          </reference>
          <reference field="2" count="1" selected="0">
            <x v="0"/>
          </reference>
          <reference field="4" count="5">
            <x v="12"/>
            <x v="17"/>
            <x v="45"/>
            <x v="47"/>
            <x v="49"/>
          </reference>
        </references>
      </pivotArea>
    </format>
    <format dxfId="434">
      <pivotArea dataOnly="0" labelOnly="1" outline="0" fieldPosition="0">
        <references count="3">
          <reference field="1" count="1" selected="0">
            <x v="2"/>
          </reference>
          <reference field="2" count="1" selected="0">
            <x v="0"/>
          </reference>
          <reference field="4" count="2">
            <x v="3"/>
            <x v="21"/>
          </reference>
        </references>
      </pivotArea>
    </format>
    <format dxfId="433">
      <pivotArea dataOnly="0" labelOnly="1" outline="0" fieldPosition="0">
        <references count="3">
          <reference field="1" count="1" selected="0">
            <x v="2"/>
          </reference>
          <reference field="2" count="1" selected="0">
            <x v="1"/>
          </reference>
          <reference field="4" count="3">
            <x v="33"/>
            <x v="36"/>
            <x v="38"/>
          </reference>
        </references>
      </pivotArea>
    </format>
    <format dxfId="432">
      <pivotArea dataOnly="0" labelOnly="1" outline="0" fieldPosition="0">
        <references count="3">
          <reference field="1" count="1" selected="0">
            <x v="2"/>
          </reference>
          <reference field="2" count="1" selected="0">
            <x v="2"/>
          </reference>
          <reference field="4" count="1">
            <x v="15"/>
          </reference>
        </references>
      </pivotArea>
    </format>
    <format dxfId="431">
      <pivotArea dataOnly="0" labelOnly="1" outline="0" fieldPosition="0">
        <references count="3">
          <reference field="1" count="1" selected="0">
            <x v="2"/>
          </reference>
          <reference field="2" count="1" selected="0">
            <x v="3"/>
          </reference>
          <reference field="4" count="4">
            <x v="4"/>
            <x v="14"/>
            <x v="31"/>
            <x v="50"/>
          </reference>
        </references>
      </pivotArea>
    </format>
    <format dxfId="430">
      <pivotArea dataOnly="0" labelOnly="1" outline="0" fieldPosition="0">
        <references count="3">
          <reference field="1" count="1" selected="0">
            <x v="3"/>
          </reference>
          <reference field="2" count="1" selected="0">
            <x v="0"/>
          </reference>
          <reference field="4" count="2">
            <x v="2"/>
            <x v="29"/>
          </reference>
        </references>
      </pivotArea>
    </format>
    <format dxfId="429">
      <pivotArea dataOnly="0" labelOnly="1" outline="0" fieldPosition="0">
        <references count="3">
          <reference field="1" count="1" selected="0">
            <x v="3"/>
          </reference>
          <reference field="2" count="1" selected="0">
            <x v="1"/>
          </reference>
          <reference field="4" count="2">
            <x v="27"/>
            <x v="41"/>
          </reference>
        </references>
      </pivotArea>
    </format>
    <format dxfId="428">
      <pivotArea dataOnly="0" labelOnly="1" outline="0" fieldPosition="0">
        <references count="3">
          <reference field="1" count="1" selected="0">
            <x v="5"/>
          </reference>
          <reference field="2" count="1" selected="0">
            <x v="0"/>
          </reference>
          <reference field="4" count="1">
            <x v="25"/>
          </reference>
        </references>
      </pivotArea>
    </format>
    <format dxfId="427">
      <pivotArea dataOnly="0" labelOnly="1" outline="0" fieldPosition="0">
        <references count="3">
          <reference field="1" count="1" selected="0">
            <x v="5"/>
          </reference>
          <reference field="2" count="1" selected="0">
            <x v="1"/>
          </reference>
          <reference field="4" count="1">
            <x v="35"/>
          </reference>
        </references>
      </pivotArea>
    </format>
    <format dxfId="426">
      <pivotArea dataOnly="0" labelOnly="1" outline="0" fieldPosition="0">
        <references count="3">
          <reference field="1" count="1" selected="0">
            <x v="5"/>
          </reference>
          <reference field="2" count="1" selected="0">
            <x v="2"/>
          </reference>
          <reference field="4" count="4">
            <x v="16"/>
            <x v="19"/>
            <x v="20"/>
            <x v="39"/>
          </reference>
        </references>
      </pivotArea>
    </format>
    <format dxfId="425">
      <pivotArea dataOnly="0" labelOnly="1" outline="0" fieldPosition="0">
        <references count="3">
          <reference field="1" count="1" selected="0">
            <x v="5"/>
          </reference>
          <reference field="2" count="1" selected="0">
            <x v="3"/>
          </reference>
          <reference field="4" count="4">
            <x v="22"/>
            <x v="23"/>
            <x v="24"/>
            <x v="51"/>
          </reference>
        </references>
      </pivotArea>
    </format>
    <format dxfId="424">
      <pivotArea dataOnly="0" labelOnly="1" outline="0" fieldPosition="0">
        <references count="3">
          <reference field="1" count="1" selected="0">
            <x v="6"/>
          </reference>
          <reference field="2" count="1" selected="0">
            <x v="0"/>
          </reference>
          <reference field="4" count="1">
            <x v="1"/>
          </reference>
        </references>
      </pivotArea>
    </format>
    <format dxfId="423">
      <pivotArea dataOnly="0" labelOnly="1" outline="0" fieldPosition="0">
        <references count="3">
          <reference field="1" count="1" selected="0">
            <x v="6"/>
          </reference>
          <reference field="2" count="1" selected="0">
            <x v="1"/>
          </reference>
          <reference field="4" count="1">
            <x v="0"/>
          </reference>
        </references>
      </pivotArea>
    </format>
    <format dxfId="422">
      <pivotArea dataOnly="0" labelOnly="1" outline="0" fieldPosition="0">
        <references count="3">
          <reference field="1" count="1" selected="0">
            <x v="8"/>
          </reference>
          <reference field="2" count="1" selected="0">
            <x v="0"/>
          </reference>
          <reference field="4" count="1">
            <x v="44"/>
          </reference>
        </references>
      </pivotArea>
    </format>
    <format dxfId="421">
      <pivotArea dataOnly="0" labelOnly="1" outline="0" fieldPosition="0">
        <references count="3">
          <reference field="1" count="1" selected="0">
            <x v="8"/>
          </reference>
          <reference field="2" count="1" selected="0">
            <x v="1"/>
          </reference>
          <reference field="4" count="4">
            <x v="13"/>
            <x v="37"/>
            <x v="46"/>
            <x v="48"/>
          </reference>
        </references>
      </pivotArea>
    </format>
    <format dxfId="420">
      <pivotArea dataOnly="0" labelOnly="1" outline="0" fieldPosition="0">
        <references count="3">
          <reference field="1" count="1" selected="0">
            <x v="8"/>
          </reference>
          <reference field="2" count="1" selected="0">
            <x v="2"/>
          </reference>
          <reference field="4" count="1">
            <x v="11"/>
          </reference>
        </references>
      </pivotArea>
    </format>
    <format dxfId="419">
      <pivotArea dataOnly="0" labelOnly="1" outline="0" fieldPosition="0">
        <references count="3">
          <reference field="1" count="1" selected="0">
            <x v="8"/>
          </reference>
          <reference field="2" count="1" selected="0">
            <x v="3"/>
          </reference>
          <reference field="4" count="6">
            <x v="5"/>
            <x v="18"/>
            <x v="30"/>
            <x v="32"/>
            <x v="34"/>
            <x v="52"/>
          </reference>
        </references>
      </pivotArea>
    </format>
    <format dxfId="418">
      <pivotArea dataOnly="0" labelOnly="1" outline="0" fieldPosition="0">
        <references count="3">
          <reference field="1" count="1" selected="0">
            <x v="9"/>
          </reference>
          <reference field="2" count="1" selected="0">
            <x v="0"/>
          </reference>
          <reference field="4" count="1">
            <x v="43"/>
          </reference>
        </references>
      </pivotArea>
    </format>
    <format dxfId="417">
      <pivotArea dataOnly="0" labelOnly="1" outline="0" fieldPosition="0">
        <references count="3">
          <reference field="1" count="1" selected="0">
            <x v="9"/>
          </reference>
          <reference field="2" count="1" selected="0">
            <x v="1"/>
          </reference>
          <reference field="4" count="1">
            <x v="42"/>
          </reference>
        </references>
      </pivotArea>
    </format>
    <format dxfId="416">
      <pivotArea dataOnly="0" labelOnly="1" outline="0" fieldPosition="0">
        <references count="3">
          <reference field="1" count="1" selected="0">
            <x v="9"/>
          </reference>
          <reference field="2" count="1" selected="0">
            <x v="2"/>
          </reference>
          <reference field="4" count="1">
            <x v="40"/>
          </reference>
        </references>
      </pivotArea>
    </format>
    <format dxfId="415">
      <pivotArea dataOnly="0" labelOnly="1" outline="0" fieldPosition="0">
        <references count="3">
          <reference field="1" count="1" selected="0">
            <x v="9"/>
          </reference>
          <reference field="2" count="1" selected="0">
            <x v="3"/>
          </reference>
          <reference field="4" count="1">
            <x v="28"/>
          </reference>
        </references>
      </pivotArea>
    </format>
    <format dxfId="414">
      <pivotArea dataOnly="0" labelOnly="1" outline="0" fieldPosition="0">
        <references count="3">
          <reference field="1" count="1" selected="0">
            <x v="10"/>
          </reference>
          <reference field="2" count="1" selected="0">
            <x v="4"/>
          </reference>
          <reference field="4" count="1">
            <x v="53"/>
          </reference>
        </references>
      </pivotArea>
    </format>
    <format dxfId="413">
      <pivotArea dataOnly="0" labelOnly="1" outline="0" fieldPosition="0">
        <references count="4">
          <reference field="1" count="1" selected="0">
            <x v="0"/>
          </reference>
          <reference field="2" count="1" selected="0">
            <x v="0"/>
          </reference>
          <reference field="4" count="1" selected="0">
            <x v="6"/>
          </reference>
          <reference field="5" count="2">
            <x v="66"/>
            <x v="67"/>
          </reference>
        </references>
      </pivotArea>
    </format>
    <format dxfId="412">
      <pivotArea dataOnly="0" labelOnly="1" outline="0" fieldPosition="0">
        <references count="4">
          <reference field="1" count="1" selected="0">
            <x v="0"/>
          </reference>
          <reference field="2" count="1" selected="0">
            <x v="0"/>
          </reference>
          <reference field="4" count="1" selected="0">
            <x v="8"/>
          </reference>
          <reference field="5" count="1">
            <x v="65"/>
          </reference>
        </references>
      </pivotArea>
    </format>
    <format dxfId="411">
      <pivotArea dataOnly="0" labelOnly="1" outline="0" fieldPosition="0">
        <references count="4">
          <reference field="1" count="1" selected="0">
            <x v="0"/>
          </reference>
          <reference field="2" count="1" selected="0">
            <x v="0"/>
          </reference>
          <reference field="4" count="1" selected="0">
            <x v="9"/>
          </reference>
          <reference field="5" count="2">
            <x v="74"/>
            <x v="201"/>
          </reference>
        </references>
      </pivotArea>
    </format>
    <format dxfId="410">
      <pivotArea dataOnly="0" labelOnly="1" outline="0" fieldPosition="0">
        <references count="4">
          <reference field="1" count="1" selected="0">
            <x v="0"/>
          </reference>
          <reference field="2" count="1" selected="0">
            <x v="0"/>
          </reference>
          <reference field="4" count="1" selected="0">
            <x v="10"/>
          </reference>
          <reference field="5" count="8">
            <x v="16"/>
            <x v="99"/>
            <x v="112"/>
            <x v="113"/>
            <x v="114"/>
            <x v="164"/>
            <x v="199"/>
            <x v="238"/>
          </reference>
        </references>
      </pivotArea>
    </format>
    <format dxfId="409">
      <pivotArea dataOnly="0" labelOnly="1" outline="0" fieldPosition="0">
        <references count="4">
          <reference field="1" count="1" selected="0">
            <x v="1"/>
          </reference>
          <reference field="2" count="1" selected="0">
            <x v="0"/>
          </reference>
          <reference field="4" count="1" selected="0">
            <x v="12"/>
          </reference>
          <reference field="5" count="1">
            <x v="110"/>
          </reference>
        </references>
      </pivotArea>
    </format>
    <format dxfId="408">
      <pivotArea dataOnly="0" labelOnly="1" outline="0" fieldPosition="0">
        <references count="4">
          <reference field="1" count="1" selected="0">
            <x v="1"/>
          </reference>
          <reference field="2" count="1" selected="0">
            <x v="0"/>
          </reference>
          <reference field="4" count="1" selected="0">
            <x v="17"/>
          </reference>
          <reference field="5" count="16">
            <x v="28"/>
            <x v="29"/>
            <x v="40"/>
            <x v="44"/>
            <x v="77"/>
            <x v="91"/>
            <x v="101"/>
            <x v="115"/>
            <x v="130"/>
            <x v="144"/>
            <x v="146"/>
            <x v="170"/>
            <x v="171"/>
            <x v="237"/>
            <x v="253"/>
            <x v="277"/>
          </reference>
        </references>
      </pivotArea>
    </format>
    <format dxfId="407">
      <pivotArea dataOnly="0" labelOnly="1" outline="0" fieldPosition="0">
        <references count="4">
          <reference field="1" count="1" selected="0">
            <x v="1"/>
          </reference>
          <reference field="2" count="1" selected="0">
            <x v="0"/>
          </reference>
          <reference field="4" count="1" selected="0">
            <x v="45"/>
          </reference>
          <reference field="5" count="4">
            <x v="123"/>
            <x v="124"/>
            <x v="125"/>
            <x v="126"/>
          </reference>
        </references>
      </pivotArea>
    </format>
    <format dxfId="406">
      <pivotArea dataOnly="0" labelOnly="1" outline="0" fieldPosition="0">
        <references count="4">
          <reference field="1" count="1" selected="0">
            <x v="1"/>
          </reference>
          <reference field="2" count="1" selected="0">
            <x v="0"/>
          </reference>
          <reference field="4" count="1" selected="0">
            <x v="47"/>
          </reference>
          <reference field="5" count="2">
            <x v="271"/>
            <x v="273"/>
          </reference>
        </references>
      </pivotArea>
    </format>
    <format dxfId="405">
      <pivotArea dataOnly="0" labelOnly="1" outline="0" fieldPosition="0">
        <references count="4">
          <reference field="1" count="1" selected="0">
            <x v="1"/>
          </reference>
          <reference field="2" count="1" selected="0">
            <x v="0"/>
          </reference>
          <reference field="4" count="1" selected="0">
            <x v="49"/>
          </reference>
          <reference field="5" count="2">
            <x v="282"/>
            <x v="283"/>
          </reference>
        </references>
      </pivotArea>
    </format>
    <format dxfId="404">
      <pivotArea dataOnly="0" labelOnly="1" outline="0" fieldPosition="0">
        <references count="4">
          <reference field="1" count="1" selected="0">
            <x v="2"/>
          </reference>
          <reference field="2" count="1" selected="0">
            <x v="0"/>
          </reference>
          <reference field="4" count="1" selected="0">
            <x v="3"/>
          </reference>
          <reference field="5" count="2">
            <x v="100"/>
            <x v="163"/>
          </reference>
        </references>
      </pivotArea>
    </format>
    <format dxfId="403">
      <pivotArea dataOnly="0" labelOnly="1" outline="0" fieldPosition="0">
        <references count="4">
          <reference field="1" count="1" selected="0">
            <x v="2"/>
          </reference>
          <reference field="2" count="1" selected="0">
            <x v="0"/>
          </reference>
          <reference field="4" count="1" selected="0">
            <x v="21"/>
          </reference>
          <reference field="5" count="1">
            <x v="161"/>
          </reference>
        </references>
      </pivotArea>
    </format>
    <format dxfId="402">
      <pivotArea dataOnly="0" labelOnly="1" outline="0" fieldPosition="0">
        <references count="4">
          <reference field="1" count="1" selected="0">
            <x v="2"/>
          </reference>
          <reference field="2" count="1" selected="0">
            <x v="1"/>
          </reference>
          <reference field="4" count="1" selected="0">
            <x v="33"/>
          </reference>
          <reference field="5" count="2">
            <x v="232"/>
            <x v="233"/>
          </reference>
        </references>
      </pivotArea>
    </format>
    <format dxfId="401">
      <pivotArea dataOnly="0" labelOnly="1" outline="0" fieldPosition="0">
        <references count="4">
          <reference field="1" count="1" selected="0">
            <x v="2"/>
          </reference>
          <reference field="2" count="1" selected="0">
            <x v="1"/>
          </reference>
          <reference field="4" count="1" selected="0">
            <x v="36"/>
          </reference>
          <reference field="5" count="4">
            <x v="229"/>
            <x v="230"/>
            <x v="231"/>
            <x v="235"/>
          </reference>
        </references>
      </pivotArea>
    </format>
    <format dxfId="400">
      <pivotArea dataOnly="0" labelOnly="1" outline="0" fieldPosition="0">
        <references count="4">
          <reference field="1" count="1" selected="0">
            <x v="2"/>
          </reference>
          <reference field="2" count="1" selected="0">
            <x v="1"/>
          </reference>
          <reference field="4" count="1" selected="0">
            <x v="38"/>
          </reference>
          <reference field="5" count="4">
            <x v="108"/>
            <x v="236"/>
            <x v="266"/>
            <x v="272"/>
          </reference>
        </references>
      </pivotArea>
    </format>
    <format dxfId="399">
      <pivotArea dataOnly="0" labelOnly="1" outline="0" fieldPosition="0">
        <references count="4">
          <reference field="1" count="1" selected="0">
            <x v="2"/>
          </reference>
          <reference field="2" count="1" selected="0">
            <x v="2"/>
          </reference>
          <reference field="4" count="1" selected="0">
            <x v="15"/>
          </reference>
          <reference field="5" count="2">
            <x v="121"/>
            <x v="122"/>
          </reference>
        </references>
      </pivotArea>
    </format>
    <format dxfId="398">
      <pivotArea dataOnly="0" labelOnly="1" outline="0" fieldPosition="0">
        <references count="4">
          <reference field="1" count="1" selected="0">
            <x v="2"/>
          </reference>
          <reference field="2" count="1" selected="0">
            <x v="3"/>
          </reference>
          <reference field="4" count="1" selected="0">
            <x v="4"/>
          </reference>
          <reference field="5" count="24">
            <x v="6"/>
            <x v="16"/>
            <x v="31"/>
            <x v="32"/>
            <x v="34"/>
            <x v="35"/>
            <x v="55"/>
            <x v="56"/>
            <x v="57"/>
            <x v="58"/>
            <x v="59"/>
            <x v="61"/>
            <x v="62"/>
            <x v="63"/>
            <x v="99"/>
            <x v="109"/>
            <x v="112"/>
            <x v="113"/>
            <x v="114"/>
            <x v="164"/>
            <x v="238"/>
            <x v="259"/>
            <x v="262"/>
            <x v="279"/>
          </reference>
        </references>
      </pivotArea>
    </format>
    <format dxfId="397">
      <pivotArea dataOnly="0" labelOnly="1" outline="0" fieldPosition="0">
        <references count="4">
          <reference field="1" count="1" selected="0">
            <x v="2"/>
          </reference>
          <reference field="2" count="1" selected="0">
            <x v="3"/>
          </reference>
          <reference field="4" count="1" selected="0">
            <x v="14"/>
          </reference>
          <reference field="5" count="14">
            <x v="5"/>
            <x v="7"/>
            <x v="31"/>
            <x v="33"/>
            <x v="34"/>
            <x v="35"/>
            <x v="36"/>
            <x v="116"/>
            <x v="117"/>
            <x v="118"/>
            <x v="119"/>
            <x v="120"/>
            <x v="261"/>
            <x v="263"/>
          </reference>
        </references>
      </pivotArea>
    </format>
    <format dxfId="396">
      <pivotArea dataOnly="0" labelOnly="1" outline="0" fieldPosition="0">
        <references count="4">
          <reference field="1" count="1" selected="0">
            <x v="2"/>
          </reference>
          <reference field="2" count="1" selected="0">
            <x v="3"/>
          </reference>
          <reference field="4" count="1" selected="0">
            <x v="31"/>
          </reference>
          <reference field="5" count="1">
            <x v="145"/>
          </reference>
        </references>
      </pivotArea>
    </format>
    <format dxfId="395">
      <pivotArea dataOnly="0" labelOnly="1" outline="0" fieldPosition="0">
        <references count="4">
          <reference field="1" count="1" selected="0">
            <x v="2"/>
          </reference>
          <reference field="2" count="1" selected="0">
            <x v="3"/>
          </reference>
          <reference field="4" count="1" selected="0">
            <x v="50"/>
          </reference>
          <reference field="5" count="2">
            <x v="280"/>
            <x v="281"/>
          </reference>
        </references>
      </pivotArea>
    </format>
    <format dxfId="394">
      <pivotArea dataOnly="0" labelOnly="1" outline="0" fieldPosition="0">
        <references count="4">
          <reference field="1" count="1" selected="0">
            <x v="3"/>
          </reference>
          <reference field="2" count="1" selected="0">
            <x v="0"/>
          </reference>
          <reference field="4" count="1" selected="0">
            <x v="2"/>
          </reference>
          <reference field="5" count="27">
            <x v="0"/>
            <x v="1"/>
            <x v="2"/>
            <x v="3"/>
            <x v="25"/>
            <x v="26"/>
            <x v="71"/>
            <x v="72"/>
            <x v="78"/>
            <x v="79"/>
            <x v="83"/>
            <x v="84"/>
            <x v="85"/>
            <x v="87"/>
            <x v="88"/>
            <x v="98"/>
            <x v="148"/>
            <x v="149"/>
            <x v="150"/>
            <x v="151"/>
            <x v="160"/>
            <x v="192"/>
            <x v="198"/>
            <x v="227"/>
            <x v="244"/>
            <x v="267"/>
            <x v="286"/>
          </reference>
        </references>
      </pivotArea>
    </format>
    <format dxfId="393">
      <pivotArea dataOnly="0" labelOnly="1" outline="0" fieldPosition="0">
        <references count="4">
          <reference field="1" count="1" selected="0">
            <x v="3"/>
          </reference>
          <reference field="2" count="1" selected="0">
            <x v="0"/>
          </reference>
          <reference field="4" count="1" selected="0">
            <x v="29"/>
          </reference>
          <reference field="5" count="3">
            <x v="42"/>
            <x v="167"/>
            <x v="206"/>
          </reference>
        </references>
      </pivotArea>
    </format>
    <format dxfId="392">
      <pivotArea dataOnly="0" labelOnly="1" outline="0" fieldPosition="0">
        <references count="4">
          <reference field="1" count="1" selected="0">
            <x v="3"/>
          </reference>
          <reference field="2" count="1" selected="0">
            <x v="1"/>
          </reference>
          <reference field="4" count="1" selected="0">
            <x v="27"/>
          </reference>
          <reference field="5" count="50">
            <x v="4"/>
            <x v="9"/>
            <x v="11"/>
            <x v="12"/>
            <x v="13"/>
            <x v="14"/>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reference>
        </references>
      </pivotArea>
    </format>
    <format dxfId="391">
      <pivotArea dataOnly="0" labelOnly="1" outline="0" fieldPosition="0">
        <references count="4">
          <reference field="1" count="1" selected="0">
            <x v="3"/>
          </reference>
          <reference field="2" count="1" selected="0">
            <x v="1"/>
          </reference>
          <reference field="4" count="1" selected="0">
            <x v="27"/>
          </reference>
          <reference field="5" count="29">
            <x v="202"/>
            <x v="207"/>
            <x v="210"/>
            <x v="211"/>
            <x v="212"/>
            <x v="214"/>
            <x v="215"/>
            <x v="216"/>
            <x v="217"/>
            <x v="221"/>
            <x v="223"/>
            <x v="225"/>
            <x v="228"/>
            <x v="239"/>
            <x v="245"/>
            <x v="246"/>
            <x v="247"/>
            <x v="248"/>
            <x v="249"/>
            <x v="250"/>
            <x v="255"/>
            <x v="257"/>
            <x v="269"/>
            <x v="270"/>
            <x v="274"/>
            <x v="276"/>
            <x v="278"/>
            <x v="284"/>
            <x v="287"/>
          </reference>
        </references>
      </pivotArea>
    </format>
    <format dxfId="390">
      <pivotArea dataOnly="0" labelOnly="1" outline="0" fieldPosition="0">
        <references count="4">
          <reference field="1" count="1" selected="0">
            <x v="3"/>
          </reference>
          <reference field="2" count="1" selected="0">
            <x v="1"/>
          </reference>
          <reference field="4" count="1" selected="0">
            <x v="41"/>
          </reference>
          <reference field="5" count="9">
            <x v="136"/>
            <x v="138"/>
            <x v="139"/>
            <x v="152"/>
            <x v="205"/>
            <x v="240"/>
            <x v="241"/>
            <x v="242"/>
            <x v="243"/>
          </reference>
        </references>
      </pivotArea>
    </format>
    <format dxfId="389">
      <pivotArea dataOnly="0" labelOnly="1" outline="0" fieldPosition="0">
        <references count="4">
          <reference field="1" count="1" selected="0">
            <x v="5"/>
          </reference>
          <reference field="2" count="1" selected="0">
            <x v="0"/>
          </reference>
          <reference field="4" count="1" selected="0">
            <x v="25"/>
          </reference>
          <reference field="5" count="3">
            <x v="172"/>
            <x v="175"/>
            <x v="176"/>
          </reference>
        </references>
      </pivotArea>
    </format>
    <format dxfId="388">
      <pivotArea dataOnly="0" labelOnly="1" outline="0" fieldPosition="0">
        <references count="4">
          <reference field="1" count="1" selected="0">
            <x v="5"/>
          </reference>
          <reference field="2" count="1" selected="0">
            <x v="1"/>
          </reference>
          <reference field="4" count="1" selected="0">
            <x v="35"/>
          </reference>
          <reference field="5" count="1">
            <x v="234"/>
          </reference>
        </references>
      </pivotArea>
    </format>
    <format dxfId="387">
      <pivotArea dataOnly="0" labelOnly="1" outline="0" fieldPosition="0">
        <references count="4">
          <reference field="1" count="1" selected="0">
            <x v="5"/>
          </reference>
          <reference field="2" count="1" selected="0">
            <x v="2"/>
          </reference>
          <reference field="4" count="1" selected="0">
            <x v="16"/>
          </reference>
          <reference field="5" count="4">
            <x v="90"/>
            <x v="131"/>
            <x v="132"/>
            <x v="135"/>
          </reference>
        </references>
      </pivotArea>
    </format>
    <format dxfId="386">
      <pivotArea dataOnly="0" labelOnly="1" outline="0" fieldPosition="0">
        <references count="4">
          <reference field="1" count="1" selected="0">
            <x v="5"/>
          </reference>
          <reference field="2" count="1" selected="0">
            <x v="2"/>
          </reference>
          <reference field="4" count="1" selected="0">
            <x v="19"/>
          </reference>
          <reference field="5" count="1">
            <x v="157"/>
          </reference>
        </references>
      </pivotArea>
    </format>
    <format dxfId="385">
      <pivotArea dataOnly="0" labelOnly="1" outline="0" fieldPosition="0">
        <references count="4">
          <reference field="1" count="1" selected="0">
            <x v="5"/>
          </reference>
          <reference field="2" count="1" selected="0">
            <x v="2"/>
          </reference>
          <reference field="4" count="1" selected="0">
            <x v="20"/>
          </reference>
          <reference field="5" count="1">
            <x v="158"/>
          </reference>
        </references>
      </pivotArea>
    </format>
    <format dxfId="384">
      <pivotArea dataOnly="0" labelOnly="1" outline="0" fieldPosition="0">
        <references count="4">
          <reference field="1" count="1" selected="0">
            <x v="5"/>
          </reference>
          <reference field="2" count="1" selected="0">
            <x v="2"/>
          </reference>
          <reference field="4" count="1" selected="0">
            <x v="39"/>
          </reference>
          <reference field="5" count="1">
            <x v="275"/>
          </reference>
        </references>
      </pivotArea>
    </format>
    <format dxfId="383">
      <pivotArea dataOnly="0" labelOnly="1" outline="0" fieldPosition="0">
        <references count="4">
          <reference field="1" count="1" selected="0">
            <x v="5"/>
          </reference>
          <reference field="2" count="1" selected="0">
            <x v="3"/>
          </reference>
          <reference field="4" count="1" selected="0">
            <x v="22"/>
          </reference>
          <reference field="5" count="16">
            <x v="16"/>
            <x v="55"/>
            <x v="56"/>
            <x v="57"/>
            <x v="60"/>
            <x v="61"/>
            <x v="62"/>
            <x v="99"/>
            <x v="112"/>
            <x v="113"/>
            <x v="114"/>
            <x v="134"/>
            <x v="164"/>
            <x v="173"/>
            <x v="174"/>
            <x v="238"/>
          </reference>
        </references>
      </pivotArea>
    </format>
    <format dxfId="382">
      <pivotArea dataOnly="0" labelOnly="1" outline="0" fieldPosition="0">
        <references count="4">
          <reference field="1" count="1" selected="0">
            <x v="5"/>
          </reference>
          <reference field="2" count="1" selected="0">
            <x v="3"/>
          </reference>
          <reference field="4" count="1" selected="0">
            <x v="23"/>
          </reference>
          <reference field="5" count="14">
            <x v="28"/>
            <x v="29"/>
            <x v="40"/>
            <x v="44"/>
            <x v="77"/>
            <x v="91"/>
            <x v="115"/>
            <x v="130"/>
            <x v="144"/>
            <x v="146"/>
            <x v="170"/>
            <x v="171"/>
            <x v="237"/>
            <x v="253"/>
          </reference>
        </references>
      </pivotArea>
    </format>
    <format dxfId="381">
      <pivotArea dataOnly="0" labelOnly="1" outline="0" fieldPosition="0">
        <references count="4">
          <reference field="1" count="1" selected="0">
            <x v="5"/>
          </reference>
          <reference field="2" count="1" selected="0">
            <x v="3"/>
          </reference>
          <reference field="4" count="1" selected="0">
            <x v="24"/>
          </reference>
          <reference field="5" count="1">
            <x v="106"/>
          </reference>
        </references>
      </pivotArea>
    </format>
    <format dxfId="380">
      <pivotArea dataOnly="0" labelOnly="1" outline="0" fieldPosition="0">
        <references count="4">
          <reference field="1" count="1" selected="0">
            <x v="5"/>
          </reference>
          <reference field="2" count="1" selected="0">
            <x v="3"/>
          </reference>
          <reference field="4" count="1" selected="0">
            <x v="51"/>
          </reference>
          <reference field="5" count="4">
            <x v="280"/>
            <x v="281"/>
            <x v="282"/>
            <x v="283"/>
          </reference>
        </references>
      </pivotArea>
    </format>
    <format dxfId="379">
      <pivotArea dataOnly="0" labelOnly="1" outline="0" fieldPosition="0">
        <references count="4">
          <reference field="1" count="1" selected="0">
            <x v="6"/>
          </reference>
          <reference field="2" count="1" selected="0">
            <x v="0"/>
          </reference>
          <reference field="4" count="1" selected="0">
            <x v="1"/>
          </reference>
          <reference field="5" count="15">
            <x v="10"/>
            <x v="18"/>
            <x v="19"/>
            <x v="20"/>
            <x v="21"/>
            <x v="22"/>
            <x v="23"/>
            <x v="24"/>
            <x v="47"/>
            <x v="51"/>
            <x v="197"/>
            <x v="213"/>
            <x v="219"/>
            <x v="220"/>
            <x v="226"/>
          </reference>
        </references>
      </pivotArea>
    </format>
    <format dxfId="378">
      <pivotArea dataOnly="0" labelOnly="1" outline="0" fieldPosition="0">
        <references count="4">
          <reference field="1" count="1" selected="0">
            <x v="6"/>
          </reference>
          <reference field="2" count="1" selected="0">
            <x v="1"/>
          </reference>
          <reference field="4" count="1" selected="0">
            <x v="0"/>
          </reference>
          <reference field="5" count="14">
            <x v="10"/>
            <x v="19"/>
            <x v="21"/>
            <x v="22"/>
            <x v="24"/>
            <x v="27"/>
            <x v="51"/>
            <x v="81"/>
            <x v="165"/>
            <x v="196"/>
            <x v="201"/>
            <x v="213"/>
            <x v="220"/>
            <x v="256"/>
          </reference>
        </references>
      </pivotArea>
    </format>
    <format dxfId="377">
      <pivotArea dataOnly="0" labelOnly="1" outline="0" fieldPosition="0">
        <references count="4">
          <reference field="1" count="1" selected="0">
            <x v="8"/>
          </reference>
          <reference field="2" count="1" selected="0">
            <x v="0"/>
          </reference>
          <reference field="4" count="1" selected="0">
            <x v="44"/>
          </reference>
          <reference field="5" count="4">
            <x v="172"/>
            <x v="179"/>
            <x v="180"/>
            <x v="181"/>
          </reference>
        </references>
      </pivotArea>
    </format>
    <format dxfId="376">
      <pivotArea dataOnly="0" labelOnly="1" outline="0" fieldPosition="0">
        <references count="4">
          <reference field="1" count="1" selected="0">
            <x v="8"/>
          </reference>
          <reference field="2" count="1" selected="0">
            <x v="1"/>
          </reference>
          <reference field="4" count="1" selected="0">
            <x v="13"/>
          </reference>
          <reference field="5" count="2">
            <x v="108"/>
            <x v="110"/>
          </reference>
        </references>
      </pivotArea>
    </format>
    <format dxfId="375">
      <pivotArea dataOnly="0" labelOnly="1" outline="0" fieldPosition="0">
        <references count="4">
          <reference field="1" count="1" selected="0">
            <x v="8"/>
          </reference>
          <reference field="2" count="1" selected="0">
            <x v="1"/>
          </reference>
          <reference field="4" count="1" selected="0">
            <x v="37"/>
          </reference>
          <reference field="5" count="3">
            <x v="236"/>
            <x v="266"/>
            <x v="272"/>
          </reference>
        </references>
      </pivotArea>
    </format>
    <format dxfId="374">
      <pivotArea dataOnly="0" labelOnly="1" outline="0" fieldPosition="0">
        <references count="4">
          <reference field="1" count="1" selected="0">
            <x v="8"/>
          </reference>
          <reference field="2" count="1" selected="0">
            <x v="1"/>
          </reference>
          <reference field="4" count="1" selected="0">
            <x v="46"/>
          </reference>
          <reference field="5" count="4">
            <x v="123"/>
            <x v="124"/>
            <x v="125"/>
            <x v="126"/>
          </reference>
        </references>
      </pivotArea>
    </format>
    <format dxfId="373">
      <pivotArea dataOnly="0" labelOnly="1" outline="0" fieldPosition="0">
        <references count="4">
          <reference field="1" count="1" selected="0">
            <x v="8"/>
          </reference>
          <reference field="2" count="1" selected="0">
            <x v="1"/>
          </reference>
          <reference field="4" count="1" selected="0">
            <x v="48"/>
          </reference>
          <reference field="5" count="2">
            <x v="271"/>
            <x v="273"/>
          </reference>
        </references>
      </pivotArea>
    </format>
    <format dxfId="372">
      <pivotArea dataOnly="0" labelOnly="1" outline="0" fieldPosition="0">
        <references count="4">
          <reference field="1" count="1" selected="0">
            <x v="8"/>
          </reference>
          <reference field="2" count="1" selected="0">
            <x v="2"/>
          </reference>
          <reference field="4" count="1" selected="0">
            <x v="11"/>
          </reference>
          <reference field="5" count="15">
            <x v="141"/>
            <x v="142"/>
            <x v="143"/>
            <x v="154"/>
            <x v="155"/>
            <x v="156"/>
            <x v="182"/>
            <x v="183"/>
            <x v="184"/>
            <x v="185"/>
            <x v="186"/>
            <x v="188"/>
            <x v="189"/>
            <x v="251"/>
            <x v="252"/>
          </reference>
        </references>
      </pivotArea>
    </format>
    <format dxfId="371">
      <pivotArea dataOnly="0" labelOnly="1" outline="0" fieldPosition="0">
        <references count="4">
          <reference field="1" count="1" selected="0">
            <x v="8"/>
          </reference>
          <reference field="2" count="1" selected="0">
            <x v="3"/>
          </reference>
          <reference field="4" count="1" selected="0">
            <x v="5"/>
          </reference>
          <reference field="5" count="18">
            <x v="16"/>
            <x v="55"/>
            <x v="56"/>
            <x v="57"/>
            <x v="60"/>
            <x v="61"/>
            <x v="62"/>
            <x v="63"/>
            <x v="64"/>
            <x v="99"/>
            <x v="109"/>
            <x v="112"/>
            <x v="113"/>
            <x v="114"/>
            <x v="164"/>
            <x v="177"/>
            <x v="178"/>
            <x v="238"/>
          </reference>
        </references>
      </pivotArea>
    </format>
    <format dxfId="370">
      <pivotArea dataOnly="0" labelOnly="1" outline="0" fieldPosition="0">
        <references count="4">
          <reference field="1" count="1" selected="0">
            <x v="8"/>
          </reference>
          <reference field="2" count="1" selected="0">
            <x v="3"/>
          </reference>
          <reference field="4" count="1" selected="0">
            <x v="18"/>
          </reference>
          <reference field="5" count="14">
            <x v="28"/>
            <x v="29"/>
            <x v="40"/>
            <x v="44"/>
            <x v="77"/>
            <x v="91"/>
            <x v="115"/>
            <x v="130"/>
            <x v="144"/>
            <x v="146"/>
            <x v="170"/>
            <x v="171"/>
            <x v="237"/>
            <x v="253"/>
          </reference>
        </references>
      </pivotArea>
    </format>
    <format dxfId="369">
      <pivotArea dataOnly="0" labelOnly="1" outline="0" fieldPosition="0">
        <references count="4">
          <reference field="1" count="1" selected="0">
            <x v="8"/>
          </reference>
          <reference field="2" count="1" selected="0">
            <x v="3"/>
          </reference>
          <reference field="4" count="1" selected="0">
            <x v="30"/>
          </reference>
          <reference field="5" count="2">
            <x v="86"/>
            <x v="285"/>
          </reference>
        </references>
      </pivotArea>
    </format>
    <format dxfId="368">
      <pivotArea dataOnly="0" labelOnly="1" outline="0" fieldPosition="0">
        <references count="4">
          <reference field="1" count="1" selected="0">
            <x v="8"/>
          </reference>
          <reference field="2" count="1" selected="0">
            <x v="3"/>
          </reference>
          <reference field="4" count="1" selected="0">
            <x v="32"/>
          </reference>
          <reference field="5" count="1">
            <x v="265"/>
          </reference>
        </references>
      </pivotArea>
    </format>
    <format dxfId="367">
      <pivotArea dataOnly="0" labelOnly="1" outline="0" fieldPosition="0">
        <references count="4">
          <reference field="1" count="1" selected="0">
            <x v="8"/>
          </reference>
          <reference field="2" count="1" selected="0">
            <x v="3"/>
          </reference>
          <reference field="4" count="1" selected="0">
            <x v="34"/>
          </reference>
          <reference field="5" count="1">
            <x v="232"/>
          </reference>
        </references>
      </pivotArea>
    </format>
    <format dxfId="366">
      <pivotArea dataOnly="0" labelOnly="1" outline="0" fieldPosition="0">
        <references count="4">
          <reference field="1" count="1" selected="0">
            <x v="8"/>
          </reference>
          <reference field="2" count="1" selected="0">
            <x v="3"/>
          </reference>
          <reference field="4" count="1" selected="0">
            <x v="52"/>
          </reference>
          <reference field="5" count="4">
            <x v="280"/>
            <x v="281"/>
            <x v="282"/>
            <x v="283"/>
          </reference>
        </references>
      </pivotArea>
    </format>
    <format dxfId="365">
      <pivotArea dataOnly="0" labelOnly="1" outline="0" fieldPosition="0">
        <references count="4">
          <reference field="1" count="1" selected="0">
            <x v="9"/>
          </reference>
          <reference field="2" count="1" selected="0">
            <x v="0"/>
          </reference>
          <reference field="4" count="1" selected="0">
            <x v="43"/>
          </reference>
          <reference field="5" count="13">
            <x v="94"/>
            <x v="95"/>
            <x v="96"/>
            <x v="136"/>
            <x v="137"/>
            <x v="139"/>
            <x v="204"/>
            <x v="224"/>
            <x v="240"/>
            <x v="241"/>
            <x v="242"/>
            <x v="243"/>
            <x v="264"/>
          </reference>
        </references>
      </pivotArea>
    </format>
    <format dxfId="364">
      <pivotArea dataOnly="0" labelOnly="1" outline="0" fieldPosition="0">
        <references count="4">
          <reference field="1" count="1" selected="0">
            <x v="9"/>
          </reference>
          <reference field="2" count="1" selected="0">
            <x v="1"/>
          </reference>
          <reference field="4" count="1" selected="0">
            <x v="42"/>
          </reference>
          <reference field="5" count="25">
            <x v="8"/>
            <x v="12"/>
            <x v="37"/>
            <x v="52"/>
            <x v="68"/>
            <x v="73"/>
            <x v="94"/>
            <x v="97"/>
            <x v="129"/>
            <x v="136"/>
            <x v="152"/>
            <x v="153"/>
            <x v="166"/>
            <x v="187"/>
            <x v="203"/>
            <x v="208"/>
            <x v="209"/>
            <x v="218"/>
            <x v="222"/>
            <x v="224"/>
            <x v="254"/>
            <x v="258"/>
            <x v="260"/>
            <x v="268"/>
            <x v="284"/>
          </reference>
        </references>
      </pivotArea>
    </format>
    <format dxfId="363">
      <pivotArea dataOnly="0" labelOnly="1" outline="0" fieldPosition="0">
        <references count="4">
          <reference field="1" count="1" selected="0">
            <x v="9"/>
          </reference>
          <reference field="2" count="1" selected="0">
            <x v="2"/>
          </reference>
          <reference field="4" count="1" selected="0">
            <x v="40"/>
          </reference>
          <reference field="5" count="9">
            <x v="136"/>
            <x v="138"/>
            <x v="139"/>
            <x v="152"/>
            <x v="205"/>
            <x v="240"/>
            <x v="241"/>
            <x v="242"/>
            <x v="243"/>
          </reference>
        </references>
      </pivotArea>
    </format>
    <format dxfId="362">
      <pivotArea dataOnly="0" labelOnly="1" outline="0" fieldPosition="0">
        <references count="4">
          <reference field="1" count="1" selected="0">
            <x v="9"/>
          </reference>
          <reference field="2" count="1" selected="0">
            <x v="3"/>
          </reference>
          <reference field="4" count="1" selected="0">
            <x v="28"/>
          </reference>
          <reference field="5" count="50">
            <x v="4"/>
            <x v="9"/>
            <x v="11"/>
            <x v="12"/>
            <x v="13"/>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x v="202"/>
          </reference>
        </references>
      </pivotArea>
    </format>
    <format dxfId="361">
      <pivotArea dataOnly="0" labelOnly="1" outline="0" fieldPosition="0">
        <references count="4">
          <reference field="1" count="1" selected="0">
            <x v="9"/>
          </reference>
          <reference field="2" count="1" selected="0">
            <x v="3"/>
          </reference>
          <reference field="4" count="1" selected="0">
            <x v="28"/>
          </reference>
          <reference field="5" count="27">
            <x v="207"/>
            <x v="210"/>
            <x v="211"/>
            <x v="212"/>
            <x v="214"/>
            <x v="215"/>
            <x v="216"/>
            <x v="217"/>
            <x v="221"/>
            <x v="223"/>
            <x v="225"/>
            <x v="228"/>
            <x v="239"/>
            <x v="245"/>
            <x v="246"/>
            <x v="247"/>
            <x v="248"/>
            <x v="249"/>
            <x v="250"/>
            <x v="255"/>
            <x v="269"/>
            <x v="270"/>
            <x v="274"/>
            <x v="276"/>
            <x v="278"/>
            <x v="284"/>
            <x v="287"/>
          </reference>
        </references>
      </pivotArea>
    </format>
    <format dxfId="360">
      <pivotArea dataOnly="0" labelOnly="1" outline="0" fieldPosition="0">
        <references count="4">
          <reference field="1" count="1" selected="0">
            <x v="10"/>
          </reference>
          <reference field="2" count="1" selected="0">
            <x v="4"/>
          </reference>
          <reference field="4" count="1" selected="0">
            <x v="53"/>
          </reference>
          <reference field="5" count="1">
            <x v="28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T2:W525" firstHeaderRow="1" firstDataRow="1" firstDataCol="4"/>
  <pivotFields count="11">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19">
        <item x="0"/>
        <item m="1" x="212"/>
        <item x="1"/>
        <item x="2"/>
        <item m="1" x="209"/>
        <item x="3"/>
        <item x="4"/>
        <item x="5"/>
        <item x="6"/>
        <item x="7"/>
        <item x="8"/>
        <item m="1" x="211"/>
        <item x="9"/>
        <item x="10"/>
        <item x="11"/>
        <item x="12"/>
        <item x="13"/>
        <item x="14"/>
        <item x="15"/>
        <item x="16"/>
        <item x="17"/>
        <item x="18"/>
        <item x="19"/>
        <item x="20"/>
        <item x="21"/>
        <item x="22"/>
        <item x="23"/>
        <item x="24"/>
        <item x="25"/>
        <item x="26"/>
        <item x="27"/>
        <item x="28"/>
        <item x="29"/>
        <item x="30"/>
        <item x="31"/>
        <item x="32"/>
        <item m="1" x="217"/>
        <item x="33"/>
        <item m="1" x="218"/>
        <item x="34"/>
        <item x="35"/>
        <item x="36"/>
        <item x="37"/>
        <item x="38"/>
        <item x="39"/>
        <item x="40"/>
        <item x="41"/>
        <item x="42"/>
        <item x="43"/>
        <item x="44"/>
        <item x="45"/>
        <item x="46"/>
        <item x="47"/>
        <item x="48"/>
        <item x="49"/>
        <item x="50"/>
        <item x="51"/>
        <item x="52"/>
        <item m="1" x="215"/>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m="1" x="214"/>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m="1" x="216"/>
        <item m="1" x="210"/>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m="1" x="213"/>
        <item m="1" x="207"/>
        <item x="202"/>
        <item m="1" x="208"/>
        <item x="203"/>
        <item x="204"/>
        <item x="205"/>
        <item x="2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5">
        <item x="0"/>
        <item x="1"/>
        <item x="3"/>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5">
        <item m="1" x="242"/>
        <item x="124"/>
        <item x="72"/>
        <item x="23"/>
        <item m="1" x="232"/>
        <item x="183"/>
        <item x="174"/>
        <item x="52"/>
        <item x="166"/>
        <item x="111"/>
        <item x="196"/>
        <item x="80"/>
        <item x="44"/>
        <item x="154"/>
        <item x="38"/>
        <item m="1" x="229"/>
        <item x="202"/>
        <item x="184"/>
        <item x="12"/>
        <item x="31"/>
        <item x="32"/>
        <item x="167"/>
        <item m="1" x="226"/>
        <item m="1" x="223"/>
        <item x="74"/>
        <item x="46"/>
        <item x="85"/>
        <item x="146"/>
        <item x="132"/>
        <item x="105"/>
        <item x="70"/>
        <item x="97"/>
        <item x="139"/>
        <item x="165"/>
        <item x="205"/>
        <item x="215"/>
        <item x="113"/>
        <item x="175"/>
        <item x="17"/>
        <item x="56"/>
        <item x="90"/>
        <item x="64"/>
        <item x="30"/>
        <item x="59"/>
        <item x="197"/>
        <item x="92"/>
        <item x="101"/>
        <item x="159"/>
        <item m="1" x="222"/>
        <item x="9"/>
        <item x="42"/>
        <item m="1" x="235"/>
        <item x="148"/>
        <item x="145"/>
        <item x="67"/>
        <item x="192"/>
        <item x="39"/>
        <item x="98"/>
        <item m="1" x="237"/>
        <item x="136"/>
        <item x="77"/>
        <item m="1" x="230"/>
        <item x="18"/>
        <item x="66"/>
        <item x="21"/>
        <item m="1" x="236"/>
        <item x="93"/>
        <item x="102"/>
        <item x="26"/>
        <item x="155"/>
        <item x="81"/>
        <item x="57"/>
        <item m="1" x="225"/>
        <item m="1" x="244"/>
        <item x="99"/>
        <item x="10"/>
        <item x="206"/>
        <item m="1" x="221"/>
        <item m="1" x="228"/>
        <item x="100"/>
        <item x="107"/>
        <item x="109"/>
        <item x="185"/>
        <item x="186"/>
        <item x="36"/>
        <item x="152"/>
        <item m="1" x="224"/>
        <item x="125"/>
        <item x="153"/>
        <item x="62"/>
        <item x="161"/>
        <item x="89"/>
        <item x="195"/>
        <item x="115"/>
        <item x="203"/>
        <item x="190"/>
        <item x="69"/>
        <item x="48"/>
        <item x="47"/>
        <item x="54"/>
        <item x="53"/>
        <item x="55"/>
        <item x="129"/>
        <item x="180"/>
        <item x="177"/>
        <item x="82"/>
        <item x="142"/>
        <item x="75"/>
        <item x="117"/>
        <item m="1" x="239"/>
        <item x="106"/>
        <item x="133"/>
        <item x="134"/>
        <item x="137"/>
        <item x="178"/>
        <item x="172"/>
        <item x="199"/>
        <item x="135"/>
        <item x="114"/>
        <item x="2"/>
        <item x="5"/>
        <item x="7"/>
        <item x="8"/>
        <item x="22"/>
        <item x="61"/>
        <item x="78"/>
        <item x="87"/>
        <item x="91"/>
        <item x="122"/>
        <item x="173"/>
        <item x="193"/>
        <item x="216"/>
        <item x="217"/>
        <item x="20"/>
        <item x="63"/>
        <item x="3"/>
        <item x="176"/>
        <item x="71"/>
        <item x="43"/>
        <item x="157"/>
        <item x="27"/>
        <item x="58"/>
        <item x="40"/>
        <item x="147"/>
        <item x="88"/>
        <item x="0"/>
        <item x="33"/>
        <item x="60"/>
        <item x="119"/>
        <item x="158"/>
        <item x="141"/>
        <item x="149"/>
        <item x="76"/>
        <item x="34"/>
        <item x="187"/>
        <item x="65"/>
        <item x="126"/>
        <item x="179"/>
        <item x="29"/>
        <item x="151"/>
        <item x="86"/>
        <item x="162"/>
        <item x="110"/>
        <item x="156"/>
        <item x="41"/>
        <item x="188"/>
        <item m="1" x="219"/>
        <item x="201"/>
        <item x="120"/>
        <item m="1" x="243"/>
        <item m="1" x="240"/>
        <item x="116"/>
        <item m="1" x="241"/>
        <item x="168"/>
        <item x="104"/>
        <item x="171"/>
        <item x="170"/>
        <item x="94"/>
        <item x="14"/>
        <item x="51"/>
        <item x="130"/>
        <item x="200"/>
        <item x="25"/>
        <item x="19"/>
        <item x="45"/>
        <item x="16"/>
        <item x="15"/>
        <item m="1" x="227"/>
        <item x="131"/>
        <item x="198"/>
        <item x="209"/>
        <item x="194"/>
        <item x="208"/>
        <item m="1" x="233"/>
        <item x="210"/>
        <item x="13"/>
        <item m="1" x="231"/>
        <item x="108"/>
        <item x="49"/>
        <item x="11"/>
        <item m="1" x="238"/>
        <item x="83"/>
        <item x="118"/>
        <item x="128"/>
        <item x="28"/>
        <item x="24"/>
        <item x="150"/>
        <item x="169"/>
        <item x="95"/>
        <item x="181"/>
        <item m="1" x="234"/>
        <item x="207"/>
        <item x="50"/>
        <item x="204"/>
        <item x="191"/>
        <item x="160"/>
        <item x="218"/>
        <item x="143"/>
        <item x="127"/>
        <item x="84"/>
        <item x="37"/>
        <item x="73"/>
        <item x="214"/>
        <item x="121"/>
        <item x="163"/>
        <item x="68"/>
        <item x="112"/>
        <item x="1"/>
        <item x="140"/>
        <item x="211"/>
        <item x="213"/>
        <item x="212"/>
        <item x="79"/>
        <item x="189"/>
        <item x="96"/>
        <item m="1" x="220"/>
        <item x="164"/>
        <item x="6"/>
        <item x="35"/>
        <item x="144"/>
        <item x="123"/>
        <item x="138"/>
        <item x="182"/>
        <item x="10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65">
        <item x="0"/>
        <item x="1"/>
        <item x="2"/>
        <item x="3"/>
        <item x="4"/>
        <item x="12"/>
        <item x="8"/>
        <item x="9"/>
        <item x="10"/>
        <item x="13"/>
        <item x="11"/>
        <item x="5"/>
        <item x="15"/>
        <item x="14"/>
        <item x="17"/>
        <item x="16"/>
        <item x="18"/>
        <item x="55"/>
        <item x="49"/>
        <item x="52"/>
        <item x="53"/>
        <item x="54"/>
        <item x="56"/>
        <item x="29"/>
        <item x="30"/>
        <item x="31"/>
        <item x="32"/>
        <item x="33"/>
        <item x="34"/>
        <item x="47"/>
        <item x="44"/>
        <item x="45"/>
        <item x="48"/>
        <item x="20"/>
        <item x="19"/>
        <item x="21"/>
        <item x="22"/>
        <item x="23"/>
        <item x="24"/>
        <item x="25"/>
        <item x="26"/>
        <item x="27"/>
        <item x="28"/>
        <item x="38"/>
        <item x="39"/>
        <item x="40"/>
        <item x="57"/>
        <item x="50"/>
        <item x="51"/>
        <item x="35"/>
        <item x="36"/>
        <item x="37"/>
        <item x="46"/>
        <item x="42"/>
        <item x="43"/>
        <item x="41"/>
        <item x="67"/>
        <item x="70"/>
        <item x="69"/>
        <item x="68"/>
        <item x="104"/>
        <item x="109"/>
        <item x="105"/>
        <item x="106"/>
        <item x="107"/>
        <item x="108"/>
        <item x="110"/>
        <item x="111"/>
        <item x="63"/>
        <item x="65"/>
        <item x="61"/>
        <item x="62"/>
        <item x="64"/>
        <item x="66"/>
        <item x="100"/>
        <item x="94"/>
        <item x="92"/>
        <item x="93"/>
        <item x="95"/>
        <item x="97"/>
        <item x="98"/>
        <item x="101"/>
        <item x="90"/>
        <item x="88"/>
        <item x="89"/>
        <item x="91"/>
        <item x="81"/>
        <item x="84"/>
        <item x="83"/>
        <item x="82"/>
        <item x="85"/>
        <item x="86"/>
        <item x="87"/>
        <item x="58"/>
        <item x="103"/>
        <item x="112"/>
        <item x="114"/>
        <item x="113"/>
        <item x="115"/>
        <item x="116"/>
        <item x="117"/>
        <item x="6"/>
        <item x="118"/>
        <item x="119"/>
        <item x="120"/>
        <item x="125"/>
        <item x="126"/>
        <item x="127"/>
        <item x="134"/>
        <item x="135"/>
        <item x="136"/>
        <item x="137"/>
        <item x="138"/>
        <item x="139"/>
        <item x="140"/>
        <item x="141"/>
        <item x="148"/>
        <item x="149"/>
        <item x="155"/>
        <item x="150"/>
        <item x="151"/>
        <item x="152"/>
        <item x="153"/>
        <item x="154"/>
        <item x="156"/>
        <item x="163"/>
        <item x="160"/>
        <item x="161"/>
        <item x="162"/>
        <item x="146"/>
        <item x="147"/>
        <item x="142"/>
        <item x="143"/>
        <item x="144"/>
        <item x="145"/>
        <item x="164"/>
        <item x="167"/>
        <item x="165"/>
        <item x="166"/>
        <item x="168"/>
        <item x="124"/>
        <item x="157"/>
        <item x="158"/>
        <item x="159"/>
        <item x="170"/>
        <item x="171"/>
        <item x="172"/>
        <item x="169"/>
        <item x="180"/>
        <item x="178"/>
        <item x="179"/>
        <item x="181"/>
        <item x="176"/>
        <item x="177"/>
        <item x="173"/>
        <item x="174"/>
        <item x="175"/>
        <item x="193"/>
        <item x="195"/>
        <item x="196"/>
        <item x="197"/>
        <item x="198"/>
        <item x="199"/>
        <item x="187"/>
        <item x="183"/>
        <item x="194"/>
        <item x="182"/>
        <item x="184"/>
        <item x="185"/>
        <item x="186"/>
        <item x="188"/>
        <item x="189"/>
        <item x="190"/>
        <item x="191"/>
        <item x="192"/>
        <item x="200"/>
        <item x="201"/>
        <item x="202"/>
        <item x="203"/>
        <item x="204"/>
        <item x="205"/>
        <item x="206"/>
        <item x="207"/>
        <item x="208"/>
        <item x="209"/>
        <item x="213"/>
        <item x="59"/>
        <item x="60"/>
        <item x="216"/>
        <item x="214"/>
        <item x="215"/>
        <item x="217"/>
        <item x="220"/>
        <item x="224"/>
        <item x="225"/>
        <item x="221"/>
        <item x="222"/>
        <item x="223"/>
        <item x="226"/>
        <item x="365"/>
        <item x="364"/>
        <item x="366"/>
        <item x="367"/>
        <item x="218"/>
        <item x="219"/>
        <item x="241"/>
        <item x="240"/>
        <item x="261"/>
        <item x="260"/>
        <item x="262"/>
        <item x="263"/>
        <item x="254"/>
        <item x="255"/>
        <item x="227"/>
        <item x="228"/>
        <item x="229"/>
        <item x="230"/>
        <item x="231"/>
        <item x="232"/>
        <item x="245"/>
        <item x="242"/>
        <item x="243"/>
        <item x="244"/>
        <item x="246"/>
        <item x="247"/>
        <item x="233"/>
        <item x="273"/>
        <item x="274"/>
        <item x="275"/>
        <item x="276"/>
        <item x="259"/>
        <item x="257"/>
        <item x="256"/>
        <item x="258"/>
        <item x="272"/>
        <item x="270"/>
        <item x="268"/>
        <item x="269"/>
        <item x="264"/>
        <item x="265"/>
        <item x="266"/>
        <item x="267"/>
        <item x="271"/>
        <item x="248"/>
        <item x="249"/>
        <item x="251"/>
        <item x="250"/>
        <item x="252"/>
        <item x="253"/>
        <item x="236"/>
        <item x="237"/>
        <item x="238"/>
        <item x="234"/>
        <item x="235"/>
        <item x="239"/>
        <item x="279"/>
        <item x="281"/>
        <item x="278"/>
        <item x="280"/>
        <item x="283"/>
        <item x="285"/>
        <item x="287"/>
        <item x="291"/>
        <item x="292"/>
        <item x="293"/>
        <item x="295"/>
        <item x="296"/>
        <item x="303"/>
        <item x="298"/>
        <item x="299"/>
        <item x="300"/>
        <item x="301"/>
        <item x="302"/>
        <item x="304"/>
        <item x="305"/>
        <item x="306"/>
        <item x="307"/>
        <item x="308"/>
        <item x="294"/>
        <item x="297"/>
        <item x="288"/>
        <item x="289"/>
        <item x="290"/>
        <item x="277"/>
        <item x="282"/>
        <item x="284"/>
        <item x="286"/>
        <item x="309"/>
        <item x="310"/>
        <item x="311"/>
        <item x="312"/>
        <item x="313"/>
        <item x="314"/>
        <item x="315"/>
        <item x="316"/>
        <item x="317"/>
        <item x="322"/>
        <item x="323"/>
        <item x="324"/>
        <item x="325"/>
        <item x="326"/>
        <item x="327"/>
        <item x="328"/>
        <item x="319"/>
        <item x="318"/>
        <item x="210"/>
        <item x="320"/>
        <item x="321"/>
        <item m="1" x="453"/>
        <item m="1" x="459"/>
        <item m="1" x="429"/>
        <item m="1" x="427"/>
        <item m="1" x="439"/>
        <item m="1" x="440"/>
        <item m="1" x="441"/>
        <item m="1" x="447"/>
        <item m="1" x="448"/>
        <item m="1" x="446"/>
        <item x="211"/>
        <item x="212"/>
        <item x="422"/>
        <item x="421"/>
        <item m="1" x="456"/>
        <item m="1" x="458"/>
        <item m="1" x="434"/>
        <item m="1" x="451"/>
        <item m="1" x="438"/>
        <item m="1" x="444"/>
        <item m="1" x="442"/>
        <item m="1" x="462"/>
        <item m="1" x="428"/>
        <item m="1" x="435"/>
        <item m="1" x="452"/>
        <item m="1" x="464"/>
        <item m="1" x="450"/>
        <item m="1" x="460"/>
        <item m="1" x="455"/>
        <item m="1" x="437"/>
        <item m="1" x="449"/>
        <item m="1" x="457"/>
        <item m="1" x="445"/>
        <item m="1" x="433"/>
        <item m="1" x="431"/>
        <item m="1" x="463"/>
        <item m="1" x="426"/>
        <item m="1" x="443"/>
        <item m="1" x="436"/>
        <item m="1" x="432"/>
        <item m="1" x="461"/>
        <item m="1" x="454"/>
        <item m="1" x="430"/>
        <item x="329"/>
        <item x="332"/>
        <item x="330"/>
        <item x="331"/>
        <item x="333"/>
        <item x="368"/>
        <item x="370"/>
        <item x="371"/>
        <item x="374"/>
        <item x="376"/>
        <item x="335"/>
        <item x="336"/>
        <item x="338"/>
        <item x="339"/>
        <item x="340"/>
        <item x="348"/>
        <item x="347"/>
        <item x="349"/>
        <item x="343"/>
        <item x="344"/>
        <item x="345"/>
        <item x="346"/>
        <item x="121"/>
        <item x="122"/>
        <item x="123"/>
        <item x="337"/>
        <item x="341"/>
        <item x="350"/>
        <item x="351"/>
        <item x="352"/>
        <item x="342"/>
        <item x="362"/>
        <item x="360"/>
        <item x="361"/>
        <item x="363"/>
        <item x="334"/>
        <item x="369"/>
        <item x="372"/>
        <item x="373"/>
        <item x="375"/>
        <item x="378"/>
        <item x="377"/>
        <item x="131"/>
        <item x="132"/>
        <item x="128"/>
        <item x="129"/>
        <item x="130"/>
        <item x="133"/>
        <item x="71"/>
        <item x="72"/>
        <item x="75"/>
        <item x="78"/>
        <item x="73"/>
        <item x="74"/>
        <item x="77"/>
        <item x="76"/>
        <item x="79"/>
        <item x="80"/>
        <item x="393"/>
        <item x="394"/>
        <item x="395"/>
        <item x="388"/>
        <item x="389"/>
        <item x="380"/>
        <item x="379"/>
        <item x="381"/>
        <item x="399"/>
        <item x="390"/>
        <item x="391"/>
        <item x="392"/>
        <item x="383"/>
        <item x="397"/>
        <item x="398"/>
        <item x="396"/>
        <item x="385"/>
        <item x="386"/>
        <item x="382"/>
        <item x="384"/>
        <item x="387"/>
        <item x="403"/>
        <item x="400"/>
        <item x="401"/>
        <item x="402"/>
        <item x="404"/>
        <item x="405"/>
        <item x="407"/>
        <item x="406"/>
        <item x="408"/>
        <item x="409"/>
        <item x="410"/>
        <item x="411"/>
        <item x="412"/>
        <item x="413"/>
        <item x="414"/>
        <item x="415"/>
        <item x="353"/>
        <item x="354"/>
        <item x="355"/>
        <item x="356"/>
        <item x="358"/>
        <item x="357"/>
        <item x="359"/>
        <item x="416"/>
        <item x="102"/>
        <item x="96"/>
        <item x="99"/>
        <item x="419"/>
        <item x="420"/>
        <item x="417"/>
        <item x="418"/>
        <item x="423"/>
        <item x="424"/>
        <item x="425"/>
        <item x="7"/>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
    <field x="5"/>
    <field x="7"/>
    <field x="9"/>
  </rowFields>
  <rowItems count="523">
    <i>
      <x/>
      <x/>
      <x v="145"/>
      <x/>
    </i>
    <i r="2">
      <x v="227"/>
      <x v="1"/>
    </i>
    <i r="1">
      <x v="1"/>
      <x v="227"/>
      <x v="2"/>
    </i>
    <i r="1">
      <x v="3"/>
      <x v="145"/>
      <x v="3"/>
    </i>
    <i r="2">
      <x v="227"/>
      <x v="4"/>
    </i>
    <i>
      <x v="2"/>
      <x v="2"/>
      <x v="119"/>
      <x v="11"/>
    </i>
    <i>
      <x v="3"/>
      <x/>
      <x v="135"/>
      <x v="101"/>
    </i>
    <i>
      <x v="5"/>
      <x v="4"/>
      <x v="244"/>
      <x v="464"/>
    </i>
    <i>
      <x v="6"/>
      <x/>
      <x v="227"/>
      <x v="6"/>
    </i>
    <i r="1">
      <x v="1"/>
      <x v="120"/>
      <x v="7"/>
    </i>
    <i r="2">
      <x v="237"/>
      <x v="8"/>
    </i>
    <i r="1">
      <x v="2"/>
      <x v="227"/>
      <x v="10"/>
    </i>
    <i r="1">
      <x v="3"/>
      <x v="120"/>
      <x v="5"/>
    </i>
    <i r="3">
      <x v="9"/>
    </i>
    <i>
      <x v="7"/>
      <x v="4"/>
      <x v="244"/>
      <x v="464"/>
    </i>
    <i>
      <x v="8"/>
      <x v="4"/>
      <x v="244"/>
      <x v="464"/>
    </i>
    <i>
      <x v="9"/>
      <x/>
      <x v="121"/>
      <x v="13"/>
    </i>
    <i r="1">
      <x v="2"/>
      <x v="121"/>
      <x v="12"/>
    </i>
    <i>
      <x v="10"/>
      <x v="4"/>
      <x v="244"/>
      <x v="464"/>
    </i>
    <i>
      <x v="12"/>
      <x v="4"/>
      <x v="244"/>
      <x v="464"/>
    </i>
    <i>
      <x v="13"/>
      <x v="4"/>
      <x v="244"/>
      <x v="464"/>
    </i>
    <i>
      <x v="14"/>
      <x/>
      <x v="122"/>
      <x v="15"/>
    </i>
    <i r="1">
      <x v="2"/>
      <x v="122"/>
      <x v="14"/>
    </i>
    <i r="1">
      <x v="3"/>
      <x v="122"/>
      <x v="16"/>
    </i>
    <i>
      <x v="15"/>
      <x v="4"/>
      <x v="244"/>
      <x v="464"/>
    </i>
    <i>
      <x v="16"/>
      <x v="4"/>
      <x v="244"/>
      <x v="464"/>
    </i>
    <i>
      <x v="17"/>
      <x/>
      <x v="49"/>
      <x v="34"/>
    </i>
    <i r="2">
      <x v="75"/>
      <x v="33"/>
    </i>
    <i r="2">
      <x v="199"/>
      <x v="35"/>
    </i>
    <i r="1">
      <x v="1"/>
      <x v="18"/>
      <x v="36"/>
    </i>
    <i r="2">
      <x v="49"/>
      <x v="37"/>
    </i>
    <i r="1">
      <x v="3"/>
      <x v="18"/>
      <x v="38"/>
    </i>
    <i r="2">
      <x v="49"/>
      <x v="39"/>
    </i>
    <i>
      <x v="18"/>
      <x v="4"/>
      <x v="244"/>
      <x v="464"/>
    </i>
    <i>
      <x v="19"/>
      <x v="2"/>
      <x v="195"/>
      <x v="40"/>
    </i>
    <i r="1">
      <x v="3"/>
      <x v="195"/>
      <x v="41"/>
    </i>
    <i>
      <x v="20"/>
      <x v="4"/>
      <x v="244"/>
      <x v="464"/>
    </i>
    <i>
      <x v="21"/>
      <x v="2"/>
      <x v="227"/>
      <x v="42"/>
    </i>
    <i>
      <x v="22"/>
      <x/>
      <x v="178"/>
      <x v="23"/>
    </i>
    <i r="2">
      <x v="186"/>
      <x v="24"/>
    </i>
    <i r="1">
      <x v="1"/>
      <x v="185"/>
      <x v="25"/>
    </i>
    <i r="1">
      <x v="2"/>
      <x v="38"/>
      <x v="26"/>
    </i>
    <i r="2">
      <x v="62"/>
      <x v="27"/>
    </i>
    <i r="1">
      <x v="3"/>
      <x v="183"/>
      <x v="28"/>
    </i>
    <i>
      <x v="23"/>
      <x/>
      <x v="133"/>
      <x v="49"/>
    </i>
    <i r="1">
      <x v="1"/>
      <x v="133"/>
      <x v="50"/>
    </i>
    <i r="1">
      <x v="3"/>
      <x v="133"/>
      <x v="51"/>
    </i>
    <i>
      <x v="24"/>
      <x/>
      <x v="64"/>
      <x v="43"/>
    </i>
    <i r="1">
      <x v="1"/>
      <x v="227"/>
      <x v="44"/>
    </i>
    <i r="1">
      <x v="3"/>
      <x v="227"/>
      <x v="45"/>
    </i>
    <i>
      <x v="25"/>
      <x v="4"/>
      <x v="244"/>
      <x v="464"/>
    </i>
    <i>
      <x v="26"/>
      <x v="1"/>
      <x v="123"/>
      <x v="55"/>
    </i>
    <i r="1">
      <x v="2"/>
      <x v="3"/>
      <x v="53"/>
    </i>
    <i r="2">
      <x v="123"/>
      <x v="54"/>
    </i>
    <i>
      <x v="27"/>
      <x v="4"/>
      <x v="244"/>
      <x v="464"/>
    </i>
    <i>
      <x v="28"/>
      <x v="4"/>
      <x v="244"/>
      <x v="464"/>
    </i>
    <i>
      <x v="29"/>
      <x v="4"/>
      <x v="244"/>
      <x v="464"/>
    </i>
    <i>
      <x v="30"/>
      <x/>
      <x v="205"/>
      <x v="30"/>
    </i>
    <i r="1">
      <x v="1"/>
      <x v="182"/>
      <x v="31"/>
    </i>
    <i r="3">
      <x v="52"/>
    </i>
    <i r="1">
      <x v="2"/>
      <x v="68"/>
      <x v="29"/>
    </i>
    <i r="1">
      <x v="3"/>
      <x v="182"/>
      <x v="32"/>
    </i>
    <i>
      <x v="31"/>
      <x/>
      <x v="140"/>
      <x v="18"/>
    </i>
    <i r="2">
      <x v="204"/>
      <x v="47"/>
    </i>
    <i r="3">
      <x v="48"/>
    </i>
    <i r="1">
      <x v="1"/>
      <x v="140"/>
      <x v="19"/>
    </i>
    <i r="2">
      <x v="204"/>
      <x v="20"/>
    </i>
    <i r="2">
      <x v="227"/>
      <x v="21"/>
    </i>
    <i r="1">
      <x v="2"/>
      <x v="227"/>
      <x v="17"/>
    </i>
    <i r="1">
      <x v="3"/>
      <x v="140"/>
      <x v="22"/>
    </i>
    <i r="2">
      <x v="158"/>
      <x v="46"/>
    </i>
    <i>
      <x v="32"/>
      <x v="2"/>
      <x v="42"/>
      <x v="93"/>
    </i>
    <i>
      <x v="33"/>
      <x v="2"/>
      <x v="19"/>
      <x v="186"/>
    </i>
    <i r="3">
      <x v="187"/>
    </i>
    <i>
      <x v="34"/>
      <x/>
      <x v="20"/>
      <x v="70"/>
    </i>
    <i r="2">
      <x v="146"/>
      <x v="68"/>
    </i>
    <i r="3">
      <x v="71"/>
    </i>
    <i r="1">
      <x v="1"/>
      <x v="146"/>
      <x v="72"/>
    </i>
    <i r="1">
      <x v="2"/>
      <x v="20"/>
      <x v="69"/>
    </i>
    <i r="1">
      <x v="3"/>
      <x v="146"/>
      <x v="73"/>
    </i>
    <i>
      <x v="35"/>
      <x v="4"/>
      <x v="244"/>
      <x v="464"/>
    </i>
    <i>
      <x v="37"/>
      <x/>
      <x v="153"/>
      <x v="56"/>
    </i>
    <i r="1">
      <x v="1"/>
      <x v="238"/>
      <x v="59"/>
    </i>
    <i r="1">
      <x v="2"/>
      <x v="84"/>
      <x v="58"/>
    </i>
    <i r="1">
      <x v="3"/>
      <x v="220"/>
      <x v="57"/>
    </i>
    <i>
      <x v="39"/>
      <x/>
      <x v="14"/>
      <x v="399"/>
    </i>
    <i r="2">
      <x v="56"/>
      <x v="400"/>
    </i>
    <i r="3">
      <x v="403"/>
    </i>
    <i r="2">
      <x v="142"/>
      <x v="404"/>
    </i>
    <i r="2">
      <x v="164"/>
      <x v="401"/>
    </i>
    <i r="1">
      <x v="1"/>
      <x v="56"/>
      <x v="406"/>
    </i>
    <i r="2">
      <x v="227"/>
      <x v="405"/>
    </i>
    <i r="1">
      <x v="3"/>
      <x v="56"/>
      <x v="402"/>
    </i>
    <i r="3">
      <x v="407"/>
    </i>
    <i r="2">
      <x v="142"/>
      <x v="408"/>
    </i>
    <i>
      <x v="40"/>
      <x v="4"/>
      <x v="244"/>
      <x v="464"/>
    </i>
    <i>
      <x v="41"/>
      <x v="4"/>
      <x v="244"/>
      <x v="464"/>
    </i>
    <i>
      <x v="42"/>
      <x/>
      <x v="50"/>
      <x v="86"/>
    </i>
    <i>
      <x v="43"/>
      <x/>
      <x v="138"/>
      <x v="88"/>
    </i>
    <i r="3">
      <x v="89"/>
    </i>
    <i r="1">
      <x v="1"/>
      <x v="12"/>
      <x v="87"/>
    </i>
    <i r="2">
      <x v="138"/>
      <x v="90"/>
    </i>
    <i r="1">
      <x v="3"/>
      <x v="12"/>
      <x v="91"/>
    </i>
    <i r="2">
      <x v="184"/>
      <x v="92"/>
    </i>
    <i>
      <x v="44"/>
      <x/>
      <x v="84"/>
      <x v="83"/>
    </i>
    <i r="1">
      <x v="1"/>
      <x v="25"/>
      <x v="84"/>
    </i>
    <i r="1">
      <x v="2"/>
      <x v="84"/>
      <x v="82"/>
    </i>
    <i r="1">
      <x v="3"/>
      <x v="98"/>
      <x v="85"/>
    </i>
    <i>
      <x v="45"/>
      <x/>
      <x v="97"/>
      <x v="76"/>
    </i>
    <i r="2">
      <x v="198"/>
      <x v="77"/>
    </i>
    <i r="2">
      <x v="212"/>
      <x v="75"/>
    </i>
    <i r="1">
      <x v="1"/>
      <x v="97"/>
      <x v="78"/>
    </i>
    <i r="3">
      <x v="455"/>
    </i>
    <i r="2">
      <x v="179"/>
      <x v="79"/>
    </i>
    <i r="2">
      <x v="198"/>
      <x v="80"/>
    </i>
    <i r="1">
      <x v="2"/>
      <x v="97"/>
      <x v="456"/>
    </i>
    <i r="2">
      <x v="212"/>
      <x v="74"/>
    </i>
    <i r="1">
      <x v="3"/>
      <x v="97"/>
      <x v="81"/>
    </i>
    <i r="3">
      <x v="454"/>
    </i>
    <i>
      <x v="46"/>
      <x v="4"/>
      <x v="244"/>
      <x v="464"/>
    </i>
    <i>
      <x v="47"/>
      <x/>
      <x v="64"/>
      <x v="94"/>
    </i>
    <i>
      <x v="48"/>
      <x/>
      <x v="7"/>
      <x v="60"/>
    </i>
    <i r="3">
      <x v="62"/>
    </i>
    <i r="2">
      <x v="100"/>
      <x v="63"/>
    </i>
    <i r="1">
      <x v="1"/>
      <x v="99"/>
      <x v="64"/>
    </i>
    <i r="2">
      <x v="199"/>
      <x v="65"/>
    </i>
    <i r="1">
      <x v="2"/>
      <x v="7"/>
      <x v="61"/>
    </i>
    <i r="1">
      <x v="3"/>
      <x v="7"/>
      <x v="66"/>
    </i>
    <i r="2">
      <x v="101"/>
      <x v="67"/>
    </i>
    <i>
      <x v="49"/>
      <x v="4"/>
      <x v="244"/>
      <x v="464"/>
    </i>
    <i>
      <x v="50"/>
      <x/>
      <x v="227"/>
      <x v="95"/>
    </i>
    <i>
      <x v="51"/>
      <x v="4"/>
      <x v="244"/>
      <x v="464"/>
    </i>
    <i>
      <x v="52"/>
      <x v="4"/>
      <x v="244"/>
      <x v="464"/>
    </i>
    <i>
      <x v="53"/>
      <x v="4"/>
      <x v="244"/>
      <x v="464"/>
    </i>
    <i>
      <x v="54"/>
      <x v="4"/>
      <x v="244"/>
      <x v="464"/>
    </i>
    <i>
      <x v="55"/>
      <x v="1"/>
      <x v="227"/>
      <x v="97"/>
    </i>
    <i r="1">
      <x v="2"/>
      <x v="227"/>
      <x v="96"/>
    </i>
    <i>
      <x v="56"/>
      <x v="4"/>
      <x v="244"/>
      <x v="464"/>
    </i>
    <i>
      <x v="57"/>
      <x/>
      <x v="39"/>
      <x v="98"/>
    </i>
    <i r="2">
      <x v="71"/>
      <x v="99"/>
    </i>
    <i r="1">
      <x v="3"/>
      <x v="141"/>
      <x v="100"/>
    </i>
    <i>
      <x v="59"/>
      <x/>
      <x v="43"/>
      <x v="102"/>
    </i>
    <i r="2">
      <x v="147"/>
      <x v="103"/>
    </i>
    <i>
      <x v="60"/>
      <x v="2"/>
      <x v="227"/>
      <x v="104"/>
    </i>
    <i>
      <x v="61"/>
      <x/>
      <x v="124"/>
      <x v="373"/>
    </i>
    <i r="1">
      <x v="1"/>
      <x v="124"/>
      <x v="374"/>
    </i>
    <i r="1">
      <x v="3"/>
      <x v="124"/>
      <x v="375"/>
    </i>
    <i>
      <x v="62"/>
      <x v="1"/>
      <x v="89"/>
      <x v="140"/>
    </i>
    <i>
      <x v="63"/>
      <x/>
      <x v="134"/>
      <x v="105"/>
    </i>
    <i r="1">
      <x v="1"/>
      <x v="134"/>
      <x v="106"/>
    </i>
    <i r="1">
      <x v="3"/>
      <x v="134"/>
      <x v="107"/>
    </i>
    <i>
      <x v="64"/>
      <x v="4"/>
      <x v="244"/>
      <x v="464"/>
    </i>
    <i>
      <x v="65"/>
      <x/>
      <x v="41"/>
      <x v="395"/>
    </i>
    <i r="2">
      <x v="155"/>
      <x v="396"/>
    </i>
    <i r="1">
      <x v="1"/>
      <x v="155"/>
      <x v="397"/>
    </i>
    <i r="1">
      <x v="2"/>
      <x v="41"/>
      <x v="393"/>
    </i>
    <i r="2">
      <x v="155"/>
      <x v="394"/>
    </i>
    <i r="1">
      <x v="3"/>
      <x v="155"/>
      <x v="398"/>
    </i>
    <i>
      <x v="66"/>
      <x/>
      <x v="63"/>
      <x v="108"/>
    </i>
    <i r="1">
      <x v="1"/>
      <x v="54"/>
      <x v="109"/>
    </i>
    <i r="2">
      <x v="225"/>
      <x v="110"/>
    </i>
    <i r="1">
      <x v="2"/>
      <x v="54"/>
      <x v="111"/>
    </i>
    <i r="1">
      <x v="3"/>
      <x v="54"/>
      <x v="112"/>
    </i>
    <i>
      <x v="67"/>
      <x v="4"/>
      <x v="244"/>
      <x v="464"/>
    </i>
    <i>
      <x v="68"/>
      <x v="3"/>
      <x v="96"/>
      <x v="113"/>
    </i>
    <i>
      <x v="69"/>
      <x v="4"/>
      <x v="244"/>
      <x v="464"/>
    </i>
    <i>
      <x v="70"/>
      <x v="4"/>
      <x v="244"/>
      <x v="464"/>
    </i>
    <i>
      <x v="71"/>
      <x v="3"/>
      <x v="30"/>
      <x v="114"/>
    </i>
    <i r="2">
      <x v="137"/>
      <x v="115"/>
    </i>
    <i>
      <x v="72"/>
      <x/>
      <x v="2"/>
      <x v="131"/>
    </i>
    <i r="2">
      <x v="221"/>
      <x v="132"/>
    </i>
    <i r="1">
      <x v="1"/>
      <x v="24"/>
      <x v="133"/>
    </i>
    <i r="2">
      <x v="107"/>
      <x v="134"/>
    </i>
    <i r="1">
      <x v="2"/>
      <x v="2"/>
      <x v="129"/>
    </i>
    <i r="2">
      <x v="221"/>
      <x v="130"/>
    </i>
    <i>
      <x v="73"/>
      <x/>
      <x v="152"/>
      <x v="116"/>
    </i>
    <i r="1">
      <x v="3"/>
      <x v="152"/>
      <x v="117"/>
    </i>
    <i>
      <x v="74"/>
      <x v="4"/>
      <x v="244"/>
      <x v="464"/>
    </i>
    <i>
      <x v="75"/>
      <x/>
      <x v="60"/>
      <x v="119"/>
    </i>
    <i r="2">
      <x v="125"/>
      <x v="120"/>
    </i>
    <i r="2">
      <x v="232"/>
      <x v="121"/>
    </i>
    <i r="1">
      <x v="1"/>
      <x v="11"/>
      <x v="122"/>
    </i>
    <i r="2">
      <x v="125"/>
      <x v="123"/>
    </i>
    <i r="1">
      <x v="2"/>
      <x v="125"/>
      <x v="118"/>
    </i>
    <i r="1">
      <x v="3"/>
      <x v="125"/>
      <x v="124"/>
    </i>
    <i>
      <x v="76"/>
      <x v="4"/>
      <x v="244"/>
      <x v="464"/>
    </i>
    <i>
      <x v="77"/>
      <x v="4"/>
      <x v="244"/>
      <x v="464"/>
    </i>
    <i>
      <x v="78"/>
      <x v="4"/>
      <x v="244"/>
      <x v="464"/>
    </i>
    <i>
      <x v="79"/>
      <x/>
      <x v="70"/>
      <x v="141"/>
    </i>
    <i r="1">
      <x v="1"/>
      <x v="105"/>
      <x v="142"/>
    </i>
    <i r="1">
      <x v="3"/>
      <x v="105"/>
      <x v="143"/>
    </i>
    <i>
      <x v="80"/>
      <x/>
      <x v="201"/>
      <x v="126"/>
    </i>
    <i r="2">
      <x v="219"/>
      <x v="127"/>
    </i>
    <i r="1">
      <x v="1"/>
      <x v="26"/>
      <x v="128"/>
    </i>
    <i r="1">
      <x v="2"/>
      <x v="178"/>
      <x v="125"/>
    </i>
    <i>
      <x v="81"/>
      <x/>
      <x v="160"/>
      <x v="135"/>
    </i>
    <i r="3">
      <x v="137"/>
    </i>
    <i r="1">
      <x v="1"/>
      <x v="227"/>
      <x v="138"/>
    </i>
    <i r="1">
      <x v="2"/>
      <x v="126"/>
      <x v="136"/>
    </i>
    <i r="1">
      <x v="3"/>
      <x v="126"/>
      <x v="139"/>
    </i>
    <i>
      <x v="82"/>
      <x/>
      <x v="144"/>
      <x v="144"/>
    </i>
    <i r="3">
      <x v="147"/>
    </i>
    <i r="1">
      <x v="1"/>
      <x v="144"/>
      <x v="145"/>
    </i>
    <i r="1">
      <x v="3"/>
      <x v="144"/>
      <x v="146"/>
    </i>
    <i>
      <x v="83"/>
      <x v="1"/>
      <x v="179"/>
      <x v="154"/>
    </i>
    <i r="2">
      <x v="227"/>
      <x v="155"/>
    </i>
    <i r="1">
      <x v="2"/>
      <x v="91"/>
      <x v="156"/>
    </i>
    <i r="2">
      <x v="179"/>
      <x v="152"/>
    </i>
    <i r="2">
      <x v="237"/>
      <x v="153"/>
    </i>
    <i>
      <x v="84"/>
      <x v="4"/>
      <x v="244"/>
      <x v="464"/>
    </i>
    <i>
      <x v="85"/>
      <x/>
      <x v="40"/>
      <x v="149"/>
    </i>
    <i r="1">
      <x v="1"/>
      <x v="40"/>
      <x v="150"/>
    </i>
    <i r="1">
      <x v="2"/>
      <x v="40"/>
      <x v="148"/>
    </i>
    <i r="1">
      <x v="3"/>
      <x v="127"/>
      <x v="151"/>
    </i>
    <i>
      <x v="86"/>
      <x v="4"/>
      <x v="244"/>
      <x v="464"/>
    </i>
    <i>
      <x v="87"/>
      <x v="4"/>
      <x v="244"/>
      <x v="464"/>
    </i>
    <i>
      <x v="88"/>
      <x/>
      <x v="45"/>
      <x v="166"/>
    </i>
    <i r="2">
      <x v="66"/>
      <x v="164"/>
    </i>
    <i r="2">
      <x v="177"/>
      <x v="167"/>
    </i>
    <i r="2">
      <x v="208"/>
      <x v="168"/>
    </i>
    <i r="1">
      <x v="1"/>
      <x v="45"/>
      <x v="169"/>
    </i>
    <i r="1">
      <x v="2"/>
      <x v="234"/>
      <x v="163"/>
    </i>
    <i r="1">
      <x v="3"/>
      <x v="31"/>
      <x v="170"/>
    </i>
    <i r="2">
      <x v="45"/>
      <x v="171"/>
    </i>
    <i r="2">
      <x v="57"/>
      <x v="172"/>
    </i>
    <i r="2">
      <x v="74"/>
      <x v="173"/>
    </i>
    <i r="2">
      <x v="79"/>
      <x v="174"/>
    </i>
    <i>
      <x v="89"/>
      <x/>
      <x v="46"/>
      <x v="157"/>
    </i>
    <i r="2">
      <x v="67"/>
      <x v="165"/>
    </i>
    <i r="2">
      <x v="243"/>
      <x v="158"/>
    </i>
    <i r="1">
      <x v="1"/>
      <x v="46"/>
      <x v="159"/>
    </i>
    <i r="2">
      <x v="174"/>
      <x v="160"/>
    </i>
    <i r="1">
      <x v="3"/>
      <x v="29"/>
      <x v="161"/>
    </i>
    <i r="2">
      <x v="46"/>
      <x v="162"/>
    </i>
    <i>
      <x v="90"/>
      <x/>
      <x v="227"/>
      <x v="175"/>
    </i>
    <i>
      <x v="91"/>
      <x v="4"/>
      <x v="244"/>
      <x v="464"/>
    </i>
    <i>
      <x v="92"/>
      <x v="4"/>
      <x v="244"/>
      <x v="464"/>
    </i>
    <i>
      <x v="93"/>
      <x v="4"/>
      <x v="244"/>
      <x v="464"/>
    </i>
    <i>
      <x v="94"/>
      <x v="4"/>
      <x v="244"/>
      <x v="464"/>
    </i>
    <i>
      <x v="95"/>
      <x/>
      <x v="110"/>
      <x v="176"/>
    </i>
    <i>
      <x v="96"/>
      <x v="4"/>
      <x v="244"/>
      <x v="464"/>
    </i>
    <i>
      <x v="97"/>
      <x v="4"/>
      <x v="244"/>
      <x v="464"/>
    </i>
    <i>
      <x v="98"/>
      <x/>
      <x v="80"/>
      <x v="177"/>
    </i>
    <i r="1">
      <x v="3"/>
      <x v="197"/>
      <x v="178"/>
    </i>
    <i>
      <x v="99"/>
      <x/>
      <x v="81"/>
      <x v="179"/>
    </i>
    <i r="2">
      <x v="162"/>
      <x v="180"/>
    </i>
    <i r="1">
      <x v="1"/>
      <x v="9"/>
      <x v="181"/>
    </i>
    <i r="2">
      <x v="162"/>
      <x v="182"/>
    </i>
    <i r="1">
      <x v="3"/>
      <x v="9"/>
      <x v="183"/>
    </i>
    <i r="2">
      <x v="162"/>
      <x v="184"/>
    </i>
    <i>
      <x v="100"/>
      <x v="4"/>
      <x v="244"/>
      <x v="464"/>
    </i>
    <i>
      <x v="101"/>
      <x v="2"/>
      <x v="226"/>
      <x v="305"/>
    </i>
    <i>
      <x v="102"/>
      <x v="4"/>
      <x v="244"/>
      <x v="464"/>
    </i>
    <i>
      <x v="103"/>
      <x/>
      <x v="36"/>
      <x v="318"/>
    </i>
    <i r="1">
      <x v="3"/>
      <x v="36"/>
      <x v="319"/>
    </i>
    <i>
      <x v="104"/>
      <x v="4"/>
      <x v="244"/>
      <x v="464"/>
    </i>
    <i>
      <x v="105"/>
      <x v="2"/>
      <x v="227"/>
      <x v="185"/>
    </i>
    <i>
      <x v="106"/>
      <x/>
      <x v="118"/>
      <x v="189"/>
    </i>
    <i r="1">
      <x v="1"/>
      <x v="118"/>
      <x v="190"/>
    </i>
    <i r="1">
      <x v="2"/>
      <x v="118"/>
      <x v="188"/>
    </i>
    <i r="1">
      <x v="3"/>
      <x v="118"/>
      <x v="191"/>
    </i>
    <i>
      <x v="107"/>
      <x v="4"/>
      <x v="244"/>
      <x v="464"/>
    </i>
    <i>
      <x v="108"/>
      <x v="4"/>
      <x v="244"/>
      <x v="464"/>
    </i>
    <i>
      <x v="109"/>
      <x v="2"/>
      <x v="93"/>
      <x v="203"/>
    </i>
    <i r="2">
      <x v="171"/>
      <x v="204"/>
    </i>
    <i>
      <x v="110"/>
      <x/>
      <x v="108"/>
      <x v="192"/>
    </i>
    <i r="2">
      <x v="179"/>
      <x v="195"/>
    </i>
    <i r="1">
      <x v="1"/>
      <x v="108"/>
      <x v="196"/>
    </i>
    <i r="2">
      <x v="178"/>
      <x v="197"/>
    </i>
    <i r="1">
      <x v="2"/>
      <x v="108"/>
      <x v="193"/>
    </i>
    <i r="2">
      <x v="178"/>
      <x v="194"/>
    </i>
    <i r="1">
      <x v="3"/>
      <x v="108"/>
      <x v="198"/>
    </i>
    <i>
      <x v="111"/>
      <x v="4"/>
      <x v="244"/>
      <x v="464"/>
    </i>
    <i>
      <x v="112"/>
      <x v="4"/>
      <x v="244"/>
      <x v="464"/>
    </i>
    <i>
      <x v="113"/>
      <x v="4"/>
      <x v="244"/>
      <x v="464"/>
    </i>
    <i>
      <x v="114"/>
      <x v="4"/>
      <x v="244"/>
      <x v="464"/>
    </i>
    <i>
      <x v="115"/>
      <x/>
      <x v="179"/>
      <x v="213"/>
    </i>
    <i r="2">
      <x v="202"/>
      <x v="214"/>
    </i>
    <i r="1">
      <x v="1"/>
      <x v="148"/>
      <x v="215"/>
    </i>
    <i r="2">
      <x v="179"/>
      <x v="216"/>
    </i>
    <i r="1">
      <x v="3"/>
      <x v="25"/>
      <x v="217"/>
    </i>
    <i r="2">
      <x v="168"/>
      <x v="218"/>
    </i>
    <i>
      <x v="116"/>
      <x/>
      <x v="223"/>
      <x v="225"/>
    </i>
    <i r="1">
      <x v="1"/>
      <x v="128"/>
      <x v="252"/>
    </i>
    <i r="2">
      <x v="240"/>
      <x v="253"/>
    </i>
    <i r="1">
      <x v="2"/>
      <x v="1"/>
      <x v="249"/>
    </i>
    <i r="2">
      <x v="128"/>
      <x v="250"/>
    </i>
    <i r="2">
      <x v="240"/>
      <x v="251"/>
    </i>
    <i>
      <x v="117"/>
      <x/>
      <x v="87"/>
      <x v="254"/>
    </i>
    <i>
      <x v="118"/>
      <x v="4"/>
      <x v="244"/>
      <x v="464"/>
    </i>
    <i>
      <x v="119"/>
      <x/>
      <x v="156"/>
      <x v="205"/>
    </i>
    <i r="3">
      <x v="206"/>
    </i>
    <i r="3">
      <x v="220"/>
    </i>
    <i r="2">
      <x v="178"/>
      <x v="221"/>
    </i>
    <i r="1">
      <x v="1"/>
      <x v="179"/>
      <x v="222"/>
    </i>
    <i r="1">
      <x v="2"/>
      <x v="218"/>
      <x v="219"/>
    </i>
    <i r="3">
      <x v="223"/>
    </i>
    <i r="1">
      <x v="3"/>
      <x v="24"/>
      <x v="224"/>
    </i>
    <i>
      <x v="120"/>
      <x v="4"/>
      <x v="244"/>
      <x v="464"/>
    </i>
    <i>
      <x v="121"/>
      <x v="4"/>
      <x v="244"/>
      <x v="464"/>
    </i>
    <i>
      <x v="122"/>
      <x/>
      <x v="203"/>
      <x v="243"/>
    </i>
    <i r="1">
      <x v="1"/>
      <x v="203"/>
      <x v="244"/>
    </i>
    <i r="1">
      <x v="2"/>
      <x v="203"/>
      <x v="246"/>
    </i>
    <i r="1">
      <x v="3"/>
      <x v="203"/>
      <x v="245"/>
    </i>
    <i>
      <x v="123"/>
      <x/>
      <x v="102"/>
      <x v="247"/>
    </i>
    <i r="2">
      <x v="180"/>
      <x v="248"/>
    </i>
    <i>
      <x v="124"/>
      <x v="4"/>
      <x v="244"/>
      <x v="464"/>
    </i>
    <i>
      <x v="125"/>
      <x v="4"/>
      <x v="244"/>
      <x v="464"/>
    </i>
    <i>
      <x v="126"/>
      <x v="2"/>
      <x v="188"/>
      <x v="211"/>
    </i>
    <i r="1">
      <x v="3"/>
      <x v="28"/>
      <x v="212"/>
    </i>
    <i>
      <x v="127"/>
      <x v="4"/>
      <x v="244"/>
      <x v="464"/>
    </i>
    <i>
      <x v="128"/>
      <x/>
      <x v="111"/>
      <x v="232"/>
    </i>
    <i r="1">
      <x v="2"/>
      <x v="111"/>
      <x v="231"/>
    </i>
    <i r="1">
      <x v="3"/>
      <x v="111"/>
      <x v="233"/>
    </i>
    <i>
      <x v="129"/>
      <x/>
      <x v="112"/>
      <x v="230"/>
    </i>
    <i>
      <x v="130"/>
      <x/>
      <x v="117"/>
      <x v="208"/>
    </i>
    <i r="1">
      <x v="2"/>
      <x v="117"/>
      <x v="207"/>
    </i>
    <i r="3">
      <x v="209"/>
    </i>
    <i r="1">
      <x v="3"/>
      <x v="117"/>
      <x v="210"/>
    </i>
    <i>
      <x v="131"/>
      <x/>
      <x v="59"/>
      <x v="238"/>
    </i>
    <i r="2">
      <x v="113"/>
      <x v="239"/>
    </i>
    <i r="1">
      <x v="1"/>
      <x v="113"/>
      <x v="240"/>
    </i>
    <i r="2">
      <x v="241"/>
      <x v="241"/>
    </i>
    <i r="1">
      <x v="2"/>
      <x v="32"/>
      <x v="236"/>
    </i>
    <i r="2">
      <x v="59"/>
      <x v="237"/>
    </i>
    <i r="2">
      <x v="113"/>
      <x v="235"/>
    </i>
    <i r="1">
      <x v="3"/>
      <x v="113"/>
      <x v="234"/>
    </i>
    <i r="3">
      <x v="242"/>
    </i>
    <i>
      <x v="132"/>
      <x/>
      <x v="199"/>
      <x v="226"/>
    </i>
    <i r="2">
      <x v="228"/>
      <x v="227"/>
    </i>
    <i r="1">
      <x v="3"/>
      <x v="199"/>
      <x v="228"/>
    </i>
    <i r="2">
      <x v="228"/>
      <x v="229"/>
    </i>
    <i>
      <x v="133"/>
      <x/>
      <x v="150"/>
      <x v="283"/>
    </i>
    <i r="1">
      <x v="1"/>
      <x v="106"/>
      <x v="257"/>
    </i>
    <i r="1">
      <x v="2"/>
      <x v="106"/>
      <x v="255"/>
    </i>
    <i r="3">
      <x v="258"/>
    </i>
    <i r="2">
      <x v="150"/>
      <x v="256"/>
    </i>
    <i>
      <x v="134"/>
      <x v="4"/>
      <x v="244"/>
      <x v="464"/>
    </i>
    <i>
      <x v="135"/>
      <x/>
      <x v="199"/>
      <x v="284"/>
    </i>
    <i r="2">
      <x v="217"/>
      <x v="259"/>
    </i>
    <i r="1">
      <x v="1"/>
      <x v="199"/>
      <x v="285"/>
    </i>
    <i r="2">
      <x v="217"/>
      <x v="260"/>
    </i>
    <i r="1">
      <x v="3"/>
      <x v="199"/>
      <x v="286"/>
    </i>
    <i r="2">
      <x v="217"/>
      <x v="261"/>
    </i>
    <i>
      <x v="136"/>
      <x v="4"/>
      <x v="244"/>
      <x v="464"/>
    </i>
    <i>
      <x v="137"/>
      <x v="4"/>
      <x v="244"/>
      <x v="464"/>
    </i>
    <i>
      <x v="138"/>
      <x/>
      <x v="239"/>
      <x v="280"/>
    </i>
    <i r="1">
      <x v="1"/>
      <x v="53"/>
      <x v="281"/>
    </i>
    <i r="1">
      <x v="3"/>
      <x v="239"/>
      <x v="282"/>
    </i>
    <i>
      <x v="139"/>
      <x/>
      <x v="27"/>
      <x v="262"/>
    </i>
    <i r="2">
      <x v="143"/>
      <x v="263"/>
    </i>
    <i r="1">
      <x v="1"/>
      <x v="24"/>
      <x v="264"/>
    </i>
    <i r="2">
      <x v="227"/>
      <x v="278"/>
    </i>
    <i r="1">
      <x v="3"/>
      <x v="143"/>
      <x v="265"/>
    </i>
    <i r="2">
      <x v="199"/>
      <x v="266"/>
    </i>
    <i r="2">
      <x v="227"/>
      <x v="279"/>
    </i>
    <i>
      <x v="140"/>
      <x/>
      <x v="52"/>
      <x v="268"/>
    </i>
    <i r="2">
      <x v="151"/>
      <x v="269"/>
    </i>
    <i r="2">
      <x v="206"/>
      <x v="270"/>
    </i>
    <i r="1">
      <x v="1"/>
      <x v="24"/>
      <x v="271"/>
    </i>
    <i r="2">
      <x v="159"/>
      <x v="272"/>
    </i>
    <i r="1">
      <x v="2"/>
      <x v="85"/>
      <x v="267"/>
    </i>
    <i r="2">
      <x v="88"/>
      <x v="273"/>
    </i>
    <i r="1">
      <x v="3"/>
      <x v="13"/>
      <x v="274"/>
    </i>
    <i r="2">
      <x v="69"/>
      <x v="275"/>
    </i>
    <i r="2">
      <x v="85"/>
      <x v="276"/>
    </i>
    <i r="2">
      <x v="163"/>
      <x v="277"/>
    </i>
    <i>
      <x v="141"/>
      <x v="4"/>
      <x v="244"/>
      <x v="464"/>
    </i>
    <i>
      <x v="142"/>
      <x v="4"/>
      <x v="244"/>
      <x v="464"/>
    </i>
    <i>
      <x v="143"/>
      <x v="4"/>
      <x v="244"/>
      <x v="464"/>
    </i>
    <i>
      <x v="145"/>
      <x v="4"/>
      <x v="244"/>
      <x v="464"/>
    </i>
    <i>
      <x v="146"/>
      <x/>
      <x v="139"/>
      <x v="287"/>
    </i>
    <i r="2">
      <x v="149"/>
      <x v="288"/>
    </i>
    <i r="1">
      <x v="1"/>
      <x v="47"/>
      <x v="289"/>
    </i>
    <i r="2">
      <x v="215"/>
      <x v="290"/>
    </i>
    <i r="1">
      <x v="2"/>
      <x v="139"/>
      <x v="291"/>
    </i>
    <i r="1">
      <x v="3"/>
      <x v="90"/>
      <x v="292"/>
    </i>
    <i r="2">
      <x v="161"/>
      <x v="293"/>
    </i>
    <i r="2">
      <x v="215"/>
      <x v="294"/>
    </i>
    <i>
      <x v="147"/>
      <x v="4"/>
      <x v="244"/>
      <x v="464"/>
    </i>
    <i>
      <x v="148"/>
      <x v="4"/>
      <x v="244"/>
      <x v="464"/>
    </i>
    <i>
      <x v="149"/>
      <x v="2"/>
      <x v="227"/>
      <x v="295"/>
    </i>
    <i>
      <x v="150"/>
      <x v="1"/>
      <x v="224"/>
      <x v="304"/>
    </i>
    <i r="1">
      <x v="2"/>
      <x v="236"/>
      <x v="303"/>
    </i>
    <i>
      <x v="151"/>
      <x/>
      <x v="33"/>
      <x v="306"/>
    </i>
    <i r="1">
      <x v="3"/>
      <x v="8"/>
      <x v="307"/>
    </i>
    <i>
      <x v="152"/>
      <x/>
      <x v="21"/>
      <x v="296"/>
    </i>
    <i r="2">
      <x v="173"/>
      <x v="297"/>
    </i>
    <i r="1">
      <x v="3"/>
      <x v="207"/>
      <x v="298"/>
    </i>
    <i>
      <x v="153"/>
      <x/>
      <x v="176"/>
      <x v="299"/>
    </i>
    <i r="2">
      <x v="199"/>
      <x v="300"/>
    </i>
    <i r="1">
      <x v="1"/>
      <x v="176"/>
      <x v="301"/>
    </i>
    <i r="1">
      <x v="3"/>
      <x v="175"/>
      <x v="302"/>
    </i>
    <i>
      <x v="154"/>
      <x v="4"/>
      <x v="244"/>
      <x v="464"/>
    </i>
    <i>
      <x v="155"/>
      <x v="4"/>
      <x v="244"/>
      <x v="464"/>
    </i>
    <i>
      <x v="156"/>
      <x v="4"/>
      <x v="244"/>
      <x v="464"/>
    </i>
    <i>
      <x v="157"/>
      <x v="3"/>
      <x v="115"/>
      <x v="351"/>
    </i>
    <i>
      <x v="158"/>
      <x v="4"/>
      <x v="244"/>
      <x v="464"/>
    </i>
    <i>
      <x v="159"/>
      <x/>
      <x v="129"/>
      <x v="353"/>
    </i>
    <i r="1">
      <x v="1"/>
      <x v="129"/>
      <x v="354"/>
    </i>
    <i r="1">
      <x v="2"/>
      <x v="129"/>
      <x v="352"/>
    </i>
    <i r="1">
      <x v="3"/>
      <x v="129"/>
      <x v="355"/>
    </i>
    <i>
      <x v="160"/>
      <x v="4"/>
      <x v="244"/>
      <x v="464"/>
    </i>
    <i>
      <x v="161"/>
      <x v="4"/>
      <x v="244"/>
      <x v="464"/>
    </i>
    <i>
      <x v="162"/>
      <x v="4"/>
      <x v="244"/>
      <x v="464"/>
    </i>
    <i>
      <x v="163"/>
      <x v="4"/>
      <x v="244"/>
      <x v="464"/>
    </i>
    <i>
      <x v="164"/>
      <x v="4"/>
      <x v="244"/>
      <x v="464"/>
    </i>
    <i>
      <x v="165"/>
      <x v="2"/>
      <x v="227"/>
      <x v="386"/>
    </i>
    <i>
      <x v="166"/>
      <x v="4"/>
      <x v="244"/>
      <x v="464"/>
    </i>
    <i>
      <x v="167"/>
      <x/>
      <x v="6"/>
      <x v="361"/>
    </i>
    <i r="2">
      <x v="37"/>
      <x v="362"/>
    </i>
    <i r="2">
      <x v="136"/>
      <x v="376"/>
    </i>
    <i r="1">
      <x v="1"/>
      <x v="104"/>
      <x v="363"/>
    </i>
    <i r="1">
      <x v="2"/>
      <x v="104"/>
      <x v="364"/>
    </i>
    <i r="3">
      <x v="365"/>
    </i>
    <i r="1">
      <x v="3"/>
      <x v="104"/>
      <x v="377"/>
    </i>
    <i>
      <x v="168"/>
      <x/>
      <x v="114"/>
      <x v="381"/>
    </i>
    <i>
      <x v="169"/>
      <x v="4"/>
      <x v="244"/>
      <x v="464"/>
    </i>
    <i>
      <x v="170"/>
      <x/>
      <x v="157"/>
      <x v="369"/>
    </i>
    <i r="1">
      <x v="1"/>
      <x v="24"/>
      <x v="370"/>
    </i>
    <i r="2">
      <x v="103"/>
      <x v="371"/>
    </i>
    <i r="1">
      <x v="2"/>
      <x v="103"/>
      <x v="372"/>
    </i>
    <i>
      <x v="171"/>
      <x v="4"/>
      <x v="244"/>
      <x v="464"/>
    </i>
    <i>
      <x v="172"/>
      <x v="4"/>
      <x v="244"/>
      <x v="464"/>
    </i>
    <i>
      <x v="173"/>
      <x v="4"/>
      <x v="244"/>
      <x v="464"/>
    </i>
    <i>
      <x v="174"/>
      <x v="4"/>
      <x v="244"/>
      <x v="464"/>
    </i>
    <i>
      <x v="175"/>
      <x v="1"/>
      <x v="209"/>
      <x v="367"/>
    </i>
    <i r="1">
      <x v="2"/>
      <x v="209"/>
      <x v="366"/>
    </i>
    <i r="1">
      <x v="3"/>
      <x v="209"/>
      <x v="368"/>
    </i>
    <i>
      <x v="176"/>
      <x/>
      <x v="226"/>
      <x v="378"/>
    </i>
    <i r="1">
      <x v="1"/>
      <x v="226"/>
      <x v="379"/>
    </i>
    <i r="1">
      <x v="3"/>
      <x v="242"/>
      <x v="380"/>
    </i>
    <i>
      <x v="177"/>
      <x v="2"/>
      <x v="5"/>
      <x v="446"/>
    </i>
    <i r="2">
      <x v="17"/>
      <x v="447"/>
    </i>
    <i r="2">
      <x v="82"/>
      <x v="448"/>
    </i>
    <i r="2">
      <x v="83"/>
      <x v="449"/>
    </i>
    <i r="2">
      <x v="154"/>
      <x v="451"/>
    </i>
    <i r="2">
      <x v="165"/>
      <x v="450"/>
    </i>
    <i r="2">
      <x v="233"/>
      <x v="452"/>
    </i>
    <i>
      <x v="178"/>
      <x/>
      <x v="227"/>
      <x v="383"/>
    </i>
    <i r="1">
      <x v="1"/>
      <x v="179"/>
      <x v="384"/>
    </i>
    <i r="1">
      <x v="2"/>
      <x v="227"/>
      <x v="382"/>
    </i>
    <i r="1">
      <x v="3"/>
      <x v="227"/>
      <x v="385"/>
    </i>
    <i>
      <x v="181"/>
      <x v="4"/>
      <x v="244"/>
      <x v="464"/>
    </i>
    <i>
      <x v="182"/>
      <x/>
      <x v="95"/>
      <x v="200"/>
    </i>
    <i r="2">
      <x v="214"/>
      <x v="199"/>
    </i>
    <i r="1">
      <x v="1"/>
      <x v="95"/>
      <x v="201"/>
    </i>
    <i r="1">
      <x v="3"/>
      <x v="95"/>
      <x v="202"/>
    </i>
    <i>
      <x v="183"/>
      <x/>
      <x v="227"/>
      <x v="356"/>
    </i>
    <i r="3">
      <x v="387"/>
    </i>
    <i r="1">
      <x v="1"/>
      <x v="55"/>
      <x v="357"/>
    </i>
    <i r="2">
      <x v="227"/>
      <x v="358"/>
    </i>
    <i r="3">
      <x v="388"/>
    </i>
    <i r="3">
      <x v="389"/>
    </i>
    <i r="1">
      <x v="2"/>
      <x v="55"/>
      <x v="359"/>
    </i>
    <i r="1">
      <x v="3"/>
      <x v="227"/>
      <x v="360"/>
    </i>
    <i r="3">
      <x v="390"/>
    </i>
    <i>
      <x v="184"/>
      <x v="1"/>
      <x v="130"/>
      <x v="392"/>
    </i>
    <i r="1">
      <x v="2"/>
      <x v="130"/>
      <x v="391"/>
    </i>
    <i>
      <x v="185"/>
      <x v="4"/>
      <x v="244"/>
      <x v="464"/>
    </i>
    <i>
      <x v="186"/>
      <x v="4"/>
      <x v="244"/>
      <x v="464"/>
    </i>
    <i>
      <x v="187"/>
      <x v="4"/>
      <x v="244"/>
      <x v="464"/>
    </i>
    <i>
      <x v="188"/>
      <x v="4"/>
      <x v="244"/>
      <x v="464"/>
    </i>
    <i>
      <x v="189"/>
      <x/>
      <x v="227"/>
      <x v="415"/>
    </i>
    <i r="1">
      <x v="2"/>
      <x v="227"/>
      <x v="414"/>
    </i>
    <i r="1">
      <x v="3"/>
      <x v="191"/>
      <x v="416"/>
    </i>
    <i>
      <x v="190"/>
      <x/>
      <x v="92"/>
      <x v="427"/>
    </i>
    <i r="2">
      <x v="179"/>
      <x v="421"/>
    </i>
    <i r="1">
      <x v="1"/>
      <x v="92"/>
      <x v="428"/>
    </i>
    <i r="1">
      <x v="2"/>
      <x v="10"/>
      <x v="425"/>
    </i>
    <i r="2">
      <x v="199"/>
      <x v="426"/>
    </i>
    <i r="1">
      <x v="3"/>
      <x v="92"/>
      <x v="429"/>
    </i>
    <i>
      <x v="191"/>
      <x v="2"/>
      <x v="44"/>
      <x v="412"/>
    </i>
    <i r="2">
      <x v="189"/>
      <x v="413"/>
    </i>
    <i>
      <x v="192"/>
      <x/>
      <x v="116"/>
      <x v="418"/>
    </i>
    <i r="1">
      <x v="1"/>
      <x v="116"/>
      <x v="419"/>
    </i>
    <i r="1">
      <x v="3"/>
      <x v="116"/>
      <x v="420"/>
    </i>
    <i>
      <x v="193"/>
      <x/>
      <x v="181"/>
      <x v="409"/>
    </i>
    <i r="1">
      <x v="1"/>
      <x v="181"/>
      <x v="410"/>
    </i>
    <i r="1">
      <x v="3"/>
      <x v="181"/>
      <x v="411"/>
    </i>
    <i>
      <x v="194"/>
      <x v="4"/>
      <x v="244"/>
      <x v="464"/>
    </i>
    <i>
      <x v="195"/>
      <x v="4"/>
      <x v="244"/>
      <x v="464"/>
    </i>
    <i>
      <x v="196"/>
      <x v="4"/>
      <x v="244"/>
      <x v="464"/>
    </i>
    <i>
      <x v="197"/>
      <x/>
      <x v="167"/>
      <x v="422"/>
    </i>
    <i r="3">
      <x v="424"/>
    </i>
    <i r="1">
      <x v="3"/>
      <x v="16"/>
      <x v="423"/>
    </i>
    <i>
      <x v="198"/>
      <x v="4"/>
      <x v="244"/>
      <x v="464"/>
    </i>
    <i>
      <x v="199"/>
      <x v="3"/>
      <x v="227"/>
      <x v="417"/>
    </i>
    <i>
      <x v="200"/>
      <x v="4"/>
      <x v="244"/>
      <x v="464"/>
    </i>
    <i>
      <x v="201"/>
      <x/>
      <x v="94"/>
      <x v="431"/>
    </i>
    <i r="1">
      <x v="1"/>
      <x v="94"/>
      <x v="432"/>
    </i>
    <i r="2">
      <x v="213"/>
      <x v="433"/>
    </i>
    <i r="1">
      <x v="2"/>
      <x v="213"/>
      <x v="430"/>
    </i>
    <i r="3">
      <x v="434"/>
    </i>
    <i r="1">
      <x v="3"/>
      <x v="94"/>
      <x v="435"/>
    </i>
    <i>
      <x v="202"/>
      <x v="2"/>
      <x v="34"/>
      <x v="437"/>
    </i>
    <i r="2">
      <x v="76"/>
      <x v="436"/>
    </i>
    <i r="2">
      <x v="211"/>
      <x v="438"/>
    </i>
    <i>
      <x v="203"/>
      <x v="4"/>
      <x v="244"/>
      <x v="464"/>
    </i>
    <i>
      <x v="204"/>
      <x v="4"/>
      <x v="244"/>
      <x v="464"/>
    </i>
    <i>
      <x v="205"/>
      <x v="4"/>
      <x v="244"/>
      <x v="464"/>
    </i>
    <i>
      <x v="206"/>
      <x v="4"/>
      <x v="244"/>
      <x v="464"/>
    </i>
    <i>
      <x v="207"/>
      <x/>
      <x v="192"/>
      <x v="439"/>
    </i>
    <i r="1">
      <x v="1"/>
      <x v="190"/>
      <x v="440"/>
    </i>
    <i r="1">
      <x v="3"/>
      <x v="194"/>
      <x v="441"/>
    </i>
    <i>
      <x v="208"/>
      <x v="4"/>
      <x v="244"/>
      <x v="464"/>
    </i>
    <i>
      <x v="209"/>
      <x v="4"/>
      <x v="244"/>
      <x v="464"/>
    </i>
    <i>
      <x v="210"/>
      <x/>
      <x v="229"/>
      <x v="442"/>
    </i>
    <i r="2">
      <x v="231"/>
      <x v="443"/>
    </i>
    <i r="1">
      <x v="3"/>
      <x v="230"/>
      <x v="444"/>
    </i>
    <i>
      <x v="213"/>
      <x v="4"/>
      <x v="244"/>
      <x v="464"/>
    </i>
    <i>
      <x v="215"/>
      <x v="3"/>
      <x v="222"/>
      <x v="445"/>
    </i>
    <i>
      <x v="216"/>
      <x/>
      <x v="227"/>
      <x v="453"/>
    </i>
    <i r="1">
      <x v="1"/>
      <x v="35"/>
      <x v="459"/>
    </i>
    <i r="2">
      <x v="131"/>
      <x v="460"/>
    </i>
    <i r="1">
      <x v="2"/>
      <x v="35"/>
      <x v="457"/>
    </i>
    <i r="2">
      <x v="131"/>
      <x v="458"/>
    </i>
    <i>
      <x v="217"/>
      <x v="1"/>
      <x v="132"/>
      <x v="321"/>
    </i>
    <i r="1">
      <x v="2"/>
      <x v="132"/>
      <x v="320"/>
    </i>
    <i>
      <x v="218"/>
      <x/>
      <x v="227"/>
      <x v="461"/>
    </i>
    <i r="1">
      <x v="1"/>
      <x v="216"/>
      <x v="462"/>
    </i>
    <i r="1">
      <x v="3"/>
      <x v="216"/>
      <x v="46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31" firstHeaderRow="0" firstDataRow="1" firstDataCol="1" rowPageCount="1" colPageCount="1"/>
  <pivotFields count="70">
    <pivotField showAll="0"/>
    <pivotField showAll="0"/>
    <pivotField showAll="0"/>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dataField="1" numFmtId="165" showAll="0"/>
    <pivotField showAll="0"/>
    <pivotField showAll="0"/>
    <pivotField showAll="0"/>
    <pivotField axis="axisPage" showAll="0">
      <items count="5">
        <item x="2"/>
        <item x="0"/>
        <item x="1"/>
        <item x="3"/>
        <item t="default"/>
      </items>
    </pivotField>
  </pivotFields>
  <rowFields count="1">
    <field x="4"/>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8">
    <format dxfId="346">
      <pivotArea outline="0" collapsedLevelsAreSubtotals="1" fieldPosition="0">
        <references count="1">
          <reference field="4294967294" count="4" selected="0">
            <x v="4"/>
            <x v="9"/>
            <x v="14"/>
            <x v="15"/>
          </reference>
        </references>
      </pivotArea>
    </format>
    <format dxfId="345">
      <pivotArea outline="0" collapsedLevelsAreSubtotals="1" fieldPosition="0"/>
    </format>
    <format dxfId="344">
      <pivotArea type="all" dataOnly="0" outline="0" fieldPosition="0"/>
    </format>
    <format dxfId="343">
      <pivotArea outline="0" collapsedLevelsAreSubtotals="1" fieldPosition="0"/>
    </format>
    <format dxfId="342">
      <pivotArea field="4" type="button" dataOnly="0" labelOnly="1" outline="0" axis="axisRow" fieldPosition="0"/>
    </format>
    <format dxfId="341">
      <pivotArea dataOnly="0" labelOnly="1" fieldPosition="0">
        <references count="1">
          <reference field="4" count="0"/>
        </references>
      </pivotArea>
    </format>
    <format dxfId="340">
      <pivotArea dataOnly="0" labelOnly="1" grandRow="1" outline="0" fieldPosition="0"/>
    </format>
    <format dxfId="339">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321" firstHeaderRow="0" firstDataRow="1" firstDataCol="1" rowPageCount="1" colPageCount="1"/>
  <pivotFields count="70">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dataField="1" numFmtId="165" showAll="0"/>
    <pivotField showAll="0"/>
    <pivotField showAll="0"/>
    <pivotField showAll="0"/>
    <pivotField axis="axisPage" showAll="0">
      <items count="5">
        <item x="2"/>
        <item x="0"/>
        <item x="1"/>
        <item x="3"/>
        <item t="default"/>
      </items>
    </pivotField>
  </pivotFields>
  <rowFields count="3">
    <field x="1"/>
    <field x="2"/>
    <field x="4"/>
  </rowFields>
  <rowItems count="318">
    <i>
      <x/>
    </i>
    <i r="1">
      <x v="6"/>
    </i>
    <i r="2">
      <x v="2"/>
    </i>
    <i r="2">
      <x v="9"/>
    </i>
    <i r="2">
      <x v="11"/>
    </i>
    <i r="2">
      <x v="13"/>
    </i>
    <i r="2">
      <x v="16"/>
    </i>
    <i r="2">
      <x v="18"/>
    </i>
    <i r="2">
      <x v="19"/>
    </i>
    <i r="2">
      <x v="20"/>
    </i>
    <i r="2">
      <x v="21"/>
    </i>
    <i r="2">
      <x v="22"/>
    </i>
    <i r="2">
      <x v="23"/>
    </i>
    <i r="2">
      <x v="24"/>
    </i>
    <i r="2">
      <x v="25"/>
    </i>
    <i r="2">
      <x v="26"/>
    </i>
    <i r="1">
      <x v="8"/>
    </i>
    <i r="2">
      <x v="2"/>
    </i>
    <i r="2">
      <x v="9"/>
    </i>
    <i r="2">
      <x v="20"/>
    </i>
    <i r="2">
      <x v="21"/>
    </i>
    <i r="2">
      <x v="22"/>
    </i>
    <i r="2">
      <x v="23"/>
    </i>
    <i r="2">
      <x v="24"/>
    </i>
    <i r="2">
      <x v="25"/>
    </i>
    <i r="2">
      <x v="26"/>
    </i>
    <i r="1">
      <x v="23"/>
    </i>
    <i r="2">
      <x v="2"/>
    </i>
    <i r="2">
      <x v="9"/>
    </i>
    <i r="2">
      <x v="20"/>
    </i>
    <i r="2">
      <x v="21"/>
    </i>
    <i r="2">
      <x v="22"/>
    </i>
    <i r="2">
      <x v="23"/>
    </i>
    <i r="2">
      <x v="24"/>
    </i>
    <i r="2">
      <x v="25"/>
    </i>
    <i r="2">
      <x v="26"/>
    </i>
    <i>
      <x v="1"/>
    </i>
    <i r="1">
      <x v="2"/>
    </i>
    <i r="2">
      <x v="9"/>
    </i>
    <i r="2">
      <x v="20"/>
    </i>
    <i r="2">
      <x v="21"/>
    </i>
    <i r="2">
      <x v="22"/>
    </i>
    <i r="2">
      <x v="23"/>
    </i>
    <i r="2">
      <x v="24"/>
    </i>
    <i r="2">
      <x v="25"/>
    </i>
    <i r="2">
      <x v="26"/>
    </i>
    <i r="1">
      <x v="5"/>
    </i>
    <i r="2">
      <x v="9"/>
    </i>
    <i r="2">
      <x v="20"/>
    </i>
    <i r="2">
      <x v="21"/>
    </i>
    <i r="2">
      <x v="22"/>
    </i>
    <i r="2">
      <x v="23"/>
    </i>
    <i r="2">
      <x v="24"/>
    </i>
    <i r="2">
      <x v="25"/>
    </i>
    <i r="2">
      <x v="26"/>
    </i>
    <i r="1">
      <x v="27"/>
    </i>
    <i r="2">
      <x v="9"/>
    </i>
    <i r="2">
      <x v="20"/>
    </i>
    <i r="2">
      <x v="21"/>
    </i>
    <i r="2">
      <x v="22"/>
    </i>
    <i r="2">
      <x v="23"/>
    </i>
    <i r="2">
      <x v="24"/>
    </i>
    <i r="2">
      <x v="25"/>
    </i>
    <i r="2">
      <x v="26"/>
    </i>
    <i>
      <x v="2"/>
    </i>
    <i r="1">
      <x v="1"/>
    </i>
    <i r="2">
      <x v="9"/>
    </i>
    <i r="2">
      <x v="11"/>
    </i>
    <i r="2">
      <x v="13"/>
    </i>
    <i r="2">
      <x v="16"/>
    </i>
    <i r="2">
      <x v="17"/>
    </i>
    <i r="2">
      <x v="18"/>
    </i>
    <i r="2">
      <x v="19"/>
    </i>
    <i r="2">
      <x v="20"/>
    </i>
    <i r="2">
      <x v="21"/>
    </i>
    <i r="2">
      <x v="22"/>
    </i>
    <i r="2">
      <x v="23"/>
    </i>
    <i r="2">
      <x v="24"/>
    </i>
    <i r="2">
      <x v="25"/>
    </i>
    <i r="2">
      <x v="26"/>
    </i>
    <i r="1">
      <x v="29"/>
    </i>
    <i r="2">
      <x v="1"/>
    </i>
    <i r="2">
      <x v="5"/>
    </i>
    <i r="2">
      <x v="12"/>
    </i>
    <i r="2">
      <x v="20"/>
    </i>
    <i r="2">
      <x v="21"/>
    </i>
    <i r="2">
      <x v="22"/>
    </i>
    <i r="2">
      <x v="23"/>
    </i>
    <i r="2">
      <x v="24"/>
    </i>
    <i r="2">
      <x v="25"/>
    </i>
    <i r="2">
      <x v="26"/>
    </i>
    <i>
      <x v="3"/>
    </i>
    <i r="1">
      <x v="24"/>
    </i>
    <i r="2">
      <x v="7"/>
    </i>
    <i r="2">
      <x v="8"/>
    </i>
    <i r="2">
      <x v="13"/>
    </i>
    <i r="2">
      <x v="20"/>
    </i>
    <i r="2">
      <x v="21"/>
    </i>
    <i r="2">
      <x v="22"/>
    </i>
    <i r="2">
      <x v="23"/>
    </i>
    <i r="2">
      <x v="24"/>
    </i>
    <i r="2">
      <x v="25"/>
    </i>
    <i r="2">
      <x v="26"/>
    </i>
    <i r="1">
      <x v="25"/>
    </i>
    <i r="2">
      <x v="9"/>
    </i>
    <i r="2">
      <x v="20"/>
    </i>
    <i r="2">
      <x v="21"/>
    </i>
    <i r="2">
      <x v="22"/>
    </i>
    <i r="2">
      <x v="23"/>
    </i>
    <i r="2">
      <x v="24"/>
    </i>
    <i r="2">
      <x v="25"/>
    </i>
    <i r="2">
      <x v="26"/>
    </i>
    <i>
      <x v="4"/>
    </i>
    <i r="1">
      <x v="3"/>
    </i>
    <i r="2">
      <x v="7"/>
    </i>
    <i r="2">
      <x v="8"/>
    </i>
    <i r="2">
      <x v="13"/>
    </i>
    <i r="2">
      <x v="20"/>
    </i>
    <i r="2">
      <x v="21"/>
    </i>
    <i r="2">
      <x v="22"/>
    </i>
    <i r="2">
      <x v="23"/>
    </i>
    <i r="2">
      <x v="24"/>
    </i>
    <i r="2">
      <x v="25"/>
    </i>
    <i r="2">
      <x v="26"/>
    </i>
    <i r="1">
      <x v="18"/>
    </i>
    <i r="2">
      <x v="7"/>
    </i>
    <i r="2">
      <x v="8"/>
    </i>
    <i r="2">
      <x v="13"/>
    </i>
    <i r="2">
      <x v="20"/>
    </i>
    <i r="2">
      <x v="21"/>
    </i>
    <i r="2">
      <x v="22"/>
    </i>
    <i r="2">
      <x v="23"/>
    </i>
    <i r="2">
      <x v="24"/>
    </i>
    <i r="2">
      <x v="25"/>
    </i>
    <i r="2">
      <x v="26"/>
    </i>
    <i r="1">
      <x v="19"/>
    </i>
    <i r="2">
      <x v="12"/>
    </i>
    <i r="1">
      <x v="20"/>
    </i>
    <i r="2">
      <x v="3"/>
    </i>
    <i r="2">
      <x v="20"/>
    </i>
    <i r="2">
      <x v="21"/>
    </i>
    <i r="2">
      <x v="22"/>
    </i>
    <i r="2">
      <x v="23"/>
    </i>
    <i r="2">
      <x v="24"/>
    </i>
    <i r="2">
      <x v="25"/>
    </i>
    <i r="2">
      <x v="26"/>
    </i>
    <i>
      <x v="5"/>
    </i>
    <i r="1">
      <x v="9"/>
    </i>
    <i r="2">
      <x v="2"/>
    </i>
    <i r="2">
      <x v="20"/>
    </i>
    <i r="2">
      <x v="21"/>
    </i>
    <i r="2">
      <x v="22"/>
    </i>
    <i r="2">
      <x v="23"/>
    </i>
    <i r="2">
      <x v="24"/>
    </i>
    <i r="2">
      <x v="25"/>
    </i>
    <i r="2">
      <x v="26"/>
    </i>
    <i r="1">
      <x v="10"/>
    </i>
    <i r="2">
      <x v="2"/>
    </i>
    <i r="2">
      <x v="20"/>
    </i>
    <i r="2">
      <x v="21"/>
    </i>
    <i r="2">
      <x v="22"/>
    </i>
    <i r="2">
      <x v="23"/>
    </i>
    <i r="2">
      <x v="24"/>
    </i>
    <i r="2">
      <x v="25"/>
    </i>
    <i r="2">
      <x v="26"/>
    </i>
    <i r="1">
      <x v="17"/>
    </i>
    <i r="2">
      <x v="2"/>
    </i>
    <i r="2">
      <x v="20"/>
    </i>
    <i r="2">
      <x v="21"/>
    </i>
    <i r="2">
      <x v="22"/>
    </i>
    <i r="2">
      <x v="23"/>
    </i>
    <i r="2">
      <x v="24"/>
    </i>
    <i r="2">
      <x v="25"/>
    </i>
    <i r="2">
      <x v="26"/>
    </i>
    <i r="1">
      <x v="26"/>
    </i>
    <i r="2">
      <x v="2"/>
    </i>
    <i r="2">
      <x v="20"/>
    </i>
    <i r="2">
      <x v="21"/>
    </i>
    <i r="2">
      <x v="22"/>
    </i>
    <i r="2">
      <x v="23"/>
    </i>
    <i r="2">
      <x v="24"/>
    </i>
    <i r="2">
      <x v="25"/>
    </i>
    <i r="2">
      <x v="26"/>
    </i>
    <i>
      <x v="6"/>
    </i>
    <i r="1">
      <x/>
    </i>
    <i r="2">
      <x v="9"/>
    </i>
    <i r="2">
      <x v="11"/>
    </i>
    <i r="2">
      <x v="13"/>
    </i>
    <i r="2">
      <x v="16"/>
    </i>
    <i r="2">
      <x v="17"/>
    </i>
    <i r="2">
      <x v="18"/>
    </i>
    <i r="2">
      <x v="19"/>
    </i>
    <i r="2">
      <x v="20"/>
    </i>
    <i r="2">
      <x v="21"/>
    </i>
    <i r="2">
      <x v="22"/>
    </i>
    <i r="2">
      <x v="23"/>
    </i>
    <i r="2">
      <x v="24"/>
    </i>
    <i r="2">
      <x v="25"/>
    </i>
    <i r="2">
      <x v="26"/>
    </i>
    <i r="1">
      <x v="21"/>
    </i>
    <i r="2">
      <x v="1"/>
    </i>
    <i r="1">
      <x v="28"/>
    </i>
    <i r="2">
      <x v="1"/>
    </i>
    <i r="2">
      <x v="20"/>
    </i>
    <i r="2">
      <x v="21"/>
    </i>
    <i r="2">
      <x v="22"/>
    </i>
    <i r="2">
      <x v="23"/>
    </i>
    <i r="2">
      <x v="24"/>
    </i>
    <i r="2">
      <x v="25"/>
    </i>
    <i r="2">
      <x v="26"/>
    </i>
    <i>
      <x v="7"/>
    </i>
    <i r="1">
      <x v="4"/>
    </i>
    <i r="2">
      <x/>
    </i>
    <i r="2">
      <x v="11"/>
    </i>
    <i r="2">
      <x v="13"/>
    </i>
    <i r="2">
      <x v="14"/>
    </i>
    <i r="2">
      <x v="15"/>
    </i>
    <i r="2">
      <x v="17"/>
    </i>
    <i r="2">
      <x v="18"/>
    </i>
    <i r="2">
      <x v="19"/>
    </i>
    <i r="2">
      <x v="20"/>
    </i>
    <i r="2">
      <x v="21"/>
    </i>
    <i r="2">
      <x v="22"/>
    </i>
    <i r="2">
      <x v="23"/>
    </i>
    <i r="2">
      <x v="24"/>
    </i>
    <i r="2">
      <x v="25"/>
    </i>
    <i r="2">
      <x v="26"/>
    </i>
    <i r="1">
      <x v="22"/>
    </i>
    <i r="2">
      <x v="1"/>
    </i>
    <i r="2">
      <x v="4"/>
    </i>
    <i r="2">
      <x v="5"/>
    </i>
    <i r="2">
      <x v="20"/>
    </i>
    <i r="2">
      <x v="21"/>
    </i>
    <i r="2">
      <x v="22"/>
    </i>
    <i r="2">
      <x v="23"/>
    </i>
    <i r="2">
      <x v="24"/>
    </i>
    <i r="2">
      <x v="25"/>
    </i>
    <i r="2">
      <x v="26"/>
    </i>
    <i>
      <x v="8"/>
    </i>
    <i r="1">
      <x v="7"/>
    </i>
    <i r="2">
      <x v="10"/>
    </i>
    <i r="2">
      <x v="19"/>
    </i>
    <i r="2">
      <x v="20"/>
    </i>
    <i r="2">
      <x v="21"/>
    </i>
    <i r="2">
      <x v="22"/>
    </i>
    <i r="2">
      <x v="23"/>
    </i>
    <i r="2">
      <x v="24"/>
    </i>
    <i r="2">
      <x v="25"/>
    </i>
    <i r="2">
      <x v="26"/>
    </i>
    <i r="1">
      <x v="11"/>
    </i>
    <i r="2">
      <x v="6"/>
    </i>
    <i r="2">
      <x v="20"/>
    </i>
    <i r="2">
      <x v="21"/>
    </i>
    <i r="2">
      <x v="22"/>
    </i>
    <i r="2">
      <x v="23"/>
    </i>
    <i r="2">
      <x v="24"/>
    </i>
    <i r="2">
      <x v="25"/>
    </i>
    <i r="2">
      <x v="26"/>
    </i>
    <i r="1">
      <x v="12"/>
    </i>
    <i r="2">
      <x v="6"/>
    </i>
    <i r="2">
      <x v="20"/>
    </i>
    <i r="2">
      <x v="21"/>
    </i>
    <i r="2">
      <x v="22"/>
    </i>
    <i r="2">
      <x v="23"/>
    </i>
    <i r="2">
      <x v="24"/>
    </i>
    <i r="2">
      <x v="25"/>
    </i>
    <i r="2">
      <x v="26"/>
    </i>
    <i r="1">
      <x v="13"/>
    </i>
    <i r="2">
      <x v="6"/>
    </i>
    <i r="2">
      <x v="20"/>
    </i>
    <i r="2">
      <x v="21"/>
    </i>
    <i r="2">
      <x v="22"/>
    </i>
    <i r="2">
      <x v="23"/>
    </i>
    <i r="2">
      <x v="24"/>
    </i>
    <i r="2">
      <x v="25"/>
    </i>
    <i r="2">
      <x v="26"/>
    </i>
    <i r="1">
      <x v="14"/>
    </i>
    <i r="2">
      <x v="6"/>
    </i>
    <i r="2">
      <x v="20"/>
    </i>
    <i r="2">
      <x v="21"/>
    </i>
    <i r="2">
      <x v="22"/>
    </i>
    <i r="2">
      <x v="23"/>
    </i>
    <i r="2">
      <x v="24"/>
    </i>
    <i r="2">
      <x v="25"/>
    </i>
    <i r="2">
      <x v="26"/>
    </i>
    <i r="1">
      <x v="15"/>
    </i>
    <i r="2">
      <x v="6"/>
    </i>
    <i r="2">
      <x v="20"/>
    </i>
    <i r="2">
      <x v="21"/>
    </i>
    <i r="2">
      <x v="22"/>
    </i>
    <i r="2">
      <x v="23"/>
    </i>
    <i r="2">
      <x v="24"/>
    </i>
    <i r="2">
      <x v="25"/>
    </i>
    <i r="2">
      <x v="26"/>
    </i>
    <i r="1">
      <x v="16"/>
    </i>
    <i r="2">
      <x v="6"/>
    </i>
    <i r="2">
      <x v="20"/>
    </i>
    <i r="2">
      <x v="21"/>
    </i>
    <i r="2">
      <x v="22"/>
    </i>
    <i r="2">
      <x v="23"/>
    </i>
    <i r="2">
      <x v="24"/>
    </i>
    <i r="2">
      <x v="25"/>
    </i>
    <i r="2">
      <x v="26"/>
    </i>
    <i>
      <x v="9"/>
    </i>
    <i r="1">
      <x v="30"/>
    </i>
    <i r="2">
      <x v="5"/>
    </i>
    <i r="2">
      <x v="11"/>
    </i>
    <i r="2">
      <x v="13"/>
    </i>
    <i r="2">
      <x v="18"/>
    </i>
    <i r="2">
      <x v="19"/>
    </i>
    <i r="2">
      <x v="20"/>
    </i>
    <i r="2">
      <x v="21"/>
    </i>
    <i r="2">
      <x v="22"/>
    </i>
    <i r="2">
      <x v="23"/>
    </i>
    <i r="2">
      <x v="24"/>
    </i>
    <i r="2">
      <x v="25"/>
    </i>
    <i r="2">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49">
    <format dxfId="338">
      <pivotArea outline="0" collapsedLevelsAreSubtotals="1" fieldPosition="0">
        <references count="1">
          <reference field="4294967294" count="4" selected="0">
            <x v="4"/>
            <x v="9"/>
            <x v="14"/>
            <x v="15"/>
          </reference>
        </references>
      </pivotArea>
    </format>
    <format dxfId="337">
      <pivotArea outline="0" collapsedLevelsAreSubtotals="1" fieldPosition="0"/>
    </format>
    <format dxfId="336">
      <pivotArea type="all" dataOnly="0" outline="0" fieldPosition="0"/>
    </format>
    <format dxfId="335">
      <pivotArea outline="0" collapsedLevelsAreSubtotals="1" fieldPosition="0"/>
    </format>
    <format dxfId="334">
      <pivotArea field="1" type="button" dataOnly="0" labelOnly="1" outline="0" axis="axisRow" fieldPosition="0"/>
    </format>
    <format dxfId="333">
      <pivotArea dataOnly="0" labelOnly="1" fieldPosition="0">
        <references count="1">
          <reference field="1" count="0"/>
        </references>
      </pivotArea>
    </format>
    <format dxfId="332">
      <pivotArea dataOnly="0" labelOnly="1" grandRow="1" outline="0" fieldPosition="0"/>
    </format>
    <format dxfId="331">
      <pivotArea dataOnly="0" labelOnly="1" fieldPosition="0">
        <references count="2">
          <reference field="1" count="1" selected="0">
            <x v="0"/>
          </reference>
          <reference field="2" count="3">
            <x v="6"/>
            <x v="8"/>
            <x v="23"/>
          </reference>
        </references>
      </pivotArea>
    </format>
    <format dxfId="330">
      <pivotArea dataOnly="0" labelOnly="1" fieldPosition="0">
        <references count="2">
          <reference field="1" count="1" selected="0">
            <x v="1"/>
          </reference>
          <reference field="2" count="3">
            <x v="2"/>
            <x v="5"/>
            <x v="27"/>
          </reference>
        </references>
      </pivotArea>
    </format>
    <format dxfId="329">
      <pivotArea dataOnly="0" labelOnly="1" fieldPosition="0">
        <references count="2">
          <reference field="1" count="1" selected="0">
            <x v="2"/>
          </reference>
          <reference field="2" count="2">
            <x v="1"/>
            <x v="29"/>
          </reference>
        </references>
      </pivotArea>
    </format>
    <format dxfId="328">
      <pivotArea dataOnly="0" labelOnly="1" fieldPosition="0">
        <references count="2">
          <reference field="1" count="1" selected="0">
            <x v="3"/>
          </reference>
          <reference field="2" count="2">
            <x v="24"/>
            <x v="25"/>
          </reference>
        </references>
      </pivotArea>
    </format>
    <format dxfId="327">
      <pivotArea dataOnly="0" labelOnly="1" fieldPosition="0">
        <references count="2">
          <reference field="1" count="1" selected="0">
            <x v="4"/>
          </reference>
          <reference field="2" count="4">
            <x v="3"/>
            <x v="18"/>
            <x v="19"/>
            <x v="20"/>
          </reference>
        </references>
      </pivotArea>
    </format>
    <format dxfId="326">
      <pivotArea dataOnly="0" labelOnly="1" fieldPosition="0">
        <references count="2">
          <reference field="1" count="1" selected="0">
            <x v="5"/>
          </reference>
          <reference field="2" count="4">
            <x v="9"/>
            <x v="10"/>
            <x v="17"/>
            <x v="26"/>
          </reference>
        </references>
      </pivotArea>
    </format>
    <format dxfId="325">
      <pivotArea dataOnly="0" labelOnly="1" fieldPosition="0">
        <references count="2">
          <reference field="1" count="1" selected="0">
            <x v="6"/>
          </reference>
          <reference field="2" count="3">
            <x v="0"/>
            <x v="21"/>
            <x v="28"/>
          </reference>
        </references>
      </pivotArea>
    </format>
    <format dxfId="324">
      <pivotArea dataOnly="0" labelOnly="1" fieldPosition="0">
        <references count="2">
          <reference field="1" count="1" selected="0">
            <x v="7"/>
          </reference>
          <reference field="2" count="2">
            <x v="4"/>
            <x v="22"/>
          </reference>
        </references>
      </pivotArea>
    </format>
    <format dxfId="323">
      <pivotArea dataOnly="0" labelOnly="1" fieldPosition="0">
        <references count="2">
          <reference field="1" count="1" selected="0">
            <x v="8"/>
          </reference>
          <reference field="2" count="7">
            <x v="7"/>
            <x v="11"/>
            <x v="12"/>
            <x v="13"/>
            <x v="14"/>
            <x v="15"/>
            <x v="16"/>
          </reference>
        </references>
      </pivotArea>
    </format>
    <format dxfId="322">
      <pivotArea dataOnly="0" labelOnly="1" fieldPosition="0">
        <references count="2">
          <reference field="1" count="1" selected="0">
            <x v="9"/>
          </reference>
          <reference field="2" count="1">
            <x v="30"/>
          </reference>
        </references>
      </pivotArea>
    </format>
    <format dxfId="321">
      <pivotArea dataOnly="0" labelOnly="1" fieldPosition="0">
        <references count="3">
          <reference field="1" count="1" selected="0">
            <x v="0"/>
          </reference>
          <reference field="2" count="1" selected="0">
            <x v="6"/>
          </reference>
          <reference field="4" count="14">
            <x v="2"/>
            <x v="9"/>
            <x v="11"/>
            <x v="13"/>
            <x v="16"/>
            <x v="18"/>
            <x v="19"/>
            <x v="20"/>
            <x v="21"/>
            <x v="22"/>
            <x v="23"/>
            <x v="24"/>
            <x v="25"/>
            <x v="26"/>
          </reference>
        </references>
      </pivotArea>
    </format>
    <format dxfId="320">
      <pivotArea dataOnly="0" labelOnly="1" fieldPosition="0">
        <references count="3">
          <reference field="1" count="1" selected="0">
            <x v="0"/>
          </reference>
          <reference field="2" count="1" selected="0">
            <x v="8"/>
          </reference>
          <reference field="4" count="9">
            <x v="2"/>
            <x v="9"/>
            <x v="20"/>
            <x v="21"/>
            <x v="22"/>
            <x v="23"/>
            <x v="24"/>
            <x v="25"/>
            <x v="26"/>
          </reference>
        </references>
      </pivotArea>
    </format>
    <format dxfId="319">
      <pivotArea dataOnly="0" labelOnly="1" fieldPosition="0">
        <references count="3">
          <reference field="1" count="1" selected="0">
            <x v="0"/>
          </reference>
          <reference field="2" count="1" selected="0">
            <x v="23"/>
          </reference>
          <reference field="4" count="9">
            <x v="2"/>
            <x v="9"/>
            <x v="20"/>
            <x v="21"/>
            <x v="22"/>
            <x v="23"/>
            <x v="24"/>
            <x v="25"/>
            <x v="26"/>
          </reference>
        </references>
      </pivotArea>
    </format>
    <format dxfId="318">
      <pivotArea dataOnly="0" labelOnly="1" fieldPosition="0">
        <references count="3">
          <reference field="1" count="1" selected="0">
            <x v="1"/>
          </reference>
          <reference field="2" count="1" selected="0">
            <x v="2"/>
          </reference>
          <reference field="4" count="8">
            <x v="9"/>
            <x v="20"/>
            <x v="21"/>
            <x v="22"/>
            <x v="23"/>
            <x v="24"/>
            <x v="25"/>
            <x v="26"/>
          </reference>
        </references>
      </pivotArea>
    </format>
    <format dxfId="317">
      <pivotArea dataOnly="0" labelOnly="1" fieldPosition="0">
        <references count="3">
          <reference field="1" count="1" selected="0">
            <x v="1"/>
          </reference>
          <reference field="2" count="1" selected="0">
            <x v="5"/>
          </reference>
          <reference field="4" count="8">
            <x v="9"/>
            <x v="20"/>
            <x v="21"/>
            <x v="22"/>
            <x v="23"/>
            <x v="24"/>
            <x v="25"/>
            <x v="26"/>
          </reference>
        </references>
      </pivotArea>
    </format>
    <format dxfId="316">
      <pivotArea dataOnly="0" labelOnly="1" fieldPosition="0">
        <references count="3">
          <reference field="1" count="1" selected="0">
            <x v="1"/>
          </reference>
          <reference field="2" count="1" selected="0">
            <x v="27"/>
          </reference>
          <reference field="4" count="8">
            <x v="9"/>
            <x v="20"/>
            <x v="21"/>
            <x v="22"/>
            <x v="23"/>
            <x v="24"/>
            <x v="25"/>
            <x v="26"/>
          </reference>
        </references>
      </pivotArea>
    </format>
    <format dxfId="315">
      <pivotArea dataOnly="0" labelOnly="1" fieldPosition="0">
        <references count="3">
          <reference field="1" count="1" selected="0">
            <x v="2"/>
          </reference>
          <reference field="2" count="1" selected="0">
            <x v="1"/>
          </reference>
          <reference field="4" count="14">
            <x v="9"/>
            <x v="11"/>
            <x v="13"/>
            <x v="16"/>
            <x v="17"/>
            <x v="18"/>
            <x v="19"/>
            <x v="20"/>
            <x v="21"/>
            <x v="22"/>
            <x v="23"/>
            <x v="24"/>
            <x v="25"/>
            <x v="26"/>
          </reference>
        </references>
      </pivotArea>
    </format>
    <format dxfId="314">
      <pivotArea dataOnly="0" labelOnly="1" fieldPosition="0">
        <references count="3">
          <reference field="1" count="1" selected="0">
            <x v="2"/>
          </reference>
          <reference field="2" count="1" selected="0">
            <x v="29"/>
          </reference>
          <reference field="4" count="10">
            <x v="1"/>
            <x v="5"/>
            <x v="12"/>
            <x v="20"/>
            <x v="21"/>
            <x v="22"/>
            <x v="23"/>
            <x v="24"/>
            <x v="25"/>
            <x v="26"/>
          </reference>
        </references>
      </pivotArea>
    </format>
    <format dxfId="313">
      <pivotArea dataOnly="0" labelOnly="1" fieldPosition="0">
        <references count="3">
          <reference field="1" count="1" selected="0">
            <x v="3"/>
          </reference>
          <reference field="2" count="1" selected="0">
            <x v="24"/>
          </reference>
          <reference field="4" count="10">
            <x v="7"/>
            <x v="8"/>
            <x v="13"/>
            <x v="20"/>
            <x v="21"/>
            <x v="22"/>
            <x v="23"/>
            <x v="24"/>
            <x v="25"/>
            <x v="26"/>
          </reference>
        </references>
      </pivotArea>
    </format>
    <format dxfId="312">
      <pivotArea dataOnly="0" labelOnly="1" fieldPosition="0">
        <references count="3">
          <reference field="1" count="1" selected="0">
            <x v="3"/>
          </reference>
          <reference field="2" count="1" selected="0">
            <x v="25"/>
          </reference>
          <reference field="4" count="8">
            <x v="9"/>
            <x v="20"/>
            <x v="21"/>
            <x v="22"/>
            <x v="23"/>
            <x v="24"/>
            <x v="25"/>
            <x v="26"/>
          </reference>
        </references>
      </pivotArea>
    </format>
    <format dxfId="311">
      <pivotArea dataOnly="0" labelOnly="1" fieldPosition="0">
        <references count="3">
          <reference field="1" count="1" selected="0">
            <x v="4"/>
          </reference>
          <reference field="2" count="1" selected="0">
            <x v="3"/>
          </reference>
          <reference field="4" count="10">
            <x v="7"/>
            <x v="8"/>
            <x v="13"/>
            <x v="20"/>
            <x v="21"/>
            <x v="22"/>
            <x v="23"/>
            <x v="24"/>
            <x v="25"/>
            <x v="26"/>
          </reference>
        </references>
      </pivotArea>
    </format>
    <format dxfId="310">
      <pivotArea dataOnly="0" labelOnly="1" fieldPosition="0">
        <references count="3">
          <reference field="1" count="1" selected="0">
            <x v="4"/>
          </reference>
          <reference field="2" count="1" selected="0">
            <x v="18"/>
          </reference>
          <reference field="4" count="10">
            <x v="7"/>
            <x v="8"/>
            <x v="13"/>
            <x v="20"/>
            <x v="21"/>
            <x v="22"/>
            <x v="23"/>
            <x v="24"/>
            <x v="25"/>
            <x v="26"/>
          </reference>
        </references>
      </pivotArea>
    </format>
    <format dxfId="309">
      <pivotArea dataOnly="0" labelOnly="1" fieldPosition="0">
        <references count="3">
          <reference field="1" count="1" selected="0">
            <x v="4"/>
          </reference>
          <reference field="2" count="1" selected="0">
            <x v="19"/>
          </reference>
          <reference field="4" count="1">
            <x v="12"/>
          </reference>
        </references>
      </pivotArea>
    </format>
    <format dxfId="308">
      <pivotArea dataOnly="0" labelOnly="1" fieldPosition="0">
        <references count="3">
          <reference field="1" count="1" selected="0">
            <x v="4"/>
          </reference>
          <reference field="2" count="1" selected="0">
            <x v="20"/>
          </reference>
          <reference field="4" count="8">
            <x v="3"/>
            <x v="20"/>
            <x v="21"/>
            <x v="22"/>
            <x v="23"/>
            <x v="24"/>
            <x v="25"/>
            <x v="26"/>
          </reference>
        </references>
      </pivotArea>
    </format>
    <format dxfId="307">
      <pivotArea dataOnly="0" labelOnly="1" fieldPosition="0">
        <references count="3">
          <reference field="1" count="1" selected="0">
            <x v="5"/>
          </reference>
          <reference field="2" count="1" selected="0">
            <x v="9"/>
          </reference>
          <reference field="4" count="8">
            <x v="2"/>
            <x v="20"/>
            <x v="21"/>
            <x v="22"/>
            <x v="23"/>
            <x v="24"/>
            <x v="25"/>
            <x v="26"/>
          </reference>
        </references>
      </pivotArea>
    </format>
    <format dxfId="306">
      <pivotArea dataOnly="0" labelOnly="1" fieldPosition="0">
        <references count="3">
          <reference field="1" count="1" selected="0">
            <x v="5"/>
          </reference>
          <reference field="2" count="1" selected="0">
            <x v="10"/>
          </reference>
          <reference field="4" count="8">
            <x v="2"/>
            <x v="20"/>
            <x v="21"/>
            <x v="22"/>
            <x v="23"/>
            <x v="24"/>
            <x v="25"/>
            <x v="26"/>
          </reference>
        </references>
      </pivotArea>
    </format>
    <format dxfId="305">
      <pivotArea dataOnly="0" labelOnly="1" fieldPosition="0">
        <references count="3">
          <reference field="1" count="1" selected="0">
            <x v="5"/>
          </reference>
          <reference field="2" count="1" selected="0">
            <x v="17"/>
          </reference>
          <reference field="4" count="8">
            <x v="2"/>
            <x v="20"/>
            <x v="21"/>
            <x v="22"/>
            <x v="23"/>
            <x v="24"/>
            <x v="25"/>
            <x v="26"/>
          </reference>
        </references>
      </pivotArea>
    </format>
    <format dxfId="304">
      <pivotArea dataOnly="0" labelOnly="1" fieldPosition="0">
        <references count="3">
          <reference field="1" count="1" selected="0">
            <x v="5"/>
          </reference>
          <reference field="2" count="1" selected="0">
            <x v="26"/>
          </reference>
          <reference field="4" count="8">
            <x v="2"/>
            <x v="20"/>
            <x v="21"/>
            <x v="22"/>
            <x v="23"/>
            <x v="24"/>
            <x v="25"/>
            <x v="26"/>
          </reference>
        </references>
      </pivotArea>
    </format>
    <format dxfId="303">
      <pivotArea dataOnly="0" labelOnly="1" fieldPosition="0">
        <references count="3">
          <reference field="1" count="1" selected="0">
            <x v="6"/>
          </reference>
          <reference field="2" count="1" selected="0">
            <x v="0"/>
          </reference>
          <reference field="4" count="14">
            <x v="9"/>
            <x v="11"/>
            <x v="13"/>
            <x v="16"/>
            <x v="17"/>
            <x v="18"/>
            <x v="19"/>
            <x v="20"/>
            <x v="21"/>
            <x v="22"/>
            <x v="23"/>
            <x v="24"/>
            <x v="25"/>
            <x v="26"/>
          </reference>
        </references>
      </pivotArea>
    </format>
    <format dxfId="302">
      <pivotArea dataOnly="0" labelOnly="1" fieldPosition="0">
        <references count="3">
          <reference field="1" count="1" selected="0">
            <x v="6"/>
          </reference>
          <reference field="2" count="1" selected="0">
            <x v="21"/>
          </reference>
          <reference field="4" count="1">
            <x v="1"/>
          </reference>
        </references>
      </pivotArea>
    </format>
    <format dxfId="301">
      <pivotArea dataOnly="0" labelOnly="1" fieldPosition="0">
        <references count="3">
          <reference field="1" count="1" selected="0">
            <x v="6"/>
          </reference>
          <reference field="2" count="1" selected="0">
            <x v="28"/>
          </reference>
          <reference field="4" count="8">
            <x v="1"/>
            <x v="20"/>
            <x v="21"/>
            <x v="22"/>
            <x v="23"/>
            <x v="24"/>
            <x v="25"/>
            <x v="26"/>
          </reference>
        </references>
      </pivotArea>
    </format>
    <format dxfId="300">
      <pivotArea dataOnly="0" labelOnly="1" fieldPosition="0">
        <references count="3">
          <reference field="1" count="1" selected="0">
            <x v="7"/>
          </reference>
          <reference field="2" count="1" selected="0">
            <x v="4"/>
          </reference>
          <reference field="4" count="15">
            <x v="0"/>
            <x v="11"/>
            <x v="13"/>
            <x v="14"/>
            <x v="15"/>
            <x v="17"/>
            <x v="18"/>
            <x v="19"/>
            <x v="20"/>
            <x v="21"/>
            <x v="22"/>
            <x v="23"/>
            <x v="24"/>
            <x v="25"/>
            <x v="26"/>
          </reference>
        </references>
      </pivotArea>
    </format>
    <format dxfId="299">
      <pivotArea dataOnly="0" labelOnly="1" fieldPosition="0">
        <references count="3">
          <reference field="1" count="1" selected="0">
            <x v="7"/>
          </reference>
          <reference field="2" count="1" selected="0">
            <x v="22"/>
          </reference>
          <reference field="4" count="10">
            <x v="1"/>
            <x v="4"/>
            <x v="5"/>
            <x v="20"/>
            <x v="21"/>
            <x v="22"/>
            <x v="23"/>
            <x v="24"/>
            <x v="25"/>
            <x v="26"/>
          </reference>
        </references>
      </pivotArea>
    </format>
    <format dxfId="298">
      <pivotArea dataOnly="0" labelOnly="1" fieldPosition="0">
        <references count="3">
          <reference field="1" count="1" selected="0">
            <x v="8"/>
          </reference>
          <reference field="2" count="1" selected="0">
            <x v="7"/>
          </reference>
          <reference field="4" count="9">
            <x v="10"/>
            <x v="19"/>
            <x v="20"/>
            <x v="21"/>
            <x v="22"/>
            <x v="23"/>
            <x v="24"/>
            <x v="25"/>
            <x v="26"/>
          </reference>
        </references>
      </pivotArea>
    </format>
    <format dxfId="297">
      <pivotArea dataOnly="0" labelOnly="1" fieldPosition="0">
        <references count="3">
          <reference field="1" count="1" selected="0">
            <x v="8"/>
          </reference>
          <reference field="2" count="1" selected="0">
            <x v="11"/>
          </reference>
          <reference field="4" count="8">
            <x v="6"/>
            <x v="20"/>
            <x v="21"/>
            <x v="22"/>
            <x v="23"/>
            <x v="24"/>
            <x v="25"/>
            <x v="26"/>
          </reference>
        </references>
      </pivotArea>
    </format>
    <format dxfId="296">
      <pivotArea dataOnly="0" labelOnly="1" fieldPosition="0">
        <references count="3">
          <reference field="1" count="1" selected="0">
            <x v="8"/>
          </reference>
          <reference field="2" count="1" selected="0">
            <x v="12"/>
          </reference>
          <reference field="4" count="8">
            <x v="6"/>
            <x v="20"/>
            <x v="21"/>
            <x v="22"/>
            <x v="23"/>
            <x v="24"/>
            <x v="25"/>
            <x v="26"/>
          </reference>
        </references>
      </pivotArea>
    </format>
    <format dxfId="295">
      <pivotArea dataOnly="0" labelOnly="1" fieldPosition="0">
        <references count="3">
          <reference field="1" count="1" selected="0">
            <x v="8"/>
          </reference>
          <reference field="2" count="1" selected="0">
            <x v="13"/>
          </reference>
          <reference field="4" count="8">
            <x v="6"/>
            <x v="20"/>
            <x v="21"/>
            <x v="22"/>
            <x v="23"/>
            <x v="24"/>
            <x v="25"/>
            <x v="26"/>
          </reference>
        </references>
      </pivotArea>
    </format>
    <format dxfId="294">
      <pivotArea dataOnly="0" labelOnly="1" fieldPosition="0">
        <references count="3">
          <reference field="1" count="1" selected="0">
            <x v="8"/>
          </reference>
          <reference field="2" count="1" selected="0">
            <x v="14"/>
          </reference>
          <reference field="4" count="8">
            <x v="6"/>
            <x v="20"/>
            <x v="21"/>
            <x v="22"/>
            <x v="23"/>
            <x v="24"/>
            <x v="25"/>
            <x v="26"/>
          </reference>
        </references>
      </pivotArea>
    </format>
    <format dxfId="293">
      <pivotArea dataOnly="0" labelOnly="1" fieldPosition="0">
        <references count="3">
          <reference field="1" count="1" selected="0">
            <x v="8"/>
          </reference>
          <reference field="2" count="1" selected="0">
            <x v="15"/>
          </reference>
          <reference field="4" count="8">
            <x v="6"/>
            <x v="20"/>
            <x v="21"/>
            <x v="22"/>
            <x v="23"/>
            <x v="24"/>
            <x v="25"/>
            <x v="26"/>
          </reference>
        </references>
      </pivotArea>
    </format>
    <format dxfId="292">
      <pivotArea dataOnly="0" labelOnly="1" fieldPosition="0">
        <references count="3">
          <reference field="1" count="1" selected="0">
            <x v="8"/>
          </reference>
          <reference field="2" count="1" selected="0">
            <x v="16"/>
          </reference>
          <reference field="4" count="8">
            <x v="6"/>
            <x v="20"/>
            <x v="21"/>
            <x v="22"/>
            <x v="23"/>
            <x v="24"/>
            <x v="25"/>
            <x v="26"/>
          </reference>
        </references>
      </pivotArea>
    </format>
    <format dxfId="291">
      <pivotArea dataOnly="0" labelOnly="1" fieldPosition="0">
        <references count="3">
          <reference field="1" count="1" selected="0">
            <x v="9"/>
          </reference>
          <reference field="2" count="1" selected="0">
            <x v="30"/>
          </reference>
          <reference field="4" count="12">
            <x v="5"/>
            <x v="11"/>
            <x v="13"/>
            <x v="18"/>
            <x v="19"/>
            <x v="20"/>
            <x v="21"/>
            <x v="22"/>
            <x v="23"/>
            <x v="24"/>
            <x v="25"/>
            <x v="26"/>
          </reference>
        </references>
      </pivotArea>
    </format>
    <format dxfId="290">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1"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670" firstHeaderRow="0" firstDataRow="1" firstDataCol="1" rowPageCount="1" colPageCount="1"/>
  <pivotFields count="70">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dataField="1" numFmtId="165" showAll="0"/>
    <pivotField showAll="0"/>
    <pivotField showAll="0"/>
    <pivotField axis="axisRow" showAll="0">
      <items count="14">
        <item x="0"/>
        <item x="7"/>
        <item x="8"/>
        <item x="1"/>
        <item x="9"/>
        <item x="6"/>
        <item x="11"/>
        <item x="5"/>
        <item x="4"/>
        <item x="10"/>
        <item x="2"/>
        <item x="3"/>
        <item x="12"/>
        <item t="default"/>
      </items>
    </pivotField>
    <pivotField axis="axisPage" multipleItemSelectionAllowed="1" showAll="0">
      <items count="5">
        <item x="2"/>
        <item x="0"/>
        <item x="1"/>
        <item x="3"/>
        <item t="default"/>
      </items>
    </pivotField>
  </pivotFields>
  <rowFields count="4">
    <field x="1"/>
    <field x="2"/>
    <field x="68"/>
    <field x="4"/>
  </rowFields>
  <rowItems count="667">
    <i>
      <x/>
    </i>
    <i r="1">
      <x v="6"/>
    </i>
    <i r="2">
      <x/>
    </i>
    <i r="3">
      <x v="2"/>
    </i>
    <i r="3">
      <x v="9"/>
    </i>
    <i r="3">
      <x v="11"/>
    </i>
    <i r="3">
      <x v="13"/>
    </i>
    <i r="3">
      <x v="16"/>
    </i>
    <i r="3">
      <x v="18"/>
    </i>
    <i r="3">
      <x v="19"/>
    </i>
    <i r="3">
      <x v="20"/>
    </i>
    <i r="3">
      <x v="21"/>
    </i>
    <i r="3">
      <x v="22"/>
    </i>
    <i r="3">
      <x v="23"/>
    </i>
    <i r="3">
      <x v="24"/>
    </i>
    <i r="3">
      <x v="25"/>
    </i>
    <i r="3">
      <x v="26"/>
    </i>
    <i r="1">
      <x v="8"/>
    </i>
    <i r="2">
      <x/>
    </i>
    <i r="3">
      <x v="2"/>
    </i>
    <i r="3">
      <x v="9"/>
    </i>
    <i r="3">
      <x v="20"/>
    </i>
    <i r="3">
      <x v="21"/>
    </i>
    <i r="3">
      <x v="22"/>
    </i>
    <i r="3">
      <x v="23"/>
    </i>
    <i r="3">
      <x v="24"/>
    </i>
    <i r="3">
      <x v="25"/>
    </i>
    <i r="3">
      <x v="26"/>
    </i>
    <i r="1">
      <x v="23"/>
    </i>
    <i r="2">
      <x/>
    </i>
    <i r="3">
      <x v="2"/>
    </i>
    <i r="3">
      <x v="9"/>
    </i>
    <i r="3">
      <x v="20"/>
    </i>
    <i r="3">
      <x v="21"/>
    </i>
    <i r="3">
      <x v="22"/>
    </i>
    <i r="3">
      <x v="23"/>
    </i>
    <i r="3">
      <x v="24"/>
    </i>
    <i r="3">
      <x v="25"/>
    </i>
    <i r="3">
      <x v="26"/>
    </i>
    <i>
      <x v="1"/>
    </i>
    <i r="1">
      <x v="2"/>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5"/>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27"/>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x v="2"/>
    </i>
    <i r="1">
      <x v="1"/>
    </i>
    <i r="2">
      <x/>
    </i>
    <i r="3">
      <x v="9"/>
    </i>
    <i r="3">
      <x v="11"/>
    </i>
    <i r="3">
      <x v="13"/>
    </i>
    <i r="3">
      <x v="16"/>
    </i>
    <i r="3">
      <x v="17"/>
    </i>
    <i r="3">
      <x v="18"/>
    </i>
    <i r="3">
      <x v="19"/>
    </i>
    <i r="3">
      <x v="20"/>
    </i>
    <i r="3">
      <x v="21"/>
    </i>
    <i r="3">
      <x v="22"/>
    </i>
    <i r="3">
      <x v="23"/>
    </i>
    <i r="3">
      <x v="24"/>
    </i>
    <i r="3">
      <x v="25"/>
    </i>
    <i r="3">
      <x v="26"/>
    </i>
    <i r="1">
      <x v="29"/>
    </i>
    <i r="2">
      <x/>
    </i>
    <i r="3">
      <x v="1"/>
    </i>
    <i r="3">
      <x v="5"/>
    </i>
    <i r="3">
      <x v="12"/>
    </i>
    <i r="3">
      <x v="20"/>
    </i>
    <i r="3">
      <x v="21"/>
    </i>
    <i r="3">
      <x v="22"/>
    </i>
    <i r="3">
      <x v="23"/>
    </i>
    <i r="3">
      <x v="24"/>
    </i>
    <i r="3">
      <x v="25"/>
    </i>
    <i r="3">
      <x v="26"/>
    </i>
    <i>
      <x v="3"/>
    </i>
    <i r="1">
      <x v="24"/>
    </i>
    <i r="2">
      <x v="9"/>
    </i>
    <i r="3">
      <x v="7"/>
    </i>
    <i r="3">
      <x v="8"/>
    </i>
    <i r="3">
      <x v="13"/>
    </i>
    <i r="3">
      <x v="20"/>
    </i>
    <i r="3">
      <x v="21"/>
    </i>
    <i r="3">
      <x v="22"/>
    </i>
    <i r="3">
      <x v="23"/>
    </i>
    <i r="3">
      <x v="24"/>
    </i>
    <i r="3">
      <x v="25"/>
    </i>
    <i r="3">
      <x v="26"/>
    </i>
    <i r="1">
      <x v="25"/>
    </i>
    <i r="2">
      <x v="9"/>
    </i>
    <i r="3">
      <x v="9"/>
    </i>
    <i r="3">
      <x v="20"/>
    </i>
    <i r="3">
      <x v="21"/>
    </i>
    <i r="3">
      <x v="22"/>
    </i>
    <i r="3">
      <x v="23"/>
    </i>
    <i r="3">
      <x v="24"/>
    </i>
    <i r="3">
      <x v="25"/>
    </i>
    <i r="3">
      <x v="26"/>
    </i>
    <i>
      <x v="4"/>
    </i>
    <i r="1">
      <x v="3"/>
    </i>
    <i r="2">
      <x v="1"/>
    </i>
    <i r="3">
      <x v="7"/>
    </i>
    <i r="3">
      <x v="8"/>
    </i>
    <i r="3">
      <x v="13"/>
    </i>
    <i r="3">
      <x v="20"/>
    </i>
    <i r="3">
      <x v="21"/>
    </i>
    <i r="3">
      <x v="22"/>
    </i>
    <i r="3">
      <x v="23"/>
    </i>
    <i r="3">
      <x v="24"/>
    </i>
    <i r="3">
      <x v="25"/>
    </i>
    <i r="3">
      <x v="26"/>
    </i>
    <i r="2">
      <x v="2"/>
    </i>
    <i r="3">
      <x v="7"/>
    </i>
    <i r="3">
      <x v="13"/>
    </i>
    <i r="3">
      <x v="20"/>
    </i>
    <i r="3">
      <x v="21"/>
    </i>
    <i r="3">
      <x v="22"/>
    </i>
    <i r="3">
      <x v="23"/>
    </i>
    <i r="3">
      <x v="24"/>
    </i>
    <i r="3">
      <x v="25"/>
    </i>
    <i r="3">
      <x v="26"/>
    </i>
    <i r="2">
      <x v="3"/>
    </i>
    <i r="3">
      <x v="7"/>
    </i>
    <i r="3">
      <x v="13"/>
    </i>
    <i r="3">
      <x v="20"/>
    </i>
    <i r="3">
      <x v="21"/>
    </i>
    <i r="3">
      <x v="22"/>
    </i>
    <i r="3">
      <x v="23"/>
    </i>
    <i r="3">
      <x v="24"/>
    </i>
    <i r="3">
      <x v="25"/>
    </i>
    <i r="3">
      <x v="26"/>
    </i>
    <i r="2">
      <x v="5"/>
    </i>
    <i r="3">
      <x v="7"/>
    </i>
    <i r="3">
      <x v="8"/>
    </i>
    <i r="3">
      <x v="13"/>
    </i>
    <i r="3">
      <x v="20"/>
    </i>
    <i r="3">
      <x v="21"/>
    </i>
    <i r="3">
      <x v="22"/>
    </i>
    <i r="3">
      <x v="23"/>
    </i>
    <i r="3">
      <x v="24"/>
    </i>
    <i r="3">
      <x v="25"/>
    </i>
    <i r="3">
      <x v="26"/>
    </i>
    <i r="2">
      <x v="7"/>
    </i>
    <i r="3">
      <x v="7"/>
    </i>
    <i r="3">
      <x v="8"/>
    </i>
    <i r="3">
      <x v="13"/>
    </i>
    <i r="3">
      <x v="20"/>
    </i>
    <i r="3">
      <x v="21"/>
    </i>
    <i r="3">
      <x v="22"/>
    </i>
    <i r="3">
      <x v="23"/>
    </i>
    <i r="3">
      <x v="24"/>
    </i>
    <i r="3">
      <x v="25"/>
    </i>
    <i r="3">
      <x v="26"/>
    </i>
    <i r="2">
      <x v="8"/>
    </i>
    <i r="3">
      <x v="7"/>
    </i>
    <i r="3">
      <x v="8"/>
    </i>
    <i r="3">
      <x v="13"/>
    </i>
    <i r="3">
      <x v="20"/>
    </i>
    <i r="3">
      <x v="21"/>
    </i>
    <i r="3">
      <x v="22"/>
    </i>
    <i r="3">
      <x v="23"/>
    </i>
    <i r="3">
      <x v="24"/>
    </i>
    <i r="3">
      <x v="25"/>
    </i>
    <i r="3">
      <x v="26"/>
    </i>
    <i r="2">
      <x v="10"/>
    </i>
    <i r="3">
      <x v="7"/>
    </i>
    <i r="3">
      <x v="8"/>
    </i>
    <i r="3">
      <x v="13"/>
    </i>
    <i r="3">
      <x v="20"/>
    </i>
    <i r="3">
      <x v="21"/>
    </i>
    <i r="3">
      <x v="22"/>
    </i>
    <i r="3">
      <x v="23"/>
    </i>
    <i r="3">
      <x v="24"/>
    </i>
    <i r="3">
      <x v="25"/>
    </i>
    <i r="3">
      <x v="26"/>
    </i>
    <i r="2">
      <x v="11"/>
    </i>
    <i r="3">
      <x v="7"/>
    </i>
    <i r="3">
      <x v="8"/>
    </i>
    <i r="3">
      <x v="13"/>
    </i>
    <i r="3">
      <x v="20"/>
    </i>
    <i r="3">
      <x v="21"/>
    </i>
    <i r="3">
      <x v="22"/>
    </i>
    <i r="3">
      <x v="23"/>
    </i>
    <i r="3">
      <x v="24"/>
    </i>
    <i r="3">
      <x v="25"/>
    </i>
    <i r="3">
      <x v="26"/>
    </i>
    <i r="1">
      <x v="18"/>
    </i>
    <i r="2">
      <x v="4"/>
    </i>
    <i r="3">
      <x v="7"/>
    </i>
    <i r="3">
      <x v="8"/>
    </i>
    <i r="3">
      <x v="13"/>
    </i>
    <i r="3">
      <x v="20"/>
    </i>
    <i r="3">
      <x v="21"/>
    </i>
    <i r="3">
      <x v="22"/>
    </i>
    <i r="3">
      <x v="23"/>
    </i>
    <i r="3">
      <x v="24"/>
    </i>
    <i r="3">
      <x v="25"/>
    </i>
    <i r="3">
      <x v="26"/>
    </i>
    <i r="1">
      <x v="19"/>
    </i>
    <i r="2">
      <x v="8"/>
    </i>
    <i r="3">
      <x v="12"/>
    </i>
    <i r="1">
      <x v="20"/>
    </i>
    <i r="2">
      <x v="8"/>
    </i>
    <i r="3">
      <x v="3"/>
    </i>
    <i r="3">
      <x v="20"/>
    </i>
    <i r="3">
      <x v="21"/>
    </i>
    <i r="3">
      <x v="22"/>
    </i>
    <i r="3">
      <x v="23"/>
    </i>
    <i r="3">
      <x v="24"/>
    </i>
    <i r="3">
      <x v="25"/>
    </i>
    <i r="3">
      <x v="26"/>
    </i>
    <i>
      <x v="5"/>
    </i>
    <i r="1">
      <x v="9"/>
    </i>
    <i r="2">
      <x/>
    </i>
    <i r="3">
      <x v="2"/>
    </i>
    <i r="3">
      <x v="20"/>
    </i>
    <i r="3">
      <x v="21"/>
    </i>
    <i r="3">
      <x v="22"/>
    </i>
    <i r="3">
      <x v="23"/>
    </i>
    <i r="3">
      <x v="24"/>
    </i>
    <i r="3">
      <x v="25"/>
    </i>
    <i r="3">
      <x v="26"/>
    </i>
    <i r="1">
      <x v="10"/>
    </i>
    <i r="2">
      <x/>
    </i>
    <i r="3">
      <x v="2"/>
    </i>
    <i r="3">
      <x v="20"/>
    </i>
    <i r="3">
      <x v="21"/>
    </i>
    <i r="3">
      <x v="22"/>
    </i>
    <i r="3">
      <x v="23"/>
    </i>
    <i r="3">
      <x v="24"/>
    </i>
    <i r="3">
      <x v="25"/>
    </i>
    <i r="3">
      <x v="26"/>
    </i>
    <i r="1">
      <x v="17"/>
    </i>
    <i r="2">
      <x/>
    </i>
    <i r="3">
      <x v="2"/>
    </i>
    <i r="3">
      <x v="20"/>
    </i>
    <i r="3">
      <x v="21"/>
    </i>
    <i r="3">
      <x v="22"/>
    </i>
    <i r="3">
      <x v="23"/>
    </i>
    <i r="3">
      <x v="24"/>
    </i>
    <i r="3">
      <x v="25"/>
    </i>
    <i r="3">
      <x v="26"/>
    </i>
    <i r="1">
      <x v="26"/>
    </i>
    <i r="2">
      <x/>
    </i>
    <i r="3">
      <x v="2"/>
    </i>
    <i r="3">
      <x v="20"/>
    </i>
    <i r="3">
      <x v="21"/>
    </i>
    <i r="3">
      <x v="22"/>
    </i>
    <i r="3">
      <x v="23"/>
    </i>
    <i r="3">
      <x v="24"/>
    </i>
    <i r="3">
      <x v="25"/>
    </i>
    <i r="3">
      <x v="26"/>
    </i>
    <i>
      <x v="6"/>
    </i>
    <i r="1">
      <x/>
    </i>
    <i r="2">
      <x/>
    </i>
    <i r="3">
      <x v="9"/>
    </i>
    <i r="3">
      <x v="11"/>
    </i>
    <i r="3">
      <x v="13"/>
    </i>
    <i r="3">
      <x v="16"/>
    </i>
    <i r="3">
      <x v="17"/>
    </i>
    <i r="3">
      <x v="18"/>
    </i>
    <i r="3">
      <x v="19"/>
    </i>
    <i r="3">
      <x v="20"/>
    </i>
    <i r="3">
      <x v="21"/>
    </i>
    <i r="3">
      <x v="22"/>
    </i>
    <i r="3">
      <x v="23"/>
    </i>
    <i r="3">
      <x v="24"/>
    </i>
    <i r="3">
      <x v="25"/>
    </i>
    <i r="3">
      <x v="26"/>
    </i>
    <i r="1">
      <x v="21"/>
    </i>
    <i r="2">
      <x/>
    </i>
    <i r="3">
      <x v="1"/>
    </i>
    <i r="1">
      <x v="28"/>
    </i>
    <i r="2">
      <x/>
    </i>
    <i r="3">
      <x v="1"/>
    </i>
    <i r="3">
      <x v="20"/>
    </i>
    <i r="3">
      <x v="21"/>
    </i>
    <i r="3">
      <x v="22"/>
    </i>
    <i r="3">
      <x v="23"/>
    </i>
    <i r="3">
      <x v="24"/>
    </i>
    <i r="3">
      <x v="25"/>
    </i>
    <i r="3">
      <x v="26"/>
    </i>
    <i>
      <x v="7"/>
    </i>
    <i r="1">
      <x v="4"/>
    </i>
    <i r="2">
      <x/>
    </i>
    <i r="3">
      <x/>
    </i>
    <i r="3">
      <x v="11"/>
    </i>
    <i r="3">
      <x v="13"/>
    </i>
    <i r="3">
      <x v="14"/>
    </i>
    <i r="3">
      <x v="15"/>
    </i>
    <i r="3">
      <x v="17"/>
    </i>
    <i r="3">
      <x v="18"/>
    </i>
    <i r="3">
      <x v="19"/>
    </i>
    <i r="3">
      <x v="20"/>
    </i>
    <i r="3">
      <x v="21"/>
    </i>
    <i r="3">
      <x v="22"/>
    </i>
    <i r="3">
      <x v="23"/>
    </i>
    <i r="3">
      <x v="24"/>
    </i>
    <i r="3">
      <x v="25"/>
    </i>
    <i r="3">
      <x v="26"/>
    </i>
    <i r="1">
      <x v="22"/>
    </i>
    <i r="2">
      <x/>
    </i>
    <i r="3">
      <x v="1"/>
    </i>
    <i r="3">
      <x v="4"/>
    </i>
    <i r="3">
      <x v="5"/>
    </i>
    <i r="3">
      <x v="20"/>
    </i>
    <i r="3">
      <x v="21"/>
    </i>
    <i r="3">
      <x v="22"/>
    </i>
    <i r="3">
      <x v="23"/>
    </i>
    <i r="3">
      <x v="24"/>
    </i>
    <i r="3">
      <x v="25"/>
    </i>
    <i r="3">
      <x v="26"/>
    </i>
    <i>
      <x v="8"/>
    </i>
    <i r="1">
      <x v="7"/>
    </i>
    <i r="2">
      <x/>
    </i>
    <i r="3">
      <x v="10"/>
    </i>
    <i r="3">
      <x v="19"/>
    </i>
    <i r="3">
      <x v="20"/>
    </i>
    <i r="3">
      <x v="21"/>
    </i>
    <i r="3">
      <x v="22"/>
    </i>
    <i r="3">
      <x v="23"/>
    </i>
    <i r="3">
      <x v="24"/>
    </i>
    <i r="3">
      <x v="25"/>
    </i>
    <i r="3">
      <x v="26"/>
    </i>
    <i r="1">
      <x v="11"/>
    </i>
    <i r="2">
      <x/>
    </i>
    <i r="3">
      <x v="6"/>
    </i>
    <i r="3">
      <x v="20"/>
    </i>
    <i r="3">
      <x v="21"/>
    </i>
    <i r="3">
      <x v="22"/>
    </i>
    <i r="3">
      <x v="23"/>
    </i>
    <i r="3">
      <x v="24"/>
    </i>
    <i r="3">
      <x v="25"/>
    </i>
    <i r="3">
      <x v="26"/>
    </i>
    <i r="1">
      <x v="12"/>
    </i>
    <i r="2">
      <x/>
    </i>
    <i r="3">
      <x v="6"/>
    </i>
    <i r="3">
      <x v="20"/>
    </i>
    <i r="3">
      <x v="21"/>
    </i>
    <i r="3">
      <x v="22"/>
    </i>
    <i r="3">
      <x v="23"/>
    </i>
    <i r="3">
      <x v="24"/>
    </i>
    <i r="3">
      <x v="25"/>
    </i>
    <i r="3">
      <x v="26"/>
    </i>
    <i r="1">
      <x v="13"/>
    </i>
    <i r="2">
      <x/>
    </i>
    <i r="3">
      <x v="6"/>
    </i>
    <i r="3">
      <x v="20"/>
    </i>
    <i r="3">
      <x v="21"/>
    </i>
    <i r="3">
      <x v="22"/>
    </i>
    <i r="3">
      <x v="23"/>
    </i>
    <i r="3">
      <x v="24"/>
    </i>
    <i r="3">
      <x v="25"/>
    </i>
    <i r="3">
      <x v="26"/>
    </i>
    <i r="1">
      <x v="14"/>
    </i>
    <i r="2">
      <x/>
    </i>
    <i r="3">
      <x v="6"/>
    </i>
    <i r="3">
      <x v="20"/>
    </i>
    <i r="3">
      <x v="21"/>
    </i>
    <i r="3">
      <x v="22"/>
    </i>
    <i r="3">
      <x v="23"/>
    </i>
    <i r="3">
      <x v="24"/>
    </i>
    <i r="3">
      <x v="25"/>
    </i>
    <i r="3">
      <x v="26"/>
    </i>
    <i r="1">
      <x v="15"/>
    </i>
    <i r="2">
      <x/>
    </i>
    <i r="3">
      <x v="6"/>
    </i>
    <i r="3">
      <x v="20"/>
    </i>
    <i r="3">
      <x v="21"/>
    </i>
    <i r="3">
      <x v="22"/>
    </i>
    <i r="3">
      <x v="23"/>
    </i>
    <i r="3">
      <x v="24"/>
    </i>
    <i r="3">
      <x v="25"/>
    </i>
    <i r="3">
      <x v="26"/>
    </i>
    <i r="1">
      <x v="16"/>
    </i>
    <i r="2">
      <x/>
    </i>
    <i r="3">
      <x v="6"/>
    </i>
    <i r="3">
      <x v="20"/>
    </i>
    <i r="3">
      <x v="21"/>
    </i>
    <i r="3">
      <x v="22"/>
    </i>
    <i r="3">
      <x v="23"/>
    </i>
    <i r="3">
      <x v="24"/>
    </i>
    <i r="3">
      <x v="25"/>
    </i>
    <i r="3">
      <x v="26"/>
    </i>
    <i>
      <x v="9"/>
    </i>
    <i r="1">
      <x v="30"/>
    </i>
    <i r="2">
      <x/>
    </i>
    <i r="3">
      <x v="5"/>
    </i>
    <i r="3">
      <x v="11"/>
    </i>
    <i r="3">
      <x v="13"/>
    </i>
    <i r="3">
      <x v="19"/>
    </i>
    <i r="3">
      <x v="20"/>
    </i>
    <i r="3">
      <x v="21"/>
    </i>
    <i r="3">
      <x v="22"/>
    </i>
    <i r="3">
      <x v="23"/>
    </i>
    <i r="3">
      <x v="24"/>
    </i>
    <i r="3">
      <x v="25"/>
    </i>
    <i r="3">
      <x v="26"/>
    </i>
    <i r="2">
      <x v="12"/>
    </i>
    <i r="3">
      <x v="18"/>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numFmtId="165"/>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69">
    <format dxfId="289">
      <pivotArea outline="0" collapsedLevelsAreSubtotals="1" fieldPosition="0">
        <references count="1">
          <reference field="4294967294" count="4" selected="0">
            <x v="4"/>
            <x v="9"/>
            <x v="14"/>
            <x v="15"/>
          </reference>
        </references>
      </pivotArea>
    </format>
    <format dxfId="288">
      <pivotArea outline="0" fieldPosition="0">
        <references count="1">
          <reference field="4294967294" count="1">
            <x v="0"/>
          </reference>
        </references>
      </pivotArea>
    </format>
    <format dxfId="287">
      <pivotArea outline="0" collapsedLevelsAreSubtotals="1" fieldPosition="0"/>
    </format>
    <format dxfId="286">
      <pivotArea type="all" dataOnly="0" outline="0" fieldPosition="0"/>
    </format>
    <format dxfId="285">
      <pivotArea outline="0" collapsedLevelsAreSubtotals="1" fieldPosition="0"/>
    </format>
    <format dxfId="284">
      <pivotArea field="1" type="button" dataOnly="0" labelOnly="1" outline="0" axis="axisRow" fieldPosition="0"/>
    </format>
    <format dxfId="283">
      <pivotArea dataOnly="0" labelOnly="1" fieldPosition="0">
        <references count="1">
          <reference field="1" count="4">
            <x v="1"/>
            <x v="3"/>
            <x v="4"/>
            <x v="7"/>
          </reference>
        </references>
      </pivotArea>
    </format>
    <format dxfId="282">
      <pivotArea dataOnly="0" labelOnly="1" grandRow="1" outline="0" fieldPosition="0"/>
    </format>
    <format dxfId="281">
      <pivotArea dataOnly="0" labelOnly="1" fieldPosition="0">
        <references count="2">
          <reference field="1" count="1" selected="0">
            <x v="1"/>
          </reference>
          <reference field="2" count="3">
            <x v="2"/>
            <x v="5"/>
            <x v="27"/>
          </reference>
        </references>
      </pivotArea>
    </format>
    <format dxfId="280">
      <pivotArea dataOnly="0" labelOnly="1" fieldPosition="0">
        <references count="2">
          <reference field="1" count="1" selected="0">
            <x v="3"/>
          </reference>
          <reference field="2" count="2">
            <x v="24"/>
            <x v="25"/>
          </reference>
        </references>
      </pivotArea>
    </format>
    <format dxfId="279">
      <pivotArea dataOnly="0" labelOnly="1" fieldPosition="0">
        <references count="2">
          <reference field="1" count="1" selected="0">
            <x v="4"/>
          </reference>
          <reference field="2" count="4">
            <x v="3"/>
            <x v="18"/>
            <x v="19"/>
            <x v="20"/>
          </reference>
        </references>
      </pivotArea>
    </format>
    <format dxfId="278">
      <pivotArea dataOnly="0" labelOnly="1" fieldPosition="0">
        <references count="2">
          <reference field="1" count="1" selected="0">
            <x v="7"/>
          </reference>
          <reference field="2" count="2">
            <x v="4"/>
            <x v="22"/>
          </reference>
        </references>
      </pivotArea>
    </format>
    <format dxfId="277">
      <pivotArea dataOnly="0" labelOnly="1" fieldPosition="0">
        <references count="3">
          <reference field="1" count="1" selected="0">
            <x v="1"/>
          </reference>
          <reference field="2" count="1" selected="0">
            <x v="2"/>
          </reference>
          <reference field="68" count="10">
            <x v="1"/>
            <x v="2"/>
            <x v="3"/>
            <x v="4"/>
            <x v="5"/>
            <x v="6"/>
            <x v="7"/>
            <x v="8"/>
            <x v="10"/>
            <x v="11"/>
          </reference>
        </references>
      </pivotArea>
    </format>
    <format dxfId="276">
      <pivotArea dataOnly="0" labelOnly="1" fieldPosition="0">
        <references count="3">
          <reference field="1" count="1" selected="0">
            <x v="1"/>
          </reference>
          <reference field="2" count="1" selected="0">
            <x v="5"/>
          </reference>
          <reference field="68" count="10">
            <x v="1"/>
            <x v="2"/>
            <x v="3"/>
            <x v="4"/>
            <x v="5"/>
            <x v="6"/>
            <x v="7"/>
            <x v="8"/>
            <x v="10"/>
            <x v="11"/>
          </reference>
        </references>
      </pivotArea>
    </format>
    <format dxfId="275">
      <pivotArea dataOnly="0" labelOnly="1" fieldPosition="0">
        <references count="3">
          <reference field="1" count="1" selected="0">
            <x v="1"/>
          </reference>
          <reference field="2" count="1" selected="0">
            <x v="27"/>
          </reference>
          <reference field="68" count="10">
            <x v="1"/>
            <x v="2"/>
            <x v="3"/>
            <x v="4"/>
            <x v="5"/>
            <x v="6"/>
            <x v="7"/>
            <x v="8"/>
            <x v="10"/>
            <x v="11"/>
          </reference>
        </references>
      </pivotArea>
    </format>
    <format dxfId="274">
      <pivotArea dataOnly="0" labelOnly="1" fieldPosition="0">
        <references count="3">
          <reference field="1" count="1" selected="0">
            <x v="3"/>
          </reference>
          <reference field="2" count="1" selected="0">
            <x v="24"/>
          </reference>
          <reference field="68" count="1">
            <x v="9"/>
          </reference>
        </references>
      </pivotArea>
    </format>
    <format dxfId="273">
      <pivotArea dataOnly="0" labelOnly="1" fieldPosition="0">
        <references count="3">
          <reference field="1" count="1" selected="0">
            <x v="3"/>
          </reference>
          <reference field="2" count="1" selected="0">
            <x v="25"/>
          </reference>
          <reference field="68" count="1">
            <x v="9"/>
          </reference>
        </references>
      </pivotArea>
    </format>
    <format dxfId="272">
      <pivotArea dataOnly="0" labelOnly="1" fieldPosition="0">
        <references count="3">
          <reference field="1" count="1" selected="0">
            <x v="4"/>
          </reference>
          <reference field="2" count="1" selected="0">
            <x v="3"/>
          </reference>
          <reference field="68" count="8">
            <x v="1"/>
            <x v="2"/>
            <x v="3"/>
            <x v="5"/>
            <x v="7"/>
            <x v="8"/>
            <x v="10"/>
            <x v="11"/>
          </reference>
        </references>
      </pivotArea>
    </format>
    <format dxfId="271">
      <pivotArea dataOnly="0" labelOnly="1" fieldPosition="0">
        <references count="3">
          <reference field="1" count="1" selected="0">
            <x v="4"/>
          </reference>
          <reference field="2" count="1" selected="0">
            <x v="18"/>
          </reference>
          <reference field="68" count="1">
            <x v="4"/>
          </reference>
        </references>
      </pivotArea>
    </format>
    <format dxfId="270">
      <pivotArea dataOnly="0" labelOnly="1" fieldPosition="0">
        <references count="3">
          <reference field="1" count="1" selected="0">
            <x v="4"/>
          </reference>
          <reference field="2" count="1" selected="0">
            <x v="19"/>
          </reference>
          <reference field="68" count="1">
            <x v="8"/>
          </reference>
        </references>
      </pivotArea>
    </format>
    <format dxfId="269">
      <pivotArea dataOnly="0" labelOnly="1" fieldPosition="0">
        <references count="3">
          <reference field="1" count="1" selected="0">
            <x v="4"/>
          </reference>
          <reference field="2" count="1" selected="0">
            <x v="20"/>
          </reference>
          <reference field="68" count="1">
            <x v="8"/>
          </reference>
        </references>
      </pivotArea>
    </format>
    <format dxfId="268">
      <pivotArea dataOnly="0" labelOnly="1" fieldPosition="0">
        <references count="3">
          <reference field="1" count="1" selected="0">
            <x v="7"/>
          </reference>
          <reference field="2" count="1" selected="0">
            <x v="4"/>
          </reference>
          <reference field="68" count="1">
            <x v="0"/>
          </reference>
        </references>
      </pivotArea>
    </format>
    <format dxfId="267">
      <pivotArea dataOnly="0" labelOnly="1" fieldPosition="0">
        <references count="3">
          <reference field="1" count="1" selected="0">
            <x v="7"/>
          </reference>
          <reference field="2" count="1" selected="0">
            <x v="22"/>
          </reference>
          <reference field="68" count="1">
            <x v="0"/>
          </reference>
        </references>
      </pivotArea>
    </format>
    <format dxfId="266">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
          </reference>
        </references>
      </pivotArea>
    </format>
    <format dxfId="265">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2"/>
          </reference>
        </references>
      </pivotArea>
    </format>
    <format dxfId="264">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3"/>
          </reference>
        </references>
      </pivotArea>
    </format>
    <format dxfId="263">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4"/>
          </reference>
        </references>
      </pivotArea>
    </format>
    <format dxfId="262">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5"/>
          </reference>
        </references>
      </pivotArea>
    </format>
    <format dxfId="261">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6"/>
          </reference>
        </references>
      </pivotArea>
    </format>
    <format dxfId="260">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7"/>
          </reference>
        </references>
      </pivotArea>
    </format>
    <format dxfId="259">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8"/>
          </reference>
        </references>
      </pivotArea>
    </format>
    <format dxfId="258">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0"/>
          </reference>
        </references>
      </pivotArea>
    </format>
    <format dxfId="257">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1"/>
          </reference>
        </references>
      </pivotArea>
    </format>
    <format dxfId="256">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
          </reference>
        </references>
      </pivotArea>
    </format>
    <format dxfId="255">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2"/>
          </reference>
        </references>
      </pivotArea>
    </format>
    <format dxfId="254">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3"/>
          </reference>
        </references>
      </pivotArea>
    </format>
    <format dxfId="253">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4"/>
          </reference>
        </references>
      </pivotArea>
    </format>
    <format dxfId="252">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5"/>
          </reference>
        </references>
      </pivotArea>
    </format>
    <format dxfId="251">
      <pivotArea dataOnly="0" labelOnly="1" fieldPosition="0">
        <references count="4">
          <reference field="1" count="1" selected="0">
            <x v="1"/>
          </reference>
          <reference field="2" count="1" selected="0">
            <x v="5"/>
          </reference>
          <reference field="4" count="7">
            <x v="20"/>
            <x v="21"/>
            <x v="22"/>
            <x v="23"/>
            <x v="24"/>
            <x v="25"/>
            <x v="26"/>
          </reference>
          <reference field="68" count="1" selected="0">
            <x v="6"/>
          </reference>
        </references>
      </pivotArea>
    </format>
    <format dxfId="250">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7"/>
          </reference>
        </references>
      </pivotArea>
    </format>
    <format dxfId="249">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8"/>
          </reference>
        </references>
      </pivotArea>
    </format>
    <format dxfId="248">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0"/>
          </reference>
        </references>
      </pivotArea>
    </format>
    <format dxfId="247">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1"/>
          </reference>
        </references>
      </pivotArea>
    </format>
    <format dxfId="246">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
          </reference>
        </references>
      </pivotArea>
    </format>
    <format dxfId="245">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2"/>
          </reference>
        </references>
      </pivotArea>
    </format>
    <format dxfId="244">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3"/>
          </reference>
        </references>
      </pivotArea>
    </format>
    <format dxfId="243">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4"/>
          </reference>
        </references>
      </pivotArea>
    </format>
    <format dxfId="242">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5"/>
          </reference>
        </references>
      </pivotArea>
    </format>
    <format dxfId="241">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6"/>
          </reference>
        </references>
      </pivotArea>
    </format>
    <format dxfId="240">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7"/>
          </reference>
        </references>
      </pivotArea>
    </format>
    <format dxfId="239">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8"/>
          </reference>
        </references>
      </pivotArea>
    </format>
    <format dxfId="238">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0"/>
          </reference>
        </references>
      </pivotArea>
    </format>
    <format dxfId="237">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1"/>
          </reference>
        </references>
      </pivotArea>
    </format>
    <format dxfId="236">
      <pivotArea dataOnly="0" labelOnly="1" fieldPosition="0">
        <references count="4">
          <reference field="1" count="1" selected="0">
            <x v="3"/>
          </reference>
          <reference field="2" count="1" selected="0">
            <x v="24"/>
          </reference>
          <reference field="4" count="10">
            <x v="7"/>
            <x v="8"/>
            <x v="13"/>
            <x v="20"/>
            <x v="21"/>
            <x v="22"/>
            <x v="23"/>
            <x v="24"/>
            <x v="25"/>
            <x v="26"/>
          </reference>
          <reference field="68" count="1" selected="0">
            <x v="9"/>
          </reference>
        </references>
      </pivotArea>
    </format>
    <format dxfId="235">
      <pivotArea dataOnly="0" labelOnly="1" fieldPosition="0">
        <references count="4">
          <reference field="1" count="1" selected="0">
            <x v="3"/>
          </reference>
          <reference field="2" count="1" selected="0">
            <x v="25"/>
          </reference>
          <reference field="4" count="8">
            <x v="9"/>
            <x v="20"/>
            <x v="21"/>
            <x v="22"/>
            <x v="23"/>
            <x v="24"/>
            <x v="25"/>
            <x v="26"/>
          </reference>
          <reference field="68" count="1" selected="0">
            <x v="9"/>
          </reference>
        </references>
      </pivotArea>
    </format>
    <format dxfId="234">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
          </reference>
        </references>
      </pivotArea>
    </format>
    <format dxfId="233">
      <pivotArea dataOnly="0" labelOnly="1" fieldPosition="0">
        <references count="4">
          <reference field="1" count="1" selected="0">
            <x v="4"/>
          </reference>
          <reference field="2" count="1" selected="0">
            <x v="3"/>
          </reference>
          <reference field="4" count="9">
            <x v="7"/>
            <x v="13"/>
            <x v="20"/>
            <x v="21"/>
            <x v="22"/>
            <x v="23"/>
            <x v="24"/>
            <x v="25"/>
            <x v="26"/>
          </reference>
          <reference field="68" count="1" selected="0">
            <x v="2"/>
          </reference>
        </references>
      </pivotArea>
    </format>
    <format dxfId="232">
      <pivotArea dataOnly="0" labelOnly="1" fieldPosition="0">
        <references count="4">
          <reference field="1" count="1" selected="0">
            <x v="4"/>
          </reference>
          <reference field="2" count="1" selected="0">
            <x v="3"/>
          </reference>
          <reference field="4" count="9">
            <x v="7"/>
            <x v="13"/>
            <x v="20"/>
            <x v="21"/>
            <x v="22"/>
            <x v="23"/>
            <x v="24"/>
            <x v="25"/>
            <x v="26"/>
          </reference>
          <reference field="68" count="1" selected="0">
            <x v="3"/>
          </reference>
        </references>
      </pivotArea>
    </format>
    <format dxfId="231">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5"/>
          </reference>
        </references>
      </pivotArea>
    </format>
    <format dxfId="230">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7"/>
          </reference>
        </references>
      </pivotArea>
    </format>
    <format dxfId="229">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8"/>
          </reference>
        </references>
      </pivotArea>
    </format>
    <format dxfId="228">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0"/>
          </reference>
        </references>
      </pivotArea>
    </format>
    <format dxfId="227">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1"/>
          </reference>
        </references>
      </pivotArea>
    </format>
    <format dxfId="226">
      <pivotArea dataOnly="0" labelOnly="1" fieldPosition="0">
        <references count="4">
          <reference field="1" count="1" selected="0">
            <x v="4"/>
          </reference>
          <reference field="2" count="1" selected="0">
            <x v="18"/>
          </reference>
          <reference field="4" count="10">
            <x v="7"/>
            <x v="8"/>
            <x v="13"/>
            <x v="20"/>
            <x v="21"/>
            <x v="22"/>
            <x v="23"/>
            <x v="24"/>
            <x v="25"/>
            <x v="26"/>
          </reference>
          <reference field="68" count="1" selected="0">
            <x v="4"/>
          </reference>
        </references>
      </pivotArea>
    </format>
    <format dxfId="225">
      <pivotArea dataOnly="0" labelOnly="1" fieldPosition="0">
        <references count="4">
          <reference field="1" count="1" selected="0">
            <x v="4"/>
          </reference>
          <reference field="2" count="1" selected="0">
            <x v="19"/>
          </reference>
          <reference field="4" count="1">
            <x v="12"/>
          </reference>
          <reference field="68" count="1" selected="0">
            <x v="8"/>
          </reference>
        </references>
      </pivotArea>
    </format>
    <format dxfId="224">
      <pivotArea dataOnly="0" labelOnly="1" fieldPosition="0">
        <references count="4">
          <reference field="1" count="1" selected="0">
            <x v="4"/>
          </reference>
          <reference field="2" count="1" selected="0">
            <x v="20"/>
          </reference>
          <reference field="4" count="8">
            <x v="3"/>
            <x v="20"/>
            <x v="21"/>
            <x v="22"/>
            <x v="23"/>
            <x v="24"/>
            <x v="25"/>
            <x v="26"/>
          </reference>
          <reference field="68" count="1" selected="0">
            <x v="8"/>
          </reference>
        </references>
      </pivotArea>
    </format>
    <format dxfId="223">
      <pivotArea dataOnly="0" labelOnly="1" fieldPosition="0">
        <references count="4">
          <reference field="1" count="1" selected="0">
            <x v="7"/>
          </reference>
          <reference field="2" count="1" selected="0">
            <x v="4"/>
          </reference>
          <reference field="4" count="15">
            <x v="0"/>
            <x v="11"/>
            <x v="13"/>
            <x v="14"/>
            <x v="15"/>
            <x v="17"/>
            <x v="18"/>
            <x v="19"/>
            <x v="20"/>
            <x v="21"/>
            <x v="22"/>
            <x v="23"/>
            <x v="24"/>
            <x v="25"/>
            <x v="26"/>
          </reference>
          <reference field="68" count="1" selected="0">
            <x v="0"/>
          </reference>
        </references>
      </pivotArea>
    </format>
    <format dxfId="222">
      <pivotArea dataOnly="0" labelOnly="1" fieldPosition="0">
        <references count="4">
          <reference field="1" count="1" selected="0">
            <x v="7"/>
          </reference>
          <reference field="2" count="1" selected="0">
            <x v="22"/>
          </reference>
          <reference field="4" count="10">
            <x v="1"/>
            <x v="4"/>
            <x v="5"/>
            <x v="20"/>
            <x v="21"/>
            <x v="22"/>
            <x v="23"/>
            <x v="24"/>
            <x v="25"/>
            <x v="26"/>
          </reference>
          <reference field="68" count="1" selected="0">
            <x v="0"/>
          </reference>
        </references>
      </pivotArea>
    </format>
    <format dxfId="221">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2" cacheId="3"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T280" firstHeaderRow="0" firstDataRow="1" firstDataCol="4"/>
  <pivotFields count="71">
    <pivotField compact="0" outline="0" showAll="0" defaultSubtotal="0"/>
    <pivotField axis="axisRow" compact="0" outline="0" showAll="0" defaultSubtotal="0">
      <items count="10">
        <item x="1"/>
        <item x="7"/>
        <item x="4"/>
        <item x="6"/>
        <item x="5"/>
        <item x="2"/>
        <item x="3"/>
        <item x="8"/>
        <item x="0"/>
        <item x="9"/>
      </items>
    </pivotField>
    <pivotField axis="axisRow" compact="0" outline="0" showAll="0" defaultSubtota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x="30"/>
      </items>
    </pivotField>
    <pivotField compact="0" outline="0" showAll="0" defaultSubtotal="0"/>
    <pivotField axis="axisRow" compact="0" outline="0" showAll="0" defaultSubtotal="0">
      <items count="27">
        <item x="23"/>
        <item x="17"/>
        <item x="10"/>
        <item x="22"/>
        <item x="26"/>
        <item x="18"/>
        <item x="0"/>
        <item x="20"/>
        <item x="21"/>
        <item x="11"/>
        <item x="8"/>
        <item x="14"/>
        <item x="19"/>
        <item x="13"/>
        <item x="24"/>
        <item x="25"/>
        <item x="12"/>
        <item x="15"/>
        <item x="16"/>
        <item x="9"/>
        <item x="1"/>
        <item x="2"/>
        <item x="3"/>
        <item x="4"/>
        <item x="5"/>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outline="0" showAll="0" defaultSubtotal="0"/>
    <pivotField compact="0" numFmtId="165" outline="0" showAll="0" defaultSubtotal="0"/>
    <pivotField dataField="1"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2">
        <item x="14"/>
        <item x="18"/>
        <item x="20"/>
        <item x="21"/>
        <item x="11"/>
        <item x="5"/>
        <item x="23"/>
        <item x="16"/>
        <item x="24"/>
        <item x="19"/>
        <item x="9"/>
        <item x="4"/>
        <item x="3"/>
        <item x="10"/>
        <item x="2"/>
        <item x="0"/>
        <item x="7"/>
        <item x="26"/>
        <item x="8"/>
        <item x="27"/>
        <item x="22"/>
        <item x="6"/>
        <item x="12"/>
        <item x="13"/>
        <item x="25"/>
        <item x="1"/>
        <item x="17"/>
        <item x="15"/>
        <item x="28"/>
        <item x="29"/>
        <item x="30"/>
        <item x="31"/>
      </items>
    </pivotField>
  </pivotFields>
  <rowFields count="4">
    <field x="1"/>
    <field x="2"/>
    <field x="70"/>
    <field x="4"/>
  </rowFields>
  <rowItems count="277">
    <i>
      <x/>
      <x v="6"/>
      <x/>
      <x v="18"/>
    </i>
    <i r="2">
      <x v="5"/>
      <x v="2"/>
    </i>
    <i r="2">
      <x v="10"/>
      <x v="13"/>
    </i>
    <i r="2">
      <x v="13"/>
      <x v="11"/>
    </i>
    <i r="2">
      <x v="16"/>
      <x v="16"/>
    </i>
    <i r="2">
      <x v="18"/>
      <x v="19"/>
    </i>
    <i r="2">
      <x v="21"/>
      <x v="9"/>
    </i>
    <i r="2">
      <x v="25"/>
      <x v="20"/>
    </i>
    <i r="3">
      <x v="21"/>
    </i>
    <i r="3">
      <x v="22"/>
    </i>
    <i r="3">
      <x v="23"/>
    </i>
    <i r="3">
      <x v="24"/>
    </i>
    <i r="3">
      <x v="25"/>
    </i>
    <i r="3">
      <x v="26"/>
    </i>
    <i r="1">
      <x v="8"/>
      <x v="5"/>
      <x v="2"/>
    </i>
    <i r="2">
      <x v="21"/>
      <x v="9"/>
    </i>
    <i r="2">
      <x v="25"/>
      <x v="20"/>
    </i>
    <i r="3">
      <x v="21"/>
    </i>
    <i r="3">
      <x v="22"/>
    </i>
    <i r="3">
      <x v="23"/>
    </i>
    <i r="3">
      <x v="24"/>
    </i>
    <i r="3">
      <x v="25"/>
    </i>
    <i r="3">
      <x v="26"/>
    </i>
    <i r="1">
      <x v="23"/>
      <x v="5"/>
      <x v="2"/>
    </i>
    <i r="2">
      <x v="21"/>
      <x v="9"/>
    </i>
    <i r="2">
      <x v="25"/>
      <x v="20"/>
    </i>
    <i r="3">
      <x v="21"/>
    </i>
    <i r="3">
      <x v="22"/>
    </i>
    <i r="3">
      <x v="23"/>
    </i>
    <i r="3">
      <x v="24"/>
    </i>
    <i r="3">
      <x v="25"/>
    </i>
    <i r="3">
      <x v="26"/>
    </i>
    <i>
      <x v="1"/>
      <x v="2"/>
      <x v="20"/>
      <x v="9"/>
    </i>
    <i r="2">
      <x v="25"/>
      <x v="20"/>
    </i>
    <i r="3">
      <x v="21"/>
    </i>
    <i r="3">
      <x v="22"/>
    </i>
    <i r="3">
      <x v="23"/>
    </i>
    <i r="3">
      <x v="24"/>
    </i>
    <i r="3">
      <x v="25"/>
    </i>
    <i r="3">
      <x v="26"/>
    </i>
    <i r="1">
      <x v="5"/>
      <x v="20"/>
      <x v="9"/>
    </i>
    <i r="2">
      <x v="25"/>
      <x v="20"/>
    </i>
    <i r="3">
      <x v="21"/>
    </i>
    <i r="3">
      <x v="22"/>
    </i>
    <i r="3">
      <x v="23"/>
    </i>
    <i r="3">
      <x v="24"/>
    </i>
    <i r="3">
      <x v="25"/>
    </i>
    <i r="3">
      <x v="26"/>
    </i>
    <i r="1">
      <x v="27"/>
      <x v="20"/>
      <x v="9"/>
    </i>
    <i r="2">
      <x v="25"/>
      <x v="20"/>
    </i>
    <i r="3">
      <x v="21"/>
    </i>
    <i r="3">
      <x v="22"/>
    </i>
    <i r="3">
      <x v="23"/>
    </i>
    <i r="3">
      <x v="24"/>
    </i>
    <i r="3">
      <x v="25"/>
    </i>
    <i r="3">
      <x v="26"/>
    </i>
    <i>
      <x v="2"/>
      <x v="1"/>
      <x/>
      <x v="18"/>
    </i>
    <i r="2">
      <x v="10"/>
      <x v="13"/>
    </i>
    <i r="2">
      <x v="13"/>
      <x v="11"/>
    </i>
    <i r="2">
      <x v="16"/>
      <x v="16"/>
    </i>
    <i r="2">
      <x v="18"/>
      <x v="19"/>
    </i>
    <i r="2">
      <x v="22"/>
      <x v="9"/>
    </i>
    <i r="2">
      <x v="23"/>
      <x v="17"/>
    </i>
    <i r="2">
      <x v="25"/>
      <x v="20"/>
    </i>
    <i r="3">
      <x v="21"/>
    </i>
    <i r="3">
      <x v="22"/>
    </i>
    <i r="3">
      <x v="23"/>
    </i>
    <i r="3">
      <x v="24"/>
    </i>
    <i r="3">
      <x v="25"/>
    </i>
    <i r="3">
      <x v="26"/>
    </i>
    <i r="1">
      <x v="29"/>
      <x v="1"/>
      <x v="5"/>
    </i>
    <i r="2">
      <x v="25"/>
      <x v="20"/>
    </i>
    <i r="3">
      <x v="21"/>
    </i>
    <i r="3">
      <x v="22"/>
    </i>
    <i r="3">
      <x v="23"/>
    </i>
    <i r="3">
      <x v="24"/>
    </i>
    <i r="3">
      <x v="25"/>
    </i>
    <i r="3">
      <x v="26"/>
    </i>
    <i r="2">
      <x v="26"/>
      <x v="1"/>
    </i>
    <i r="3">
      <x v="12"/>
    </i>
    <i>
      <x v="3"/>
      <x v="24"/>
      <x v="9"/>
      <x v="7"/>
    </i>
    <i r="3">
      <x v="8"/>
    </i>
    <i r="3">
      <x v="13"/>
    </i>
    <i r="2">
      <x v="25"/>
      <x v="20"/>
    </i>
    <i r="3">
      <x v="21"/>
    </i>
    <i r="3">
      <x v="22"/>
    </i>
    <i r="3">
      <x v="23"/>
    </i>
    <i r="3">
      <x v="24"/>
    </i>
    <i r="3">
      <x v="25"/>
    </i>
    <i r="3">
      <x v="26"/>
    </i>
    <i r="1">
      <x v="25"/>
      <x v="20"/>
      <x v="9"/>
    </i>
    <i r="2">
      <x v="25"/>
      <x v="20"/>
    </i>
    <i r="3">
      <x v="21"/>
    </i>
    <i r="3">
      <x v="22"/>
    </i>
    <i r="3">
      <x v="23"/>
    </i>
    <i r="3">
      <x v="24"/>
    </i>
    <i r="3">
      <x v="25"/>
    </i>
    <i r="3">
      <x v="26"/>
    </i>
    <i>
      <x v="4"/>
      <x v="3"/>
      <x v="9"/>
      <x v="7"/>
    </i>
    <i r="3">
      <x v="8"/>
    </i>
    <i r="3">
      <x v="13"/>
    </i>
    <i r="2">
      <x v="25"/>
      <x v="20"/>
    </i>
    <i r="3">
      <x v="21"/>
    </i>
    <i r="3">
      <x v="22"/>
    </i>
    <i r="3">
      <x v="23"/>
    </i>
    <i r="3">
      <x v="24"/>
    </i>
    <i r="3">
      <x v="25"/>
    </i>
    <i r="3">
      <x v="26"/>
    </i>
    <i r="1">
      <x v="18"/>
      <x v="9"/>
      <x v="7"/>
    </i>
    <i r="3">
      <x v="8"/>
    </i>
    <i r="3">
      <x v="13"/>
    </i>
    <i r="2">
      <x v="25"/>
      <x v="20"/>
    </i>
    <i r="3">
      <x v="21"/>
    </i>
    <i r="3">
      <x v="22"/>
    </i>
    <i r="3">
      <x v="23"/>
    </i>
    <i r="3">
      <x v="24"/>
    </i>
    <i r="3">
      <x v="25"/>
    </i>
    <i r="3">
      <x v="26"/>
    </i>
    <i r="1">
      <x v="19"/>
      <x v="2"/>
      <x v="12"/>
    </i>
    <i r="1">
      <x v="20"/>
      <x v="3"/>
      <x v="3"/>
    </i>
    <i r="2">
      <x v="25"/>
      <x v="20"/>
    </i>
    <i r="3">
      <x v="21"/>
    </i>
    <i r="3">
      <x v="22"/>
    </i>
    <i r="3">
      <x v="23"/>
    </i>
    <i r="3">
      <x v="24"/>
    </i>
    <i r="3">
      <x v="25"/>
    </i>
    <i r="3">
      <x v="26"/>
    </i>
    <i>
      <x v="5"/>
      <x v="9"/>
      <x v="4"/>
      <x v="2"/>
    </i>
    <i r="2">
      <x v="25"/>
      <x v="20"/>
    </i>
    <i r="3">
      <x v="21"/>
    </i>
    <i r="3">
      <x v="22"/>
    </i>
    <i r="3">
      <x v="23"/>
    </i>
    <i r="3">
      <x v="24"/>
    </i>
    <i r="3">
      <x v="25"/>
    </i>
    <i r="3">
      <x v="26"/>
    </i>
    <i r="1">
      <x v="10"/>
      <x v="4"/>
      <x v="2"/>
    </i>
    <i r="2">
      <x v="25"/>
      <x v="20"/>
    </i>
    <i r="3">
      <x v="21"/>
    </i>
    <i r="3">
      <x v="22"/>
    </i>
    <i r="3">
      <x v="23"/>
    </i>
    <i r="3">
      <x v="24"/>
    </i>
    <i r="3">
      <x v="25"/>
    </i>
    <i r="3">
      <x v="26"/>
    </i>
    <i r="1">
      <x v="17"/>
      <x v="4"/>
      <x v="2"/>
    </i>
    <i r="2">
      <x v="25"/>
      <x v="20"/>
    </i>
    <i r="3">
      <x v="21"/>
    </i>
    <i r="3">
      <x v="22"/>
    </i>
    <i r="3">
      <x v="23"/>
    </i>
    <i r="3">
      <x v="24"/>
    </i>
    <i r="3">
      <x v="25"/>
    </i>
    <i r="3">
      <x v="26"/>
    </i>
    <i r="1">
      <x v="26"/>
      <x v="4"/>
      <x v="2"/>
    </i>
    <i r="2">
      <x v="25"/>
      <x v="20"/>
    </i>
    <i r="3">
      <x v="21"/>
    </i>
    <i r="3">
      <x v="22"/>
    </i>
    <i r="3">
      <x v="23"/>
    </i>
    <i r="3">
      <x v="24"/>
    </i>
    <i r="3">
      <x v="25"/>
    </i>
    <i r="3">
      <x v="26"/>
    </i>
    <i>
      <x v="6"/>
      <x/>
      <x/>
      <x v="18"/>
    </i>
    <i r="2">
      <x v="10"/>
      <x v="13"/>
    </i>
    <i r="2">
      <x v="13"/>
      <x v="11"/>
    </i>
    <i r="2">
      <x v="16"/>
      <x v="16"/>
    </i>
    <i r="2">
      <x v="18"/>
      <x v="19"/>
    </i>
    <i r="2">
      <x v="22"/>
      <x v="9"/>
    </i>
    <i r="2">
      <x v="23"/>
      <x v="17"/>
    </i>
    <i r="2">
      <x v="25"/>
      <x v="20"/>
    </i>
    <i r="3">
      <x v="21"/>
    </i>
    <i r="3">
      <x v="22"/>
    </i>
    <i r="3">
      <x v="23"/>
    </i>
    <i r="3">
      <x v="24"/>
    </i>
    <i r="3">
      <x v="25"/>
    </i>
    <i r="3">
      <x v="26"/>
    </i>
    <i r="1">
      <x v="21"/>
      <x v="7"/>
      <x v="1"/>
    </i>
    <i r="1">
      <x v="28"/>
      <x v="25"/>
      <x v="20"/>
    </i>
    <i r="3">
      <x v="21"/>
    </i>
    <i r="3">
      <x v="22"/>
    </i>
    <i r="3">
      <x v="23"/>
    </i>
    <i r="3">
      <x v="24"/>
    </i>
    <i r="3">
      <x v="25"/>
    </i>
    <i r="3">
      <x v="26"/>
    </i>
    <i r="2">
      <x v="27"/>
      <x v="1"/>
    </i>
    <i>
      <x v="7"/>
      <x v="4"/>
      <x/>
      <x v="18"/>
    </i>
    <i r="2">
      <x v="6"/>
      <x/>
    </i>
    <i r="2">
      <x v="8"/>
      <x v="14"/>
    </i>
    <i r="2">
      <x v="10"/>
      <x v="13"/>
    </i>
    <i r="2">
      <x v="13"/>
      <x v="11"/>
    </i>
    <i r="2">
      <x v="18"/>
      <x v="19"/>
    </i>
    <i r="2">
      <x v="23"/>
      <x v="17"/>
    </i>
    <i r="2">
      <x v="24"/>
      <x v="15"/>
    </i>
    <i r="2">
      <x v="25"/>
      <x v="20"/>
    </i>
    <i r="3">
      <x v="21"/>
    </i>
    <i r="3">
      <x v="22"/>
    </i>
    <i r="3">
      <x v="23"/>
    </i>
    <i r="3">
      <x v="24"/>
    </i>
    <i r="3">
      <x v="25"/>
    </i>
    <i r="3">
      <x v="26"/>
    </i>
    <i r="1">
      <x v="22"/>
      <x v="7"/>
      <x v="1"/>
    </i>
    <i r="2">
      <x v="17"/>
      <x v="4"/>
    </i>
    <i r="2">
      <x v="19"/>
      <x v="5"/>
    </i>
    <i r="2">
      <x v="25"/>
      <x v="20"/>
    </i>
    <i r="3">
      <x v="21"/>
    </i>
    <i r="3">
      <x v="22"/>
    </i>
    <i r="3">
      <x v="23"/>
    </i>
    <i r="3">
      <x v="24"/>
    </i>
    <i r="3">
      <x v="25"/>
    </i>
    <i r="3">
      <x v="26"/>
    </i>
    <i>
      <x v="8"/>
      <x v="7"/>
      <x v="11"/>
      <x v="19"/>
    </i>
    <i r="2">
      <x v="12"/>
      <x v="10"/>
    </i>
    <i r="2">
      <x v="25"/>
      <x v="20"/>
    </i>
    <i r="3">
      <x v="21"/>
    </i>
    <i r="3">
      <x v="22"/>
    </i>
    <i r="3">
      <x v="23"/>
    </i>
    <i r="3">
      <x v="24"/>
    </i>
    <i r="3">
      <x v="25"/>
    </i>
    <i r="3">
      <x v="26"/>
    </i>
    <i r="1">
      <x v="11"/>
      <x v="14"/>
      <x v="6"/>
    </i>
    <i r="2">
      <x v="25"/>
      <x v="20"/>
    </i>
    <i r="3">
      <x v="21"/>
    </i>
    <i r="3">
      <x v="22"/>
    </i>
    <i r="3">
      <x v="23"/>
    </i>
    <i r="3">
      <x v="24"/>
    </i>
    <i r="3">
      <x v="25"/>
    </i>
    <i r="3">
      <x v="26"/>
    </i>
    <i r="1">
      <x v="12"/>
      <x v="14"/>
      <x v="6"/>
    </i>
    <i r="2">
      <x v="25"/>
      <x v="20"/>
    </i>
    <i r="3">
      <x v="21"/>
    </i>
    <i r="3">
      <x v="22"/>
    </i>
    <i r="3">
      <x v="23"/>
    </i>
    <i r="3">
      <x v="24"/>
    </i>
    <i r="3">
      <x v="25"/>
    </i>
    <i r="3">
      <x v="26"/>
    </i>
    <i r="1">
      <x v="13"/>
      <x v="14"/>
      <x v="6"/>
    </i>
    <i r="2">
      <x v="25"/>
      <x v="20"/>
    </i>
    <i r="3">
      <x v="21"/>
    </i>
    <i r="3">
      <x v="22"/>
    </i>
    <i r="3">
      <x v="23"/>
    </i>
    <i r="3">
      <x v="24"/>
    </i>
    <i r="3">
      <x v="25"/>
    </i>
    <i r="3">
      <x v="26"/>
    </i>
    <i r="1">
      <x v="14"/>
      <x v="14"/>
      <x v="6"/>
    </i>
    <i r="2">
      <x v="25"/>
      <x v="20"/>
    </i>
    <i r="3">
      <x v="21"/>
    </i>
    <i r="3">
      <x v="22"/>
    </i>
    <i r="3">
      <x v="23"/>
    </i>
    <i r="3">
      <x v="24"/>
    </i>
    <i r="3">
      <x v="25"/>
    </i>
    <i r="3">
      <x v="26"/>
    </i>
    <i r="1">
      <x v="15"/>
      <x v="15"/>
      <x v="6"/>
    </i>
    <i r="2">
      <x v="25"/>
      <x v="20"/>
    </i>
    <i r="3">
      <x v="21"/>
    </i>
    <i r="3">
      <x v="22"/>
    </i>
    <i r="3">
      <x v="23"/>
    </i>
    <i r="3">
      <x v="24"/>
    </i>
    <i r="3">
      <x v="25"/>
    </i>
    <i r="3">
      <x v="26"/>
    </i>
    <i r="1">
      <x v="16"/>
      <x v="15"/>
      <x v="6"/>
    </i>
    <i r="2">
      <x v="25"/>
      <x v="20"/>
    </i>
    <i r="3">
      <x v="21"/>
    </i>
    <i r="3">
      <x v="22"/>
    </i>
    <i r="3">
      <x v="23"/>
    </i>
    <i r="3">
      <x v="24"/>
    </i>
    <i r="3">
      <x v="25"/>
    </i>
    <i r="3">
      <x v="26"/>
    </i>
    <i>
      <x v="9"/>
      <x v="30"/>
      <x/>
      <x v="18"/>
    </i>
    <i r="2">
      <x v="25"/>
      <x v="20"/>
    </i>
    <i r="3">
      <x v="21"/>
    </i>
    <i r="3">
      <x v="22"/>
    </i>
    <i r="3">
      <x v="23"/>
    </i>
    <i r="3">
      <x v="24"/>
    </i>
    <i r="3">
      <x v="25"/>
    </i>
    <i r="3">
      <x v="26"/>
    </i>
    <i r="2">
      <x v="28"/>
      <x v="5"/>
    </i>
    <i r="2">
      <x v="29"/>
      <x v="11"/>
    </i>
    <i r="2">
      <x v="30"/>
      <x v="13"/>
    </i>
    <i r="2">
      <x v="31"/>
      <x v="19"/>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Sum of Q1 Cash Flows" fld="15" baseField="0" baseItem="0" numFmtId="165"/>
    <dataField name="Sum of Q2 Cash Flows" fld="17" baseField="0" baseItem="0"/>
    <dataField name="Sum of Q3 Cash Flow" fld="19" baseField="0" baseItem="0"/>
    <dataField name="Sum of Q4 Cash Flow" fld="21" baseField="0" baseItem="0"/>
    <dataField name="Sum of Y1 Total Cash Outflow" fld="23" baseField="0" baseItem="0"/>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dataField name="Sum of Y1-4 Total Cash Outflow" fld="65" baseField="0" baseItem="0"/>
  </dataFields>
  <formats count="39">
    <format dxfId="220">
      <pivotArea outline="0" collapsedLevelsAreSubtotals="1" fieldPosition="0"/>
    </format>
    <format dxfId="219">
      <pivotArea type="all" dataOnly="0" outline="0" fieldPosition="0"/>
    </format>
    <format dxfId="218">
      <pivotArea outline="0" collapsedLevelsAreSubtotals="1" fieldPosition="0"/>
    </format>
    <format dxfId="217">
      <pivotArea field="1" type="button" dataOnly="0" labelOnly="1" outline="0" axis="axisRow" fieldPosition="0"/>
    </format>
    <format dxfId="216">
      <pivotArea field="2" type="button" dataOnly="0" labelOnly="1" outline="0" axis="axisRow" fieldPosition="1"/>
    </format>
    <format dxfId="215">
      <pivotArea field="70" type="button" dataOnly="0" labelOnly="1" outline="0" axis="axisRow" fieldPosition="2"/>
    </format>
    <format dxfId="214">
      <pivotArea field="4" type="button" dataOnly="0" labelOnly="1" outline="0" axis="axisRow" fieldPosition="3"/>
    </format>
    <format dxfId="213">
      <pivotArea dataOnly="0" labelOnly="1" outline="0" fieldPosition="0">
        <references count="1">
          <reference field="1" count="0"/>
        </references>
      </pivotArea>
    </format>
    <format dxfId="212">
      <pivotArea dataOnly="0" labelOnly="1" grandRow="1" outline="0" fieldPosition="0"/>
    </format>
    <format dxfId="211">
      <pivotArea dataOnly="0" labelOnly="1" outline="0" fieldPosition="0">
        <references count="2">
          <reference field="1" count="1" selected="0">
            <x v="1"/>
          </reference>
          <reference field="2" count="3">
            <x v="2"/>
            <x v="5"/>
            <x v="27"/>
          </reference>
        </references>
      </pivotArea>
    </format>
    <format dxfId="210">
      <pivotArea dataOnly="0" labelOnly="1" outline="0" fieldPosition="0">
        <references count="2">
          <reference field="1" count="1" selected="0">
            <x v="3"/>
          </reference>
          <reference field="2" count="2">
            <x v="24"/>
            <x v="25"/>
          </reference>
        </references>
      </pivotArea>
    </format>
    <format dxfId="209">
      <pivotArea dataOnly="0" labelOnly="1" outline="0" fieldPosition="0">
        <references count="2">
          <reference field="1" count="1" selected="0">
            <x v="4"/>
          </reference>
          <reference field="2" count="4">
            <x v="3"/>
            <x v="18"/>
            <x v="19"/>
            <x v="20"/>
          </reference>
        </references>
      </pivotArea>
    </format>
    <format dxfId="208">
      <pivotArea dataOnly="0" labelOnly="1" outline="0" fieldPosition="0">
        <references count="3">
          <reference field="1" count="1" selected="0">
            <x v="1"/>
          </reference>
          <reference field="2" count="1" selected="0">
            <x v="2"/>
          </reference>
          <reference field="70" count="2">
            <x v="20"/>
            <x v="25"/>
          </reference>
        </references>
      </pivotArea>
    </format>
    <format dxfId="207">
      <pivotArea dataOnly="0" labelOnly="1" outline="0" fieldPosition="0">
        <references count="3">
          <reference field="1" count="1" selected="0">
            <x v="1"/>
          </reference>
          <reference field="2" count="1" selected="0">
            <x v="5"/>
          </reference>
          <reference field="70" count="2">
            <x v="20"/>
            <x v="25"/>
          </reference>
        </references>
      </pivotArea>
    </format>
    <format dxfId="206">
      <pivotArea dataOnly="0" labelOnly="1" outline="0" fieldPosition="0">
        <references count="3">
          <reference field="1" count="1" selected="0">
            <x v="1"/>
          </reference>
          <reference field="2" count="1" selected="0">
            <x v="27"/>
          </reference>
          <reference field="70" count="2">
            <x v="20"/>
            <x v="25"/>
          </reference>
        </references>
      </pivotArea>
    </format>
    <format dxfId="205">
      <pivotArea dataOnly="0" labelOnly="1" outline="0" fieldPosition="0">
        <references count="3">
          <reference field="1" count="1" selected="0">
            <x v="3"/>
          </reference>
          <reference field="2" count="1" selected="0">
            <x v="24"/>
          </reference>
          <reference field="70" count="2">
            <x v="9"/>
            <x v="25"/>
          </reference>
        </references>
      </pivotArea>
    </format>
    <format dxfId="204">
      <pivotArea dataOnly="0" labelOnly="1" outline="0" fieldPosition="0">
        <references count="3">
          <reference field="1" count="1" selected="0">
            <x v="3"/>
          </reference>
          <reference field="2" count="1" selected="0">
            <x v="25"/>
          </reference>
          <reference field="70" count="2">
            <x v="20"/>
            <x v="25"/>
          </reference>
        </references>
      </pivotArea>
    </format>
    <format dxfId="203">
      <pivotArea dataOnly="0" labelOnly="1" outline="0" fieldPosition="0">
        <references count="3">
          <reference field="1" count="1" selected="0">
            <x v="4"/>
          </reference>
          <reference field="2" count="1" selected="0">
            <x v="3"/>
          </reference>
          <reference field="70" count="2">
            <x v="9"/>
            <x v="25"/>
          </reference>
        </references>
      </pivotArea>
    </format>
    <format dxfId="202">
      <pivotArea dataOnly="0" labelOnly="1" outline="0" fieldPosition="0">
        <references count="3">
          <reference field="1" count="1" selected="0">
            <x v="4"/>
          </reference>
          <reference field="2" count="1" selected="0">
            <x v="18"/>
          </reference>
          <reference field="70" count="2">
            <x v="9"/>
            <x v="25"/>
          </reference>
        </references>
      </pivotArea>
    </format>
    <format dxfId="201">
      <pivotArea dataOnly="0" labelOnly="1" outline="0" fieldPosition="0">
        <references count="3">
          <reference field="1" count="1" selected="0">
            <x v="4"/>
          </reference>
          <reference field="2" count="1" selected="0">
            <x v="19"/>
          </reference>
          <reference field="70" count="1">
            <x v="2"/>
          </reference>
        </references>
      </pivotArea>
    </format>
    <format dxfId="200">
      <pivotArea dataOnly="0" labelOnly="1" outline="0" fieldPosition="0">
        <references count="3">
          <reference field="1" count="1" selected="0">
            <x v="4"/>
          </reference>
          <reference field="2" count="1" selected="0">
            <x v="20"/>
          </reference>
          <reference field="70" count="2">
            <x v="3"/>
            <x v="25"/>
          </reference>
        </references>
      </pivotArea>
    </format>
    <format dxfId="199">
      <pivotArea dataOnly="0" labelOnly="1" outline="0" fieldPosition="0">
        <references count="4">
          <reference field="1" count="1" selected="0">
            <x v="1"/>
          </reference>
          <reference field="2" count="1" selected="0">
            <x v="2"/>
          </reference>
          <reference field="4" count="1">
            <x v="9"/>
          </reference>
          <reference field="70" count="1" selected="0">
            <x v="20"/>
          </reference>
        </references>
      </pivotArea>
    </format>
    <format dxfId="198">
      <pivotArea dataOnly="0" labelOnly="1" outline="0" fieldPosition="0">
        <references count="4">
          <reference field="1" count="1" selected="0">
            <x v="1"/>
          </reference>
          <reference field="2" count="1" selected="0">
            <x v="2"/>
          </reference>
          <reference field="4" count="7">
            <x v="20"/>
            <x v="21"/>
            <x v="22"/>
            <x v="23"/>
            <x v="24"/>
            <x v="25"/>
            <x v="26"/>
          </reference>
          <reference field="70" count="1" selected="0">
            <x v="25"/>
          </reference>
        </references>
      </pivotArea>
    </format>
    <format dxfId="197">
      <pivotArea dataOnly="0" labelOnly="1" outline="0" fieldPosition="0">
        <references count="4">
          <reference field="1" count="1" selected="0">
            <x v="1"/>
          </reference>
          <reference field="2" count="1" selected="0">
            <x v="5"/>
          </reference>
          <reference field="4" count="1">
            <x v="9"/>
          </reference>
          <reference field="70" count="1" selected="0">
            <x v="20"/>
          </reference>
        </references>
      </pivotArea>
    </format>
    <format dxfId="196">
      <pivotArea dataOnly="0" labelOnly="1" outline="0" fieldPosition="0">
        <references count="4">
          <reference field="1" count="1" selected="0">
            <x v="1"/>
          </reference>
          <reference field="2" count="1" selected="0">
            <x v="5"/>
          </reference>
          <reference field="4" count="7">
            <x v="20"/>
            <x v="21"/>
            <x v="22"/>
            <x v="23"/>
            <x v="24"/>
            <x v="25"/>
            <x v="26"/>
          </reference>
          <reference field="70" count="1" selected="0">
            <x v="25"/>
          </reference>
        </references>
      </pivotArea>
    </format>
    <format dxfId="195">
      <pivotArea dataOnly="0" labelOnly="1" outline="0" fieldPosition="0">
        <references count="4">
          <reference field="1" count="1" selected="0">
            <x v="1"/>
          </reference>
          <reference field="2" count="1" selected="0">
            <x v="27"/>
          </reference>
          <reference field="4" count="1">
            <x v="9"/>
          </reference>
          <reference field="70" count="1" selected="0">
            <x v="20"/>
          </reference>
        </references>
      </pivotArea>
    </format>
    <format dxfId="194">
      <pivotArea dataOnly="0" labelOnly="1" outline="0" fieldPosition="0">
        <references count="4">
          <reference field="1" count="1" selected="0">
            <x v="1"/>
          </reference>
          <reference field="2" count="1" selected="0">
            <x v="27"/>
          </reference>
          <reference field="4" count="7">
            <x v="20"/>
            <x v="21"/>
            <x v="22"/>
            <x v="23"/>
            <x v="24"/>
            <x v="25"/>
            <x v="26"/>
          </reference>
          <reference field="70" count="1" selected="0">
            <x v="25"/>
          </reference>
        </references>
      </pivotArea>
    </format>
    <format dxfId="193">
      <pivotArea dataOnly="0" labelOnly="1" outline="0" fieldPosition="0">
        <references count="4">
          <reference field="1" count="1" selected="0">
            <x v="3"/>
          </reference>
          <reference field="2" count="1" selected="0">
            <x v="24"/>
          </reference>
          <reference field="4" count="3">
            <x v="7"/>
            <x v="8"/>
            <x v="13"/>
          </reference>
          <reference field="70" count="1" selected="0">
            <x v="9"/>
          </reference>
        </references>
      </pivotArea>
    </format>
    <format dxfId="192">
      <pivotArea dataOnly="0" labelOnly="1" outline="0" fieldPosition="0">
        <references count="4">
          <reference field="1" count="1" selected="0">
            <x v="3"/>
          </reference>
          <reference field="2" count="1" selected="0">
            <x v="24"/>
          </reference>
          <reference field="4" count="7">
            <x v="20"/>
            <x v="21"/>
            <x v="22"/>
            <x v="23"/>
            <x v="24"/>
            <x v="25"/>
            <x v="26"/>
          </reference>
          <reference field="70" count="1" selected="0">
            <x v="25"/>
          </reference>
        </references>
      </pivotArea>
    </format>
    <format dxfId="191">
      <pivotArea dataOnly="0" labelOnly="1" outline="0" fieldPosition="0">
        <references count="4">
          <reference field="1" count="1" selected="0">
            <x v="3"/>
          </reference>
          <reference field="2" count="1" selected="0">
            <x v="25"/>
          </reference>
          <reference field="4" count="1">
            <x v="9"/>
          </reference>
          <reference field="70" count="1" selected="0">
            <x v="20"/>
          </reference>
        </references>
      </pivotArea>
    </format>
    <format dxfId="190">
      <pivotArea dataOnly="0" labelOnly="1" outline="0" fieldPosition="0">
        <references count="4">
          <reference field="1" count="1" selected="0">
            <x v="3"/>
          </reference>
          <reference field="2" count="1" selected="0">
            <x v="25"/>
          </reference>
          <reference field="4" count="7">
            <x v="20"/>
            <x v="21"/>
            <x v="22"/>
            <x v="23"/>
            <x v="24"/>
            <x v="25"/>
            <x v="26"/>
          </reference>
          <reference field="70" count="1" selected="0">
            <x v="25"/>
          </reference>
        </references>
      </pivotArea>
    </format>
    <format dxfId="189">
      <pivotArea dataOnly="0" labelOnly="1" outline="0" fieldPosition="0">
        <references count="4">
          <reference field="1" count="1" selected="0">
            <x v="4"/>
          </reference>
          <reference field="2" count="1" selected="0">
            <x v="3"/>
          </reference>
          <reference field="4" count="3">
            <x v="7"/>
            <x v="8"/>
            <x v="13"/>
          </reference>
          <reference field="70" count="1" selected="0">
            <x v="9"/>
          </reference>
        </references>
      </pivotArea>
    </format>
    <format dxfId="188">
      <pivotArea dataOnly="0" labelOnly="1" outline="0" fieldPosition="0">
        <references count="4">
          <reference field="1" count="1" selected="0">
            <x v="4"/>
          </reference>
          <reference field="2" count="1" selected="0">
            <x v="3"/>
          </reference>
          <reference field="4" count="7">
            <x v="20"/>
            <x v="21"/>
            <x v="22"/>
            <x v="23"/>
            <x v="24"/>
            <x v="25"/>
            <x v="26"/>
          </reference>
          <reference field="70" count="1" selected="0">
            <x v="25"/>
          </reference>
        </references>
      </pivotArea>
    </format>
    <format dxfId="187">
      <pivotArea dataOnly="0" labelOnly="1" outline="0" fieldPosition="0">
        <references count="4">
          <reference field="1" count="1" selected="0">
            <x v="4"/>
          </reference>
          <reference field="2" count="1" selected="0">
            <x v="18"/>
          </reference>
          <reference field="4" count="3">
            <x v="7"/>
            <x v="8"/>
            <x v="13"/>
          </reference>
          <reference field="70" count="1" selected="0">
            <x v="9"/>
          </reference>
        </references>
      </pivotArea>
    </format>
    <format dxfId="186">
      <pivotArea dataOnly="0" labelOnly="1" outline="0" fieldPosition="0">
        <references count="4">
          <reference field="1" count="1" selected="0">
            <x v="4"/>
          </reference>
          <reference field="2" count="1" selected="0">
            <x v="18"/>
          </reference>
          <reference field="4" count="7">
            <x v="20"/>
            <x v="21"/>
            <x v="22"/>
            <x v="23"/>
            <x v="24"/>
            <x v="25"/>
            <x v="26"/>
          </reference>
          <reference field="70" count="1" selected="0">
            <x v="25"/>
          </reference>
        </references>
      </pivotArea>
    </format>
    <format dxfId="185">
      <pivotArea dataOnly="0" labelOnly="1" outline="0" fieldPosition="0">
        <references count="4">
          <reference field="1" count="1" selected="0">
            <x v="4"/>
          </reference>
          <reference field="2" count="1" selected="0">
            <x v="19"/>
          </reference>
          <reference field="4" count="1">
            <x v="12"/>
          </reference>
          <reference field="70" count="1" selected="0">
            <x v="2"/>
          </reference>
        </references>
      </pivotArea>
    </format>
    <format dxfId="184">
      <pivotArea dataOnly="0" labelOnly="1" outline="0" fieldPosition="0">
        <references count="4">
          <reference field="1" count="1" selected="0">
            <x v="4"/>
          </reference>
          <reference field="2" count="1" selected="0">
            <x v="20"/>
          </reference>
          <reference field="4" count="1">
            <x v="3"/>
          </reference>
          <reference field="70" count="1" selected="0">
            <x v="3"/>
          </reference>
        </references>
      </pivotArea>
    </format>
    <format dxfId="183">
      <pivotArea dataOnly="0" labelOnly="1" outline="0" fieldPosition="0">
        <references count="4">
          <reference field="1" count="1" selected="0">
            <x v="4"/>
          </reference>
          <reference field="2" count="1" selected="0">
            <x v="20"/>
          </reference>
          <reference field="4" count="7">
            <x v="20"/>
            <x v="21"/>
            <x v="22"/>
            <x v="23"/>
            <x v="24"/>
            <x v="25"/>
            <x v="26"/>
          </reference>
          <reference field="70" count="1" selected="0">
            <x v="25"/>
          </reference>
        </references>
      </pivotArea>
    </format>
    <format dxfId="182">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2" cacheId="1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P36" firstHeaderRow="1" firstDataRow="2" firstDataCol="2" rowPageCount="1" colPageCount="1"/>
  <pivotFields count="70">
    <pivotField compact="0" outline="0" showAll="0" defaultSubtotal="0"/>
    <pivotField axis="axisRow" compact="0" outline="0" showAll="0" defaultSubtotal="0">
      <items count="10">
        <item x="1"/>
        <item x="7"/>
        <item x="4"/>
        <item x="6"/>
        <item x="5"/>
        <item x="2"/>
        <item x="3"/>
        <item x="8"/>
        <item x="0"/>
        <item x="9"/>
      </items>
    </pivotField>
    <pivotField axis="axisRow" compact="0" outline="0" showAll="0" defaultSubtota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x="30"/>
      </items>
    </pivotField>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howAll="0" defaultSubtotal="0"/>
    <pivotField compact="0" numFmtId="165" outline="0" showAll="0" defaultSubtotal="0"/>
    <pivotField compact="0" outline="0" subtotalTop="0" showAll="0" defaultSubtotal="0"/>
    <pivotField compact="0" numFmtId="165" outline="0" showAll="0" defaultSubtotal="0"/>
    <pivotField dataField="1" compact="0" numFmtId="165" outline="0" showAll="0" defaultSubtotal="0"/>
    <pivotField compact="0" outline="0" showAll="0" defaultSubtotal="0"/>
    <pivotField compact="0" outline="0" showAll="0" defaultSubtotal="0"/>
    <pivotField axis="axisCol" compact="0" outline="0" showAll="0" defaultSubtotal="0">
      <items count="13">
        <item x="0"/>
        <item x="7"/>
        <item x="8"/>
        <item x="1"/>
        <item x="9"/>
        <item x="6"/>
        <item x="11"/>
        <item x="5"/>
        <item x="4"/>
        <item x="10"/>
        <item x="2"/>
        <item x="3"/>
        <item x="12"/>
      </items>
    </pivotField>
    <pivotField axis="axisPage" compact="0" outline="0" showAll="0" defaultSubtotal="0">
      <items count="4">
        <item x="2"/>
        <item x="0"/>
        <item x="1"/>
        <item x="3"/>
      </items>
    </pivotField>
  </pivotFields>
  <rowFields count="2">
    <field x="1"/>
    <field x="2"/>
  </rowFields>
  <rowItems count="32">
    <i>
      <x/>
      <x v="6"/>
    </i>
    <i r="1">
      <x v="8"/>
    </i>
    <i r="1">
      <x v="23"/>
    </i>
    <i>
      <x v="1"/>
      <x v="2"/>
    </i>
    <i r="1">
      <x v="5"/>
    </i>
    <i r="1">
      <x v="27"/>
    </i>
    <i>
      <x v="2"/>
      <x v="1"/>
    </i>
    <i r="1">
      <x v="29"/>
    </i>
    <i>
      <x v="3"/>
      <x v="24"/>
    </i>
    <i r="1">
      <x v="25"/>
    </i>
    <i>
      <x v="4"/>
      <x v="3"/>
    </i>
    <i r="1">
      <x v="18"/>
    </i>
    <i r="1">
      <x v="19"/>
    </i>
    <i r="1">
      <x v="20"/>
    </i>
    <i>
      <x v="5"/>
      <x v="9"/>
    </i>
    <i r="1">
      <x v="10"/>
    </i>
    <i r="1">
      <x v="17"/>
    </i>
    <i r="1">
      <x v="26"/>
    </i>
    <i>
      <x v="6"/>
      <x/>
    </i>
    <i r="1">
      <x v="21"/>
    </i>
    <i r="1">
      <x v="28"/>
    </i>
    <i>
      <x v="7"/>
      <x v="4"/>
    </i>
    <i r="1">
      <x v="22"/>
    </i>
    <i>
      <x v="8"/>
      <x v="7"/>
    </i>
    <i r="1">
      <x v="11"/>
    </i>
    <i r="1">
      <x v="12"/>
    </i>
    <i r="1">
      <x v="13"/>
    </i>
    <i r="1">
      <x v="14"/>
    </i>
    <i r="1">
      <x v="15"/>
    </i>
    <i r="1">
      <x v="16"/>
    </i>
    <i>
      <x v="9"/>
      <x v="30"/>
    </i>
    <i t="grand">
      <x/>
    </i>
  </rowItems>
  <colFields count="1">
    <field x="68"/>
  </colFields>
  <colItems count="14">
    <i>
      <x/>
    </i>
    <i>
      <x v="1"/>
    </i>
    <i>
      <x v="2"/>
    </i>
    <i>
      <x v="3"/>
    </i>
    <i>
      <x v="4"/>
    </i>
    <i>
      <x v="5"/>
    </i>
    <i>
      <x v="6"/>
    </i>
    <i>
      <x v="7"/>
    </i>
    <i>
      <x v="8"/>
    </i>
    <i>
      <x v="9"/>
    </i>
    <i>
      <x v="10"/>
    </i>
    <i>
      <x v="11"/>
    </i>
    <i>
      <x v="12"/>
    </i>
    <i t="grand">
      <x/>
    </i>
  </colItems>
  <pageFields count="1">
    <pageField fld="69" hier="-1"/>
  </pageFields>
  <dataFields count="1">
    <dataField name="Sum of Y1-4 Total Cash Outflow" fld="65" baseField="0" baseItem="0" numFmtId="165"/>
  </dataFields>
  <formats count="28">
    <format dxfId="181">
      <pivotArea field="1" type="button" dataOnly="0" labelOnly="1" outline="0" axis="axisRow" fieldPosition="0"/>
    </format>
    <format dxfId="180">
      <pivotArea field="2" type="button" dataOnly="0" labelOnly="1" outline="0" axis="axisRow" fieldPosition="1"/>
    </format>
    <format dxfId="179">
      <pivotArea dataOnly="0" labelOnly="1" outline="0" fieldPosition="0">
        <references count="1">
          <reference field="68" count="0"/>
        </references>
      </pivotArea>
    </format>
    <format dxfId="178">
      <pivotArea dataOnly="0" labelOnly="1" grandCol="1" outline="0" fieldPosition="0"/>
    </format>
    <format dxfId="177">
      <pivotArea dataOnly="0" labelOnly="1" outline="0" fieldPosition="0">
        <references count="1">
          <reference field="68" count="11">
            <x v="1"/>
            <x v="2"/>
            <x v="3"/>
            <x v="4"/>
            <x v="5"/>
            <x v="6"/>
            <x v="7"/>
            <x v="8"/>
            <x v="9"/>
            <x v="10"/>
            <x v="11"/>
          </reference>
        </references>
      </pivotArea>
    </format>
    <format dxfId="176">
      <pivotArea dataOnly="0" labelOnly="1" outline="0" fieldPosition="0">
        <references count="1">
          <reference field="68" count="11">
            <x v="1"/>
            <x v="2"/>
            <x v="3"/>
            <x v="4"/>
            <x v="5"/>
            <x v="6"/>
            <x v="7"/>
            <x v="8"/>
            <x v="9"/>
            <x v="10"/>
            <x v="11"/>
          </reference>
        </references>
      </pivotArea>
    </format>
    <format dxfId="175">
      <pivotArea outline="0" collapsedLevelsAreSubtotals="1" fieldPosition="0"/>
    </format>
    <format dxfId="174">
      <pivotArea type="all" dataOnly="0" outline="0" fieldPosition="0"/>
    </format>
    <format dxfId="173">
      <pivotArea outline="0" collapsedLevelsAreSubtotals="1" fieldPosition="0"/>
    </format>
    <format dxfId="172">
      <pivotArea type="origin" dataOnly="0" labelOnly="1" outline="0" fieldPosition="0"/>
    </format>
    <format dxfId="171">
      <pivotArea field="68" type="button" dataOnly="0" labelOnly="1" outline="0" axis="axisCol" fieldPosition="0"/>
    </format>
    <format dxfId="170">
      <pivotArea type="topRight" dataOnly="0" labelOnly="1" outline="0" fieldPosition="0"/>
    </format>
    <format dxfId="169">
      <pivotArea field="1" type="button" dataOnly="0" labelOnly="1" outline="0" axis="axisRow" fieldPosition="0"/>
    </format>
    <format dxfId="168">
      <pivotArea field="2" type="button" dataOnly="0" labelOnly="1" outline="0" axis="axisRow" fieldPosition="1"/>
    </format>
    <format dxfId="167">
      <pivotArea dataOnly="0" labelOnly="1" outline="0" fieldPosition="0">
        <references count="1">
          <reference field="1" count="0"/>
        </references>
      </pivotArea>
    </format>
    <format dxfId="166">
      <pivotArea dataOnly="0" labelOnly="1" grandRow="1" outline="0" fieldPosition="0"/>
    </format>
    <format dxfId="165">
      <pivotArea dataOnly="0" labelOnly="1" outline="0" fieldPosition="0">
        <references count="2">
          <reference field="1" count="1" selected="0">
            <x v="0"/>
          </reference>
          <reference field="2" count="3">
            <x v="6"/>
            <x v="8"/>
            <x v="23"/>
          </reference>
        </references>
      </pivotArea>
    </format>
    <format dxfId="164">
      <pivotArea dataOnly="0" labelOnly="1" outline="0" fieldPosition="0">
        <references count="2">
          <reference field="1" count="1" selected="0">
            <x v="1"/>
          </reference>
          <reference field="2" count="3">
            <x v="2"/>
            <x v="5"/>
            <x v="27"/>
          </reference>
        </references>
      </pivotArea>
    </format>
    <format dxfId="163">
      <pivotArea dataOnly="0" labelOnly="1" outline="0" fieldPosition="0">
        <references count="2">
          <reference field="1" count="1" selected="0">
            <x v="2"/>
          </reference>
          <reference field="2" count="2">
            <x v="1"/>
            <x v="29"/>
          </reference>
        </references>
      </pivotArea>
    </format>
    <format dxfId="162">
      <pivotArea dataOnly="0" labelOnly="1" outline="0" fieldPosition="0">
        <references count="2">
          <reference field="1" count="1" selected="0">
            <x v="3"/>
          </reference>
          <reference field="2" count="2">
            <x v="24"/>
            <x v="25"/>
          </reference>
        </references>
      </pivotArea>
    </format>
    <format dxfId="161">
      <pivotArea dataOnly="0" labelOnly="1" outline="0" fieldPosition="0">
        <references count="2">
          <reference field="1" count="1" selected="0">
            <x v="4"/>
          </reference>
          <reference field="2" count="4">
            <x v="3"/>
            <x v="18"/>
            <x v="19"/>
            <x v="20"/>
          </reference>
        </references>
      </pivotArea>
    </format>
    <format dxfId="160">
      <pivotArea dataOnly="0" labelOnly="1" outline="0" fieldPosition="0">
        <references count="2">
          <reference field="1" count="1" selected="0">
            <x v="5"/>
          </reference>
          <reference field="2" count="4">
            <x v="9"/>
            <x v="10"/>
            <x v="17"/>
            <x v="26"/>
          </reference>
        </references>
      </pivotArea>
    </format>
    <format dxfId="159">
      <pivotArea dataOnly="0" labelOnly="1" outline="0" fieldPosition="0">
        <references count="2">
          <reference field="1" count="1" selected="0">
            <x v="6"/>
          </reference>
          <reference field="2" count="3">
            <x v="0"/>
            <x v="21"/>
            <x v="28"/>
          </reference>
        </references>
      </pivotArea>
    </format>
    <format dxfId="158">
      <pivotArea dataOnly="0" labelOnly="1" outline="0" fieldPosition="0">
        <references count="2">
          <reference field="1" count="1" selected="0">
            <x v="7"/>
          </reference>
          <reference field="2" count="2">
            <x v="4"/>
            <x v="22"/>
          </reference>
        </references>
      </pivotArea>
    </format>
    <format dxfId="157">
      <pivotArea dataOnly="0" labelOnly="1" outline="0" fieldPosition="0">
        <references count="2">
          <reference field="1" count="1" selected="0">
            <x v="8"/>
          </reference>
          <reference field="2" count="7">
            <x v="7"/>
            <x v="11"/>
            <x v="12"/>
            <x v="13"/>
            <x v="14"/>
            <x v="15"/>
            <x v="16"/>
          </reference>
        </references>
      </pivotArea>
    </format>
    <format dxfId="156">
      <pivotArea dataOnly="0" labelOnly="1" outline="0" fieldPosition="0">
        <references count="2">
          <reference field="1" count="1" selected="0">
            <x v="9"/>
          </reference>
          <reference field="2" count="1">
            <x v="30"/>
          </reference>
        </references>
      </pivotArea>
    </format>
    <format dxfId="155">
      <pivotArea dataOnly="0" labelOnly="1" outline="0" fieldPosition="0">
        <references count="1">
          <reference field="68" count="0"/>
        </references>
      </pivotArea>
    </format>
    <format dxfId="154">
      <pivotArea dataOnly="0" labelOnly="1" grandCol="1"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3"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45" firstHeaderRow="0" firstDataRow="1" firstDataCol="1" rowPageCount="1" colPageCount="1"/>
  <pivotFields count="71">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Page"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5" showAll="0"/>
    <pivotField showAll="0"/>
    <pivotField dataField="1" numFmtId="165" showAll="0"/>
    <pivotField showAll="0"/>
    <pivotField numFmtId="165" showAll="0"/>
    <pivotField showAll="0"/>
    <pivotField numFmtId="165" showAll="0"/>
    <pivotField showAll="0"/>
    <pivotField numFmtId="165" showAll="0"/>
    <pivotField showAll="0"/>
    <pivotField showAll="0"/>
    <pivotField showAll="0"/>
    <pivotField showAll="0"/>
    <pivotField numFmtId="165" showAll="0"/>
    <pivotField showAll="0"/>
    <pivotField dataField="1" numFmtId="165" showAll="0"/>
    <pivotField showAll="0"/>
    <pivotField numFmtId="165" showAll="0"/>
    <pivotField showAll="0"/>
    <pivotField numFmtId="165" showAll="0"/>
    <pivotField showAll="0"/>
    <pivotField numFmtId="165" showAll="0"/>
    <pivotField showAll="0"/>
    <pivotField showAll="0"/>
    <pivotField showAll="0"/>
    <pivotField showAll="0"/>
    <pivotField numFmtId="165" showAll="0"/>
    <pivotField showAll="0"/>
    <pivotField dataField="1" numFmtId="165" showAll="0"/>
    <pivotField showAll="0"/>
    <pivotField numFmtId="165" showAll="0"/>
    <pivotField showAll="0"/>
    <pivotField numFmtId="165" showAll="0"/>
    <pivotField showAll="0"/>
    <pivotField numFmtId="165"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dataField="1" numFmtId="165" showAll="0"/>
    <pivotField showAll="0"/>
    <pivotField showAll="0"/>
    <pivotField showAll="0"/>
    <pivotField showAll="0"/>
    <pivotField showAll="0"/>
  </pivotFields>
  <rowFields count="2">
    <field x="1"/>
    <field x="2"/>
  </rowFields>
  <rowItems count="42">
    <i>
      <x/>
    </i>
    <i r="1">
      <x v="6"/>
    </i>
    <i r="1">
      <x v="8"/>
    </i>
    <i r="1">
      <x v="23"/>
    </i>
    <i>
      <x v="1"/>
    </i>
    <i r="1">
      <x v="2"/>
    </i>
    <i r="1">
      <x v="5"/>
    </i>
    <i r="1">
      <x v="27"/>
    </i>
    <i>
      <x v="2"/>
    </i>
    <i r="1">
      <x v="1"/>
    </i>
    <i r="1">
      <x v="29"/>
    </i>
    <i>
      <x v="3"/>
    </i>
    <i r="1">
      <x v="24"/>
    </i>
    <i r="1">
      <x v="25"/>
    </i>
    <i>
      <x v="4"/>
    </i>
    <i r="1">
      <x v="3"/>
    </i>
    <i r="1">
      <x v="18"/>
    </i>
    <i r="1">
      <x v="19"/>
    </i>
    <i r="1">
      <x v="20"/>
    </i>
    <i>
      <x v="5"/>
    </i>
    <i r="1">
      <x v="9"/>
    </i>
    <i r="1">
      <x v="10"/>
    </i>
    <i r="1">
      <x v="17"/>
    </i>
    <i r="1">
      <x v="26"/>
    </i>
    <i>
      <x v="6"/>
    </i>
    <i r="1">
      <x/>
    </i>
    <i r="1">
      <x v="21"/>
    </i>
    <i r="1">
      <x v="28"/>
    </i>
    <i>
      <x v="7"/>
    </i>
    <i r="1">
      <x v="4"/>
    </i>
    <i r="1">
      <x v="22"/>
    </i>
    <i>
      <x v="8"/>
    </i>
    <i r="1">
      <x v="7"/>
    </i>
    <i r="1">
      <x v="11"/>
    </i>
    <i r="1">
      <x v="12"/>
    </i>
    <i r="1">
      <x v="13"/>
    </i>
    <i r="1">
      <x v="14"/>
    </i>
    <i r="1">
      <x v="15"/>
    </i>
    <i r="1">
      <x v="16"/>
    </i>
    <i>
      <x v="9"/>
    </i>
    <i r="1">
      <x v="30"/>
    </i>
    <i t="grand">
      <x/>
    </i>
  </rowItems>
  <colFields count="1">
    <field x="-2"/>
  </colFields>
  <colItems count="5">
    <i>
      <x/>
    </i>
    <i i="1">
      <x v="1"/>
    </i>
    <i i="2">
      <x v="2"/>
    </i>
    <i i="3">
      <x v="3"/>
    </i>
    <i i="4">
      <x v="4"/>
    </i>
  </colItems>
  <pageFields count="1">
    <pageField fld="4" hier="-1"/>
  </pageFields>
  <dataFields count="5">
    <dataField name="Sum of Q1 Cash Flows" fld="15" baseField="0" baseItem="0"/>
    <dataField name="Sum of Q2 Cash Flows" fld="17" baseField="0" baseItem="0"/>
    <dataField name="Suma de Q6 Cash Flow" fld="30" baseField="0" baseItem="0"/>
    <dataField name="Suma de Q10 Cash Flow" fld="43" baseField="0" baseItem="0"/>
    <dataField name="Suma de Y1-4 Total Cash Outflow" fld="6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I1259" totalsRowShown="0" headerRowDxfId="822" dataDxfId="821">
  <autoFilter ref="A1:I1259" xr:uid="{00000000-0009-0000-0100-000005000000}"/>
  <tableColumns count="9">
    <tableColumn id="1" xr3:uid="{00000000-0010-0000-0000-000001000000}" name="Component" dataDxfId="820"/>
    <tableColumn id="2" xr3:uid="{00000000-0010-0000-0000-000002000000}" name="Worksheet" dataDxfId="819"/>
    <tableColumn id="3" xr3:uid="{00000000-0010-0000-0000-000003000000}" name="Sections" dataDxfId="818"/>
    <tableColumn id="4" xr3:uid="{00000000-0010-0000-0000-000004000000}" name="Logistics Cost Category" dataDxfId="817"/>
    <tableColumn id="5" xr3:uid="{00000000-0010-0000-0000-000005000000}" name="Product Category" dataDxfId="816"/>
    <tableColumn id="6" xr3:uid="{00000000-0010-0000-0000-000006000000}" name="Product INN" dataDxfId="815"/>
    <tableColumn id="7" xr3:uid="{00000000-0010-0000-0000-000007000000}" name="Specification" dataDxfId="814"/>
    <tableColumn id="8" xr3:uid="{00000000-0010-0000-0000-000008000000}" name="Cost Input*" dataDxfId="813"/>
    <tableColumn id="9" xr3:uid="{00000000-0010-0000-0000-000009000000}" name="Unit of measure*" dataDxfId="812"/>
  </tableColumns>
  <tableStyleInfo name="TableStyleMedium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02" displayName="Table102" ref="E64:G74" totalsRowShown="0" headerRowDxfId="801" headerRowBorderDxfId="800">
  <tableColumns count="3">
    <tableColumn id="1" xr3:uid="{00000000-0010-0000-0100-000001000000}" name="% of total male condoms " dataDxfId="799"/>
    <tableColumn id="2" xr3:uid="{00000000-0010-0000-0100-000002000000}" name="% of total female condoms" dataDxfId="798"/>
    <tableColumn id="3" xr3:uid="{00000000-0010-0000-0100-000003000000}" name="% of total lubricant" dataDxfId="797"/>
  </tableColumns>
  <tableStyleInfo name="TableStyleLight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10153" displayName="Table10153" ref="E78:I89" totalsRowShown="0" headerRowDxfId="796" dataDxfId="794" headerRowBorderDxfId="795" tableBorderDxfId="793">
  <tableColumns count="5">
    <tableColumn id="1" xr3:uid="{00000000-0010-0000-0200-000001000000}" name="% of total HIV tests" dataDxfId="792"/>
    <tableColumn id="2" xr3:uid="{00000000-0010-0000-0200-000002000000}" name="% of total non-HIV tests" dataDxfId="791"/>
    <tableColumn id="3" xr3:uid="{00000000-0010-0000-0200-000003000000}" name="% facility-based" dataDxfId="790"/>
    <tableColumn id="4" xr3:uid="{00000000-0010-0000-0200-000004000000}" name="% community-based" dataDxfId="789"/>
    <tableColumn id="5" xr3:uid="{00000000-0010-0000-0200-000005000000}" name="% self-testing" dataDxfId="788"/>
  </tableColumns>
  <tableStyleInfo name="TableStyleLight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69121385" displayName="Table69121385" ref="G13:AD58" totalsRowShown="0" headerRowDxfId="660" dataDxfId="658" headerRowBorderDxfId="659" tableBorderDxfId="657">
  <tableColumns count="24">
    <tableColumn id="1" xr3:uid="{00000000-0010-0000-0300-000001000000}" name="Y1 Unit cost" dataDxfId="656"/>
    <tableColumn id="2" xr3:uid="{00000000-0010-0000-0300-000002000000}" name="Y1 Q1 quantity" dataDxfId="655"/>
    <tableColumn id="3" xr3:uid="{00000000-0010-0000-0300-000003000000}" name="Y1 Q2 quantity" dataDxfId="654"/>
    <tableColumn id="4" xr3:uid="{00000000-0010-0000-0300-000004000000}" name="Y1 Q3 quantity" dataDxfId="653"/>
    <tableColumn id="5" xr3:uid="{00000000-0010-0000-0300-000005000000}" name="Y1 Q4 quantity" dataDxfId="652"/>
    <tableColumn id="6" xr3:uid="{00000000-0010-0000-0300-000006000000}" name="Y1 Total quantity" dataDxfId="651">
      <calculatedColumnFormula>SUM(Table69121385[[#This Row],[Y1 Q1 quantity]:[Y1 Q4 quantity]])</calculatedColumnFormula>
    </tableColumn>
    <tableColumn id="7" xr3:uid="{00000000-0010-0000-0300-000007000000}" name="Y1 Total cost" dataDxfId="650">
      <calculatedColumnFormula>Table69121385[[#This Row],[Y1 Total quantity]]*Table69121385[[#This Row],[Y1 Unit cost]]</calculatedColumnFormula>
    </tableColumn>
    <tableColumn id="8" xr3:uid="{00000000-0010-0000-0300-000008000000}" name="Y2 Unit cost" dataDxfId="649"/>
    <tableColumn id="9" xr3:uid="{00000000-0010-0000-0300-000009000000}" name="Y2 Q1 quantity" dataDxfId="648"/>
    <tableColumn id="10" xr3:uid="{00000000-0010-0000-0300-00000A000000}" name="Y2 Q2 quantity" dataDxfId="647"/>
    <tableColumn id="11" xr3:uid="{00000000-0010-0000-0300-00000B000000}" name="Y2 Q3 quantity" dataDxfId="646"/>
    <tableColumn id="12" xr3:uid="{00000000-0010-0000-0300-00000C000000}" name="Y2 Q4 quantity" dataDxfId="645"/>
    <tableColumn id="13" xr3:uid="{00000000-0010-0000-0300-00000D000000}" name="Y2 Total quantity" dataDxfId="644">
      <calculatedColumnFormula>SUM(Table69121385[[#This Row],[Y2 Q1 quantity]:[Y2 Q4 quantity]])</calculatedColumnFormula>
    </tableColumn>
    <tableColumn id="14" xr3:uid="{00000000-0010-0000-0300-00000E000000}" name="Y2 Total cost" dataDxfId="643">
      <calculatedColumnFormula>Table69121385[[#This Row],[Y2 Total quantity]]*Table69121385[[#This Row],[Y2 Unit cost]]</calculatedColumnFormula>
    </tableColumn>
    <tableColumn id="15" xr3:uid="{00000000-0010-0000-0300-00000F000000}" name="Y3 Unit cost" dataDxfId="642"/>
    <tableColumn id="16" xr3:uid="{00000000-0010-0000-0300-000010000000}" name="Y3 Q1 quantity" dataDxfId="641"/>
    <tableColumn id="17" xr3:uid="{00000000-0010-0000-0300-000011000000}" name="Y3 Q2 quantity" dataDxfId="640"/>
    <tableColumn id="18" xr3:uid="{00000000-0010-0000-0300-000012000000}" name="Y3 Q3 quantity" dataDxfId="639"/>
    <tableColumn id="19" xr3:uid="{00000000-0010-0000-0300-000013000000}" name="Y3 Q4 quantity" dataDxfId="638"/>
    <tableColumn id="20" xr3:uid="{00000000-0010-0000-0300-000014000000}" name="Y3 Total quantity" dataDxfId="637">
      <calculatedColumnFormula>SUM(Table69121385[[#This Row],[Y3 Q1 quantity]:[Y3 Q4 quantity]])</calculatedColumnFormula>
    </tableColumn>
    <tableColumn id="21" xr3:uid="{00000000-0010-0000-0300-000015000000}" name="Y3 Total cost" dataDxfId="636">
      <calculatedColumnFormula>Table69121385[[#This Row],[Y3 Unit cost]]*Table69121385[[#This Row],[Y3 Total quantity]]</calculatedColumnFormula>
    </tableColumn>
    <tableColumn id="22" xr3:uid="{00000000-0010-0000-0300-000016000000}" name="Total quantity" dataDxfId="635">
      <calculatedColumnFormula>Table69121385[[#This Row],[Y1 Total quantity]]+Table69121385[[#This Row],[Y2 Total quantity]]+Table69121385[[#This Row],[Y3 Total quantity]]</calculatedColumnFormula>
    </tableColumn>
    <tableColumn id="23" xr3:uid="{00000000-0010-0000-0300-000017000000}" name="Total cost " dataDxfId="634">
      <calculatedColumnFormula>Table69121385[[#This Row],[Y1 Total cost]]+Table69121385[[#This Row],[Y2 Total cost]]+Table69121385[[#This Row],[Y3 Total cost]]</calculatedColumnFormula>
    </tableColumn>
    <tableColumn id="24" xr3:uid="{00000000-0010-0000-0300-000018000000}" name="Cost input" dataDxfId="633">
      <calculatedColumnFormula>IF(A14&lt;&gt;"",IFERROR(INDEX(PMtbl[[WKst]:[Unit of measure*]],MATCH($A14&amp;$C14&amp;$D14,INDEX(PMtbl[Category]&amp;PMtbl[INN]&amp;PMtbl[Specification],0,),0),7),""),"")</calculatedColumnFormula>
    </tableColumn>
  </tableColumns>
  <tableStyleInfo name="TableStyleLight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4000000}" name="Table45464849" displayName="Table45464849" ref="J14:Y47" totalsRowShown="0" headerRowDxfId="616" dataDxfId="614" headerRowBorderDxfId="615" tableBorderDxfId="613">
  <autoFilter ref="J14:Y47" xr:uid="{00000000-0009-0000-0100-000030000000}"/>
  <tableColumns count="16">
    <tableColumn id="1" xr3:uid="{00000000-0010-0000-0400-000001000000}" name="Y1 Q1 cost" dataDxfId="612"/>
    <tableColumn id="2" xr3:uid="{00000000-0010-0000-0400-000002000000}" name="Y1 Q2 cost" dataDxfId="611"/>
    <tableColumn id="3" xr3:uid="{00000000-0010-0000-0400-000003000000}" name="Y1 Q3 cost" dataDxfId="610"/>
    <tableColumn id="4" xr3:uid="{00000000-0010-0000-0400-000004000000}" name="Y1 Q4 cost" dataDxfId="609"/>
    <tableColumn id="5" xr3:uid="{00000000-0010-0000-0400-000005000000}" name="Y1 total cost" dataDxfId="608">
      <calculatedColumnFormula>SUM(Table45464849[[#This Row],[Y1 Q1 cost]:[Y1 Q4 cost]])</calculatedColumnFormula>
    </tableColumn>
    <tableColumn id="6" xr3:uid="{00000000-0010-0000-0400-000006000000}" name="Y2 Q1 cost" dataDxfId="607"/>
    <tableColumn id="7" xr3:uid="{00000000-0010-0000-0400-000007000000}" name="Y2 Q2 cost" dataDxfId="606"/>
    <tableColumn id="8" xr3:uid="{00000000-0010-0000-0400-000008000000}" name="Y2 Q3 cost" dataDxfId="605"/>
    <tableColumn id="9" xr3:uid="{00000000-0010-0000-0400-000009000000}" name="Y2 Q4 cost" dataDxfId="604"/>
    <tableColumn id="10" xr3:uid="{00000000-0010-0000-0400-00000A000000}" name="Y2 total cost" dataDxfId="603">
      <calculatedColumnFormula>SUM(Table45464849[[#This Row],[Y2 Q1 cost]:[Y2 Q4 cost]])</calculatedColumnFormula>
    </tableColumn>
    <tableColumn id="11" xr3:uid="{00000000-0010-0000-0400-00000B000000}" name="Y3 Q1 cost" dataDxfId="602"/>
    <tableColumn id="12" xr3:uid="{00000000-0010-0000-0400-00000C000000}" name="Y3 Q2 cost" dataDxfId="601"/>
    <tableColumn id="13" xr3:uid="{00000000-0010-0000-0400-00000D000000}" name="Y3 Q3 cost" dataDxfId="600"/>
    <tableColumn id="14" xr3:uid="{00000000-0010-0000-0400-00000E000000}" name="Y3 Q4 cost" dataDxfId="599"/>
    <tableColumn id="15" xr3:uid="{00000000-0010-0000-0400-00000F000000}" name="Y3 total cost" dataDxfId="598">
      <calculatedColumnFormula>SUM(Table45464849[[#This Row],[Y3 Q1 cost]:[Y3 Q4 cost]])</calculatedColumnFormula>
    </tableColumn>
    <tableColumn id="16" xr3:uid="{00000000-0010-0000-0400-000010000000}" name="Total cost " dataDxfId="597">
      <calculatedColumnFormula>Table45464849[[#This Row],[Y1 total cost]]+Table45464849[[#This Row],[Y2 total cost]]+Table45464849[[#This Row],[Y3 total cost]]</calculatedColumnFormula>
    </tableColumn>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5000000}" name="Table4546484950" displayName="Table4546484950" ref="J54:Y87" totalsRowShown="0" headerRowDxfId="596" dataDxfId="594" headerRowBorderDxfId="595" tableBorderDxfId="593">
  <autoFilter ref="J54:Y87" xr:uid="{00000000-0009-0000-0100-000031000000}"/>
  <tableColumns count="16">
    <tableColumn id="1" xr3:uid="{00000000-0010-0000-0500-000001000000}" name="Y1 Q1 cost" dataDxfId="592"/>
    <tableColumn id="2" xr3:uid="{00000000-0010-0000-0500-000002000000}" name="Y1 Q2 cost" dataDxfId="591"/>
    <tableColumn id="3" xr3:uid="{00000000-0010-0000-0500-000003000000}" name="Y1 Q3 cost" dataDxfId="590"/>
    <tableColumn id="4" xr3:uid="{00000000-0010-0000-0500-000004000000}" name="Y1 Q4 cost" dataDxfId="589"/>
    <tableColumn id="5" xr3:uid="{00000000-0010-0000-0500-000005000000}" name="Y1 total cost" dataDxfId="588">
      <calculatedColumnFormula>SUM(Table4546484950[[#This Row],[Y1 Q1 cost]:[Y1 Q4 cost]])</calculatedColumnFormula>
    </tableColumn>
    <tableColumn id="6" xr3:uid="{00000000-0010-0000-0500-000006000000}" name="Y2 Q1 cost" dataDxfId="587"/>
    <tableColumn id="7" xr3:uid="{00000000-0010-0000-0500-000007000000}" name="Y2 Q2 cost" dataDxfId="586"/>
    <tableColumn id="8" xr3:uid="{00000000-0010-0000-0500-000008000000}" name="Y2 Q3 cost" dataDxfId="585"/>
    <tableColumn id="9" xr3:uid="{00000000-0010-0000-0500-000009000000}" name="Y2 Q4 cost" dataDxfId="584"/>
    <tableColumn id="10" xr3:uid="{00000000-0010-0000-0500-00000A000000}" name="Y2 total cost" dataDxfId="583">
      <calculatedColumnFormula>SUM(Table4546484950[[#This Row],[Y2 Q1 cost]:[Y2 Q4 cost]])</calculatedColumnFormula>
    </tableColumn>
    <tableColumn id="11" xr3:uid="{00000000-0010-0000-0500-00000B000000}" name="Y3 Q1 cost" dataDxfId="582"/>
    <tableColumn id="12" xr3:uid="{00000000-0010-0000-0500-00000C000000}" name="Y3 Q2 cost" dataDxfId="581"/>
    <tableColumn id="13" xr3:uid="{00000000-0010-0000-0500-00000D000000}" name="Y3 Q3 cost" dataDxfId="580"/>
    <tableColumn id="14" xr3:uid="{00000000-0010-0000-0500-00000E000000}" name="Y3 Q4 cost" dataDxfId="579"/>
    <tableColumn id="15" xr3:uid="{00000000-0010-0000-0500-00000F000000}" name="Y3 total cost" dataDxfId="578">
      <calculatedColumnFormula>SUM(Table4546484950[[#This Row],[Y3 Q1 cost]:[Y3 Q4 cost]])</calculatedColumnFormula>
    </tableColumn>
    <tableColumn id="16" xr3:uid="{00000000-0010-0000-0500-000010000000}" name="Total cost " dataDxfId="577">
      <calculatedColumnFormula>Table4546484950[[#This Row],[Y1 total cost]]+Table4546484950[[#This Row],[Y2 total cost]]+Table4546484950[[#This Row],[Y3 total cost]]</calculatedColumnFormula>
    </tableColumn>
  </tableColumns>
  <tableStyleInfo name="TableStyleLight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PMtbl" displayName="PMtbl" ref="A2:J1278" totalsRowShown="0" headerRowDxfId="359" dataDxfId="358">
  <autoFilter ref="A2:J1278" xr:uid="{00000000-0009-0000-0100-000009000000}"/>
  <tableColumns count="10">
    <tableColumn id="1" xr3:uid="{00000000-0010-0000-0600-000001000000}" name="Component" dataDxfId="357"/>
    <tableColumn id="2" xr3:uid="{00000000-0010-0000-0600-000002000000}" name="WKst" dataDxfId="356"/>
    <tableColumn id="3" xr3:uid="{00000000-0010-0000-0600-000003000000}" name="Sec" dataDxfId="355"/>
    <tableColumn id="4" xr3:uid="{00000000-0010-0000-0600-000004000000}" name="Logistics Cost Category" dataDxfId="354"/>
    <tableColumn id="5" xr3:uid="{00000000-0010-0000-0600-000005000000}" name="Category" dataDxfId="353"/>
    <tableColumn id="6" xr3:uid="{00000000-0010-0000-0600-000006000000}" name="INN" dataDxfId="352"/>
    <tableColumn id="7" xr3:uid="{00000000-0010-0000-0600-000007000000}" name="Specification" dataDxfId="351"/>
    <tableColumn id="8" xr3:uid="{00000000-0010-0000-0600-000008000000}" name="Cost Input*" dataDxfId="350"/>
    <tableColumn id="9" xr3:uid="{00000000-0010-0000-0600-000009000000}" name="Unit of measure*" dataDxfId="349"/>
    <tableColumn id="11" xr3:uid="{00000000-0010-0000-0600-00000B000000}" name="Remark" dataDxfId="348"/>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Grant" displayName="Grant" ref="A2:J524" totalsRowShown="0" headerRowDxfId="347">
  <autoFilter ref="A2:J524" xr:uid="{00000000-0009-0000-0100-000003000000}"/>
  <sortState xmlns:xlrd2="http://schemas.microsoft.com/office/spreadsheetml/2017/richdata2" ref="A3:J466">
    <sortCondition ref="B3:B466"/>
    <sortCondition ref="F3:F466"/>
    <sortCondition ref="H3:H466"/>
  </sortState>
  <tableColumns count="10">
    <tableColumn id="1" xr3:uid="{00000000-0010-0000-0700-000001000000}" name="Geography ID"/>
    <tableColumn id="2" xr3:uid="{00000000-0010-0000-0700-000002000000}" name="Country"/>
    <tableColumn id="3" xr3:uid="{00000000-0010-0000-0700-000003000000}" name="Currency ID"/>
    <tableColumn id="4" xr3:uid="{00000000-0010-0000-0700-000004000000}" name="Currency"/>
    <tableColumn id="5" xr3:uid="{00000000-0010-0000-0700-000005000000}" name="Component ID"/>
    <tableColumn id="6" xr3:uid="{00000000-0010-0000-0700-000006000000}" name="Component"/>
    <tableColumn id="7" xr3:uid="{00000000-0010-0000-0700-000007000000}" name="Organization ID"/>
    <tableColumn id="8" xr3:uid="{00000000-0010-0000-0700-000008000000}" name="PR Organization"/>
    <tableColumn id="9" xr3:uid="{00000000-0010-0000-0700-000009000000}" name="GOSGrantID"/>
    <tableColumn id="10" xr3:uid="{00000000-0010-0000-0700-00000A000000}" name="GrantName"/>
  </tableColumns>
  <tableStyleInfo name="TableStyleMedium13"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20.bin"/><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22.bin"/><Relationship Id="rId1" Type="http://schemas.openxmlformats.org/officeDocument/2006/relationships/pivotTable" Target="../pivotTables/pivotTable2.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3.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4.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7.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 Type="http://schemas.openxmlformats.org/officeDocument/2006/relationships/drawing" Target="../drawings/drawing3.xml"/><Relationship Id="rId16" Type="http://schemas.openxmlformats.org/officeDocument/2006/relationships/ctrlProp" Target="../ctrlProps/ctrlProp41.xml"/><Relationship Id="rId1" Type="http://schemas.openxmlformats.org/officeDocument/2006/relationships/printerSettings" Target="../printerSettings/printerSettings3.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ctrlProp" Target="../ctrlProps/ctrlProp30.xml"/><Relationship Id="rId15" Type="http://schemas.openxmlformats.org/officeDocument/2006/relationships/ctrlProp" Target="../ctrlProps/ctrlProp40.xml"/><Relationship Id="rId10" Type="http://schemas.openxmlformats.org/officeDocument/2006/relationships/ctrlProp" Target="../ctrlProps/ctrlProp35.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theme="4" tint="-0.249977111117893"/>
  </sheetPr>
  <dimension ref="A1:P33"/>
  <sheetViews>
    <sheetView showGridLines="0" topLeftCell="A7" zoomScaleNormal="100" workbookViewId="0">
      <selection activeCell="B12" sqref="B12:L12"/>
    </sheetView>
  </sheetViews>
  <sheetFormatPr baseColWidth="10" defaultColWidth="8.7265625" defaultRowHeight="14.5"/>
  <cols>
    <col min="1" max="1" width="8.7265625" style="1939"/>
    <col min="2" max="5" width="15.453125" style="1939" customWidth="1"/>
    <col min="6" max="6" width="8.453125" style="1939" customWidth="1"/>
    <col min="7" max="10" width="15.453125" style="1939" customWidth="1"/>
    <col min="11" max="12" width="14" style="1939" customWidth="1"/>
    <col min="13" max="13" width="8.7265625" style="1939"/>
    <col min="14" max="14" width="8.7265625" style="2020"/>
    <col min="15" max="16384" width="8.7265625" style="1939"/>
  </cols>
  <sheetData>
    <row r="1" spans="1:16" ht="24" thickBot="1">
      <c r="A1" s="2085" t="s">
        <v>3411</v>
      </c>
      <c r="B1" s="2086"/>
      <c r="C1" s="2086"/>
      <c r="D1" s="2086"/>
      <c r="E1" s="2086"/>
      <c r="F1" s="2086"/>
      <c r="G1" s="2086"/>
      <c r="H1" s="2086"/>
      <c r="I1" s="2086"/>
      <c r="J1" s="2087"/>
      <c r="K1" s="2019"/>
      <c r="L1" s="2088"/>
    </row>
    <row r="2" spans="1:16">
      <c r="A2" s="2021"/>
      <c r="B2" s="2021"/>
      <c r="C2" s="2021"/>
      <c r="D2" s="2021"/>
      <c r="E2" s="2021"/>
      <c r="F2" s="2021"/>
      <c r="G2" s="2021"/>
      <c r="H2" s="2021"/>
      <c r="I2" s="2021"/>
      <c r="J2" s="2021"/>
      <c r="K2" s="2019"/>
      <c r="L2" s="2088"/>
    </row>
    <row r="3" spans="1:16" ht="71.150000000000006" hidden="1" customHeight="1" thickBot="1">
      <c r="A3" s="1934"/>
      <c r="B3" s="2089" t="s">
        <v>1</v>
      </c>
      <c r="C3" s="2091"/>
      <c r="D3" s="2091"/>
      <c r="E3" s="2091"/>
      <c r="F3" s="2022"/>
      <c r="G3" s="2093" t="s">
        <v>2</v>
      </c>
      <c r="H3" s="2091"/>
      <c r="I3" s="2091"/>
      <c r="J3" s="2095"/>
      <c r="K3" s="2019"/>
      <c r="L3" s="2023"/>
    </row>
    <row r="4" spans="1:16" ht="71.150000000000006" hidden="1" customHeight="1" thickTop="1" thickBot="1">
      <c r="A4" s="1935"/>
      <c r="B4" s="2090"/>
      <c r="C4" s="2092"/>
      <c r="D4" s="2092"/>
      <c r="E4" s="2092"/>
      <c r="F4" s="2024"/>
      <c r="G4" s="2094"/>
      <c r="H4" s="2096"/>
      <c r="I4" s="2096"/>
      <c r="J4" s="2097"/>
      <c r="K4" s="2019"/>
      <c r="L4" s="2025"/>
    </row>
    <row r="5" spans="1:16" ht="15" hidden="1" thickBot="1">
      <c r="A5" s="1935"/>
      <c r="B5" s="2098" t="s">
        <v>3</v>
      </c>
      <c r="C5" s="2096"/>
      <c r="D5" s="2096"/>
      <c r="E5" s="2096"/>
      <c r="F5" s="1936"/>
      <c r="G5" s="2101" t="s">
        <v>4</v>
      </c>
      <c r="H5" s="2103"/>
      <c r="I5" s="2103"/>
      <c r="J5" s="2104"/>
      <c r="K5" s="2019"/>
      <c r="L5" s="2025"/>
    </row>
    <row r="6" spans="1:16" ht="15.5" hidden="1" thickTop="1" thickBot="1">
      <c r="A6" s="1937"/>
      <c r="B6" s="2099"/>
      <c r="C6" s="2100"/>
      <c r="D6" s="2100"/>
      <c r="E6" s="2100"/>
      <c r="F6" s="1938"/>
      <c r="G6" s="2102"/>
      <c r="H6" s="2100"/>
      <c r="I6" s="2100"/>
      <c r="J6" s="2105"/>
      <c r="K6" s="2019"/>
      <c r="L6" s="2025"/>
    </row>
    <row r="7" spans="1:16">
      <c r="A7" s="2026"/>
      <c r="B7" s="2026"/>
      <c r="C7" s="2026"/>
      <c r="D7" s="2026"/>
      <c r="E7" s="2026"/>
      <c r="F7" s="2026"/>
      <c r="G7" s="2026"/>
      <c r="H7" s="2026"/>
      <c r="I7" s="2026"/>
      <c r="J7" s="2026"/>
      <c r="K7" s="2027"/>
      <c r="L7" s="2027"/>
    </row>
    <row r="8" spans="1:16">
      <c r="A8" s="2106" t="s">
        <v>3412</v>
      </c>
      <c r="B8" s="2106"/>
      <c r="C8" s="2106"/>
      <c r="D8" s="2106"/>
      <c r="E8" s="2106"/>
      <c r="F8" s="2106"/>
      <c r="G8" s="2106"/>
      <c r="H8" s="2106"/>
      <c r="I8" s="2106"/>
      <c r="J8" s="2106"/>
      <c r="K8" s="2106"/>
      <c r="L8" s="2106"/>
    </row>
    <row r="9" spans="1:16" s="1940" customFormat="1" ht="50.25" customHeight="1">
      <c r="A9" s="2028"/>
      <c r="B9" s="2078" t="s">
        <v>3413</v>
      </c>
      <c r="C9" s="2078"/>
      <c r="D9" s="2078"/>
      <c r="E9" s="2078"/>
      <c r="F9" s="2078"/>
      <c r="G9" s="2078"/>
      <c r="H9" s="2078"/>
      <c r="I9" s="2078"/>
      <c r="J9" s="2078"/>
      <c r="K9" s="2078"/>
      <c r="L9" s="2078"/>
      <c r="N9" s="2029" t="b">
        <v>0</v>
      </c>
    </row>
    <row r="10" spans="1:16" s="1940" customFormat="1" ht="30.75" customHeight="1">
      <c r="A10" s="2028"/>
      <c r="B10" s="2078" t="s">
        <v>3414</v>
      </c>
      <c r="C10" s="2078"/>
      <c r="D10" s="2078"/>
      <c r="E10" s="2078"/>
      <c r="F10" s="2078"/>
      <c r="G10" s="2078"/>
      <c r="H10" s="2078"/>
      <c r="I10" s="2078"/>
      <c r="J10" s="2078"/>
      <c r="K10" s="2078"/>
      <c r="L10" s="2078"/>
      <c r="N10" s="2029" t="b">
        <v>0</v>
      </c>
    </row>
    <row r="11" spans="1:16" s="1940" customFormat="1" ht="30.75" customHeight="1">
      <c r="A11" s="2028"/>
      <c r="B11" s="2078" t="s">
        <v>3415</v>
      </c>
      <c r="C11" s="2078"/>
      <c r="D11" s="2078"/>
      <c r="E11" s="2078"/>
      <c r="F11" s="2078"/>
      <c r="G11" s="2078"/>
      <c r="H11" s="2078"/>
      <c r="I11" s="2078"/>
      <c r="J11" s="2078"/>
      <c r="K11" s="2078"/>
      <c r="L11" s="2078"/>
      <c r="N11" s="2029" t="b">
        <v>0</v>
      </c>
      <c r="P11" s="2030"/>
    </row>
    <row r="12" spans="1:16" s="1940" customFormat="1" ht="30.75" customHeight="1">
      <c r="A12" s="2028"/>
      <c r="B12" s="2078" t="s">
        <v>3416</v>
      </c>
      <c r="C12" s="2078"/>
      <c r="D12" s="2078"/>
      <c r="E12" s="2078"/>
      <c r="F12" s="2078"/>
      <c r="G12" s="2078"/>
      <c r="H12" s="2078"/>
      <c r="I12" s="2078"/>
      <c r="J12" s="2078"/>
      <c r="K12" s="2078"/>
      <c r="L12" s="2078"/>
      <c r="N12" s="2029" t="b">
        <v>0</v>
      </c>
    </row>
    <row r="13" spans="1:16" s="1940" customFormat="1" ht="30.75" customHeight="1">
      <c r="A13" s="2028"/>
      <c r="B13" s="2078" t="s">
        <v>3417</v>
      </c>
      <c r="C13" s="2078"/>
      <c r="D13" s="2078"/>
      <c r="E13" s="2078"/>
      <c r="F13" s="2078"/>
      <c r="G13" s="2078"/>
      <c r="H13" s="2078"/>
      <c r="I13" s="2078"/>
      <c r="J13" s="2078"/>
      <c r="K13" s="2078"/>
      <c r="L13" s="2078"/>
      <c r="N13" s="2029" t="b">
        <v>0</v>
      </c>
    </row>
    <row r="14" spans="1:16" s="1940" customFormat="1" ht="50.25" customHeight="1">
      <c r="A14" s="2028"/>
      <c r="B14" s="2078" t="s">
        <v>3418</v>
      </c>
      <c r="C14" s="2078"/>
      <c r="D14" s="2078"/>
      <c r="E14" s="2078"/>
      <c r="F14" s="2078"/>
      <c r="G14" s="2078"/>
      <c r="H14" s="2078"/>
      <c r="I14" s="2078"/>
      <c r="J14" s="2078"/>
      <c r="K14" s="2078"/>
      <c r="L14" s="2078"/>
      <c r="N14" s="2029" t="b">
        <v>0</v>
      </c>
    </row>
    <row r="15" spans="1:16" s="1940" customFormat="1" ht="30.75" customHeight="1">
      <c r="A15" s="2028"/>
      <c r="B15" s="2078" t="s">
        <v>3419</v>
      </c>
      <c r="C15" s="2078"/>
      <c r="D15" s="2078"/>
      <c r="E15" s="2078"/>
      <c r="F15" s="2078"/>
      <c r="G15" s="2078"/>
      <c r="H15" s="2078"/>
      <c r="I15" s="2078"/>
      <c r="J15" s="2078"/>
      <c r="K15" s="2078"/>
      <c r="L15" s="2078"/>
      <c r="N15" s="2029" t="b">
        <v>0</v>
      </c>
    </row>
    <row r="16" spans="1:16" s="1940" customFormat="1" ht="52.15" customHeight="1">
      <c r="A16" s="2028"/>
      <c r="B16" s="2078" t="s">
        <v>3420</v>
      </c>
      <c r="C16" s="2078"/>
      <c r="D16" s="2078"/>
      <c r="E16" s="2078"/>
      <c r="F16" s="2078"/>
      <c r="G16" s="2078"/>
      <c r="H16" s="2078"/>
      <c r="I16" s="2078"/>
      <c r="J16" s="2078"/>
      <c r="K16" s="2078"/>
      <c r="L16" s="2078"/>
      <c r="N16" s="2029" t="b">
        <v>0</v>
      </c>
    </row>
    <row r="17" spans="1:14" s="1940" customFormat="1" ht="30.75" customHeight="1">
      <c r="A17" s="2028"/>
      <c r="B17" s="2078" t="s">
        <v>3421</v>
      </c>
      <c r="C17" s="2078"/>
      <c r="D17" s="2078"/>
      <c r="E17" s="2078"/>
      <c r="F17" s="2078"/>
      <c r="G17" s="2078"/>
      <c r="H17" s="2078"/>
      <c r="I17" s="2078"/>
      <c r="J17" s="2078"/>
      <c r="K17" s="2078"/>
      <c r="L17" s="2078"/>
      <c r="N17" s="2029" t="b">
        <v>0</v>
      </c>
    </row>
    <row r="18" spans="1:14" s="1940" customFormat="1" ht="38.15" customHeight="1">
      <c r="A18" s="2028"/>
      <c r="B18" s="2078" t="s">
        <v>3422</v>
      </c>
      <c r="C18" s="2078"/>
      <c r="D18" s="2078"/>
      <c r="E18" s="2078"/>
      <c r="F18" s="2078"/>
      <c r="G18" s="2078"/>
      <c r="H18" s="2078"/>
      <c r="I18" s="2078"/>
      <c r="J18" s="2078"/>
      <c r="K18" s="2078"/>
      <c r="L18" s="2078"/>
      <c r="N18" s="2029" t="b">
        <v>0</v>
      </c>
    </row>
    <row r="19" spans="1:14" s="1940" customFormat="1" ht="89.15" customHeight="1">
      <c r="A19" s="2028"/>
      <c r="B19" s="2078" t="s">
        <v>3423</v>
      </c>
      <c r="C19" s="2078"/>
      <c r="D19" s="2078"/>
      <c r="E19" s="2078"/>
      <c r="F19" s="2078"/>
      <c r="G19" s="2078"/>
      <c r="H19" s="2078"/>
      <c r="I19" s="2078"/>
      <c r="J19" s="2078"/>
      <c r="K19" s="2078"/>
      <c r="L19" s="2078"/>
      <c r="N19" s="2029" t="b">
        <v>0</v>
      </c>
    </row>
    <row r="20" spans="1:14" s="1940" customFormat="1" ht="77.150000000000006" customHeight="1">
      <c r="A20" s="2028"/>
      <c r="B20" s="2078" t="s">
        <v>3424</v>
      </c>
      <c r="C20" s="2078"/>
      <c r="D20" s="2078"/>
      <c r="E20" s="2078"/>
      <c r="F20" s="2078"/>
      <c r="G20" s="2078"/>
      <c r="H20" s="2078"/>
      <c r="I20" s="2078"/>
      <c r="J20" s="2078"/>
      <c r="K20" s="2078"/>
      <c r="L20" s="2078"/>
      <c r="N20" s="2029" t="b">
        <v>0</v>
      </c>
    </row>
    <row r="21" spans="1:14" s="1940" customFormat="1" ht="67.150000000000006" customHeight="1">
      <c r="A21" s="2028"/>
      <c r="B21" s="2078" t="s">
        <v>3425</v>
      </c>
      <c r="C21" s="2078"/>
      <c r="D21" s="2078"/>
      <c r="E21" s="2078"/>
      <c r="F21" s="2078"/>
      <c r="G21" s="2078"/>
      <c r="H21" s="2078"/>
      <c r="I21" s="2078"/>
      <c r="J21" s="2078"/>
      <c r="K21" s="2078"/>
      <c r="L21" s="2078"/>
      <c r="N21" s="2029" t="b">
        <v>0</v>
      </c>
    </row>
    <row r="22" spans="1:14" s="1940" customFormat="1" ht="95.15" customHeight="1">
      <c r="A22" s="2028"/>
      <c r="B22" s="2078" t="s">
        <v>3426</v>
      </c>
      <c r="C22" s="2078"/>
      <c r="D22" s="2078"/>
      <c r="E22" s="2078"/>
      <c r="F22" s="2078"/>
      <c r="G22" s="2078"/>
      <c r="H22" s="2078"/>
      <c r="I22" s="2078"/>
      <c r="J22" s="2078"/>
      <c r="K22" s="2078"/>
      <c r="L22" s="2078"/>
      <c r="N22" s="2029" t="b">
        <v>0</v>
      </c>
    </row>
    <row r="23" spans="1:14">
      <c r="A23" s="2024"/>
      <c r="B23" s="2031"/>
      <c r="C23" s="2031"/>
      <c r="D23" s="2031"/>
      <c r="E23" s="2031"/>
      <c r="F23" s="2031"/>
      <c r="G23" s="2031"/>
      <c r="H23" s="2031"/>
      <c r="I23" s="2031"/>
      <c r="J23" s="2031"/>
      <c r="K23" s="2031"/>
      <c r="L23" s="2031"/>
    </row>
    <row r="24" spans="1:14" ht="109.5" customHeight="1">
      <c r="A24" s="2079" t="s">
        <v>3427</v>
      </c>
      <c r="B24" s="2079"/>
      <c r="C24" s="2079"/>
      <c r="D24" s="2079"/>
      <c r="E24" s="2079"/>
      <c r="F24" s="2079"/>
      <c r="G24" s="2079"/>
      <c r="H24" s="2079"/>
      <c r="I24" s="2079"/>
      <c r="J24" s="2079"/>
      <c r="K24" s="2079"/>
      <c r="L24" s="2079"/>
    </row>
    <row r="25" spans="1:14">
      <c r="A25" s="2024"/>
      <c r="B25" s="2024"/>
      <c r="C25" s="2024"/>
      <c r="D25" s="2024"/>
      <c r="E25" s="2024"/>
      <c r="F25" s="2024"/>
      <c r="G25" s="2024"/>
      <c r="H25" s="2024"/>
      <c r="I25" s="2024"/>
      <c r="J25" s="2024"/>
      <c r="K25" s="2024"/>
      <c r="L25" s="2024"/>
    </row>
    <row r="26" spans="1:14" ht="15.5">
      <c r="A26" s="2080" t="s">
        <v>3428</v>
      </c>
      <c r="B26" s="2080"/>
      <c r="C26" s="2080"/>
      <c r="D26" s="2080"/>
      <c r="E26" s="2080"/>
      <c r="F26" s="2080"/>
      <c r="G26" s="2080"/>
      <c r="H26" s="2080"/>
      <c r="I26" s="2080"/>
      <c r="J26" s="2080"/>
      <c r="K26" s="2080"/>
      <c r="L26" s="2080"/>
    </row>
    <row r="27" spans="1:14" ht="15.5">
      <c r="A27" s="2032"/>
      <c r="B27" s="2033" t="s">
        <v>3429</v>
      </c>
      <c r="C27" s="2032"/>
      <c r="D27" s="2032"/>
      <c r="E27" s="2032"/>
      <c r="F27" s="2032"/>
      <c r="G27" s="2032"/>
      <c r="H27" s="2032"/>
      <c r="I27" s="2032"/>
      <c r="J27" s="2032"/>
      <c r="K27" s="2032"/>
      <c r="L27" s="2032"/>
    </row>
    <row r="28" spans="1:14" ht="15.5">
      <c r="A28" s="2032"/>
      <c r="B28" s="2034" t="s">
        <v>3430</v>
      </c>
      <c r="C28" s="2032"/>
      <c r="D28" s="2032"/>
      <c r="E28" s="2032"/>
      <c r="F28" s="2032"/>
      <c r="G28" s="2032"/>
      <c r="H28" s="2032"/>
      <c r="I28" s="2032"/>
      <c r="J28" s="2032"/>
      <c r="K28" s="2032"/>
      <c r="L28" s="2032"/>
    </row>
    <row r="29" spans="1:14" ht="15.5">
      <c r="A29" s="2032"/>
      <c r="B29" s="2034" t="s">
        <v>3431</v>
      </c>
      <c r="C29" s="2032"/>
      <c r="D29" s="2032"/>
      <c r="E29" s="2032"/>
      <c r="F29" s="2032"/>
      <c r="G29" s="2032"/>
      <c r="H29" s="2032"/>
      <c r="I29" s="2032"/>
      <c r="J29" s="2032"/>
      <c r="K29" s="2032"/>
      <c r="L29" s="2032"/>
    </row>
    <row r="30" spans="1:14" ht="15.5">
      <c r="A30" s="2032"/>
      <c r="B30" s="2034" t="s">
        <v>3432</v>
      </c>
      <c r="C30" s="2032"/>
      <c r="D30" s="2032"/>
      <c r="E30" s="2032"/>
      <c r="F30" s="2032"/>
      <c r="G30" s="2032"/>
      <c r="H30" s="2032"/>
      <c r="I30" s="2032"/>
      <c r="J30" s="2032"/>
      <c r="K30" s="2032"/>
      <c r="L30" s="2032"/>
    </row>
    <row r="31" spans="1:14" ht="29.25" customHeight="1">
      <c r="A31" s="2032"/>
      <c r="B31" s="2081" t="s">
        <v>3433</v>
      </c>
      <c r="C31" s="2082"/>
      <c r="D31" s="2082"/>
      <c r="E31" s="2082"/>
      <c r="F31" s="2082"/>
      <c r="G31" s="2082"/>
      <c r="H31" s="2082"/>
      <c r="I31" s="2082"/>
      <c r="J31" s="2082"/>
      <c r="K31" s="2082"/>
      <c r="L31" s="2083"/>
    </row>
    <row r="32" spans="1:14" ht="15" thickBot="1"/>
    <row r="33" spans="2:12" ht="176.25" customHeight="1" thickBot="1">
      <c r="B33" s="2084" t="s">
        <v>3434</v>
      </c>
      <c r="C33" s="2084"/>
      <c r="D33" s="2084"/>
      <c r="E33" s="2084"/>
      <c r="F33" s="2084"/>
      <c r="G33" s="2084"/>
      <c r="H33" s="2084"/>
      <c r="I33" s="2084"/>
      <c r="J33" s="2084"/>
      <c r="K33" s="2084"/>
      <c r="L33" s="2084"/>
    </row>
  </sheetData>
  <sheetProtection algorithmName="SHA-512" hashValue="sJ0qj7DMUkQNGkcqj/g2FQ2/QbfdedWQv+zDI8KOnKy0NDTvWpQuZ3U9Z36lHo+OO/EQSGFYHW4zODjfNvAq5w==" saltValue="Jh22/ouqnqBN+nsr7YmO0Q==" spinCount="100000" sheet="1" formatColumns="0" formatRows="0" selectLockedCells="1" autoFilter="0" selectUnlockedCells="1"/>
  <mergeCells count="29">
    <mergeCell ref="B9:L9"/>
    <mergeCell ref="A1:J1"/>
    <mergeCell ref="L1:L2"/>
    <mergeCell ref="B3:B4"/>
    <mergeCell ref="C3:E4"/>
    <mergeCell ref="G3:G4"/>
    <mergeCell ref="H3:J4"/>
    <mergeCell ref="B5:B6"/>
    <mergeCell ref="C5:E6"/>
    <mergeCell ref="G5:G6"/>
    <mergeCell ref="H5:J6"/>
    <mergeCell ref="A8:L8"/>
    <mergeCell ref="B21:L21"/>
    <mergeCell ref="B10:L10"/>
    <mergeCell ref="B11:L11"/>
    <mergeCell ref="B12:L12"/>
    <mergeCell ref="B13:L13"/>
    <mergeCell ref="B14:L14"/>
    <mergeCell ref="B15:L15"/>
    <mergeCell ref="B16:L16"/>
    <mergeCell ref="B17:L17"/>
    <mergeCell ref="B18:L18"/>
    <mergeCell ref="B19:L19"/>
    <mergeCell ref="B20:L20"/>
    <mergeCell ref="B22:L22"/>
    <mergeCell ref="A24:L24"/>
    <mergeCell ref="A26:L26"/>
    <mergeCell ref="B31:L31"/>
    <mergeCell ref="B33:L33"/>
  </mergeCells>
  <conditionalFormatting sqref="B10:L10">
    <cfRule type="expression" dxfId="877" priority="13">
      <formula>$N$10=FALSE</formula>
    </cfRule>
  </conditionalFormatting>
  <conditionalFormatting sqref="B11:L11">
    <cfRule type="expression" dxfId="876" priority="12">
      <formula>$N$11=FALSE</formula>
    </cfRule>
  </conditionalFormatting>
  <conditionalFormatting sqref="B9:L9">
    <cfRule type="expression" dxfId="875" priority="14">
      <formula>$N$9=FALSE</formula>
    </cfRule>
  </conditionalFormatting>
  <conditionalFormatting sqref="B12:L12">
    <cfRule type="expression" dxfId="874" priority="11">
      <formula>$N$12=FALSE</formula>
    </cfRule>
  </conditionalFormatting>
  <conditionalFormatting sqref="B13:L13">
    <cfRule type="expression" dxfId="873" priority="10">
      <formula>$N$13=FALSE</formula>
    </cfRule>
  </conditionalFormatting>
  <conditionalFormatting sqref="B14:L14">
    <cfRule type="expression" dxfId="872" priority="9">
      <formula>$N$14=FALSE</formula>
    </cfRule>
  </conditionalFormatting>
  <conditionalFormatting sqref="B15:L15">
    <cfRule type="expression" dxfId="871" priority="8">
      <formula>$N$15=FALSE</formula>
    </cfRule>
  </conditionalFormatting>
  <conditionalFormatting sqref="B16:L16">
    <cfRule type="expression" dxfId="870" priority="7">
      <formula>$N$16=FALSE</formula>
    </cfRule>
  </conditionalFormatting>
  <conditionalFormatting sqref="B17:L17">
    <cfRule type="expression" dxfId="869" priority="6">
      <formula>$N$17=FALSE</formula>
    </cfRule>
  </conditionalFormatting>
  <conditionalFormatting sqref="B18:L18">
    <cfRule type="expression" dxfId="868" priority="5">
      <formula>$N$18=FALSE</formula>
    </cfRule>
  </conditionalFormatting>
  <conditionalFormatting sqref="B19:L19">
    <cfRule type="expression" dxfId="867" priority="4">
      <formula>$N$19=FALSE</formula>
    </cfRule>
  </conditionalFormatting>
  <conditionalFormatting sqref="B20:L20">
    <cfRule type="expression" dxfId="866" priority="3">
      <formula>$N$20=FALSE</formula>
    </cfRule>
  </conditionalFormatting>
  <conditionalFormatting sqref="B21:L21">
    <cfRule type="expression" dxfId="865" priority="2">
      <formula>$N$21=FALSE</formula>
    </cfRule>
  </conditionalFormatting>
  <conditionalFormatting sqref="B22:L22">
    <cfRule type="expression" dxfId="864"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from>
                    <xdr:col>0</xdr:col>
                    <xdr:colOff>171450</xdr:colOff>
                    <xdr:row>19</xdr:row>
                    <xdr:rowOff>209550</xdr:rowOff>
                  </from>
                  <to>
                    <xdr:col>0</xdr:col>
                    <xdr:colOff>361950</xdr:colOff>
                    <xdr:row>19</xdr:row>
                    <xdr:rowOff>476250</xdr:rowOff>
                  </to>
                </anchor>
              </controlPr>
            </control>
          </mc:Choice>
        </mc:AlternateContent>
        <mc:AlternateContent xmlns:mc="http://schemas.openxmlformats.org/markup-compatibility/2006">
          <mc:Choice Requires="x14">
            <control shapeId="59394" r:id="rId5" name="Check Box 2">
              <controlPr defaultSize="0" autoFill="0" autoLine="0" autoPict="0">
                <anchor>
                  <from>
                    <xdr:col>0</xdr:col>
                    <xdr:colOff>152400</xdr:colOff>
                    <xdr:row>18</xdr:row>
                    <xdr:rowOff>381000</xdr:rowOff>
                  </from>
                  <to>
                    <xdr:col>0</xdr:col>
                    <xdr:colOff>374650</xdr:colOff>
                    <xdr:row>18</xdr:row>
                    <xdr:rowOff>679450</xdr:rowOff>
                  </to>
                </anchor>
              </controlPr>
            </control>
          </mc:Choice>
        </mc:AlternateContent>
        <mc:AlternateContent xmlns:mc="http://schemas.openxmlformats.org/markup-compatibility/2006">
          <mc:Choice Requires="x14">
            <control shapeId="59395" r:id="rId6" name="Check Box 3">
              <controlPr defaultSize="0" autoFill="0" autoLine="0" autoPict="0">
                <anchor>
                  <from>
                    <xdr:col>0</xdr:col>
                    <xdr:colOff>152400</xdr:colOff>
                    <xdr:row>17</xdr:row>
                    <xdr:rowOff>222250</xdr:rowOff>
                  </from>
                  <to>
                    <xdr:col>0</xdr:col>
                    <xdr:colOff>374650</xdr:colOff>
                    <xdr:row>18</xdr:row>
                    <xdr:rowOff>38100</xdr:rowOff>
                  </to>
                </anchor>
              </controlPr>
            </control>
          </mc:Choice>
        </mc:AlternateContent>
        <mc:AlternateContent xmlns:mc="http://schemas.openxmlformats.org/markup-compatibility/2006">
          <mc:Choice Requires="x14">
            <control shapeId="59396" r:id="rId7" name="Check Box 4">
              <controlPr defaultSize="0" autoFill="0" autoLine="0" autoPict="0">
                <anchor>
                  <from>
                    <xdr:col>0</xdr:col>
                    <xdr:colOff>152400</xdr:colOff>
                    <xdr:row>15</xdr:row>
                    <xdr:rowOff>336550</xdr:rowOff>
                  </from>
                  <to>
                    <xdr:col>0</xdr:col>
                    <xdr:colOff>374650</xdr:colOff>
                    <xdr:row>15</xdr:row>
                    <xdr:rowOff>628650</xdr:rowOff>
                  </to>
                </anchor>
              </controlPr>
            </control>
          </mc:Choice>
        </mc:AlternateContent>
        <mc:AlternateContent xmlns:mc="http://schemas.openxmlformats.org/markup-compatibility/2006">
          <mc:Choice Requires="x14">
            <control shapeId="59397" r:id="rId8" name="Check Box 5">
              <controlPr defaultSize="0" autoFill="0" autoLine="0" autoPict="0">
                <anchor>
                  <from>
                    <xdr:col>0</xdr:col>
                    <xdr:colOff>152400</xdr:colOff>
                    <xdr:row>16</xdr:row>
                    <xdr:rowOff>69850</xdr:rowOff>
                  </from>
                  <to>
                    <xdr:col>0</xdr:col>
                    <xdr:colOff>342900</xdr:colOff>
                    <xdr:row>16</xdr:row>
                    <xdr:rowOff>361950</xdr:rowOff>
                  </to>
                </anchor>
              </controlPr>
            </control>
          </mc:Choice>
        </mc:AlternateContent>
        <mc:AlternateContent xmlns:mc="http://schemas.openxmlformats.org/markup-compatibility/2006">
          <mc:Choice Requires="x14">
            <control shapeId="59398" r:id="rId9" name="Check Box 6">
              <controlPr defaultSize="0" autoFill="0" autoLine="0" autoPict="0">
                <anchor>
                  <from>
                    <xdr:col>0</xdr:col>
                    <xdr:colOff>171450</xdr:colOff>
                    <xdr:row>18</xdr:row>
                    <xdr:rowOff>990600</xdr:rowOff>
                  </from>
                  <to>
                    <xdr:col>0</xdr:col>
                    <xdr:colOff>374650</xdr:colOff>
                    <xdr:row>19</xdr:row>
                    <xdr:rowOff>152400</xdr:rowOff>
                  </to>
                </anchor>
              </controlPr>
            </control>
          </mc:Choice>
        </mc:AlternateContent>
        <mc:AlternateContent xmlns:mc="http://schemas.openxmlformats.org/markup-compatibility/2006">
          <mc:Choice Requires="x14">
            <control shapeId="59399" r:id="rId10" name="Check Box 7">
              <controlPr defaultSize="0" autoFill="0" autoLine="0" autoPict="0">
                <anchor>
                  <from>
                    <xdr:col>0</xdr:col>
                    <xdr:colOff>152400</xdr:colOff>
                    <xdr:row>13</xdr:row>
                    <xdr:rowOff>107950</xdr:rowOff>
                  </from>
                  <to>
                    <xdr:col>0</xdr:col>
                    <xdr:colOff>374650</xdr:colOff>
                    <xdr:row>13</xdr:row>
                    <xdr:rowOff>412750</xdr:rowOff>
                  </to>
                </anchor>
              </controlPr>
            </control>
          </mc:Choice>
        </mc:AlternateContent>
        <mc:AlternateContent xmlns:mc="http://schemas.openxmlformats.org/markup-compatibility/2006">
          <mc:Choice Requires="x14">
            <control shapeId="59400" r:id="rId11" name="Check Box 8">
              <controlPr defaultSize="0" autoFill="0" autoLine="0" autoPict="0">
                <anchor>
                  <from>
                    <xdr:col>0</xdr:col>
                    <xdr:colOff>152400</xdr:colOff>
                    <xdr:row>13</xdr:row>
                    <xdr:rowOff>603250</xdr:rowOff>
                  </from>
                  <to>
                    <xdr:col>0</xdr:col>
                    <xdr:colOff>342900</xdr:colOff>
                    <xdr:row>14</xdr:row>
                    <xdr:rowOff>260350</xdr:rowOff>
                  </to>
                </anchor>
              </controlPr>
            </control>
          </mc:Choice>
        </mc:AlternateContent>
        <mc:AlternateContent xmlns:mc="http://schemas.openxmlformats.org/markup-compatibility/2006">
          <mc:Choice Requires="x14">
            <control shapeId="59401" r:id="rId12" name="Check Box 9">
              <controlPr defaultSize="0" autoFill="0" autoLine="0" autoPict="0">
                <anchor>
                  <from>
                    <xdr:col>0</xdr:col>
                    <xdr:colOff>152400</xdr:colOff>
                    <xdr:row>14</xdr:row>
                    <xdr:rowOff>336550</xdr:rowOff>
                  </from>
                  <to>
                    <xdr:col>0</xdr:col>
                    <xdr:colOff>342900</xdr:colOff>
                    <xdr:row>15</xdr:row>
                    <xdr:rowOff>260350</xdr:rowOff>
                  </to>
                </anchor>
              </controlPr>
            </control>
          </mc:Choice>
        </mc:AlternateContent>
        <mc:AlternateContent xmlns:mc="http://schemas.openxmlformats.org/markup-compatibility/2006">
          <mc:Choice Requires="x14">
            <control shapeId="59402" r:id="rId13" name="Check Box 10">
              <controlPr defaultSize="0" autoFill="0" autoLine="0" autoPict="0">
                <anchor>
                  <from>
                    <xdr:col>0</xdr:col>
                    <xdr:colOff>146050</xdr:colOff>
                    <xdr:row>8</xdr:row>
                    <xdr:rowOff>152400</xdr:rowOff>
                  </from>
                  <to>
                    <xdr:col>0</xdr:col>
                    <xdr:colOff>342900</xdr:colOff>
                    <xdr:row>8</xdr:row>
                    <xdr:rowOff>457200</xdr:rowOff>
                  </to>
                </anchor>
              </controlPr>
            </control>
          </mc:Choice>
        </mc:AlternateContent>
        <mc:AlternateContent xmlns:mc="http://schemas.openxmlformats.org/markup-compatibility/2006">
          <mc:Choice Requires="x14">
            <control shapeId="59403" r:id="rId14" name="Check Box 11">
              <controlPr defaultSize="0" autoFill="0" autoLine="0" autoPict="0">
                <anchor>
                  <from>
                    <xdr:col>0</xdr:col>
                    <xdr:colOff>146050</xdr:colOff>
                    <xdr:row>9</xdr:row>
                    <xdr:rowOff>0</xdr:rowOff>
                  </from>
                  <to>
                    <xdr:col>0</xdr:col>
                    <xdr:colOff>342900</xdr:colOff>
                    <xdr:row>9</xdr:row>
                    <xdr:rowOff>304800</xdr:rowOff>
                  </to>
                </anchor>
              </controlPr>
            </control>
          </mc:Choice>
        </mc:AlternateContent>
        <mc:AlternateContent xmlns:mc="http://schemas.openxmlformats.org/markup-compatibility/2006">
          <mc:Choice Requires="x14">
            <control shapeId="59404" r:id="rId15" name="Check Box 12">
              <controlPr defaultSize="0" autoFill="0" autoLine="0" autoPict="0">
                <anchor>
                  <from>
                    <xdr:col>0</xdr:col>
                    <xdr:colOff>152400</xdr:colOff>
                    <xdr:row>10</xdr:row>
                    <xdr:rowOff>19050</xdr:rowOff>
                  </from>
                  <to>
                    <xdr:col>0</xdr:col>
                    <xdr:colOff>342900</xdr:colOff>
                    <xdr:row>10</xdr:row>
                    <xdr:rowOff>336550</xdr:rowOff>
                  </to>
                </anchor>
              </controlPr>
            </control>
          </mc:Choice>
        </mc:AlternateContent>
        <mc:AlternateContent xmlns:mc="http://schemas.openxmlformats.org/markup-compatibility/2006">
          <mc:Choice Requires="x14">
            <control shapeId="59405" r:id="rId16" name="Check Box 13">
              <controlPr defaultSize="0" autoFill="0" autoLine="0" autoPict="0">
                <anchor>
                  <from>
                    <xdr:col>0</xdr:col>
                    <xdr:colOff>152400</xdr:colOff>
                    <xdr:row>11</xdr:row>
                    <xdr:rowOff>31750</xdr:rowOff>
                  </from>
                  <to>
                    <xdr:col>0</xdr:col>
                    <xdr:colOff>374650</xdr:colOff>
                    <xdr:row>11</xdr:row>
                    <xdr:rowOff>323850</xdr:rowOff>
                  </to>
                </anchor>
              </controlPr>
            </control>
          </mc:Choice>
        </mc:AlternateContent>
        <mc:AlternateContent xmlns:mc="http://schemas.openxmlformats.org/markup-compatibility/2006">
          <mc:Choice Requires="x14">
            <control shapeId="59406" r:id="rId17" name="Check Box 14">
              <controlPr defaultSize="0" autoFill="0" autoLine="0" autoPict="0">
                <anchor>
                  <from>
                    <xdr:col>0</xdr:col>
                    <xdr:colOff>152400</xdr:colOff>
                    <xdr:row>12</xdr:row>
                    <xdr:rowOff>76200</xdr:rowOff>
                  </from>
                  <to>
                    <xdr:col>0</xdr:col>
                    <xdr:colOff>374650</xdr:colOff>
                    <xdr:row>12</xdr:row>
                    <xdr:rowOff>361950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5"/>
  </sheetPr>
  <dimension ref="A1:AJ58"/>
  <sheetViews>
    <sheetView showGridLines="0" topLeftCell="D10" zoomScale="93" zoomScaleNormal="93" workbookViewId="0">
      <selection activeCell="L23" sqref="L23:M23"/>
    </sheetView>
  </sheetViews>
  <sheetFormatPr baseColWidth="10" defaultColWidth="9" defaultRowHeight="14.5"/>
  <cols>
    <col min="1" max="1" width="9" style="35" customWidth="1"/>
    <col min="2" max="6" width="15.26953125" style="35" customWidth="1"/>
    <col min="7" max="7" width="18.7265625" style="35" customWidth="1"/>
    <col min="8" max="8" width="20.26953125" style="35" customWidth="1"/>
    <col min="9" max="9" width="18.7265625" style="35" customWidth="1"/>
    <col min="10" max="10" width="18.54296875" style="35" customWidth="1"/>
    <col min="11" max="11" width="18.7265625" style="35" customWidth="1"/>
    <col min="12" max="12" width="18.26953125" style="35" customWidth="1"/>
    <col min="13" max="13" width="14.26953125" style="35" customWidth="1"/>
    <col min="14" max="14" width="17.26953125" style="35" customWidth="1"/>
    <col min="15" max="16384" width="9" style="35"/>
  </cols>
  <sheetData>
    <row r="1" spans="1:36" ht="24" customHeight="1" thickBot="1">
      <c r="A1" s="2579" t="s">
        <v>2666</v>
      </c>
      <c r="B1" s="2580"/>
      <c r="C1" s="2580"/>
      <c r="D1" s="2580"/>
      <c r="E1" s="2580"/>
      <c r="F1" s="2580"/>
      <c r="G1" s="2580"/>
      <c r="H1" s="2580"/>
      <c r="I1" s="2580"/>
      <c r="J1" s="2581"/>
      <c r="K1" s="1801">
        <f>SETUP!$A$2</f>
        <v>3</v>
      </c>
      <c r="L1" s="2602"/>
      <c r="M1" s="2592" t="s">
        <v>235</v>
      </c>
      <c r="N1" s="2592" t="s">
        <v>236</v>
      </c>
    </row>
    <row r="2" spans="1:36" ht="15" thickBot="1">
      <c r="A2" s="125"/>
      <c r="B2" s="125"/>
      <c r="C2" s="125"/>
      <c r="D2" s="125"/>
      <c r="E2" s="125"/>
      <c r="F2" s="125"/>
      <c r="G2" s="125"/>
      <c r="H2" s="125"/>
      <c r="I2" s="125"/>
      <c r="J2" s="125"/>
      <c r="K2" s="39"/>
      <c r="L2" s="2603"/>
      <c r="M2" s="2593"/>
      <c r="N2" s="2593"/>
    </row>
    <row r="3" spans="1:36" ht="15" customHeight="1" thickBot="1">
      <c r="A3" s="126"/>
      <c r="B3" s="2582" t="s">
        <v>1</v>
      </c>
      <c r="C3" s="2584" t="str">
        <f>SETUP!$E$3</f>
        <v>El Salvador</v>
      </c>
      <c r="D3" s="2584"/>
      <c r="E3" s="2584"/>
      <c r="F3" s="127"/>
      <c r="G3" s="2586" t="s">
        <v>2</v>
      </c>
      <c r="H3" s="2588" t="str">
        <f>SETUP!$G$13</f>
        <v>SLV-H-MOH</v>
      </c>
      <c r="I3" s="2588"/>
      <c r="J3" s="2589"/>
      <c r="K3" s="39"/>
      <c r="L3" s="1287"/>
      <c r="M3" s="128"/>
      <c r="N3" s="129"/>
    </row>
    <row r="4" spans="1:36" ht="15.75" customHeight="1" thickTop="1" thickBot="1">
      <c r="A4" s="130"/>
      <c r="B4" s="2583"/>
      <c r="C4" s="2585"/>
      <c r="D4" s="2585"/>
      <c r="E4" s="2585"/>
      <c r="F4" s="131"/>
      <c r="G4" s="2587"/>
      <c r="H4" s="2590"/>
      <c r="I4" s="2590"/>
      <c r="J4" s="2591"/>
      <c r="K4" s="39"/>
      <c r="L4" s="28"/>
      <c r="M4" s="28"/>
      <c r="N4" s="28"/>
    </row>
    <row r="5" spans="1:36" ht="15.5" thickTop="1" thickBot="1">
      <c r="A5" s="130"/>
      <c r="B5" s="2604" t="s">
        <v>3</v>
      </c>
      <c r="C5" s="2606" t="str">
        <f>SETUP!$E$6</f>
        <v>HIV</v>
      </c>
      <c r="D5" s="2606"/>
      <c r="E5" s="2606"/>
      <c r="F5" s="132"/>
      <c r="G5" s="2572" t="s">
        <v>4</v>
      </c>
      <c r="H5" s="2574" t="str">
        <f>SETUP!E7</f>
        <v>Ministry of Health of the Republic of El Salvador</v>
      </c>
      <c r="I5" s="2574"/>
      <c r="J5" s="2575"/>
      <c r="K5" s="39"/>
      <c r="L5" s="28"/>
      <c r="M5" s="28"/>
      <c r="N5" s="28"/>
    </row>
    <row r="6" spans="1:36" ht="15.5" thickTop="1" thickBot="1">
      <c r="A6" s="133"/>
      <c r="B6" s="2605"/>
      <c r="C6" s="2607"/>
      <c r="D6" s="2607"/>
      <c r="E6" s="2607"/>
      <c r="F6" s="134"/>
      <c r="G6" s="2573"/>
      <c r="H6" s="2576"/>
      <c r="I6" s="2576"/>
      <c r="J6" s="2577"/>
      <c r="K6" s="39"/>
      <c r="L6" s="28"/>
      <c r="M6" s="28"/>
      <c r="N6" s="135"/>
    </row>
    <row r="7" spans="1:36" ht="16" thickBot="1">
      <c r="A7" s="542"/>
      <c r="B7" s="36"/>
      <c r="C7" s="36"/>
      <c r="D7" s="36"/>
      <c r="E7" s="36"/>
      <c r="F7" s="36"/>
      <c r="G7" s="36"/>
      <c r="H7" s="36"/>
      <c r="I7" s="36"/>
      <c r="J7" s="36"/>
      <c r="K7" s="36"/>
      <c r="L7" s="36"/>
      <c r="M7" s="36"/>
      <c r="N7" s="136"/>
    </row>
    <row r="8" spans="1:36" s="62" customFormat="1" ht="90" customHeight="1">
      <c r="A8" s="2578" t="str">
        <f>IF($K$1=2,Language!$E$290,IF($K$1=3,Language!$F$290,Language!$G$290))</f>
        <v>1. FILA 19; COLUMNAS G, I, J: Introducir el “Número de nuevos casos previstos de TB sensible en ADULTOS” que recibirán ayuda mediante recursos de la subvención._x000D_
2. FILA 20; COLUMNAS G, I, J: Introducir el “Número de repeticiones previstas del tratamiento contra la TB sensible en ADULTOS” que recibirán ayuda mediante recursos de la subvención._x000D_
3. FILA 22; COLUMNAS G, I, J: Introducir el “Número total de casos previstos de TB sensible en PACIENTES PEDIÁTRICOS” que recibirán ayuda mediante recursos de la subvención._x000D_
4. FILA 23; COLUMNAS G, I, J: Introducir el “Número de repeticiones previstas del tratamiento contra la TB sensible en PACIENTES PEDIÁTRICOS” que recibirán ayuda mediante recursos de la subvención._x000D_
5. FILA 24; COLUMNAS G, I, J: Introducir el “Número total de nuevos casos previstos de TB multirresistente” que recibirán ayuda mediante recursos de la subvención._x000D_
6. FILA 25; COLUMNAS G, I, J: Introducir el “Número total de nuevos casos previstos de TB extremadamente resistente” que recibirán ayuda mediante recursos de la subvención.</v>
      </c>
      <c r="B8" s="2578"/>
      <c r="C8" s="2578"/>
      <c r="D8" s="2578"/>
      <c r="E8" s="2578"/>
      <c r="F8" s="2578"/>
      <c r="G8" s="2578"/>
      <c r="H8" s="2578"/>
      <c r="I8" s="2578"/>
      <c r="J8" s="2578"/>
      <c r="K8" s="2578"/>
      <c r="L8" s="2578"/>
      <c r="M8" s="2578"/>
      <c r="N8" s="849"/>
      <c r="O8" s="124"/>
      <c r="P8" s="124"/>
      <c r="Q8" s="124"/>
      <c r="R8" s="124"/>
      <c r="S8" s="124"/>
      <c r="T8" s="990"/>
      <c r="U8" s="990"/>
      <c r="V8" s="124"/>
      <c r="W8" s="124"/>
      <c r="X8" s="124"/>
      <c r="Y8" s="124"/>
      <c r="Z8" s="124"/>
      <c r="AA8" s="990"/>
      <c r="AB8" s="990"/>
      <c r="AC8" s="124"/>
      <c r="AD8" s="337"/>
      <c r="AH8" s="758"/>
      <c r="AJ8" s="758"/>
    </row>
    <row r="9" spans="1:36">
      <c r="A9" s="38"/>
      <c r="B9" s="2540" t="s">
        <v>237</v>
      </c>
      <c r="C9" s="2541"/>
      <c r="D9" s="2541"/>
      <c r="E9" s="2541"/>
      <c r="F9" s="2541"/>
      <c r="G9" s="2541"/>
      <c r="H9" s="2541"/>
      <c r="I9" s="2541"/>
      <c r="J9" s="2541"/>
      <c r="K9" s="2541"/>
      <c r="L9" s="2541"/>
      <c r="M9" s="2541"/>
      <c r="N9" s="136"/>
    </row>
    <row r="10" spans="1:36" ht="15" thickBot="1">
      <c r="A10" s="38"/>
      <c r="B10" s="2540"/>
      <c r="C10" s="2541"/>
      <c r="D10" s="2541"/>
      <c r="E10" s="2541"/>
      <c r="F10" s="2541"/>
      <c r="G10" s="2541"/>
      <c r="H10" s="2541"/>
      <c r="I10" s="2541"/>
      <c r="J10" s="2541"/>
      <c r="K10" s="2541"/>
      <c r="L10" s="2541"/>
      <c r="M10" s="2541"/>
      <c r="N10" s="136"/>
    </row>
    <row r="11" spans="1:36">
      <c r="A11" s="141"/>
      <c r="B11" s="2555"/>
      <c r="C11" s="2556"/>
      <c r="D11" s="2556"/>
      <c r="E11" s="616"/>
      <c r="F11" s="2558" t="s">
        <v>68</v>
      </c>
      <c r="G11" s="2558"/>
      <c r="H11" s="2558" t="s">
        <v>69</v>
      </c>
      <c r="I11" s="2558"/>
      <c r="J11" s="2558" t="s">
        <v>70</v>
      </c>
      <c r="K11" s="2558"/>
      <c r="L11" s="2542" t="s">
        <v>2527</v>
      </c>
      <c r="M11" s="2543"/>
      <c r="N11" s="136"/>
    </row>
    <row r="12" spans="1:36">
      <c r="A12" s="141"/>
      <c r="B12" s="2557"/>
      <c r="C12" s="2245"/>
      <c r="D12" s="2245"/>
      <c r="E12" s="614"/>
      <c r="F12" s="2559">
        <f>IF(ISBLANK(IMP_ST_DATE),"Please fill setup",IF(MO_CHECK&gt;3,"Y1",YEAR(IMP_ST_DATE)))</f>
        <v>2022</v>
      </c>
      <c r="G12" s="2559"/>
      <c r="H12" s="2559">
        <f>IF(F12="Y1","Y2",IF(ISBLANK(IMP_ST_DATE),"Please fill setup",YEAR(IMP_ST_DATE)+1))</f>
        <v>2023</v>
      </c>
      <c r="I12" s="2559"/>
      <c r="J12" s="2559">
        <f>IF(F12="Y1","Y3",IF(ISBLANK(IMP_ST_DATE),"Please fill setup",YEAR(IMP_ST_DATE)+2))</f>
        <v>2024</v>
      </c>
      <c r="K12" s="2559"/>
      <c r="L12" s="2544"/>
      <c r="M12" s="2545"/>
      <c r="N12" s="136"/>
    </row>
    <row r="13" spans="1:36" ht="29.5" thickBot="1">
      <c r="A13" s="141"/>
      <c r="B13" s="617"/>
      <c r="C13" s="618"/>
      <c r="D13" s="618"/>
      <c r="E13" s="619"/>
      <c r="F13" s="611" t="s">
        <v>2615</v>
      </c>
      <c r="G13" s="1252" t="s">
        <v>2616</v>
      </c>
      <c r="H13" s="611" t="s">
        <v>2615</v>
      </c>
      <c r="I13" s="1252" t="s">
        <v>2616</v>
      </c>
      <c r="J13" s="611" t="s">
        <v>2615</v>
      </c>
      <c r="K13" s="1252" t="s">
        <v>2616</v>
      </c>
      <c r="L13" s="2546"/>
      <c r="M13" s="2547"/>
      <c r="N13" s="136"/>
    </row>
    <row r="14" spans="1:36">
      <c r="A14" s="141"/>
      <c r="B14" s="2530" t="s">
        <v>1432</v>
      </c>
      <c r="C14" s="2531"/>
      <c r="D14" s="2531"/>
      <c r="E14" s="2531"/>
      <c r="F14" s="978">
        <f t="shared" ref="F14:K14" si="0">F17+F24+F25</f>
        <v>0</v>
      </c>
      <c r="G14" s="978">
        <f t="shared" si="0"/>
        <v>0</v>
      </c>
      <c r="H14" s="978">
        <f t="shared" si="0"/>
        <v>0</v>
      </c>
      <c r="I14" s="978">
        <f t="shared" si="0"/>
        <v>0</v>
      </c>
      <c r="J14" s="978">
        <f t="shared" si="0"/>
        <v>0</v>
      </c>
      <c r="K14" s="978">
        <f t="shared" si="0"/>
        <v>0</v>
      </c>
      <c r="L14" s="2548"/>
      <c r="M14" s="2549"/>
      <c r="N14" s="136"/>
    </row>
    <row r="15" spans="1:36">
      <c r="A15" s="141"/>
      <c r="B15" s="2532" t="s">
        <v>1433</v>
      </c>
      <c r="C15" s="2533"/>
      <c r="D15" s="2533"/>
      <c r="E15" s="2533"/>
      <c r="F15" s="625"/>
      <c r="G15" s="979">
        <f>IF(G14=0,0,G17/G14)</f>
        <v>0</v>
      </c>
      <c r="H15" s="625"/>
      <c r="I15" s="979">
        <f>IF(I14=0,0,I17/I14)</f>
        <v>0</v>
      </c>
      <c r="J15" s="625"/>
      <c r="K15" s="979">
        <f>IF(K14=0,0,K17/K14)</f>
        <v>0</v>
      </c>
      <c r="L15" s="2550">
        <f>AVERAGE(G15,I15,K15)</f>
        <v>0</v>
      </c>
      <c r="M15" s="2551"/>
      <c r="N15" s="136"/>
    </row>
    <row r="16" spans="1:36">
      <c r="A16" s="141"/>
      <c r="B16" s="2530" t="s">
        <v>1434</v>
      </c>
      <c r="C16" s="2531"/>
      <c r="D16" s="2531"/>
      <c r="E16" s="2531"/>
      <c r="F16" s="698"/>
      <c r="G16" s="982">
        <f>IF(G14=0,0,(G24+G25)/G14)</f>
        <v>0</v>
      </c>
      <c r="H16" s="698"/>
      <c r="I16" s="982">
        <f>IF(I14=0,0,(I24+I25)/I14)</f>
        <v>0</v>
      </c>
      <c r="J16" s="698"/>
      <c r="K16" s="982">
        <f>IF(K14=0,0,(K24+K25)/K14)</f>
        <v>0</v>
      </c>
      <c r="L16" s="2552">
        <f>AVERAGE(G16,I16,K16)</f>
        <v>0</v>
      </c>
      <c r="M16" s="2553"/>
      <c r="N16" s="136"/>
    </row>
    <row r="17" spans="1:16">
      <c r="A17" s="141"/>
      <c r="B17" s="2532" t="s">
        <v>238</v>
      </c>
      <c r="C17" s="2533"/>
      <c r="D17" s="2533"/>
      <c r="E17" s="2533"/>
      <c r="F17" s="980">
        <f t="shared" ref="F17:K17" si="1">F18+F21</f>
        <v>0</v>
      </c>
      <c r="G17" s="980">
        <f t="shared" si="1"/>
        <v>0</v>
      </c>
      <c r="H17" s="980">
        <f t="shared" si="1"/>
        <v>0</v>
      </c>
      <c r="I17" s="980">
        <f t="shared" si="1"/>
        <v>0</v>
      </c>
      <c r="J17" s="980">
        <f t="shared" si="1"/>
        <v>0</v>
      </c>
      <c r="K17" s="980">
        <f t="shared" si="1"/>
        <v>0</v>
      </c>
      <c r="L17" s="2534"/>
      <c r="M17" s="2535"/>
      <c r="N17" s="136"/>
    </row>
    <row r="18" spans="1:16">
      <c r="A18" s="141"/>
      <c r="B18" s="2538" t="s">
        <v>239</v>
      </c>
      <c r="C18" s="2539"/>
      <c r="D18" s="2539"/>
      <c r="E18" s="2539"/>
      <c r="F18" s="981">
        <f t="shared" ref="F18:K18" si="2">SUM(F19:F20)</f>
        <v>0</v>
      </c>
      <c r="G18" s="981">
        <f t="shared" si="2"/>
        <v>0</v>
      </c>
      <c r="H18" s="981">
        <f t="shared" si="2"/>
        <v>0</v>
      </c>
      <c r="I18" s="981">
        <f t="shared" si="2"/>
        <v>0</v>
      </c>
      <c r="J18" s="981">
        <f t="shared" si="2"/>
        <v>0</v>
      </c>
      <c r="K18" s="981">
        <f t="shared" si="2"/>
        <v>0</v>
      </c>
      <c r="L18" s="2536"/>
      <c r="M18" s="2537"/>
      <c r="N18" s="136"/>
    </row>
    <row r="19" spans="1:16">
      <c r="A19" s="141"/>
      <c r="B19" s="2529" t="s">
        <v>240</v>
      </c>
      <c r="C19" s="2523"/>
      <c r="D19" s="2523"/>
      <c r="E19" s="2523"/>
      <c r="F19" s="645"/>
      <c r="G19" s="645"/>
      <c r="H19" s="645"/>
      <c r="I19" s="645"/>
      <c r="J19" s="645"/>
      <c r="K19" s="645"/>
      <c r="L19" s="2534"/>
      <c r="M19" s="2535"/>
      <c r="N19" s="136"/>
    </row>
    <row r="20" spans="1:16">
      <c r="A20" s="141"/>
      <c r="B20" s="2527" t="s">
        <v>241</v>
      </c>
      <c r="C20" s="2528"/>
      <c r="D20" s="2528"/>
      <c r="E20" s="2528"/>
      <c r="F20" s="696"/>
      <c r="G20" s="696"/>
      <c r="H20" s="696"/>
      <c r="I20" s="696"/>
      <c r="J20" s="696"/>
      <c r="K20" s="696"/>
      <c r="L20" s="2536"/>
      <c r="M20" s="2537"/>
      <c r="N20" s="136"/>
    </row>
    <row r="21" spans="1:16">
      <c r="A21" s="141"/>
      <c r="B21" s="2525" t="s">
        <v>242</v>
      </c>
      <c r="C21" s="2526"/>
      <c r="D21" s="2526"/>
      <c r="E21" s="2526"/>
      <c r="F21" s="980">
        <f t="shared" ref="F21:K21" si="3">SUM(F22:F23)</f>
        <v>0</v>
      </c>
      <c r="G21" s="980">
        <f t="shared" si="3"/>
        <v>0</v>
      </c>
      <c r="H21" s="980">
        <f t="shared" si="3"/>
        <v>0</v>
      </c>
      <c r="I21" s="980">
        <f t="shared" si="3"/>
        <v>0</v>
      </c>
      <c r="J21" s="980">
        <f t="shared" si="3"/>
        <v>0</v>
      </c>
      <c r="K21" s="980">
        <f t="shared" si="3"/>
        <v>0</v>
      </c>
      <c r="L21" s="2534"/>
      <c r="M21" s="2535"/>
      <c r="N21" s="136"/>
    </row>
    <row r="22" spans="1:16">
      <c r="A22" s="141"/>
      <c r="B22" s="2527" t="s">
        <v>243</v>
      </c>
      <c r="C22" s="2528"/>
      <c r="D22" s="2528"/>
      <c r="E22" s="2528"/>
      <c r="F22" s="696"/>
      <c r="G22" s="696"/>
      <c r="H22" s="696"/>
      <c r="I22" s="696"/>
      <c r="J22" s="696"/>
      <c r="K22" s="696"/>
      <c r="L22" s="2536"/>
      <c r="M22" s="2537"/>
      <c r="N22" s="136"/>
    </row>
    <row r="23" spans="1:16">
      <c r="A23" s="141"/>
      <c r="B23" s="2529" t="s">
        <v>244</v>
      </c>
      <c r="C23" s="2523"/>
      <c r="D23" s="2523"/>
      <c r="E23" s="2523"/>
      <c r="F23" s="645"/>
      <c r="G23" s="645"/>
      <c r="H23" s="645"/>
      <c r="I23" s="645"/>
      <c r="J23" s="645"/>
      <c r="K23" s="645"/>
      <c r="L23" s="2534"/>
      <c r="M23" s="2535"/>
      <c r="N23" s="136"/>
    </row>
    <row r="24" spans="1:16">
      <c r="A24" s="141"/>
      <c r="B24" s="2530" t="s">
        <v>245</v>
      </c>
      <c r="C24" s="2531"/>
      <c r="D24" s="2531"/>
      <c r="E24" s="2531"/>
      <c r="F24" s="696"/>
      <c r="G24" s="696"/>
      <c r="H24" s="696"/>
      <c r="I24" s="696"/>
      <c r="J24" s="696"/>
      <c r="K24" s="696"/>
      <c r="L24" s="2536"/>
      <c r="M24" s="2537"/>
      <c r="N24" s="136"/>
    </row>
    <row r="25" spans="1:16">
      <c r="A25" s="141"/>
      <c r="B25" s="2532" t="s">
        <v>246</v>
      </c>
      <c r="C25" s="2533"/>
      <c r="D25" s="2533"/>
      <c r="E25" s="2533"/>
      <c r="F25" s="645"/>
      <c r="G25" s="645"/>
      <c r="H25" s="645"/>
      <c r="I25" s="645"/>
      <c r="J25" s="645"/>
      <c r="K25" s="645"/>
      <c r="L25" s="2534"/>
      <c r="M25" s="2535"/>
      <c r="N25" s="331"/>
    </row>
    <row r="26" spans="1:16" ht="15" thickBot="1">
      <c r="A26" s="141"/>
      <c r="B26" s="2571" t="s">
        <v>247</v>
      </c>
      <c r="C26" s="2554"/>
      <c r="D26" s="2554"/>
      <c r="E26" s="2554"/>
      <c r="F26" s="2554"/>
      <c r="G26" s="2564" t="s">
        <v>90</v>
      </c>
      <c r="H26" s="2564"/>
      <c r="I26" s="2554" t="s">
        <v>248</v>
      </c>
      <c r="J26" s="2554"/>
      <c r="K26" s="2600"/>
      <c r="L26" s="2600"/>
      <c r="M26" s="2601"/>
      <c r="N26" s="331"/>
      <c r="O26" s="384"/>
      <c r="P26" s="385"/>
    </row>
    <row r="27" spans="1:16" s="623" customFormat="1">
      <c r="A27" s="141"/>
      <c r="B27" s="620"/>
      <c r="C27" s="620"/>
      <c r="D27" s="620"/>
      <c r="E27" s="620"/>
      <c r="F27" s="620"/>
      <c r="G27" s="620"/>
      <c r="H27" s="620"/>
      <c r="I27" s="620"/>
      <c r="J27" s="620"/>
      <c r="K27" s="620"/>
      <c r="L27" s="620"/>
      <c r="M27" s="620"/>
      <c r="N27" s="621"/>
      <c r="O27" s="384"/>
      <c r="P27" s="622"/>
    </row>
    <row r="28" spans="1:16" ht="16" thickBot="1">
      <c r="A28" s="542"/>
      <c r="B28" s="36"/>
      <c r="C28" s="36"/>
      <c r="D28" s="36"/>
      <c r="E28" s="36"/>
      <c r="F28" s="36"/>
      <c r="G28" s="36"/>
      <c r="H28" s="36"/>
      <c r="I28" s="36"/>
      <c r="J28" s="36"/>
      <c r="K28" s="36"/>
      <c r="L28" s="36"/>
      <c r="M28" s="36"/>
      <c r="N28" s="136"/>
    </row>
    <row r="29" spans="1:16">
      <c r="A29" s="38"/>
      <c r="B29" s="2540" t="s">
        <v>249</v>
      </c>
      <c r="C29" s="2541"/>
      <c r="D29" s="2541"/>
      <c r="E29" s="2541"/>
      <c r="F29" s="2541"/>
      <c r="G29" s="2541"/>
      <c r="H29" s="2541"/>
      <c r="I29" s="2541"/>
      <c r="J29" s="2541"/>
      <c r="K29" s="2541"/>
      <c r="L29" s="2541"/>
      <c r="M29" s="2541"/>
      <c r="N29" s="136"/>
    </row>
    <row r="30" spans="1:16" ht="15" thickBot="1">
      <c r="A30" s="38"/>
      <c r="B30" s="2540"/>
      <c r="C30" s="2541"/>
      <c r="D30" s="2541"/>
      <c r="E30" s="2541"/>
      <c r="F30" s="2541"/>
      <c r="G30" s="2541"/>
      <c r="H30" s="2541"/>
      <c r="I30" s="2541"/>
      <c r="J30" s="2541"/>
      <c r="K30" s="2541"/>
      <c r="L30" s="2541"/>
      <c r="M30" s="2541"/>
      <c r="N30" s="136"/>
    </row>
    <row r="31" spans="1:16">
      <c r="A31" s="141"/>
      <c r="B31" s="2555"/>
      <c r="C31" s="2556"/>
      <c r="D31" s="2556"/>
      <c r="E31" s="616"/>
      <c r="F31" s="2558" t="s">
        <v>68</v>
      </c>
      <c r="G31" s="2558"/>
      <c r="H31" s="2558" t="s">
        <v>69</v>
      </c>
      <c r="I31" s="2558"/>
      <c r="J31" s="2558" t="s">
        <v>70</v>
      </c>
      <c r="K31" s="2558"/>
      <c r="L31" s="2542"/>
      <c r="M31" s="2543"/>
      <c r="N31" s="136"/>
    </row>
    <row r="32" spans="1:16">
      <c r="A32" s="141"/>
      <c r="B32" s="2557"/>
      <c r="C32" s="2245"/>
      <c r="D32" s="2245"/>
      <c r="E32" s="614"/>
      <c r="F32" s="2559">
        <f>F12</f>
        <v>2022</v>
      </c>
      <c r="G32" s="2559"/>
      <c r="H32" s="2559">
        <f>H12</f>
        <v>2023</v>
      </c>
      <c r="I32" s="2559"/>
      <c r="J32" s="2559">
        <f>J12</f>
        <v>2024</v>
      </c>
      <c r="K32" s="2559"/>
      <c r="L32" s="2544"/>
      <c r="M32" s="2545"/>
      <c r="N32" s="136"/>
    </row>
    <row r="33" spans="1:16" ht="29.5" thickBot="1">
      <c r="A33" s="141"/>
      <c r="B33" s="617"/>
      <c r="C33" s="618"/>
      <c r="D33" s="618"/>
      <c r="E33" s="619"/>
      <c r="F33" s="611" t="s">
        <v>2615</v>
      </c>
      <c r="G33" s="1252" t="s">
        <v>2616</v>
      </c>
      <c r="H33" s="611" t="s">
        <v>2615</v>
      </c>
      <c r="I33" s="1252" t="s">
        <v>2616</v>
      </c>
      <c r="J33" s="611" t="s">
        <v>2615</v>
      </c>
      <c r="K33" s="1252" t="s">
        <v>2616</v>
      </c>
      <c r="L33" s="2546"/>
      <c r="M33" s="2547"/>
      <c r="N33" s="136"/>
    </row>
    <row r="34" spans="1:16">
      <c r="A34" s="141"/>
      <c r="B34" s="2530" t="s">
        <v>250</v>
      </c>
      <c r="C34" s="2531"/>
      <c r="D34" s="2531"/>
      <c r="E34" s="2531"/>
      <c r="F34" s="696"/>
      <c r="G34" s="696"/>
      <c r="H34" s="696"/>
      <c r="I34" s="696"/>
      <c r="J34" s="696"/>
      <c r="K34" s="696"/>
      <c r="L34" s="2536"/>
      <c r="M34" s="2537"/>
      <c r="N34" s="136"/>
    </row>
    <row r="35" spans="1:16" ht="15" thickBot="1">
      <c r="A35" s="141"/>
      <c r="B35" s="2560" t="s">
        <v>251</v>
      </c>
      <c r="C35" s="2561"/>
      <c r="D35" s="2561"/>
      <c r="E35" s="2561"/>
      <c r="F35" s="699"/>
      <c r="G35" s="699"/>
      <c r="H35" s="699"/>
      <c r="I35" s="699"/>
      <c r="J35" s="699"/>
      <c r="K35" s="699"/>
      <c r="L35" s="2521"/>
      <c r="M35" s="2522"/>
      <c r="N35" s="136"/>
    </row>
    <row r="36" spans="1:16">
      <c r="A36" s="141"/>
      <c r="B36" s="2523"/>
      <c r="C36" s="2523"/>
      <c r="D36" s="2523"/>
      <c r="E36" s="2523"/>
      <c r="F36" s="615"/>
      <c r="G36" s="615"/>
      <c r="H36" s="615"/>
      <c r="I36" s="615"/>
      <c r="J36" s="615"/>
      <c r="K36" s="615"/>
      <c r="L36" s="2524"/>
      <c r="M36" s="2524"/>
      <c r="N36" s="136"/>
    </row>
    <row r="37" spans="1:16">
      <c r="A37" s="38"/>
      <c r="B37" s="137"/>
      <c r="C37" s="137"/>
      <c r="D37" s="137"/>
      <c r="E37" s="137"/>
      <c r="F37" s="137"/>
      <c r="G37" s="137"/>
      <c r="H37" s="137"/>
      <c r="I37" s="137"/>
      <c r="J37" s="137"/>
      <c r="L37" s="36"/>
      <c r="M37" s="138"/>
      <c r="N37" s="138"/>
    </row>
    <row r="38" spans="1:16">
      <c r="A38" s="38"/>
      <c r="B38" s="2565" t="s">
        <v>80</v>
      </c>
      <c r="C38" s="2566"/>
      <c r="D38" s="2566"/>
      <c r="E38" s="2566"/>
      <c r="F38" s="2566"/>
      <c r="G38" s="2566"/>
      <c r="H38" s="2566"/>
      <c r="I38" s="2566"/>
      <c r="J38" s="2566"/>
      <c r="K38" s="2566"/>
      <c r="L38" s="2567"/>
      <c r="M38" s="136"/>
      <c r="N38" s="136"/>
    </row>
    <row r="39" spans="1:16">
      <c r="A39" s="38"/>
      <c r="B39" s="2568"/>
      <c r="C39" s="2569"/>
      <c r="D39" s="2569"/>
      <c r="E39" s="2569"/>
      <c r="F39" s="2569"/>
      <c r="G39" s="2569"/>
      <c r="H39" s="2569"/>
      <c r="I39" s="2569"/>
      <c r="J39" s="2569"/>
      <c r="K39" s="2569"/>
      <c r="L39" s="2570"/>
      <c r="M39" s="136"/>
      <c r="N39" s="136"/>
    </row>
    <row r="40" spans="1:16" ht="15" thickBot="1">
      <c r="A40" s="38"/>
      <c r="B40" s="33" t="s">
        <v>252</v>
      </c>
      <c r="C40" s="34"/>
      <c r="D40" s="34"/>
      <c r="E40" s="34"/>
      <c r="F40" s="34"/>
      <c r="G40" s="34"/>
      <c r="H40" s="34"/>
      <c r="I40" s="34"/>
      <c r="J40" s="34"/>
      <c r="L40" s="36"/>
      <c r="M40" s="136"/>
      <c r="N40" s="136"/>
    </row>
    <row r="41" spans="1:16" s="386" customFormat="1" ht="15" customHeight="1">
      <c r="A41" s="139"/>
      <c r="B41" s="2594" t="s">
        <v>253</v>
      </c>
      <c r="C41" s="2558"/>
      <c r="D41" s="2542" t="s">
        <v>254</v>
      </c>
      <c r="E41" s="2542" t="s">
        <v>255</v>
      </c>
      <c r="F41" s="2542" t="s">
        <v>256</v>
      </c>
      <c r="G41" s="2558" t="s">
        <v>257</v>
      </c>
      <c r="H41" s="2558"/>
      <c r="I41" s="2558"/>
      <c r="J41" s="2558"/>
      <c r="K41" s="2558"/>
      <c r="L41" s="2599"/>
      <c r="M41" s="140"/>
      <c r="N41" s="140"/>
    </row>
    <row r="42" spans="1:16" s="386" customFormat="1">
      <c r="A42" s="139"/>
      <c r="B42" s="2595"/>
      <c r="C42" s="2559"/>
      <c r="D42" s="2544"/>
      <c r="E42" s="2544"/>
      <c r="F42" s="2544"/>
      <c r="G42" s="2559" t="s">
        <v>68</v>
      </c>
      <c r="H42" s="2559"/>
      <c r="I42" s="2559" t="s">
        <v>69</v>
      </c>
      <c r="J42" s="2559"/>
      <c r="K42" s="2559" t="s">
        <v>70</v>
      </c>
      <c r="L42" s="2598"/>
      <c r="M42" s="140"/>
      <c r="N42" s="140"/>
    </row>
    <row r="43" spans="1:16" s="386" customFormat="1">
      <c r="A43" s="139"/>
      <c r="B43" s="2595"/>
      <c r="C43" s="2559"/>
      <c r="D43" s="2544"/>
      <c r="E43" s="2544"/>
      <c r="F43" s="2544"/>
      <c r="G43" s="2559">
        <f>F32</f>
        <v>2022</v>
      </c>
      <c r="H43" s="2559"/>
      <c r="I43" s="2559">
        <f>H32</f>
        <v>2023</v>
      </c>
      <c r="J43" s="2559"/>
      <c r="K43" s="2559">
        <f>J32</f>
        <v>2024</v>
      </c>
      <c r="L43" s="2598"/>
      <c r="M43" s="140"/>
      <c r="N43" s="140"/>
      <c r="P43" s="35"/>
    </row>
    <row r="44" spans="1:16" s="386" customFormat="1" ht="29.5" thickBot="1">
      <c r="A44" s="139"/>
      <c r="B44" s="2596"/>
      <c r="C44" s="2597"/>
      <c r="D44" s="2546"/>
      <c r="E44" s="2546"/>
      <c r="F44" s="2546"/>
      <c r="G44" s="611" t="s">
        <v>2615</v>
      </c>
      <c r="H44" s="1252" t="s">
        <v>2616</v>
      </c>
      <c r="I44" s="611" t="s">
        <v>2615</v>
      </c>
      <c r="J44" s="1252" t="s">
        <v>2616</v>
      </c>
      <c r="K44" s="611" t="s">
        <v>2615</v>
      </c>
      <c r="L44" s="1253" t="s">
        <v>2616</v>
      </c>
      <c r="M44" s="140"/>
      <c r="N44" s="140"/>
      <c r="P44" s="35"/>
    </row>
    <row r="45" spans="1:16">
      <c r="A45" s="141"/>
      <c r="B45" s="2530" t="s">
        <v>258</v>
      </c>
      <c r="C45" s="2531"/>
      <c r="D45" s="612"/>
      <c r="E45" s="612"/>
      <c r="F45" s="696"/>
      <c r="G45" s="696"/>
      <c r="H45" s="696"/>
      <c r="I45" s="696"/>
      <c r="J45" s="696"/>
      <c r="K45" s="696"/>
      <c r="L45" s="697"/>
      <c r="M45" s="136"/>
      <c r="N45" s="136"/>
    </row>
    <row r="46" spans="1:16">
      <c r="A46" s="141"/>
      <c r="B46" s="2532" t="s">
        <v>259</v>
      </c>
      <c r="C46" s="2533"/>
      <c r="D46" s="24"/>
      <c r="E46" s="24"/>
      <c r="F46" s="645"/>
      <c r="G46" s="645"/>
      <c r="H46" s="645"/>
      <c r="I46" s="645"/>
      <c r="J46" s="645"/>
      <c r="K46" s="645"/>
      <c r="L46" s="695"/>
      <c r="M46" s="136"/>
      <c r="N46" s="136"/>
    </row>
    <row r="47" spans="1:16">
      <c r="A47" s="141"/>
      <c r="B47" s="2530" t="s">
        <v>211</v>
      </c>
      <c r="C47" s="2531"/>
      <c r="D47" s="612"/>
      <c r="E47" s="612"/>
      <c r="F47" s="696"/>
      <c r="G47" s="696"/>
      <c r="H47" s="696"/>
      <c r="I47" s="696"/>
      <c r="J47" s="696"/>
      <c r="K47" s="696"/>
      <c r="L47" s="700"/>
      <c r="M47" s="136"/>
      <c r="N47" s="136"/>
    </row>
    <row r="48" spans="1:16">
      <c r="A48" s="141"/>
      <c r="B48" s="2532" t="s">
        <v>261</v>
      </c>
      <c r="C48" s="2533"/>
      <c r="D48" s="24"/>
      <c r="E48" s="24"/>
      <c r="F48" s="701" t="s">
        <v>262</v>
      </c>
      <c r="G48" s="645"/>
      <c r="H48" s="645"/>
      <c r="I48" s="645"/>
      <c r="J48" s="645"/>
      <c r="K48" s="645"/>
      <c r="L48" s="702"/>
      <c r="M48" s="136"/>
      <c r="N48" s="136"/>
    </row>
    <row r="49" spans="1:14">
      <c r="A49" s="141"/>
      <c r="B49" s="2530" t="s">
        <v>263</v>
      </c>
      <c r="C49" s="2531"/>
      <c r="D49" s="612"/>
      <c r="E49" s="612"/>
      <c r="F49" s="696"/>
      <c r="G49" s="696"/>
      <c r="H49" s="696"/>
      <c r="I49" s="696"/>
      <c r="J49" s="696"/>
      <c r="K49" s="696"/>
      <c r="L49" s="697"/>
      <c r="M49" s="136"/>
      <c r="N49" s="136"/>
    </row>
    <row r="50" spans="1:14">
      <c r="A50" s="141"/>
      <c r="B50" s="2532" t="s">
        <v>264</v>
      </c>
      <c r="C50" s="2533"/>
      <c r="D50" s="24"/>
      <c r="E50" s="24"/>
      <c r="F50" s="701" t="s">
        <v>262</v>
      </c>
      <c r="G50" s="645"/>
      <c r="H50" s="645"/>
      <c r="I50" s="645"/>
      <c r="J50" s="645"/>
      <c r="K50" s="645"/>
      <c r="L50" s="695"/>
      <c r="M50" s="136"/>
      <c r="N50" s="136"/>
    </row>
    <row r="51" spans="1:14">
      <c r="A51" s="141"/>
      <c r="B51" s="2530" t="s">
        <v>265</v>
      </c>
      <c r="C51" s="2531"/>
      <c r="D51" s="612"/>
      <c r="E51" s="612"/>
      <c r="F51" s="703" t="s">
        <v>262</v>
      </c>
      <c r="G51" s="696"/>
      <c r="H51" s="696"/>
      <c r="I51" s="696"/>
      <c r="J51" s="696"/>
      <c r="K51" s="696"/>
      <c r="L51" s="697"/>
      <c r="M51" s="136"/>
      <c r="N51" s="136"/>
    </row>
    <row r="52" spans="1:14">
      <c r="A52" s="141"/>
      <c r="B52" s="2532" t="s">
        <v>266</v>
      </c>
      <c r="C52" s="2533"/>
      <c r="D52" s="24"/>
      <c r="E52" s="24"/>
      <c r="F52" s="645"/>
      <c r="G52" s="645"/>
      <c r="H52" s="645"/>
      <c r="I52" s="645"/>
      <c r="J52" s="645"/>
      <c r="K52" s="645"/>
      <c r="L52" s="695"/>
      <c r="M52" s="136"/>
      <c r="N52" s="136"/>
    </row>
    <row r="53" spans="1:14">
      <c r="A53" s="141"/>
      <c r="B53" s="2530" t="s">
        <v>267</v>
      </c>
      <c r="C53" s="2531"/>
      <c r="D53" s="612"/>
      <c r="E53" s="612"/>
      <c r="F53" s="703" t="s">
        <v>262</v>
      </c>
      <c r="G53" s="696"/>
      <c r="H53" s="696"/>
      <c r="I53" s="696"/>
      <c r="J53" s="696"/>
      <c r="K53" s="696"/>
      <c r="L53" s="697"/>
      <c r="M53" s="136"/>
      <c r="N53" s="136"/>
    </row>
    <row r="54" spans="1:14">
      <c r="A54" s="141"/>
      <c r="B54" s="2532" t="s">
        <v>268</v>
      </c>
      <c r="C54" s="2533"/>
      <c r="D54" s="24"/>
      <c r="E54" s="24"/>
      <c r="F54" s="704"/>
      <c r="G54" s="645"/>
      <c r="H54" s="645"/>
      <c r="I54" s="645"/>
      <c r="J54" s="645"/>
      <c r="K54" s="645"/>
      <c r="L54" s="695"/>
      <c r="M54" s="136"/>
      <c r="N54" s="136"/>
    </row>
    <row r="55" spans="1:14">
      <c r="A55" s="141"/>
      <c r="B55" s="2530" t="s">
        <v>269</v>
      </c>
      <c r="C55" s="2531"/>
      <c r="D55" s="612"/>
      <c r="E55" s="612"/>
      <c r="F55" s="696"/>
      <c r="G55" s="696"/>
      <c r="H55" s="696"/>
      <c r="I55" s="696"/>
      <c r="J55" s="696"/>
      <c r="K55" s="696"/>
      <c r="L55" s="697"/>
      <c r="M55" s="136"/>
      <c r="N55" s="136"/>
    </row>
    <row r="56" spans="1:14">
      <c r="A56" s="141"/>
      <c r="B56" s="2532" t="s">
        <v>270</v>
      </c>
      <c r="C56" s="2533"/>
      <c r="D56" s="24"/>
      <c r="E56" s="24"/>
      <c r="F56" s="645"/>
      <c r="G56" s="645"/>
      <c r="H56" s="645"/>
      <c r="I56" s="645"/>
      <c r="J56" s="645"/>
      <c r="K56" s="645"/>
      <c r="L56" s="695"/>
      <c r="M56" s="136"/>
      <c r="N56" s="136"/>
    </row>
    <row r="57" spans="1:14" ht="15" thickBot="1">
      <c r="A57" s="141"/>
      <c r="B57" s="2562" t="s">
        <v>271</v>
      </c>
      <c r="C57" s="2563"/>
      <c r="D57" s="613"/>
      <c r="E57" s="613"/>
      <c r="F57" s="705"/>
      <c r="G57" s="705"/>
      <c r="H57" s="705"/>
      <c r="I57" s="705"/>
      <c r="J57" s="705"/>
      <c r="K57" s="705"/>
      <c r="L57" s="706"/>
      <c r="M57" s="136"/>
      <c r="N57" s="136"/>
    </row>
    <row r="58" spans="1:14">
      <c r="A58" s="36"/>
      <c r="B58" s="36"/>
      <c r="C58" s="36"/>
      <c r="D58" s="36"/>
      <c r="E58" s="36"/>
      <c r="F58" s="36"/>
      <c r="G58" s="36"/>
      <c r="H58" s="36"/>
      <c r="I58" s="36"/>
      <c r="J58" s="36"/>
      <c r="K58" s="36"/>
      <c r="L58" s="36"/>
      <c r="M58" s="136"/>
      <c r="N58" s="36"/>
    </row>
  </sheetData>
  <sheetProtection algorithmName="SHA-512" hashValue="i4C0g1B970V2VeVjIoYJs73Vlsxjjj6xUAcYf45L3BX36rb/6ZldW1L/kt7OhVXRJq5PhWxRA+QJHvk6zSgfzQ==" saltValue="0Jbu7OaEwasJtVPDCKUfnw==" spinCount="100000" sheet="1" formatColumns="0" formatRows="0" autoFilter="0"/>
  <mergeCells count="90">
    <mergeCell ref="N1:N2"/>
    <mergeCell ref="B41:C44"/>
    <mergeCell ref="M1:M2"/>
    <mergeCell ref="G42:H42"/>
    <mergeCell ref="I42:J42"/>
    <mergeCell ref="K42:L42"/>
    <mergeCell ref="G41:L41"/>
    <mergeCell ref="K43:L43"/>
    <mergeCell ref="I43:J43"/>
    <mergeCell ref="G43:H43"/>
    <mergeCell ref="K26:M26"/>
    <mergeCell ref="F11:G11"/>
    <mergeCell ref="H11:I11"/>
    <mergeCell ref="L1:L2"/>
    <mergeCell ref="B5:B6"/>
    <mergeCell ref="C5:E6"/>
    <mergeCell ref="A1:J1"/>
    <mergeCell ref="B3:B4"/>
    <mergeCell ref="C3:E4"/>
    <mergeCell ref="G3:G4"/>
    <mergeCell ref="H3:J4"/>
    <mergeCell ref="G5:G6"/>
    <mergeCell ref="H5:J6"/>
    <mergeCell ref="J11:K11"/>
    <mergeCell ref="F12:G12"/>
    <mergeCell ref="H12:I12"/>
    <mergeCell ref="J12:K12"/>
    <mergeCell ref="A8:M8"/>
    <mergeCell ref="B11:D12"/>
    <mergeCell ref="B57:C57"/>
    <mergeCell ref="B55:C55"/>
    <mergeCell ref="B56:C56"/>
    <mergeCell ref="G26:H26"/>
    <mergeCell ref="B38:L39"/>
    <mergeCell ref="B50:C50"/>
    <mergeCell ref="B26:F26"/>
    <mergeCell ref="B45:C45"/>
    <mergeCell ref="B46:C46"/>
    <mergeCell ref="B47:C47"/>
    <mergeCell ref="B48:C48"/>
    <mergeCell ref="B49:C49"/>
    <mergeCell ref="F41:F44"/>
    <mergeCell ref="E41:E44"/>
    <mergeCell ref="D41:D44"/>
    <mergeCell ref="B53:C53"/>
    <mergeCell ref="B54:C54"/>
    <mergeCell ref="B51:C51"/>
    <mergeCell ref="B52:C52"/>
    <mergeCell ref="I26:J26"/>
    <mergeCell ref="B29:M30"/>
    <mergeCell ref="B31:D32"/>
    <mergeCell ref="F31:G31"/>
    <mergeCell ref="H31:I31"/>
    <mergeCell ref="J31:K31"/>
    <mergeCell ref="L31:M33"/>
    <mergeCell ref="F32:G32"/>
    <mergeCell ref="H32:I32"/>
    <mergeCell ref="J32:K32"/>
    <mergeCell ref="B34:E34"/>
    <mergeCell ref="L34:M34"/>
    <mergeCell ref="B35:E35"/>
    <mergeCell ref="B18:E18"/>
    <mergeCell ref="B19:E19"/>
    <mergeCell ref="B9:M10"/>
    <mergeCell ref="B20:E20"/>
    <mergeCell ref="L11:M13"/>
    <mergeCell ref="B14:E14"/>
    <mergeCell ref="B15:E15"/>
    <mergeCell ref="B16:E16"/>
    <mergeCell ref="B17:E17"/>
    <mergeCell ref="L14:M14"/>
    <mergeCell ref="L15:M15"/>
    <mergeCell ref="L16:M16"/>
    <mergeCell ref="L17:M17"/>
    <mergeCell ref="L18:M18"/>
    <mergeCell ref="L19:M19"/>
    <mergeCell ref="L20:M20"/>
    <mergeCell ref="L35:M35"/>
    <mergeCell ref="B36:E36"/>
    <mergeCell ref="L36:M36"/>
    <mergeCell ref="B21:E21"/>
    <mergeCell ref="B22:E22"/>
    <mergeCell ref="B23:E23"/>
    <mergeCell ref="B24:E24"/>
    <mergeCell ref="B25:E25"/>
    <mergeCell ref="L25:M25"/>
    <mergeCell ref="L21:M21"/>
    <mergeCell ref="L22:M22"/>
    <mergeCell ref="L23:M23"/>
    <mergeCell ref="L24:M24"/>
  </mergeCells>
  <conditionalFormatting sqref="G17:G25">
    <cfRule type="expression" dxfId="766" priority="27">
      <formula>ISBLANK(G17)=TRUE</formula>
    </cfRule>
  </conditionalFormatting>
  <conditionalFormatting sqref="I17:I18 I21">
    <cfRule type="expression" dxfId="765" priority="18">
      <formula>ISBLANK(I17)=TRUE</formula>
    </cfRule>
  </conditionalFormatting>
  <conditionalFormatting sqref="K17:K18 K21">
    <cfRule type="expression" dxfId="764" priority="17">
      <formula>ISBLANK(K17)=TRUE</formula>
    </cfRule>
  </conditionalFormatting>
  <conditionalFormatting sqref="I19:I20">
    <cfRule type="expression" dxfId="763" priority="11">
      <formula>ISBLANK(I19)=TRUE</formula>
    </cfRule>
  </conditionalFormatting>
  <conditionalFormatting sqref="I22:I25">
    <cfRule type="expression" dxfId="762" priority="13">
      <formula>ISBLANK(I22)=TRUE</formula>
    </cfRule>
  </conditionalFormatting>
  <conditionalFormatting sqref="K22:K25">
    <cfRule type="expression" dxfId="761" priority="12">
      <formula>ISBLANK(K22)=TRUE</formula>
    </cfRule>
  </conditionalFormatting>
  <conditionalFormatting sqref="K19:K20">
    <cfRule type="expression" dxfId="760" priority="10">
      <formula>ISBLANK(K19)=TRUE</formula>
    </cfRule>
  </conditionalFormatting>
  <conditionalFormatting sqref="G24">
    <cfRule type="containsBlanks" dxfId="759" priority="9">
      <formula>LEN(TRIM(G24))=0</formula>
    </cfRule>
  </conditionalFormatting>
  <conditionalFormatting sqref="K26:M26">
    <cfRule type="expression" dxfId="758" priority="7">
      <formula>$G$26="Yes"</formula>
    </cfRule>
  </conditionalFormatting>
  <conditionalFormatting sqref="F17:F18">
    <cfRule type="expression" dxfId="757" priority="6">
      <formula>ISBLANK(F17)=TRUE</formula>
    </cfRule>
  </conditionalFormatting>
  <conditionalFormatting sqref="F21">
    <cfRule type="expression" dxfId="756" priority="5">
      <formula>ISBLANK(F21)=TRUE</formula>
    </cfRule>
  </conditionalFormatting>
  <conditionalFormatting sqref="H17:H18">
    <cfRule type="expression" dxfId="755" priority="4">
      <formula>ISBLANK(H17)=TRUE</formula>
    </cfRule>
  </conditionalFormatting>
  <conditionalFormatting sqref="H21">
    <cfRule type="expression" dxfId="754" priority="3">
      <formula>ISBLANK(H21)=TRUE</formula>
    </cfRule>
  </conditionalFormatting>
  <conditionalFormatting sqref="J21">
    <cfRule type="expression" dxfId="753" priority="2">
      <formula>ISBLANK(J21)=TRUE</formula>
    </cfRule>
  </conditionalFormatting>
  <conditionalFormatting sqref="J17:J18">
    <cfRule type="expression" dxfId="752" priority="1">
      <formula>ISBLANK(J17)=TRUE</formula>
    </cfRule>
  </conditionalFormatting>
  <dataValidations count="3">
    <dataValidation type="list" allowBlank="1" showInputMessage="1" showErrorMessage="1" sqref="D45:D57 G26:H27" xr:uid="{00000000-0002-0000-0900-000000000000}">
      <formula1>YesNo</formula1>
    </dataValidation>
    <dataValidation type="list" allowBlank="1" showInputMessage="1" showErrorMessage="1" sqref="E45:E57 F45:F47 F49 F52 F54:F57" xr:uid="{00000000-0002-0000-0900-000001000000}">
      <formula1>NbMachin</formula1>
    </dataValidation>
    <dataValidation type="date" operator="greaterThan" allowBlank="1" showInputMessage="1" showErrorMessage="1" errorTitle="Check Month and Year" error="Specify month later than July 2020" sqref="K26:M26" xr:uid="{00000000-0002-0000-0900-000002000000}">
      <formula1>43983</formula1>
    </dataValidation>
  </dataValidations>
  <hyperlinks>
    <hyperlink ref="M1:M2" location="'TB-Pharmaceuticals'!A1" display="Go to TB-Pharma" xr:uid="{00000000-0004-0000-0900-000000000000}"/>
    <hyperlink ref="N1:N2" location="'TB-EQUIPMENT &amp; OTHER HPs'!A1" display="Go to TB-Other HPs &amp; Equipment" xr:uid="{00000000-0004-0000-0900-000001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sheetPr>
  <dimension ref="A1:BJ162"/>
  <sheetViews>
    <sheetView showGridLines="0" zoomScale="85" zoomScaleNormal="85" workbookViewId="0">
      <selection activeCell="AK140" sqref="AK140"/>
    </sheetView>
  </sheetViews>
  <sheetFormatPr baseColWidth="10" defaultColWidth="8.7265625" defaultRowHeight="14.5"/>
  <cols>
    <col min="1" max="1" width="8.7265625" style="62" customWidth="1"/>
    <col min="2" max="2" width="17.26953125" style="62" customWidth="1"/>
    <col min="3" max="9" width="15.26953125" style="62" customWidth="1"/>
    <col min="10" max="10" width="16.7265625" style="62" customWidth="1"/>
    <col min="11" max="11" width="15.7265625" style="62" customWidth="1"/>
    <col min="12" max="12" width="18.7265625" style="447" bestFit="1" customWidth="1"/>
    <col min="13" max="13" width="18.26953125" style="447" customWidth="1"/>
    <col min="14" max="14" width="12.26953125" style="447" customWidth="1"/>
    <col min="15" max="16" width="16.26953125" style="447" customWidth="1"/>
    <col min="17" max="17" width="17" style="447" customWidth="1"/>
    <col min="18" max="18" width="19.26953125" style="447" customWidth="1"/>
    <col min="19" max="19" width="12.26953125" style="447" customWidth="1"/>
    <col min="20" max="20" width="16.26953125" style="447" customWidth="1"/>
    <col min="21" max="21" width="18.26953125" style="447" customWidth="1"/>
    <col min="22" max="22" width="16.26953125" style="447" customWidth="1"/>
    <col min="23" max="23" width="18.26953125" style="447" customWidth="1"/>
    <col min="24" max="24" width="12.26953125" style="62" customWidth="1"/>
    <col min="25" max="27" width="13.26953125" style="62" customWidth="1"/>
    <col min="28" max="28" width="13.26953125" style="447" customWidth="1"/>
    <col min="29" max="29" width="15.26953125" style="447" customWidth="1"/>
    <col min="30" max="30" width="12.26953125" style="447" customWidth="1"/>
    <col min="31" max="31" width="15.26953125" style="447" customWidth="1"/>
    <col min="32" max="32" width="15.26953125" style="62" customWidth="1"/>
    <col min="33" max="33" width="13.26953125" style="447" customWidth="1"/>
    <col min="34" max="34" width="9.26953125" style="62" bestFit="1" customWidth="1"/>
    <col min="35" max="35" width="18.54296875" style="62" customWidth="1"/>
    <col min="36" max="36" width="11.7265625" style="62" customWidth="1"/>
    <col min="37" max="37" width="49" style="62" customWidth="1"/>
    <col min="38" max="38" width="13.26953125" style="62" customWidth="1"/>
    <col min="39" max="39" width="11.7265625" style="337" hidden="1" customWidth="1"/>
    <col min="40" max="46" width="8.7265625" style="337"/>
    <col min="47" max="47" width="7.54296875" style="337" hidden="1" customWidth="1"/>
    <col min="48" max="48" width="18.26953125" style="337" hidden="1" customWidth="1"/>
    <col min="49" max="49" width="21" style="337" hidden="1" customWidth="1"/>
    <col min="50" max="52" width="12.26953125" style="337" hidden="1" customWidth="1"/>
    <col min="53" max="53" width="5.54296875" style="337" hidden="1" customWidth="1"/>
    <col min="54" max="56" width="12.26953125" style="337" hidden="1" customWidth="1"/>
    <col min="57" max="57" width="5.54296875" style="337" hidden="1" customWidth="1"/>
    <col min="58" max="59" width="12.26953125" style="337" hidden="1" customWidth="1"/>
    <col min="60" max="60" width="11.26953125" style="337" hidden="1" customWidth="1"/>
    <col min="61" max="61" width="5.54296875" style="337" hidden="1" customWidth="1"/>
    <col min="62" max="62" width="12.26953125" style="337" hidden="1" customWidth="1"/>
    <col min="63" max="16384" width="8.7265625" style="337"/>
  </cols>
  <sheetData>
    <row r="1" spans="1:61" ht="24" customHeight="1" thickBot="1">
      <c r="A1" s="2579" t="str">
        <f>VLOOKUP("Health Product Management Template - TB - List of pharmaceuticals",Language!$D$232:$G$432,$L$1,FALSE)</f>
        <v>Plantilla para la gestión de productos sanitarios - TB - lista de productos farmacéuticos</v>
      </c>
      <c r="B1" s="2580"/>
      <c r="C1" s="2580"/>
      <c r="D1" s="2580"/>
      <c r="E1" s="2580"/>
      <c r="F1" s="2580"/>
      <c r="G1" s="2580"/>
      <c r="H1" s="2580"/>
      <c r="I1" s="2580"/>
      <c r="J1" s="2580"/>
      <c r="K1" s="2581"/>
      <c r="L1" s="1854">
        <f>SETUP!$A$2</f>
        <v>3</v>
      </c>
      <c r="M1" s="2602"/>
      <c r="N1" s="2592" t="s">
        <v>272</v>
      </c>
      <c r="O1" s="2670" t="s">
        <v>236</v>
      </c>
      <c r="P1" s="2602"/>
      <c r="Q1" s="162"/>
      <c r="R1" s="144"/>
      <c r="S1" s="144"/>
      <c r="T1" s="144"/>
      <c r="U1" s="144"/>
      <c r="V1" s="144"/>
      <c r="W1" s="144"/>
      <c r="X1" s="60"/>
      <c r="Y1" s="60"/>
      <c r="Z1" s="60"/>
      <c r="AA1" s="60"/>
      <c r="AB1" s="144"/>
      <c r="AC1" s="144"/>
      <c r="AD1" s="144"/>
      <c r="AE1" s="144"/>
      <c r="AF1" s="60"/>
      <c r="AG1" s="145"/>
      <c r="AH1" s="78"/>
    </row>
    <row r="2" spans="1:61" ht="15" thickBot="1">
      <c r="A2" s="163"/>
      <c r="B2" s="163"/>
      <c r="C2" s="163"/>
      <c r="D2" s="163"/>
      <c r="E2" s="163"/>
      <c r="F2" s="163"/>
      <c r="G2" s="163"/>
      <c r="H2" s="163"/>
      <c r="I2" s="163"/>
      <c r="J2" s="163"/>
      <c r="K2" s="311"/>
      <c r="L2" s="161"/>
      <c r="M2" s="2603"/>
      <c r="N2" s="2593"/>
      <c r="O2" s="2671"/>
      <c r="P2" s="2653"/>
      <c r="Q2" s="162"/>
      <c r="R2" s="144"/>
      <c r="S2" s="144"/>
      <c r="T2" s="144"/>
      <c r="U2" s="144"/>
      <c r="V2" s="144"/>
      <c r="W2" s="144"/>
      <c r="X2" s="60"/>
      <c r="Y2" s="60"/>
      <c r="Z2" s="60"/>
      <c r="AA2" s="60"/>
      <c r="AB2" s="144"/>
      <c r="AC2" s="144"/>
      <c r="AD2" s="144"/>
      <c r="AE2" s="144"/>
      <c r="AF2" s="60"/>
      <c r="AG2" s="145"/>
      <c r="AH2" s="78"/>
    </row>
    <row r="3" spans="1:61" ht="15" customHeight="1" thickBot="1">
      <c r="A3" s="164"/>
      <c r="B3" s="2662" t="str">
        <f>VLOOKUP("COUNTRY:",Language!$D$232:$G$432,$L$1,FALSE)</f>
        <v>PAÍS:</v>
      </c>
      <c r="C3" s="2588" t="str">
        <f>SETUP!$E$3</f>
        <v>El Salvador</v>
      </c>
      <c r="D3" s="2588"/>
      <c r="E3" s="165"/>
      <c r="F3" s="165"/>
      <c r="G3" s="2672" t="str">
        <f>VLOOKUP("GRANT NUMBER:",Language!$D$232:$G$432,$L$1,FALSE)</f>
        <v>NÚMERO DE LA SUBVENCIÓN:</v>
      </c>
      <c r="H3" s="2588" t="str">
        <f>SETUP!$G$13</f>
        <v>SLV-H-MOH</v>
      </c>
      <c r="I3" s="2588"/>
      <c r="J3" s="2588"/>
      <c r="K3" s="2589"/>
      <c r="L3" s="162"/>
      <c r="M3" s="166"/>
      <c r="N3" s="167"/>
      <c r="O3" s="167"/>
      <c r="P3" s="167"/>
      <c r="Q3" s="144"/>
      <c r="R3" s="144"/>
      <c r="S3" s="144"/>
      <c r="T3" s="144"/>
      <c r="U3" s="144"/>
      <c r="V3" s="144"/>
      <c r="W3" s="144"/>
      <c r="X3" s="60"/>
      <c r="Y3" s="60"/>
      <c r="Z3" s="60"/>
      <c r="AA3" s="60"/>
      <c r="AB3" s="144"/>
      <c r="AC3" s="144"/>
      <c r="AD3" s="144"/>
      <c r="AE3" s="144"/>
      <c r="AF3" s="60"/>
      <c r="AG3" s="145"/>
      <c r="AH3" s="78"/>
    </row>
    <row r="4" spans="1:61" ht="15.75" customHeight="1" thickTop="1" thickBot="1">
      <c r="A4" s="168"/>
      <c r="B4" s="2663"/>
      <c r="C4" s="2664"/>
      <c r="D4" s="2664"/>
      <c r="E4" s="169"/>
      <c r="F4" s="169"/>
      <c r="G4" s="2673"/>
      <c r="H4" s="2590"/>
      <c r="I4" s="2590"/>
      <c r="J4" s="2590"/>
      <c r="K4" s="2591"/>
      <c r="L4" s="162"/>
      <c r="M4" s="170"/>
      <c r="N4" s="171"/>
      <c r="O4" s="171"/>
      <c r="P4" s="171"/>
      <c r="Q4" s="144"/>
      <c r="R4" s="144"/>
      <c r="S4" s="144"/>
      <c r="T4" s="144"/>
      <c r="U4" s="144"/>
      <c r="V4" s="144"/>
      <c r="W4" s="144"/>
      <c r="X4" s="60"/>
      <c r="Y4" s="60"/>
      <c r="Z4" s="60"/>
      <c r="AA4" s="60"/>
      <c r="AB4" s="144"/>
      <c r="AC4" s="144"/>
      <c r="AD4" s="144"/>
      <c r="AE4" s="144"/>
      <c r="AF4" s="60"/>
      <c r="AG4" s="145"/>
      <c r="AH4" s="78"/>
    </row>
    <row r="5" spans="1:61" ht="15.5" thickTop="1" thickBot="1">
      <c r="A5" s="168"/>
      <c r="B5" s="2680" t="str">
        <f>VLOOKUP("COMPONENT:",Language!$D$232:$G$432,$L$1,FALSE)</f>
        <v>COMPONENTE:</v>
      </c>
      <c r="C5" s="2590" t="str">
        <f>SETUP!$E$6</f>
        <v>HIV</v>
      </c>
      <c r="D5" s="2590"/>
      <c r="E5" s="172"/>
      <c r="F5" s="172"/>
      <c r="G5" s="2674" t="str">
        <f>VLOOKUP("PR: ",Language!$D$232:$G$432,$L$1,FALSE)</f>
        <v xml:space="preserve">RP: </v>
      </c>
      <c r="H5" s="2574" t="str">
        <f>SETUP!E7</f>
        <v>Ministry of Health of the Republic of El Salvador</v>
      </c>
      <c r="I5" s="2574"/>
      <c r="J5" s="2574"/>
      <c r="K5" s="2575"/>
      <c r="L5" s="162"/>
      <c r="M5" s="162"/>
      <c r="N5" s="144"/>
      <c r="O5" s="144"/>
      <c r="P5" s="144"/>
      <c r="Q5" s="144"/>
      <c r="R5" s="144"/>
      <c r="S5" s="144"/>
      <c r="T5" s="144"/>
      <c r="U5" s="144"/>
      <c r="V5" s="144"/>
      <c r="W5" s="144"/>
      <c r="X5" s="60"/>
      <c r="Y5" s="60"/>
      <c r="Z5" s="60"/>
      <c r="AA5" s="60"/>
      <c r="AB5" s="144"/>
      <c r="AC5" s="144"/>
      <c r="AD5" s="144"/>
      <c r="AE5" s="144"/>
      <c r="AF5" s="60"/>
      <c r="AG5" s="145"/>
      <c r="AH5" s="78"/>
    </row>
    <row r="6" spans="1:61" ht="15.5" thickTop="1" thickBot="1">
      <c r="A6" s="173"/>
      <c r="B6" s="2681"/>
      <c r="C6" s="2576"/>
      <c r="D6" s="2576"/>
      <c r="E6" s="174"/>
      <c r="F6" s="174"/>
      <c r="G6" s="2675"/>
      <c r="H6" s="2576"/>
      <c r="I6" s="2576"/>
      <c r="J6" s="2576"/>
      <c r="K6" s="2577"/>
      <c r="L6" s="162"/>
      <c r="M6" s="162"/>
      <c r="N6" s="144"/>
      <c r="O6" s="144"/>
      <c r="P6" s="144"/>
      <c r="Q6" s="144"/>
      <c r="R6" s="144"/>
      <c r="S6" s="144"/>
      <c r="T6" s="144"/>
      <c r="U6" s="144"/>
      <c r="V6" s="144"/>
      <c r="W6" s="144"/>
      <c r="X6" s="60"/>
      <c r="Y6" s="60"/>
      <c r="Z6" s="60"/>
      <c r="AA6" s="60"/>
      <c r="AB6" s="144"/>
      <c r="AC6" s="144"/>
      <c r="AD6" s="144"/>
      <c r="AE6" s="144"/>
      <c r="AF6" s="60"/>
      <c r="AG6" s="145"/>
      <c r="AH6" s="78"/>
    </row>
    <row r="7" spans="1:61" ht="15" thickBot="1">
      <c r="A7" s="1513" t="str">
        <f ca="1">MID(CELL("filename",A1),FIND("]",CELL("filename",A1))+1,255)</f>
        <v>TB-Pharmaceuticals</v>
      </c>
      <c r="B7" s="76"/>
      <c r="C7" s="76"/>
      <c r="D7" s="76"/>
      <c r="E7" s="76"/>
      <c r="F7" s="76"/>
      <c r="G7" s="76"/>
      <c r="H7" s="76"/>
      <c r="I7" s="76"/>
      <c r="J7" s="76"/>
      <c r="K7" s="77"/>
      <c r="L7" s="144"/>
      <c r="M7" s="162"/>
      <c r="N7" s="144"/>
      <c r="O7" s="144"/>
      <c r="P7" s="144"/>
      <c r="Q7" s="144"/>
      <c r="R7" s="144"/>
      <c r="S7" s="144"/>
      <c r="T7" s="144"/>
      <c r="U7" s="144"/>
      <c r="V7" s="144"/>
      <c r="W7" s="144"/>
      <c r="X7" s="60"/>
      <c r="Y7" s="60"/>
      <c r="Z7" s="60"/>
      <c r="AA7" s="60"/>
      <c r="AB7" s="144"/>
      <c r="AC7" s="144"/>
      <c r="AD7" s="144"/>
      <c r="AE7" s="144"/>
      <c r="AF7" s="60"/>
      <c r="AG7" s="145"/>
      <c r="AH7" s="78"/>
    </row>
    <row r="8" spans="1:61" ht="15" customHeight="1" thickBot="1">
      <c r="A8" s="2623">
        <v>1</v>
      </c>
      <c r="B8" s="2625" t="s">
        <v>273</v>
      </c>
      <c r="C8" s="2625"/>
      <c r="D8" s="2658" t="s">
        <v>274</v>
      </c>
      <c r="E8" s="2658"/>
      <c r="F8" s="2658"/>
      <c r="G8" s="2659"/>
      <c r="H8" s="2602" t="s">
        <v>275</v>
      </c>
      <c r="I8" s="142"/>
      <c r="J8" s="143"/>
      <c r="K8" s="60"/>
      <c r="L8" s="144"/>
      <c r="M8" s="144"/>
      <c r="N8" s="144"/>
      <c r="O8" s="144"/>
      <c r="P8" s="144"/>
      <c r="Q8" s="144"/>
      <c r="R8" s="144"/>
      <c r="S8" s="144"/>
      <c r="T8" s="144"/>
      <c r="U8" s="144"/>
      <c r="V8" s="144"/>
      <c r="W8" s="144"/>
      <c r="X8" s="60"/>
      <c r="Y8" s="60"/>
      <c r="Z8" s="60"/>
      <c r="AA8" s="60"/>
      <c r="AB8" s="144"/>
      <c r="AC8" s="144"/>
      <c r="AD8" s="144"/>
      <c r="AE8" s="144"/>
      <c r="AF8" s="60"/>
      <c r="AH8" s="78"/>
    </row>
    <row r="9" spans="1:61" ht="15" customHeight="1" thickBot="1">
      <c r="A9" s="2624"/>
      <c r="B9" s="2626"/>
      <c r="C9" s="2626"/>
      <c r="D9" s="2660" t="s">
        <v>276</v>
      </c>
      <c r="E9" s="2660"/>
      <c r="F9" s="2660"/>
      <c r="G9" s="2661"/>
      <c r="H9" s="2653"/>
      <c r="I9" s="142"/>
      <c r="J9" s="146"/>
      <c r="K9" s="79"/>
      <c r="L9" s="147"/>
      <c r="M9" s="147"/>
      <c r="N9" s="147"/>
      <c r="O9" s="147"/>
      <c r="P9" s="147"/>
      <c r="Q9" s="147"/>
      <c r="R9" s="147"/>
      <c r="S9" s="147"/>
      <c r="T9" s="147"/>
      <c r="U9" s="147"/>
      <c r="W9" s="147"/>
      <c r="X9" s="79"/>
      <c r="Y9" s="79"/>
      <c r="Z9" s="79"/>
      <c r="AA9" s="79"/>
      <c r="AB9" s="147"/>
      <c r="AC9" s="147"/>
      <c r="AD9" s="147"/>
      <c r="AE9" s="147"/>
      <c r="AF9" s="79"/>
      <c r="AG9" s="148"/>
      <c r="AH9" s="78"/>
    </row>
    <row r="10" spans="1:61" ht="112.5" customHeight="1">
      <c r="A10" s="2348" t="str">
        <f>IF($L$1=2,Language!$E$297,IF($L$1=3,Language!$F$297,Language!$G$297))</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unitario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0" s="2349"/>
      <c r="C10" s="2349"/>
      <c r="D10" s="2349"/>
      <c r="E10" s="2349"/>
      <c r="F10" s="2349"/>
      <c r="G10" s="2349"/>
      <c r="H10" s="2349"/>
      <c r="I10" s="2349"/>
      <c r="J10" s="2349"/>
      <c r="K10" s="2349"/>
      <c r="L10" s="2349"/>
      <c r="M10" s="149"/>
      <c r="N10" s="149"/>
      <c r="O10" s="149"/>
      <c r="P10" s="149"/>
      <c r="Q10" s="149"/>
      <c r="R10" s="149"/>
      <c r="S10" s="149"/>
      <c r="T10" s="149"/>
      <c r="U10" s="149"/>
      <c r="V10" s="149"/>
      <c r="W10" s="149"/>
      <c r="X10" s="78"/>
      <c r="Y10" s="78"/>
      <c r="Z10" s="78"/>
      <c r="AA10" s="78"/>
      <c r="AB10" s="149"/>
      <c r="AC10" s="149"/>
      <c r="AD10" s="149"/>
      <c r="AE10" s="149"/>
      <c r="AF10" s="78"/>
      <c r="AG10" s="150"/>
      <c r="AH10" s="78"/>
    </row>
    <row r="11" spans="1:61" ht="16" thickBot="1">
      <c r="A11" s="83"/>
      <c r="B11" s="1484"/>
      <c r="C11" s="84"/>
      <c r="D11" s="85"/>
      <c r="E11" s="86"/>
      <c r="F11" s="86"/>
      <c r="G11" s="86"/>
      <c r="H11" s="86"/>
      <c r="I11" s="86"/>
      <c r="J11" s="86"/>
      <c r="K11" s="86"/>
      <c r="L11" s="151"/>
      <c r="M11" s="152" t="s">
        <v>3057</v>
      </c>
      <c r="N11" s="152"/>
      <c r="O11" s="152"/>
      <c r="P11" s="152"/>
      <c r="Q11" s="152"/>
      <c r="R11" s="152"/>
      <c r="S11" s="152"/>
      <c r="T11" s="152"/>
      <c r="U11" s="152"/>
      <c r="V11" s="152"/>
      <c r="W11" s="152"/>
      <c r="X11" s="86"/>
      <c r="Y11" s="86"/>
      <c r="Z11" s="86"/>
      <c r="AA11" s="86"/>
      <c r="AB11" s="152"/>
      <c r="AC11" s="152"/>
      <c r="AD11" s="152"/>
      <c r="AE11" s="152"/>
      <c r="AF11" s="86"/>
      <c r="AG11" s="153"/>
      <c r="AH11" s="116"/>
      <c r="AX11" s="2635" t="s">
        <v>1225</v>
      </c>
      <c r="AY11" s="2635"/>
      <c r="AZ11" s="2635"/>
      <c r="BA11" s="2635"/>
      <c r="BB11" s="2635"/>
      <c r="BC11" s="2635"/>
      <c r="BD11" s="2635"/>
      <c r="BE11" s="2635"/>
      <c r="BF11" s="2635"/>
      <c r="BG11" s="2635"/>
      <c r="BH11" s="2635"/>
      <c r="BI11" s="2635"/>
    </row>
    <row r="12" spans="1:61" s="338" customFormat="1" ht="15.75" customHeight="1" thickBot="1">
      <c r="A12" s="2682" t="str">
        <f>VLOOKUP("Category",Language!$D$232:$G$432,$L$1,FALSE)</f>
        <v>Categoría</v>
      </c>
      <c r="B12" s="2683"/>
      <c r="C12" s="2689"/>
      <c r="D12" s="2682" t="str">
        <f>VLOOKUP("Product INN",Language!$D$232:$G$432,$L$1,FALSE)</f>
        <v>DCI del producto</v>
      </c>
      <c r="E12" s="2683"/>
      <c r="F12" s="2684"/>
      <c r="G12" s="2688" t="str">
        <f>VLOOKUP("Specification (dosage, form, packaging, pack size)",Language!$D$232:$G$432,$L$1,FALSE)</f>
        <v>Especificaciones (dosificación, forma farmacéutica, empaque, tamaño del empaque)</v>
      </c>
      <c r="H12" s="2683"/>
      <c r="I12" s="2689"/>
      <c r="J12" s="2689"/>
      <c r="K12" s="2665" t="str">
        <f>VLOOKUP("Unit of measure",Language!$D$232:$G$432,$L$1,FALSE)</f>
        <v>Unidad de medida</v>
      </c>
      <c r="L12" s="2640" t="str">
        <f>VLOOKUP("Payment Currency",Language!$D$232:$G$432,$L$1,FALSE)</f>
        <v>Moneda de pago</v>
      </c>
      <c r="M12" s="2637">
        <f>IF(ISBLANK(IMP_ST_DATE),SETUP!$A$3,IF(MO_CHECK&gt;3,"Y1",YEAR(IMP_ST_DATE)))</f>
        <v>2022</v>
      </c>
      <c r="N12" s="2638"/>
      <c r="O12" s="2638"/>
      <c r="P12" s="2638"/>
      <c r="Q12" s="2638"/>
      <c r="R12" s="2638"/>
      <c r="S12" s="2639"/>
      <c r="T12" s="2642">
        <f>IF(M12="Y1","Y2",IF(ISBLANK(IMP_ST_DATE),SETUP!$A$3,YEAR(IMP_ST_DATE)+1))</f>
        <v>2023</v>
      </c>
      <c r="U12" s="2638"/>
      <c r="V12" s="2638"/>
      <c r="W12" s="2638"/>
      <c r="X12" s="2638"/>
      <c r="Y12" s="2638"/>
      <c r="Z12" s="2643"/>
      <c r="AA12" s="2642">
        <f>IF(M12="Y1","Y3",IF(ISBLANK(IMP_ST_DATE),SETUP!$A$3,YEAR(IMP_ST_DATE)+2))</f>
        <v>2024</v>
      </c>
      <c r="AB12" s="2638"/>
      <c r="AC12" s="2638"/>
      <c r="AD12" s="2638"/>
      <c r="AE12" s="2638"/>
      <c r="AF12" s="2638"/>
      <c r="AG12" s="2644"/>
      <c r="AH12" s="2645" t="str">
        <f>VLOOKUP("Total grant period",Language!$D$232:$G$432,$L$1,FALSE)</f>
        <v>Total del período de subvención</v>
      </c>
      <c r="AI12" s="2646"/>
      <c r="AJ12" s="945" t="str">
        <f>VLOOKUP("Finance",Language!$D$232:$G$432,$L$1,FALSE)</f>
        <v>Finanzas</v>
      </c>
      <c r="AK12" s="2647" t="str">
        <f>VLOOKUP("Comments",Language!$D$232:$G$432,$L$1,FALSE)</f>
        <v>Comentarios</v>
      </c>
      <c r="AL12" s="2608" t="str">
        <f>VLOOKUP("Delivery Lead Time",Language!$D$232:$G$432,$L$1,FALSE)</f>
        <v>Plazo de entrega</v>
      </c>
      <c r="AM12" s="2608" t="s">
        <v>3054</v>
      </c>
      <c r="AQ12" s="337"/>
      <c r="AX12" s="2636">
        <f>YEAR(IMP_ST_DATE)</f>
        <v>2022</v>
      </c>
      <c r="AY12" s="2636"/>
      <c r="AZ12" s="2636"/>
      <c r="BA12" s="2636"/>
      <c r="BB12" s="2636">
        <f>YEAR(IMP_ST_DATE)+1</f>
        <v>2023</v>
      </c>
      <c r="BC12" s="2636"/>
      <c r="BD12" s="2636"/>
      <c r="BE12" s="2636"/>
      <c r="BF12" s="2636">
        <f>YEAR(IMP_ST_DATE)+2</f>
        <v>2024</v>
      </c>
      <c r="BG12" s="2636"/>
      <c r="BH12" s="2636"/>
      <c r="BI12" s="2636"/>
    </row>
    <row r="13" spans="1:61" s="342" customFormat="1" ht="26.5" thickBot="1">
      <c r="A13" s="2685"/>
      <c r="B13" s="2686"/>
      <c r="C13" s="2691"/>
      <c r="D13" s="2685"/>
      <c r="E13" s="2686"/>
      <c r="F13" s="2687"/>
      <c r="G13" s="2690"/>
      <c r="H13" s="2686"/>
      <c r="I13" s="2691"/>
      <c r="J13" s="2691"/>
      <c r="K13" s="2666"/>
      <c r="L13" s="2641"/>
      <c r="M13" s="442" t="str">
        <f>VLOOKUP("Y1 Unit cost",Language!$D$232:$G$432,$L$1,FALSE)</f>
        <v>Costo unitario del A1</v>
      </c>
      <c r="N13" s="443" t="str">
        <f>VLOOKUP("Y1 Q1 quantity",Language!$D$232:$G$432,$L$1,FALSE)</f>
        <v>Cantidad del A1, T1</v>
      </c>
      <c r="O13" s="443" t="str">
        <f>VLOOKUP("Y1 Q2 quantity",Language!$D$232:$G$432,$L$1,FALSE)</f>
        <v>Cantidad del A1, T2</v>
      </c>
      <c r="P13" s="443" t="str">
        <f>VLOOKUP("Y1 Q3 quantity",Language!$D$232:$G$432,$L$1,FALSE)</f>
        <v>Cantidad del A1, T3</v>
      </c>
      <c r="Q13" s="443" t="str">
        <f>VLOOKUP("Y1 Q4 quantity",Language!$D$232:$G$432,$L$1,FALSE)</f>
        <v>Cantidad del A1, T4</v>
      </c>
      <c r="R13" s="443" t="str">
        <f>VLOOKUP("Y1 Total quantity",Language!$D$232:$G$432,$L$1,FALSE)</f>
        <v>Cantidad total del A1</v>
      </c>
      <c r="S13" s="443" t="str">
        <f>VLOOKUP("Y1 Total cost",Language!$D$232:$G$432,$L$1,FALSE)</f>
        <v>Costo total del A1</v>
      </c>
      <c r="T13" s="442" t="str">
        <f>VLOOKUP("Y2 Unit cost",Language!$D$232:$G$432,$L$1,FALSE)</f>
        <v>Costo unitario del A2</v>
      </c>
      <c r="U13" s="443" t="str">
        <f>VLOOKUP("Y2 Q1 quantity",Language!$D$232:$G$432,$L$1,FALSE)</f>
        <v>Cantidad del A2, T1</v>
      </c>
      <c r="V13" s="443" t="str">
        <f>VLOOKUP("Y2 Q2 quantity",Language!$D$232:$G$432,$L$1,FALSE)</f>
        <v>Cantidad del A2, T2</v>
      </c>
      <c r="W13" s="443" t="str">
        <f>VLOOKUP("Y2 Q3 quantity",Language!$D$232:$G$432,$L$1,FALSE)</f>
        <v>Cantidad del A2, T3</v>
      </c>
      <c r="X13" s="443" t="str">
        <f>VLOOKUP("Y2 Q4 quantity",Language!$D$232:$G$432,$L$1,FALSE)</f>
        <v>Cantidad del A2, T4</v>
      </c>
      <c r="Y13" s="443" t="str">
        <f>VLOOKUP("Y2 Total quantity",Language!$D$232:$G$432,$L$1,FALSE)</f>
        <v>Cantidad total del A2</v>
      </c>
      <c r="Z13" s="443" t="str">
        <f>VLOOKUP("Y2 Total cost",Language!$D$232:$G$432,$L$1,FALSE)</f>
        <v>Costo total del A2</v>
      </c>
      <c r="AA13" s="442" t="str">
        <f>VLOOKUP("Y3 Unit cost",Language!$D$232:$G$432,$L$1,FALSE)</f>
        <v>Costo unitario del A3</v>
      </c>
      <c r="AB13" s="443" t="str">
        <f>VLOOKUP("Y3 Q1 quantity",Language!$D$232:$G$432,$L$1,FALSE)</f>
        <v>Cantidad del A3, T1</v>
      </c>
      <c r="AC13" s="443" t="str">
        <f>VLOOKUP("Y3 Q2 quantity",Language!$D$232:$G$432,$L$1,FALSE)</f>
        <v>Cantidad del A3, T2</v>
      </c>
      <c r="AD13" s="443" t="str">
        <f>VLOOKUP("Y3 Q3 quantity",Language!$D$232:$G$432,$L$1,FALSE)</f>
        <v>Cantidad del A3, T3</v>
      </c>
      <c r="AE13" s="443" t="str">
        <f>VLOOKUP("Y3 Q4 quantity",Language!$D$232:$G$432,$L$1,FALSE)</f>
        <v>Cantidad del A3, T4</v>
      </c>
      <c r="AF13" s="443" t="str">
        <f>VLOOKUP("Y3 Total quantity",Language!$D$232:$G$432,$L$1,FALSE)</f>
        <v>Cantidad total del A3</v>
      </c>
      <c r="AG13" s="443" t="str">
        <f>VLOOKUP("Y3 Total cost",Language!$D$232:$G$432,$L$1,FALSE)</f>
        <v>Costo total del A3</v>
      </c>
      <c r="AH13" s="387" t="str">
        <f>VLOOKUP("Total quantity",Language!$D$232:$G$432,$L$1,FALSE)</f>
        <v>Cantidad total</v>
      </c>
      <c r="AI13" s="388" t="str">
        <f>VLOOKUP("Total cost ",Language!$D$232:$G$432,$L$1,FALSE)</f>
        <v xml:space="preserve">Costo total </v>
      </c>
      <c r="AJ13" s="387" t="str">
        <f>VLOOKUP("Cost input",Language!$D$232:$G$432,$L$1,FALSE)</f>
        <v>Categoría de costos</v>
      </c>
      <c r="AK13" s="2648"/>
      <c r="AL13" s="2609"/>
      <c r="AM13" s="2609"/>
      <c r="AX13" s="390" t="s">
        <v>1213</v>
      </c>
      <c r="AY13" s="390" t="s">
        <v>1214</v>
      </c>
      <c r="AZ13" s="390" t="s">
        <v>1215</v>
      </c>
      <c r="BA13" s="390" t="s">
        <v>1216</v>
      </c>
      <c r="BB13" s="390" t="s">
        <v>1217</v>
      </c>
      <c r="BC13" s="390" t="s">
        <v>1218</v>
      </c>
      <c r="BD13" s="390" t="s">
        <v>1220</v>
      </c>
      <c r="BE13" s="390" t="s">
        <v>1221</v>
      </c>
      <c r="BF13" s="390" t="s">
        <v>1222</v>
      </c>
      <c r="BG13" s="390" t="s">
        <v>1223</v>
      </c>
      <c r="BH13" s="390" t="s">
        <v>1219</v>
      </c>
      <c r="BI13" s="390" t="s">
        <v>1224</v>
      </c>
    </row>
    <row r="14" spans="1:61" s="8" customFormat="1">
      <c r="A14" s="2610"/>
      <c r="B14" s="2611"/>
      <c r="C14" s="2611"/>
      <c r="D14" s="2610"/>
      <c r="E14" s="2618"/>
      <c r="F14" s="2612"/>
      <c r="G14" s="2618"/>
      <c r="H14" s="2618"/>
      <c r="I14" s="2618"/>
      <c r="J14" s="2618"/>
      <c r="K14" s="1415" t="str">
        <f>IF(A14&lt;&gt;"",IFERROR(INDEX(PMtbl[[WKst]:[Unit of measure*]],MATCH($A$8&amp;$A14&amp;$D14&amp;$G14,INDEX(PMtbl[Sec]&amp;PMtbl[Category]&amp;PMtbl[INN]&amp;PMtbl[Specification],0,),0),8),""),"")</f>
        <v/>
      </c>
      <c r="L14" s="1124" t="str">
        <f>IF(K14="", "",SETUP!$E$5)</f>
        <v/>
      </c>
      <c r="M14" s="791"/>
      <c r="N14" s="807"/>
      <c r="O14" s="807"/>
      <c r="P14" s="807"/>
      <c r="Q14" s="807"/>
      <c r="R14" s="391">
        <f>SUM('TB-Pharmaceuticals'!$N14:$Q14)</f>
        <v>0</v>
      </c>
      <c r="S14" s="796">
        <f>'TB-Pharmaceuticals'!$M14*'TB-Pharmaceuticals'!$R14</f>
        <v>0</v>
      </c>
      <c r="T14" s="791"/>
      <c r="U14" s="807"/>
      <c r="V14" s="807"/>
      <c r="W14" s="807"/>
      <c r="X14" s="807"/>
      <c r="Y14" s="391">
        <f>SUM('TB-Pharmaceuticals'!$U14:$X14)</f>
        <v>0</v>
      </c>
      <c r="Z14" s="801">
        <f>'TB-Pharmaceuticals'!$T14*'TB-Pharmaceuticals'!$Y14</f>
        <v>0</v>
      </c>
      <c r="AA14" s="791"/>
      <c r="AB14" s="807"/>
      <c r="AC14" s="807"/>
      <c r="AD14" s="807"/>
      <c r="AE14" s="807"/>
      <c r="AF14" s="391">
        <f>SUM('TB-Pharmaceuticals'!$AB14:$AE14)</f>
        <v>0</v>
      </c>
      <c r="AG14" s="801">
        <f>'TB-Pharmaceuticals'!$AA14*'TB-Pharmaceuticals'!$AF14</f>
        <v>0</v>
      </c>
      <c r="AH14" s="392">
        <f>'TB-Pharmaceuticals'!$R14+'TB-Pharmaceuticals'!$Y14+'TB-Pharmaceuticals'!$AF14</f>
        <v>0</v>
      </c>
      <c r="AI14" s="801">
        <f>'TB-Pharmaceuticals'!$S14+'TB-Pharmaceuticals'!$Z14+'TB-Pharmaceuticals'!$AG14</f>
        <v>0</v>
      </c>
      <c r="AJ14" s="1125" t="str">
        <f>IF(A14&lt;&gt;"",IFERROR(INDEX(PMtbl[[WKst]:[Unit of measure*]],MATCH($A$8&amp;$A14&amp;$D14&amp;$G14,INDEX(PMtbl[Sec]&amp;PMtbl[Category]&amp;PMtbl[INN]&amp;PMtbl[Specification],0,),0),7),""),"")</f>
        <v/>
      </c>
      <c r="AK14" s="946"/>
      <c r="AL14" s="1423" t="str">
        <f>IFERROR(INDEX(SETUP!$C$19:$G$62,MATCH((INDEX(PMtbl[[WKst]:[Unit of measure*]],MATCH($A14&amp;$D14&amp;$G14,INDEX(PMtbl[Category]&amp;PMtbl[INN]&amp;PMtbl[Specification],0,),0),3)),SETUP!$D$19:$D$62,0),5),"")</f>
        <v/>
      </c>
      <c r="AM14" s="1423" t="str">
        <f>IFERROR(IF((INDEX(SETUP!$C$19:$G$62,MATCH((INDEX(PMtbl[[WKst]:[Unit of measure*]],MATCH($A14&amp;$D14&amp;$G14,INDEX(PMtbl[Category]&amp;PMtbl[INN]&amp;PMtbl[Specification],0,),0),3)),SETUP!$D$19:$D$62,0),4))="Upfront",0,INDEX(SETUP!$C$19:$G$62,MATCH((INDEX(PMtbl[[WKst]:[Unit of measure*]],MATCH($A14&amp;$D14&amp;$G14,INDEX(PMtbl[Category]&amp;PMtbl[INN]&amp;PMtbl[Specification],0,),0),3)),SETUP!$D$19:$D$62,0),5)),"")</f>
        <v/>
      </c>
      <c r="AV14" s="9" t="s">
        <v>2674</v>
      </c>
      <c r="AW14" s="1126" t="s">
        <v>445</v>
      </c>
      <c r="AX14" s="1507">
        <f>SUMPRODUCT(($A$14:$C$33="TB medicines for Sensitive TB")*($M$14:$M$33)*((N14:N33)))+SUMPRODUCT(($A$90:$C$125="TB medicines for Prevention")*($M$90:$M$125)*((N90:N125)))</f>
        <v>0</v>
      </c>
      <c r="AY14" s="1507">
        <f>SUMPRODUCT(($A$14:$C$33="TB medicines for Sensitive TB")*($M$14:$M$33)*((O14:O33)))+SUMPRODUCT(($A$90:$C$125="TB medicines for Prevention")*($M$90:$M$125)*((O90:O125)))</f>
        <v>0</v>
      </c>
      <c r="AZ14" s="1507">
        <f>SUMPRODUCT(($A$14:$C$33="TB medicines for Sensitive TB")*($M$14:$M$33)*((P14:P33)))+SUMPRODUCT(($A$90:$C$125="TB medicines for Prevention")*($M$90:$M$125)*((P90:P125)))</f>
        <v>0</v>
      </c>
      <c r="BA14" s="1507">
        <f>SUMPRODUCT(($A$14:$C$33="TB medicines for Sensitive TB")*($M$14:$M$33)*((Q14:Q33)))+SUMPRODUCT(($A$90:$C$125="TB medicines for Prevention")*($M$90:$M$125)*((Q90:Q125)))</f>
        <v>0</v>
      </c>
      <c r="BB14" s="1507">
        <f>SUMPRODUCT(($A$14:$C$33="TB medicines for Sensitive TB")*($T$14:$T$33)*((U14:U33)))+SUMPRODUCT(($A$90:$C$125="TB medicines for Prevention")*($T$90:$T$125)*((U90:U125)))</f>
        <v>0</v>
      </c>
      <c r="BC14" s="1507">
        <f>SUMPRODUCT(($A$14:$C$33="TB medicines for Sensitive TB")*($T$14:$T$33)*((V14:V33)))+SUMPRODUCT(($A$90:$C$125="TB medicines for Prevention")*($T$90:$T$125)*((V90:V125)))</f>
        <v>0</v>
      </c>
      <c r="BD14" s="1507">
        <f>SUMPRODUCT(($A$14:$C$33="TB medicines for Sensitive TB")*($T$14:$T$33)*((W14:W33)))+SUMPRODUCT(($A$90:$C$125="TB medicines for Prevention")*($T$90:$T$125)*((W90:W125)))</f>
        <v>0</v>
      </c>
      <c r="BE14" s="1507">
        <f>SUMPRODUCT(($A$14:$C$33="TB medicines for Sensitive TB")*($T$14:$T$33)*((X14:X33)))+SUMPRODUCT(($A$90:$C$125="TB medicines for Prevention")*($T$90:$T$125)*((X90:X125)))</f>
        <v>0</v>
      </c>
      <c r="BF14" s="1507">
        <f>SUMPRODUCT(($A$14:$C$33="TB medicines for Sensitive TB")*($AA$14:$AA$33)*((AB14:AB33)))+SUMPRODUCT(($A$90:$C$125="TB medicines for Prevention")*($AA$90:$AA$125)*((AB90:AB125)))</f>
        <v>0</v>
      </c>
      <c r="BG14" s="1507">
        <f>SUMPRODUCT(($A$14:$C$33="TB medicines for Sensitive TB")*($AA$14:$AA$33)*((AC14:AC33)))+SUMPRODUCT(($A$90:$C$125="TB medicines for Prevention")*($AA$90:$AA$125)*((AC90:AC125)))</f>
        <v>0</v>
      </c>
      <c r="BH14" s="1507">
        <f>SUMPRODUCT(($A$14:$C$33="TB medicines for Sensitive TB")*($AA$14:$AA$33)*((AD14:AD33)))+SUMPRODUCT(($A$90:$C$125="TB medicines for Prevention")*($AA$90:$AA$125)*((AD90:AD125)))</f>
        <v>0</v>
      </c>
      <c r="BI14" s="1507">
        <f>SUMPRODUCT(($A$14:$C$33="TB medicines for Sensitive TB")*($AA$14:$AA$33)*((AE14:AE33)))+SUMPRODUCT(($A$90:$C$125="TB medicines for Prevention")*($AA$90:$AA$125)*((AE90:AE125)))</f>
        <v>0</v>
      </c>
    </row>
    <row r="15" spans="1:61">
      <c r="A15" s="2616"/>
      <c r="B15" s="2304"/>
      <c r="C15" s="2304"/>
      <c r="D15" s="2616"/>
      <c r="E15" s="2304"/>
      <c r="F15" s="2617"/>
      <c r="G15" s="2304"/>
      <c r="H15" s="2304"/>
      <c r="I15" s="2304"/>
      <c r="J15" s="2304"/>
      <c r="K15" s="1416" t="str">
        <f>IF(A15&lt;&gt;"",IFERROR(INDEX(PMtbl[[WKst]:[Unit of measure*]],MATCH($A$8&amp;$A15&amp;$D15&amp;$G15,INDEX(PMtbl[Sec]&amp;PMtbl[Category]&amp;PMtbl[INN]&amp;PMtbl[Specification],0,),0),8),""),"")</f>
        <v/>
      </c>
      <c r="L15" s="177" t="str">
        <f>IF(K15="", "",SETUP!$E$5)</f>
        <v/>
      </c>
      <c r="M15" s="792"/>
      <c r="N15" s="808"/>
      <c r="O15" s="808"/>
      <c r="P15" s="808"/>
      <c r="Q15" s="808"/>
      <c r="R15" s="395">
        <f>SUM('TB-Pharmaceuticals'!$N15:$Q15)</f>
        <v>0</v>
      </c>
      <c r="S15" s="797">
        <f>'TB-Pharmaceuticals'!$M15*'TB-Pharmaceuticals'!$R15</f>
        <v>0</v>
      </c>
      <c r="T15" s="792"/>
      <c r="U15" s="808"/>
      <c r="V15" s="808"/>
      <c r="W15" s="808"/>
      <c r="X15" s="808"/>
      <c r="Y15" s="395">
        <f>SUM('TB-Pharmaceuticals'!$U15:$X15)</f>
        <v>0</v>
      </c>
      <c r="Z15" s="802">
        <f>'TB-Pharmaceuticals'!$T15*'TB-Pharmaceuticals'!$Y15</f>
        <v>0</v>
      </c>
      <c r="AA15" s="792"/>
      <c r="AB15" s="808"/>
      <c r="AC15" s="808"/>
      <c r="AD15" s="808"/>
      <c r="AE15" s="808"/>
      <c r="AF15" s="395">
        <f>SUM('TB-Pharmaceuticals'!$AB15:$AE15)</f>
        <v>0</v>
      </c>
      <c r="AG15" s="802">
        <f>'TB-Pharmaceuticals'!$AA15*'TB-Pharmaceuticals'!$AF15</f>
        <v>0</v>
      </c>
      <c r="AH15" s="396">
        <f>'TB-Pharmaceuticals'!$R15+'TB-Pharmaceuticals'!$Y15+'TB-Pharmaceuticals'!$AF15</f>
        <v>0</v>
      </c>
      <c r="AI15" s="802">
        <f>'TB-Pharmaceuticals'!$S15+'TB-Pharmaceuticals'!$Z15+'TB-Pharmaceuticals'!$AG15</f>
        <v>0</v>
      </c>
      <c r="AJ15" s="397" t="str">
        <f>IF(A15&lt;&gt;"",IFERROR(INDEX(PMtbl[[WKst]:[Unit of measure*]],MATCH($A$8&amp;$A15&amp;$D15&amp;$G15,INDEX(PMtbl[Sec]&amp;PMtbl[Category]&amp;PMtbl[INN]&amp;PMtbl[Specification],0,),0),7),""),"")</f>
        <v/>
      </c>
      <c r="AK15" s="947"/>
      <c r="AL15" s="1424" t="str">
        <f>IFERROR(INDEX(SETUP!$C$19:$G$62,MATCH((INDEX(PMtbl[[WKst]:[Unit of measure*]],MATCH($A15&amp;$D15&amp;$G15,INDEX(PMtbl[Category]&amp;PMtbl[INN]&amp;PMtbl[Specification],0,),0),3)),SETUP!$D$19:$D$62,0),5),"")</f>
        <v/>
      </c>
      <c r="AM15" s="1424" t="str">
        <f>IFERROR(IF((INDEX(SETUP!$C$19:$G$62,MATCH((INDEX(PMtbl[[WKst]:[Unit of measure*]],MATCH($A15&amp;$D15&amp;$G15,INDEX(PMtbl[Category]&amp;PMtbl[INN]&amp;PMtbl[Specification],0,),0),3)),SETUP!$D$19:$D$62,0),4))="Upfront",0,INDEX(SETUP!$C$19:$G$62,MATCH((INDEX(PMtbl[[WKst]:[Unit of measure*]],MATCH($A15&amp;$D15&amp;$G15,INDEX(PMtbl[Category]&amp;PMtbl[INN]&amp;PMtbl[Specification],0,),0),3)),SETUP!$D$19:$D$62,0),5)),"")</f>
        <v/>
      </c>
      <c r="AV15" s="505">
        <v>2</v>
      </c>
      <c r="AW15" s="393" t="s">
        <v>446</v>
      </c>
      <c r="AX15" s="394">
        <f>SUMPRODUCT(($A$41:$C$82="TB medicines for Resistant TB")*($M$41:$M$82)*((N41:N82)))</f>
        <v>0</v>
      </c>
      <c r="AY15" s="394">
        <f>SUMPRODUCT(($A$41:$C$82="TB medicines for Resistant TB")*($M$41:$M$82)*((O41:O82)))</f>
        <v>0</v>
      </c>
      <c r="AZ15" s="394">
        <f>SUMPRODUCT(($A$41:$C$82="TB medicines for Resistant TB")*($M$41:$M$82)*((P41:P82)))</f>
        <v>0</v>
      </c>
      <c r="BA15" s="394">
        <f>SUMPRODUCT(($A$41:$C$82="TB medicines for Resistant TB")*($M$41:$M$82)*((Q41:Q82)))</f>
        <v>0</v>
      </c>
      <c r="BB15" s="394">
        <f>SUMPRODUCT(($A$41:$C$82="TB medicines for Resistant TB")*($T$41:$T$82)*((U41:U82)))</f>
        <v>0</v>
      </c>
      <c r="BC15" s="394">
        <f>SUMPRODUCT(($A$41:$C$82="TB medicines for Resistant TB")*($T$41:$T$82)*((V41:V82)))</f>
        <v>0</v>
      </c>
      <c r="BD15" s="394">
        <f>SUMPRODUCT(($A$41:$C$82="TB medicines for Resistant TB")*($T$41:$T$82)*((W41:W82)))</f>
        <v>0</v>
      </c>
      <c r="BE15" s="394">
        <f>SUMPRODUCT(($A$41:$C$82="TB medicines for Resistant TB")*($T$41:$T$82)*((X41:X82)))</f>
        <v>0</v>
      </c>
      <c r="BF15" s="394">
        <f>SUMPRODUCT(($A$41:$C$82="TB medicines for Resistant TB")*($AA$41:$AA$82)*((AB41:AB82)))</f>
        <v>0</v>
      </c>
      <c r="BG15" s="394">
        <f>SUMPRODUCT(($A$41:$C$82="TB medicines for Resistant TB")*($AA$41:$AA$82)*((AC41:AC82)))</f>
        <v>0</v>
      </c>
      <c r="BH15" s="394">
        <f>SUMPRODUCT(($A$41:$C$82="TB medicines for Resistant TB")*($AA$41:$AA$82)*((AD41:AD82)))</f>
        <v>0</v>
      </c>
      <c r="BI15" s="394">
        <f>SUMPRODUCT(($A$41:$C$82="TB medicines for Resistant TB")*($AA$41:$AA$82)*((AE41:AE82)))</f>
        <v>0</v>
      </c>
    </row>
    <row r="16" spans="1:61">
      <c r="A16" s="2610"/>
      <c r="B16" s="2611"/>
      <c r="C16" s="2611"/>
      <c r="D16" s="2610"/>
      <c r="E16" s="2611"/>
      <c r="F16" s="2612"/>
      <c r="G16" s="2611"/>
      <c r="H16" s="2611"/>
      <c r="I16" s="2611"/>
      <c r="J16" s="2611"/>
      <c r="K16" s="1417" t="str">
        <f>IF(A16&lt;&gt;"",IFERROR(INDEX(PMtbl[[WKst]:[Unit of measure*]],MATCH($A$8&amp;$A16&amp;$D16&amp;$G16,INDEX(PMtbl[Sec]&amp;PMtbl[Category]&amp;PMtbl[INN]&amp;PMtbl[Specification],0,),0),8),""),"")</f>
        <v/>
      </c>
      <c r="L16" s="175" t="str">
        <f>IF(K16="", "",SETUP!$E$5)</f>
        <v/>
      </c>
      <c r="M16" s="793"/>
      <c r="N16" s="809"/>
      <c r="O16" s="809"/>
      <c r="P16" s="809"/>
      <c r="Q16" s="809"/>
      <c r="R16" s="398">
        <f>SUM('TB-Pharmaceuticals'!$N16:$Q16)</f>
        <v>0</v>
      </c>
      <c r="S16" s="798">
        <f>'TB-Pharmaceuticals'!$M16*'TB-Pharmaceuticals'!$R16</f>
        <v>0</v>
      </c>
      <c r="T16" s="793"/>
      <c r="U16" s="809"/>
      <c r="V16" s="809"/>
      <c r="W16" s="809"/>
      <c r="X16" s="809"/>
      <c r="Y16" s="398">
        <f>SUM('TB-Pharmaceuticals'!$U16:$X16)</f>
        <v>0</v>
      </c>
      <c r="Z16" s="803">
        <f>'TB-Pharmaceuticals'!$T16*'TB-Pharmaceuticals'!$Y16</f>
        <v>0</v>
      </c>
      <c r="AA16" s="793"/>
      <c r="AB16" s="809"/>
      <c r="AC16" s="809"/>
      <c r="AD16" s="809"/>
      <c r="AE16" s="809"/>
      <c r="AF16" s="398">
        <f>SUM('TB-Pharmaceuticals'!$AB16:$AE16)</f>
        <v>0</v>
      </c>
      <c r="AG16" s="803">
        <f>'TB-Pharmaceuticals'!$AA16*'TB-Pharmaceuticals'!$AF16</f>
        <v>0</v>
      </c>
      <c r="AH16" s="399">
        <f>'TB-Pharmaceuticals'!$R16+'TB-Pharmaceuticals'!$Y16+'TB-Pharmaceuticals'!$AF16</f>
        <v>0</v>
      </c>
      <c r="AI16" s="803">
        <f>'TB-Pharmaceuticals'!$S16+'TB-Pharmaceuticals'!$Z16+'TB-Pharmaceuticals'!$AG16</f>
        <v>0</v>
      </c>
      <c r="AJ16" s="400" t="str">
        <f>IF(A16&lt;&gt;"",IFERROR(INDEX(PMtbl[[WKst]:[Unit of measure*]],MATCH($A$8&amp;$A16&amp;$D16&amp;$G16,INDEX(PMtbl[Sec]&amp;PMtbl[Category]&amp;PMtbl[INN]&amp;PMtbl[Specification],0,),0),7),""),"")</f>
        <v/>
      </c>
      <c r="AK16" s="946"/>
      <c r="AL16" s="1425" t="str">
        <f>IFERROR(INDEX(SETUP!$C$19:$G$62,MATCH((INDEX(PMtbl[[WKst]:[Unit of measure*]],MATCH($A16&amp;$D16&amp;$G16,INDEX(PMtbl[Category]&amp;PMtbl[INN]&amp;PMtbl[Specification],0,),0),3)),SETUP!$D$19:$D$62,0),5),"")</f>
        <v/>
      </c>
      <c r="AM16" s="1425" t="str">
        <f>IFERROR(IF((INDEX(SETUP!$C$19:$G$62,MATCH((INDEX(PMtbl[[WKst]:[Unit of measure*]],MATCH($A16&amp;$D16&amp;$G16,INDEX(PMtbl[Category]&amp;PMtbl[INN]&amp;PMtbl[Specification],0,),0),3)),SETUP!$D$19:$D$62,0),4))="Upfront",0,INDEX(SETUP!$C$19:$G$62,MATCH((INDEX(PMtbl[[WKst]:[Unit of measure*]],MATCH($A16&amp;$D16&amp;$G16,INDEX(PMtbl[Category]&amp;PMtbl[INN]&amp;PMtbl[Specification],0,),0),3)),SETUP!$D$19:$D$62,0),5)),"")</f>
        <v/>
      </c>
      <c r="AV16" s="505">
        <v>4</v>
      </c>
      <c r="AW16" s="393" t="s">
        <v>1389</v>
      </c>
      <c r="AX16" s="394">
        <f>SUMPRODUCT(($A$133:$D$162="OIs, STIs &amp; other medicines in TB")*($M$133:$M$162)*((N133:N162)))</f>
        <v>0</v>
      </c>
      <c r="AY16" s="394">
        <f>SUMPRODUCT(($A$133:$D$162="OIs, STIs &amp; other medicines in TB")*($M$133:$M$162)*((O133:O162)))</f>
        <v>0</v>
      </c>
      <c r="AZ16" s="394">
        <f>SUMPRODUCT(($A$133:$D$162="OIs, STIs &amp; other medicines in TB")*($M$133:$M$162)*((P133:P162)))</f>
        <v>0</v>
      </c>
      <c r="BA16" s="394">
        <f>SUMPRODUCT(($A$133:$D$162="OIs, STIs &amp; other medicines in TB")*($M$133:$M$162)*((Q133:Q162)))</f>
        <v>0</v>
      </c>
      <c r="BB16" s="394">
        <f>SUMPRODUCT(($A$133:$D$162="OIs, STIs &amp; other medicines in TB")*($T$133:$T$162)*((U133:U162)))</f>
        <v>0</v>
      </c>
      <c r="BC16" s="394">
        <f>SUMPRODUCT(($A$133:$D$162="OIs, STIs &amp; other medicines in TB")*($T$133:$T$162)*((V133:V162)))</f>
        <v>0</v>
      </c>
      <c r="BD16" s="394">
        <f>SUMPRODUCT(($A$133:$D$162="OIs, STIs &amp; other medicines in TB")*($T$133:$T$162)*((W133:W162)))</f>
        <v>0</v>
      </c>
      <c r="BE16" s="394">
        <f>SUMPRODUCT(($A$133:$D$162="OIs, STIs &amp; other medicines in TB")*($T$133:$T$162)*((X133:X162)))</f>
        <v>0</v>
      </c>
      <c r="BF16" s="394">
        <f>SUMPRODUCT(($A$133:$D$162="OIs, STIs &amp; other medicines in TB")*($AA$133:$AA$162)*((AB133:AB162)))</f>
        <v>0</v>
      </c>
      <c r="BG16" s="394">
        <f>SUMPRODUCT(($A$133:$D$162="OIs, STIs &amp; other medicines in TB")*($AA$133:$AA$162)*((AC133:AC162)))</f>
        <v>0</v>
      </c>
      <c r="BH16" s="394">
        <f>SUMPRODUCT(($A$133:$D$162="OIs, STIs &amp; other medicines in TB")*($AA$133:$AA$162)*((AD133:AD162)))</f>
        <v>0</v>
      </c>
      <c r="BI16" s="394">
        <f>SUMPRODUCT(($A$133:$D$162="OIs, STIs &amp; other medicines in TB")*($AA$133:$AA$162)*((AE133:AE162)))</f>
        <v>0</v>
      </c>
    </row>
    <row r="17" spans="1:62">
      <c r="A17" s="2616"/>
      <c r="B17" s="2304"/>
      <c r="C17" s="2304"/>
      <c r="D17" s="2616"/>
      <c r="E17" s="2304"/>
      <c r="F17" s="2617"/>
      <c r="G17" s="2304"/>
      <c r="H17" s="2304"/>
      <c r="I17" s="2304"/>
      <c r="J17" s="2304"/>
      <c r="K17" s="1416" t="str">
        <f>IF(A17&lt;&gt;"",IFERROR(INDEX(PMtbl[[WKst]:[Unit of measure*]],MATCH($A$8&amp;$A17&amp;$D17&amp;$G17,INDEX(PMtbl[Sec]&amp;PMtbl[Category]&amp;PMtbl[INN]&amp;PMtbl[Specification],0,),0),8),""),"")</f>
        <v/>
      </c>
      <c r="L17" s="177" t="str">
        <f>IF(K17="", "",SETUP!$E$5)</f>
        <v/>
      </c>
      <c r="M17" s="792"/>
      <c r="N17" s="808"/>
      <c r="O17" s="808"/>
      <c r="P17" s="808"/>
      <c r="Q17" s="808"/>
      <c r="R17" s="395">
        <f>SUM('TB-Pharmaceuticals'!$N17:$Q17)</f>
        <v>0</v>
      </c>
      <c r="S17" s="797">
        <f>'TB-Pharmaceuticals'!$M17*'TB-Pharmaceuticals'!$R17</f>
        <v>0</v>
      </c>
      <c r="T17" s="792"/>
      <c r="U17" s="808"/>
      <c r="V17" s="808"/>
      <c r="W17" s="808"/>
      <c r="X17" s="808"/>
      <c r="Y17" s="395">
        <f>SUM('TB-Pharmaceuticals'!$U17:$X17)</f>
        <v>0</v>
      </c>
      <c r="Z17" s="802">
        <f>'TB-Pharmaceuticals'!$T17*'TB-Pharmaceuticals'!$Y17</f>
        <v>0</v>
      </c>
      <c r="AA17" s="792"/>
      <c r="AB17" s="808"/>
      <c r="AC17" s="808"/>
      <c r="AD17" s="808"/>
      <c r="AE17" s="808"/>
      <c r="AF17" s="395">
        <f>SUM('TB-Pharmaceuticals'!$AB17:$AE17)</f>
        <v>0</v>
      </c>
      <c r="AG17" s="802">
        <f>'TB-Pharmaceuticals'!$AA17*'TB-Pharmaceuticals'!$AF17</f>
        <v>0</v>
      </c>
      <c r="AH17" s="396">
        <f>'TB-Pharmaceuticals'!$R17+'TB-Pharmaceuticals'!$Y17+'TB-Pharmaceuticals'!$AF17</f>
        <v>0</v>
      </c>
      <c r="AI17" s="802">
        <f>'TB-Pharmaceuticals'!$S17+'TB-Pharmaceuticals'!$Z17+'TB-Pharmaceuticals'!$AG17</f>
        <v>0</v>
      </c>
      <c r="AJ17" s="397" t="str">
        <f>IF(A17&lt;&gt;"",IFERROR(INDEX(PMtbl[[WKst]:[Unit of measure*]],MATCH($A$8&amp;$A17&amp;$D17&amp;$G17,INDEX(PMtbl[Sec]&amp;PMtbl[Category]&amp;PMtbl[INN]&amp;PMtbl[Specification],0,),0),7),""),"")</f>
        <v/>
      </c>
      <c r="AK17" s="947"/>
      <c r="AL17" s="1424" t="str">
        <f>IFERROR(INDEX(SETUP!$C$19:$G$62,MATCH((INDEX(PMtbl[[WKst]:[Unit of measure*]],MATCH($A17&amp;$D17&amp;$G17,INDEX(PMtbl[Category]&amp;PMtbl[INN]&amp;PMtbl[Specification],0,),0),3)),SETUP!$D$19:$D$62,0),5),"")</f>
        <v/>
      </c>
      <c r="AM17" s="1424" t="str">
        <f>IFERROR(IF((INDEX(SETUP!$C$19:$G$62,MATCH((INDEX(PMtbl[[WKst]:[Unit of measure*]],MATCH($A17&amp;$D17&amp;$G17,INDEX(PMtbl[Category]&amp;PMtbl[INN]&amp;PMtbl[Specification],0,),0),3)),SETUP!$D$19:$D$62,0),4))="Upfront",0,INDEX(SETUP!$C$19:$G$62,MATCH((INDEX(PMtbl[[WKst]:[Unit of measure*]],MATCH($A17&amp;$D17&amp;$G17,INDEX(PMtbl[Category]&amp;PMtbl[INN]&amp;PMtbl[Specification],0,),0),3)),SETUP!$D$19:$D$62,0),5)),"")</f>
        <v/>
      </c>
      <c r="AW17" s="393"/>
      <c r="AX17" s="394"/>
      <c r="AY17" s="394"/>
      <c r="AZ17" s="394"/>
      <c r="BA17" s="394"/>
      <c r="BB17" s="394"/>
      <c r="BC17" s="394"/>
      <c r="BD17" s="394"/>
      <c r="BE17" s="394"/>
      <c r="BF17" s="394"/>
      <c r="BG17" s="394"/>
      <c r="BH17" s="394"/>
      <c r="BI17" s="394"/>
    </row>
    <row r="18" spans="1:62">
      <c r="A18" s="2610"/>
      <c r="B18" s="2611"/>
      <c r="C18" s="2612"/>
      <c r="D18" s="2610"/>
      <c r="E18" s="2611"/>
      <c r="F18" s="2612"/>
      <c r="G18" s="2611"/>
      <c r="H18" s="2611"/>
      <c r="I18" s="2611"/>
      <c r="J18" s="2611"/>
      <c r="K18" s="1417" t="str">
        <f>IF(A18&lt;&gt;"",IFERROR(INDEX(PMtbl[[WKst]:[Unit of measure*]],MATCH($A$8&amp;$A18&amp;$D18&amp;$G18,INDEX(PMtbl[Sec]&amp;PMtbl[Category]&amp;PMtbl[INN]&amp;PMtbl[Specification],0,),0),8),""),"")</f>
        <v/>
      </c>
      <c r="L18" s="175" t="str">
        <f>IF(K18="", "",SETUP!$E$5)</f>
        <v/>
      </c>
      <c r="M18" s="793"/>
      <c r="N18" s="809"/>
      <c r="O18" s="809"/>
      <c r="P18" s="809"/>
      <c r="Q18" s="809"/>
      <c r="R18" s="398">
        <f>SUM('TB-Pharmaceuticals'!$N18:$Q18)</f>
        <v>0</v>
      </c>
      <c r="S18" s="798">
        <f>'TB-Pharmaceuticals'!$M18*'TB-Pharmaceuticals'!$R18</f>
        <v>0</v>
      </c>
      <c r="T18" s="793"/>
      <c r="U18" s="809"/>
      <c r="V18" s="809"/>
      <c r="W18" s="809"/>
      <c r="X18" s="809"/>
      <c r="Y18" s="398">
        <f>SUM('TB-Pharmaceuticals'!$U18:$X18)</f>
        <v>0</v>
      </c>
      <c r="Z18" s="803">
        <f>'TB-Pharmaceuticals'!$T18*'TB-Pharmaceuticals'!$Y18</f>
        <v>0</v>
      </c>
      <c r="AA18" s="793"/>
      <c r="AB18" s="809"/>
      <c r="AC18" s="809"/>
      <c r="AD18" s="809"/>
      <c r="AE18" s="809"/>
      <c r="AF18" s="398">
        <f>SUM('TB-Pharmaceuticals'!$AB18:$AE18)</f>
        <v>0</v>
      </c>
      <c r="AG18" s="803">
        <f>'TB-Pharmaceuticals'!$AA18*'TB-Pharmaceuticals'!$AF18</f>
        <v>0</v>
      </c>
      <c r="AH18" s="399">
        <f>'TB-Pharmaceuticals'!$R18+'TB-Pharmaceuticals'!$Y18+'TB-Pharmaceuticals'!$AF18</f>
        <v>0</v>
      </c>
      <c r="AI18" s="803">
        <f>'TB-Pharmaceuticals'!$S18+'TB-Pharmaceuticals'!$Z18+'TB-Pharmaceuticals'!$AG18</f>
        <v>0</v>
      </c>
      <c r="AJ18" s="400" t="str">
        <f>IF(A18&lt;&gt;"",IFERROR(INDEX(PMtbl[[WKst]:[Unit of measure*]],MATCH($A$8&amp;$A18&amp;$D18&amp;$G18,INDEX(PMtbl[Sec]&amp;PMtbl[Category]&amp;PMtbl[INN]&amp;PMtbl[Specification],0,),0),7),""),"")</f>
        <v/>
      </c>
      <c r="AK18" s="946"/>
      <c r="AL18" s="1425" t="str">
        <f>IFERROR(INDEX(SETUP!$C$19:$G$62,MATCH((INDEX(PMtbl[[WKst]:[Unit of measure*]],MATCH($A18&amp;$D18&amp;$G18,INDEX(PMtbl[Category]&amp;PMtbl[INN]&amp;PMtbl[Specification],0,),0),3)),SETUP!$D$19:$D$62,0),5),"")</f>
        <v/>
      </c>
      <c r="AM18" s="1425" t="str">
        <f>IFERROR(IF((INDEX(SETUP!$C$19:$G$62,MATCH((INDEX(PMtbl[[WKst]:[Unit of measure*]],MATCH($A18&amp;$D18&amp;$G18,INDEX(PMtbl[Category]&amp;PMtbl[INN]&amp;PMtbl[Specification],0,),0),3)),SETUP!$D$19:$D$62,0),4))="Upfront",0,INDEX(SETUP!$C$19:$G$62,MATCH((INDEX(PMtbl[[WKst]:[Unit of measure*]],MATCH($A18&amp;$D18&amp;$G18,INDEX(PMtbl[Category]&amp;PMtbl[INN]&amp;PMtbl[Specification],0,),0),3)),SETUP!$D$19:$D$62,0),5)),"")</f>
        <v/>
      </c>
      <c r="AX18" s="1509">
        <f>SUM(AX14:AX17)</f>
        <v>0</v>
      </c>
      <c r="AY18" s="1509">
        <f t="shared" ref="AY18:BI18" si="0">SUM(AY14:AY17)</f>
        <v>0</v>
      </c>
      <c r="AZ18" s="1509">
        <f t="shared" si="0"/>
        <v>0</v>
      </c>
      <c r="BA18" s="1509">
        <f t="shared" si="0"/>
        <v>0</v>
      </c>
      <c r="BB18" s="1509">
        <f t="shared" si="0"/>
        <v>0</v>
      </c>
      <c r="BC18" s="1509">
        <f t="shared" si="0"/>
        <v>0</v>
      </c>
      <c r="BD18" s="1509">
        <f t="shared" si="0"/>
        <v>0</v>
      </c>
      <c r="BE18" s="1509">
        <f t="shared" si="0"/>
        <v>0</v>
      </c>
      <c r="BF18" s="1509">
        <f t="shared" si="0"/>
        <v>0</v>
      </c>
      <c r="BG18" s="1509">
        <f t="shared" si="0"/>
        <v>0</v>
      </c>
      <c r="BH18" s="1509">
        <f t="shared" si="0"/>
        <v>0</v>
      </c>
      <c r="BI18" s="1509">
        <f t="shared" si="0"/>
        <v>0</v>
      </c>
    </row>
    <row r="19" spans="1:62">
      <c r="A19" s="2616"/>
      <c r="B19" s="2304"/>
      <c r="C19" s="2304"/>
      <c r="D19" s="2616"/>
      <c r="E19" s="2304"/>
      <c r="F19" s="2617"/>
      <c r="G19" s="2304"/>
      <c r="H19" s="2304"/>
      <c r="I19" s="2304"/>
      <c r="J19" s="2304"/>
      <c r="K19" s="1416" t="str">
        <f>IF(A19&lt;&gt;"",IFERROR(INDEX(PMtbl[[WKst]:[Unit of measure*]],MATCH($A$8&amp;$A19&amp;$D19&amp;$G19,INDEX(PMtbl[Sec]&amp;PMtbl[Category]&amp;PMtbl[INN]&amp;PMtbl[Specification],0,),0),8),""),"")</f>
        <v/>
      </c>
      <c r="L19" s="177" t="str">
        <f>IF(K19="", "",SETUP!$E$5)</f>
        <v/>
      </c>
      <c r="M19" s="792"/>
      <c r="N19" s="808"/>
      <c r="O19" s="808"/>
      <c r="P19" s="808"/>
      <c r="Q19" s="808"/>
      <c r="R19" s="395">
        <f>SUM('TB-Pharmaceuticals'!$N19:$Q19)</f>
        <v>0</v>
      </c>
      <c r="S19" s="797">
        <f>'TB-Pharmaceuticals'!$M19*'TB-Pharmaceuticals'!$R19</f>
        <v>0</v>
      </c>
      <c r="T19" s="792"/>
      <c r="U19" s="808"/>
      <c r="V19" s="808"/>
      <c r="W19" s="808"/>
      <c r="X19" s="808"/>
      <c r="Y19" s="395">
        <f>SUM('TB-Pharmaceuticals'!$U19:$X19)</f>
        <v>0</v>
      </c>
      <c r="Z19" s="802">
        <f>'TB-Pharmaceuticals'!$T19*'TB-Pharmaceuticals'!$Y19</f>
        <v>0</v>
      </c>
      <c r="AA19" s="792"/>
      <c r="AB19" s="808"/>
      <c r="AC19" s="808"/>
      <c r="AD19" s="808"/>
      <c r="AE19" s="808"/>
      <c r="AF19" s="395">
        <f>SUM('TB-Pharmaceuticals'!$AB19:$AE19)</f>
        <v>0</v>
      </c>
      <c r="AG19" s="802">
        <f>'TB-Pharmaceuticals'!$AA19*'TB-Pharmaceuticals'!$AF19</f>
        <v>0</v>
      </c>
      <c r="AH19" s="396">
        <f>'TB-Pharmaceuticals'!$R19+'TB-Pharmaceuticals'!$Y19+'TB-Pharmaceuticals'!$AF19</f>
        <v>0</v>
      </c>
      <c r="AI19" s="802">
        <f>'TB-Pharmaceuticals'!$S19+'TB-Pharmaceuticals'!$Z19+'TB-Pharmaceuticals'!$AG19</f>
        <v>0</v>
      </c>
      <c r="AJ19" s="397" t="str">
        <f>IF(A19&lt;&gt;"",IFERROR(INDEX(PMtbl[[WKst]:[Unit of measure*]],MATCH($A$8&amp;$A19&amp;$D19&amp;$G19,INDEX(PMtbl[Sec]&amp;PMtbl[Category]&amp;PMtbl[INN]&amp;PMtbl[Specification],0,),0),7),""),"")</f>
        <v/>
      </c>
      <c r="AK19" s="947"/>
      <c r="AL19" s="1424" t="str">
        <f>IFERROR(INDEX(SETUP!$C$19:$G$62,MATCH((INDEX(PMtbl[[WKst]:[Unit of measure*]],MATCH($A19&amp;$D19&amp;$G19,INDEX(PMtbl[Category]&amp;PMtbl[INN]&amp;PMtbl[Specification],0,),0),3)),SETUP!$D$19:$D$62,0),5),"")</f>
        <v/>
      </c>
      <c r="AM19" s="1424" t="str">
        <f>IFERROR(IF((INDEX(SETUP!$C$19:$G$62,MATCH((INDEX(PMtbl[[WKst]:[Unit of measure*]],MATCH($A19&amp;$D19&amp;$G19,INDEX(PMtbl[Category]&amp;PMtbl[INN]&amp;PMtbl[Specification],0,),0),3)),SETUP!$D$19:$D$62,0),4))="Upfront",0,INDEX(SETUP!$C$19:$G$62,MATCH((INDEX(PMtbl[[WKst]:[Unit of measure*]],MATCH($A19&amp;$D19&amp;$G19,INDEX(PMtbl[Category]&amp;PMtbl[INN]&amp;PMtbl[Specification],0,),0),3)),SETUP!$D$19:$D$62,0),5)),"")</f>
        <v/>
      </c>
    </row>
    <row r="20" spans="1:62">
      <c r="A20" s="2610"/>
      <c r="B20" s="2611"/>
      <c r="C20" s="2611"/>
      <c r="D20" s="2610"/>
      <c r="E20" s="2611"/>
      <c r="F20" s="2612"/>
      <c r="G20" s="2611"/>
      <c r="H20" s="2611"/>
      <c r="I20" s="2611"/>
      <c r="J20" s="2611"/>
      <c r="K20" s="1417" t="str">
        <f>IF(A20&lt;&gt;"",IFERROR(INDEX(PMtbl[[WKst]:[Unit of measure*]],MATCH($A$8&amp;$A20&amp;$D20&amp;$G20,INDEX(PMtbl[Sec]&amp;PMtbl[Category]&amp;PMtbl[INN]&amp;PMtbl[Specification],0,),0),8),""),"")</f>
        <v/>
      </c>
      <c r="L20" s="175" t="str">
        <f>IF(K20="", "",SETUP!$E$5)</f>
        <v/>
      </c>
      <c r="M20" s="793"/>
      <c r="N20" s="809"/>
      <c r="O20" s="809"/>
      <c r="P20" s="809"/>
      <c r="Q20" s="809"/>
      <c r="R20" s="398">
        <f>SUM('TB-Pharmaceuticals'!$N20:$Q20)</f>
        <v>0</v>
      </c>
      <c r="S20" s="798">
        <f>'TB-Pharmaceuticals'!$M20*'TB-Pharmaceuticals'!$R20</f>
        <v>0</v>
      </c>
      <c r="T20" s="793"/>
      <c r="U20" s="809"/>
      <c r="V20" s="809"/>
      <c r="W20" s="809"/>
      <c r="X20" s="809"/>
      <c r="Y20" s="398">
        <f>SUM('TB-Pharmaceuticals'!$U20:$X20)</f>
        <v>0</v>
      </c>
      <c r="Z20" s="803">
        <f>'TB-Pharmaceuticals'!$T20*'TB-Pharmaceuticals'!$Y20</f>
        <v>0</v>
      </c>
      <c r="AA20" s="793"/>
      <c r="AB20" s="809"/>
      <c r="AC20" s="809"/>
      <c r="AD20" s="809"/>
      <c r="AE20" s="809"/>
      <c r="AF20" s="398">
        <f>SUM('TB-Pharmaceuticals'!$AB20:$AE20)</f>
        <v>0</v>
      </c>
      <c r="AG20" s="803">
        <f>'TB-Pharmaceuticals'!$AA20*'TB-Pharmaceuticals'!$AF20</f>
        <v>0</v>
      </c>
      <c r="AH20" s="399">
        <f>'TB-Pharmaceuticals'!$R20+'TB-Pharmaceuticals'!$Y20+'TB-Pharmaceuticals'!$AF20</f>
        <v>0</v>
      </c>
      <c r="AI20" s="803">
        <f>'TB-Pharmaceuticals'!$S20+'TB-Pharmaceuticals'!$Z20+'TB-Pharmaceuticals'!$AG20</f>
        <v>0</v>
      </c>
      <c r="AJ20" s="401" t="str">
        <f>IF(A20&lt;&gt;"",IFERROR(INDEX(PMtbl[[WKst]:[Unit of measure*]],MATCH($A$8&amp;$A20&amp;$D20&amp;$G20,INDEX(PMtbl[Sec]&amp;PMtbl[Category]&amp;PMtbl[INN]&amp;PMtbl[Specification],0,),0),7),""),"")</f>
        <v/>
      </c>
      <c r="AK20" s="949"/>
      <c r="AL20" s="478" t="str">
        <f>IFERROR(INDEX(SETUP!$C$19:$G$62,MATCH((INDEX(PMtbl[[WKst]:[Unit of measure*]],MATCH($A20&amp;$D20&amp;$G20,INDEX(PMtbl[Category]&amp;PMtbl[INN]&amp;PMtbl[Specification],0,),0),3)),SETUP!$D$19:$D$62,0),5),"")</f>
        <v/>
      </c>
      <c r="AM20" s="478" t="str">
        <f>IFERROR(IF((INDEX(SETUP!$C$19:$G$62,MATCH((INDEX(PMtbl[[WKst]:[Unit of measure*]],MATCH($A20&amp;$D20&amp;$G20,INDEX(PMtbl[Category]&amp;PMtbl[INN]&amp;PMtbl[Specification],0,),0),3)),SETUP!$D$19:$D$62,0),4))="Upfront",0,INDEX(SETUP!$C$19:$G$62,MATCH((INDEX(PMtbl[[WKst]:[Unit of measure*]],MATCH($A20&amp;$D20&amp;$G20,INDEX(PMtbl[Category]&amp;PMtbl[INN]&amp;PMtbl[Specification],0,),0),3)),SETUP!$D$19:$D$62,0),5)),"")</f>
        <v/>
      </c>
    </row>
    <row r="21" spans="1:62">
      <c r="A21" s="2616"/>
      <c r="B21" s="2304"/>
      <c r="C21" s="2304"/>
      <c r="D21" s="2616"/>
      <c r="E21" s="2304"/>
      <c r="F21" s="2617"/>
      <c r="G21" s="2304"/>
      <c r="H21" s="2304"/>
      <c r="I21" s="2304"/>
      <c r="J21" s="2304"/>
      <c r="K21" s="1416" t="str">
        <f>IF(A21&lt;&gt;"",IFERROR(INDEX(PMtbl[[WKst]:[Unit of measure*]],MATCH($A$8&amp;$A21&amp;$D21&amp;$G21,INDEX(PMtbl[Sec]&amp;PMtbl[Category]&amp;PMtbl[INN]&amp;PMtbl[Specification],0,),0),8),""),"")</f>
        <v/>
      </c>
      <c r="L21" s="177" t="str">
        <f>IF(K21="", "",SETUP!$E$5)</f>
        <v/>
      </c>
      <c r="M21" s="792"/>
      <c r="N21" s="808"/>
      <c r="O21" s="808"/>
      <c r="P21" s="808"/>
      <c r="Q21" s="808"/>
      <c r="R21" s="395">
        <f>SUM('TB-Pharmaceuticals'!$N21:$Q21)</f>
        <v>0</v>
      </c>
      <c r="S21" s="797">
        <f>'TB-Pharmaceuticals'!$M21*'TB-Pharmaceuticals'!$R21</f>
        <v>0</v>
      </c>
      <c r="T21" s="792"/>
      <c r="U21" s="808"/>
      <c r="V21" s="808"/>
      <c r="W21" s="808"/>
      <c r="X21" s="808"/>
      <c r="Y21" s="395">
        <f>SUM('TB-Pharmaceuticals'!$U21:$X21)</f>
        <v>0</v>
      </c>
      <c r="Z21" s="802">
        <f>'TB-Pharmaceuticals'!$T21*'TB-Pharmaceuticals'!$Y21</f>
        <v>0</v>
      </c>
      <c r="AA21" s="792"/>
      <c r="AB21" s="808"/>
      <c r="AC21" s="808"/>
      <c r="AD21" s="808"/>
      <c r="AE21" s="808"/>
      <c r="AF21" s="395">
        <f>SUM('TB-Pharmaceuticals'!$AB21:$AE21)</f>
        <v>0</v>
      </c>
      <c r="AG21" s="802">
        <f>'TB-Pharmaceuticals'!$AA21*'TB-Pharmaceuticals'!$AF21</f>
        <v>0</v>
      </c>
      <c r="AH21" s="396">
        <f>'TB-Pharmaceuticals'!$R21+'TB-Pharmaceuticals'!$Y21+'TB-Pharmaceuticals'!$AF21</f>
        <v>0</v>
      </c>
      <c r="AI21" s="802">
        <f>'TB-Pharmaceuticals'!$S21+'TB-Pharmaceuticals'!$Z21+'TB-Pharmaceuticals'!$AG21</f>
        <v>0</v>
      </c>
      <c r="AJ21" s="402" t="str">
        <f>IF(A21&lt;&gt;"",IFERROR(INDEX(PMtbl[[WKst]:[Unit of measure*]],MATCH($A$8&amp;$A21&amp;$D21&amp;$G21,INDEX(PMtbl[Sec]&amp;PMtbl[Category]&amp;PMtbl[INN]&amp;PMtbl[Specification],0,),0),7),""),"")</f>
        <v/>
      </c>
      <c r="AK21" s="950"/>
      <c r="AL21" s="479" t="str">
        <f>IFERROR(INDEX(SETUP!$C$19:$G$62,MATCH((INDEX(PMtbl[[WKst]:[Unit of measure*]],MATCH($A21&amp;$D21&amp;$G21,INDEX(PMtbl[Category]&amp;PMtbl[INN]&amp;PMtbl[Specification],0,),0),3)),SETUP!$D$19:$D$62,0),5),"")</f>
        <v/>
      </c>
      <c r="AM21" s="479" t="str">
        <f>IFERROR(IF((INDEX(SETUP!$C$19:$G$62,MATCH((INDEX(PMtbl[[WKst]:[Unit of measure*]],MATCH($A21&amp;$D21&amp;$G21,INDEX(PMtbl[Category]&amp;PMtbl[INN]&amp;PMtbl[Specification],0,),0),3)),SETUP!$D$19:$D$62,0),4))="Upfront",0,INDEX(SETUP!$C$19:$G$62,MATCH((INDEX(PMtbl[[WKst]:[Unit of measure*]],MATCH($A21&amp;$D21&amp;$G21,INDEX(PMtbl[Category]&amp;PMtbl[INN]&amp;PMtbl[Specification],0,),0),3)),SETUP!$D$19:$D$62,0),5)),"")</f>
        <v/>
      </c>
      <c r="AX21" s="2635" t="s">
        <v>1225</v>
      </c>
      <c r="AY21" s="2635"/>
      <c r="AZ21" s="2635"/>
      <c r="BA21" s="2635"/>
      <c r="BB21" s="2635"/>
      <c r="BC21" s="2635"/>
      <c r="BD21" s="2635"/>
      <c r="BE21" s="2635"/>
      <c r="BF21" s="2635"/>
      <c r="BG21" s="2635"/>
      <c r="BH21" s="2635"/>
      <c r="BI21" s="2635"/>
    </row>
    <row r="22" spans="1:62">
      <c r="A22" s="2610"/>
      <c r="B22" s="2611"/>
      <c r="C22" s="2611"/>
      <c r="D22" s="2610"/>
      <c r="E22" s="2611"/>
      <c r="F22" s="2612"/>
      <c r="G22" s="2611"/>
      <c r="H22" s="2611"/>
      <c r="I22" s="2611"/>
      <c r="J22" s="2611"/>
      <c r="K22" s="1417" t="str">
        <f>IF(A22&lt;&gt;"",IFERROR(INDEX(PMtbl[[WKst]:[Unit of measure*]],MATCH($A$8&amp;$A22&amp;$D22&amp;$G22,INDEX(PMtbl[Sec]&amp;PMtbl[Category]&amp;PMtbl[INN]&amp;PMtbl[Specification],0,),0),8),""),"")</f>
        <v/>
      </c>
      <c r="L22" s="175" t="str">
        <f>IF(K22="", "",SETUP!$E$5)</f>
        <v/>
      </c>
      <c r="M22" s="793"/>
      <c r="N22" s="809"/>
      <c r="O22" s="809"/>
      <c r="P22" s="809"/>
      <c r="Q22" s="809"/>
      <c r="R22" s="398">
        <f>SUM('TB-Pharmaceuticals'!$N22:$Q22)</f>
        <v>0</v>
      </c>
      <c r="S22" s="798">
        <f>'TB-Pharmaceuticals'!$M22*'TB-Pharmaceuticals'!$R22</f>
        <v>0</v>
      </c>
      <c r="T22" s="793"/>
      <c r="U22" s="809"/>
      <c r="V22" s="809"/>
      <c r="W22" s="809"/>
      <c r="X22" s="809"/>
      <c r="Y22" s="398">
        <f>SUM('TB-Pharmaceuticals'!$U22:$X22)</f>
        <v>0</v>
      </c>
      <c r="Z22" s="803">
        <f>'TB-Pharmaceuticals'!$T22*'TB-Pharmaceuticals'!$Y22</f>
        <v>0</v>
      </c>
      <c r="AA22" s="793"/>
      <c r="AB22" s="809"/>
      <c r="AC22" s="809"/>
      <c r="AD22" s="809"/>
      <c r="AE22" s="809"/>
      <c r="AF22" s="398">
        <f>SUM('TB-Pharmaceuticals'!$AB22:$AE22)</f>
        <v>0</v>
      </c>
      <c r="AG22" s="803">
        <f>'TB-Pharmaceuticals'!$AA22*'TB-Pharmaceuticals'!$AF22</f>
        <v>0</v>
      </c>
      <c r="AH22" s="399">
        <f>'TB-Pharmaceuticals'!$R22+'TB-Pharmaceuticals'!$Y22+'TB-Pharmaceuticals'!$AF22</f>
        <v>0</v>
      </c>
      <c r="AI22" s="803">
        <f>'TB-Pharmaceuticals'!$S22+'TB-Pharmaceuticals'!$Z22+'TB-Pharmaceuticals'!$AG22</f>
        <v>0</v>
      </c>
      <c r="AJ22" s="401" t="str">
        <f>IF(A22&lt;&gt;"",IFERROR(INDEX(PMtbl[[WKst]:[Unit of measure*]],MATCH($A$8&amp;$A22&amp;$D22&amp;$G22,INDEX(PMtbl[Sec]&amp;PMtbl[Category]&amp;PMtbl[INN]&amp;PMtbl[Specification],0,),0),7),""),"")</f>
        <v/>
      </c>
      <c r="AK22" s="949"/>
      <c r="AL22" s="478" t="str">
        <f>IFERROR(INDEX(SETUP!$C$19:$G$62,MATCH((INDEX(PMtbl[[WKst]:[Unit of measure*]],MATCH($A22&amp;$D22&amp;$G22,INDEX(PMtbl[Category]&amp;PMtbl[INN]&amp;PMtbl[Specification],0,),0),3)),SETUP!$D$19:$D$62,0),5),"")</f>
        <v/>
      </c>
      <c r="AM22" s="478" t="str">
        <f>IFERROR(IF((INDEX(SETUP!$C$19:$G$62,MATCH((INDEX(PMtbl[[WKst]:[Unit of measure*]],MATCH($A22&amp;$D22&amp;$G22,INDEX(PMtbl[Category]&amp;PMtbl[INN]&amp;PMtbl[Specification],0,),0),3)),SETUP!$D$19:$D$62,0),4))="Upfront",0,INDEX(SETUP!$C$19:$G$62,MATCH((INDEX(PMtbl[[WKst]:[Unit of measure*]],MATCH($A22&amp;$D22&amp;$G22,INDEX(PMtbl[Category]&amp;PMtbl[INN]&amp;PMtbl[Specification],0,),0),3)),SETUP!$D$19:$D$62,0),5)),"")</f>
        <v/>
      </c>
      <c r="AW22" s="338"/>
      <c r="AX22" s="2636">
        <f>YEAR(IMP_ST_DATE)</f>
        <v>2022</v>
      </c>
      <c r="AY22" s="2636"/>
      <c r="AZ22" s="2636"/>
      <c r="BA22" s="2636"/>
      <c r="BB22" s="2636">
        <f>YEAR(IMP_ST_DATE)+1</f>
        <v>2023</v>
      </c>
      <c r="BC22" s="2636"/>
      <c r="BD22" s="2636"/>
      <c r="BE22" s="2636"/>
      <c r="BF22" s="2636">
        <f>YEAR(IMP_ST_DATE)+2</f>
        <v>2024</v>
      </c>
      <c r="BG22" s="2636"/>
      <c r="BH22" s="2636"/>
      <c r="BI22" s="2636"/>
    </row>
    <row r="23" spans="1:62">
      <c r="A23" s="2616"/>
      <c r="B23" s="2304"/>
      <c r="C23" s="2304"/>
      <c r="D23" s="2616"/>
      <c r="E23" s="2304"/>
      <c r="F23" s="2617"/>
      <c r="G23" s="2304"/>
      <c r="H23" s="2304"/>
      <c r="I23" s="2304"/>
      <c r="J23" s="2304"/>
      <c r="K23" s="1416" t="str">
        <f>IF(A23&lt;&gt;"",IFERROR(INDEX(PMtbl[[WKst]:[Unit of measure*]],MATCH($A$8&amp;$A23&amp;$D23&amp;$G23,INDEX(PMtbl[Sec]&amp;PMtbl[Category]&amp;PMtbl[INN]&amp;PMtbl[Specification],0,),0),8),""),"")</f>
        <v/>
      </c>
      <c r="L23" s="176" t="str">
        <f>IF(K23="", "",SETUP!$E$5)</f>
        <v/>
      </c>
      <c r="M23" s="794"/>
      <c r="N23" s="810"/>
      <c r="O23" s="810"/>
      <c r="P23" s="810"/>
      <c r="Q23" s="810"/>
      <c r="R23" s="403">
        <f>SUM('TB-Pharmaceuticals'!$N23:$Q23)</f>
        <v>0</v>
      </c>
      <c r="S23" s="799">
        <f>'TB-Pharmaceuticals'!$M23*'TB-Pharmaceuticals'!$R23</f>
        <v>0</v>
      </c>
      <c r="T23" s="794"/>
      <c r="U23" s="810"/>
      <c r="V23" s="810"/>
      <c r="W23" s="810"/>
      <c r="X23" s="810"/>
      <c r="Y23" s="403">
        <f>SUM('TB-Pharmaceuticals'!$U23:$X23)</f>
        <v>0</v>
      </c>
      <c r="Z23" s="802">
        <f>'TB-Pharmaceuticals'!$T23*'TB-Pharmaceuticals'!$Y23</f>
        <v>0</v>
      </c>
      <c r="AA23" s="794"/>
      <c r="AB23" s="810"/>
      <c r="AC23" s="810"/>
      <c r="AD23" s="810"/>
      <c r="AE23" s="810"/>
      <c r="AF23" s="403">
        <f>SUM('TB-Pharmaceuticals'!$AB23:$AE23)</f>
        <v>0</v>
      </c>
      <c r="AG23" s="805">
        <f>'TB-Pharmaceuticals'!$AA23*'TB-Pharmaceuticals'!$AF23</f>
        <v>0</v>
      </c>
      <c r="AH23" s="404">
        <f>'TB-Pharmaceuticals'!$R23+'TB-Pharmaceuticals'!$Y23+'TB-Pharmaceuticals'!$AF23</f>
        <v>0</v>
      </c>
      <c r="AI23" s="805">
        <f>'TB-Pharmaceuticals'!$S23+'TB-Pharmaceuticals'!$Z23+'TB-Pharmaceuticals'!$AG23</f>
        <v>0</v>
      </c>
      <c r="AJ23" s="405" t="str">
        <f>IF(A23&lt;&gt;"",IFERROR(INDEX(PMtbl[[WKst]:[Unit of measure*]],MATCH($A$8&amp;$A23&amp;$D23&amp;$G23,INDEX(PMtbl[Sec]&amp;PMtbl[Category]&amp;PMtbl[INN]&amp;PMtbl[Specification],0,),0),7),""),"")</f>
        <v/>
      </c>
      <c r="AK23" s="2055"/>
      <c r="AL23" s="1504" t="str">
        <f>IFERROR(INDEX(SETUP!$C$19:$G$62,MATCH((INDEX(PMtbl[[WKst]:[Unit of measure*]],MATCH($A23&amp;$D23&amp;$G23,INDEX(PMtbl[Category]&amp;PMtbl[INN]&amp;PMtbl[Specification],0,),0),3)),SETUP!$D$19:$D$62,0),5),"")</f>
        <v/>
      </c>
      <c r="AM23" s="1504" t="str">
        <f>IFERROR(IF((INDEX(SETUP!$C$19:$G$62,MATCH((INDEX(PMtbl[[WKst]:[Unit of measure*]],MATCH($A23&amp;$D23&amp;$G23,INDEX(PMtbl[Category]&amp;PMtbl[INN]&amp;PMtbl[Specification],0,),0),3)),SETUP!$D$19:$D$62,0),4))="Upfront",0,INDEX(SETUP!$C$19:$G$62,MATCH((INDEX(PMtbl[[WKst]:[Unit of measure*]],MATCH($A23&amp;$D23&amp;$G23,INDEX(PMtbl[Category]&amp;PMtbl[INN]&amp;PMtbl[Specification],0,),0),3)),SETUP!$D$19:$D$62,0),5)),"")</f>
        <v/>
      </c>
      <c r="AU23" s="1413" t="s">
        <v>2586</v>
      </c>
      <c r="AV23" s="1413" t="s">
        <v>2671</v>
      </c>
      <c r="AW23" s="1413" t="s">
        <v>416</v>
      </c>
      <c r="AX23" s="390" t="s">
        <v>1213</v>
      </c>
      <c r="AY23" s="390" t="s">
        <v>1214</v>
      </c>
      <c r="AZ23" s="390" t="s">
        <v>1215</v>
      </c>
      <c r="BA23" s="390" t="s">
        <v>1216</v>
      </c>
      <c r="BB23" s="390" t="s">
        <v>1217</v>
      </c>
      <c r="BC23" s="390" t="s">
        <v>1218</v>
      </c>
      <c r="BD23" s="390" t="s">
        <v>1220</v>
      </c>
      <c r="BE23" s="390" t="s">
        <v>1221</v>
      </c>
      <c r="BF23" s="390" t="s">
        <v>1222</v>
      </c>
      <c r="BG23" s="390" t="s">
        <v>1223</v>
      </c>
      <c r="BH23" s="390" t="s">
        <v>1219</v>
      </c>
      <c r="BI23" s="390" t="s">
        <v>1224</v>
      </c>
      <c r="BJ23" s="390" t="s">
        <v>2498</v>
      </c>
    </row>
    <row r="24" spans="1:62">
      <c r="A24" s="2610"/>
      <c r="B24" s="2611"/>
      <c r="C24" s="2611"/>
      <c r="D24" s="2610"/>
      <c r="E24" s="2611"/>
      <c r="F24" s="2612"/>
      <c r="G24" s="2611"/>
      <c r="H24" s="2611"/>
      <c r="I24" s="2611"/>
      <c r="J24" s="2611"/>
      <c r="K24" s="1417" t="str">
        <f>IF(A24&lt;&gt;"",IFERROR(INDEX(PMtbl[[WKst]:[Unit of measure*]],MATCH($A$8&amp;$A24&amp;$D24&amp;$G24,INDEX(PMtbl[Sec]&amp;PMtbl[Category]&amp;PMtbl[INN]&amp;PMtbl[Specification],0,),0),8),""),"")</f>
        <v/>
      </c>
      <c r="L24" s="175" t="str">
        <f>IF(K24="", "",SETUP!$E$5)</f>
        <v/>
      </c>
      <c r="M24" s="793"/>
      <c r="N24" s="809"/>
      <c r="O24" s="809"/>
      <c r="P24" s="809"/>
      <c r="Q24" s="809"/>
      <c r="R24" s="398">
        <f>SUM('TB-Pharmaceuticals'!$N24:$Q24)</f>
        <v>0</v>
      </c>
      <c r="S24" s="798">
        <f>'TB-Pharmaceuticals'!$M24*'TB-Pharmaceuticals'!$R24</f>
        <v>0</v>
      </c>
      <c r="T24" s="793"/>
      <c r="U24" s="809"/>
      <c r="V24" s="809"/>
      <c r="W24" s="809"/>
      <c r="X24" s="809"/>
      <c r="Y24" s="398">
        <f>SUM('TB-Pharmaceuticals'!$U24:$X24)</f>
        <v>0</v>
      </c>
      <c r="Z24" s="803">
        <f>'TB-Pharmaceuticals'!$T24*'TB-Pharmaceuticals'!$Y24</f>
        <v>0</v>
      </c>
      <c r="AA24" s="793"/>
      <c r="AB24" s="809"/>
      <c r="AC24" s="809"/>
      <c r="AD24" s="809"/>
      <c r="AE24" s="809"/>
      <c r="AF24" s="398">
        <f>SUM('TB-Pharmaceuticals'!$AB24:$AE24)</f>
        <v>0</v>
      </c>
      <c r="AG24" s="803">
        <f>'TB-Pharmaceuticals'!$AA24*'TB-Pharmaceuticals'!$AF24</f>
        <v>0</v>
      </c>
      <c r="AH24" s="399">
        <f>'TB-Pharmaceuticals'!$R24+'TB-Pharmaceuticals'!$Y24+'TB-Pharmaceuticals'!$AF24</f>
        <v>0</v>
      </c>
      <c r="AI24" s="803">
        <f>'TB-Pharmaceuticals'!$S24+'TB-Pharmaceuticals'!$Z24+'TB-Pharmaceuticals'!$AG24</f>
        <v>0</v>
      </c>
      <c r="AJ24" s="401" t="str">
        <f>IF(A24&lt;&gt;"",IFERROR(INDEX(PMtbl[[WKst]:[Unit of measure*]],MATCH($A$8&amp;$A24&amp;$D24&amp;$G24,INDEX(PMtbl[Sec]&amp;PMtbl[Category]&amp;PMtbl[INN]&amp;PMtbl[Specification],0,),0),7),""),"")</f>
        <v/>
      </c>
      <c r="AK24" s="949"/>
      <c r="AL24" s="478" t="str">
        <f>IFERROR(INDEX(SETUP!$C$19:$G$62,MATCH((INDEX(PMtbl[[WKst]:[Unit of measure*]],MATCH($A24&amp;$D24&amp;$G24,INDEX(PMtbl[Category]&amp;PMtbl[INN]&amp;PMtbl[Specification],0,),0),3)),SETUP!$D$19:$D$62,0),5),"")</f>
        <v/>
      </c>
      <c r="AM24" s="478" t="str">
        <f>IFERROR(IF((INDEX(SETUP!$C$19:$G$62,MATCH((INDEX(PMtbl[[WKst]:[Unit of measure*]],MATCH($A24&amp;$D24&amp;$G24,INDEX(PMtbl[Category]&amp;PMtbl[INN]&amp;PMtbl[Specification],0,),0),3)),SETUP!$D$19:$D$62,0),4))="Upfront",0,INDEX(SETUP!$C$19:$G$62,MATCH((INDEX(PMtbl[[WKst]:[Unit of measure*]],MATCH($A24&amp;$D24&amp;$G24,INDEX(PMtbl[Category]&amp;PMtbl[INN]&amp;PMtbl[Specification],0,),0),3)),SETUP!$D$19:$D$62,0),5)),"")</f>
        <v/>
      </c>
      <c r="AU24" s="1414">
        <v>1</v>
      </c>
      <c r="AV24" s="1414">
        <f>IFERROR(VLOOKUP($AW24,$AJ$12:$AM$33,4,FALSE),0)</f>
        <v>0</v>
      </c>
      <c r="AW24" s="1414">
        <v>4.2</v>
      </c>
      <c r="AX24" s="1414">
        <f>SUMPRODUCT(($AJ$14:$AJ$33=$AW24)*($M$14:$M$33)*((N$14:N$33)))</f>
        <v>0</v>
      </c>
      <c r="AY24" s="1414">
        <f>SUMPRODUCT(($AJ$14:$AJ$33=$AW24)*($M$14:$M$33)*((O$14:O$33)))</f>
        <v>0</v>
      </c>
      <c r="AZ24" s="1414">
        <f>SUMPRODUCT(($AJ$14:$AJ$33=$AW24)*($M$14:$M$33)*((P$14:P$33)))</f>
        <v>0</v>
      </c>
      <c r="BA24" s="1414">
        <f>SUMPRODUCT(($AJ$14:$AJ$33=$AW24)*($M$14:$M$33)*((Q$14:Q$33)))</f>
        <v>0</v>
      </c>
      <c r="BB24" s="1414">
        <f>SUMPRODUCT(($AJ$14:$AJ$33=$AW24)*($T$14:$T$33)*((U$14:U$33)))</f>
        <v>0</v>
      </c>
      <c r="BC24" s="1414">
        <f>SUMPRODUCT(($AJ$14:$AJ$33=$AW24)*($T$14:$T$33)*((V$14:V$33)))</f>
        <v>0</v>
      </c>
      <c r="BD24" s="1414">
        <f>SUMPRODUCT(($AJ$14:$AJ$33=$AW24)*($T$14:$T$33)*((W$14:W$33)))</f>
        <v>0</v>
      </c>
      <c r="BE24" s="1414">
        <f>SUMPRODUCT(($AJ$14:$AJ$33=$AW24)*($T$14:$T$33)*((X$14:X$33)))</f>
        <v>0</v>
      </c>
      <c r="BF24" s="1414">
        <f>SUMPRODUCT(($AJ$14:$AJ$33=$AW24)*($AA$14:$AA$33)*((AB$14:AB$33)))</f>
        <v>0</v>
      </c>
      <c r="BG24" s="1414">
        <f>SUMPRODUCT(($AJ$14:$AJ$33=$AW24)*($AA$14:$AA$33)*((AC$14:AC$33)))</f>
        <v>0</v>
      </c>
      <c r="BH24" s="1414">
        <f>SUMPRODUCT(($AJ$14:$AJ$33=$AW24)*($AA$14:$AA$33)*((AD$14:AD$33)))</f>
        <v>0</v>
      </c>
      <c r="BI24" s="1420">
        <f>SUMPRODUCT(($AJ$14:$AJ$33=$AW24)*($AA$14:$AA$33)*((AE$14:AE$33)))</f>
        <v>0</v>
      </c>
      <c r="BJ24" s="1420">
        <f>SUM(AX24:BI24)</f>
        <v>0</v>
      </c>
    </row>
    <row r="25" spans="1:62">
      <c r="A25" s="2616"/>
      <c r="B25" s="2304"/>
      <c r="C25" s="2304"/>
      <c r="D25" s="2616"/>
      <c r="E25" s="2304"/>
      <c r="F25" s="2617"/>
      <c r="G25" s="2304"/>
      <c r="H25" s="2304"/>
      <c r="I25" s="2304"/>
      <c r="J25" s="2304"/>
      <c r="K25" s="1416" t="str">
        <f>IF(A25&lt;&gt;"",IFERROR(INDEX(PMtbl[[WKst]:[Unit of measure*]],MATCH($A$8&amp;$A25&amp;$D25&amp;$G25,INDEX(PMtbl[Sec]&amp;PMtbl[Category]&amp;PMtbl[INN]&amp;PMtbl[Specification],0,),0),8),""),"")</f>
        <v/>
      </c>
      <c r="L25" s="176" t="str">
        <f>IF(K25="", "",SETUP!$E$5)</f>
        <v/>
      </c>
      <c r="M25" s="794"/>
      <c r="N25" s="810"/>
      <c r="O25" s="810"/>
      <c r="P25" s="810"/>
      <c r="Q25" s="810"/>
      <c r="R25" s="403">
        <f>SUM('TB-Pharmaceuticals'!$N25:$Q25)</f>
        <v>0</v>
      </c>
      <c r="S25" s="799">
        <f>'TB-Pharmaceuticals'!$M25*'TB-Pharmaceuticals'!$R25</f>
        <v>0</v>
      </c>
      <c r="T25" s="794"/>
      <c r="U25" s="810"/>
      <c r="V25" s="810"/>
      <c r="W25" s="810"/>
      <c r="X25" s="810"/>
      <c r="Y25" s="403">
        <f>SUM('TB-Pharmaceuticals'!$U25:$X25)</f>
        <v>0</v>
      </c>
      <c r="Z25" s="802">
        <f>'TB-Pharmaceuticals'!$T25*'TB-Pharmaceuticals'!$Y25</f>
        <v>0</v>
      </c>
      <c r="AA25" s="794"/>
      <c r="AB25" s="810"/>
      <c r="AC25" s="810"/>
      <c r="AD25" s="810"/>
      <c r="AE25" s="810"/>
      <c r="AF25" s="403">
        <f>SUM('TB-Pharmaceuticals'!$AB25:$AE25)</f>
        <v>0</v>
      </c>
      <c r="AG25" s="805">
        <f>'TB-Pharmaceuticals'!$AA25*'TB-Pharmaceuticals'!$AF25</f>
        <v>0</v>
      </c>
      <c r="AH25" s="404">
        <f>'TB-Pharmaceuticals'!$R25+'TB-Pharmaceuticals'!$Y25+'TB-Pharmaceuticals'!$AF25</f>
        <v>0</v>
      </c>
      <c r="AI25" s="805">
        <f>'TB-Pharmaceuticals'!$S25+'TB-Pharmaceuticals'!$Z25+'TB-Pharmaceuticals'!$AG25</f>
        <v>0</v>
      </c>
      <c r="AJ25" s="405" t="str">
        <f>IF(A25&lt;&gt;"",IFERROR(INDEX(PMtbl[[WKst]:[Unit of measure*]],MATCH($A$8&amp;$A25&amp;$D25&amp;$G25,INDEX(PMtbl[Sec]&amp;PMtbl[Category]&amp;PMtbl[INN]&amp;PMtbl[Specification],0,),0),7),""),"")</f>
        <v/>
      </c>
      <c r="AK25" s="2055"/>
      <c r="AL25" s="1504" t="str">
        <f>IFERROR(INDEX(SETUP!$C$19:$G$62,MATCH((INDEX(PMtbl[[WKst]:[Unit of measure*]],MATCH($A25&amp;$D25&amp;$G25,INDEX(PMtbl[Category]&amp;PMtbl[INN]&amp;PMtbl[Specification],0,),0),3)),SETUP!$D$19:$D$62,0),5),"")</f>
        <v/>
      </c>
      <c r="AM25" s="1504" t="str">
        <f>IFERROR(IF((INDEX(SETUP!$C$19:$G$62,MATCH((INDEX(PMtbl[[WKst]:[Unit of measure*]],MATCH($A25&amp;$D25&amp;$G25,INDEX(PMtbl[Category]&amp;PMtbl[INN]&amp;PMtbl[Specification],0,),0),3)),SETUP!$D$19:$D$62,0),4))="Upfront",0,INDEX(SETUP!$C$19:$G$62,MATCH((INDEX(PMtbl[[WKst]:[Unit of measure*]],MATCH($A25&amp;$D25&amp;$G25,INDEX(PMtbl[Category]&amp;PMtbl[INN]&amp;PMtbl[Specification],0,),0),3)),SETUP!$D$19:$D$62,0),5)),"")</f>
        <v/>
      </c>
      <c r="AU25" s="1414">
        <v>2</v>
      </c>
      <c r="AV25" s="1414">
        <f>IFERROR(VLOOKUP($AW25,$AJ$39:$AM$82,4,FALSE),0)</f>
        <v>0</v>
      </c>
      <c r="AW25" s="1414">
        <v>4.2</v>
      </c>
      <c r="AX25" s="1414">
        <f t="shared" ref="AX25:BA26" si="1">SUMPRODUCT(($AJ$41:$AJ$82=$AW25)*($M$41:$M$82)*((N$41:N$82)))</f>
        <v>0</v>
      </c>
      <c r="AY25" s="1414">
        <f t="shared" si="1"/>
        <v>0</v>
      </c>
      <c r="AZ25" s="1414">
        <f t="shared" si="1"/>
        <v>0</v>
      </c>
      <c r="BA25" s="1414">
        <f t="shared" si="1"/>
        <v>0</v>
      </c>
      <c r="BB25" s="1414">
        <f t="shared" ref="BB25:BE26" si="2">SUMPRODUCT(($AJ$41:$AJ$82=$AW25)*($T$41:$T$82)*((U$41:U$82)))</f>
        <v>0</v>
      </c>
      <c r="BC25" s="1414">
        <f t="shared" si="2"/>
        <v>0</v>
      </c>
      <c r="BD25" s="1414">
        <f t="shared" si="2"/>
        <v>0</v>
      </c>
      <c r="BE25" s="1414">
        <f t="shared" si="2"/>
        <v>0</v>
      </c>
      <c r="BF25" s="1414">
        <f t="shared" ref="BF25:BI26" si="3">SUMPRODUCT(($AJ$41:$AJ$82=$AW25)*($AA$41:$AA$82)*((AB$41:AB$82)))</f>
        <v>0</v>
      </c>
      <c r="BG25" s="1414">
        <f t="shared" si="3"/>
        <v>0</v>
      </c>
      <c r="BH25" s="1414">
        <f t="shared" si="3"/>
        <v>0</v>
      </c>
      <c r="BI25" s="1420">
        <f t="shared" si="3"/>
        <v>0</v>
      </c>
      <c r="BJ25" s="1420">
        <f t="shared" ref="BJ25:BJ33" si="4">SUM(AX25:BI25)</f>
        <v>0</v>
      </c>
    </row>
    <row r="26" spans="1:62">
      <c r="A26" s="2610"/>
      <c r="B26" s="2611"/>
      <c r="C26" s="2611"/>
      <c r="D26" s="2610"/>
      <c r="E26" s="2611"/>
      <c r="F26" s="2612"/>
      <c r="G26" s="2611"/>
      <c r="H26" s="2611"/>
      <c r="I26" s="2611"/>
      <c r="J26" s="2611"/>
      <c r="K26" s="1417" t="str">
        <f>IF(A26&lt;&gt;"",IFERROR(INDEX(PMtbl[[WKst]:[Unit of measure*]],MATCH($A$8&amp;$A26&amp;$D26&amp;$G26,INDEX(PMtbl[Sec]&amp;PMtbl[Category]&amp;PMtbl[INN]&amp;PMtbl[Specification],0,),0),8),""),"")</f>
        <v/>
      </c>
      <c r="L26" s="175" t="str">
        <f>IF(K26="", "",SETUP!$E$5)</f>
        <v/>
      </c>
      <c r="M26" s="793"/>
      <c r="N26" s="809"/>
      <c r="O26" s="809"/>
      <c r="P26" s="809"/>
      <c r="Q26" s="809"/>
      <c r="R26" s="398">
        <f>SUM('TB-Pharmaceuticals'!$N26:$Q26)</f>
        <v>0</v>
      </c>
      <c r="S26" s="798">
        <f>'TB-Pharmaceuticals'!$M26*'TB-Pharmaceuticals'!$R26</f>
        <v>0</v>
      </c>
      <c r="T26" s="793"/>
      <c r="U26" s="809"/>
      <c r="V26" s="809"/>
      <c r="W26" s="809"/>
      <c r="X26" s="809"/>
      <c r="Y26" s="398">
        <f>SUM('TB-Pharmaceuticals'!$U26:$X26)</f>
        <v>0</v>
      </c>
      <c r="Z26" s="803">
        <f>'TB-Pharmaceuticals'!$T26*'TB-Pharmaceuticals'!$Y26</f>
        <v>0</v>
      </c>
      <c r="AA26" s="793"/>
      <c r="AB26" s="809"/>
      <c r="AC26" s="809"/>
      <c r="AD26" s="809"/>
      <c r="AE26" s="809"/>
      <c r="AF26" s="398">
        <f>SUM('TB-Pharmaceuticals'!$AB26:$AE26)</f>
        <v>0</v>
      </c>
      <c r="AG26" s="803">
        <f>'TB-Pharmaceuticals'!$AA26*'TB-Pharmaceuticals'!$AF26</f>
        <v>0</v>
      </c>
      <c r="AH26" s="399">
        <f>'TB-Pharmaceuticals'!$R26+'TB-Pharmaceuticals'!$Y26+'TB-Pharmaceuticals'!$AF26</f>
        <v>0</v>
      </c>
      <c r="AI26" s="803">
        <f>'TB-Pharmaceuticals'!$S26+'TB-Pharmaceuticals'!$Z26+'TB-Pharmaceuticals'!$AG26</f>
        <v>0</v>
      </c>
      <c r="AJ26" s="401" t="str">
        <f>IF(A26&lt;&gt;"",IFERROR(INDEX(PMtbl[[WKst]:[Unit of measure*]],MATCH($A$8&amp;$A26&amp;$D26&amp;$G26,INDEX(PMtbl[Sec]&amp;PMtbl[Category]&amp;PMtbl[INN]&amp;PMtbl[Specification],0,),0),7),""),"")</f>
        <v/>
      </c>
      <c r="AK26" s="949"/>
      <c r="AL26" s="478" t="str">
        <f>IFERROR(INDEX(SETUP!$C$19:$G$62,MATCH((INDEX(PMtbl[[WKst]:[Unit of measure*]],MATCH($A26&amp;$D26&amp;$G26,INDEX(PMtbl[Category]&amp;PMtbl[INN]&amp;PMtbl[Specification],0,),0),3)),SETUP!$D$19:$D$62,0),5),"")</f>
        <v/>
      </c>
      <c r="AM26" s="478" t="str">
        <f>IFERROR(IF((INDEX(SETUP!$C$19:$G$62,MATCH((INDEX(PMtbl[[WKst]:[Unit of measure*]],MATCH($A26&amp;$D26&amp;$G26,INDEX(PMtbl[Category]&amp;PMtbl[INN]&amp;PMtbl[Specification],0,),0),3)),SETUP!$D$19:$D$62,0),4))="Upfront",0,INDEX(SETUP!$C$19:$G$62,MATCH((INDEX(PMtbl[[WKst]:[Unit of measure*]],MATCH($A26&amp;$D26&amp;$G26,INDEX(PMtbl[Category]&amp;PMtbl[INN]&amp;PMtbl[Specification],0,),0),3)),SETUP!$D$19:$D$62,0),5)),"")</f>
        <v/>
      </c>
      <c r="AU26" s="1414">
        <v>2</v>
      </c>
      <c r="AV26" s="1414">
        <f>IFERROR(VLOOKUP($AW26,$AJ$39:$AM$82,4,FALSE),0)</f>
        <v>0</v>
      </c>
      <c r="AW26" s="1414">
        <v>4.7</v>
      </c>
      <c r="AX26" s="1414">
        <f t="shared" si="1"/>
        <v>0</v>
      </c>
      <c r="AY26" s="1414">
        <f t="shared" si="1"/>
        <v>0</v>
      </c>
      <c r="AZ26" s="1414">
        <f t="shared" si="1"/>
        <v>0</v>
      </c>
      <c r="BA26" s="1414">
        <f t="shared" si="1"/>
        <v>0</v>
      </c>
      <c r="BB26" s="1414">
        <f t="shared" si="2"/>
        <v>0</v>
      </c>
      <c r="BC26" s="1414">
        <f t="shared" si="2"/>
        <v>0</v>
      </c>
      <c r="BD26" s="1414">
        <f t="shared" si="2"/>
        <v>0</v>
      </c>
      <c r="BE26" s="1414">
        <f t="shared" si="2"/>
        <v>0</v>
      </c>
      <c r="BF26" s="1414">
        <f t="shared" si="3"/>
        <v>0</v>
      </c>
      <c r="BG26" s="1414">
        <f t="shared" si="3"/>
        <v>0</v>
      </c>
      <c r="BH26" s="1414">
        <f t="shared" si="3"/>
        <v>0</v>
      </c>
      <c r="BI26" s="1420">
        <f t="shared" si="3"/>
        <v>0</v>
      </c>
      <c r="BJ26" s="1420">
        <f t="shared" ref="BJ26" si="5">SUM(AX26:BI26)</f>
        <v>0</v>
      </c>
    </row>
    <row r="27" spans="1:62">
      <c r="A27" s="2616"/>
      <c r="B27" s="2304"/>
      <c r="C27" s="2304"/>
      <c r="D27" s="2616"/>
      <c r="E27" s="2304"/>
      <c r="F27" s="2617"/>
      <c r="G27" s="2304"/>
      <c r="H27" s="2304"/>
      <c r="I27" s="2304"/>
      <c r="J27" s="2304"/>
      <c r="K27" s="1416" t="str">
        <f>IF(A27&lt;&gt;"",IFERROR(INDEX(PMtbl[[WKst]:[Unit of measure*]],MATCH($A$8&amp;$A27&amp;$D27&amp;$G27,INDEX(PMtbl[Sec]&amp;PMtbl[Category]&amp;PMtbl[INN]&amp;PMtbl[Specification],0,),0),8),""),"")</f>
        <v/>
      </c>
      <c r="L27" s="176" t="str">
        <f>IF(K27="", "",SETUP!$E$5)</f>
        <v/>
      </c>
      <c r="M27" s="794"/>
      <c r="N27" s="810"/>
      <c r="O27" s="810"/>
      <c r="P27" s="810"/>
      <c r="Q27" s="810"/>
      <c r="R27" s="403">
        <f>SUM('TB-Pharmaceuticals'!$N27:$Q27)</f>
        <v>0</v>
      </c>
      <c r="S27" s="799">
        <f>'TB-Pharmaceuticals'!$M27*'TB-Pharmaceuticals'!$R27</f>
        <v>0</v>
      </c>
      <c r="T27" s="794"/>
      <c r="U27" s="810"/>
      <c r="V27" s="810"/>
      <c r="W27" s="810"/>
      <c r="X27" s="810"/>
      <c r="Y27" s="403">
        <f>SUM('TB-Pharmaceuticals'!$U27:$X27)</f>
        <v>0</v>
      </c>
      <c r="Z27" s="802">
        <f>'TB-Pharmaceuticals'!$T27*'TB-Pharmaceuticals'!$Y27</f>
        <v>0</v>
      </c>
      <c r="AA27" s="794"/>
      <c r="AB27" s="810"/>
      <c r="AC27" s="810"/>
      <c r="AD27" s="810"/>
      <c r="AE27" s="810"/>
      <c r="AF27" s="403">
        <f>SUM('TB-Pharmaceuticals'!$AB27:$AE27)</f>
        <v>0</v>
      </c>
      <c r="AG27" s="805">
        <f>'TB-Pharmaceuticals'!$AA27*'TB-Pharmaceuticals'!$AF27</f>
        <v>0</v>
      </c>
      <c r="AH27" s="404">
        <f>'TB-Pharmaceuticals'!$R27+'TB-Pharmaceuticals'!$Y27+'TB-Pharmaceuticals'!$AF27</f>
        <v>0</v>
      </c>
      <c r="AI27" s="805">
        <f>'TB-Pharmaceuticals'!$S27+'TB-Pharmaceuticals'!$Z27+'TB-Pharmaceuticals'!$AG27</f>
        <v>0</v>
      </c>
      <c r="AJ27" s="405" t="str">
        <f>IF(A27&lt;&gt;"",IFERROR(INDEX(PMtbl[[WKst]:[Unit of measure*]],MATCH($A$8&amp;$A27&amp;$D27&amp;$G27,INDEX(PMtbl[Sec]&amp;PMtbl[Category]&amp;PMtbl[INN]&amp;PMtbl[Specification],0,),0),7),""),"")</f>
        <v/>
      </c>
      <c r="AK27" s="2055"/>
      <c r="AL27" s="1504" t="str">
        <f>IFERROR(INDEX(SETUP!$C$19:$G$62,MATCH((INDEX(PMtbl[[WKst]:[Unit of measure*]],MATCH($A27&amp;$D27&amp;$G27,INDEX(PMtbl[Category]&amp;PMtbl[INN]&amp;PMtbl[Specification],0,),0),3)),SETUP!$D$19:$D$62,0),5),"")</f>
        <v/>
      </c>
      <c r="AM27" s="1504" t="str">
        <f>IFERROR(IF((INDEX(SETUP!$C$19:$G$62,MATCH((INDEX(PMtbl[[WKst]:[Unit of measure*]],MATCH($A27&amp;$D27&amp;$G27,INDEX(PMtbl[Category]&amp;PMtbl[INN]&amp;PMtbl[Specification],0,),0),3)),SETUP!$D$19:$D$62,0),4))="Upfront",0,INDEX(SETUP!$C$19:$G$62,MATCH((INDEX(PMtbl[[WKst]:[Unit of measure*]],MATCH($A27&amp;$D27&amp;$G27,INDEX(PMtbl[Category]&amp;PMtbl[INN]&amp;PMtbl[Specification],0,),0),3)),SETUP!$D$19:$D$62,0),5)),"")</f>
        <v/>
      </c>
      <c r="AT27" s="1421"/>
      <c r="AU27" s="1414">
        <v>2</v>
      </c>
      <c r="AV27" s="1414">
        <f>IFERROR(VLOOKUP($AW27,$AJ$39:$AM$82,4,FALSE),0)</f>
        <v>0</v>
      </c>
      <c r="AW27" s="1414">
        <v>5.7</v>
      </c>
      <c r="AX27" s="1414">
        <f t="shared" ref="AX27" si="6">SUMPRODUCT(($AJ$41:$AJ$82=$AW27)*($M$41:$M$82)*((N$41:N$82)))</f>
        <v>0</v>
      </c>
      <c r="AY27" s="1414">
        <f t="shared" ref="AY27" si="7">SUMPRODUCT(($AJ$41:$AJ$82=$AW27)*($M$41:$M$82)*((O$41:O$82)))</f>
        <v>0</v>
      </c>
      <c r="AZ27" s="1414">
        <f t="shared" ref="AZ27" si="8">SUMPRODUCT(($AJ$41:$AJ$82=$AW27)*($M$41:$M$82)*((P$41:P$82)))</f>
        <v>0</v>
      </c>
      <c r="BA27" s="1414">
        <f t="shared" ref="BA27" si="9">SUMPRODUCT(($AJ$41:$AJ$82=$AW27)*($M$41:$M$82)*((Q$41:Q$82)))</f>
        <v>0</v>
      </c>
      <c r="BB27" s="1414">
        <f t="shared" ref="BB27" si="10">SUMPRODUCT(($AJ$41:$AJ$82=$AW27)*($T$41:$T$82)*((U$41:U$82)))</f>
        <v>0</v>
      </c>
      <c r="BC27" s="1414">
        <f t="shared" ref="BC27" si="11">SUMPRODUCT(($AJ$41:$AJ$82=$AW27)*($T$41:$T$82)*((V$41:V$82)))</f>
        <v>0</v>
      </c>
      <c r="BD27" s="1414">
        <f t="shared" ref="BD27" si="12">SUMPRODUCT(($AJ$41:$AJ$82=$AW27)*($T$41:$T$82)*((W$41:W$82)))</f>
        <v>0</v>
      </c>
      <c r="BE27" s="1414">
        <f t="shared" ref="BE27" si="13">SUMPRODUCT(($AJ$41:$AJ$82=$AW27)*($T$41:$T$82)*((X$41:X$82)))</f>
        <v>0</v>
      </c>
      <c r="BF27" s="1414">
        <f t="shared" ref="BF27" si="14">SUMPRODUCT(($AJ$41:$AJ$82=$AW27)*($AA$41:$AA$82)*((AB$41:AB$82)))</f>
        <v>0</v>
      </c>
      <c r="BG27" s="1414">
        <f t="shared" ref="BG27" si="15">SUMPRODUCT(($AJ$41:$AJ$82=$AW27)*($AA$41:$AA$82)*((AC$41:AC$82)))</f>
        <v>0</v>
      </c>
      <c r="BH27" s="1414">
        <f t="shared" ref="BH27" si="16">SUMPRODUCT(($AJ$41:$AJ$82=$AW27)*($AA$41:$AA$82)*((AD$41:AD$82)))</f>
        <v>0</v>
      </c>
      <c r="BI27" s="1420">
        <f t="shared" ref="BI27" si="17">SUMPRODUCT(($AJ$41:$AJ$82=$AW27)*($AA$41:$AA$82)*((AE$41:AE$82)))</f>
        <v>0</v>
      </c>
      <c r="BJ27" s="1420">
        <f t="shared" ref="BJ27" si="18">SUM(AX27:BI27)</f>
        <v>0</v>
      </c>
    </row>
    <row r="28" spans="1:62">
      <c r="A28" s="2610"/>
      <c r="B28" s="2611"/>
      <c r="C28" s="2611"/>
      <c r="D28" s="2610"/>
      <c r="E28" s="2611"/>
      <c r="F28" s="2612"/>
      <c r="G28" s="2611"/>
      <c r="H28" s="2611"/>
      <c r="I28" s="2611"/>
      <c r="J28" s="2611"/>
      <c r="K28" s="1417" t="str">
        <f>IF(A28&lt;&gt;"",IFERROR(INDEX(PMtbl[[WKst]:[Unit of measure*]],MATCH($A$8&amp;$A28&amp;$D28&amp;$G28,INDEX(PMtbl[Sec]&amp;PMtbl[Category]&amp;PMtbl[INN]&amp;PMtbl[Specification],0,),0),8),""),"")</f>
        <v/>
      </c>
      <c r="L28" s="175" t="str">
        <f>IF(K28="", "",SETUP!$E$5)</f>
        <v/>
      </c>
      <c r="M28" s="793"/>
      <c r="N28" s="809"/>
      <c r="O28" s="809"/>
      <c r="P28" s="809"/>
      <c r="Q28" s="809"/>
      <c r="R28" s="398">
        <f>SUM('TB-Pharmaceuticals'!$N28:$Q28)</f>
        <v>0</v>
      </c>
      <c r="S28" s="798">
        <f>'TB-Pharmaceuticals'!$M28*'TB-Pharmaceuticals'!$R28</f>
        <v>0</v>
      </c>
      <c r="T28" s="793"/>
      <c r="U28" s="809"/>
      <c r="V28" s="809"/>
      <c r="W28" s="809"/>
      <c r="X28" s="809"/>
      <c r="Y28" s="398">
        <f>SUM('TB-Pharmaceuticals'!$U28:$X28)</f>
        <v>0</v>
      </c>
      <c r="Z28" s="803">
        <f>'TB-Pharmaceuticals'!$T28*'TB-Pharmaceuticals'!$Y28</f>
        <v>0</v>
      </c>
      <c r="AA28" s="793"/>
      <c r="AB28" s="809"/>
      <c r="AC28" s="809"/>
      <c r="AD28" s="809"/>
      <c r="AE28" s="809"/>
      <c r="AF28" s="398">
        <f>SUM('TB-Pharmaceuticals'!$AB28:$AE28)</f>
        <v>0</v>
      </c>
      <c r="AG28" s="803">
        <f>'TB-Pharmaceuticals'!$AA28*'TB-Pharmaceuticals'!$AF28</f>
        <v>0</v>
      </c>
      <c r="AH28" s="399">
        <f>'TB-Pharmaceuticals'!$R28+'TB-Pharmaceuticals'!$Y28+'TB-Pharmaceuticals'!$AF28</f>
        <v>0</v>
      </c>
      <c r="AI28" s="803">
        <f>'TB-Pharmaceuticals'!$S28+'TB-Pharmaceuticals'!$Z28+'TB-Pharmaceuticals'!$AG28</f>
        <v>0</v>
      </c>
      <c r="AJ28" s="401" t="str">
        <f>IF(A28&lt;&gt;"",IFERROR(INDEX(PMtbl[[WKst]:[Unit of measure*]],MATCH($A$8&amp;$A28&amp;$D28&amp;$G28,INDEX(PMtbl[Sec]&amp;PMtbl[Category]&amp;PMtbl[INN]&amp;PMtbl[Specification],0,),0),7),""),"")</f>
        <v/>
      </c>
      <c r="AK28" s="949"/>
      <c r="AL28" s="478" t="str">
        <f>IFERROR(INDEX(SETUP!$C$19:$G$62,MATCH((INDEX(PMtbl[[WKst]:[Unit of measure*]],MATCH($A28&amp;$D28&amp;$G28,INDEX(PMtbl[Category]&amp;PMtbl[INN]&amp;PMtbl[Specification],0,),0),3)),SETUP!$D$19:$D$62,0),5),"")</f>
        <v/>
      </c>
      <c r="AM28" s="478" t="str">
        <f>IFERROR(IF((INDEX(SETUP!$C$19:$G$62,MATCH((INDEX(PMtbl[[WKst]:[Unit of measure*]],MATCH($A28&amp;$D28&amp;$G28,INDEX(PMtbl[Category]&amp;PMtbl[INN]&amp;PMtbl[Specification],0,),0),3)),SETUP!$D$19:$D$62,0),4))="Upfront",0,INDEX(SETUP!$C$19:$G$62,MATCH((INDEX(PMtbl[[WKst]:[Unit of measure*]],MATCH($A28&amp;$D28&amp;$G28,INDEX(PMtbl[Category]&amp;PMtbl[INN]&amp;PMtbl[Specification],0,),0),3)),SETUP!$D$19:$D$62,0),5)),"")</f>
        <v/>
      </c>
      <c r="AU28" s="1414">
        <v>3</v>
      </c>
      <c r="AV28" s="1414">
        <f>IFERROR(VLOOKUP($AW28,$AJ$88:$AM$125,4,FALSE),0)</f>
        <v>0</v>
      </c>
      <c r="AW28" s="1414">
        <v>4.2</v>
      </c>
      <c r="AX28" s="1414">
        <f>SUMPRODUCT(($AJ$90:$AJ$125=$AW28)*($M$90:$M$125)*((N$90:N$125)))</f>
        <v>0</v>
      </c>
      <c r="AY28" s="1414">
        <f>SUMPRODUCT(($AJ$90:$AJ$125=$AW28)*($M$90:$M$125)*((O$90:O$125)))</f>
        <v>0</v>
      </c>
      <c r="AZ28" s="1414">
        <f>SUMPRODUCT(($AJ$90:$AJ$125=$AW28)*($M$90:$M$125)*((P$90:P$125)))</f>
        <v>0</v>
      </c>
      <c r="BA28" s="1414">
        <f>SUMPRODUCT(($AJ$90:$AJ$125=$AW28)*($M$90:$M$125)*((Q$90:Q$125)))</f>
        <v>0</v>
      </c>
      <c r="BB28" s="1414">
        <f>SUMPRODUCT(($AJ$90:$AJ$125=$AW28)*($T$90:$T$125)*((U$90:U$125)))</f>
        <v>0</v>
      </c>
      <c r="BC28" s="1414">
        <f>SUMPRODUCT(($AJ$90:$AJ$125=$AW28)*($T$90:$T$125)*((V$90:V$125)))</f>
        <v>0</v>
      </c>
      <c r="BD28" s="1414">
        <f>SUMPRODUCT(($AJ$90:$AJ$125=$AW28)*($T$90:$T$125)*((W$90:W$125)))</f>
        <v>0</v>
      </c>
      <c r="BE28" s="1414">
        <f>SUMPRODUCT(($AJ$90:$AJ$125=$AW28)*($T$90:$T$125)*((X$90:X$125)))</f>
        <v>0</v>
      </c>
      <c r="BF28" s="1414">
        <f>SUMPRODUCT(($AJ$90:$AJ$125=$AW28)*($AA$90:$AA$125)*((AB$90:AB$125)))</f>
        <v>0</v>
      </c>
      <c r="BG28" s="1414">
        <f>SUMPRODUCT(($AJ$90:$AJ$125=$AW28)*($AA$90:$AA$125)*((AC$90:AC$125)))</f>
        <v>0</v>
      </c>
      <c r="BH28" s="1414">
        <f>SUMPRODUCT(($AJ$90:$AJ$125=$AW28)*($AA$90:$AA$125)*((AD$90:AD$125)))</f>
        <v>0</v>
      </c>
      <c r="BI28" s="1420">
        <f>SUMPRODUCT(($AJ$90:$AJ$125=$AW28)*($AA$90:$AA$125)*((AE$90:AE$125)))</f>
        <v>0</v>
      </c>
      <c r="BJ28" s="1420">
        <f t="shared" si="4"/>
        <v>0</v>
      </c>
    </row>
    <row r="29" spans="1:62">
      <c r="A29" s="2616"/>
      <c r="B29" s="2304"/>
      <c r="C29" s="2304"/>
      <c r="D29" s="2616"/>
      <c r="E29" s="2304"/>
      <c r="F29" s="2617"/>
      <c r="G29" s="2304"/>
      <c r="H29" s="2304"/>
      <c r="I29" s="2304"/>
      <c r="J29" s="2304"/>
      <c r="K29" s="1416" t="str">
        <f>IF(A29&lt;&gt;"",IFERROR(INDEX(PMtbl[[WKst]:[Unit of measure*]],MATCH($A$8&amp;$A29&amp;$D29&amp;$G29,INDEX(PMtbl[Sec]&amp;PMtbl[Category]&amp;PMtbl[INN]&amp;PMtbl[Specification],0,),0),8),""),"")</f>
        <v/>
      </c>
      <c r="L29" s="176" t="str">
        <f>IF(K29="", "",SETUP!$E$5)</f>
        <v/>
      </c>
      <c r="M29" s="794"/>
      <c r="N29" s="810"/>
      <c r="O29" s="810"/>
      <c r="P29" s="810"/>
      <c r="Q29" s="810"/>
      <c r="R29" s="403">
        <f>SUM('TB-Pharmaceuticals'!$N29:$Q29)</f>
        <v>0</v>
      </c>
      <c r="S29" s="799">
        <f>'TB-Pharmaceuticals'!$M29*'TB-Pharmaceuticals'!$R29</f>
        <v>0</v>
      </c>
      <c r="T29" s="794"/>
      <c r="U29" s="810"/>
      <c r="V29" s="810"/>
      <c r="W29" s="810"/>
      <c r="X29" s="810"/>
      <c r="Y29" s="403">
        <f>SUM('TB-Pharmaceuticals'!$U29:$X29)</f>
        <v>0</v>
      </c>
      <c r="Z29" s="802">
        <f>'TB-Pharmaceuticals'!$T29*'TB-Pharmaceuticals'!$Y29</f>
        <v>0</v>
      </c>
      <c r="AA29" s="794"/>
      <c r="AB29" s="810"/>
      <c r="AC29" s="810"/>
      <c r="AD29" s="810"/>
      <c r="AE29" s="810"/>
      <c r="AF29" s="403">
        <f>SUM('TB-Pharmaceuticals'!$AB29:$AE29)</f>
        <v>0</v>
      </c>
      <c r="AG29" s="805">
        <f>'TB-Pharmaceuticals'!$AA29*'TB-Pharmaceuticals'!$AF29</f>
        <v>0</v>
      </c>
      <c r="AH29" s="404">
        <f>'TB-Pharmaceuticals'!$R29+'TB-Pharmaceuticals'!$Y29+'TB-Pharmaceuticals'!$AF29</f>
        <v>0</v>
      </c>
      <c r="AI29" s="805">
        <f>'TB-Pharmaceuticals'!$S29+'TB-Pharmaceuticals'!$Z29+'TB-Pharmaceuticals'!$AG29</f>
        <v>0</v>
      </c>
      <c r="AJ29" s="405" t="str">
        <f>IF(A29&lt;&gt;"",IFERROR(INDEX(PMtbl[[WKst]:[Unit of measure*]],MATCH($A$8&amp;$A29&amp;$D29&amp;$G29,INDEX(PMtbl[Sec]&amp;PMtbl[Category]&amp;PMtbl[INN]&amp;PMtbl[Specification],0,),0),7),""),"")</f>
        <v/>
      </c>
      <c r="AK29" s="2055"/>
      <c r="AL29" s="1504" t="str">
        <f>IFERROR(INDEX(SETUP!$C$19:$G$62,MATCH((INDEX(PMtbl[[WKst]:[Unit of measure*]],MATCH($A29&amp;$D29&amp;$G29,INDEX(PMtbl[Category]&amp;PMtbl[INN]&amp;PMtbl[Specification],0,),0),3)),SETUP!$D$19:$D$62,0),5),"")</f>
        <v/>
      </c>
      <c r="AM29" s="1504" t="str">
        <f>IFERROR(IF((INDEX(SETUP!$C$19:$G$62,MATCH((INDEX(PMtbl[[WKst]:[Unit of measure*]],MATCH($A29&amp;$D29&amp;$G29,INDEX(PMtbl[Category]&amp;PMtbl[INN]&amp;PMtbl[Specification],0,),0),3)),SETUP!$D$19:$D$62,0),4))="Upfront",0,INDEX(SETUP!$C$19:$G$62,MATCH((INDEX(PMtbl[[WKst]:[Unit of measure*]],MATCH($A29&amp;$D29&amp;$G29,INDEX(PMtbl[Category]&amp;PMtbl[INN]&amp;PMtbl[Specification],0,),0),3)),SETUP!$D$19:$D$62,0),5)),"")</f>
        <v/>
      </c>
      <c r="AU29" s="1441">
        <v>4</v>
      </c>
      <c r="AV29" s="1441">
        <f>IFERROR(VLOOKUP($AW29,$AJ$131:$AM$162,4,FALSE),0)</f>
        <v>0</v>
      </c>
      <c r="AW29" s="1441">
        <v>4.5</v>
      </c>
      <c r="AX29" s="1439">
        <f>SUMPRODUCT(($AJ$133:$AJ$162=$AW29)*($M$133:$M$162)*((N$133:N$162)))</f>
        <v>0</v>
      </c>
      <c r="AY29" s="1439">
        <f>SUMPRODUCT(($AJ$133:$AJ$162=$AW29)*($M$133:$M$162)*((O$133:O$162)))</f>
        <v>0</v>
      </c>
      <c r="AZ29" s="1439">
        <f>SUMPRODUCT(($AJ$133:$AJ$162=$AW29)*($M$133:$M$162)*((P$133:P$162)))</f>
        <v>0</v>
      </c>
      <c r="BA29" s="1439">
        <f>SUMPRODUCT(($AJ$133:$AJ$162=$AW29)*($M$133:$M$162)*((Q$133:Q$162)))</f>
        <v>0</v>
      </c>
      <c r="BB29" s="1439">
        <f>SUMPRODUCT(($AJ$133:$AJ$162=$AW29)*($T$133:$T$162)*((U$133:U$162)))</f>
        <v>0</v>
      </c>
      <c r="BC29" s="1439">
        <f>SUMPRODUCT(($AJ$133:$AJ$162=$AW29)*($T$133:$T$162)*((V$133:V$162)))</f>
        <v>0</v>
      </c>
      <c r="BD29" s="1439">
        <f>SUMPRODUCT(($AJ$133:$AJ$162=$AW29)*($T$133:$T$162)*((W$133:W$162)))</f>
        <v>0</v>
      </c>
      <c r="BE29" s="1439">
        <f>SUMPRODUCT(($AJ$133:$AJ$162=$AW29)*($T$133:$T$162)*((X$133:X$162)))</f>
        <v>0</v>
      </c>
      <c r="BF29" s="1439">
        <f>SUMPRODUCT(($AJ$133:$AJ$162=$AW29)*($AA$133:$AA$162)*((AB$133:AB$162)))</f>
        <v>0</v>
      </c>
      <c r="BG29" s="1439">
        <f>SUMPRODUCT(($AJ$133:$AJ$162=$AW29)*($AA$133:$AA$162)*((AC$133:AC$162)))</f>
        <v>0</v>
      </c>
      <c r="BH29" s="1439">
        <f>SUMPRODUCT(($AJ$133:$AJ$162=$AW29)*($AA$133:$AA$162)*((AD$133:AD$162)))</f>
        <v>0</v>
      </c>
      <c r="BI29" s="1440">
        <f>SUMPRODUCT(($AJ$133:$AJ$162=$AW29)*($AA$133:$AA$162)*((AE$133:AE$162)))</f>
        <v>0</v>
      </c>
      <c r="BJ29" s="1440">
        <f t="shared" si="4"/>
        <v>0</v>
      </c>
    </row>
    <row r="30" spans="1:62">
      <c r="A30" s="2610"/>
      <c r="B30" s="2611"/>
      <c r="C30" s="2611"/>
      <c r="D30" s="2610"/>
      <c r="E30" s="2611"/>
      <c r="F30" s="2612"/>
      <c r="G30" s="2611"/>
      <c r="H30" s="2611"/>
      <c r="I30" s="2611"/>
      <c r="J30" s="2611"/>
      <c r="K30" s="1417" t="str">
        <f>IF(A30&lt;&gt;"",IFERROR(INDEX(PMtbl[[WKst]:[Unit of measure*]],MATCH($A$8&amp;$A30&amp;$D30&amp;$G30,INDEX(PMtbl[Sec]&amp;PMtbl[Category]&amp;PMtbl[INN]&amp;PMtbl[Specification],0,),0),8),""),"")</f>
        <v/>
      </c>
      <c r="L30" s="175" t="str">
        <f>IF(K30="", "",SETUP!$E$5)</f>
        <v/>
      </c>
      <c r="M30" s="793"/>
      <c r="N30" s="809"/>
      <c r="O30" s="809"/>
      <c r="P30" s="809"/>
      <c r="Q30" s="809"/>
      <c r="R30" s="398">
        <f>SUM('TB-Pharmaceuticals'!$N30:$Q30)</f>
        <v>0</v>
      </c>
      <c r="S30" s="798">
        <f>'TB-Pharmaceuticals'!$M30*'TB-Pharmaceuticals'!$R30</f>
        <v>0</v>
      </c>
      <c r="T30" s="793"/>
      <c r="U30" s="809"/>
      <c r="V30" s="809"/>
      <c r="W30" s="809"/>
      <c r="X30" s="809"/>
      <c r="Y30" s="398">
        <f>SUM('TB-Pharmaceuticals'!$U30:$X30)</f>
        <v>0</v>
      </c>
      <c r="Z30" s="803">
        <f>'TB-Pharmaceuticals'!$T30*'TB-Pharmaceuticals'!$Y30</f>
        <v>0</v>
      </c>
      <c r="AA30" s="793"/>
      <c r="AB30" s="809"/>
      <c r="AC30" s="809"/>
      <c r="AD30" s="809"/>
      <c r="AE30" s="809"/>
      <c r="AF30" s="398">
        <f>SUM('TB-Pharmaceuticals'!$AB30:$AE30)</f>
        <v>0</v>
      </c>
      <c r="AG30" s="803">
        <f>'TB-Pharmaceuticals'!$AA30*'TB-Pharmaceuticals'!$AF30</f>
        <v>0</v>
      </c>
      <c r="AH30" s="399">
        <f>'TB-Pharmaceuticals'!$R30+'TB-Pharmaceuticals'!$Y30+'TB-Pharmaceuticals'!$AF30</f>
        <v>0</v>
      </c>
      <c r="AI30" s="803">
        <f>'TB-Pharmaceuticals'!$S30+'TB-Pharmaceuticals'!$Z30+'TB-Pharmaceuticals'!$AG30</f>
        <v>0</v>
      </c>
      <c r="AJ30" s="401" t="str">
        <f>IF(A30&lt;&gt;"",IFERROR(INDEX(PMtbl[[WKst]:[Unit of measure*]],MATCH($A$8&amp;$A30&amp;$D30&amp;$G30,INDEX(PMtbl[Sec]&amp;PMtbl[Category]&amp;PMtbl[INN]&amp;PMtbl[Specification],0,),0),7),""),"")</f>
        <v/>
      </c>
      <c r="AK30" s="949"/>
      <c r="AL30" s="478" t="str">
        <f>IFERROR(INDEX(SETUP!$C$19:$G$62,MATCH((INDEX(PMtbl[[WKst]:[Unit of measure*]],MATCH($A30&amp;$D30&amp;$G30,INDEX(PMtbl[Category]&amp;PMtbl[INN]&amp;PMtbl[Specification],0,),0),3)),SETUP!$D$19:$D$62,0),5),"")</f>
        <v/>
      </c>
      <c r="AM30" s="478" t="str">
        <f>IFERROR(IF((INDEX(SETUP!$C$19:$G$62,MATCH((INDEX(PMtbl[[WKst]:[Unit of measure*]],MATCH($A30&amp;$D30&amp;$G30,INDEX(PMtbl[Category]&amp;PMtbl[INN]&amp;PMtbl[Specification],0,),0),3)),SETUP!$D$19:$D$62,0),4))="Upfront",0,INDEX(SETUP!$C$19:$G$62,MATCH((INDEX(PMtbl[[WKst]:[Unit of measure*]],MATCH($A30&amp;$D30&amp;$G30,INDEX(PMtbl[Category]&amp;PMtbl[INN]&amp;PMtbl[Specification],0,),0),3)),SETUP!$D$19:$D$62,0),5)),"")</f>
        <v/>
      </c>
      <c r="AU30" s="1414">
        <v>4</v>
      </c>
      <c r="AV30" s="1414">
        <f>IFERROR(VLOOKUP($AW30,$AJ$131:$AM$162,4,FALSE),0)</f>
        <v>0</v>
      </c>
      <c r="AW30" s="1414">
        <v>4.7</v>
      </c>
      <c r="AX30" s="1414">
        <f>SUMPRODUCT(($M$133:$M$162)*((N$133:N$162)))</f>
        <v>0</v>
      </c>
      <c r="AY30" s="1414">
        <f>SUMPRODUCT(($M$133:$M$162)*((O$133:O$162)))</f>
        <v>0</v>
      </c>
      <c r="AZ30" s="1414">
        <f>SUMPRODUCT(($M$133:$M$162)*((P$133:P$162)))</f>
        <v>0</v>
      </c>
      <c r="BA30" s="1414">
        <f>SUMPRODUCT(($M$133:$M$162)*((Q$133:Q$162)))</f>
        <v>0</v>
      </c>
      <c r="BB30" s="1414">
        <f>SUMPRODUCT(($T$133:$T$162)*((U$133:U$162)))</f>
        <v>0</v>
      </c>
      <c r="BC30" s="1414">
        <f>SUMPRODUCT(($T$133:$T$162)*((V$133:V$162)))</f>
        <v>0</v>
      </c>
      <c r="BD30" s="1414">
        <f>SUMPRODUCT(($T$133:$T$162)*((W$133:W$162)))</f>
        <v>0</v>
      </c>
      <c r="BE30" s="1414">
        <f>SUMPRODUCT(($T$133:$T$162)*((X$133:X$162)))</f>
        <v>0</v>
      </c>
      <c r="BF30" s="1414">
        <f>SUMPRODUCT(($AA$133:$AA$162)*((AB$133:AB$162)))</f>
        <v>0</v>
      </c>
      <c r="BG30" s="1414">
        <f>SUMPRODUCT(($AA$133:$AA$162)*((AC$133:AC$162)))</f>
        <v>0</v>
      </c>
      <c r="BH30" s="1414">
        <f>SUMPRODUCT(($AA$133:$AA$162)*((AD$133:AD$162)))</f>
        <v>0</v>
      </c>
      <c r="BI30" s="1414">
        <f>SUMPRODUCT(($AA$133:$AA$162)*((AE$133:AE$162)))</f>
        <v>0</v>
      </c>
      <c r="BJ30" s="1420">
        <f t="shared" si="4"/>
        <v>0</v>
      </c>
    </row>
    <row r="31" spans="1:62">
      <c r="A31" s="2616"/>
      <c r="B31" s="2304"/>
      <c r="C31" s="2304"/>
      <c r="D31" s="2616"/>
      <c r="E31" s="2304"/>
      <c r="F31" s="2617"/>
      <c r="G31" s="2304"/>
      <c r="H31" s="2304"/>
      <c r="I31" s="2304"/>
      <c r="J31" s="2304"/>
      <c r="K31" s="1416" t="str">
        <f>IF(A31&lt;&gt;"",IFERROR(INDEX(PMtbl[[WKst]:[Unit of measure*]],MATCH($A$8&amp;$A31&amp;$D31&amp;$G31,INDEX(PMtbl[Sec]&amp;PMtbl[Category]&amp;PMtbl[INN]&amp;PMtbl[Specification],0,),0),8),""),"")</f>
        <v/>
      </c>
      <c r="L31" s="176" t="str">
        <f>IF(K31="", "",SETUP!$E$5)</f>
        <v/>
      </c>
      <c r="M31" s="794"/>
      <c r="N31" s="810"/>
      <c r="O31" s="810"/>
      <c r="P31" s="810"/>
      <c r="Q31" s="810"/>
      <c r="R31" s="403">
        <f>SUM('TB-Pharmaceuticals'!$N31:$Q31)</f>
        <v>0</v>
      </c>
      <c r="S31" s="799">
        <f>'TB-Pharmaceuticals'!$M31*'TB-Pharmaceuticals'!$R31</f>
        <v>0</v>
      </c>
      <c r="T31" s="794"/>
      <c r="U31" s="810"/>
      <c r="V31" s="810"/>
      <c r="W31" s="810"/>
      <c r="X31" s="810"/>
      <c r="Y31" s="403">
        <f>SUM('TB-Pharmaceuticals'!$U31:$X31)</f>
        <v>0</v>
      </c>
      <c r="Z31" s="802">
        <f>'TB-Pharmaceuticals'!$T31*'TB-Pharmaceuticals'!$Y31</f>
        <v>0</v>
      </c>
      <c r="AA31" s="794"/>
      <c r="AB31" s="810"/>
      <c r="AC31" s="810"/>
      <c r="AD31" s="810"/>
      <c r="AE31" s="810"/>
      <c r="AF31" s="403">
        <f>SUM('TB-Pharmaceuticals'!$AB31:$AE31)</f>
        <v>0</v>
      </c>
      <c r="AG31" s="805">
        <f>'TB-Pharmaceuticals'!$AA31*'TB-Pharmaceuticals'!$AF31</f>
        <v>0</v>
      </c>
      <c r="AH31" s="404">
        <f>'TB-Pharmaceuticals'!$R31+'TB-Pharmaceuticals'!$Y31+'TB-Pharmaceuticals'!$AF31</f>
        <v>0</v>
      </c>
      <c r="AI31" s="805">
        <f>'TB-Pharmaceuticals'!$S31+'TB-Pharmaceuticals'!$Z31+'TB-Pharmaceuticals'!$AG31</f>
        <v>0</v>
      </c>
      <c r="AJ31" s="405" t="str">
        <f>IF(A31&lt;&gt;"",IFERROR(INDEX(PMtbl[[WKst]:[Unit of measure*]],MATCH($A$8&amp;$A31&amp;$D31&amp;$G31,INDEX(PMtbl[Sec]&amp;PMtbl[Category]&amp;PMtbl[INN]&amp;PMtbl[Specification],0,),0),7),""),"")</f>
        <v/>
      </c>
      <c r="AK31" s="2055"/>
      <c r="AL31" s="1504" t="str">
        <f>IFERROR(INDEX(SETUP!$C$19:$G$62,MATCH((INDEX(PMtbl[[WKst]:[Unit of measure*]],MATCH($A31&amp;$D31&amp;$G31,INDEX(PMtbl[Category]&amp;PMtbl[INN]&amp;PMtbl[Specification],0,),0),3)),SETUP!$D$19:$D$62,0),5),"")</f>
        <v/>
      </c>
      <c r="AM31" s="1504" t="str">
        <f>IFERROR(IF((INDEX(SETUP!$C$19:$G$62,MATCH((INDEX(PMtbl[[WKst]:[Unit of measure*]],MATCH($A31&amp;$D31&amp;$G31,INDEX(PMtbl[Category]&amp;PMtbl[INN]&amp;PMtbl[Specification],0,),0),3)),SETUP!$D$19:$D$62,0),4))="Upfront",0,INDEX(SETUP!$C$19:$G$62,MATCH((INDEX(PMtbl[[WKst]:[Unit of measure*]],MATCH($A31&amp;$D31&amp;$G31,INDEX(PMtbl[Category]&amp;PMtbl[INN]&amp;PMtbl[Specification],0,),0),3)),SETUP!$D$19:$D$62,0),5)),"")</f>
        <v/>
      </c>
      <c r="AU31" s="1414"/>
      <c r="AV31" s="1414"/>
      <c r="AW31" s="1414"/>
      <c r="AX31" s="1414"/>
      <c r="AY31" s="1414"/>
      <c r="AZ31" s="1414"/>
      <c r="BA31" s="1414"/>
      <c r="BB31" s="1414"/>
      <c r="BC31" s="1414"/>
      <c r="BD31" s="1414"/>
      <c r="BE31" s="1414"/>
      <c r="BF31" s="1414"/>
      <c r="BG31" s="1414"/>
      <c r="BH31" s="1414"/>
      <c r="BI31" s="1420"/>
      <c r="BJ31" s="1420">
        <f t="shared" si="4"/>
        <v>0</v>
      </c>
    </row>
    <row r="32" spans="1:62">
      <c r="A32" s="2610"/>
      <c r="B32" s="2611"/>
      <c r="C32" s="2611"/>
      <c r="D32" s="2610"/>
      <c r="E32" s="2611"/>
      <c r="F32" s="2612"/>
      <c r="G32" s="2611"/>
      <c r="H32" s="2611"/>
      <c r="I32" s="2611"/>
      <c r="J32" s="2611"/>
      <c r="K32" s="1417" t="str">
        <f>IF(A32&lt;&gt;"",IFERROR(INDEX(PMtbl[[WKst]:[Unit of measure*]],MATCH($A$8&amp;$A32&amp;$D32&amp;$G32,INDEX(PMtbl[Sec]&amp;PMtbl[Category]&amp;PMtbl[INN]&amp;PMtbl[Specification],0,),0),8),""),"")</f>
        <v/>
      </c>
      <c r="L32" s="175" t="str">
        <f>IF(K32="", "",SETUP!$E$5)</f>
        <v/>
      </c>
      <c r="M32" s="793"/>
      <c r="N32" s="809"/>
      <c r="O32" s="809"/>
      <c r="P32" s="809"/>
      <c r="Q32" s="809"/>
      <c r="R32" s="398">
        <f>SUM('TB-Pharmaceuticals'!$N32:$Q32)</f>
        <v>0</v>
      </c>
      <c r="S32" s="798">
        <f>'TB-Pharmaceuticals'!$M32*'TB-Pharmaceuticals'!$R32</f>
        <v>0</v>
      </c>
      <c r="T32" s="793"/>
      <c r="U32" s="809"/>
      <c r="V32" s="809"/>
      <c r="W32" s="809"/>
      <c r="X32" s="809"/>
      <c r="Y32" s="398">
        <f>SUM('TB-Pharmaceuticals'!$U32:$X32)</f>
        <v>0</v>
      </c>
      <c r="Z32" s="803">
        <f>'TB-Pharmaceuticals'!$T32*'TB-Pharmaceuticals'!$Y32</f>
        <v>0</v>
      </c>
      <c r="AA32" s="793"/>
      <c r="AB32" s="809"/>
      <c r="AC32" s="809"/>
      <c r="AD32" s="809"/>
      <c r="AE32" s="809"/>
      <c r="AF32" s="398">
        <f>SUM('TB-Pharmaceuticals'!$AB32:$AE32)</f>
        <v>0</v>
      </c>
      <c r="AG32" s="803">
        <f>'TB-Pharmaceuticals'!$AA32*'TB-Pharmaceuticals'!$AF32</f>
        <v>0</v>
      </c>
      <c r="AH32" s="399">
        <f>'TB-Pharmaceuticals'!$R32+'TB-Pharmaceuticals'!$Y32+'TB-Pharmaceuticals'!$AF32</f>
        <v>0</v>
      </c>
      <c r="AI32" s="803">
        <f>'TB-Pharmaceuticals'!$S32+'TB-Pharmaceuticals'!$Z32+'TB-Pharmaceuticals'!$AG32</f>
        <v>0</v>
      </c>
      <c r="AJ32" s="401" t="str">
        <f>IF(A32&lt;&gt;"",IFERROR(INDEX(PMtbl[[WKst]:[Unit of measure*]],MATCH($A$8&amp;$A32&amp;$D32&amp;$G32,INDEX(PMtbl[Sec]&amp;PMtbl[Category]&amp;PMtbl[INN]&amp;PMtbl[Specification],0,),0),7),""),"")</f>
        <v/>
      </c>
      <c r="AK32" s="949"/>
      <c r="AL32" s="478" t="str">
        <f>IFERROR(INDEX(SETUP!$C$19:$G$62,MATCH((INDEX(PMtbl[[WKst]:[Unit of measure*]],MATCH($A32&amp;$D32&amp;$G32,INDEX(PMtbl[Category]&amp;PMtbl[INN]&amp;PMtbl[Specification],0,),0),3)),SETUP!$D$19:$D$62,0),5),"")</f>
        <v/>
      </c>
      <c r="AM32" s="478" t="str">
        <f>IFERROR(IF((INDEX(SETUP!$C$19:$G$62,MATCH((INDEX(PMtbl[[WKst]:[Unit of measure*]],MATCH($A32&amp;$D32&amp;$G32,INDEX(PMtbl[Category]&amp;PMtbl[INN]&amp;PMtbl[Specification],0,),0),3)),SETUP!$D$19:$D$62,0),4))="Upfront",0,INDEX(SETUP!$C$19:$G$62,MATCH((INDEX(PMtbl[[WKst]:[Unit of measure*]],MATCH($A32&amp;$D32&amp;$G32,INDEX(PMtbl[Category]&amp;PMtbl[INN]&amp;PMtbl[Specification],0,),0),3)),SETUP!$D$19:$D$62,0),5)),"")</f>
        <v/>
      </c>
      <c r="AU32" s="1414"/>
      <c r="AV32" s="1414"/>
      <c r="AW32" s="1414"/>
      <c r="AX32" s="1414"/>
      <c r="AY32" s="1414"/>
      <c r="AZ32" s="1414"/>
      <c r="BA32" s="1414"/>
      <c r="BB32" s="1414"/>
      <c r="BC32" s="1414"/>
      <c r="BD32" s="1414"/>
      <c r="BE32" s="1414"/>
      <c r="BF32" s="1414"/>
      <c r="BG32" s="1414"/>
      <c r="BH32" s="1414"/>
      <c r="BI32" s="1420"/>
      <c r="BJ32" s="1420">
        <f t="shared" si="4"/>
        <v>0</v>
      </c>
    </row>
    <row r="33" spans="1:62" ht="15" thickBot="1">
      <c r="A33" s="2613"/>
      <c r="B33" s="2614"/>
      <c r="C33" s="2614"/>
      <c r="D33" s="2613"/>
      <c r="E33" s="2614"/>
      <c r="F33" s="2615"/>
      <c r="G33" s="2614"/>
      <c r="H33" s="2614"/>
      <c r="I33" s="2614"/>
      <c r="J33" s="2614"/>
      <c r="K33" s="1418" t="str">
        <f>IF(A33&lt;&gt;"",IFERROR(INDEX(PMtbl[[WKst]:[Unit of measure*]],MATCH($A$8&amp;$A33&amp;$D33&amp;$G33,INDEX(PMtbl[Sec]&amp;PMtbl[Category]&amp;PMtbl[INN]&amp;PMtbl[Specification],0,),0),8),""),"")</f>
        <v/>
      </c>
      <c r="L33" s="178" t="str">
        <f>IF(K33="", "",SETUP!$E$5)</f>
        <v/>
      </c>
      <c r="M33" s="795"/>
      <c r="N33" s="811"/>
      <c r="O33" s="811"/>
      <c r="P33" s="811"/>
      <c r="Q33" s="811"/>
      <c r="R33" s="406">
        <f>SUM('TB-Pharmaceuticals'!$N33:$Q33)</f>
        <v>0</v>
      </c>
      <c r="S33" s="800">
        <f>'TB-Pharmaceuticals'!$M33*'TB-Pharmaceuticals'!$R33</f>
        <v>0</v>
      </c>
      <c r="T33" s="795"/>
      <c r="U33" s="811"/>
      <c r="V33" s="811"/>
      <c r="W33" s="811"/>
      <c r="X33" s="811"/>
      <c r="Y33" s="406">
        <f>SUM('TB-Pharmaceuticals'!$U33:$X33)</f>
        <v>0</v>
      </c>
      <c r="Z33" s="804">
        <f>'TB-Pharmaceuticals'!$T33*'TB-Pharmaceuticals'!$Y33</f>
        <v>0</v>
      </c>
      <c r="AA33" s="795"/>
      <c r="AB33" s="811"/>
      <c r="AC33" s="811"/>
      <c r="AD33" s="811"/>
      <c r="AE33" s="811"/>
      <c r="AF33" s="406">
        <f>SUM('TB-Pharmaceuticals'!$AB33:$AE33)</f>
        <v>0</v>
      </c>
      <c r="AG33" s="806">
        <f>'TB-Pharmaceuticals'!$AA33*'TB-Pharmaceuticals'!$AF33</f>
        <v>0</v>
      </c>
      <c r="AH33" s="407">
        <f>'TB-Pharmaceuticals'!$R33+'TB-Pharmaceuticals'!$Y33+'TB-Pharmaceuticals'!$AF33</f>
        <v>0</v>
      </c>
      <c r="AI33" s="806">
        <f>'TB-Pharmaceuticals'!$S33+'TB-Pharmaceuticals'!$Z33+'TB-Pharmaceuticals'!$AG33</f>
        <v>0</v>
      </c>
      <c r="AJ33" s="408" t="str">
        <f>IF(A33&lt;&gt;"",IFERROR(INDEX(PMtbl[[WKst]:[Unit of measure*]],MATCH($A$8&amp;$A33&amp;$D33&amp;$G33,INDEX(PMtbl[Sec]&amp;PMtbl[Category]&amp;PMtbl[INN]&amp;PMtbl[Specification],0,),0),7),""),"")</f>
        <v/>
      </c>
      <c r="AK33" s="2056"/>
      <c r="AL33" s="1505" t="str">
        <f>IFERROR(INDEX(SETUP!$C$19:$G$62,MATCH((INDEX(PMtbl[[WKst]:[Unit of measure*]],MATCH($A33&amp;$D33&amp;$G33,INDEX(PMtbl[Category]&amp;PMtbl[INN]&amp;PMtbl[Specification],0,),0),3)),SETUP!$D$19:$D$62,0),5),"")</f>
        <v/>
      </c>
      <c r="AM33" s="1505" t="str">
        <f>IFERROR(IF((INDEX(SETUP!$C$19:$G$62,MATCH((INDEX(PMtbl[[WKst]:[Unit of measure*]],MATCH($A33&amp;$D33&amp;$G33,INDEX(PMtbl[Category]&amp;PMtbl[INN]&amp;PMtbl[Specification],0,),0),3)),SETUP!$D$19:$D$62,0),4))="Upfront",0,INDEX(SETUP!$C$19:$G$62,MATCH((INDEX(PMtbl[[WKst]:[Unit of measure*]],MATCH($A33&amp;$D33&amp;$G33,INDEX(PMtbl[Category]&amp;PMtbl[INN]&amp;PMtbl[Specification],0,),0),3)),SETUP!$D$19:$D$62,0),5)),"")</f>
        <v/>
      </c>
      <c r="AU33" s="1414"/>
      <c r="AV33" s="1414"/>
      <c r="AW33" s="1414"/>
      <c r="AX33" s="1414"/>
      <c r="AY33" s="1414"/>
      <c r="AZ33" s="1414"/>
      <c r="BA33" s="1414"/>
      <c r="BB33" s="1414"/>
      <c r="BC33" s="1414"/>
      <c r="BD33" s="1414"/>
      <c r="BE33" s="1414"/>
      <c r="BF33" s="1414"/>
      <c r="BG33" s="1414"/>
      <c r="BH33" s="1414"/>
      <c r="BI33" s="1420"/>
      <c r="BJ33" s="1420">
        <f t="shared" si="4"/>
        <v>0</v>
      </c>
    </row>
    <row r="34" spans="1:62" ht="15" thickBot="1">
      <c r="D34" s="2634"/>
      <c r="E34" s="2634"/>
      <c r="F34" s="2634"/>
      <c r="G34" s="2633"/>
      <c r="H34" s="2633"/>
      <c r="I34" s="2633"/>
      <c r="J34" s="2633"/>
      <c r="K34" s="177"/>
      <c r="L34" s="315"/>
      <c r="M34" s="409"/>
      <c r="N34" s="409"/>
      <c r="O34" s="409"/>
      <c r="P34" s="409"/>
      <c r="Q34" s="409"/>
      <c r="R34" s="410"/>
      <c r="S34" s="411"/>
      <c r="T34" s="409"/>
      <c r="U34" s="409"/>
      <c r="V34" s="409"/>
      <c r="W34" s="409"/>
      <c r="X34" s="409"/>
      <c r="Y34" s="412"/>
      <c r="Z34" s="413"/>
      <c r="AA34" s="409"/>
      <c r="AB34" s="409"/>
      <c r="AC34" s="409"/>
      <c r="AD34" s="409"/>
      <c r="AE34" s="409"/>
      <c r="AF34" s="414"/>
      <c r="AG34" s="415"/>
      <c r="AH34" s="414"/>
      <c r="AI34" s="414"/>
      <c r="AJ34" s="416"/>
      <c r="AK34" s="416"/>
      <c r="AL34" s="416"/>
      <c r="AX34" s="1509">
        <f t="shared" ref="AX34:BJ34" si="19">SUM(AX24:AX33)</f>
        <v>0</v>
      </c>
      <c r="AY34" s="1509">
        <f t="shared" si="19"/>
        <v>0</v>
      </c>
      <c r="AZ34" s="1509">
        <f t="shared" si="19"/>
        <v>0</v>
      </c>
      <c r="BA34" s="1509">
        <f t="shared" si="19"/>
        <v>0</v>
      </c>
      <c r="BB34" s="1509">
        <f t="shared" si="19"/>
        <v>0</v>
      </c>
      <c r="BC34" s="1509">
        <f t="shared" si="19"/>
        <v>0</v>
      </c>
      <c r="BD34" s="1509">
        <f t="shared" si="19"/>
        <v>0</v>
      </c>
      <c r="BE34" s="1509">
        <f t="shared" si="19"/>
        <v>0</v>
      </c>
      <c r="BF34" s="1509">
        <f t="shared" si="19"/>
        <v>0</v>
      </c>
      <c r="BG34" s="1509">
        <f t="shared" si="19"/>
        <v>0</v>
      </c>
      <c r="BH34" s="1509">
        <f t="shared" si="19"/>
        <v>0</v>
      </c>
      <c r="BI34" s="1509">
        <f t="shared" si="19"/>
        <v>0</v>
      </c>
      <c r="BJ34" s="1509">
        <f t="shared" si="19"/>
        <v>0</v>
      </c>
    </row>
    <row r="35" spans="1:62" ht="15" customHeight="1" thickBot="1">
      <c r="A35" s="2694">
        <v>2</v>
      </c>
      <c r="B35" s="2692" t="s">
        <v>281</v>
      </c>
      <c r="C35" s="2692"/>
      <c r="D35" s="2676" t="s">
        <v>274</v>
      </c>
      <c r="E35" s="2676"/>
      <c r="F35" s="2676"/>
      <c r="G35" s="2677"/>
      <c r="H35" s="2602" t="s">
        <v>275</v>
      </c>
      <c r="I35" s="312"/>
      <c r="J35" s="337"/>
      <c r="K35" s="337"/>
      <c r="L35"/>
      <c r="M35"/>
      <c r="N35"/>
      <c r="O35"/>
      <c r="P35"/>
      <c r="Q35"/>
      <c r="R35"/>
      <c r="S35"/>
      <c r="T35"/>
      <c r="U35"/>
      <c r="V35"/>
      <c r="W35"/>
      <c r="X35"/>
      <c r="Y35"/>
      <c r="Z35"/>
      <c r="AA35"/>
      <c r="AB35"/>
      <c r="AC35"/>
      <c r="AD35"/>
      <c r="AE35"/>
      <c r="AF35"/>
      <c r="AG35"/>
      <c r="AH35"/>
      <c r="AI35"/>
      <c r="AJ35"/>
      <c r="AK35"/>
      <c r="AL35"/>
    </row>
    <row r="36" spans="1:62" ht="15" customHeight="1" thickBot="1">
      <c r="A36" s="2695"/>
      <c r="B36" s="2693"/>
      <c r="C36" s="2693"/>
      <c r="D36" s="2678" t="s">
        <v>282</v>
      </c>
      <c r="E36" s="2678"/>
      <c r="F36" s="2678"/>
      <c r="G36" s="2679"/>
      <c r="H36" s="2653"/>
      <c r="I36" s="312"/>
      <c r="J36" s="337"/>
      <c r="K36" s="337"/>
      <c r="L36"/>
      <c r="M36"/>
      <c r="N36"/>
      <c r="O36"/>
      <c r="P36"/>
      <c r="Q36"/>
      <c r="R36"/>
      <c r="S36"/>
      <c r="T36"/>
      <c r="U36"/>
      <c r="V36"/>
      <c r="W36"/>
      <c r="X36"/>
      <c r="Y36"/>
      <c r="Z36"/>
      <c r="AA36"/>
      <c r="AB36"/>
      <c r="AC36"/>
      <c r="AD36"/>
      <c r="AE36"/>
      <c r="AF36"/>
      <c r="AG36"/>
      <c r="AH36"/>
      <c r="AI36"/>
      <c r="AJ36"/>
      <c r="AK36"/>
      <c r="AL36"/>
    </row>
    <row r="37" spans="1:62" ht="113.25" customHeight="1">
      <c r="A37" s="2348" t="str">
        <f>IF($L$1=2,Language!$E$331,IF($L$1=3,Language!$F$331,Language!$G$331))</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37" s="2349"/>
      <c r="C37" s="2349"/>
      <c r="D37" s="2349"/>
      <c r="E37" s="2349"/>
      <c r="F37" s="2349"/>
      <c r="G37" s="2349"/>
      <c r="H37" s="2349"/>
      <c r="I37" s="2349"/>
      <c r="J37" s="2349"/>
      <c r="K37" s="2349"/>
      <c r="L37" s="2349"/>
      <c r="M37"/>
      <c r="N37"/>
      <c r="O37"/>
      <c r="P37"/>
      <c r="Q37"/>
      <c r="R37"/>
      <c r="S37"/>
      <c r="T37"/>
      <c r="U37"/>
      <c r="V37"/>
      <c r="W37"/>
      <c r="X37"/>
      <c r="Y37"/>
      <c r="Z37"/>
      <c r="AA37"/>
      <c r="AB37"/>
      <c r="AC37"/>
      <c r="AD37"/>
      <c r="AE37"/>
      <c r="AF37"/>
      <c r="AG37"/>
      <c r="AH37"/>
      <c r="AI37"/>
      <c r="AJ37"/>
      <c r="AK37"/>
      <c r="AL37"/>
    </row>
    <row r="38" spans="1:62" ht="16" thickBot="1">
      <c r="A38" s="83"/>
      <c r="B38" s="660"/>
      <c r="C38" s="84"/>
      <c r="D38" s="85"/>
      <c r="E38" s="86"/>
      <c r="F38" s="86"/>
      <c r="G38" s="86"/>
      <c r="H38" s="86"/>
      <c r="I38" s="86"/>
      <c r="J38" s="417"/>
      <c r="K38" s="417"/>
      <c r="L38"/>
      <c r="M38"/>
      <c r="N38"/>
      <c r="O38"/>
      <c r="P38"/>
      <c r="Q38"/>
      <c r="R38"/>
      <c r="S38"/>
      <c r="T38"/>
      <c r="U38"/>
      <c r="V38"/>
      <c r="W38"/>
      <c r="X38"/>
      <c r="Y38"/>
      <c r="Z38"/>
      <c r="AA38"/>
      <c r="AB38"/>
      <c r="AC38"/>
      <c r="AD38"/>
      <c r="AE38"/>
      <c r="AF38"/>
      <c r="AG38"/>
      <c r="AH38"/>
      <c r="AI38"/>
      <c r="AJ38"/>
      <c r="AK38"/>
      <c r="AL38"/>
    </row>
    <row r="39" spans="1:62" s="338" customFormat="1" ht="15.75" customHeight="1" thickBot="1">
      <c r="A39" s="2627" t="str">
        <f>A12</f>
        <v>Categoría</v>
      </c>
      <c r="B39" s="2628"/>
      <c r="C39" s="2629"/>
      <c r="D39" s="2627" t="str">
        <f t="shared" ref="D39" si="20">D12</f>
        <v>DCI del producto</v>
      </c>
      <c r="E39" s="2628"/>
      <c r="F39" s="2629"/>
      <c r="G39" s="2627" t="str">
        <f t="shared" ref="G39" si="21">G12</f>
        <v>Especificaciones (dosificación, forma farmacéutica, empaque, tamaño del empaque)</v>
      </c>
      <c r="H39" s="2628"/>
      <c r="I39" s="2629"/>
      <c r="J39" s="2651">
        <f t="shared" ref="J39" si="22">J12</f>
        <v>0</v>
      </c>
      <c r="K39" s="2619" t="str">
        <f>K12</f>
        <v>Unidad de medida</v>
      </c>
      <c r="L39" s="2621" t="str">
        <f>L12</f>
        <v>Moneda de pago</v>
      </c>
      <c r="M39" s="2667">
        <f>M12</f>
        <v>2022</v>
      </c>
      <c r="N39" s="2668"/>
      <c r="O39" s="2668"/>
      <c r="P39" s="2668"/>
      <c r="Q39" s="2668"/>
      <c r="R39" s="2668"/>
      <c r="S39" s="2669"/>
      <c r="T39" s="2667">
        <f>T12</f>
        <v>2023</v>
      </c>
      <c r="U39" s="2668"/>
      <c r="V39" s="2668"/>
      <c r="W39" s="2668"/>
      <c r="X39" s="2668"/>
      <c r="Y39" s="2668"/>
      <c r="Z39" s="2669"/>
      <c r="AA39" s="2667">
        <f>AA12</f>
        <v>2024</v>
      </c>
      <c r="AB39" s="2668"/>
      <c r="AC39" s="2668"/>
      <c r="AD39" s="2668"/>
      <c r="AE39" s="2668"/>
      <c r="AF39" s="2668"/>
      <c r="AG39" s="2669"/>
      <c r="AH39" s="2696" t="str">
        <f>AH12</f>
        <v>Total del período de subvención</v>
      </c>
      <c r="AI39" s="2697"/>
      <c r="AJ39" s="1855" t="str">
        <f>AJ12</f>
        <v>Finanzas</v>
      </c>
      <c r="AK39" s="2647" t="str">
        <f>AK12</f>
        <v>Comentarios</v>
      </c>
      <c r="AL39" s="2608" t="str">
        <f>AL12</f>
        <v>Plazo de entrega</v>
      </c>
      <c r="AM39" s="2608" t="s">
        <v>3054</v>
      </c>
      <c r="AU39" s="337"/>
      <c r="AV39" s="337"/>
      <c r="AW39" s="337"/>
      <c r="AX39" s="337"/>
      <c r="AY39" s="337"/>
      <c r="AZ39" s="337"/>
      <c r="BA39" s="337"/>
      <c r="BB39" s="337"/>
      <c r="BC39" s="337"/>
      <c r="BD39" s="337"/>
      <c r="BE39" s="337"/>
      <c r="BF39" s="337"/>
      <c r="BG39" s="337"/>
      <c r="BH39" s="337"/>
      <c r="BI39" s="337"/>
      <c r="BJ39" s="337"/>
    </row>
    <row r="40" spans="1:62" s="342" customFormat="1" ht="26.5" thickBot="1">
      <c r="A40" s="2630"/>
      <c r="B40" s="2631"/>
      <c r="C40" s="2632"/>
      <c r="D40" s="2630"/>
      <c r="E40" s="2631"/>
      <c r="F40" s="2632"/>
      <c r="G40" s="2630"/>
      <c r="H40" s="2631"/>
      <c r="I40" s="2632"/>
      <c r="J40" s="2652"/>
      <c r="K40" s="2620"/>
      <c r="L40" s="2622"/>
      <c r="M40" s="418" t="str">
        <f>M13</f>
        <v>Costo unitario del A1</v>
      </c>
      <c r="N40" s="419" t="str">
        <f t="shared" ref="N40:AJ40" si="23">N13</f>
        <v>Cantidad del A1, T1</v>
      </c>
      <c r="O40" s="419" t="str">
        <f t="shared" si="23"/>
        <v>Cantidad del A1, T2</v>
      </c>
      <c r="P40" s="419" t="str">
        <f t="shared" si="23"/>
        <v>Cantidad del A1, T3</v>
      </c>
      <c r="Q40" s="419" t="str">
        <f t="shared" si="23"/>
        <v>Cantidad del A1, T4</v>
      </c>
      <c r="R40" s="419" t="str">
        <f t="shared" si="23"/>
        <v>Cantidad total del A1</v>
      </c>
      <c r="S40" s="419" t="str">
        <f t="shared" si="23"/>
        <v>Costo total del A1</v>
      </c>
      <c r="T40" s="418" t="str">
        <f t="shared" si="23"/>
        <v>Costo unitario del A2</v>
      </c>
      <c r="U40" s="419" t="str">
        <f t="shared" si="23"/>
        <v>Cantidad del A2, T1</v>
      </c>
      <c r="V40" s="419" t="str">
        <f t="shared" si="23"/>
        <v>Cantidad del A2, T2</v>
      </c>
      <c r="W40" s="419" t="str">
        <f t="shared" si="23"/>
        <v>Cantidad del A2, T3</v>
      </c>
      <c r="X40" s="419" t="str">
        <f t="shared" si="23"/>
        <v>Cantidad del A2, T4</v>
      </c>
      <c r="Y40" s="419" t="str">
        <f t="shared" si="23"/>
        <v>Cantidad total del A2</v>
      </c>
      <c r="Z40" s="419" t="str">
        <f t="shared" si="23"/>
        <v>Costo total del A2</v>
      </c>
      <c r="AA40" s="418" t="str">
        <f t="shared" si="23"/>
        <v>Costo unitario del A3</v>
      </c>
      <c r="AB40" s="419" t="str">
        <f t="shared" si="23"/>
        <v>Cantidad del A3, T1</v>
      </c>
      <c r="AC40" s="419" t="str">
        <f t="shared" si="23"/>
        <v>Cantidad del A3, T2</v>
      </c>
      <c r="AD40" s="419" t="str">
        <f t="shared" si="23"/>
        <v>Cantidad del A3, T3</v>
      </c>
      <c r="AE40" s="419" t="str">
        <f t="shared" si="23"/>
        <v>Cantidad del A3, T4</v>
      </c>
      <c r="AF40" s="419" t="str">
        <f t="shared" si="23"/>
        <v>Cantidad total del A3</v>
      </c>
      <c r="AG40" s="419" t="str">
        <f t="shared" si="23"/>
        <v>Costo total del A3</v>
      </c>
      <c r="AH40" s="420" t="str">
        <f t="shared" si="23"/>
        <v>Cantidad total</v>
      </c>
      <c r="AI40" s="421" t="str">
        <f t="shared" si="23"/>
        <v xml:space="preserve">Costo total </v>
      </c>
      <c r="AJ40" s="422" t="str">
        <f t="shared" si="23"/>
        <v>Categoría de costos</v>
      </c>
      <c r="AK40" s="2648"/>
      <c r="AL40" s="2609"/>
      <c r="AM40" s="2609"/>
      <c r="AU40" s="337"/>
      <c r="AV40" s="337"/>
      <c r="AW40" s="337"/>
      <c r="AX40" s="337"/>
      <c r="AY40" s="337"/>
      <c r="AZ40" s="337"/>
      <c r="BA40" s="337"/>
      <c r="BB40" s="337"/>
      <c r="BC40" s="337"/>
      <c r="BD40" s="337"/>
      <c r="BE40" s="337"/>
      <c r="BF40" s="337"/>
      <c r="BG40" s="337"/>
      <c r="BH40" s="337"/>
      <c r="BI40" s="337"/>
      <c r="BJ40" s="337"/>
    </row>
    <row r="41" spans="1:62" s="8" customFormat="1">
      <c r="A41" s="2610"/>
      <c r="B41" s="2611"/>
      <c r="C41" s="2611"/>
      <c r="D41" s="2610"/>
      <c r="E41" s="2618"/>
      <c r="F41" s="2618"/>
      <c r="G41" s="2610"/>
      <c r="H41" s="2618"/>
      <c r="I41" s="2618"/>
      <c r="J41" s="2612"/>
      <c r="K41" s="1124" t="str">
        <f>IF(A41&lt;&gt;"",IFERROR(INDEX(PMtbl[[WKst]:[Unit of measure*]],MATCH($A$35&amp;$A41&amp;$D41&amp;$G41,INDEX(PMtbl[Sec]&amp;PMtbl[Category]&amp;PMtbl[INN]&amp;PMtbl[Specification],0,),0),8),""),"")</f>
        <v/>
      </c>
      <c r="L41" s="1124" t="str">
        <f>IF(K41="", "",SETUP!$E$5)</f>
        <v/>
      </c>
      <c r="M41" s="812"/>
      <c r="N41" s="818"/>
      <c r="O41" s="818"/>
      <c r="P41" s="818"/>
      <c r="Q41" s="818"/>
      <c r="R41" s="747">
        <f>SUM('TB-Pharmaceuticals'!$N41:$Q41)</f>
        <v>0</v>
      </c>
      <c r="S41" s="814">
        <f>'TB-Pharmaceuticals'!$M41*'TB-Pharmaceuticals'!$R41</f>
        <v>0</v>
      </c>
      <c r="T41" s="812"/>
      <c r="U41" s="818"/>
      <c r="V41" s="818"/>
      <c r="W41" s="818"/>
      <c r="X41" s="818"/>
      <c r="Y41" s="747">
        <f>SUM('TB-Pharmaceuticals'!$U41:$X41)</f>
        <v>0</v>
      </c>
      <c r="Z41" s="816">
        <f>'TB-Pharmaceuticals'!$T41*'TB-Pharmaceuticals'!$Y41</f>
        <v>0</v>
      </c>
      <c r="AA41" s="812"/>
      <c r="AB41" s="818"/>
      <c r="AC41" s="818"/>
      <c r="AD41" s="818"/>
      <c r="AE41" s="818"/>
      <c r="AF41" s="747">
        <f>SUM('TB-Pharmaceuticals'!$AB41:$AE41)</f>
        <v>0</v>
      </c>
      <c r="AG41" s="816">
        <f>'TB-Pharmaceuticals'!$AA41*'TB-Pharmaceuticals'!$AF41</f>
        <v>0</v>
      </c>
      <c r="AH41" s="748">
        <f>'TB-Pharmaceuticals'!$R41+'TB-Pharmaceuticals'!$Y41+'TB-Pharmaceuticals'!$AF41</f>
        <v>0</v>
      </c>
      <c r="AI41" s="816">
        <f>'TB-Pharmaceuticals'!$S41+'TB-Pharmaceuticals'!$Z41+'TB-Pharmaceuticals'!$AG41</f>
        <v>0</v>
      </c>
      <c r="AJ41" s="1127" t="str">
        <f>IF(A41&lt;&gt;"",IFERROR(INDEX(PMtbl[[WKst]:[Unit of measure*]],MATCH($A$35&amp;$A41&amp;$D41&amp;$G41,INDEX(PMtbl[Sec]&amp;PMtbl[Category]&amp;PMtbl[INN]&amp;PMtbl[Specification],0,),0),7),""),"")</f>
        <v/>
      </c>
      <c r="AK41" s="2057"/>
      <c r="AL41" s="1125" t="str">
        <f>IFERROR(INDEX(SETUP!$C$19:$G$62,MATCH((INDEX(PMtbl[[WKst]:[Unit of measure*]],MATCH($A41&amp;$D41&amp;$G41,INDEX(PMtbl[Category]&amp;PMtbl[INN]&amp;PMtbl[Specification],0,),0),3)),SETUP!$D$19:$D$62,0),5),"")</f>
        <v/>
      </c>
      <c r="AM41" s="1125" t="str">
        <f>IFERROR(IF((INDEX(SETUP!$C$19:$G$62,MATCH((INDEX(PMtbl[[WKst]:[Unit of measure*]],MATCH($A41&amp;$D41&amp;$G41,INDEX(PMtbl[Category]&amp;PMtbl[INN]&amp;PMtbl[Specification],0,),0),3)),SETUP!$D$19:$D$62,0),4))="Upfront",0,INDEX(SETUP!$C$19:$G$62,MATCH((INDEX(PMtbl[[WKst]:[Unit of measure*]],MATCH($A41&amp;$D41&amp;$G41,INDEX(PMtbl[Category]&amp;PMtbl[INN]&amp;PMtbl[Specification],0,),0),3)),SETUP!$D$19:$D$62,0),5)),"")</f>
        <v/>
      </c>
      <c r="AU41" s="338"/>
      <c r="AV41" s="338"/>
      <c r="AW41" s="338"/>
      <c r="AX41" s="338"/>
      <c r="AY41" s="338"/>
      <c r="AZ41" s="338"/>
      <c r="BA41" s="338"/>
      <c r="BB41" s="338"/>
      <c r="BC41" s="338"/>
      <c r="BD41" s="338"/>
      <c r="BE41" s="338"/>
      <c r="BF41" s="338"/>
      <c r="BG41" s="338"/>
      <c r="BH41" s="338"/>
      <c r="BI41" s="338"/>
      <c r="BJ41" s="338"/>
    </row>
    <row r="42" spans="1:62">
      <c r="A42" s="2616"/>
      <c r="B42" s="2304"/>
      <c r="C42" s="2304"/>
      <c r="D42" s="2616"/>
      <c r="E42" s="2304"/>
      <c r="F42" s="2304"/>
      <c r="G42" s="2616"/>
      <c r="H42" s="2304"/>
      <c r="I42" s="2304"/>
      <c r="J42" s="2617"/>
      <c r="K42" s="176" t="str">
        <f>IF(A42&lt;&gt;"",IFERROR(INDEX(PMtbl[[WKst]:[Unit of measure*]],MATCH($A$35&amp;$A42&amp;$D42&amp;$G42,INDEX(PMtbl[Sec]&amp;PMtbl[Category]&amp;PMtbl[INN]&amp;PMtbl[Specification],0,),0),8),""),"")</f>
        <v/>
      </c>
      <c r="L42" s="177" t="str">
        <f>IF(K42="", "",SETUP!$E$5)</f>
        <v/>
      </c>
      <c r="M42" s="794"/>
      <c r="N42" s="810"/>
      <c r="O42" s="810"/>
      <c r="P42" s="810"/>
      <c r="Q42" s="810"/>
      <c r="R42" s="403">
        <f>SUM('TB-Pharmaceuticals'!$N42:$Q42)</f>
        <v>0</v>
      </c>
      <c r="S42" s="799">
        <f>'TB-Pharmaceuticals'!$M42*'TB-Pharmaceuticals'!$R42</f>
        <v>0</v>
      </c>
      <c r="T42" s="794"/>
      <c r="U42" s="810"/>
      <c r="V42" s="810"/>
      <c r="W42" s="810"/>
      <c r="X42" s="810"/>
      <c r="Y42" s="403">
        <f>SUM('TB-Pharmaceuticals'!$U42:$X42)</f>
        <v>0</v>
      </c>
      <c r="Z42" s="805">
        <f>'TB-Pharmaceuticals'!$T42*'TB-Pharmaceuticals'!$Y42</f>
        <v>0</v>
      </c>
      <c r="AA42" s="794"/>
      <c r="AB42" s="810"/>
      <c r="AC42" s="810"/>
      <c r="AD42" s="810"/>
      <c r="AE42" s="810"/>
      <c r="AF42" s="403">
        <f>SUM('TB-Pharmaceuticals'!$AB42:$AE42)</f>
        <v>0</v>
      </c>
      <c r="AG42" s="805">
        <f>'TB-Pharmaceuticals'!$AA42*'TB-Pharmaceuticals'!$AF42</f>
        <v>0</v>
      </c>
      <c r="AH42" s="404">
        <f>'TB-Pharmaceuticals'!$R42+'TB-Pharmaceuticals'!$Y42+'TB-Pharmaceuticals'!$AF42</f>
        <v>0</v>
      </c>
      <c r="AI42" s="805">
        <f>'TB-Pharmaceuticals'!$S42+'TB-Pharmaceuticals'!$Z42+'TB-Pharmaceuticals'!$AG42</f>
        <v>0</v>
      </c>
      <c r="AJ42" s="423" t="str">
        <f>IF(A42&lt;&gt;"",IFERROR(INDEX(PMtbl[[WKst]:[Unit of measure*]],MATCH($A$35&amp;$A42&amp;$D42&amp;$G42,INDEX(PMtbl[Sec]&amp;PMtbl[Category]&amp;PMtbl[INN]&amp;PMtbl[Specification],0,),0),7),""),"")</f>
        <v/>
      </c>
      <c r="AK42" s="2058"/>
      <c r="AL42" s="397" t="str">
        <f>IFERROR(INDEX(SETUP!$C$19:$G$62,MATCH((INDEX(PMtbl[[WKst]:[Unit of measure*]],MATCH($A42&amp;$D42&amp;$G42,INDEX(PMtbl[Category]&amp;PMtbl[INN]&amp;PMtbl[Specification],0,),0),3)),SETUP!$D$19:$D$62,0),5),"")</f>
        <v/>
      </c>
      <c r="AM42" s="397" t="str">
        <f>IFERROR(IF((INDEX(SETUP!$C$19:$G$62,MATCH((INDEX(PMtbl[[WKst]:[Unit of measure*]],MATCH($A42&amp;$D42&amp;$G42,INDEX(PMtbl[Category]&amp;PMtbl[INN]&amp;PMtbl[Specification],0,),0),3)),SETUP!$D$19:$D$62,0),4))="Upfront",0,INDEX(SETUP!$C$19:$G$62,MATCH((INDEX(PMtbl[[WKst]:[Unit of measure*]],MATCH($A42&amp;$D42&amp;$G42,INDEX(PMtbl[Category]&amp;PMtbl[INN]&amp;PMtbl[Specification],0,),0),3)),SETUP!$D$19:$D$62,0),5)),"")</f>
        <v/>
      </c>
      <c r="AU42" s="342"/>
      <c r="AV42" s="342"/>
      <c r="AW42" s="342"/>
      <c r="AX42" s="342"/>
      <c r="AY42" s="342"/>
      <c r="AZ42" s="342"/>
      <c r="BA42" s="342"/>
      <c r="BB42" s="342"/>
      <c r="BC42" s="342"/>
      <c r="BD42" s="342"/>
      <c r="BE42" s="342"/>
      <c r="BF42" s="342"/>
      <c r="BG42" s="342"/>
      <c r="BH42" s="342"/>
      <c r="BI42" s="342"/>
      <c r="BJ42" s="342"/>
    </row>
    <row r="43" spans="1:62">
      <c r="A43" s="2610"/>
      <c r="B43" s="2611"/>
      <c r="C43" s="2611"/>
      <c r="D43" s="2610"/>
      <c r="E43" s="2611"/>
      <c r="F43" s="2611"/>
      <c r="G43" s="2610"/>
      <c r="H43" s="2611"/>
      <c r="I43" s="2611"/>
      <c r="J43" s="2612"/>
      <c r="K43" s="175" t="str">
        <f>IF(A43&lt;&gt;"",IFERROR(INDEX(PMtbl[[WKst]:[Unit of measure*]],MATCH($A$35&amp;$A43&amp;$D43&amp;$G43,INDEX(PMtbl[Sec]&amp;PMtbl[Category]&amp;PMtbl[INN]&amp;PMtbl[Specification],0,),0),8),""),"")</f>
        <v/>
      </c>
      <c r="L43" s="175" t="str">
        <f>IF(K43="", "",SETUP!$E$5)</f>
        <v/>
      </c>
      <c r="M43" s="813"/>
      <c r="N43" s="819"/>
      <c r="O43" s="819"/>
      <c r="P43" s="819"/>
      <c r="Q43" s="819"/>
      <c r="R43" s="424">
        <f>SUM('TB-Pharmaceuticals'!$N43:$Q43)</f>
        <v>0</v>
      </c>
      <c r="S43" s="815">
        <f>'TB-Pharmaceuticals'!$M43*'TB-Pharmaceuticals'!$R43</f>
        <v>0</v>
      </c>
      <c r="T43" s="813"/>
      <c r="U43" s="819"/>
      <c r="V43" s="819"/>
      <c r="W43" s="819"/>
      <c r="X43" s="819"/>
      <c r="Y43" s="424">
        <f>SUM('TB-Pharmaceuticals'!$U43:$X43)</f>
        <v>0</v>
      </c>
      <c r="Z43" s="817">
        <f>'TB-Pharmaceuticals'!$T43*'TB-Pharmaceuticals'!$Y43</f>
        <v>0</v>
      </c>
      <c r="AA43" s="813"/>
      <c r="AB43" s="819"/>
      <c r="AC43" s="819"/>
      <c r="AD43" s="819"/>
      <c r="AE43" s="819"/>
      <c r="AF43" s="424">
        <f>SUM('TB-Pharmaceuticals'!$AB43:$AE43)</f>
        <v>0</v>
      </c>
      <c r="AG43" s="817">
        <f>'TB-Pharmaceuticals'!$AA43*'TB-Pharmaceuticals'!$AF43</f>
        <v>0</v>
      </c>
      <c r="AH43" s="425">
        <f>'TB-Pharmaceuticals'!$R43+'TB-Pharmaceuticals'!$Y43+'TB-Pharmaceuticals'!$AF43</f>
        <v>0</v>
      </c>
      <c r="AI43" s="817">
        <f>'TB-Pharmaceuticals'!$S43+'TB-Pharmaceuticals'!$Z43+'TB-Pharmaceuticals'!$AG43</f>
        <v>0</v>
      </c>
      <c r="AJ43" s="426" t="str">
        <f>IF(A43&lt;&gt;"",IFERROR(INDEX(PMtbl[[WKst]:[Unit of measure*]],MATCH($A$35&amp;$A43&amp;$D43&amp;$G43,INDEX(PMtbl[Sec]&amp;PMtbl[Category]&amp;PMtbl[INN]&amp;PMtbl[Specification],0,),0),7),""),"")</f>
        <v/>
      </c>
      <c r="AK43" s="2059"/>
      <c r="AL43" s="400" t="str">
        <f>IFERROR(INDEX(SETUP!$C$19:$G$62,MATCH((INDEX(PMtbl[[WKst]:[Unit of measure*]],MATCH($A43&amp;$D43&amp;$G43,INDEX(PMtbl[Category]&amp;PMtbl[INN]&amp;PMtbl[Specification],0,),0),3)),SETUP!$D$19:$D$62,0),5),"")</f>
        <v/>
      </c>
      <c r="AM43" s="400" t="str">
        <f>IFERROR(IF((INDEX(SETUP!$C$19:$G$62,MATCH((INDEX(PMtbl[[WKst]:[Unit of measure*]],MATCH($A43&amp;$D43&amp;$G43,INDEX(PMtbl[Category]&amp;PMtbl[INN]&amp;PMtbl[Specification],0,),0),3)),SETUP!$D$19:$D$62,0),4))="Upfront",0,INDEX(SETUP!$C$19:$G$62,MATCH((INDEX(PMtbl[[WKst]:[Unit of measure*]],MATCH($A43&amp;$D43&amp;$G43,INDEX(PMtbl[Category]&amp;PMtbl[INN]&amp;PMtbl[Specification],0,),0),3)),SETUP!$D$19:$D$62,0),5)),"")</f>
        <v/>
      </c>
      <c r="AU43" s="8"/>
      <c r="AV43" s="8"/>
      <c r="AW43" s="8"/>
      <c r="AX43" s="8"/>
      <c r="AY43" s="8"/>
      <c r="AZ43" s="8"/>
      <c r="BA43" s="8"/>
      <c r="BB43" s="8"/>
      <c r="BC43" s="8"/>
      <c r="BD43" s="8"/>
      <c r="BE43" s="8"/>
      <c r="BF43" s="8"/>
      <c r="BG43" s="8"/>
      <c r="BH43" s="8"/>
      <c r="BI43" s="8"/>
      <c r="BJ43" s="8"/>
    </row>
    <row r="44" spans="1:62">
      <c r="A44" s="2616"/>
      <c r="B44" s="2304"/>
      <c r="C44" s="2304"/>
      <c r="D44" s="2616"/>
      <c r="E44" s="2304"/>
      <c r="F44" s="2304"/>
      <c r="G44" s="2616"/>
      <c r="H44" s="2304"/>
      <c r="I44" s="2304"/>
      <c r="J44" s="2617"/>
      <c r="K44" s="176" t="str">
        <f>IF(A44&lt;&gt;"",IFERROR(INDEX(PMtbl[[WKst]:[Unit of measure*]],MATCH($A$35&amp;$A44&amp;$D44&amp;$G44,INDEX(PMtbl[Sec]&amp;PMtbl[Category]&amp;PMtbl[INN]&amp;PMtbl[Specification],0,),0),8),""),"")</f>
        <v/>
      </c>
      <c r="L44" s="177" t="str">
        <f>IF(K44="", "",SETUP!$E$5)</f>
        <v/>
      </c>
      <c r="M44" s="794"/>
      <c r="N44" s="810"/>
      <c r="O44" s="810"/>
      <c r="P44" s="810"/>
      <c r="Q44" s="810"/>
      <c r="R44" s="403">
        <f>SUM('TB-Pharmaceuticals'!$N44:$Q44)</f>
        <v>0</v>
      </c>
      <c r="S44" s="799">
        <f>'TB-Pharmaceuticals'!$M44*'TB-Pharmaceuticals'!$R44</f>
        <v>0</v>
      </c>
      <c r="T44" s="794"/>
      <c r="U44" s="810"/>
      <c r="V44" s="810"/>
      <c r="W44" s="810"/>
      <c r="X44" s="810"/>
      <c r="Y44" s="403">
        <f>SUM('TB-Pharmaceuticals'!$U44:$X44)</f>
        <v>0</v>
      </c>
      <c r="Z44" s="805">
        <f>'TB-Pharmaceuticals'!$T44*'TB-Pharmaceuticals'!$Y44</f>
        <v>0</v>
      </c>
      <c r="AA44" s="794"/>
      <c r="AB44" s="810"/>
      <c r="AC44" s="810"/>
      <c r="AD44" s="810"/>
      <c r="AE44" s="810"/>
      <c r="AF44" s="403">
        <f>SUM('TB-Pharmaceuticals'!$AB44:$AE44)</f>
        <v>0</v>
      </c>
      <c r="AG44" s="805">
        <f>'TB-Pharmaceuticals'!$AA44*'TB-Pharmaceuticals'!$AF44</f>
        <v>0</v>
      </c>
      <c r="AH44" s="404">
        <f>'TB-Pharmaceuticals'!$R44+'TB-Pharmaceuticals'!$Y44+'TB-Pharmaceuticals'!$AF44</f>
        <v>0</v>
      </c>
      <c r="AI44" s="805">
        <f>'TB-Pharmaceuticals'!$S44+'TB-Pharmaceuticals'!$Z44+'TB-Pharmaceuticals'!$AG44</f>
        <v>0</v>
      </c>
      <c r="AJ44" s="423" t="str">
        <f>IF(A44&lt;&gt;"",IFERROR(INDEX(PMtbl[[WKst]:[Unit of measure*]],MATCH($A$35&amp;$A44&amp;$D44&amp;$G44,INDEX(PMtbl[Sec]&amp;PMtbl[Category]&amp;PMtbl[INN]&amp;PMtbl[Specification],0,),0),7),""),"")</f>
        <v/>
      </c>
      <c r="AK44" s="2058"/>
      <c r="AL44" s="397" t="str">
        <f>IFERROR(INDEX(SETUP!$C$19:$G$62,MATCH((INDEX(PMtbl[[WKst]:[Unit of measure*]],MATCH($A44&amp;$D44&amp;$G44,INDEX(PMtbl[Category]&amp;PMtbl[INN]&amp;PMtbl[Specification],0,),0),3)),SETUP!$D$19:$D$62,0),5),"")</f>
        <v/>
      </c>
      <c r="AM44" s="397" t="str">
        <f>IFERROR(IF((INDEX(SETUP!$C$19:$G$62,MATCH((INDEX(PMtbl[[WKst]:[Unit of measure*]],MATCH($A44&amp;$D44&amp;$G44,INDEX(PMtbl[Category]&amp;PMtbl[INN]&amp;PMtbl[Specification],0,),0),3)),SETUP!$D$19:$D$62,0),4))="Upfront",0,INDEX(SETUP!$C$19:$G$62,MATCH((INDEX(PMtbl[[WKst]:[Unit of measure*]],MATCH($A44&amp;$D44&amp;$G44,INDEX(PMtbl[Category]&amp;PMtbl[INN]&amp;PMtbl[Specification],0,),0),3)),SETUP!$D$19:$D$62,0),5)),"")</f>
        <v/>
      </c>
    </row>
    <row r="45" spans="1:62">
      <c r="A45" s="2610"/>
      <c r="B45" s="2611"/>
      <c r="C45" s="2611"/>
      <c r="D45" s="2610"/>
      <c r="E45" s="2611"/>
      <c r="F45" s="2611"/>
      <c r="G45" s="2610"/>
      <c r="H45" s="2611"/>
      <c r="I45" s="2611"/>
      <c r="J45" s="2612"/>
      <c r="K45" s="175" t="str">
        <f>IF(A45&lt;&gt;"",IFERROR(INDEX(PMtbl[[WKst]:[Unit of measure*]],MATCH($A$35&amp;$A45&amp;$D45&amp;$G45,INDEX(PMtbl[Sec]&amp;PMtbl[Category]&amp;PMtbl[INN]&amp;PMtbl[Specification],0,),0),8),""),"")</f>
        <v/>
      </c>
      <c r="L45" s="175" t="str">
        <f>IF(K45="", "",SETUP!$E$5)</f>
        <v/>
      </c>
      <c r="M45" s="813"/>
      <c r="N45" s="819"/>
      <c r="O45" s="819"/>
      <c r="P45" s="819"/>
      <c r="Q45" s="819"/>
      <c r="R45" s="424">
        <f>SUM('TB-Pharmaceuticals'!$N45:$Q45)</f>
        <v>0</v>
      </c>
      <c r="S45" s="815">
        <f>'TB-Pharmaceuticals'!$M45*'TB-Pharmaceuticals'!$R45</f>
        <v>0</v>
      </c>
      <c r="T45" s="813"/>
      <c r="U45" s="819"/>
      <c r="V45" s="819"/>
      <c r="W45" s="819"/>
      <c r="X45" s="819"/>
      <c r="Y45" s="424">
        <f>SUM('TB-Pharmaceuticals'!$U45:$X45)</f>
        <v>0</v>
      </c>
      <c r="Z45" s="817">
        <f>'TB-Pharmaceuticals'!$T45*'TB-Pharmaceuticals'!$Y45</f>
        <v>0</v>
      </c>
      <c r="AA45" s="813"/>
      <c r="AB45" s="819"/>
      <c r="AC45" s="819"/>
      <c r="AD45" s="819"/>
      <c r="AE45" s="819"/>
      <c r="AF45" s="424">
        <f>SUM('TB-Pharmaceuticals'!$AB45:$AE45)</f>
        <v>0</v>
      </c>
      <c r="AG45" s="817">
        <f>'TB-Pharmaceuticals'!$AA45*'TB-Pharmaceuticals'!$AF45</f>
        <v>0</v>
      </c>
      <c r="AH45" s="425">
        <f>'TB-Pharmaceuticals'!$R45+'TB-Pharmaceuticals'!$Y45+'TB-Pharmaceuticals'!$AF45</f>
        <v>0</v>
      </c>
      <c r="AI45" s="817">
        <f>'TB-Pharmaceuticals'!$S45+'TB-Pharmaceuticals'!$Z45+'TB-Pharmaceuticals'!$AG45</f>
        <v>0</v>
      </c>
      <c r="AJ45" s="426" t="str">
        <f>IF(A45&lt;&gt;"",IFERROR(INDEX(PMtbl[[WKst]:[Unit of measure*]],MATCH($A$35&amp;$A45&amp;$D45&amp;$G45,INDEX(PMtbl[Sec]&amp;PMtbl[Category]&amp;PMtbl[INN]&amp;PMtbl[Specification],0,),0),7),""),"")</f>
        <v/>
      </c>
      <c r="AK45" s="2059"/>
      <c r="AL45" s="400" t="str">
        <f>IFERROR(INDEX(SETUP!$C$19:$G$62,MATCH((INDEX(PMtbl[[WKst]:[Unit of measure*]],MATCH($A45&amp;$D45&amp;$G45,INDEX(PMtbl[Category]&amp;PMtbl[INN]&amp;PMtbl[Specification],0,),0),3)),SETUP!$D$19:$D$62,0),5),"")</f>
        <v/>
      </c>
      <c r="AM45" s="400" t="str">
        <f>IFERROR(IF((INDEX(SETUP!$C$19:$G$62,MATCH((INDEX(PMtbl[[WKst]:[Unit of measure*]],MATCH($A45&amp;$D45&amp;$G45,INDEX(PMtbl[Category]&amp;PMtbl[INN]&amp;PMtbl[Specification],0,),0),3)),SETUP!$D$19:$D$62,0),4))="Upfront",0,INDEX(SETUP!$C$19:$G$62,MATCH((INDEX(PMtbl[[WKst]:[Unit of measure*]],MATCH($A45&amp;$D45&amp;$G45,INDEX(PMtbl[Category]&amp;PMtbl[INN]&amp;PMtbl[Specification],0,),0),3)),SETUP!$D$19:$D$62,0),5)),"")</f>
        <v/>
      </c>
    </row>
    <row r="46" spans="1:62">
      <c r="A46" s="2616"/>
      <c r="B46" s="2304"/>
      <c r="C46" s="2304"/>
      <c r="D46" s="2616"/>
      <c r="E46" s="2304"/>
      <c r="F46" s="2304"/>
      <c r="G46" s="2616"/>
      <c r="H46" s="2304"/>
      <c r="I46" s="2304"/>
      <c r="J46" s="2617"/>
      <c r="K46" s="176" t="str">
        <f>IF(A46&lt;&gt;"",IFERROR(INDEX(PMtbl[[WKst]:[Unit of measure*]],MATCH($A$35&amp;$A46&amp;$D46&amp;$G46,INDEX(PMtbl[Sec]&amp;PMtbl[Category]&amp;PMtbl[INN]&amp;PMtbl[Specification],0,),0),8),""),"")</f>
        <v/>
      </c>
      <c r="L46" s="177" t="str">
        <f>IF(K46="", "",SETUP!$E$5)</f>
        <v/>
      </c>
      <c r="M46" s="794"/>
      <c r="N46" s="810"/>
      <c r="O46" s="810"/>
      <c r="P46" s="810"/>
      <c r="Q46" s="810"/>
      <c r="R46" s="403">
        <f>SUM('TB-Pharmaceuticals'!$N46:$Q46)</f>
        <v>0</v>
      </c>
      <c r="S46" s="799">
        <f>'TB-Pharmaceuticals'!$M46*'TB-Pharmaceuticals'!$R46</f>
        <v>0</v>
      </c>
      <c r="T46" s="794"/>
      <c r="U46" s="810"/>
      <c r="V46" s="810"/>
      <c r="W46" s="810"/>
      <c r="X46" s="810"/>
      <c r="Y46" s="403">
        <f>SUM('TB-Pharmaceuticals'!$U46:$X46)</f>
        <v>0</v>
      </c>
      <c r="Z46" s="805">
        <f>'TB-Pharmaceuticals'!$T46*'TB-Pharmaceuticals'!$Y46</f>
        <v>0</v>
      </c>
      <c r="AA46" s="794"/>
      <c r="AB46" s="810"/>
      <c r="AC46" s="810"/>
      <c r="AD46" s="810"/>
      <c r="AE46" s="810"/>
      <c r="AF46" s="403">
        <f>SUM('TB-Pharmaceuticals'!$AB46:$AE46)</f>
        <v>0</v>
      </c>
      <c r="AG46" s="805">
        <f>'TB-Pharmaceuticals'!$AA46*'TB-Pharmaceuticals'!$AF46</f>
        <v>0</v>
      </c>
      <c r="AH46" s="404">
        <f>'TB-Pharmaceuticals'!$R46+'TB-Pharmaceuticals'!$Y46+'TB-Pharmaceuticals'!$AF46</f>
        <v>0</v>
      </c>
      <c r="AI46" s="805">
        <f>'TB-Pharmaceuticals'!$S46+'TB-Pharmaceuticals'!$Z46+'TB-Pharmaceuticals'!$AG46</f>
        <v>0</v>
      </c>
      <c r="AJ46" s="423" t="str">
        <f>IF(A46&lt;&gt;"",IFERROR(INDEX(PMtbl[[WKst]:[Unit of measure*]],MATCH($A$35&amp;$A46&amp;$D46&amp;$G46,INDEX(PMtbl[Sec]&amp;PMtbl[Category]&amp;PMtbl[INN]&amp;PMtbl[Specification],0,),0),7),""),"")</f>
        <v/>
      </c>
      <c r="AK46" s="2058"/>
      <c r="AL46" s="397" t="str">
        <f>IFERROR(INDEX(SETUP!$C$19:$G$62,MATCH((INDEX(PMtbl[[WKst]:[Unit of measure*]],MATCH($A46&amp;$D46&amp;$G46,INDEX(PMtbl[Category]&amp;PMtbl[INN]&amp;PMtbl[Specification],0,),0),3)),SETUP!$D$19:$D$62,0),5),"")</f>
        <v/>
      </c>
      <c r="AM46" s="397" t="str">
        <f>IFERROR(IF((INDEX(SETUP!$C$19:$G$62,MATCH((INDEX(PMtbl[[WKst]:[Unit of measure*]],MATCH($A46&amp;$D46&amp;$G46,INDEX(PMtbl[Category]&amp;PMtbl[INN]&amp;PMtbl[Specification],0,),0),3)),SETUP!$D$19:$D$62,0),4))="Upfront",0,INDEX(SETUP!$C$19:$G$62,MATCH((INDEX(PMtbl[[WKst]:[Unit of measure*]],MATCH($A46&amp;$D46&amp;$G46,INDEX(PMtbl[Category]&amp;PMtbl[INN]&amp;PMtbl[Specification],0,),0),3)),SETUP!$D$19:$D$62,0),5)),"")</f>
        <v/>
      </c>
    </row>
    <row r="47" spans="1:62">
      <c r="A47" s="2610"/>
      <c r="B47" s="2611"/>
      <c r="C47" s="2611"/>
      <c r="D47" s="2610"/>
      <c r="E47" s="2611"/>
      <c r="F47" s="2611"/>
      <c r="G47" s="2610"/>
      <c r="H47" s="2611"/>
      <c r="I47" s="2611"/>
      <c r="J47" s="2612"/>
      <c r="K47" s="175" t="str">
        <f>IF(A47&lt;&gt;"",IFERROR(INDEX(PMtbl[[WKst]:[Unit of measure*]],MATCH($A$35&amp;$A47&amp;$D47&amp;$G47,INDEX(PMtbl[Sec]&amp;PMtbl[Category]&amp;PMtbl[INN]&amp;PMtbl[Specification],0,),0),8),""),"")</f>
        <v/>
      </c>
      <c r="L47" s="175" t="str">
        <f>IF(K47="", "",SETUP!$E$5)</f>
        <v/>
      </c>
      <c r="M47" s="813"/>
      <c r="N47" s="819"/>
      <c r="O47" s="819"/>
      <c r="P47" s="819"/>
      <c r="Q47" s="819"/>
      <c r="R47" s="424">
        <f>SUM('TB-Pharmaceuticals'!$N47:$Q47)</f>
        <v>0</v>
      </c>
      <c r="S47" s="815">
        <f>'TB-Pharmaceuticals'!$M47*'TB-Pharmaceuticals'!$R47</f>
        <v>0</v>
      </c>
      <c r="T47" s="813"/>
      <c r="U47" s="819"/>
      <c r="V47" s="819"/>
      <c r="W47" s="819"/>
      <c r="X47" s="819"/>
      <c r="Y47" s="424">
        <f>SUM('TB-Pharmaceuticals'!$U47:$X47)</f>
        <v>0</v>
      </c>
      <c r="Z47" s="817">
        <f>'TB-Pharmaceuticals'!$T47*'TB-Pharmaceuticals'!$Y47</f>
        <v>0</v>
      </c>
      <c r="AA47" s="813"/>
      <c r="AB47" s="819"/>
      <c r="AC47" s="819"/>
      <c r="AD47" s="819"/>
      <c r="AE47" s="819"/>
      <c r="AF47" s="424">
        <f>SUM('TB-Pharmaceuticals'!$AB47:$AE47)</f>
        <v>0</v>
      </c>
      <c r="AG47" s="817">
        <f>'TB-Pharmaceuticals'!$AA47*'TB-Pharmaceuticals'!$AF47</f>
        <v>0</v>
      </c>
      <c r="AH47" s="425">
        <f>'TB-Pharmaceuticals'!$R47+'TB-Pharmaceuticals'!$Y47+'TB-Pharmaceuticals'!$AF47</f>
        <v>0</v>
      </c>
      <c r="AI47" s="817">
        <f>'TB-Pharmaceuticals'!$S47+'TB-Pharmaceuticals'!$Z47+'TB-Pharmaceuticals'!$AG47</f>
        <v>0</v>
      </c>
      <c r="AJ47" s="426" t="str">
        <f>IF(A47&lt;&gt;"",IFERROR(INDEX(PMtbl[[WKst]:[Unit of measure*]],MATCH($A$35&amp;$A47&amp;$D47&amp;$G47,INDEX(PMtbl[Sec]&amp;PMtbl[Category]&amp;PMtbl[INN]&amp;PMtbl[Specification],0,),0),7),""),"")</f>
        <v/>
      </c>
      <c r="AK47" s="2059"/>
      <c r="AL47" s="401" t="str">
        <f>IFERROR(INDEX(SETUP!$C$19:$G$62,MATCH((INDEX(PMtbl[[WKst]:[Unit of measure*]],MATCH($A47&amp;$D47&amp;$G47,INDEX(PMtbl[Category]&amp;PMtbl[INN]&amp;PMtbl[Specification],0,),0),3)),SETUP!$D$19:$D$62,0),5),"")</f>
        <v/>
      </c>
      <c r="AM47" s="401" t="str">
        <f>IFERROR(IF((INDEX(SETUP!$C$19:$G$62,MATCH((INDEX(PMtbl[[WKst]:[Unit of measure*]],MATCH($A47&amp;$D47&amp;$G47,INDEX(PMtbl[Category]&amp;PMtbl[INN]&amp;PMtbl[Specification],0,),0),3)),SETUP!$D$19:$D$62,0),4))="Upfront",0,INDEX(SETUP!$C$19:$G$62,MATCH((INDEX(PMtbl[[WKst]:[Unit of measure*]],MATCH($A47&amp;$D47&amp;$G47,INDEX(PMtbl[Category]&amp;PMtbl[INN]&amp;PMtbl[Specification],0,),0),3)),SETUP!$D$19:$D$62,0),5)),"")</f>
        <v/>
      </c>
    </row>
    <row r="48" spans="1:62">
      <c r="A48" s="2616"/>
      <c r="B48" s="2304"/>
      <c r="C48" s="2304"/>
      <c r="D48" s="2616"/>
      <c r="E48" s="2304"/>
      <c r="F48" s="2304"/>
      <c r="G48" s="2616"/>
      <c r="H48" s="2304"/>
      <c r="I48" s="2304"/>
      <c r="J48" s="2617"/>
      <c r="K48" s="176" t="str">
        <f>IF(A48&lt;&gt;"",IFERROR(INDEX(PMtbl[[WKst]:[Unit of measure*]],MATCH($A$35&amp;$A48&amp;$D48&amp;$G48,INDEX(PMtbl[Sec]&amp;PMtbl[Category]&amp;PMtbl[INN]&amp;PMtbl[Specification],0,),0),8),""),"")</f>
        <v/>
      </c>
      <c r="L48" s="177" t="str">
        <f>IF(K48="", "",SETUP!$E$5)</f>
        <v/>
      </c>
      <c r="M48" s="794"/>
      <c r="N48" s="810"/>
      <c r="O48" s="810"/>
      <c r="P48" s="810"/>
      <c r="Q48" s="810"/>
      <c r="R48" s="403">
        <f>SUM('TB-Pharmaceuticals'!$N48:$Q48)</f>
        <v>0</v>
      </c>
      <c r="S48" s="799">
        <f>'TB-Pharmaceuticals'!$M48*'TB-Pharmaceuticals'!$R48</f>
        <v>0</v>
      </c>
      <c r="T48" s="794"/>
      <c r="U48" s="810"/>
      <c r="V48" s="810"/>
      <c r="W48" s="810"/>
      <c r="X48" s="810"/>
      <c r="Y48" s="403">
        <f>SUM('TB-Pharmaceuticals'!$U48:$X48)</f>
        <v>0</v>
      </c>
      <c r="Z48" s="805">
        <f>'TB-Pharmaceuticals'!$T48*'TB-Pharmaceuticals'!$Y48</f>
        <v>0</v>
      </c>
      <c r="AA48" s="794"/>
      <c r="AB48" s="810"/>
      <c r="AC48" s="810"/>
      <c r="AD48" s="810"/>
      <c r="AE48" s="810"/>
      <c r="AF48" s="403">
        <f>SUM('TB-Pharmaceuticals'!$AB48:$AE48)</f>
        <v>0</v>
      </c>
      <c r="AG48" s="805">
        <f>'TB-Pharmaceuticals'!$AA48*'TB-Pharmaceuticals'!$AF48</f>
        <v>0</v>
      </c>
      <c r="AH48" s="404">
        <f>'TB-Pharmaceuticals'!$R48+'TB-Pharmaceuticals'!$Y48+'TB-Pharmaceuticals'!$AF48</f>
        <v>0</v>
      </c>
      <c r="AI48" s="805">
        <f>'TB-Pharmaceuticals'!$S48+'TB-Pharmaceuticals'!$Z48+'TB-Pharmaceuticals'!$AG48</f>
        <v>0</v>
      </c>
      <c r="AJ48" s="423" t="str">
        <f>IF(A48&lt;&gt;"",IFERROR(INDEX(PMtbl[[WKst]:[Unit of measure*]],MATCH($A$35&amp;$A48&amp;$D48&amp;$G48,INDEX(PMtbl[Sec]&amp;PMtbl[Category]&amp;PMtbl[INN]&amp;PMtbl[Specification],0,),0),7),""),"")</f>
        <v/>
      </c>
      <c r="AK48" s="2058"/>
      <c r="AL48" s="397" t="str">
        <f>IFERROR(INDEX(SETUP!$C$19:$G$62,MATCH((INDEX(PMtbl[[WKst]:[Unit of measure*]],MATCH($A48&amp;$D48&amp;$G48,INDEX(PMtbl[Category]&amp;PMtbl[INN]&amp;PMtbl[Specification],0,),0),3)),SETUP!$D$19:$D$62,0),5),"")</f>
        <v/>
      </c>
      <c r="AM48" s="397" t="str">
        <f>IFERROR(IF((INDEX(SETUP!$C$19:$G$62,MATCH((INDEX(PMtbl[[WKst]:[Unit of measure*]],MATCH($A48&amp;$D48&amp;$G48,INDEX(PMtbl[Category]&amp;PMtbl[INN]&amp;PMtbl[Specification],0,),0),3)),SETUP!$D$19:$D$62,0),4))="Upfront",0,INDEX(SETUP!$C$19:$G$62,MATCH((INDEX(PMtbl[[WKst]:[Unit of measure*]],MATCH($A48&amp;$D48&amp;$G48,INDEX(PMtbl[Category]&amp;PMtbl[INN]&amp;PMtbl[Specification],0,),0),3)),SETUP!$D$19:$D$62,0),5)),"")</f>
        <v/>
      </c>
    </row>
    <row r="49" spans="1:62" s="8" customFormat="1">
      <c r="A49" s="2610"/>
      <c r="B49" s="2611"/>
      <c r="C49" s="2611"/>
      <c r="D49" s="2610"/>
      <c r="E49" s="2618"/>
      <c r="F49" s="2618"/>
      <c r="G49" s="2610"/>
      <c r="H49" s="2618"/>
      <c r="I49" s="2618"/>
      <c r="J49" s="2612"/>
      <c r="K49" s="1124" t="str">
        <f>IF(A49&lt;&gt;"",IFERROR(INDEX(PMtbl[[WKst]:[Unit of measure*]],MATCH($A$35&amp;$A49&amp;$D49&amp;$G49,INDEX(PMtbl[Sec]&amp;PMtbl[Category]&amp;PMtbl[INN]&amp;PMtbl[Specification],0,),0),8),""),"")</f>
        <v/>
      </c>
      <c r="L49" s="1124" t="str">
        <f>IF(K49="", "",SETUP!$E$5)</f>
        <v/>
      </c>
      <c r="M49" s="813"/>
      <c r="N49" s="819"/>
      <c r="O49" s="819"/>
      <c r="P49" s="819"/>
      <c r="Q49" s="819"/>
      <c r="R49" s="424">
        <f>SUM('TB-Pharmaceuticals'!$N49:$Q49)</f>
        <v>0</v>
      </c>
      <c r="S49" s="815">
        <f>'TB-Pharmaceuticals'!$M49*'TB-Pharmaceuticals'!$R49</f>
        <v>0</v>
      </c>
      <c r="T49" s="813"/>
      <c r="U49" s="819"/>
      <c r="V49" s="819"/>
      <c r="W49" s="819"/>
      <c r="X49" s="819"/>
      <c r="Y49" s="424">
        <f>SUM('TB-Pharmaceuticals'!$U49:$X49)</f>
        <v>0</v>
      </c>
      <c r="Z49" s="817">
        <f>'TB-Pharmaceuticals'!$T49*'TB-Pharmaceuticals'!$Y49</f>
        <v>0</v>
      </c>
      <c r="AA49" s="813"/>
      <c r="AB49" s="819"/>
      <c r="AC49" s="819"/>
      <c r="AD49" s="819"/>
      <c r="AE49" s="819"/>
      <c r="AF49" s="424">
        <f>SUM('TB-Pharmaceuticals'!$AB49:$AE49)</f>
        <v>0</v>
      </c>
      <c r="AG49" s="817">
        <f>'TB-Pharmaceuticals'!$AA49*'TB-Pharmaceuticals'!$AF49</f>
        <v>0</v>
      </c>
      <c r="AH49" s="425">
        <f>'TB-Pharmaceuticals'!$R49+'TB-Pharmaceuticals'!$Y49+'TB-Pharmaceuticals'!$AF49</f>
        <v>0</v>
      </c>
      <c r="AI49" s="817">
        <f>'TB-Pharmaceuticals'!$S49+'TB-Pharmaceuticals'!$Z49+'TB-Pharmaceuticals'!$AG49</f>
        <v>0</v>
      </c>
      <c r="AJ49" s="426" t="str">
        <f>IF(A49&lt;&gt;"",IFERROR(INDEX(PMtbl[[WKst]:[Unit of measure*]],MATCH($A$35&amp;$A49&amp;$D49&amp;$G49,INDEX(PMtbl[Sec]&amp;PMtbl[Category]&amp;PMtbl[INN]&amp;PMtbl[Specification],0,),0),7),""),"")</f>
        <v/>
      </c>
      <c r="AK49" s="2059"/>
      <c r="AL49" s="400" t="str">
        <f>IFERROR(INDEX(SETUP!$C$19:$G$62,MATCH((INDEX(PMtbl[[WKst]:[Unit of measure*]],MATCH($A49&amp;$D49&amp;$G49,INDEX(PMtbl[Category]&amp;PMtbl[INN]&amp;PMtbl[Specification],0,),0),3)),SETUP!$D$19:$D$62,0),5),"")</f>
        <v/>
      </c>
      <c r="AM49" s="400" t="str">
        <f>IFERROR(IF((INDEX(SETUP!$C$19:$G$62,MATCH((INDEX(PMtbl[[WKst]:[Unit of measure*]],MATCH($A49&amp;$D49&amp;$G49,INDEX(PMtbl[Category]&amp;PMtbl[INN]&amp;PMtbl[Specification],0,),0),3)),SETUP!$D$19:$D$62,0),4))="Upfront",0,INDEX(SETUP!$C$19:$G$62,MATCH((INDEX(PMtbl[[WKst]:[Unit of measure*]],MATCH($A49&amp;$D49&amp;$G49,INDEX(PMtbl[Category]&amp;PMtbl[INN]&amp;PMtbl[Specification],0,),0),3)),SETUP!$D$19:$D$62,0),5)),"")</f>
        <v/>
      </c>
      <c r="AU49" s="337"/>
      <c r="AV49" s="337"/>
      <c r="AW49" s="337"/>
      <c r="AX49" s="337"/>
      <c r="AY49" s="337"/>
      <c r="AZ49" s="337"/>
      <c r="BA49" s="337"/>
      <c r="BB49" s="337"/>
      <c r="BC49" s="337"/>
      <c r="BD49" s="337"/>
      <c r="BE49" s="337"/>
      <c r="BF49" s="337"/>
      <c r="BG49" s="337"/>
      <c r="BH49" s="337"/>
      <c r="BI49" s="337"/>
      <c r="BJ49" s="337"/>
    </row>
    <row r="50" spans="1:62">
      <c r="A50" s="2616"/>
      <c r="B50" s="2304"/>
      <c r="C50" s="2304"/>
      <c r="D50" s="2616"/>
      <c r="E50" s="2304"/>
      <c r="F50" s="2304"/>
      <c r="G50" s="2616"/>
      <c r="H50" s="2304"/>
      <c r="I50" s="2304"/>
      <c r="J50" s="2617"/>
      <c r="K50" s="176" t="str">
        <f>IF(A50&lt;&gt;"",IFERROR(INDEX(PMtbl[[WKst]:[Unit of measure*]],MATCH($A$35&amp;$A50&amp;$D50&amp;$G50,INDEX(PMtbl[Sec]&amp;PMtbl[Category]&amp;PMtbl[INN]&amp;PMtbl[Specification],0,),0),8),""),"")</f>
        <v/>
      </c>
      <c r="L50" s="177" t="str">
        <f>IF(K50="", "",SETUP!$E$5)</f>
        <v/>
      </c>
      <c r="M50" s="794"/>
      <c r="N50" s="810"/>
      <c r="O50" s="810"/>
      <c r="P50" s="810"/>
      <c r="Q50" s="810"/>
      <c r="R50" s="403">
        <f>SUM('TB-Pharmaceuticals'!$N50:$Q50)</f>
        <v>0</v>
      </c>
      <c r="S50" s="799">
        <f>'TB-Pharmaceuticals'!$M50*'TB-Pharmaceuticals'!$R50</f>
        <v>0</v>
      </c>
      <c r="T50" s="794"/>
      <c r="U50" s="810"/>
      <c r="V50" s="810"/>
      <c r="W50" s="810"/>
      <c r="X50" s="810"/>
      <c r="Y50" s="403">
        <f>SUM('TB-Pharmaceuticals'!$U50:$X50)</f>
        <v>0</v>
      </c>
      <c r="Z50" s="805">
        <f>'TB-Pharmaceuticals'!$T50*'TB-Pharmaceuticals'!$Y50</f>
        <v>0</v>
      </c>
      <c r="AA50" s="794"/>
      <c r="AB50" s="810"/>
      <c r="AC50" s="810"/>
      <c r="AD50" s="810"/>
      <c r="AE50" s="810"/>
      <c r="AF50" s="403">
        <f>SUM('TB-Pharmaceuticals'!$AB50:$AE50)</f>
        <v>0</v>
      </c>
      <c r="AG50" s="805">
        <f>'TB-Pharmaceuticals'!$AA50*'TB-Pharmaceuticals'!$AF50</f>
        <v>0</v>
      </c>
      <c r="AH50" s="404">
        <f>'TB-Pharmaceuticals'!$R50+'TB-Pharmaceuticals'!$Y50+'TB-Pharmaceuticals'!$AF50</f>
        <v>0</v>
      </c>
      <c r="AI50" s="805">
        <f>'TB-Pharmaceuticals'!$S50+'TB-Pharmaceuticals'!$Z50+'TB-Pharmaceuticals'!$AG50</f>
        <v>0</v>
      </c>
      <c r="AJ50" s="423" t="str">
        <f>IF(A50&lt;&gt;"",IFERROR(INDEX(PMtbl[[WKst]:[Unit of measure*]],MATCH($A$35&amp;$A50&amp;$D50&amp;$G50,INDEX(PMtbl[Sec]&amp;PMtbl[Category]&amp;PMtbl[INN]&amp;PMtbl[Specification],0,),0),7),""),"")</f>
        <v/>
      </c>
      <c r="AK50" s="2058"/>
      <c r="AL50" s="397" t="str">
        <f>IFERROR(INDEX(SETUP!$C$19:$G$62,MATCH((INDEX(PMtbl[[WKst]:[Unit of measure*]],MATCH($A50&amp;$D50&amp;$G50,INDEX(PMtbl[Category]&amp;PMtbl[INN]&amp;PMtbl[Specification],0,),0),3)),SETUP!$D$19:$D$62,0),5),"")</f>
        <v/>
      </c>
      <c r="AM50" s="397" t="str">
        <f>IFERROR(IF((INDEX(SETUP!$C$19:$G$62,MATCH((INDEX(PMtbl[[WKst]:[Unit of measure*]],MATCH($A50&amp;$D50&amp;$G50,INDEX(PMtbl[Category]&amp;PMtbl[INN]&amp;PMtbl[Specification],0,),0),3)),SETUP!$D$19:$D$62,0),4))="Upfront",0,INDEX(SETUP!$C$19:$G$62,MATCH((INDEX(PMtbl[[WKst]:[Unit of measure*]],MATCH($A50&amp;$D50&amp;$G50,INDEX(PMtbl[Category]&amp;PMtbl[INN]&amp;PMtbl[Specification],0,),0),3)),SETUP!$D$19:$D$62,0),5)),"")</f>
        <v/>
      </c>
    </row>
    <row r="51" spans="1:62">
      <c r="A51" s="2610"/>
      <c r="B51" s="2611"/>
      <c r="C51" s="2612"/>
      <c r="D51" s="2610"/>
      <c r="E51" s="2611"/>
      <c r="F51" s="2612"/>
      <c r="G51" s="2610"/>
      <c r="H51" s="2611"/>
      <c r="I51" s="2611"/>
      <c r="J51" s="2612"/>
      <c r="K51" s="175" t="str">
        <f>IF(A51&lt;&gt;"",IFERROR(INDEX(PMtbl[[WKst]:[Unit of measure*]],MATCH($A$35&amp;$A51&amp;$D51&amp;$G51,INDEX(PMtbl[Sec]&amp;PMtbl[Category]&amp;PMtbl[INN]&amp;PMtbl[Specification],0,),0),8),""),"")</f>
        <v/>
      </c>
      <c r="L51" s="175" t="str">
        <f>IF(K51="", "",SETUP!$E$5)</f>
        <v/>
      </c>
      <c r="M51" s="813"/>
      <c r="N51" s="819"/>
      <c r="O51" s="819"/>
      <c r="P51" s="819"/>
      <c r="Q51" s="819"/>
      <c r="R51" s="424">
        <f>SUM('TB-Pharmaceuticals'!$N51:$Q51)</f>
        <v>0</v>
      </c>
      <c r="S51" s="815">
        <f>'TB-Pharmaceuticals'!$M51*'TB-Pharmaceuticals'!$R51</f>
        <v>0</v>
      </c>
      <c r="T51" s="813"/>
      <c r="U51" s="819"/>
      <c r="V51" s="819"/>
      <c r="W51" s="819"/>
      <c r="X51" s="819"/>
      <c r="Y51" s="424">
        <f>SUM('TB-Pharmaceuticals'!$U51:$X51)</f>
        <v>0</v>
      </c>
      <c r="Z51" s="817">
        <f>'TB-Pharmaceuticals'!$T51*'TB-Pharmaceuticals'!$Y51</f>
        <v>0</v>
      </c>
      <c r="AA51" s="813"/>
      <c r="AB51" s="819"/>
      <c r="AC51" s="819"/>
      <c r="AD51" s="819"/>
      <c r="AE51" s="819"/>
      <c r="AF51" s="424">
        <f>SUM('TB-Pharmaceuticals'!$AB51:$AE51)</f>
        <v>0</v>
      </c>
      <c r="AG51" s="817">
        <f>'TB-Pharmaceuticals'!$AA51*'TB-Pharmaceuticals'!$AF51</f>
        <v>0</v>
      </c>
      <c r="AH51" s="425">
        <f>'TB-Pharmaceuticals'!$R51+'TB-Pharmaceuticals'!$Y51+'TB-Pharmaceuticals'!$AF51</f>
        <v>0</v>
      </c>
      <c r="AI51" s="817">
        <f>'TB-Pharmaceuticals'!$S51+'TB-Pharmaceuticals'!$Z51+'TB-Pharmaceuticals'!$AG51</f>
        <v>0</v>
      </c>
      <c r="AJ51" s="426" t="str">
        <f>IF(A51&lt;&gt;"",IFERROR(INDEX(PMtbl[[WKst]:[Unit of measure*]],MATCH($A$35&amp;$A51&amp;$D51&amp;$G51,INDEX(PMtbl[Sec]&amp;PMtbl[Category]&amp;PMtbl[INN]&amp;PMtbl[Specification],0,),0),7),""),"")</f>
        <v/>
      </c>
      <c r="AK51" s="2059"/>
      <c r="AL51" s="401" t="str">
        <f>IFERROR(INDEX(SETUP!$C$19:$G$62,MATCH((INDEX(PMtbl[[WKst]:[Unit of measure*]],MATCH($A51&amp;$D51&amp;$G51,INDEX(PMtbl[Category]&amp;PMtbl[INN]&amp;PMtbl[Specification],0,),0),3)),SETUP!$D$19:$D$62,0),5),"")</f>
        <v/>
      </c>
      <c r="AM51" s="401" t="str">
        <f>IFERROR(IF((INDEX(SETUP!$C$19:$G$62,MATCH((INDEX(PMtbl[[WKst]:[Unit of measure*]],MATCH($A51&amp;$D51&amp;$G51,INDEX(PMtbl[Category]&amp;PMtbl[INN]&amp;PMtbl[Specification],0,),0),3)),SETUP!$D$19:$D$62,0),4))="Upfront",0,INDEX(SETUP!$C$19:$G$62,MATCH((INDEX(PMtbl[[WKst]:[Unit of measure*]],MATCH($A51&amp;$D51&amp;$G51,INDEX(PMtbl[Category]&amp;PMtbl[INN]&amp;PMtbl[Specification],0,),0),3)),SETUP!$D$19:$D$62,0),5)),"")</f>
        <v/>
      </c>
      <c r="AU51" s="8"/>
      <c r="AV51" s="8"/>
      <c r="AW51" s="8"/>
      <c r="AX51" s="8"/>
      <c r="AY51" s="8"/>
      <c r="AZ51" s="8"/>
      <c r="BA51" s="8"/>
      <c r="BB51" s="8"/>
      <c r="BC51" s="8"/>
      <c r="BD51" s="8"/>
      <c r="BE51" s="8"/>
      <c r="BF51" s="8"/>
      <c r="BG51" s="8"/>
      <c r="BH51" s="8"/>
      <c r="BI51" s="8"/>
      <c r="BJ51" s="8"/>
    </row>
    <row r="52" spans="1:62">
      <c r="A52" s="2616"/>
      <c r="B52" s="2304"/>
      <c r="C52" s="2304"/>
      <c r="D52" s="2616"/>
      <c r="E52" s="2304"/>
      <c r="F52" s="2304"/>
      <c r="G52" s="2616"/>
      <c r="H52" s="2304"/>
      <c r="I52" s="2304"/>
      <c r="J52" s="2617"/>
      <c r="K52" s="176" t="str">
        <f>IF(A52&lt;&gt;"",IFERROR(INDEX(PMtbl[[WKst]:[Unit of measure*]],MATCH($A$35&amp;$A52&amp;$D52&amp;$G52,INDEX(PMtbl[Sec]&amp;PMtbl[Category]&amp;PMtbl[INN]&amp;PMtbl[Specification],0,),0),8),""),"")</f>
        <v/>
      </c>
      <c r="L52" s="177" t="str">
        <f>IF(K52="", "",SETUP!$E$5)</f>
        <v/>
      </c>
      <c r="M52" s="794"/>
      <c r="N52" s="810"/>
      <c r="O52" s="810"/>
      <c r="P52" s="810"/>
      <c r="Q52" s="810"/>
      <c r="R52" s="403">
        <f>SUM('TB-Pharmaceuticals'!$N52:$Q52)</f>
        <v>0</v>
      </c>
      <c r="S52" s="799">
        <f>'TB-Pharmaceuticals'!$M52*'TB-Pharmaceuticals'!$R52</f>
        <v>0</v>
      </c>
      <c r="T52" s="794"/>
      <c r="U52" s="810"/>
      <c r="V52" s="810"/>
      <c r="W52" s="810"/>
      <c r="X52" s="810"/>
      <c r="Y52" s="403">
        <f>SUM('TB-Pharmaceuticals'!$U52:$X52)</f>
        <v>0</v>
      </c>
      <c r="Z52" s="805">
        <f>'TB-Pharmaceuticals'!$T52*'TB-Pharmaceuticals'!$Y52</f>
        <v>0</v>
      </c>
      <c r="AA52" s="794"/>
      <c r="AB52" s="810"/>
      <c r="AC52" s="810"/>
      <c r="AD52" s="810"/>
      <c r="AE52" s="810"/>
      <c r="AF52" s="403">
        <f>SUM('TB-Pharmaceuticals'!$AB52:$AE52)</f>
        <v>0</v>
      </c>
      <c r="AG52" s="805">
        <f>'TB-Pharmaceuticals'!$AA52*'TB-Pharmaceuticals'!$AF52</f>
        <v>0</v>
      </c>
      <c r="AH52" s="404">
        <f>'TB-Pharmaceuticals'!$R52+'TB-Pharmaceuticals'!$Y52+'TB-Pharmaceuticals'!$AF52</f>
        <v>0</v>
      </c>
      <c r="AI52" s="805">
        <f>'TB-Pharmaceuticals'!$S52+'TB-Pharmaceuticals'!$Z52+'TB-Pharmaceuticals'!$AG52</f>
        <v>0</v>
      </c>
      <c r="AJ52" s="423" t="str">
        <f>IF(A52&lt;&gt;"",IFERROR(INDEX(PMtbl[[WKst]:[Unit of measure*]],MATCH($A$35&amp;$A52&amp;$D52&amp;$G52,INDEX(PMtbl[Sec]&amp;PMtbl[Category]&amp;PMtbl[INN]&amp;PMtbl[Specification],0,),0),7),""),"")</f>
        <v/>
      </c>
      <c r="AK52" s="2058"/>
      <c r="AL52" s="402" t="str">
        <f>IFERROR(INDEX(SETUP!$C$19:$G$62,MATCH((INDEX(PMtbl[[WKst]:[Unit of measure*]],MATCH($A52&amp;$D52&amp;$G52,INDEX(PMtbl[Category]&amp;PMtbl[INN]&amp;PMtbl[Specification],0,),0),3)),SETUP!$D$19:$D$62,0),5),"")</f>
        <v/>
      </c>
      <c r="AM52" s="402" t="str">
        <f>IFERROR(IF((INDEX(SETUP!$C$19:$G$62,MATCH((INDEX(PMtbl[[WKst]:[Unit of measure*]],MATCH($A52&amp;$D52&amp;$G52,INDEX(PMtbl[Category]&amp;PMtbl[INN]&amp;PMtbl[Specification],0,),0),3)),SETUP!$D$19:$D$62,0),4))="Upfront",0,INDEX(SETUP!$C$19:$G$62,MATCH((INDEX(PMtbl[[WKst]:[Unit of measure*]],MATCH($A52&amp;$D52&amp;$G52,INDEX(PMtbl[Category]&amp;PMtbl[INN]&amp;PMtbl[Specification],0,),0),3)),SETUP!$D$19:$D$62,0),5)),"")</f>
        <v/>
      </c>
    </row>
    <row r="53" spans="1:62">
      <c r="A53" s="2610"/>
      <c r="B53" s="2611"/>
      <c r="C53" s="2611"/>
      <c r="D53" s="2610"/>
      <c r="E53" s="2618"/>
      <c r="F53" s="2618"/>
      <c r="G53" s="2610"/>
      <c r="H53" s="2618"/>
      <c r="I53" s="2618"/>
      <c r="J53" s="2612"/>
      <c r="K53" s="175" t="str">
        <f>IF(A53&lt;&gt;"",IFERROR(INDEX(PMtbl[[WKst]:[Unit of measure*]],MATCH($A$35&amp;$A53&amp;$D53&amp;$G53,INDEX(PMtbl[Sec]&amp;PMtbl[Category]&amp;PMtbl[INN]&amp;PMtbl[Specification],0,),0),8),""),"")</f>
        <v/>
      </c>
      <c r="L53" s="175" t="str">
        <f>IF(K53="", "",SETUP!$E$5)</f>
        <v/>
      </c>
      <c r="M53" s="813"/>
      <c r="N53" s="819"/>
      <c r="O53" s="819"/>
      <c r="P53" s="819"/>
      <c r="Q53" s="819"/>
      <c r="R53" s="424">
        <f>SUM('TB-Pharmaceuticals'!$N53:$Q53)</f>
        <v>0</v>
      </c>
      <c r="S53" s="815">
        <f>'TB-Pharmaceuticals'!$M53*'TB-Pharmaceuticals'!$R53</f>
        <v>0</v>
      </c>
      <c r="T53" s="813"/>
      <c r="U53" s="819"/>
      <c r="V53" s="819"/>
      <c r="W53" s="819"/>
      <c r="X53" s="819"/>
      <c r="Y53" s="424">
        <f>SUM('TB-Pharmaceuticals'!$U53:$X53)</f>
        <v>0</v>
      </c>
      <c r="Z53" s="817">
        <f>'TB-Pharmaceuticals'!$T53*'TB-Pharmaceuticals'!$Y53</f>
        <v>0</v>
      </c>
      <c r="AA53" s="813"/>
      <c r="AB53" s="819"/>
      <c r="AC53" s="819"/>
      <c r="AD53" s="819"/>
      <c r="AE53" s="819"/>
      <c r="AF53" s="424">
        <f>SUM('TB-Pharmaceuticals'!$AB53:$AE53)</f>
        <v>0</v>
      </c>
      <c r="AG53" s="817">
        <f>'TB-Pharmaceuticals'!$AA53*'TB-Pharmaceuticals'!$AF53</f>
        <v>0</v>
      </c>
      <c r="AH53" s="425">
        <f>'TB-Pharmaceuticals'!$R53+'TB-Pharmaceuticals'!$Y53+'TB-Pharmaceuticals'!$AF53</f>
        <v>0</v>
      </c>
      <c r="AI53" s="817">
        <f>'TB-Pharmaceuticals'!$S53+'TB-Pharmaceuticals'!$Z53+'TB-Pharmaceuticals'!$AG53</f>
        <v>0</v>
      </c>
      <c r="AJ53" s="426" t="str">
        <f>IF(A53&lt;&gt;"",IFERROR(INDEX(PMtbl[[WKst]:[Unit of measure*]],MATCH($A$35&amp;$A53&amp;$D53&amp;$G53,INDEX(PMtbl[Sec]&amp;PMtbl[Category]&amp;PMtbl[INN]&amp;PMtbl[Specification],0,),0),7),""),"")</f>
        <v/>
      </c>
      <c r="AK53" s="2059"/>
      <c r="AL53" s="401" t="str">
        <f>IFERROR(INDEX(SETUP!$C$19:$G$62,MATCH((INDEX(PMtbl[[WKst]:[Unit of measure*]],MATCH($A53&amp;$D53&amp;$G53,INDEX(PMtbl[Category]&amp;PMtbl[INN]&amp;PMtbl[Specification],0,),0),3)),SETUP!$D$19:$D$62,0),5),"")</f>
        <v/>
      </c>
      <c r="AM53" s="401" t="str">
        <f>IFERROR(IF((INDEX(SETUP!$C$19:$G$62,MATCH((INDEX(PMtbl[[WKst]:[Unit of measure*]],MATCH($A53&amp;$D53&amp;$G53,INDEX(PMtbl[Category]&amp;PMtbl[INN]&amp;PMtbl[Specification],0,),0),3)),SETUP!$D$19:$D$62,0),4))="Upfront",0,INDEX(SETUP!$C$19:$G$62,MATCH((INDEX(PMtbl[[WKst]:[Unit of measure*]],MATCH($A53&amp;$D53&amp;$G53,INDEX(PMtbl[Category]&amp;PMtbl[INN]&amp;PMtbl[Specification],0,),0),3)),SETUP!$D$19:$D$62,0),5)),"")</f>
        <v/>
      </c>
    </row>
    <row r="54" spans="1:62">
      <c r="A54" s="2616"/>
      <c r="B54" s="2304"/>
      <c r="C54" s="2304"/>
      <c r="D54" s="2616"/>
      <c r="E54" s="2304"/>
      <c r="F54" s="2304"/>
      <c r="G54" s="2616"/>
      <c r="H54" s="2304"/>
      <c r="I54" s="2304"/>
      <c r="J54" s="2617"/>
      <c r="K54" s="176" t="str">
        <f>IF(A54&lt;&gt;"",IFERROR(INDEX(PMtbl[[WKst]:[Unit of measure*]],MATCH($A$35&amp;$A54&amp;$D54&amp;$G54,INDEX(PMtbl[Sec]&amp;PMtbl[Category]&amp;PMtbl[INN]&amp;PMtbl[Specification],0,),0),8),""),"")</f>
        <v/>
      </c>
      <c r="L54" s="177" t="str">
        <f>IF(K54="", "",SETUP!$E$5)</f>
        <v/>
      </c>
      <c r="M54" s="794"/>
      <c r="N54" s="810"/>
      <c r="O54" s="810"/>
      <c r="P54" s="810"/>
      <c r="Q54" s="810"/>
      <c r="R54" s="403">
        <f>SUM('TB-Pharmaceuticals'!$N54:$Q54)</f>
        <v>0</v>
      </c>
      <c r="S54" s="799">
        <f>'TB-Pharmaceuticals'!$M54*'TB-Pharmaceuticals'!$R54</f>
        <v>0</v>
      </c>
      <c r="T54" s="794"/>
      <c r="U54" s="810"/>
      <c r="V54" s="810"/>
      <c r="W54" s="810"/>
      <c r="X54" s="810"/>
      <c r="Y54" s="403">
        <f>SUM('TB-Pharmaceuticals'!$U54:$X54)</f>
        <v>0</v>
      </c>
      <c r="Z54" s="805">
        <f>'TB-Pharmaceuticals'!$T54*'TB-Pharmaceuticals'!$Y54</f>
        <v>0</v>
      </c>
      <c r="AA54" s="794"/>
      <c r="AB54" s="810"/>
      <c r="AC54" s="810"/>
      <c r="AD54" s="810"/>
      <c r="AE54" s="810"/>
      <c r="AF54" s="403">
        <f>SUM('TB-Pharmaceuticals'!$AB54:$AE54)</f>
        <v>0</v>
      </c>
      <c r="AG54" s="805">
        <f>'TB-Pharmaceuticals'!$AA54*'TB-Pharmaceuticals'!$AF54</f>
        <v>0</v>
      </c>
      <c r="AH54" s="404">
        <f>'TB-Pharmaceuticals'!$R54+'TB-Pharmaceuticals'!$Y54+'TB-Pharmaceuticals'!$AF54</f>
        <v>0</v>
      </c>
      <c r="AI54" s="805">
        <f>'TB-Pharmaceuticals'!$S54+'TB-Pharmaceuticals'!$Z54+'TB-Pharmaceuticals'!$AG54</f>
        <v>0</v>
      </c>
      <c r="AJ54" s="423" t="str">
        <f>IF(A54&lt;&gt;"",IFERROR(INDEX(PMtbl[[WKst]:[Unit of measure*]],MATCH($A$35&amp;$A54&amp;$D54&amp;$G54,INDEX(PMtbl[Sec]&amp;PMtbl[Category]&amp;PMtbl[INN]&amp;PMtbl[Specification],0,),0),7),""),"")</f>
        <v/>
      </c>
      <c r="AK54" s="2058"/>
      <c r="AL54" s="402" t="str">
        <f>IFERROR(INDEX(SETUP!$C$19:$G$62,MATCH((INDEX(PMtbl[[WKst]:[Unit of measure*]],MATCH($A54&amp;$D54&amp;$G54,INDEX(PMtbl[Category]&amp;PMtbl[INN]&amp;PMtbl[Specification],0,),0),3)),SETUP!$D$19:$D$62,0),5),"")</f>
        <v/>
      </c>
      <c r="AM54" s="402" t="str">
        <f>IFERROR(IF((INDEX(SETUP!$C$19:$G$62,MATCH((INDEX(PMtbl[[WKst]:[Unit of measure*]],MATCH($A54&amp;$D54&amp;$G54,INDEX(PMtbl[Category]&amp;PMtbl[INN]&amp;PMtbl[Specification],0,),0),3)),SETUP!$D$19:$D$62,0),4))="Upfront",0,INDEX(SETUP!$C$19:$G$62,MATCH((INDEX(PMtbl[[WKst]:[Unit of measure*]],MATCH($A54&amp;$D54&amp;$G54,INDEX(PMtbl[Category]&amp;PMtbl[INN]&amp;PMtbl[Specification],0,),0),3)),SETUP!$D$19:$D$62,0),5)),"")</f>
        <v/>
      </c>
    </row>
    <row r="55" spans="1:62">
      <c r="A55" s="2610"/>
      <c r="B55" s="2611"/>
      <c r="C55" s="2611"/>
      <c r="D55" s="2610"/>
      <c r="E55" s="2618"/>
      <c r="F55" s="2618"/>
      <c r="G55" s="2610"/>
      <c r="H55" s="2618"/>
      <c r="I55" s="2618"/>
      <c r="J55" s="2612"/>
      <c r="K55" s="175" t="str">
        <f>IF(A55&lt;&gt;"",IFERROR(INDEX(PMtbl[[WKst]:[Unit of measure*]],MATCH($A$35&amp;$A55&amp;$D55&amp;$G55,INDEX(PMtbl[Sec]&amp;PMtbl[Category]&amp;PMtbl[INN]&amp;PMtbl[Specification],0,),0),8),""),"")</f>
        <v/>
      </c>
      <c r="L55" s="175" t="str">
        <f>IF(K55="", "",SETUP!$E$5)</f>
        <v/>
      </c>
      <c r="M55" s="813"/>
      <c r="N55" s="819"/>
      <c r="O55" s="819"/>
      <c r="P55" s="819"/>
      <c r="Q55" s="819"/>
      <c r="R55" s="424">
        <f>SUM('TB-Pharmaceuticals'!$N55:$Q55)</f>
        <v>0</v>
      </c>
      <c r="S55" s="815">
        <f>'TB-Pharmaceuticals'!$M55*'TB-Pharmaceuticals'!$R55</f>
        <v>0</v>
      </c>
      <c r="T55" s="813"/>
      <c r="U55" s="819"/>
      <c r="V55" s="819"/>
      <c r="W55" s="819"/>
      <c r="X55" s="819"/>
      <c r="Y55" s="424">
        <f>SUM('TB-Pharmaceuticals'!$U55:$X55)</f>
        <v>0</v>
      </c>
      <c r="Z55" s="817">
        <f>'TB-Pharmaceuticals'!$T55*'TB-Pharmaceuticals'!$Y55</f>
        <v>0</v>
      </c>
      <c r="AA55" s="813"/>
      <c r="AB55" s="819"/>
      <c r="AC55" s="819"/>
      <c r="AD55" s="819"/>
      <c r="AE55" s="819"/>
      <c r="AF55" s="424">
        <f>SUM('TB-Pharmaceuticals'!$AB55:$AE55)</f>
        <v>0</v>
      </c>
      <c r="AG55" s="817">
        <f>'TB-Pharmaceuticals'!$AA55*'TB-Pharmaceuticals'!$AF55</f>
        <v>0</v>
      </c>
      <c r="AH55" s="425">
        <f>'TB-Pharmaceuticals'!$R55+'TB-Pharmaceuticals'!$Y55+'TB-Pharmaceuticals'!$AF55</f>
        <v>0</v>
      </c>
      <c r="AI55" s="817">
        <f>'TB-Pharmaceuticals'!$S55+'TB-Pharmaceuticals'!$Z55+'TB-Pharmaceuticals'!$AG55</f>
        <v>0</v>
      </c>
      <c r="AJ55" s="426" t="str">
        <f>IF(A55&lt;&gt;"",IFERROR(INDEX(PMtbl[[WKst]:[Unit of measure*]],MATCH($A$35&amp;$A55&amp;$D55&amp;$G55,INDEX(PMtbl[Sec]&amp;PMtbl[Category]&amp;PMtbl[INN]&amp;PMtbl[Specification],0,),0),7),""),"")</f>
        <v/>
      </c>
      <c r="AK55" s="2059"/>
      <c r="AL55" s="401" t="str">
        <f>IFERROR(INDEX(SETUP!$C$19:$G$62,MATCH((INDEX(PMtbl[[WKst]:[Unit of measure*]],MATCH($A55&amp;$D55&amp;$G55,INDEX(PMtbl[Category]&amp;PMtbl[INN]&amp;PMtbl[Specification],0,),0),3)),SETUP!$D$19:$D$62,0),5),"")</f>
        <v/>
      </c>
      <c r="AM55" s="401" t="str">
        <f>IFERROR(IF((INDEX(SETUP!$C$19:$G$62,MATCH((INDEX(PMtbl[[WKst]:[Unit of measure*]],MATCH($A55&amp;$D55&amp;$G55,INDEX(PMtbl[Category]&amp;PMtbl[INN]&amp;PMtbl[Specification],0,),0),3)),SETUP!$D$19:$D$62,0),4))="Upfront",0,INDEX(SETUP!$C$19:$G$62,MATCH((INDEX(PMtbl[[WKst]:[Unit of measure*]],MATCH($A55&amp;$D55&amp;$G55,INDEX(PMtbl[Category]&amp;PMtbl[INN]&amp;PMtbl[Specification],0,),0),3)),SETUP!$D$19:$D$62,0),5)),"")</f>
        <v/>
      </c>
    </row>
    <row r="56" spans="1:62">
      <c r="A56" s="2616"/>
      <c r="B56" s="2304"/>
      <c r="C56" s="2304"/>
      <c r="D56" s="2616"/>
      <c r="E56" s="2304"/>
      <c r="F56" s="2304"/>
      <c r="G56" s="2616"/>
      <c r="H56" s="2304"/>
      <c r="I56" s="2304"/>
      <c r="J56" s="2617"/>
      <c r="K56" s="176" t="str">
        <f>IF(A56&lt;&gt;"",IFERROR(INDEX(PMtbl[[WKst]:[Unit of measure*]],MATCH($A$35&amp;$A56&amp;$D56&amp;$G56,INDEX(PMtbl[Sec]&amp;PMtbl[Category]&amp;PMtbl[INN]&amp;PMtbl[Specification],0,),0),8),""),"")</f>
        <v/>
      </c>
      <c r="L56" s="177" t="str">
        <f>IF(K56="", "",SETUP!$E$5)</f>
        <v/>
      </c>
      <c r="M56" s="794"/>
      <c r="N56" s="810"/>
      <c r="O56" s="810"/>
      <c r="P56" s="810"/>
      <c r="Q56" s="810"/>
      <c r="R56" s="403">
        <f>SUM('TB-Pharmaceuticals'!$N56:$Q56)</f>
        <v>0</v>
      </c>
      <c r="S56" s="799">
        <f>'TB-Pharmaceuticals'!$M56*'TB-Pharmaceuticals'!$R56</f>
        <v>0</v>
      </c>
      <c r="T56" s="794"/>
      <c r="U56" s="810"/>
      <c r="V56" s="810"/>
      <c r="W56" s="810"/>
      <c r="X56" s="810"/>
      <c r="Y56" s="403">
        <f>SUM('TB-Pharmaceuticals'!$U56:$X56)</f>
        <v>0</v>
      </c>
      <c r="Z56" s="805">
        <f>'TB-Pharmaceuticals'!$T56*'TB-Pharmaceuticals'!$Y56</f>
        <v>0</v>
      </c>
      <c r="AA56" s="794"/>
      <c r="AB56" s="810"/>
      <c r="AC56" s="810"/>
      <c r="AD56" s="810"/>
      <c r="AE56" s="810"/>
      <c r="AF56" s="403">
        <f>SUM('TB-Pharmaceuticals'!$AB56:$AE56)</f>
        <v>0</v>
      </c>
      <c r="AG56" s="805">
        <f>'TB-Pharmaceuticals'!$AA56*'TB-Pharmaceuticals'!$AF56</f>
        <v>0</v>
      </c>
      <c r="AH56" s="404">
        <f>'TB-Pharmaceuticals'!$R56+'TB-Pharmaceuticals'!$Y56+'TB-Pharmaceuticals'!$AF56</f>
        <v>0</v>
      </c>
      <c r="AI56" s="805">
        <f>'TB-Pharmaceuticals'!$S56+'TB-Pharmaceuticals'!$Z56+'TB-Pharmaceuticals'!$AG56</f>
        <v>0</v>
      </c>
      <c r="AJ56" s="423" t="str">
        <f>IF(A56&lt;&gt;"",IFERROR(INDEX(PMtbl[[WKst]:[Unit of measure*]],MATCH($A$35&amp;$A56&amp;$D56&amp;$G56,INDEX(PMtbl[Sec]&amp;PMtbl[Category]&amp;PMtbl[INN]&amp;PMtbl[Specification],0,),0),7),""),"")</f>
        <v/>
      </c>
      <c r="AK56" s="2058"/>
      <c r="AL56" s="402" t="str">
        <f>IFERROR(INDEX(SETUP!$C$19:$G$62,MATCH((INDEX(PMtbl[[WKst]:[Unit of measure*]],MATCH($A56&amp;$D56&amp;$G56,INDEX(PMtbl[Category]&amp;PMtbl[INN]&amp;PMtbl[Specification],0,),0),3)),SETUP!$D$19:$D$62,0),5),"")</f>
        <v/>
      </c>
      <c r="AM56" s="402" t="str">
        <f>IFERROR(IF((INDEX(SETUP!$C$19:$G$62,MATCH((INDEX(PMtbl[[WKst]:[Unit of measure*]],MATCH($A56&amp;$D56&amp;$G56,INDEX(PMtbl[Category]&amp;PMtbl[INN]&amp;PMtbl[Specification],0,),0),3)),SETUP!$D$19:$D$62,0),4))="Upfront",0,INDEX(SETUP!$C$19:$G$62,MATCH((INDEX(PMtbl[[WKst]:[Unit of measure*]],MATCH($A56&amp;$D56&amp;$G56,INDEX(PMtbl[Category]&amp;PMtbl[INN]&amp;PMtbl[Specification],0,),0),3)),SETUP!$D$19:$D$62,0),5)),"")</f>
        <v/>
      </c>
    </row>
    <row r="57" spans="1:62">
      <c r="A57" s="2610"/>
      <c r="B57" s="2611"/>
      <c r="C57" s="2611"/>
      <c r="D57" s="2610"/>
      <c r="E57" s="2618"/>
      <c r="F57" s="2618"/>
      <c r="G57" s="2610"/>
      <c r="H57" s="2618"/>
      <c r="I57" s="2618"/>
      <c r="J57" s="2612"/>
      <c r="K57" s="175" t="str">
        <f>IF(A57&lt;&gt;"",IFERROR(INDEX(PMtbl[[WKst]:[Unit of measure*]],MATCH($A$35&amp;$A57&amp;$D57&amp;$G57,INDEX(PMtbl[Sec]&amp;PMtbl[Category]&amp;PMtbl[INN]&amp;PMtbl[Specification],0,),0),8),""),"")</f>
        <v/>
      </c>
      <c r="L57" s="175" t="str">
        <f>IF(K57="", "",SETUP!$E$5)</f>
        <v/>
      </c>
      <c r="M57" s="813"/>
      <c r="N57" s="819"/>
      <c r="O57" s="819"/>
      <c r="P57" s="819"/>
      <c r="Q57" s="819"/>
      <c r="R57" s="424">
        <f>SUM('TB-Pharmaceuticals'!$N57:$Q57)</f>
        <v>0</v>
      </c>
      <c r="S57" s="815">
        <f>'TB-Pharmaceuticals'!$M57*'TB-Pharmaceuticals'!$R57</f>
        <v>0</v>
      </c>
      <c r="T57" s="813"/>
      <c r="U57" s="819"/>
      <c r="V57" s="819"/>
      <c r="W57" s="819"/>
      <c r="X57" s="819"/>
      <c r="Y57" s="424">
        <f>SUM('TB-Pharmaceuticals'!$U57:$X57)</f>
        <v>0</v>
      </c>
      <c r="Z57" s="817">
        <f>'TB-Pharmaceuticals'!$T57*'TB-Pharmaceuticals'!$Y57</f>
        <v>0</v>
      </c>
      <c r="AA57" s="813"/>
      <c r="AB57" s="819"/>
      <c r="AC57" s="819"/>
      <c r="AD57" s="819"/>
      <c r="AE57" s="819"/>
      <c r="AF57" s="424">
        <f>SUM('TB-Pharmaceuticals'!$AB57:$AE57)</f>
        <v>0</v>
      </c>
      <c r="AG57" s="817">
        <f>'TB-Pharmaceuticals'!$AA57*'TB-Pharmaceuticals'!$AF57</f>
        <v>0</v>
      </c>
      <c r="AH57" s="425">
        <f>'TB-Pharmaceuticals'!$R57+'TB-Pharmaceuticals'!$Y57+'TB-Pharmaceuticals'!$AF57</f>
        <v>0</v>
      </c>
      <c r="AI57" s="817">
        <f>'TB-Pharmaceuticals'!$S57+'TB-Pharmaceuticals'!$Z57+'TB-Pharmaceuticals'!$AG57</f>
        <v>0</v>
      </c>
      <c r="AJ57" s="426" t="str">
        <f>IF(A57&lt;&gt;"",IFERROR(INDEX(PMtbl[[WKst]:[Unit of measure*]],MATCH($A$35&amp;$A57&amp;$D57&amp;$G57,INDEX(PMtbl[Sec]&amp;PMtbl[Category]&amp;PMtbl[INN]&amp;PMtbl[Specification],0,),0),7),""),"")</f>
        <v/>
      </c>
      <c r="AK57" s="2059"/>
      <c r="AL57" s="401" t="str">
        <f>IFERROR(INDEX(SETUP!$C$19:$G$62,MATCH((INDEX(PMtbl[[WKst]:[Unit of measure*]],MATCH($A57&amp;$D57&amp;$G57,INDEX(PMtbl[Category]&amp;PMtbl[INN]&amp;PMtbl[Specification],0,),0),3)),SETUP!$D$19:$D$62,0),5),"")</f>
        <v/>
      </c>
      <c r="AM57" s="401" t="str">
        <f>IFERROR(IF((INDEX(SETUP!$C$19:$G$62,MATCH((INDEX(PMtbl[[WKst]:[Unit of measure*]],MATCH($A57&amp;$D57&amp;$G57,INDEX(PMtbl[Category]&amp;PMtbl[INN]&amp;PMtbl[Specification],0,),0),3)),SETUP!$D$19:$D$62,0),4))="Upfront",0,INDEX(SETUP!$C$19:$G$62,MATCH((INDEX(PMtbl[[WKst]:[Unit of measure*]],MATCH($A57&amp;$D57&amp;$G57,INDEX(PMtbl[Category]&amp;PMtbl[INN]&amp;PMtbl[Specification],0,),0),3)),SETUP!$D$19:$D$62,0),5)),"")</f>
        <v/>
      </c>
    </row>
    <row r="58" spans="1:62">
      <c r="A58" s="2616"/>
      <c r="B58" s="2304"/>
      <c r="C58" s="2304"/>
      <c r="D58" s="2616"/>
      <c r="E58" s="2304"/>
      <c r="F58" s="2304"/>
      <c r="G58" s="2616"/>
      <c r="H58" s="2304"/>
      <c r="I58" s="2304"/>
      <c r="J58" s="2617"/>
      <c r="K58" s="176" t="str">
        <f>IF(A58&lt;&gt;"",IFERROR(INDEX(PMtbl[[WKst]:[Unit of measure*]],MATCH($A$35&amp;$A58&amp;$D58&amp;$G58,INDEX(PMtbl[Sec]&amp;PMtbl[Category]&amp;PMtbl[INN]&amp;PMtbl[Specification],0,),0),8),""),"")</f>
        <v/>
      </c>
      <c r="L58" s="177" t="str">
        <f>IF(K58="", "",SETUP!$E$5)</f>
        <v/>
      </c>
      <c r="M58" s="794"/>
      <c r="N58" s="810"/>
      <c r="O58" s="810"/>
      <c r="P58" s="810"/>
      <c r="Q58" s="810"/>
      <c r="R58" s="403">
        <f>SUM('TB-Pharmaceuticals'!$N58:$Q58)</f>
        <v>0</v>
      </c>
      <c r="S58" s="799">
        <f>'TB-Pharmaceuticals'!$M58*'TB-Pharmaceuticals'!$R58</f>
        <v>0</v>
      </c>
      <c r="T58" s="794"/>
      <c r="U58" s="810"/>
      <c r="V58" s="810"/>
      <c r="W58" s="810"/>
      <c r="X58" s="810"/>
      <c r="Y58" s="403">
        <f>SUM('TB-Pharmaceuticals'!$U58:$X58)</f>
        <v>0</v>
      </c>
      <c r="Z58" s="805">
        <f>'TB-Pharmaceuticals'!$T58*'TB-Pharmaceuticals'!$Y58</f>
        <v>0</v>
      </c>
      <c r="AA58" s="794"/>
      <c r="AB58" s="810"/>
      <c r="AC58" s="810"/>
      <c r="AD58" s="810"/>
      <c r="AE58" s="810"/>
      <c r="AF58" s="403">
        <f>SUM('TB-Pharmaceuticals'!$AB58:$AE58)</f>
        <v>0</v>
      </c>
      <c r="AG58" s="805">
        <f>'TB-Pharmaceuticals'!$AA58*'TB-Pharmaceuticals'!$AF58</f>
        <v>0</v>
      </c>
      <c r="AH58" s="404">
        <f>'TB-Pharmaceuticals'!$R58+'TB-Pharmaceuticals'!$Y58+'TB-Pharmaceuticals'!$AF58</f>
        <v>0</v>
      </c>
      <c r="AI58" s="805">
        <f>'TB-Pharmaceuticals'!$S58+'TB-Pharmaceuticals'!$Z58+'TB-Pharmaceuticals'!$AG58</f>
        <v>0</v>
      </c>
      <c r="AJ58" s="423" t="str">
        <f>IF(A58&lt;&gt;"",IFERROR(INDEX(PMtbl[[WKst]:[Unit of measure*]],MATCH($A$35&amp;$A58&amp;$D58&amp;$G58,INDEX(PMtbl[Sec]&amp;PMtbl[Category]&amp;PMtbl[INN]&amp;PMtbl[Specification],0,),0),7),""),"")</f>
        <v/>
      </c>
      <c r="AK58" s="2058"/>
      <c r="AL58" s="402" t="str">
        <f>IFERROR(INDEX(SETUP!$C$19:$G$62,MATCH((INDEX(PMtbl[[WKst]:[Unit of measure*]],MATCH($A58&amp;$D58&amp;$G58,INDEX(PMtbl[Category]&amp;PMtbl[INN]&amp;PMtbl[Specification],0,),0),3)),SETUP!$D$19:$D$62,0),5),"")</f>
        <v/>
      </c>
      <c r="AM58" s="402" t="str">
        <f>IFERROR(IF((INDEX(SETUP!$C$19:$G$62,MATCH((INDEX(PMtbl[[WKst]:[Unit of measure*]],MATCH($A58&amp;$D58&amp;$G58,INDEX(PMtbl[Category]&amp;PMtbl[INN]&amp;PMtbl[Specification],0,),0),3)),SETUP!$D$19:$D$62,0),4))="Upfront",0,INDEX(SETUP!$C$19:$G$62,MATCH((INDEX(PMtbl[[WKst]:[Unit of measure*]],MATCH($A58&amp;$D58&amp;$G58,INDEX(PMtbl[Category]&amp;PMtbl[INN]&amp;PMtbl[Specification],0,),0),3)),SETUP!$D$19:$D$62,0),5)),"")</f>
        <v/>
      </c>
    </row>
    <row r="59" spans="1:62">
      <c r="A59" s="2610"/>
      <c r="B59" s="2611"/>
      <c r="C59" s="2611"/>
      <c r="D59" s="2610"/>
      <c r="E59" s="2618"/>
      <c r="F59" s="2618"/>
      <c r="G59" s="2610"/>
      <c r="H59" s="2618"/>
      <c r="I59" s="2618"/>
      <c r="J59" s="2612"/>
      <c r="K59" s="175" t="str">
        <f>IF(A59&lt;&gt;"",IFERROR(INDEX(PMtbl[[WKst]:[Unit of measure*]],MATCH($A$35&amp;$A59&amp;$D59&amp;$G59,INDEX(PMtbl[Sec]&amp;PMtbl[Category]&amp;PMtbl[INN]&amp;PMtbl[Specification],0,),0),8),""),"")</f>
        <v/>
      </c>
      <c r="L59" s="175" t="str">
        <f>IF(K59="", "",SETUP!$E$5)</f>
        <v/>
      </c>
      <c r="M59" s="813"/>
      <c r="N59" s="819"/>
      <c r="O59" s="819"/>
      <c r="P59" s="819"/>
      <c r="Q59" s="819"/>
      <c r="R59" s="424">
        <f>SUM('TB-Pharmaceuticals'!$N59:$Q59)</f>
        <v>0</v>
      </c>
      <c r="S59" s="815">
        <f>'TB-Pharmaceuticals'!$M59*'TB-Pharmaceuticals'!$R59</f>
        <v>0</v>
      </c>
      <c r="T59" s="813"/>
      <c r="U59" s="819"/>
      <c r="V59" s="819"/>
      <c r="W59" s="819"/>
      <c r="X59" s="819"/>
      <c r="Y59" s="424">
        <f>SUM('TB-Pharmaceuticals'!$U59:$X59)</f>
        <v>0</v>
      </c>
      <c r="Z59" s="817">
        <f>'TB-Pharmaceuticals'!$T59*'TB-Pharmaceuticals'!$Y59</f>
        <v>0</v>
      </c>
      <c r="AA59" s="813"/>
      <c r="AB59" s="819"/>
      <c r="AC59" s="819"/>
      <c r="AD59" s="819"/>
      <c r="AE59" s="819"/>
      <c r="AF59" s="424">
        <f>SUM('TB-Pharmaceuticals'!$AB59:$AE59)</f>
        <v>0</v>
      </c>
      <c r="AG59" s="817">
        <f>'TB-Pharmaceuticals'!$AA59*'TB-Pharmaceuticals'!$AF59</f>
        <v>0</v>
      </c>
      <c r="AH59" s="425">
        <f>'TB-Pharmaceuticals'!$R59+'TB-Pharmaceuticals'!$Y59+'TB-Pharmaceuticals'!$AF59</f>
        <v>0</v>
      </c>
      <c r="AI59" s="817">
        <f>'TB-Pharmaceuticals'!$S59+'TB-Pharmaceuticals'!$Z59+'TB-Pharmaceuticals'!$AG59</f>
        <v>0</v>
      </c>
      <c r="AJ59" s="426" t="str">
        <f>IF(A59&lt;&gt;"",IFERROR(INDEX(PMtbl[[WKst]:[Unit of measure*]],MATCH($A$35&amp;$A59&amp;$D59&amp;$G59,INDEX(PMtbl[Sec]&amp;PMtbl[Category]&amp;PMtbl[INN]&amp;PMtbl[Specification],0,),0),7),""),"")</f>
        <v/>
      </c>
      <c r="AK59" s="2059"/>
      <c r="AL59" s="401" t="str">
        <f>IFERROR(INDEX(SETUP!$C$19:$G$62,MATCH((INDEX(PMtbl[[WKst]:[Unit of measure*]],MATCH($A59&amp;$D59&amp;$G59,INDEX(PMtbl[Category]&amp;PMtbl[INN]&amp;PMtbl[Specification],0,),0),3)),SETUP!$D$19:$D$62,0),5),"")</f>
        <v/>
      </c>
      <c r="AM59" s="401" t="str">
        <f>IFERROR(IF((INDEX(SETUP!$C$19:$G$62,MATCH((INDEX(PMtbl[[WKst]:[Unit of measure*]],MATCH($A59&amp;$D59&amp;$G59,INDEX(PMtbl[Category]&amp;PMtbl[INN]&amp;PMtbl[Specification],0,),0),3)),SETUP!$D$19:$D$62,0),4))="Upfront",0,INDEX(SETUP!$C$19:$G$62,MATCH((INDEX(PMtbl[[WKst]:[Unit of measure*]],MATCH($A59&amp;$D59&amp;$G59,INDEX(PMtbl[Category]&amp;PMtbl[INN]&amp;PMtbl[Specification],0,),0),3)),SETUP!$D$19:$D$62,0),5)),"")</f>
        <v/>
      </c>
    </row>
    <row r="60" spans="1:62">
      <c r="A60" s="2616"/>
      <c r="B60" s="2304"/>
      <c r="C60" s="2304"/>
      <c r="D60" s="2616"/>
      <c r="E60" s="2304"/>
      <c r="F60" s="2304"/>
      <c r="G60" s="2616"/>
      <c r="H60" s="2304"/>
      <c r="I60" s="2304"/>
      <c r="J60" s="2617"/>
      <c r="K60" s="176" t="str">
        <f>IF(A60&lt;&gt;"",IFERROR(INDEX(PMtbl[[WKst]:[Unit of measure*]],MATCH($A$35&amp;$A60&amp;$D60&amp;$G60,INDEX(PMtbl[Sec]&amp;PMtbl[Category]&amp;PMtbl[INN]&amp;PMtbl[Specification],0,),0),8),""),"")</f>
        <v/>
      </c>
      <c r="L60" s="177" t="str">
        <f>IF(K60="", "",SETUP!$E$5)</f>
        <v/>
      </c>
      <c r="M60" s="794"/>
      <c r="N60" s="810"/>
      <c r="O60" s="810"/>
      <c r="P60" s="810"/>
      <c r="Q60" s="810"/>
      <c r="R60" s="403">
        <f>SUM('TB-Pharmaceuticals'!$N60:$Q60)</f>
        <v>0</v>
      </c>
      <c r="S60" s="799">
        <f>'TB-Pharmaceuticals'!$M60*'TB-Pharmaceuticals'!$R60</f>
        <v>0</v>
      </c>
      <c r="T60" s="794"/>
      <c r="U60" s="810"/>
      <c r="V60" s="810"/>
      <c r="W60" s="810"/>
      <c r="X60" s="810"/>
      <c r="Y60" s="403">
        <f>SUM('TB-Pharmaceuticals'!$U60:$X60)</f>
        <v>0</v>
      </c>
      <c r="Z60" s="805">
        <f>'TB-Pharmaceuticals'!$T60*'TB-Pharmaceuticals'!$Y60</f>
        <v>0</v>
      </c>
      <c r="AA60" s="794"/>
      <c r="AB60" s="810"/>
      <c r="AC60" s="810"/>
      <c r="AD60" s="810"/>
      <c r="AE60" s="810"/>
      <c r="AF60" s="403">
        <f>SUM('TB-Pharmaceuticals'!$AB60:$AE60)</f>
        <v>0</v>
      </c>
      <c r="AG60" s="805">
        <f>'TB-Pharmaceuticals'!$AA60*'TB-Pharmaceuticals'!$AF60</f>
        <v>0</v>
      </c>
      <c r="AH60" s="404">
        <f>'TB-Pharmaceuticals'!$R60+'TB-Pharmaceuticals'!$Y60+'TB-Pharmaceuticals'!$AF60</f>
        <v>0</v>
      </c>
      <c r="AI60" s="805">
        <f>'TB-Pharmaceuticals'!$S60+'TB-Pharmaceuticals'!$Z60+'TB-Pharmaceuticals'!$AG60</f>
        <v>0</v>
      </c>
      <c r="AJ60" s="423" t="str">
        <f>IF(A60&lt;&gt;"",IFERROR(INDEX(PMtbl[[WKst]:[Unit of measure*]],MATCH($A$35&amp;$A60&amp;$D60&amp;$G60,INDEX(PMtbl[Sec]&amp;PMtbl[Category]&amp;PMtbl[INN]&amp;PMtbl[Specification],0,),0),7),""),"")</f>
        <v/>
      </c>
      <c r="AK60" s="2058"/>
      <c r="AL60" s="402" t="str">
        <f>IFERROR(INDEX(SETUP!$C$19:$G$62,MATCH((INDEX(PMtbl[[WKst]:[Unit of measure*]],MATCH($A60&amp;$D60&amp;$G60,INDEX(PMtbl[Category]&amp;PMtbl[INN]&amp;PMtbl[Specification],0,),0),3)),SETUP!$D$19:$D$62,0),5),"")</f>
        <v/>
      </c>
      <c r="AM60" s="402" t="str">
        <f>IFERROR(IF((INDEX(SETUP!$C$19:$G$62,MATCH((INDEX(PMtbl[[WKst]:[Unit of measure*]],MATCH($A60&amp;$D60&amp;$G60,INDEX(PMtbl[Category]&amp;PMtbl[INN]&amp;PMtbl[Specification],0,),0),3)),SETUP!$D$19:$D$62,0),4))="Upfront",0,INDEX(SETUP!$C$19:$G$62,MATCH((INDEX(PMtbl[[WKst]:[Unit of measure*]],MATCH($A60&amp;$D60&amp;$G60,INDEX(PMtbl[Category]&amp;PMtbl[INN]&amp;PMtbl[Specification],0,),0),3)),SETUP!$D$19:$D$62,0),5)),"")</f>
        <v/>
      </c>
    </row>
    <row r="61" spans="1:62">
      <c r="A61" s="2610"/>
      <c r="B61" s="2611"/>
      <c r="C61" s="2611"/>
      <c r="D61" s="2610"/>
      <c r="E61" s="2618"/>
      <c r="F61" s="2618"/>
      <c r="G61" s="2610"/>
      <c r="H61" s="2618"/>
      <c r="I61" s="2618"/>
      <c r="J61" s="2612"/>
      <c r="K61" s="175" t="str">
        <f>IF(A61&lt;&gt;"",IFERROR(INDEX(PMtbl[[WKst]:[Unit of measure*]],MATCH($A$35&amp;$A61&amp;$D61&amp;$G61,INDEX(PMtbl[Sec]&amp;PMtbl[Category]&amp;PMtbl[INN]&amp;PMtbl[Specification],0,),0),8),""),"")</f>
        <v/>
      </c>
      <c r="L61" s="175" t="str">
        <f>IF(K61="", "",SETUP!$E$5)</f>
        <v/>
      </c>
      <c r="M61" s="813"/>
      <c r="N61" s="819"/>
      <c r="O61" s="819"/>
      <c r="P61" s="819"/>
      <c r="Q61" s="819"/>
      <c r="R61" s="424">
        <f>SUM('TB-Pharmaceuticals'!$N61:$Q61)</f>
        <v>0</v>
      </c>
      <c r="S61" s="815">
        <f>'TB-Pharmaceuticals'!$M61*'TB-Pharmaceuticals'!$R61</f>
        <v>0</v>
      </c>
      <c r="T61" s="813"/>
      <c r="U61" s="819"/>
      <c r="V61" s="819"/>
      <c r="W61" s="819"/>
      <c r="X61" s="819"/>
      <c r="Y61" s="424">
        <f>SUM('TB-Pharmaceuticals'!$U61:$X61)</f>
        <v>0</v>
      </c>
      <c r="Z61" s="817">
        <f>'TB-Pharmaceuticals'!$T61*'TB-Pharmaceuticals'!$Y61</f>
        <v>0</v>
      </c>
      <c r="AA61" s="813"/>
      <c r="AB61" s="819"/>
      <c r="AC61" s="819"/>
      <c r="AD61" s="819"/>
      <c r="AE61" s="819"/>
      <c r="AF61" s="424">
        <f>SUM('TB-Pharmaceuticals'!$AB61:$AE61)</f>
        <v>0</v>
      </c>
      <c r="AG61" s="817">
        <f>'TB-Pharmaceuticals'!$AA61*'TB-Pharmaceuticals'!$AF61</f>
        <v>0</v>
      </c>
      <c r="AH61" s="425">
        <f>'TB-Pharmaceuticals'!$R61+'TB-Pharmaceuticals'!$Y61+'TB-Pharmaceuticals'!$AF61</f>
        <v>0</v>
      </c>
      <c r="AI61" s="817">
        <f>'TB-Pharmaceuticals'!$S61+'TB-Pharmaceuticals'!$Z61+'TB-Pharmaceuticals'!$AG61</f>
        <v>0</v>
      </c>
      <c r="AJ61" s="426" t="str">
        <f>IF(A61&lt;&gt;"",IFERROR(INDEX(PMtbl[[WKst]:[Unit of measure*]],MATCH($A$35&amp;$A61&amp;$D61&amp;$G61,INDEX(PMtbl[Sec]&amp;PMtbl[Category]&amp;PMtbl[INN]&amp;PMtbl[Specification],0,),0),7),""),"")</f>
        <v/>
      </c>
      <c r="AK61" s="2059"/>
      <c r="AL61" s="401" t="str">
        <f>IFERROR(INDEX(SETUP!$C$19:$G$62,MATCH((INDEX(PMtbl[[WKst]:[Unit of measure*]],MATCH($A61&amp;$D61&amp;$G61,INDEX(PMtbl[Category]&amp;PMtbl[INN]&amp;PMtbl[Specification],0,),0),3)),SETUP!$D$19:$D$62,0),5),"")</f>
        <v/>
      </c>
      <c r="AM61" s="401" t="str">
        <f>IFERROR(IF((INDEX(SETUP!$C$19:$G$62,MATCH((INDEX(PMtbl[[WKst]:[Unit of measure*]],MATCH($A61&amp;$D61&amp;$G61,INDEX(PMtbl[Category]&amp;PMtbl[INN]&amp;PMtbl[Specification],0,),0),3)),SETUP!$D$19:$D$62,0),4))="Upfront",0,INDEX(SETUP!$C$19:$G$62,MATCH((INDEX(PMtbl[[WKst]:[Unit of measure*]],MATCH($A61&amp;$D61&amp;$G61,INDEX(PMtbl[Category]&amp;PMtbl[INN]&amp;PMtbl[Specification],0,),0),3)),SETUP!$D$19:$D$62,0),5)),"")</f>
        <v/>
      </c>
    </row>
    <row r="62" spans="1:62">
      <c r="A62" s="2616"/>
      <c r="B62" s="2304"/>
      <c r="C62" s="2304"/>
      <c r="D62" s="2616"/>
      <c r="E62" s="2304"/>
      <c r="F62" s="2304"/>
      <c r="G62" s="2616"/>
      <c r="H62" s="2304"/>
      <c r="I62" s="2304"/>
      <c r="J62" s="2617"/>
      <c r="K62" s="176" t="str">
        <f>IF(A62&lt;&gt;"",IFERROR(INDEX(PMtbl[[WKst]:[Unit of measure*]],MATCH($A$35&amp;$A62&amp;$D62&amp;$G62,INDEX(PMtbl[Sec]&amp;PMtbl[Category]&amp;PMtbl[INN]&amp;PMtbl[Specification],0,),0),8),""),"")</f>
        <v/>
      </c>
      <c r="L62" s="177" t="str">
        <f>IF(K62="", "",SETUP!$E$5)</f>
        <v/>
      </c>
      <c r="M62" s="794"/>
      <c r="N62" s="810"/>
      <c r="O62" s="810"/>
      <c r="P62" s="810"/>
      <c r="Q62" s="810"/>
      <c r="R62" s="403">
        <f>SUM('TB-Pharmaceuticals'!$N62:$Q62)</f>
        <v>0</v>
      </c>
      <c r="S62" s="799">
        <f>'TB-Pharmaceuticals'!$M62*'TB-Pharmaceuticals'!$R62</f>
        <v>0</v>
      </c>
      <c r="T62" s="794"/>
      <c r="U62" s="810"/>
      <c r="V62" s="810"/>
      <c r="W62" s="810"/>
      <c r="X62" s="810"/>
      <c r="Y62" s="403">
        <f>SUM('TB-Pharmaceuticals'!$U62:$X62)</f>
        <v>0</v>
      </c>
      <c r="Z62" s="805">
        <f>'TB-Pharmaceuticals'!$T62*'TB-Pharmaceuticals'!$Y62</f>
        <v>0</v>
      </c>
      <c r="AA62" s="794"/>
      <c r="AB62" s="810"/>
      <c r="AC62" s="810"/>
      <c r="AD62" s="810"/>
      <c r="AE62" s="810"/>
      <c r="AF62" s="403">
        <f>SUM('TB-Pharmaceuticals'!$AB62:$AE62)</f>
        <v>0</v>
      </c>
      <c r="AG62" s="805">
        <f>'TB-Pharmaceuticals'!$AA62*'TB-Pharmaceuticals'!$AF62</f>
        <v>0</v>
      </c>
      <c r="AH62" s="404">
        <f>'TB-Pharmaceuticals'!$R62+'TB-Pharmaceuticals'!$Y62+'TB-Pharmaceuticals'!$AF62</f>
        <v>0</v>
      </c>
      <c r="AI62" s="805">
        <f>'TB-Pharmaceuticals'!$S62+'TB-Pharmaceuticals'!$Z62+'TB-Pharmaceuticals'!$AG62</f>
        <v>0</v>
      </c>
      <c r="AJ62" s="423" t="str">
        <f>IF(A62&lt;&gt;"",IFERROR(INDEX(PMtbl[[WKst]:[Unit of measure*]],MATCH($A$35&amp;$A62&amp;$D62&amp;$G62,INDEX(PMtbl[Sec]&amp;PMtbl[Category]&amp;PMtbl[INN]&amp;PMtbl[Specification],0,),0),7),""),"")</f>
        <v/>
      </c>
      <c r="AK62" s="2058"/>
      <c r="AL62" s="402" t="str">
        <f>IFERROR(INDEX(SETUP!$C$19:$G$62,MATCH((INDEX(PMtbl[[WKst]:[Unit of measure*]],MATCH($A62&amp;$D62&amp;$G62,INDEX(PMtbl[Category]&amp;PMtbl[INN]&amp;PMtbl[Specification],0,),0),3)),SETUP!$D$19:$D$62,0),5),"")</f>
        <v/>
      </c>
      <c r="AM62" s="402" t="str">
        <f>IFERROR(IF((INDEX(SETUP!$C$19:$G$62,MATCH((INDEX(PMtbl[[WKst]:[Unit of measure*]],MATCH($A62&amp;$D62&amp;$G62,INDEX(PMtbl[Category]&amp;PMtbl[INN]&amp;PMtbl[Specification],0,),0),3)),SETUP!$D$19:$D$62,0),4))="Upfront",0,INDEX(SETUP!$C$19:$G$62,MATCH((INDEX(PMtbl[[WKst]:[Unit of measure*]],MATCH($A62&amp;$D62&amp;$G62,INDEX(PMtbl[Category]&amp;PMtbl[INN]&amp;PMtbl[Specification],0,),0),3)),SETUP!$D$19:$D$62,0),5)),"")</f>
        <v/>
      </c>
    </row>
    <row r="63" spans="1:62">
      <c r="A63" s="2610"/>
      <c r="B63" s="2611"/>
      <c r="C63" s="2611"/>
      <c r="D63" s="2610"/>
      <c r="E63" s="2618"/>
      <c r="F63" s="2618"/>
      <c r="G63" s="2610"/>
      <c r="H63" s="2618"/>
      <c r="I63" s="2618"/>
      <c r="J63" s="2612"/>
      <c r="K63" s="175" t="str">
        <f>IF(A63&lt;&gt;"",IFERROR(INDEX(PMtbl[[WKst]:[Unit of measure*]],MATCH($A$35&amp;$A63&amp;$D63&amp;$G63,INDEX(PMtbl[Sec]&amp;PMtbl[Category]&amp;PMtbl[INN]&amp;PMtbl[Specification],0,),0),8),""),"")</f>
        <v/>
      </c>
      <c r="L63" s="175" t="str">
        <f>IF(K63="", "",SETUP!$E$5)</f>
        <v/>
      </c>
      <c r="M63" s="813"/>
      <c r="N63" s="819"/>
      <c r="O63" s="819"/>
      <c r="P63" s="819"/>
      <c r="Q63" s="819"/>
      <c r="R63" s="424">
        <f>SUM('TB-Pharmaceuticals'!$N63:$Q63)</f>
        <v>0</v>
      </c>
      <c r="S63" s="815">
        <f>'TB-Pharmaceuticals'!$M63*'TB-Pharmaceuticals'!$R63</f>
        <v>0</v>
      </c>
      <c r="T63" s="813"/>
      <c r="U63" s="819"/>
      <c r="V63" s="819"/>
      <c r="W63" s="819"/>
      <c r="X63" s="819"/>
      <c r="Y63" s="424">
        <f>SUM('TB-Pharmaceuticals'!$U63:$X63)</f>
        <v>0</v>
      </c>
      <c r="Z63" s="817">
        <f>'TB-Pharmaceuticals'!$T63*'TB-Pharmaceuticals'!$Y63</f>
        <v>0</v>
      </c>
      <c r="AA63" s="813"/>
      <c r="AB63" s="819"/>
      <c r="AC63" s="819"/>
      <c r="AD63" s="819"/>
      <c r="AE63" s="819"/>
      <c r="AF63" s="424">
        <f>SUM('TB-Pharmaceuticals'!$AB63:$AE63)</f>
        <v>0</v>
      </c>
      <c r="AG63" s="817">
        <f>'TB-Pharmaceuticals'!$AA63*'TB-Pharmaceuticals'!$AF63</f>
        <v>0</v>
      </c>
      <c r="AH63" s="425">
        <f>'TB-Pharmaceuticals'!$R63+'TB-Pharmaceuticals'!$Y63+'TB-Pharmaceuticals'!$AF63</f>
        <v>0</v>
      </c>
      <c r="AI63" s="817">
        <f>'TB-Pharmaceuticals'!$S63+'TB-Pharmaceuticals'!$Z63+'TB-Pharmaceuticals'!$AG63</f>
        <v>0</v>
      </c>
      <c r="AJ63" s="426" t="str">
        <f>IF(A63&lt;&gt;"",IFERROR(INDEX(PMtbl[[WKst]:[Unit of measure*]],MATCH($A$35&amp;$A63&amp;$D63&amp;$G63,INDEX(PMtbl[Sec]&amp;PMtbl[Category]&amp;PMtbl[INN]&amp;PMtbl[Specification],0,),0),7),""),"")</f>
        <v/>
      </c>
      <c r="AK63" s="2059"/>
      <c r="AL63" s="401" t="str">
        <f>IFERROR(INDEX(SETUP!$C$19:$G$62,MATCH((INDEX(PMtbl[[WKst]:[Unit of measure*]],MATCH($A63&amp;$D63&amp;$G63,INDEX(PMtbl[Category]&amp;PMtbl[INN]&amp;PMtbl[Specification],0,),0),3)),SETUP!$D$19:$D$62,0),5),"")</f>
        <v/>
      </c>
      <c r="AM63" s="401" t="str">
        <f>IFERROR(IF((INDEX(SETUP!$C$19:$G$62,MATCH((INDEX(PMtbl[[WKst]:[Unit of measure*]],MATCH($A63&amp;$D63&amp;$G63,INDEX(PMtbl[Category]&amp;PMtbl[INN]&amp;PMtbl[Specification],0,),0),3)),SETUP!$D$19:$D$62,0),4))="Upfront",0,INDEX(SETUP!$C$19:$G$62,MATCH((INDEX(PMtbl[[WKst]:[Unit of measure*]],MATCH($A63&amp;$D63&amp;$G63,INDEX(PMtbl[Category]&amp;PMtbl[INN]&amp;PMtbl[Specification],0,),0),3)),SETUP!$D$19:$D$62,0),5)),"")</f>
        <v/>
      </c>
    </row>
    <row r="64" spans="1:62">
      <c r="A64" s="2616"/>
      <c r="B64" s="2304"/>
      <c r="C64" s="2304"/>
      <c r="D64" s="2616"/>
      <c r="E64" s="2304"/>
      <c r="F64" s="2304"/>
      <c r="G64" s="2616"/>
      <c r="H64" s="2304"/>
      <c r="I64" s="2304"/>
      <c r="J64" s="2617"/>
      <c r="K64" s="176" t="str">
        <f>IF(A64&lt;&gt;"",IFERROR(INDEX(PMtbl[[WKst]:[Unit of measure*]],MATCH($A$35&amp;$A64&amp;$D64&amp;$G64,INDEX(PMtbl[Sec]&amp;PMtbl[Category]&amp;PMtbl[INN]&amp;PMtbl[Specification],0,),0),8),""),"")</f>
        <v/>
      </c>
      <c r="L64" s="177" t="str">
        <f>IF(K64="", "",SETUP!$E$5)</f>
        <v/>
      </c>
      <c r="M64" s="794"/>
      <c r="N64" s="810"/>
      <c r="O64" s="810"/>
      <c r="P64" s="810"/>
      <c r="Q64" s="810"/>
      <c r="R64" s="403">
        <f>SUM('TB-Pharmaceuticals'!$N64:$Q64)</f>
        <v>0</v>
      </c>
      <c r="S64" s="799">
        <f>'TB-Pharmaceuticals'!$M64*'TB-Pharmaceuticals'!$R64</f>
        <v>0</v>
      </c>
      <c r="T64" s="794"/>
      <c r="U64" s="810"/>
      <c r="V64" s="810"/>
      <c r="W64" s="810"/>
      <c r="X64" s="810"/>
      <c r="Y64" s="403">
        <f>SUM('TB-Pharmaceuticals'!$U64:$X64)</f>
        <v>0</v>
      </c>
      <c r="Z64" s="805">
        <f>'TB-Pharmaceuticals'!$T64*'TB-Pharmaceuticals'!$Y64</f>
        <v>0</v>
      </c>
      <c r="AA64" s="794"/>
      <c r="AB64" s="810"/>
      <c r="AC64" s="810"/>
      <c r="AD64" s="810"/>
      <c r="AE64" s="810"/>
      <c r="AF64" s="403">
        <f>SUM('TB-Pharmaceuticals'!$AB64:$AE64)</f>
        <v>0</v>
      </c>
      <c r="AG64" s="805">
        <f>'TB-Pharmaceuticals'!$AA64*'TB-Pharmaceuticals'!$AF64</f>
        <v>0</v>
      </c>
      <c r="AH64" s="404">
        <f>'TB-Pharmaceuticals'!$R64+'TB-Pharmaceuticals'!$Y64+'TB-Pharmaceuticals'!$AF64</f>
        <v>0</v>
      </c>
      <c r="AI64" s="805">
        <f>'TB-Pharmaceuticals'!$S64+'TB-Pharmaceuticals'!$Z64+'TB-Pharmaceuticals'!$AG64</f>
        <v>0</v>
      </c>
      <c r="AJ64" s="423" t="str">
        <f>IF(A64&lt;&gt;"",IFERROR(INDEX(PMtbl[[WKst]:[Unit of measure*]],MATCH($A$35&amp;$A64&amp;$D64&amp;$G64,INDEX(PMtbl[Sec]&amp;PMtbl[Category]&amp;PMtbl[INN]&amp;PMtbl[Specification],0,),0),7),""),"")</f>
        <v/>
      </c>
      <c r="AK64" s="2058"/>
      <c r="AL64" s="402" t="str">
        <f>IFERROR(INDEX(SETUP!$C$19:$G$62,MATCH((INDEX(PMtbl[[WKst]:[Unit of measure*]],MATCH($A64&amp;$D64&amp;$G64,INDEX(PMtbl[Category]&amp;PMtbl[INN]&amp;PMtbl[Specification],0,),0),3)),SETUP!$D$19:$D$62,0),5),"")</f>
        <v/>
      </c>
      <c r="AM64" s="402" t="str">
        <f>IFERROR(IF((INDEX(SETUP!$C$19:$G$62,MATCH((INDEX(PMtbl[[WKst]:[Unit of measure*]],MATCH($A64&amp;$D64&amp;$G64,INDEX(PMtbl[Category]&amp;PMtbl[INN]&amp;PMtbl[Specification],0,),0),3)),SETUP!$D$19:$D$62,0),4))="Upfront",0,INDEX(SETUP!$C$19:$G$62,MATCH((INDEX(PMtbl[[WKst]:[Unit of measure*]],MATCH($A64&amp;$D64&amp;$G64,INDEX(PMtbl[Category]&amp;PMtbl[INN]&amp;PMtbl[Specification],0,),0),3)),SETUP!$D$19:$D$62,0),5)),"")</f>
        <v/>
      </c>
    </row>
    <row r="65" spans="1:39">
      <c r="A65" s="2610"/>
      <c r="B65" s="2611"/>
      <c r="C65" s="2611"/>
      <c r="D65" s="2610"/>
      <c r="E65" s="2618"/>
      <c r="F65" s="2618"/>
      <c r="G65" s="2610"/>
      <c r="H65" s="2618"/>
      <c r="I65" s="2618"/>
      <c r="J65" s="2612"/>
      <c r="K65" s="175" t="str">
        <f>IF(A65&lt;&gt;"",IFERROR(INDEX(PMtbl[[WKst]:[Unit of measure*]],MATCH($A$35&amp;$A65&amp;$D65&amp;$G65,INDEX(PMtbl[Sec]&amp;PMtbl[Category]&amp;PMtbl[INN]&amp;PMtbl[Specification],0,),0),8),""),"")</f>
        <v/>
      </c>
      <c r="L65" s="175" t="str">
        <f>IF(K65="", "",SETUP!$E$5)</f>
        <v/>
      </c>
      <c r="M65" s="813"/>
      <c r="N65" s="819"/>
      <c r="O65" s="819"/>
      <c r="P65" s="819"/>
      <c r="Q65" s="819"/>
      <c r="R65" s="424">
        <f>SUM('TB-Pharmaceuticals'!$N65:$Q65)</f>
        <v>0</v>
      </c>
      <c r="S65" s="815">
        <f>'TB-Pharmaceuticals'!$M65*'TB-Pharmaceuticals'!$R65</f>
        <v>0</v>
      </c>
      <c r="T65" s="813"/>
      <c r="U65" s="819"/>
      <c r="V65" s="819"/>
      <c r="W65" s="819"/>
      <c r="X65" s="819"/>
      <c r="Y65" s="424">
        <f>SUM('TB-Pharmaceuticals'!$U65:$X65)</f>
        <v>0</v>
      </c>
      <c r="Z65" s="817">
        <f>'TB-Pharmaceuticals'!$T65*'TB-Pharmaceuticals'!$Y65</f>
        <v>0</v>
      </c>
      <c r="AA65" s="813"/>
      <c r="AB65" s="819"/>
      <c r="AC65" s="819"/>
      <c r="AD65" s="819"/>
      <c r="AE65" s="819"/>
      <c r="AF65" s="424">
        <f>SUM('TB-Pharmaceuticals'!$AB65:$AE65)</f>
        <v>0</v>
      </c>
      <c r="AG65" s="817">
        <f>'TB-Pharmaceuticals'!$AA65*'TB-Pharmaceuticals'!$AF65</f>
        <v>0</v>
      </c>
      <c r="AH65" s="425">
        <f>'TB-Pharmaceuticals'!$R65+'TB-Pharmaceuticals'!$Y65+'TB-Pharmaceuticals'!$AF65</f>
        <v>0</v>
      </c>
      <c r="AI65" s="817">
        <f>'TB-Pharmaceuticals'!$S65+'TB-Pharmaceuticals'!$Z65+'TB-Pharmaceuticals'!$AG65</f>
        <v>0</v>
      </c>
      <c r="AJ65" s="426" t="str">
        <f>IF(A65&lt;&gt;"",IFERROR(INDEX(PMtbl[[WKst]:[Unit of measure*]],MATCH($A$35&amp;$A65&amp;$D65&amp;$G65,INDEX(PMtbl[Sec]&amp;PMtbl[Category]&amp;PMtbl[INN]&amp;PMtbl[Specification],0,),0),7),""),"")</f>
        <v/>
      </c>
      <c r="AK65" s="2059"/>
      <c r="AL65" s="401" t="str">
        <f>IFERROR(INDEX(SETUP!$C$19:$G$62,MATCH((INDEX(PMtbl[[WKst]:[Unit of measure*]],MATCH($A65&amp;$D65&amp;$G65,INDEX(PMtbl[Category]&amp;PMtbl[INN]&amp;PMtbl[Specification],0,),0),3)),SETUP!$D$19:$D$62,0),5),"")</f>
        <v/>
      </c>
      <c r="AM65" s="401" t="str">
        <f>IFERROR(IF((INDEX(SETUP!$C$19:$G$62,MATCH((INDEX(PMtbl[[WKst]:[Unit of measure*]],MATCH($A65&amp;$D65&amp;$G65,INDEX(PMtbl[Category]&amp;PMtbl[INN]&amp;PMtbl[Specification],0,),0),3)),SETUP!$D$19:$D$62,0),4))="Upfront",0,INDEX(SETUP!$C$19:$G$62,MATCH((INDEX(PMtbl[[WKst]:[Unit of measure*]],MATCH($A65&amp;$D65&amp;$G65,INDEX(PMtbl[Category]&amp;PMtbl[INN]&amp;PMtbl[Specification],0,),0),3)),SETUP!$D$19:$D$62,0),5)),"")</f>
        <v/>
      </c>
    </row>
    <row r="66" spans="1:39">
      <c r="A66" s="2616"/>
      <c r="B66" s="2304"/>
      <c r="C66" s="2304"/>
      <c r="D66" s="2616"/>
      <c r="E66" s="2304"/>
      <c r="F66" s="2304"/>
      <c r="G66" s="2616"/>
      <c r="H66" s="2304"/>
      <c r="I66" s="2304"/>
      <c r="J66" s="2617"/>
      <c r="K66" s="176" t="str">
        <f>IF(A66&lt;&gt;"",IFERROR(INDEX(PMtbl[[WKst]:[Unit of measure*]],MATCH($A$35&amp;$A66&amp;$D66&amp;$G66,INDEX(PMtbl[Sec]&amp;PMtbl[Category]&amp;PMtbl[INN]&amp;PMtbl[Specification],0,),0),8),""),"")</f>
        <v/>
      </c>
      <c r="L66" s="177" t="str">
        <f>IF(K66="", "",SETUP!$E$5)</f>
        <v/>
      </c>
      <c r="M66" s="794"/>
      <c r="N66" s="810"/>
      <c r="O66" s="810"/>
      <c r="P66" s="810"/>
      <c r="Q66" s="810"/>
      <c r="R66" s="403">
        <f>SUM('TB-Pharmaceuticals'!$N66:$Q66)</f>
        <v>0</v>
      </c>
      <c r="S66" s="799">
        <f>'TB-Pharmaceuticals'!$M66*'TB-Pharmaceuticals'!$R66</f>
        <v>0</v>
      </c>
      <c r="T66" s="794"/>
      <c r="U66" s="810"/>
      <c r="V66" s="810"/>
      <c r="W66" s="810"/>
      <c r="X66" s="810"/>
      <c r="Y66" s="403">
        <f>SUM('TB-Pharmaceuticals'!$U66:$X66)</f>
        <v>0</v>
      </c>
      <c r="Z66" s="805">
        <f>'TB-Pharmaceuticals'!$T66*'TB-Pharmaceuticals'!$Y66</f>
        <v>0</v>
      </c>
      <c r="AA66" s="794"/>
      <c r="AB66" s="810"/>
      <c r="AC66" s="810"/>
      <c r="AD66" s="810"/>
      <c r="AE66" s="810"/>
      <c r="AF66" s="403">
        <f>SUM('TB-Pharmaceuticals'!$AB66:$AE66)</f>
        <v>0</v>
      </c>
      <c r="AG66" s="805">
        <f>'TB-Pharmaceuticals'!$AA66*'TB-Pharmaceuticals'!$AF66</f>
        <v>0</v>
      </c>
      <c r="AH66" s="404">
        <f>'TB-Pharmaceuticals'!$R66+'TB-Pharmaceuticals'!$Y66+'TB-Pharmaceuticals'!$AF66</f>
        <v>0</v>
      </c>
      <c r="AI66" s="805">
        <f>'TB-Pharmaceuticals'!$S66+'TB-Pharmaceuticals'!$Z66+'TB-Pharmaceuticals'!$AG66</f>
        <v>0</v>
      </c>
      <c r="AJ66" s="423" t="str">
        <f>IF(A66&lt;&gt;"",IFERROR(INDEX(PMtbl[[WKst]:[Unit of measure*]],MATCH($A$35&amp;$A66&amp;$D66&amp;$G66,INDEX(PMtbl[Sec]&amp;PMtbl[Category]&amp;PMtbl[INN]&amp;PMtbl[Specification],0,),0),7),""),"")</f>
        <v/>
      </c>
      <c r="AK66" s="2058"/>
      <c r="AL66" s="402" t="str">
        <f>IFERROR(INDEX(SETUP!$C$19:$G$62,MATCH((INDEX(PMtbl[[WKst]:[Unit of measure*]],MATCH($A66&amp;$D66&amp;$G66,INDEX(PMtbl[Category]&amp;PMtbl[INN]&amp;PMtbl[Specification],0,),0),3)),SETUP!$D$19:$D$62,0),5),"")</f>
        <v/>
      </c>
      <c r="AM66" s="402" t="str">
        <f>IFERROR(IF((INDEX(SETUP!$C$19:$G$62,MATCH((INDEX(PMtbl[[WKst]:[Unit of measure*]],MATCH($A66&amp;$D66&amp;$G66,INDEX(PMtbl[Category]&amp;PMtbl[INN]&amp;PMtbl[Specification],0,),0),3)),SETUP!$D$19:$D$62,0),4))="Upfront",0,INDEX(SETUP!$C$19:$G$62,MATCH((INDEX(PMtbl[[WKst]:[Unit of measure*]],MATCH($A66&amp;$D66&amp;$G66,INDEX(PMtbl[Category]&amp;PMtbl[INN]&amp;PMtbl[Specification],0,),0),3)),SETUP!$D$19:$D$62,0),5)),"")</f>
        <v/>
      </c>
    </row>
    <row r="67" spans="1:39">
      <c r="A67" s="2610"/>
      <c r="B67" s="2611"/>
      <c r="C67" s="2611"/>
      <c r="D67" s="2610"/>
      <c r="E67" s="2618"/>
      <c r="F67" s="2618"/>
      <c r="G67" s="2610"/>
      <c r="H67" s="2618"/>
      <c r="I67" s="2618"/>
      <c r="J67" s="2612"/>
      <c r="K67" s="175" t="str">
        <f>IF(A67&lt;&gt;"",IFERROR(INDEX(PMtbl[[WKst]:[Unit of measure*]],MATCH($A$35&amp;$A67&amp;$D67&amp;$G67,INDEX(PMtbl[Sec]&amp;PMtbl[Category]&amp;PMtbl[INN]&amp;PMtbl[Specification],0,),0),8),""),"")</f>
        <v/>
      </c>
      <c r="L67" s="175" t="str">
        <f>IF(K67="", "",SETUP!$E$5)</f>
        <v/>
      </c>
      <c r="M67" s="813"/>
      <c r="N67" s="819"/>
      <c r="O67" s="819"/>
      <c r="P67" s="819"/>
      <c r="Q67" s="819"/>
      <c r="R67" s="424">
        <f>SUM('TB-Pharmaceuticals'!$N67:$Q67)</f>
        <v>0</v>
      </c>
      <c r="S67" s="815">
        <f>'TB-Pharmaceuticals'!$M67*'TB-Pharmaceuticals'!$R67</f>
        <v>0</v>
      </c>
      <c r="T67" s="813"/>
      <c r="U67" s="819"/>
      <c r="V67" s="819"/>
      <c r="W67" s="819"/>
      <c r="X67" s="819"/>
      <c r="Y67" s="424">
        <f>SUM('TB-Pharmaceuticals'!$U67:$X67)</f>
        <v>0</v>
      </c>
      <c r="Z67" s="817">
        <f>'TB-Pharmaceuticals'!$T67*'TB-Pharmaceuticals'!$Y67</f>
        <v>0</v>
      </c>
      <c r="AA67" s="813"/>
      <c r="AB67" s="819"/>
      <c r="AC67" s="819"/>
      <c r="AD67" s="819"/>
      <c r="AE67" s="819"/>
      <c r="AF67" s="424">
        <f>SUM('TB-Pharmaceuticals'!$AB67:$AE67)</f>
        <v>0</v>
      </c>
      <c r="AG67" s="817">
        <f>'TB-Pharmaceuticals'!$AA67*'TB-Pharmaceuticals'!$AF67</f>
        <v>0</v>
      </c>
      <c r="AH67" s="425">
        <f>'TB-Pharmaceuticals'!$R67+'TB-Pharmaceuticals'!$Y67+'TB-Pharmaceuticals'!$AF67</f>
        <v>0</v>
      </c>
      <c r="AI67" s="817">
        <f>'TB-Pharmaceuticals'!$S67+'TB-Pharmaceuticals'!$Z67+'TB-Pharmaceuticals'!$AG67</f>
        <v>0</v>
      </c>
      <c r="AJ67" s="426" t="str">
        <f>IF(A67&lt;&gt;"",IFERROR(INDEX(PMtbl[[WKst]:[Unit of measure*]],MATCH($A$35&amp;$A67&amp;$D67&amp;$G67,INDEX(PMtbl[Sec]&amp;PMtbl[Category]&amp;PMtbl[INN]&amp;PMtbl[Specification],0,),0),7),""),"")</f>
        <v/>
      </c>
      <c r="AK67" s="2059"/>
      <c r="AL67" s="401" t="str">
        <f>IFERROR(INDEX(SETUP!$C$19:$G$62,MATCH((INDEX(PMtbl[[WKst]:[Unit of measure*]],MATCH($A67&amp;$D67&amp;$G67,INDEX(PMtbl[Category]&amp;PMtbl[INN]&amp;PMtbl[Specification],0,),0),3)),SETUP!$D$19:$D$62,0),5),"")</f>
        <v/>
      </c>
      <c r="AM67" s="401" t="str">
        <f>IFERROR(IF((INDEX(SETUP!$C$19:$G$62,MATCH((INDEX(PMtbl[[WKst]:[Unit of measure*]],MATCH($A67&amp;$D67&amp;$G67,INDEX(PMtbl[Category]&amp;PMtbl[INN]&amp;PMtbl[Specification],0,),0),3)),SETUP!$D$19:$D$62,0),4))="Upfront",0,INDEX(SETUP!$C$19:$G$62,MATCH((INDEX(PMtbl[[WKst]:[Unit of measure*]],MATCH($A67&amp;$D67&amp;$G67,INDEX(PMtbl[Category]&amp;PMtbl[INN]&amp;PMtbl[Specification],0,),0),3)),SETUP!$D$19:$D$62,0),5)),"")</f>
        <v/>
      </c>
    </row>
    <row r="68" spans="1:39">
      <c r="A68" s="2616"/>
      <c r="B68" s="2304"/>
      <c r="C68" s="2617"/>
      <c r="D68" s="2616"/>
      <c r="E68" s="2304"/>
      <c r="F68" s="2304"/>
      <c r="G68" s="2616"/>
      <c r="H68" s="2304"/>
      <c r="I68" s="2304"/>
      <c r="J68" s="2617"/>
      <c r="K68" s="176" t="str">
        <f>IF(A68&lt;&gt;"",IFERROR(INDEX(PMtbl[[WKst]:[Unit of measure*]],MATCH($A$35&amp;$A68&amp;$D68&amp;$G68,INDEX(PMtbl[Sec]&amp;PMtbl[Category]&amp;PMtbl[INN]&amp;PMtbl[Specification],0,),0),8),""),"")</f>
        <v/>
      </c>
      <c r="L68" s="177" t="str">
        <f>IF(K68="", "",SETUP!$E$5)</f>
        <v/>
      </c>
      <c r="M68" s="794"/>
      <c r="N68" s="810"/>
      <c r="O68" s="810"/>
      <c r="P68" s="810"/>
      <c r="Q68" s="810"/>
      <c r="R68" s="403">
        <f>SUM('TB-Pharmaceuticals'!$N68:$Q68)</f>
        <v>0</v>
      </c>
      <c r="S68" s="799">
        <f>'TB-Pharmaceuticals'!$M68*'TB-Pharmaceuticals'!$R68</f>
        <v>0</v>
      </c>
      <c r="T68" s="794"/>
      <c r="U68" s="810"/>
      <c r="V68" s="810"/>
      <c r="W68" s="810"/>
      <c r="X68" s="810"/>
      <c r="Y68" s="403">
        <f>SUM('TB-Pharmaceuticals'!$U68:$X68)</f>
        <v>0</v>
      </c>
      <c r="Z68" s="805">
        <f>'TB-Pharmaceuticals'!$T68*'TB-Pharmaceuticals'!$Y68</f>
        <v>0</v>
      </c>
      <c r="AA68" s="794"/>
      <c r="AB68" s="810"/>
      <c r="AC68" s="810"/>
      <c r="AD68" s="810"/>
      <c r="AE68" s="810"/>
      <c r="AF68" s="403">
        <f>SUM('TB-Pharmaceuticals'!$AB68:$AE68)</f>
        <v>0</v>
      </c>
      <c r="AG68" s="805">
        <f>'TB-Pharmaceuticals'!$AA68*'TB-Pharmaceuticals'!$AF68</f>
        <v>0</v>
      </c>
      <c r="AH68" s="404">
        <f>'TB-Pharmaceuticals'!$R68+'TB-Pharmaceuticals'!$Y68+'TB-Pharmaceuticals'!$AF68</f>
        <v>0</v>
      </c>
      <c r="AI68" s="805">
        <f>'TB-Pharmaceuticals'!$S68+'TB-Pharmaceuticals'!$Z68+'TB-Pharmaceuticals'!$AG68</f>
        <v>0</v>
      </c>
      <c r="AJ68" s="423" t="str">
        <f>IF(A68&lt;&gt;"",IFERROR(INDEX(PMtbl[[WKst]:[Unit of measure*]],MATCH($A$35&amp;$A68&amp;$D68&amp;$G68,INDEX(PMtbl[Sec]&amp;PMtbl[Category]&amp;PMtbl[INN]&amp;PMtbl[Specification],0,),0),7),""),"")</f>
        <v/>
      </c>
      <c r="AK68" s="2058"/>
      <c r="AL68" s="402" t="str">
        <f>IFERROR(INDEX(SETUP!$C$19:$G$62,MATCH((INDEX(PMtbl[[WKst]:[Unit of measure*]],MATCH($A68&amp;$D68&amp;$G68,INDEX(PMtbl[Category]&amp;PMtbl[INN]&amp;PMtbl[Specification],0,),0),3)),SETUP!$D$19:$D$62,0),5),"")</f>
        <v/>
      </c>
      <c r="AM68" s="402" t="str">
        <f>IFERROR(IF((INDEX(SETUP!$C$19:$G$62,MATCH((INDEX(PMtbl[[WKst]:[Unit of measure*]],MATCH($A68&amp;$D68&amp;$G68,INDEX(PMtbl[Category]&amp;PMtbl[INN]&amp;PMtbl[Specification],0,),0),3)),SETUP!$D$19:$D$62,0),4))="Upfront",0,INDEX(SETUP!$C$19:$G$62,MATCH((INDEX(PMtbl[[WKst]:[Unit of measure*]],MATCH($A68&amp;$D68&amp;$G68,INDEX(PMtbl[Category]&amp;PMtbl[INN]&amp;PMtbl[Specification],0,),0),3)),SETUP!$D$19:$D$62,0),5)),"")</f>
        <v/>
      </c>
    </row>
    <row r="69" spans="1:39">
      <c r="A69" s="2610"/>
      <c r="B69" s="2611"/>
      <c r="C69" s="2611"/>
      <c r="D69" s="2610"/>
      <c r="E69" s="2618"/>
      <c r="F69" s="2618"/>
      <c r="G69" s="2610"/>
      <c r="H69" s="2618"/>
      <c r="I69" s="2618"/>
      <c r="J69" s="2612"/>
      <c r="K69" s="175" t="str">
        <f>IF(A69&lt;&gt;"",IFERROR(INDEX(PMtbl[[WKst]:[Unit of measure*]],MATCH($A$35&amp;$A69&amp;$D69&amp;$G69,INDEX(PMtbl[Sec]&amp;PMtbl[Category]&amp;PMtbl[INN]&amp;PMtbl[Specification],0,),0),8),""),"")</f>
        <v/>
      </c>
      <c r="L69" s="175" t="str">
        <f>IF(K69="", "",SETUP!$E$5)</f>
        <v/>
      </c>
      <c r="M69" s="813"/>
      <c r="N69" s="819"/>
      <c r="O69" s="819"/>
      <c r="P69" s="819"/>
      <c r="Q69" s="819"/>
      <c r="R69" s="424">
        <f>SUM('TB-Pharmaceuticals'!$N69:$Q69)</f>
        <v>0</v>
      </c>
      <c r="S69" s="815">
        <f>'TB-Pharmaceuticals'!$M69*'TB-Pharmaceuticals'!$R69</f>
        <v>0</v>
      </c>
      <c r="T69" s="813"/>
      <c r="U69" s="819"/>
      <c r="V69" s="819"/>
      <c r="W69" s="819"/>
      <c r="X69" s="819"/>
      <c r="Y69" s="424">
        <f>SUM('TB-Pharmaceuticals'!$U69:$X69)</f>
        <v>0</v>
      </c>
      <c r="Z69" s="817">
        <f>'TB-Pharmaceuticals'!$T69*'TB-Pharmaceuticals'!$Y69</f>
        <v>0</v>
      </c>
      <c r="AA69" s="813"/>
      <c r="AB69" s="819"/>
      <c r="AC69" s="819"/>
      <c r="AD69" s="819"/>
      <c r="AE69" s="819"/>
      <c r="AF69" s="424">
        <f>SUM('TB-Pharmaceuticals'!$AB69:$AE69)</f>
        <v>0</v>
      </c>
      <c r="AG69" s="817">
        <f>'TB-Pharmaceuticals'!$AA69*'TB-Pharmaceuticals'!$AF69</f>
        <v>0</v>
      </c>
      <c r="AH69" s="425">
        <f>'TB-Pharmaceuticals'!$R69+'TB-Pharmaceuticals'!$Y69+'TB-Pharmaceuticals'!$AF69</f>
        <v>0</v>
      </c>
      <c r="AI69" s="817">
        <f>'TB-Pharmaceuticals'!$S69+'TB-Pharmaceuticals'!$Z69+'TB-Pharmaceuticals'!$AG69</f>
        <v>0</v>
      </c>
      <c r="AJ69" s="426" t="str">
        <f>IF(A69&lt;&gt;"",IFERROR(INDEX(PMtbl[[WKst]:[Unit of measure*]],MATCH($A$35&amp;$A69&amp;$D69&amp;$G69,INDEX(PMtbl[Sec]&amp;PMtbl[Category]&amp;PMtbl[INN]&amp;PMtbl[Specification],0,),0),7),""),"")</f>
        <v/>
      </c>
      <c r="AK69" s="2059"/>
      <c r="AL69" s="401" t="str">
        <f>IFERROR(INDEX(SETUP!$C$19:$G$62,MATCH((INDEX(PMtbl[[WKst]:[Unit of measure*]],MATCH($A69&amp;$D69&amp;$G69,INDEX(PMtbl[Category]&amp;PMtbl[INN]&amp;PMtbl[Specification],0,),0),3)),SETUP!$D$19:$D$62,0),5),"")</f>
        <v/>
      </c>
      <c r="AM69" s="401" t="str">
        <f>IFERROR(IF((INDEX(SETUP!$C$19:$G$62,MATCH((INDEX(PMtbl[[WKst]:[Unit of measure*]],MATCH($A69&amp;$D69&amp;$G69,INDEX(PMtbl[Category]&amp;PMtbl[INN]&amp;PMtbl[Specification],0,),0),3)),SETUP!$D$19:$D$62,0),4))="Upfront",0,INDEX(SETUP!$C$19:$G$62,MATCH((INDEX(PMtbl[[WKst]:[Unit of measure*]],MATCH($A69&amp;$D69&amp;$G69,INDEX(PMtbl[Category]&amp;PMtbl[INN]&amp;PMtbl[Specification],0,),0),3)),SETUP!$D$19:$D$62,0),5)),"")</f>
        <v/>
      </c>
    </row>
    <row r="70" spans="1:39">
      <c r="A70" s="2616"/>
      <c r="B70" s="2304"/>
      <c r="C70" s="2304"/>
      <c r="D70" s="2616"/>
      <c r="E70" s="2304"/>
      <c r="F70" s="2304"/>
      <c r="G70" s="2616"/>
      <c r="H70" s="2304"/>
      <c r="I70" s="2304"/>
      <c r="J70" s="2617"/>
      <c r="K70" s="176" t="str">
        <f>IF(A70&lt;&gt;"",IFERROR(INDEX(PMtbl[[WKst]:[Unit of measure*]],MATCH($A$35&amp;$A70&amp;$D70&amp;$G70,INDEX(PMtbl[Sec]&amp;PMtbl[Category]&amp;PMtbl[INN]&amp;PMtbl[Specification],0,),0),8),""),"")</f>
        <v/>
      </c>
      <c r="L70" s="177" t="str">
        <f>IF(K70="", "",SETUP!$E$5)</f>
        <v/>
      </c>
      <c r="M70" s="794"/>
      <c r="N70" s="810"/>
      <c r="O70" s="810"/>
      <c r="P70" s="810"/>
      <c r="Q70" s="810"/>
      <c r="R70" s="403">
        <f>SUM('TB-Pharmaceuticals'!$N70:$Q70)</f>
        <v>0</v>
      </c>
      <c r="S70" s="799">
        <f>'TB-Pharmaceuticals'!$M70*'TB-Pharmaceuticals'!$R70</f>
        <v>0</v>
      </c>
      <c r="T70" s="794"/>
      <c r="U70" s="810"/>
      <c r="V70" s="810"/>
      <c r="W70" s="810"/>
      <c r="X70" s="810"/>
      <c r="Y70" s="403">
        <f>SUM('TB-Pharmaceuticals'!$U70:$X70)</f>
        <v>0</v>
      </c>
      <c r="Z70" s="805">
        <f>'TB-Pharmaceuticals'!$T70*'TB-Pharmaceuticals'!$Y70</f>
        <v>0</v>
      </c>
      <c r="AA70" s="794"/>
      <c r="AB70" s="810"/>
      <c r="AC70" s="810"/>
      <c r="AD70" s="810"/>
      <c r="AE70" s="810"/>
      <c r="AF70" s="403">
        <f>SUM('TB-Pharmaceuticals'!$AB70:$AE70)</f>
        <v>0</v>
      </c>
      <c r="AG70" s="805">
        <f>'TB-Pharmaceuticals'!$AA70*'TB-Pharmaceuticals'!$AF70</f>
        <v>0</v>
      </c>
      <c r="AH70" s="404">
        <f>'TB-Pharmaceuticals'!$R70+'TB-Pharmaceuticals'!$Y70+'TB-Pharmaceuticals'!$AF70</f>
        <v>0</v>
      </c>
      <c r="AI70" s="805">
        <f>'TB-Pharmaceuticals'!$S70+'TB-Pharmaceuticals'!$Z70+'TB-Pharmaceuticals'!$AG70</f>
        <v>0</v>
      </c>
      <c r="AJ70" s="423" t="str">
        <f>IF(A70&lt;&gt;"",IFERROR(INDEX(PMtbl[[WKst]:[Unit of measure*]],MATCH($A$35&amp;$A70&amp;$D70&amp;$G70,INDEX(PMtbl[Sec]&amp;PMtbl[Category]&amp;PMtbl[INN]&amp;PMtbl[Specification],0,),0),7),""),"")</f>
        <v/>
      </c>
      <c r="AK70" s="2058"/>
      <c r="AL70" s="402" t="str">
        <f>IFERROR(INDEX(SETUP!$C$19:$G$62,MATCH((INDEX(PMtbl[[WKst]:[Unit of measure*]],MATCH($A70&amp;$D70&amp;$G70,INDEX(PMtbl[Category]&amp;PMtbl[INN]&amp;PMtbl[Specification],0,),0),3)),SETUP!$D$19:$D$62,0),5),"")</f>
        <v/>
      </c>
      <c r="AM70" s="402" t="str">
        <f>IFERROR(IF((INDEX(SETUP!$C$19:$G$62,MATCH((INDEX(PMtbl[[WKst]:[Unit of measure*]],MATCH($A70&amp;$D70&amp;$G70,INDEX(PMtbl[Category]&amp;PMtbl[INN]&amp;PMtbl[Specification],0,),0),3)),SETUP!$D$19:$D$62,0),4))="Upfront",0,INDEX(SETUP!$C$19:$G$62,MATCH((INDEX(PMtbl[[WKst]:[Unit of measure*]],MATCH($A70&amp;$D70&amp;$G70,INDEX(PMtbl[Category]&amp;PMtbl[INN]&amp;PMtbl[Specification],0,),0),3)),SETUP!$D$19:$D$62,0),5)),"")</f>
        <v/>
      </c>
    </row>
    <row r="71" spans="1:39">
      <c r="A71" s="2610"/>
      <c r="B71" s="2611"/>
      <c r="C71" s="2611"/>
      <c r="D71" s="2610"/>
      <c r="E71" s="2618"/>
      <c r="F71" s="2618"/>
      <c r="G71" s="2610"/>
      <c r="H71" s="2618"/>
      <c r="I71" s="2618"/>
      <c r="J71" s="2612"/>
      <c r="K71" s="175" t="str">
        <f>IF(A71&lt;&gt;"",IFERROR(INDEX(PMtbl[[WKst]:[Unit of measure*]],MATCH($A$35&amp;$A71&amp;$D71&amp;$G71,INDEX(PMtbl[Sec]&amp;PMtbl[Category]&amp;PMtbl[INN]&amp;PMtbl[Specification],0,),0),8),""),"")</f>
        <v/>
      </c>
      <c r="L71" s="175" t="str">
        <f>IF(K71="", "",SETUP!$E$5)</f>
        <v/>
      </c>
      <c r="M71" s="813"/>
      <c r="N71" s="819"/>
      <c r="O71" s="819"/>
      <c r="P71" s="819"/>
      <c r="Q71" s="819"/>
      <c r="R71" s="424">
        <f>SUM('TB-Pharmaceuticals'!$N71:$Q71)</f>
        <v>0</v>
      </c>
      <c r="S71" s="815">
        <f>'TB-Pharmaceuticals'!$M71*'TB-Pharmaceuticals'!$R71</f>
        <v>0</v>
      </c>
      <c r="T71" s="813"/>
      <c r="U71" s="819"/>
      <c r="V71" s="819"/>
      <c r="W71" s="819"/>
      <c r="X71" s="819"/>
      <c r="Y71" s="424">
        <f>SUM('TB-Pharmaceuticals'!$U71:$X71)</f>
        <v>0</v>
      </c>
      <c r="Z71" s="817">
        <f>'TB-Pharmaceuticals'!$T71*'TB-Pharmaceuticals'!$Y71</f>
        <v>0</v>
      </c>
      <c r="AA71" s="813"/>
      <c r="AB71" s="819"/>
      <c r="AC71" s="819"/>
      <c r="AD71" s="819"/>
      <c r="AE71" s="819"/>
      <c r="AF71" s="424">
        <f>SUM('TB-Pharmaceuticals'!$AB71:$AE71)</f>
        <v>0</v>
      </c>
      <c r="AG71" s="817">
        <f>'TB-Pharmaceuticals'!$AA71*'TB-Pharmaceuticals'!$AF71</f>
        <v>0</v>
      </c>
      <c r="AH71" s="425">
        <f>'TB-Pharmaceuticals'!$R71+'TB-Pharmaceuticals'!$Y71+'TB-Pharmaceuticals'!$AF71</f>
        <v>0</v>
      </c>
      <c r="AI71" s="817">
        <f>'TB-Pharmaceuticals'!$S71+'TB-Pharmaceuticals'!$Z71+'TB-Pharmaceuticals'!$AG71</f>
        <v>0</v>
      </c>
      <c r="AJ71" s="426" t="str">
        <f>IF(A71&lt;&gt;"",IFERROR(INDEX(PMtbl[[WKst]:[Unit of measure*]],MATCH($A$35&amp;$A71&amp;$D71&amp;$G71,INDEX(PMtbl[Sec]&amp;PMtbl[Category]&amp;PMtbl[INN]&amp;PMtbl[Specification],0,),0),7),""),"")</f>
        <v/>
      </c>
      <c r="AK71" s="2059"/>
      <c r="AL71" s="401" t="str">
        <f>IFERROR(INDEX(SETUP!$C$19:$G$62,MATCH((INDEX(PMtbl[[WKst]:[Unit of measure*]],MATCH($A71&amp;$D71&amp;$G71,INDEX(PMtbl[Category]&amp;PMtbl[INN]&amp;PMtbl[Specification],0,),0),3)),SETUP!$D$19:$D$62,0),5),"")</f>
        <v/>
      </c>
      <c r="AM71" s="401" t="str">
        <f>IFERROR(IF((INDEX(SETUP!$C$19:$G$62,MATCH((INDEX(PMtbl[[WKst]:[Unit of measure*]],MATCH($A71&amp;$D71&amp;$G71,INDEX(PMtbl[Category]&amp;PMtbl[INN]&amp;PMtbl[Specification],0,),0),3)),SETUP!$D$19:$D$62,0),4))="Upfront",0,INDEX(SETUP!$C$19:$G$62,MATCH((INDEX(PMtbl[[WKst]:[Unit of measure*]],MATCH($A71&amp;$D71&amp;$G71,INDEX(PMtbl[Category]&amp;PMtbl[INN]&amp;PMtbl[Specification],0,),0),3)),SETUP!$D$19:$D$62,0),5)),"")</f>
        <v/>
      </c>
    </row>
    <row r="72" spans="1:39">
      <c r="A72" s="2616"/>
      <c r="B72" s="2304"/>
      <c r="C72" s="2304"/>
      <c r="D72" s="2616"/>
      <c r="E72" s="2304"/>
      <c r="F72" s="2304"/>
      <c r="G72" s="2616"/>
      <c r="H72" s="2304"/>
      <c r="I72" s="2304"/>
      <c r="J72" s="2617"/>
      <c r="K72" s="176" t="str">
        <f>IF(A72&lt;&gt;"",IFERROR(INDEX(PMtbl[[WKst]:[Unit of measure*]],MATCH($A$35&amp;$A72&amp;$D72&amp;$G72,INDEX(PMtbl[Sec]&amp;PMtbl[Category]&amp;PMtbl[INN]&amp;PMtbl[Specification],0,),0),8),""),"")</f>
        <v/>
      </c>
      <c r="L72" s="177" t="str">
        <f>IF(K72="", "",SETUP!$E$5)</f>
        <v/>
      </c>
      <c r="M72" s="794"/>
      <c r="N72" s="810"/>
      <c r="O72" s="810"/>
      <c r="P72" s="810"/>
      <c r="Q72" s="810"/>
      <c r="R72" s="403">
        <f>SUM('TB-Pharmaceuticals'!$N72:$Q72)</f>
        <v>0</v>
      </c>
      <c r="S72" s="799">
        <f>'TB-Pharmaceuticals'!$M72*'TB-Pharmaceuticals'!$R72</f>
        <v>0</v>
      </c>
      <c r="T72" s="794"/>
      <c r="U72" s="810"/>
      <c r="V72" s="810"/>
      <c r="W72" s="810"/>
      <c r="X72" s="810"/>
      <c r="Y72" s="403">
        <f>SUM('TB-Pharmaceuticals'!$U72:$X72)</f>
        <v>0</v>
      </c>
      <c r="Z72" s="805">
        <f>'TB-Pharmaceuticals'!$T72*'TB-Pharmaceuticals'!$Y72</f>
        <v>0</v>
      </c>
      <c r="AA72" s="794"/>
      <c r="AB72" s="810"/>
      <c r="AC72" s="810"/>
      <c r="AD72" s="810"/>
      <c r="AE72" s="810"/>
      <c r="AF72" s="403">
        <f>SUM('TB-Pharmaceuticals'!$AB72:$AE72)</f>
        <v>0</v>
      </c>
      <c r="AG72" s="805">
        <f>'TB-Pharmaceuticals'!$AA72*'TB-Pharmaceuticals'!$AF72</f>
        <v>0</v>
      </c>
      <c r="AH72" s="404">
        <f>'TB-Pharmaceuticals'!$R72+'TB-Pharmaceuticals'!$Y72+'TB-Pharmaceuticals'!$AF72</f>
        <v>0</v>
      </c>
      <c r="AI72" s="805">
        <f>'TB-Pharmaceuticals'!$S72+'TB-Pharmaceuticals'!$Z72+'TB-Pharmaceuticals'!$AG72</f>
        <v>0</v>
      </c>
      <c r="AJ72" s="423" t="str">
        <f>IF(A72&lt;&gt;"",IFERROR(INDEX(PMtbl[[WKst]:[Unit of measure*]],MATCH($A$35&amp;$A72&amp;$D72&amp;$G72,INDEX(PMtbl[Sec]&amp;PMtbl[Category]&amp;PMtbl[INN]&amp;PMtbl[Specification],0,),0),7),""),"")</f>
        <v/>
      </c>
      <c r="AK72" s="2058"/>
      <c r="AL72" s="405" t="str">
        <f>IFERROR(INDEX(SETUP!$C$19:$G$62,MATCH((INDEX(PMtbl[[WKst]:[Unit of measure*]],MATCH($A72&amp;$D72&amp;$G72,INDEX(PMtbl[Category]&amp;PMtbl[INN]&amp;PMtbl[Specification],0,),0),3)),SETUP!$D$19:$D$62,0),5),"")</f>
        <v/>
      </c>
      <c r="AM72" s="405" t="str">
        <f>IFERROR(IF((INDEX(SETUP!$C$19:$G$62,MATCH((INDEX(PMtbl[[WKst]:[Unit of measure*]],MATCH($A72&amp;$D72&amp;$G72,INDEX(PMtbl[Category]&amp;PMtbl[INN]&amp;PMtbl[Specification],0,),0),3)),SETUP!$D$19:$D$62,0),4))="Upfront",0,INDEX(SETUP!$C$19:$G$62,MATCH((INDEX(PMtbl[[WKst]:[Unit of measure*]],MATCH($A72&amp;$D72&amp;$G72,INDEX(PMtbl[Category]&amp;PMtbl[INN]&amp;PMtbl[Specification],0,),0),3)),SETUP!$D$19:$D$62,0),5)),"")</f>
        <v/>
      </c>
    </row>
    <row r="73" spans="1:39">
      <c r="A73" s="2610"/>
      <c r="B73" s="2611"/>
      <c r="C73" s="2611"/>
      <c r="D73" s="2610"/>
      <c r="E73" s="2611"/>
      <c r="F73" s="2612"/>
      <c r="G73" s="2610"/>
      <c r="H73" s="2611"/>
      <c r="I73" s="2611"/>
      <c r="J73" s="2612"/>
      <c r="K73" s="175" t="str">
        <f>IF(A73&lt;&gt;"",IFERROR(INDEX(PMtbl[[WKst]:[Unit of measure*]],MATCH($A$35&amp;$A73&amp;$D73&amp;$G73,INDEX(PMtbl[Sec]&amp;PMtbl[Category]&amp;PMtbl[INN]&amp;PMtbl[Specification],0,),0),8),""),"")</f>
        <v/>
      </c>
      <c r="L73" s="175" t="str">
        <f>IF(K73="", "",SETUP!$E$5)</f>
        <v/>
      </c>
      <c r="M73" s="813"/>
      <c r="N73" s="819"/>
      <c r="O73" s="819"/>
      <c r="P73" s="819"/>
      <c r="Q73" s="819"/>
      <c r="R73" s="424">
        <f>SUM('TB-Pharmaceuticals'!$N73:$Q73)</f>
        <v>0</v>
      </c>
      <c r="S73" s="815">
        <f>'TB-Pharmaceuticals'!$M73*'TB-Pharmaceuticals'!$R73</f>
        <v>0</v>
      </c>
      <c r="T73" s="813"/>
      <c r="U73" s="819"/>
      <c r="V73" s="819"/>
      <c r="W73" s="819"/>
      <c r="X73" s="819"/>
      <c r="Y73" s="424">
        <f>SUM('TB-Pharmaceuticals'!$U73:$X73)</f>
        <v>0</v>
      </c>
      <c r="Z73" s="817">
        <f>'TB-Pharmaceuticals'!$T73*'TB-Pharmaceuticals'!$Y73</f>
        <v>0</v>
      </c>
      <c r="AA73" s="813"/>
      <c r="AB73" s="819"/>
      <c r="AC73" s="819"/>
      <c r="AD73" s="819"/>
      <c r="AE73" s="819"/>
      <c r="AF73" s="424">
        <f>SUM('TB-Pharmaceuticals'!$AB73:$AE73)</f>
        <v>0</v>
      </c>
      <c r="AG73" s="817">
        <f>'TB-Pharmaceuticals'!$AA73*'TB-Pharmaceuticals'!$AF73</f>
        <v>0</v>
      </c>
      <c r="AH73" s="425">
        <f>'TB-Pharmaceuticals'!$R73+'TB-Pharmaceuticals'!$Y73+'TB-Pharmaceuticals'!$AF73</f>
        <v>0</v>
      </c>
      <c r="AI73" s="817">
        <f>'TB-Pharmaceuticals'!$S73+'TB-Pharmaceuticals'!$Z73+'TB-Pharmaceuticals'!$AG73</f>
        <v>0</v>
      </c>
      <c r="AJ73" s="426" t="str">
        <f>IF(A73&lt;&gt;"",IFERROR(INDEX(PMtbl[[WKst]:[Unit of measure*]],MATCH($A$35&amp;$A73&amp;$D73&amp;$G73,INDEX(PMtbl[Sec]&amp;PMtbl[Category]&amp;PMtbl[INN]&amp;PMtbl[Specification],0,),0),7),""),"")</f>
        <v/>
      </c>
      <c r="AK73" s="2059"/>
      <c r="AL73" s="401" t="str">
        <f>IFERROR(INDEX(SETUP!$C$19:$G$62,MATCH((INDEX(PMtbl[[WKst]:[Unit of measure*]],MATCH($A73&amp;$D73&amp;$G73,INDEX(PMtbl[Category]&amp;PMtbl[INN]&amp;PMtbl[Specification],0,),0),3)),SETUP!$D$19:$D$62,0),5),"")</f>
        <v/>
      </c>
      <c r="AM73" s="401" t="str">
        <f>IFERROR(IF((INDEX(SETUP!$C$19:$G$62,MATCH((INDEX(PMtbl[[WKst]:[Unit of measure*]],MATCH($A73&amp;$D73&amp;$G73,INDEX(PMtbl[Category]&amp;PMtbl[INN]&amp;PMtbl[Specification],0,),0),3)),SETUP!$D$19:$D$62,0),4))="Upfront",0,INDEX(SETUP!$C$19:$G$62,MATCH((INDEX(PMtbl[[WKst]:[Unit of measure*]],MATCH($A73&amp;$D73&amp;$G73,INDEX(PMtbl[Category]&amp;PMtbl[INN]&amp;PMtbl[Specification],0,),0),3)),SETUP!$D$19:$D$62,0),5)),"")</f>
        <v/>
      </c>
    </row>
    <row r="74" spans="1:39">
      <c r="A74" s="2616"/>
      <c r="B74" s="2304"/>
      <c r="C74" s="2304"/>
      <c r="D74" s="2616"/>
      <c r="E74" s="2304"/>
      <c r="F74" s="2304"/>
      <c r="G74" s="2616"/>
      <c r="H74" s="2304"/>
      <c r="I74" s="2304"/>
      <c r="J74" s="2617"/>
      <c r="K74" s="176" t="str">
        <f>IF(A74&lt;&gt;"",IFERROR(INDEX(PMtbl[[WKst]:[Unit of measure*]],MATCH($A$35&amp;$A74&amp;$D74&amp;$G74,INDEX(PMtbl[Sec]&amp;PMtbl[Category]&amp;PMtbl[INN]&amp;PMtbl[Specification],0,),0),8),""),"")</f>
        <v/>
      </c>
      <c r="L74" s="177" t="str">
        <f>IF(K74="", "",SETUP!$E$5)</f>
        <v/>
      </c>
      <c r="M74" s="794"/>
      <c r="N74" s="810"/>
      <c r="O74" s="810"/>
      <c r="P74" s="810"/>
      <c r="Q74" s="810"/>
      <c r="R74" s="403">
        <f>SUM('TB-Pharmaceuticals'!$N74:$Q74)</f>
        <v>0</v>
      </c>
      <c r="S74" s="799">
        <f>'TB-Pharmaceuticals'!$M74*'TB-Pharmaceuticals'!$R74</f>
        <v>0</v>
      </c>
      <c r="T74" s="794"/>
      <c r="U74" s="810"/>
      <c r="V74" s="810"/>
      <c r="W74" s="810"/>
      <c r="X74" s="810"/>
      <c r="Y74" s="403">
        <f>SUM('TB-Pharmaceuticals'!$U74:$X74)</f>
        <v>0</v>
      </c>
      <c r="Z74" s="805">
        <f>'TB-Pharmaceuticals'!$T74*'TB-Pharmaceuticals'!$Y74</f>
        <v>0</v>
      </c>
      <c r="AA74" s="794"/>
      <c r="AB74" s="810"/>
      <c r="AC74" s="810"/>
      <c r="AD74" s="810"/>
      <c r="AE74" s="810"/>
      <c r="AF74" s="403">
        <f>SUM('TB-Pharmaceuticals'!$AB74:$AE74)</f>
        <v>0</v>
      </c>
      <c r="AG74" s="805">
        <f>'TB-Pharmaceuticals'!$AA74*'TB-Pharmaceuticals'!$AF74</f>
        <v>0</v>
      </c>
      <c r="AH74" s="404">
        <f>'TB-Pharmaceuticals'!$R74+'TB-Pharmaceuticals'!$Y74+'TB-Pharmaceuticals'!$AF74</f>
        <v>0</v>
      </c>
      <c r="AI74" s="805">
        <f>'TB-Pharmaceuticals'!$S74+'TB-Pharmaceuticals'!$Z74+'TB-Pharmaceuticals'!$AG74</f>
        <v>0</v>
      </c>
      <c r="AJ74" s="423" t="str">
        <f>IF(A74&lt;&gt;"",IFERROR(INDEX(PMtbl[[WKst]:[Unit of measure*]],MATCH($A$35&amp;$A74&amp;$D74&amp;$G74,INDEX(PMtbl[Sec]&amp;PMtbl[Category]&amp;PMtbl[INN]&amp;PMtbl[Specification],0,),0),7),""),"")</f>
        <v/>
      </c>
      <c r="AK74" s="2058"/>
      <c r="AL74" s="405" t="str">
        <f>IFERROR(INDEX(SETUP!$C$19:$G$62,MATCH((INDEX(PMtbl[[WKst]:[Unit of measure*]],MATCH($A74&amp;$D74&amp;$G74,INDEX(PMtbl[Category]&amp;PMtbl[INN]&amp;PMtbl[Specification],0,),0),3)),SETUP!$D$19:$D$62,0),5),"")</f>
        <v/>
      </c>
      <c r="AM74" s="405" t="str">
        <f>IFERROR(IF((INDEX(SETUP!$C$19:$G$62,MATCH((INDEX(PMtbl[[WKst]:[Unit of measure*]],MATCH($A74&amp;$D74&amp;$G74,INDEX(PMtbl[Category]&amp;PMtbl[INN]&amp;PMtbl[Specification],0,),0),3)),SETUP!$D$19:$D$62,0),4))="Upfront",0,INDEX(SETUP!$C$19:$G$62,MATCH((INDEX(PMtbl[[WKst]:[Unit of measure*]],MATCH($A74&amp;$D74&amp;$G74,INDEX(PMtbl[Category]&amp;PMtbl[INN]&amp;PMtbl[Specification],0,),0),3)),SETUP!$D$19:$D$62,0),5)),"")</f>
        <v/>
      </c>
    </row>
    <row r="75" spans="1:39">
      <c r="A75" s="2610"/>
      <c r="B75" s="2611"/>
      <c r="C75" s="2611"/>
      <c r="D75" s="2610"/>
      <c r="E75" s="2611"/>
      <c r="F75" s="2611"/>
      <c r="G75" s="2610"/>
      <c r="H75" s="2611"/>
      <c r="I75" s="2611"/>
      <c r="J75" s="2612"/>
      <c r="K75" s="175" t="str">
        <f>IF(A75&lt;&gt;"",IFERROR(INDEX(PMtbl[[WKst]:[Unit of measure*]],MATCH($A$35&amp;$A75&amp;$D75&amp;$G75,INDEX(PMtbl[Sec]&amp;PMtbl[Category]&amp;PMtbl[INN]&amp;PMtbl[Specification],0,),0),8),""),"")</f>
        <v/>
      </c>
      <c r="L75" s="175" t="str">
        <f>IF(K75="", "",SETUP!$E$5)</f>
        <v/>
      </c>
      <c r="M75" s="813"/>
      <c r="N75" s="819"/>
      <c r="O75" s="819"/>
      <c r="P75" s="819"/>
      <c r="Q75" s="819"/>
      <c r="R75" s="424">
        <f>SUM('TB-Pharmaceuticals'!$N75:$Q75)</f>
        <v>0</v>
      </c>
      <c r="S75" s="815">
        <f>'TB-Pharmaceuticals'!$M75*'TB-Pharmaceuticals'!$R75</f>
        <v>0</v>
      </c>
      <c r="T75" s="813"/>
      <c r="U75" s="819"/>
      <c r="V75" s="819"/>
      <c r="W75" s="819"/>
      <c r="X75" s="819"/>
      <c r="Y75" s="424">
        <f>SUM('TB-Pharmaceuticals'!$U75:$X75)</f>
        <v>0</v>
      </c>
      <c r="Z75" s="817">
        <f>'TB-Pharmaceuticals'!$T75*'TB-Pharmaceuticals'!$Y75</f>
        <v>0</v>
      </c>
      <c r="AA75" s="813"/>
      <c r="AB75" s="819"/>
      <c r="AC75" s="819"/>
      <c r="AD75" s="819"/>
      <c r="AE75" s="819"/>
      <c r="AF75" s="424">
        <f>SUM('TB-Pharmaceuticals'!$AB75:$AE75)</f>
        <v>0</v>
      </c>
      <c r="AG75" s="817">
        <f>'TB-Pharmaceuticals'!$AA75*'TB-Pharmaceuticals'!$AF75</f>
        <v>0</v>
      </c>
      <c r="AH75" s="425">
        <f>'TB-Pharmaceuticals'!$R75+'TB-Pharmaceuticals'!$Y75+'TB-Pharmaceuticals'!$AF75</f>
        <v>0</v>
      </c>
      <c r="AI75" s="817">
        <f>'TB-Pharmaceuticals'!$S75+'TB-Pharmaceuticals'!$Z75+'TB-Pharmaceuticals'!$AG75</f>
        <v>0</v>
      </c>
      <c r="AJ75" s="426" t="str">
        <f>IF(A75&lt;&gt;"",IFERROR(INDEX(PMtbl[[WKst]:[Unit of measure*]],MATCH($A$35&amp;$A75&amp;$D75&amp;$G75,INDEX(PMtbl[Sec]&amp;PMtbl[Category]&amp;PMtbl[INN]&amp;PMtbl[Specification],0,),0),7),""),"")</f>
        <v/>
      </c>
      <c r="AK75" s="2059"/>
      <c r="AL75" s="401" t="str">
        <f>IFERROR(INDEX(SETUP!$C$19:$G$62,MATCH((INDEX(PMtbl[[WKst]:[Unit of measure*]],MATCH($A75&amp;$D75&amp;$G75,INDEX(PMtbl[Category]&amp;PMtbl[INN]&amp;PMtbl[Specification],0,),0),3)),SETUP!$D$19:$D$62,0),5),"")</f>
        <v/>
      </c>
      <c r="AM75" s="401" t="str">
        <f>IFERROR(IF((INDEX(SETUP!$C$19:$G$62,MATCH((INDEX(PMtbl[[WKst]:[Unit of measure*]],MATCH($A75&amp;$D75&amp;$G75,INDEX(PMtbl[Category]&amp;PMtbl[INN]&amp;PMtbl[Specification],0,),0),3)),SETUP!$D$19:$D$62,0),4))="Upfront",0,INDEX(SETUP!$C$19:$G$62,MATCH((INDEX(PMtbl[[WKst]:[Unit of measure*]],MATCH($A75&amp;$D75&amp;$G75,INDEX(PMtbl[Category]&amp;PMtbl[INN]&amp;PMtbl[Specification],0,),0),3)),SETUP!$D$19:$D$62,0),5)),"")</f>
        <v/>
      </c>
    </row>
    <row r="76" spans="1:39">
      <c r="A76" s="2616"/>
      <c r="B76" s="2304"/>
      <c r="C76" s="2304"/>
      <c r="D76" s="2616"/>
      <c r="E76" s="2304"/>
      <c r="F76" s="2304"/>
      <c r="G76" s="2616"/>
      <c r="H76" s="2304"/>
      <c r="I76" s="2304"/>
      <c r="J76" s="2617"/>
      <c r="K76" s="176" t="str">
        <f>IF(A76&lt;&gt;"",IFERROR(INDEX(PMtbl[[WKst]:[Unit of measure*]],MATCH($A$35&amp;$A76&amp;$D76&amp;$G76,INDEX(PMtbl[Sec]&amp;PMtbl[Category]&amp;PMtbl[INN]&amp;PMtbl[Specification],0,),0),8),""),"")</f>
        <v/>
      </c>
      <c r="L76" s="177" t="str">
        <f>IF(K76="", "",SETUP!$E$5)</f>
        <v/>
      </c>
      <c r="M76" s="794"/>
      <c r="N76" s="810"/>
      <c r="O76" s="810"/>
      <c r="P76" s="810"/>
      <c r="Q76" s="810"/>
      <c r="R76" s="403">
        <f>SUM('TB-Pharmaceuticals'!$N76:$Q76)</f>
        <v>0</v>
      </c>
      <c r="S76" s="799">
        <f>'TB-Pharmaceuticals'!$M76*'TB-Pharmaceuticals'!$R76</f>
        <v>0</v>
      </c>
      <c r="T76" s="794"/>
      <c r="U76" s="810"/>
      <c r="V76" s="810"/>
      <c r="W76" s="810"/>
      <c r="X76" s="810"/>
      <c r="Y76" s="403">
        <f>SUM('TB-Pharmaceuticals'!$U76:$X76)</f>
        <v>0</v>
      </c>
      <c r="Z76" s="805">
        <f>'TB-Pharmaceuticals'!$T76*'TB-Pharmaceuticals'!$Y76</f>
        <v>0</v>
      </c>
      <c r="AA76" s="794"/>
      <c r="AB76" s="810"/>
      <c r="AC76" s="810"/>
      <c r="AD76" s="810"/>
      <c r="AE76" s="810"/>
      <c r="AF76" s="403">
        <f>SUM('TB-Pharmaceuticals'!$AB76:$AE76)</f>
        <v>0</v>
      </c>
      <c r="AG76" s="805">
        <f>'TB-Pharmaceuticals'!$AA76*'TB-Pharmaceuticals'!$AF76</f>
        <v>0</v>
      </c>
      <c r="AH76" s="404">
        <f>'TB-Pharmaceuticals'!$R76+'TB-Pharmaceuticals'!$Y76+'TB-Pharmaceuticals'!$AF76</f>
        <v>0</v>
      </c>
      <c r="AI76" s="805">
        <f>'TB-Pharmaceuticals'!$S76+'TB-Pharmaceuticals'!$Z76+'TB-Pharmaceuticals'!$AG76</f>
        <v>0</v>
      </c>
      <c r="AJ76" s="423" t="str">
        <f>IF(A76&lt;&gt;"",IFERROR(INDEX(PMtbl[[WKst]:[Unit of measure*]],MATCH($A$35&amp;$A76&amp;$D76&amp;$G76,INDEX(PMtbl[Sec]&amp;PMtbl[Category]&amp;PMtbl[INN]&amp;PMtbl[Specification],0,),0),7),""),"")</f>
        <v/>
      </c>
      <c r="AK76" s="2058"/>
      <c r="AL76" s="405" t="str">
        <f>IFERROR(INDEX(SETUP!$C$19:$G$62,MATCH((INDEX(PMtbl[[WKst]:[Unit of measure*]],MATCH($A76&amp;$D76&amp;$G76,INDEX(PMtbl[Category]&amp;PMtbl[INN]&amp;PMtbl[Specification],0,),0),3)),SETUP!$D$19:$D$62,0),5),"")</f>
        <v/>
      </c>
      <c r="AM76" s="405" t="str">
        <f>IFERROR(IF((INDEX(SETUP!$C$19:$G$62,MATCH((INDEX(PMtbl[[WKst]:[Unit of measure*]],MATCH($A76&amp;$D76&amp;$G76,INDEX(PMtbl[Category]&amp;PMtbl[INN]&amp;PMtbl[Specification],0,),0),3)),SETUP!$D$19:$D$62,0),4))="Upfront",0,INDEX(SETUP!$C$19:$G$62,MATCH((INDEX(PMtbl[[WKst]:[Unit of measure*]],MATCH($A76&amp;$D76&amp;$G76,INDEX(PMtbl[Category]&amp;PMtbl[INN]&amp;PMtbl[Specification],0,),0),3)),SETUP!$D$19:$D$62,0),5)),"")</f>
        <v/>
      </c>
    </row>
    <row r="77" spans="1:39">
      <c r="A77" s="2610"/>
      <c r="B77" s="2611"/>
      <c r="C77" s="2611"/>
      <c r="D77" s="2610"/>
      <c r="E77" s="2611"/>
      <c r="F77" s="2611"/>
      <c r="G77" s="2610"/>
      <c r="H77" s="2611"/>
      <c r="I77" s="2611"/>
      <c r="J77" s="2612"/>
      <c r="K77" s="175" t="str">
        <f>IF(A77&lt;&gt;"",IFERROR(INDEX(PMtbl[[WKst]:[Unit of measure*]],MATCH($A$35&amp;$A77&amp;$D77&amp;$G77,INDEX(PMtbl[Sec]&amp;PMtbl[Category]&amp;PMtbl[INN]&amp;PMtbl[Specification],0,),0),8),""),"")</f>
        <v/>
      </c>
      <c r="L77" s="175" t="str">
        <f>IF(K77="", "",SETUP!$E$5)</f>
        <v/>
      </c>
      <c r="M77" s="813"/>
      <c r="N77" s="819"/>
      <c r="O77" s="819"/>
      <c r="P77" s="819"/>
      <c r="Q77" s="819"/>
      <c r="R77" s="424">
        <f>SUM('TB-Pharmaceuticals'!$N77:$Q77)</f>
        <v>0</v>
      </c>
      <c r="S77" s="815">
        <f>'TB-Pharmaceuticals'!$M77*'TB-Pharmaceuticals'!$R77</f>
        <v>0</v>
      </c>
      <c r="T77" s="813"/>
      <c r="U77" s="819"/>
      <c r="V77" s="819"/>
      <c r="W77" s="819"/>
      <c r="X77" s="819"/>
      <c r="Y77" s="424">
        <f>SUM('TB-Pharmaceuticals'!$U77:$X77)</f>
        <v>0</v>
      </c>
      <c r="Z77" s="817">
        <f>'TB-Pharmaceuticals'!$T77*'TB-Pharmaceuticals'!$Y77</f>
        <v>0</v>
      </c>
      <c r="AA77" s="813"/>
      <c r="AB77" s="819"/>
      <c r="AC77" s="819"/>
      <c r="AD77" s="819"/>
      <c r="AE77" s="819"/>
      <c r="AF77" s="424">
        <f>SUM('TB-Pharmaceuticals'!$AB77:$AE77)</f>
        <v>0</v>
      </c>
      <c r="AG77" s="817">
        <f>'TB-Pharmaceuticals'!$AA77*'TB-Pharmaceuticals'!$AF77</f>
        <v>0</v>
      </c>
      <c r="AH77" s="425">
        <f>'TB-Pharmaceuticals'!$R77+'TB-Pharmaceuticals'!$Y77+'TB-Pharmaceuticals'!$AF77</f>
        <v>0</v>
      </c>
      <c r="AI77" s="817">
        <f>'TB-Pharmaceuticals'!$S77+'TB-Pharmaceuticals'!$Z77+'TB-Pharmaceuticals'!$AG77</f>
        <v>0</v>
      </c>
      <c r="AJ77" s="426" t="str">
        <f>IF(A77&lt;&gt;"",IFERROR(INDEX(PMtbl[[WKst]:[Unit of measure*]],MATCH($A$35&amp;$A77&amp;$D77&amp;$G77,INDEX(PMtbl[Sec]&amp;PMtbl[Category]&amp;PMtbl[INN]&amp;PMtbl[Specification],0,),0),7),""),"")</f>
        <v/>
      </c>
      <c r="AK77" s="2059"/>
      <c r="AL77" s="401" t="str">
        <f>IFERROR(INDEX(SETUP!$C$19:$G$62,MATCH((INDEX(PMtbl[[WKst]:[Unit of measure*]],MATCH($A77&amp;$D77&amp;$G77,INDEX(PMtbl[Category]&amp;PMtbl[INN]&amp;PMtbl[Specification],0,),0),3)),SETUP!$D$19:$D$62,0),5),"")</f>
        <v/>
      </c>
      <c r="AM77" s="401" t="str">
        <f>IFERROR(IF((INDEX(SETUP!$C$19:$G$62,MATCH((INDEX(PMtbl[[WKst]:[Unit of measure*]],MATCH($A77&amp;$D77&amp;$G77,INDEX(PMtbl[Category]&amp;PMtbl[INN]&amp;PMtbl[Specification],0,),0),3)),SETUP!$D$19:$D$62,0),4))="Upfront",0,INDEX(SETUP!$C$19:$G$62,MATCH((INDEX(PMtbl[[WKst]:[Unit of measure*]],MATCH($A77&amp;$D77&amp;$G77,INDEX(PMtbl[Category]&amp;PMtbl[INN]&amp;PMtbl[Specification],0,),0),3)),SETUP!$D$19:$D$62,0),5)),"")</f>
        <v/>
      </c>
    </row>
    <row r="78" spans="1:39">
      <c r="A78" s="2616"/>
      <c r="B78" s="2304"/>
      <c r="C78" s="2304"/>
      <c r="D78" s="2616"/>
      <c r="E78" s="2304"/>
      <c r="F78" s="2304"/>
      <c r="G78" s="2616"/>
      <c r="H78" s="2304"/>
      <c r="I78" s="2304"/>
      <c r="J78" s="2617"/>
      <c r="K78" s="176" t="str">
        <f>IF(A78&lt;&gt;"",IFERROR(INDEX(PMtbl[[WKst]:[Unit of measure*]],MATCH($A$35&amp;$A78&amp;$D78&amp;$G78,INDEX(PMtbl[Sec]&amp;PMtbl[Category]&amp;PMtbl[INN]&amp;PMtbl[Specification],0,),0),8),""),"")</f>
        <v/>
      </c>
      <c r="L78" s="177" t="str">
        <f>IF(K78="", "",SETUP!$E$5)</f>
        <v/>
      </c>
      <c r="M78" s="794"/>
      <c r="N78" s="810"/>
      <c r="O78" s="810"/>
      <c r="P78" s="810"/>
      <c r="Q78" s="810"/>
      <c r="R78" s="403">
        <f>SUM('TB-Pharmaceuticals'!$N78:$Q78)</f>
        <v>0</v>
      </c>
      <c r="S78" s="799">
        <f>'TB-Pharmaceuticals'!$M78*'TB-Pharmaceuticals'!$R78</f>
        <v>0</v>
      </c>
      <c r="T78" s="794"/>
      <c r="U78" s="810"/>
      <c r="V78" s="810"/>
      <c r="W78" s="810"/>
      <c r="X78" s="810"/>
      <c r="Y78" s="403">
        <f>SUM('TB-Pharmaceuticals'!$U78:$X78)</f>
        <v>0</v>
      </c>
      <c r="Z78" s="805">
        <f>'TB-Pharmaceuticals'!$T78*'TB-Pharmaceuticals'!$Y78</f>
        <v>0</v>
      </c>
      <c r="AA78" s="794"/>
      <c r="AB78" s="810"/>
      <c r="AC78" s="810"/>
      <c r="AD78" s="810"/>
      <c r="AE78" s="810"/>
      <c r="AF78" s="403">
        <f>SUM('TB-Pharmaceuticals'!$AB78:$AE78)</f>
        <v>0</v>
      </c>
      <c r="AG78" s="805">
        <f>'TB-Pharmaceuticals'!$AA78*'TB-Pharmaceuticals'!$AF78</f>
        <v>0</v>
      </c>
      <c r="AH78" s="404">
        <f>'TB-Pharmaceuticals'!$R78+'TB-Pharmaceuticals'!$Y78+'TB-Pharmaceuticals'!$AF78</f>
        <v>0</v>
      </c>
      <c r="AI78" s="805">
        <f>'TB-Pharmaceuticals'!$S78+'TB-Pharmaceuticals'!$Z78+'TB-Pharmaceuticals'!$AG78</f>
        <v>0</v>
      </c>
      <c r="AJ78" s="423" t="str">
        <f>IF(A78&lt;&gt;"",IFERROR(INDEX(PMtbl[[WKst]:[Unit of measure*]],MATCH($A$35&amp;$A78&amp;$D78&amp;$G78,INDEX(PMtbl[Sec]&amp;PMtbl[Category]&amp;PMtbl[INN]&amp;PMtbl[Specification],0,),0),7),""),"")</f>
        <v/>
      </c>
      <c r="AK78" s="2058"/>
      <c r="AL78" s="405" t="str">
        <f>IFERROR(INDEX(SETUP!$C$19:$G$62,MATCH((INDEX(PMtbl[[WKst]:[Unit of measure*]],MATCH($A78&amp;$D78&amp;$G78,INDEX(PMtbl[Category]&amp;PMtbl[INN]&amp;PMtbl[Specification],0,),0),3)),SETUP!$D$19:$D$62,0),5),"")</f>
        <v/>
      </c>
      <c r="AM78" s="405" t="str">
        <f>IFERROR(IF((INDEX(SETUP!$C$19:$G$62,MATCH((INDEX(PMtbl[[WKst]:[Unit of measure*]],MATCH($A78&amp;$D78&amp;$G78,INDEX(PMtbl[Category]&amp;PMtbl[INN]&amp;PMtbl[Specification],0,),0),3)),SETUP!$D$19:$D$62,0),4))="Upfront",0,INDEX(SETUP!$C$19:$G$62,MATCH((INDEX(PMtbl[[WKst]:[Unit of measure*]],MATCH($A78&amp;$D78&amp;$G78,INDEX(PMtbl[Category]&amp;PMtbl[INN]&amp;PMtbl[Specification],0,),0),3)),SETUP!$D$19:$D$62,0),5)),"")</f>
        <v/>
      </c>
    </row>
    <row r="79" spans="1:39">
      <c r="A79" s="2610"/>
      <c r="B79" s="2611"/>
      <c r="C79" s="2611"/>
      <c r="D79" s="2610"/>
      <c r="E79" s="2611"/>
      <c r="F79" s="2611"/>
      <c r="G79" s="2610"/>
      <c r="H79" s="2611"/>
      <c r="I79" s="2611"/>
      <c r="J79" s="2612"/>
      <c r="K79" s="175" t="str">
        <f>IF(A79&lt;&gt;"",IFERROR(INDEX(PMtbl[[WKst]:[Unit of measure*]],MATCH($A$35&amp;$A79&amp;$D79&amp;$G79,INDEX(PMtbl[Sec]&amp;PMtbl[Category]&amp;PMtbl[INN]&amp;PMtbl[Specification],0,),0),8),""),"")</f>
        <v/>
      </c>
      <c r="L79" s="175" t="str">
        <f>IF(K79="", "",SETUP!$E$5)</f>
        <v/>
      </c>
      <c r="M79" s="813"/>
      <c r="N79" s="819"/>
      <c r="O79" s="819"/>
      <c r="P79" s="819"/>
      <c r="Q79" s="819"/>
      <c r="R79" s="424">
        <f>SUM('TB-Pharmaceuticals'!$N79:$Q79)</f>
        <v>0</v>
      </c>
      <c r="S79" s="815">
        <f>'TB-Pharmaceuticals'!$M79*'TB-Pharmaceuticals'!$R79</f>
        <v>0</v>
      </c>
      <c r="T79" s="813"/>
      <c r="U79" s="819"/>
      <c r="V79" s="819"/>
      <c r="W79" s="819"/>
      <c r="X79" s="819"/>
      <c r="Y79" s="424">
        <f>SUM('TB-Pharmaceuticals'!$U79:$X79)</f>
        <v>0</v>
      </c>
      <c r="Z79" s="817">
        <f>'TB-Pharmaceuticals'!$T79*'TB-Pharmaceuticals'!$Y79</f>
        <v>0</v>
      </c>
      <c r="AA79" s="813"/>
      <c r="AB79" s="819"/>
      <c r="AC79" s="819"/>
      <c r="AD79" s="819"/>
      <c r="AE79" s="819"/>
      <c r="AF79" s="424">
        <f>SUM('TB-Pharmaceuticals'!$AB79:$AE79)</f>
        <v>0</v>
      </c>
      <c r="AG79" s="817">
        <f>'TB-Pharmaceuticals'!$AA79*'TB-Pharmaceuticals'!$AF79</f>
        <v>0</v>
      </c>
      <c r="AH79" s="425">
        <f>'TB-Pharmaceuticals'!$R79+'TB-Pharmaceuticals'!$Y79+'TB-Pharmaceuticals'!$AF79</f>
        <v>0</v>
      </c>
      <c r="AI79" s="817">
        <f>'TB-Pharmaceuticals'!$S79+'TB-Pharmaceuticals'!$Z79+'TB-Pharmaceuticals'!$AG79</f>
        <v>0</v>
      </c>
      <c r="AJ79" s="426" t="str">
        <f>IF(A79&lt;&gt;"",IFERROR(INDEX(PMtbl[[WKst]:[Unit of measure*]],MATCH($A$35&amp;$A79&amp;$D79&amp;$G79,INDEX(PMtbl[Sec]&amp;PMtbl[Category]&amp;PMtbl[INN]&amp;PMtbl[Specification],0,),0),7),""),"")</f>
        <v/>
      </c>
      <c r="AK79" s="2059"/>
      <c r="AL79" s="401" t="str">
        <f>IFERROR(INDEX(SETUP!$C$19:$G$62,MATCH((INDEX(PMtbl[[WKst]:[Unit of measure*]],MATCH($A79&amp;$D79&amp;$G79,INDEX(PMtbl[Category]&amp;PMtbl[INN]&amp;PMtbl[Specification],0,),0),3)),SETUP!$D$19:$D$62,0),5),"")</f>
        <v/>
      </c>
      <c r="AM79" s="401" t="str">
        <f>IFERROR(IF((INDEX(SETUP!$C$19:$G$62,MATCH((INDEX(PMtbl[[WKst]:[Unit of measure*]],MATCH($A79&amp;$D79&amp;$G79,INDEX(PMtbl[Category]&amp;PMtbl[INN]&amp;PMtbl[Specification],0,),0),3)),SETUP!$D$19:$D$62,0),4))="Upfront",0,INDEX(SETUP!$C$19:$G$62,MATCH((INDEX(PMtbl[[WKst]:[Unit of measure*]],MATCH($A79&amp;$D79&amp;$G79,INDEX(PMtbl[Category]&amp;PMtbl[INN]&amp;PMtbl[Specification],0,),0),3)),SETUP!$D$19:$D$62,0),5)),"")</f>
        <v/>
      </c>
    </row>
    <row r="80" spans="1:39">
      <c r="A80" s="2616"/>
      <c r="B80" s="2304"/>
      <c r="C80" s="2304"/>
      <c r="D80" s="2616"/>
      <c r="E80" s="2304"/>
      <c r="F80" s="2304"/>
      <c r="G80" s="2616"/>
      <c r="H80" s="2304"/>
      <c r="I80" s="2304"/>
      <c r="J80" s="2617"/>
      <c r="K80" s="176" t="str">
        <f>IF(A80&lt;&gt;"",IFERROR(INDEX(PMtbl[[WKst]:[Unit of measure*]],MATCH($A$35&amp;$A80&amp;$D80&amp;$G80,INDEX(PMtbl[Sec]&amp;PMtbl[Category]&amp;PMtbl[INN]&amp;PMtbl[Specification],0,),0),8),""),"")</f>
        <v/>
      </c>
      <c r="L80" s="177" t="str">
        <f>IF(K80="", "",SETUP!$E$5)</f>
        <v/>
      </c>
      <c r="M80" s="794"/>
      <c r="N80" s="810"/>
      <c r="O80" s="810"/>
      <c r="P80" s="810"/>
      <c r="Q80" s="810"/>
      <c r="R80" s="403">
        <f>SUM('TB-Pharmaceuticals'!$N80:$Q80)</f>
        <v>0</v>
      </c>
      <c r="S80" s="799">
        <f>'TB-Pharmaceuticals'!$M80*'TB-Pharmaceuticals'!$R80</f>
        <v>0</v>
      </c>
      <c r="T80" s="794"/>
      <c r="U80" s="810"/>
      <c r="V80" s="810"/>
      <c r="W80" s="810"/>
      <c r="X80" s="810"/>
      <c r="Y80" s="403">
        <f>SUM('TB-Pharmaceuticals'!$U80:$X80)</f>
        <v>0</v>
      </c>
      <c r="Z80" s="805">
        <f>'TB-Pharmaceuticals'!$T80*'TB-Pharmaceuticals'!$Y80</f>
        <v>0</v>
      </c>
      <c r="AA80" s="794"/>
      <c r="AB80" s="810"/>
      <c r="AC80" s="810"/>
      <c r="AD80" s="810"/>
      <c r="AE80" s="810"/>
      <c r="AF80" s="403">
        <f>SUM('TB-Pharmaceuticals'!$AB80:$AE80)</f>
        <v>0</v>
      </c>
      <c r="AG80" s="805">
        <f>'TB-Pharmaceuticals'!$AA80*'TB-Pharmaceuticals'!$AF80</f>
        <v>0</v>
      </c>
      <c r="AH80" s="404">
        <f>'TB-Pharmaceuticals'!$R80+'TB-Pharmaceuticals'!$Y80+'TB-Pharmaceuticals'!$AF80</f>
        <v>0</v>
      </c>
      <c r="AI80" s="805">
        <f>'TB-Pharmaceuticals'!$S80+'TB-Pharmaceuticals'!$Z80+'TB-Pharmaceuticals'!$AG80</f>
        <v>0</v>
      </c>
      <c r="AJ80" s="423" t="str">
        <f>IF(A80&lt;&gt;"",IFERROR(INDEX(PMtbl[[WKst]:[Unit of measure*]],MATCH($A$35&amp;$A80&amp;$D80&amp;$G80,INDEX(PMtbl[Sec]&amp;PMtbl[Category]&amp;PMtbl[INN]&amp;PMtbl[Specification],0,),0),7),""),"")</f>
        <v/>
      </c>
      <c r="AK80" s="2058"/>
      <c r="AL80" s="405" t="str">
        <f>IFERROR(INDEX(SETUP!$C$19:$G$62,MATCH((INDEX(PMtbl[[WKst]:[Unit of measure*]],MATCH($A80&amp;$D80&amp;$G80,INDEX(PMtbl[Category]&amp;PMtbl[INN]&amp;PMtbl[Specification],0,),0),3)),SETUP!$D$19:$D$62,0),5),"")</f>
        <v/>
      </c>
      <c r="AM80" s="405" t="str">
        <f>IFERROR(IF((INDEX(SETUP!$C$19:$G$62,MATCH((INDEX(PMtbl[[WKst]:[Unit of measure*]],MATCH($A80&amp;$D80&amp;$G80,INDEX(PMtbl[Category]&amp;PMtbl[INN]&amp;PMtbl[Specification],0,),0),3)),SETUP!$D$19:$D$62,0),4))="Upfront",0,INDEX(SETUP!$C$19:$G$62,MATCH((INDEX(PMtbl[[WKst]:[Unit of measure*]],MATCH($A80&amp;$D80&amp;$G80,INDEX(PMtbl[Category]&amp;PMtbl[INN]&amp;PMtbl[Specification],0,),0),3)),SETUP!$D$19:$D$62,0),5)),"")</f>
        <v/>
      </c>
    </row>
    <row r="81" spans="1:62">
      <c r="A81" s="2610"/>
      <c r="B81" s="2611"/>
      <c r="C81" s="2611"/>
      <c r="D81" s="2610"/>
      <c r="E81" s="2611"/>
      <c r="F81" s="2611"/>
      <c r="G81" s="2610"/>
      <c r="H81" s="2611"/>
      <c r="I81" s="2611"/>
      <c r="J81" s="2612"/>
      <c r="K81" s="175" t="str">
        <f>IF(A81&lt;&gt;"",IFERROR(INDEX(PMtbl[[WKst]:[Unit of measure*]],MATCH($A$35&amp;$A81&amp;$D81&amp;$G81,INDEX(PMtbl[Sec]&amp;PMtbl[Category]&amp;PMtbl[INN]&amp;PMtbl[Specification],0,),0),8),""),"")</f>
        <v/>
      </c>
      <c r="L81" s="175" t="str">
        <f>IF(K81="", "",SETUP!$E$5)</f>
        <v/>
      </c>
      <c r="M81" s="813"/>
      <c r="N81" s="819"/>
      <c r="O81" s="819"/>
      <c r="P81" s="819"/>
      <c r="Q81" s="819"/>
      <c r="R81" s="424">
        <f>SUM('TB-Pharmaceuticals'!$N81:$Q81)</f>
        <v>0</v>
      </c>
      <c r="S81" s="815">
        <f>'TB-Pharmaceuticals'!$M81*'TB-Pharmaceuticals'!$R81</f>
        <v>0</v>
      </c>
      <c r="T81" s="813"/>
      <c r="U81" s="819"/>
      <c r="V81" s="819"/>
      <c r="W81" s="819"/>
      <c r="X81" s="819"/>
      <c r="Y81" s="424">
        <f>SUM('TB-Pharmaceuticals'!$U81:$X81)</f>
        <v>0</v>
      </c>
      <c r="Z81" s="803">
        <f>'TB-Pharmaceuticals'!$T81*'TB-Pharmaceuticals'!$Y81</f>
        <v>0</v>
      </c>
      <c r="AA81" s="813"/>
      <c r="AB81" s="819"/>
      <c r="AC81" s="819"/>
      <c r="AD81" s="819"/>
      <c r="AE81" s="819"/>
      <c r="AF81" s="424">
        <f>SUM('TB-Pharmaceuticals'!$AB81:$AE81)</f>
        <v>0</v>
      </c>
      <c r="AG81" s="817">
        <f>'TB-Pharmaceuticals'!$AA81*'TB-Pharmaceuticals'!$AF81</f>
        <v>0</v>
      </c>
      <c r="AH81" s="425">
        <f>'TB-Pharmaceuticals'!$R81+'TB-Pharmaceuticals'!$Y81+'TB-Pharmaceuticals'!$AF81</f>
        <v>0</v>
      </c>
      <c r="AI81" s="817">
        <f>'TB-Pharmaceuticals'!$S81+'TB-Pharmaceuticals'!$Z81+'TB-Pharmaceuticals'!$AG81</f>
        <v>0</v>
      </c>
      <c r="AJ81" s="427" t="str">
        <f>IF(A81&lt;&gt;"",IFERROR(INDEX(PMtbl[[WKst]:[Unit of measure*]],MATCH($A$35&amp;$A81&amp;$D81&amp;$G81,INDEX(PMtbl[Sec]&amp;PMtbl[Category]&amp;PMtbl[INN]&amp;PMtbl[Specification],0,),0),7),""),"")</f>
        <v/>
      </c>
      <c r="AK81" s="2060"/>
      <c r="AL81" s="401" t="str">
        <f>IFERROR(INDEX(SETUP!$C$19:$G$62,MATCH((INDEX(PMtbl[[WKst]:[Unit of measure*]],MATCH($A81&amp;$D81&amp;$G81,INDEX(PMtbl[Category]&amp;PMtbl[INN]&amp;PMtbl[Specification],0,),0),3)),SETUP!$D$19:$D$62,0),5),"")</f>
        <v/>
      </c>
      <c r="AM81" s="401" t="str">
        <f>IFERROR(IF((INDEX(SETUP!$C$19:$G$62,MATCH((INDEX(PMtbl[[WKst]:[Unit of measure*]],MATCH($A81&amp;$D81&amp;$G81,INDEX(PMtbl[Category]&amp;PMtbl[INN]&amp;PMtbl[Specification],0,),0),3)),SETUP!$D$19:$D$62,0),4))="Upfront",0,INDEX(SETUP!$C$19:$G$62,MATCH((INDEX(PMtbl[[WKst]:[Unit of measure*]],MATCH($A81&amp;$D81&amp;$G81,INDEX(PMtbl[Category]&amp;PMtbl[INN]&amp;PMtbl[Specification],0,),0),3)),SETUP!$D$19:$D$62,0),5)),"")</f>
        <v/>
      </c>
    </row>
    <row r="82" spans="1:62" ht="15" thickBot="1">
      <c r="A82" s="2613"/>
      <c r="B82" s="2614"/>
      <c r="C82" s="2614"/>
      <c r="D82" s="2613"/>
      <c r="E82" s="2614"/>
      <c r="F82" s="2614"/>
      <c r="G82" s="2613"/>
      <c r="H82" s="2614"/>
      <c r="I82" s="2614"/>
      <c r="J82" s="2615"/>
      <c r="K82" s="178" t="str">
        <f>IF(A82&lt;&gt;"",IFERROR(INDEX(PMtbl[[WKst]:[Unit of measure*]],MATCH($A$35&amp;$A82&amp;$D82&amp;$G82,INDEX(PMtbl[Sec]&amp;PMtbl[Category]&amp;PMtbl[INN]&amp;PMtbl[Specification],0,),0),8),""),"")</f>
        <v/>
      </c>
      <c r="L82" s="316" t="str">
        <f>IF(K82="", "",SETUP!$E$5)</f>
        <v/>
      </c>
      <c r="M82" s="795"/>
      <c r="N82" s="811"/>
      <c r="O82" s="811"/>
      <c r="P82" s="811"/>
      <c r="Q82" s="811"/>
      <c r="R82" s="406">
        <f>SUM('TB-Pharmaceuticals'!$N82:$Q82)</f>
        <v>0</v>
      </c>
      <c r="S82" s="800">
        <f>'TB-Pharmaceuticals'!$M82*'TB-Pharmaceuticals'!$R82</f>
        <v>0</v>
      </c>
      <c r="T82" s="795"/>
      <c r="U82" s="811"/>
      <c r="V82" s="811"/>
      <c r="W82" s="811"/>
      <c r="X82" s="811"/>
      <c r="Y82" s="406">
        <f>SUM('TB-Pharmaceuticals'!$U82:$X82)</f>
        <v>0</v>
      </c>
      <c r="Z82" s="804">
        <f>'TB-Pharmaceuticals'!$T82*'TB-Pharmaceuticals'!$Y82</f>
        <v>0</v>
      </c>
      <c r="AA82" s="795"/>
      <c r="AB82" s="811"/>
      <c r="AC82" s="811"/>
      <c r="AD82" s="811"/>
      <c r="AE82" s="811"/>
      <c r="AF82" s="406">
        <f>SUM('TB-Pharmaceuticals'!$AB82:$AE82)</f>
        <v>0</v>
      </c>
      <c r="AG82" s="806">
        <f>'TB-Pharmaceuticals'!$AA82*'TB-Pharmaceuticals'!$AF82</f>
        <v>0</v>
      </c>
      <c r="AH82" s="407">
        <f>'TB-Pharmaceuticals'!$R82+'TB-Pharmaceuticals'!$Y82+'TB-Pharmaceuticals'!$AF82</f>
        <v>0</v>
      </c>
      <c r="AI82" s="806">
        <f>'TB-Pharmaceuticals'!$S82+'TB-Pharmaceuticals'!$Z82+'TB-Pharmaceuticals'!$AG82</f>
        <v>0</v>
      </c>
      <c r="AJ82" s="408" t="str">
        <f>IF(A82&lt;&gt;"",IFERROR(INDEX(PMtbl[[WKst]:[Unit of measure*]],MATCH($A$35&amp;$A82&amp;$D82&amp;$G82,INDEX(PMtbl[Sec]&amp;PMtbl[Category]&amp;PMtbl[INN]&amp;PMtbl[Specification],0,),0),7),""),"")</f>
        <v/>
      </c>
      <c r="AK82" s="2056"/>
      <c r="AL82" s="408" t="str">
        <f>IFERROR(INDEX(SETUP!$C$19:$G$62,MATCH((INDEX(PMtbl[[WKst]:[Unit of measure*]],MATCH($A82&amp;$D82&amp;$G82,INDEX(PMtbl[Category]&amp;PMtbl[INN]&amp;PMtbl[Specification],0,),0),3)),SETUP!$D$19:$D$62,0),5),"")</f>
        <v/>
      </c>
      <c r="AM82" s="408" t="str">
        <f>IFERROR(IF((INDEX(SETUP!$C$19:$G$62,MATCH((INDEX(PMtbl[[WKst]:[Unit of measure*]],MATCH($A82&amp;$D82&amp;$G82,INDEX(PMtbl[Category]&amp;PMtbl[INN]&amp;PMtbl[Specification],0,),0),3)),SETUP!$D$19:$D$62,0),4))="Upfront",0,INDEX(SETUP!$C$19:$G$62,MATCH((INDEX(PMtbl[[WKst]:[Unit of measure*]],MATCH($A82&amp;$D82&amp;$G82,INDEX(PMtbl[Category]&amp;PMtbl[INN]&amp;PMtbl[Specification],0,),0),3)),SETUP!$D$19:$D$62,0),5)),"")</f>
        <v/>
      </c>
    </row>
    <row r="83" spans="1:62" ht="15" thickBot="1">
      <c r="A83" s="452"/>
      <c r="B83" s="452"/>
      <c r="C83" s="452"/>
      <c r="D83" s="452"/>
      <c r="E83" s="452"/>
      <c r="F83" s="452"/>
      <c r="G83" s="452"/>
      <c r="H83" s="452"/>
      <c r="I83" s="452"/>
      <c r="J83" s="428"/>
      <c r="K83" s="176"/>
      <c r="L83" s="177"/>
      <c r="M83" s="409"/>
      <c r="N83" s="409"/>
      <c r="O83" s="409"/>
      <c r="P83" s="409"/>
      <c r="Q83" s="409"/>
      <c r="R83" s="410"/>
      <c r="S83" s="410"/>
      <c r="T83" s="409"/>
      <c r="U83" s="409"/>
      <c r="V83" s="409"/>
      <c r="W83" s="409"/>
      <c r="X83" s="409"/>
      <c r="Y83" s="412"/>
      <c r="Z83" s="412"/>
      <c r="AA83" s="409"/>
      <c r="AB83" s="409"/>
      <c r="AC83" s="409"/>
      <c r="AD83" s="409"/>
      <c r="AE83" s="409"/>
      <c r="AF83" s="414"/>
      <c r="AG83" s="414"/>
      <c r="AH83" s="414"/>
      <c r="AI83" s="414"/>
      <c r="AJ83" s="416"/>
      <c r="AK83" s="416"/>
      <c r="AL83" s="416"/>
    </row>
    <row r="84" spans="1:62" ht="15" customHeight="1" thickBot="1">
      <c r="A84" s="2623">
        <v>3</v>
      </c>
      <c r="B84" s="2625" t="s">
        <v>287</v>
      </c>
      <c r="C84" s="2625"/>
      <c r="D84" s="2658" t="s">
        <v>274</v>
      </c>
      <c r="E84" s="2658"/>
      <c r="F84" s="2658"/>
      <c r="G84" s="2659"/>
      <c r="H84" s="2602" t="s">
        <v>275</v>
      </c>
      <c r="I84" s="142"/>
      <c r="J84" s="429"/>
      <c r="K84" s="430"/>
      <c r="L84" s="431"/>
      <c r="M84" s="431"/>
      <c r="N84" s="431"/>
      <c r="O84" s="431"/>
      <c r="P84" s="431"/>
      <c r="Q84" s="431"/>
      <c r="R84" s="431"/>
      <c r="S84" s="431"/>
      <c r="T84" s="431"/>
      <c r="U84" s="431"/>
      <c r="V84" s="431"/>
      <c r="W84" s="431"/>
      <c r="X84" s="430"/>
      <c r="Y84" s="430"/>
      <c r="Z84" s="430"/>
      <c r="AA84" s="430"/>
      <c r="AB84" s="431"/>
      <c r="AC84" s="431"/>
      <c r="AD84" s="431"/>
      <c r="AE84" s="431"/>
      <c r="AF84" s="430"/>
      <c r="AG84" s="431"/>
      <c r="AH84" s="267"/>
    </row>
    <row r="85" spans="1:62" ht="15" customHeight="1" thickBot="1">
      <c r="A85" s="2624"/>
      <c r="B85" s="2626"/>
      <c r="C85" s="2626"/>
      <c r="D85" s="2660" t="s">
        <v>288</v>
      </c>
      <c r="E85" s="2660"/>
      <c r="F85" s="2660"/>
      <c r="G85" s="2661"/>
      <c r="H85" s="2653"/>
      <c r="I85" s="142"/>
      <c r="J85" s="432"/>
      <c r="K85" s="433"/>
      <c r="L85" s="434"/>
      <c r="M85" s="434"/>
      <c r="N85" s="434"/>
      <c r="O85" s="434"/>
      <c r="P85" s="434"/>
      <c r="Q85" s="434"/>
      <c r="R85" s="434"/>
      <c r="S85" s="434"/>
      <c r="T85" s="434"/>
      <c r="U85" s="434"/>
      <c r="V85" s="434"/>
      <c r="W85" s="434"/>
      <c r="X85" s="433"/>
      <c r="Y85" s="433"/>
      <c r="Z85" s="433"/>
      <c r="AA85" s="433"/>
      <c r="AB85" s="434"/>
      <c r="AC85" s="434"/>
      <c r="AD85" s="434"/>
      <c r="AE85" s="434"/>
      <c r="AF85" s="433"/>
      <c r="AG85" s="434"/>
      <c r="AH85" s="267"/>
    </row>
    <row r="86" spans="1:62" ht="129.75" customHeight="1">
      <c r="A86" s="2348" t="str">
        <f>IF($L$1=2,Language!$E$365,IF($L$1=3,Language!$F$365,Language!$G$365))</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86" s="2349"/>
      <c r="C86" s="2349"/>
      <c r="D86" s="2349"/>
      <c r="E86" s="2349"/>
      <c r="F86" s="2349"/>
      <c r="G86" s="2349"/>
      <c r="H86" s="2349"/>
      <c r="I86" s="2349"/>
      <c r="J86" s="2349"/>
      <c r="K86" s="2349"/>
      <c r="L86" s="2349"/>
      <c r="M86" s="436"/>
      <c r="N86" s="436"/>
      <c r="O86" s="436"/>
      <c r="P86" s="436"/>
      <c r="Q86" s="436"/>
      <c r="R86" s="436"/>
      <c r="S86" s="436"/>
      <c r="T86" s="436"/>
      <c r="U86" s="436"/>
      <c r="V86" s="436"/>
      <c r="W86" s="436"/>
      <c r="X86" s="435"/>
      <c r="Y86" s="435"/>
      <c r="Z86" s="435"/>
      <c r="AA86" s="435"/>
      <c r="AB86" s="436"/>
      <c r="AC86" s="436"/>
      <c r="AD86" s="436"/>
      <c r="AE86" s="436"/>
      <c r="AF86" s="435"/>
      <c r="AG86" s="436"/>
      <c r="AH86" s="267"/>
    </row>
    <row r="87" spans="1:62" ht="16" thickBot="1">
      <c r="A87" s="83"/>
      <c r="B87" s="660"/>
      <c r="C87" s="84"/>
      <c r="D87" s="85"/>
      <c r="E87" s="86"/>
      <c r="F87" s="86"/>
      <c r="G87" s="86"/>
      <c r="H87" s="86"/>
      <c r="I87" s="321"/>
      <c r="J87" s="437"/>
      <c r="K87" s="438"/>
      <c r="L87" s="439"/>
      <c r="M87" s="439"/>
      <c r="N87" s="439"/>
      <c r="O87" s="439"/>
      <c r="P87" s="439"/>
      <c r="Q87" s="439"/>
      <c r="R87" s="439"/>
      <c r="S87" s="439"/>
      <c r="T87" s="439"/>
      <c r="U87" s="439"/>
      <c r="V87" s="439"/>
      <c r="W87" s="439"/>
      <c r="X87" s="438"/>
      <c r="Y87" s="438"/>
      <c r="Z87" s="438"/>
      <c r="AA87" s="438"/>
      <c r="AB87" s="439"/>
      <c r="AC87" s="439"/>
      <c r="AD87" s="439"/>
      <c r="AE87" s="439"/>
      <c r="AF87" s="438"/>
      <c r="AG87" s="439"/>
      <c r="AH87" s="322"/>
    </row>
    <row r="88" spans="1:62" s="338" customFormat="1" ht="15.75" customHeight="1" thickBot="1">
      <c r="A88" s="2654" t="str">
        <f>A39</f>
        <v>Categoría</v>
      </c>
      <c r="B88" s="2619"/>
      <c r="C88" s="2619"/>
      <c r="D88" s="2654" t="str">
        <f t="shared" ref="D88" si="24">D39</f>
        <v>DCI del producto</v>
      </c>
      <c r="E88" s="2619"/>
      <c r="F88" s="2619"/>
      <c r="G88" s="2627" t="str">
        <f t="shared" ref="G88" si="25">G39</f>
        <v>Especificaciones (dosificación, forma farmacéutica, empaque, tamaño del empaque)</v>
      </c>
      <c r="H88" s="2628"/>
      <c r="I88" s="2629"/>
      <c r="J88" s="2651">
        <f t="shared" ref="J88" si="26">J39</f>
        <v>0</v>
      </c>
      <c r="K88" s="2619" t="str">
        <f>K39</f>
        <v>Unidad de medida</v>
      </c>
      <c r="L88" s="2621" t="str">
        <f>L39</f>
        <v>Moneda de pago</v>
      </c>
      <c r="M88" s="2698">
        <f>M39</f>
        <v>2022</v>
      </c>
      <c r="N88" s="2699"/>
      <c r="O88" s="2699"/>
      <c r="P88" s="2699"/>
      <c r="Q88" s="2699"/>
      <c r="R88" s="2699"/>
      <c r="S88" s="2700"/>
      <c r="T88" s="2698">
        <f>T39</f>
        <v>2023</v>
      </c>
      <c r="U88" s="2699"/>
      <c r="V88" s="2699"/>
      <c r="W88" s="2699"/>
      <c r="X88" s="2699"/>
      <c r="Y88" s="2699"/>
      <c r="Z88" s="2700"/>
      <c r="AA88" s="2698">
        <f>AA39</f>
        <v>2024</v>
      </c>
      <c r="AB88" s="2699"/>
      <c r="AC88" s="2699"/>
      <c r="AD88" s="2699"/>
      <c r="AE88" s="2699"/>
      <c r="AF88" s="2699"/>
      <c r="AG88" s="2700"/>
      <c r="AH88" s="2696" t="str">
        <f>AH39</f>
        <v>Total del período de subvención</v>
      </c>
      <c r="AI88" s="2697"/>
      <c r="AJ88" s="1855" t="str">
        <f>AJ39</f>
        <v>Finanzas</v>
      </c>
      <c r="AK88" s="2647" t="str">
        <f>AK39</f>
        <v>Comentarios</v>
      </c>
      <c r="AL88" s="2608" t="str">
        <f>AL39</f>
        <v>Plazo de entrega</v>
      </c>
      <c r="AM88" s="2608" t="s">
        <v>3054</v>
      </c>
      <c r="AU88" s="337"/>
      <c r="AV88" s="337"/>
      <c r="AW88" s="337"/>
      <c r="AX88" s="337"/>
      <c r="AY88" s="337"/>
      <c r="AZ88" s="337"/>
      <c r="BA88" s="337"/>
      <c r="BB88" s="337"/>
      <c r="BC88" s="337"/>
      <c r="BD88" s="337"/>
      <c r="BE88" s="337"/>
      <c r="BF88" s="337"/>
      <c r="BG88" s="337"/>
      <c r="BH88" s="337"/>
      <c r="BI88" s="337"/>
      <c r="BJ88" s="337"/>
    </row>
    <row r="89" spans="1:62" s="342" customFormat="1" ht="26.5" thickBot="1">
      <c r="A89" s="2655"/>
      <c r="B89" s="2620"/>
      <c r="C89" s="2620"/>
      <c r="D89" s="2655"/>
      <c r="E89" s="2620"/>
      <c r="F89" s="2620"/>
      <c r="G89" s="2630"/>
      <c r="H89" s="2631"/>
      <c r="I89" s="2632"/>
      <c r="J89" s="2652"/>
      <c r="K89" s="2620"/>
      <c r="L89" s="2622"/>
      <c r="M89" s="440" t="str">
        <f>M40</f>
        <v>Costo unitario del A1</v>
      </c>
      <c r="N89" s="441" t="str">
        <f t="shared" ref="N89:AJ89" si="27">N40</f>
        <v>Cantidad del A1, T1</v>
      </c>
      <c r="O89" s="441" t="str">
        <f t="shared" si="27"/>
        <v>Cantidad del A1, T2</v>
      </c>
      <c r="P89" s="441" t="str">
        <f t="shared" si="27"/>
        <v>Cantidad del A1, T3</v>
      </c>
      <c r="Q89" s="441" t="str">
        <f t="shared" si="27"/>
        <v>Cantidad del A1, T4</v>
      </c>
      <c r="R89" s="441" t="str">
        <f t="shared" si="27"/>
        <v>Cantidad total del A1</v>
      </c>
      <c r="S89" s="441" t="str">
        <f t="shared" si="27"/>
        <v>Costo total del A1</v>
      </c>
      <c r="T89" s="440" t="str">
        <f t="shared" si="27"/>
        <v>Costo unitario del A2</v>
      </c>
      <c r="U89" s="441" t="str">
        <f t="shared" si="27"/>
        <v>Cantidad del A2, T1</v>
      </c>
      <c r="V89" s="441" t="str">
        <f t="shared" si="27"/>
        <v>Cantidad del A2, T2</v>
      </c>
      <c r="W89" s="441" t="str">
        <f t="shared" si="27"/>
        <v>Cantidad del A2, T3</v>
      </c>
      <c r="X89" s="441" t="str">
        <f t="shared" si="27"/>
        <v>Cantidad del A2, T4</v>
      </c>
      <c r="Y89" s="441" t="str">
        <f t="shared" si="27"/>
        <v>Cantidad total del A2</v>
      </c>
      <c r="Z89" s="441" t="str">
        <f t="shared" si="27"/>
        <v>Costo total del A2</v>
      </c>
      <c r="AA89" s="440" t="str">
        <f t="shared" si="27"/>
        <v>Costo unitario del A3</v>
      </c>
      <c r="AB89" s="441" t="str">
        <f t="shared" si="27"/>
        <v>Cantidad del A3, T1</v>
      </c>
      <c r="AC89" s="441" t="str">
        <f t="shared" si="27"/>
        <v>Cantidad del A3, T2</v>
      </c>
      <c r="AD89" s="441" t="str">
        <f t="shared" si="27"/>
        <v>Cantidad del A3, T3</v>
      </c>
      <c r="AE89" s="441" t="str">
        <f t="shared" si="27"/>
        <v>Cantidad del A3, T4</v>
      </c>
      <c r="AF89" s="441" t="str">
        <f t="shared" si="27"/>
        <v>Cantidad total del A3</v>
      </c>
      <c r="AG89" s="441" t="str">
        <f t="shared" si="27"/>
        <v>Costo total del A3</v>
      </c>
      <c r="AH89" s="442" t="str">
        <f t="shared" si="27"/>
        <v>Cantidad total</v>
      </c>
      <c r="AI89" s="443" t="str">
        <f t="shared" si="27"/>
        <v xml:space="preserve">Costo total </v>
      </c>
      <c r="AJ89" s="444" t="str">
        <f t="shared" si="27"/>
        <v>Categoría de costos</v>
      </c>
      <c r="AK89" s="2648"/>
      <c r="AL89" s="2609"/>
      <c r="AM89" s="2609"/>
      <c r="AU89" s="337"/>
      <c r="AV89" s="337"/>
      <c r="AW89" s="337"/>
      <c r="AX89" s="337"/>
      <c r="AY89" s="337"/>
      <c r="AZ89" s="337"/>
      <c r="BA89" s="337"/>
      <c r="BB89" s="337"/>
      <c r="BC89" s="337"/>
      <c r="BD89" s="337"/>
      <c r="BE89" s="337"/>
      <c r="BF89" s="337"/>
      <c r="BG89" s="337"/>
      <c r="BH89" s="337"/>
      <c r="BI89" s="337"/>
      <c r="BJ89" s="337"/>
    </row>
    <row r="90" spans="1:62" s="8" customFormat="1">
      <c r="A90" s="2610"/>
      <c r="B90" s="2611"/>
      <c r="C90" s="2611"/>
      <c r="D90" s="2656"/>
      <c r="E90" s="2657"/>
      <c r="F90" s="2657"/>
      <c r="G90" s="2610"/>
      <c r="H90" s="2618"/>
      <c r="I90" s="2618"/>
      <c r="J90" s="2612"/>
      <c r="K90" s="1124" t="str">
        <f>IF(A90&lt;&gt;"",IFERROR(INDEX(PMtbl[[WKst]:[Unit of measure*]],MATCH($A$84&amp;$A90&amp;$D90&amp;$G90,INDEX(PMtbl[Sec]&amp;PMtbl[Category]&amp;PMtbl[INN]&amp;PMtbl[Specification],0,),0),8),""),"")</f>
        <v/>
      </c>
      <c r="L90" s="1124" t="str">
        <f>IF(K90="", "",SETUP!$E$5)</f>
        <v/>
      </c>
      <c r="M90" s="791"/>
      <c r="N90" s="807"/>
      <c r="O90" s="807"/>
      <c r="P90" s="807"/>
      <c r="Q90" s="807"/>
      <c r="R90" s="391">
        <f>SUM('TB-Pharmaceuticals'!$N90:$Q90)</f>
        <v>0</v>
      </c>
      <c r="S90" s="796">
        <f>'TB-Pharmaceuticals'!$M90*'TB-Pharmaceuticals'!$R90</f>
        <v>0</v>
      </c>
      <c r="T90" s="791"/>
      <c r="U90" s="807"/>
      <c r="V90" s="807"/>
      <c r="W90" s="807"/>
      <c r="X90" s="807"/>
      <c r="Y90" s="391">
        <f>SUM('TB-Pharmaceuticals'!$U90:$X90)</f>
        <v>0</v>
      </c>
      <c r="Z90" s="801">
        <f>'TB-Pharmaceuticals'!$T90*'TB-Pharmaceuticals'!$Y90</f>
        <v>0</v>
      </c>
      <c r="AA90" s="791"/>
      <c r="AB90" s="807"/>
      <c r="AC90" s="807"/>
      <c r="AD90" s="807"/>
      <c r="AE90" s="807"/>
      <c r="AF90" s="391">
        <f>SUM('TB-Pharmaceuticals'!$AB90:$AE90)</f>
        <v>0</v>
      </c>
      <c r="AG90" s="801">
        <f>'TB-Pharmaceuticals'!$AA90*'TB-Pharmaceuticals'!$AF90</f>
        <v>0</v>
      </c>
      <c r="AH90" s="392">
        <f>'TB-Pharmaceuticals'!$R90+'TB-Pharmaceuticals'!$Y90+'TB-Pharmaceuticals'!$AF90</f>
        <v>0</v>
      </c>
      <c r="AI90" s="801">
        <f>'TB-Pharmaceuticals'!$S90+'TB-Pharmaceuticals'!$Z90+'TB-Pharmaceuticals'!$AG90</f>
        <v>0</v>
      </c>
      <c r="AJ90" s="1125" t="str">
        <f>IF(A90&lt;&gt;"",IFERROR(INDEX(PMtbl[[WKst]:[Unit of measure*]],MATCH($A$84&amp;$A90&amp;$D90&amp;$G90,INDEX(PMtbl[Sec]&amp;PMtbl[Category]&amp;PMtbl[INN]&amp;PMtbl[Specification],0,),0),7),""),"")</f>
        <v/>
      </c>
      <c r="AK90" s="2061"/>
      <c r="AL90" s="1125" t="str">
        <f>IFERROR(INDEX(SETUP!$C$19:$G$62,MATCH((INDEX(PMtbl[[WKst]:[Unit of measure*]],MATCH($A90&amp;$D90&amp;$G90,INDEX(PMtbl[Category]&amp;PMtbl[INN]&amp;PMtbl[Specification],0,),0),3)),SETUP!$D$19:$D$62,0),5),"")</f>
        <v/>
      </c>
      <c r="AM90" s="1125" t="str">
        <f>IFERROR(IF((INDEX(SETUP!$C$19:$G$62,MATCH((INDEX(PMtbl[[WKst]:[Unit of measure*]],MATCH($A90&amp;$D90&amp;$G90,INDEX(PMtbl[Category]&amp;PMtbl[INN]&amp;PMtbl[Specification],0,),0),3)),SETUP!$D$19:$D$62,0),4))="Upfront",0,INDEX(SETUP!$C$19:$G$62,MATCH((INDEX(PMtbl[[WKst]:[Unit of measure*]],MATCH($A90&amp;$D90&amp;$G90,INDEX(PMtbl[Category]&amp;PMtbl[INN]&amp;PMtbl[Specification],0,),0),3)),SETUP!$D$19:$D$62,0),5)),"")</f>
        <v/>
      </c>
      <c r="AU90" s="338"/>
      <c r="AV90" s="338"/>
      <c r="AW90" s="338"/>
      <c r="AX90" s="338"/>
      <c r="AY90" s="338"/>
      <c r="AZ90" s="338"/>
      <c r="BA90" s="338"/>
      <c r="BB90" s="338"/>
      <c r="BC90" s="338"/>
      <c r="BD90" s="338"/>
      <c r="BE90" s="338"/>
      <c r="BF90" s="338"/>
      <c r="BG90" s="338"/>
      <c r="BH90" s="338"/>
      <c r="BI90" s="338"/>
      <c r="BJ90" s="338"/>
    </row>
    <row r="91" spans="1:62">
      <c r="A91" s="2616"/>
      <c r="B91" s="2304"/>
      <c r="C91" s="2617"/>
      <c r="D91" s="2616"/>
      <c r="E91" s="2304"/>
      <c r="F91" s="2304"/>
      <c r="G91" s="2616"/>
      <c r="H91" s="2304"/>
      <c r="I91" s="2304"/>
      <c r="J91" s="2617"/>
      <c r="K91" s="176" t="str">
        <f>IF(A91&lt;&gt;"",IFERROR(INDEX(PMtbl[[WKst]:[Unit of measure*]],MATCH($A$84&amp;$A91&amp;$D91&amp;$G91,INDEX(PMtbl[Sec]&amp;PMtbl[Category]&amp;PMtbl[INN]&amp;PMtbl[Specification],0,),0),8),""),"")</f>
        <v/>
      </c>
      <c r="L91" s="177" t="str">
        <f>IF(K91="", "",SETUP!$E$5)</f>
        <v/>
      </c>
      <c r="M91" s="792"/>
      <c r="N91" s="808"/>
      <c r="O91" s="808"/>
      <c r="P91" s="808"/>
      <c r="Q91" s="808"/>
      <c r="R91" s="395">
        <f>SUM('TB-Pharmaceuticals'!$N91:$Q91)</f>
        <v>0</v>
      </c>
      <c r="S91" s="797">
        <f>'TB-Pharmaceuticals'!$M91*'TB-Pharmaceuticals'!$R91</f>
        <v>0</v>
      </c>
      <c r="T91" s="792"/>
      <c r="U91" s="808"/>
      <c r="V91" s="808"/>
      <c r="W91" s="808"/>
      <c r="X91" s="808"/>
      <c r="Y91" s="395">
        <f>SUM('TB-Pharmaceuticals'!$U91:$X91)</f>
        <v>0</v>
      </c>
      <c r="Z91" s="802">
        <f>'TB-Pharmaceuticals'!$T91*'TB-Pharmaceuticals'!$Y91</f>
        <v>0</v>
      </c>
      <c r="AA91" s="792"/>
      <c r="AB91" s="808"/>
      <c r="AC91" s="808"/>
      <c r="AD91" s="808"/>
      <c r="AE91" s="808"/>
      <c r="AF91" s="395">
        <f>SUM('TB-Pharmaceuticals'!$AB91:$AE91)</f>
        <v>0</v>
      </c>
      <c r="AG91" s="802">
        <f>'TB-Pharmaceuticals'!$AA91*'TB-Pharmaceuticals'!$AF91</f>
        <v>0</v>
      </c>
      <c r="AH91" s="396">
        <f>'TB-Pharmaceuticals'!$R91+'TB-Pharmaceuticals'!$Y91+'TB-Pharmaceuticals'!$AF91</f>
        <v>0</v>
      </c>
      <c r="AI91" s="802">
        <f>'TB-Pharmaceuticals'!$S91+'TB-Pharmaceuticals'!$Z91+'TB-Pharmaceuticals'!$AG91</f>
        <v>0</v>
      </c>
      <c r="AJ91" s="397" t="str">
        <f>IF(A91&lt;&gt;"",IFERROR(INDEX(PMtbl[[WKst]:[Unit of measure*]],MATCH($A$84&amp;$A91&amp;$D91&amp;$G91,INDEX(PMtbl[Sec]&amp;PMtbl[Category]&amp;PMtbl[INN]&amp;PMtbl[Specification],0,),0),7),""),"")</f>
        <v/>
      </c>
      <c r="AK91" s="947"/>
      <c r="AL91" s="397" t="str">
        <f>IFERROR(INDEX(SETUP!$C$19:$G$62,MATCH((INDEX(PMtbl[[WKst]:[Unit of measure*]],MATCH($A91&amp;$D91&amp;$G91,INDEX(PMtbl[Category]&amp;PMtbl[INN]&amp;PMtbl[Specification],0,),0),3)),SETUP!$D$19:$D$62,0),5),"")</f>
        <v/>
      </c>
      <c r="AM91" s="397" t="str">
        <f>IFERROR(IF((INDEX(SETUP!$C$19:$G$62,MATCH((INDEX(PMtbl[[WKst]:[Unit of measure*]],MATCH($A91&amp;$D91&amp;$G91,INDEX(PMtbl[Category]&amp;PMtbl[INN]&amp;PMtbl[Specification],0,),0),3)),SETUP!$D$19:$D$62,0),4))="Upfront",0,INDEX(SETUP!$C$19:$G$62,MATCH((INDEX(PMtbl[[WKst]:[Unit of measure*]],MATCH($A91&amp;$D91&amp;$G91,INDEX(PMtbl[Category]&amp;PMtbl[INN]&amp;PMtbl[Specification],0,),0),3)),SETUP!$D$19:$D$62,0),5)),"")</f>
        <v/>
      </c>
      <c r="AU91" s="342"/>
      <c r="AV91" s="342"/>
      <c r="AW91" s="342"/>
      <c r="AX91" s="342"/>
      <c r="AY91" s="342"/>
      <c r="AZ91" s="342"/>
      <c r="BA91" s="342"/>
      <c r="BB91" s="342"/>
      <c r="BC91" s="342"/>
      <c r="BD91" s="342"/>
      <c r="BE91" s="342"/>
      <c r="BF91" s="342"/>
      <c r="BG91" s="342"/>
      <c r="BH91" s="342"/>
      <c r="BI91" s="342"/>
      <c r="BJ91" s="342"/>
    </row>
    <row r="92" spans="1:62">
      <c r="A92" s="2610"/>
      <c r="B92" s="2611"/>
      <c r="C92" s="2612"/>
      <c r="D92" s="2610"/>
      <c r="E92" s="2611"/>
      <c r="F92" s="2611"/>
      <c r="G92" s="2610"/>
      <c r="H92" s="2611"/>
      <c r="I92" s="2611"/>
      <c r="J92" s="2612"/>
      <c r="K92" s="175" t="str">
        <f>IF(A92&lt;&gt;"",IFERROR(INDEX(PMtbl[[WKst]:[Unit of measure*]],MATCH($A$84&amp;$A92&amp;$D92&amp;$G92,INDEX(PMtbl[Sec]&amp;PMtbl[Category]&amp;PMtbl[INN]&amp;PMtbl[Specification],0,),0),8),""),"")</f>
        <v/>
      </c>
      <c r="L92" s="175" t="str">
        <f>IF(K92="", "",SETUP!$E$5)</f>
        <v/>
      </c>
      <c r="M92" s="793"/>
      <c r="N92" s="809"/>
      <c r="O92" s="809"/>
      <c r="P92" s="809"/>
      <c r="Q92" s="809"/>
      <c r="R92" s="398">
        <f>SUM('TB-Pharmaceuticals'!$N92:$Q92)</f>
        <v>0</v>
      </c>
      <c r="S92" s="798">
        <f>'TB-Pharmaceuticals'!$M92*'TB-Pharmaceuticals'!$R92</f>
        <v>0</v>
      </c>
      <c r="T92" s="793"/>
      <c r="U92" s="809"/>
      <c r="V92" s="809"/>
      <c r="W92" s="809"/>
      <c r="X92" s="809"/>
      <c r="Y92" s="398">
        <f>SUM('TB-Pharmaceuticals'!$U92:$X92)</f>
        <v>0</v>
      </c>
      <c r="Z92" s="803">
        <f>'TB-Pharmaceuticals'!$T92*'TB-Pharmaceuticals'!$Y92</f>
        <v>0</v>
      </c>
      <c r="AA92" s="793"/>
      <c r="AB92" s="809"/>
      <c r="AC92" s="809"/>
      <c r="AD92" s="809"/>
      <c r="AE92" s="809"/>
      <c r="AF92" s="398">
        <f>SUM('TB-Pharmaceuticals'!$AB92:$AE92)</f>
        <v>0</v>
      </c>
      <c r="AG92" s="803">
        <f>'TB-Pharmaceuticals'!$AA92*'TB-Pharmaceuticals'!$AF92</f>
        <v>0</v>
      </c>
      <c r="AH92" s="399">
        <f>'TB-Pharmaceuticals'!$R92+'TB-Pharmaceuticals'!$Y92+'TB-Pharmaceuticals'!$AF92</f>
        <v>0</v>
      </c>
      <c r="AI92" s="803">
        <f>'TB-Pharmaceuticals'!$S92+'TB-Pharmaceuticals'!$Z92+'TB-Pharmaceuticals'!$AG92</f>
        <v>0</v>
      </c>
      <c r="AJ92" s="400" t="str">
        <f>IF(A92&lt;&gt;"",IFERROR(INDEX(PMtbl[[WKst]:[Unit of measure*]],MATCH($A$84&amp;$A92&amp;$D92&amp;$G92,INDEX(PMtbl[Sec]&amp;PMtbl[Category]&amp;PMtbl[INN]&amp;PMtbl[Specification],0,),0),7),""),"")</f>
        <v/>
      </c>
      <c r="AK92" s="946"/>
      <c r="AL92" s="400" t="str">
        <f>IFERROR(INDEX(SETUP!$C$19:$G$62,MATCH((INDEX(PMtbl[[WKst]:[Unit of measure*]],MATCH($A92&amp;$D92&amp;$G92,INDEX(PMtbl[Category]&amp;PMtbl[INN]&amp;PMtbl[Specification],0,),0),3)),SETUP!$D$19:$D$62,0),5),"")</f>
        <v/>
      </c>
      <c r="AM92" s="400" t="str">
        <f>IFERROR(IF((INDEX(SETUP!$C$19:$G$62,MATCH((INDEX(PMtbl[[WKst]:[Unit of measure*]],MATCH($A92&amp;$D92&amp;$G92,INDEX(PMtbl[Category]&amp;PMtbl[INN]&amp;PMtbl[Specification],0,),0),3)),SETUP!$D$19:$D$62,0),4))="Upfront",0,INDEX(SETUP!$C$19:$G$62,MATCH((INDEX(PMtbl[[WKst]:[Unit of measure*]],MATCH($A92&amp;$D92&amp;$G92,INDEX(PMtbl[Category]&amp;PMtbl[INN]&amp;PMtbl[Specification],0,),0),3)),SETUP!$D$19:$D$62,0),5)),"")</f>
        <v/>
      </c>
      <c r="AU92" s="8"/>
      <c r="AV92" s="8"/>
      <c r="AW92" s="8"/>
      <c r="AX92" s="8"/>
      <c r="AY92" s="8"/>
      <c r="AZ92" s="8"/>
      <c r="BA92" s="8"/>
      <c r="BB92" s="8"/>
      <c r="BC92" s="8"/>
      <c r="BD92" s="8"/>
      <c r="BE92" s="8"/>
      <c r="BF92" s="8"/>
      <c r="BG92" s="8"/>
      <c r="BH92" s="8"/>
      <c r="BI92" s="8"/>
      <c r="BJ92" s="8"/>
    </row>
    <row r="93" spans="1:62">
      <c r="A93" s="2616"/>
      <c r="B93" s="2304"/>
      <c r="C93" s="2617"/>
      <c r="D93" s="2616"/>
      <c r="E93" s="2304"/>
      <c r="F93" s="2617"/>
      <c r="G93" s="2616"/>
      <c r="H93" s="2304"/>
      <c r="I93" s="2304"/>
      <c r="J93" s="2617"/>
      <c r="K93" s="176" t="str">
        <f>IF(A93&lt;&gt;"",IFERROR(INDEX(PMtbl[[WKst]:[Unit of measure*]],MATCH($A$84&amp;$A93&amp;$D93&amp;$G93,INDEX(PMtbl[Sec]&amp;PMtbl[Category]&amp;PMtbl[INN]&amp;PMtbl[Specification],0,),0),8),""),"")</f>
        <v/>
      </c>
      <c r="L93" s="177" t="str">
        <f>IF(K93="", "",SETUP!$E$5)</f>
        <v/>
      </c>
      <c r="M93" s="792"/>
      <c r="N93" s="808"/>
      <c r="O93" s="808"/>
      <c r="P93" s="808"/>
      <c r="Q93" s="808"/>
      <c r="R93" s="395">
        <f>SUM('TB-Pharmaceuticals'!$N93:$Q93)</f>
        <v>0</v>
      </c>
      <c r="S93" s="797">
        <f>'TB-Pharmaceuticals'!$M93*'TB-Pharmaceuticals'!$R93</f>
        <v>0</v>
      </c>
      <c r="T93" s="792"/>
      <c r="U93" s="808"/>
      <c r="V93" s="808"/>
      <c r="W93" s="808"/>
      <c r="X93" s="808"/>
      <c r="Y93" s="395">
        <f>SUM('TB-Pharmaceuticals'!$U93:$X93)</f>
        <v>0</v>
      </c>
      <c r="Z93" s="802">
        <f>'TB-Pharmaceuticals'!$T93*'TB-Pharmaceuticals'!$Y93</f>
        <v>0</v>
      </c>
      <c r="AA93" s="792"/>
      <c r="AB93" s="808"/>
      <c r="AC93" s="808"/>
      <c r="AD93" s="808"/>
      <c r="AE93" s="808"/>
      <c r="AF93" s="395">
        <f>SUM('TB-Pharmaceuticals'!$AB93:$AE93)</f>
        <v>0</v>
      </c>
      <c r="AG93" s="802">
        <f>'TB-Pharmaceuticals'!$AA93*'TB-Pharmaceuticals'!$AF93</f>
        <v>0</v>
      </c>
      <c r="AH93" s="396">
        <f>'TB-Pharmaceuticals'!$R93+'TB-Pharmaceuticals'!$Y93+'TB-Pharmaceuticals'!$AF93</f>
        <v>0</v>
      </c>
      <c r="AI93" s="802">
        <f>'TB-Pharmaceuticals'!$S93+'TB-Pharmaceuticals'!$Z93+'TB-Pharmaceuticals'!$AG93</f>
        <v>0</v>
      </c>
      <c r="AJ93" s="397" t="str">
        <f>IF(A93&lt;&gt;"",IFERROR(INDEX(PMtbl[[WKst]:[Unit of measure*]],MATCH($A$84&amp;$A93&amp;$D93&amp;$G93,INDEX(PMtbl[Sec]&amp;PMtbl[Category]&amp;PMtbl[INN]&amp;PMtbl[Specification],0,),0),7),""),"")</f>
        <v/>
      </c>
      <c r="AK93" s="947"/>
      <c r="AL93" s="397" t="str">
        <f>IFERROR(INDEX(SETUP!$C$19:$G$62,MATCH((INDEX(PMtbl[[WKst]:[Unit of measure*]],MATCH($A93&amp;$D93&amp;$G93,INDEX(PMtbl[Category]&amp;PMtbl[INN]&amp;PMtbl[Specification],0,),0),3)),SETUP!$D$19:$D$62,0),5),"")</f>
        <v/>
      </c>
      <c r="AM93" s="397" t="str">
        <f>IFERROR(IF((INDEX(SETUP!$C$19:$G$62,MATCH((INDEX(PMtbl[[WKst]:[Unit of measure*]],MATCH($A93&amp;$D93&amp;$G93,INDEX(PMtbl[Category]&amp;PMtbl[INN]&amp;PMtbl[Specification],0,),0),3)),SETUP!$D$19:$D$62,0),4))="Upfront",0,INDEX(SETUP!$C$19:$G$62,MATCH((INDEX(PMtbl[[WKst]:[Unit of measure*]],MATCH($A93&amp;$D93&amp;$G93,INDEX(PMtbl[Category]&amp;PMtbl[INN]&amp;PMtbl[Specification],0,),0),3)),SETUP!$D$19:$D$62,0),5)),"")</f>
        <v/>
      </c>
    </row>
    <row r="94" spans="1:62">
      <c r="A94" s="2610"/>
      <c r="B94" s="2611"/>
      <c r="C94" s="2612"/>
      <c r="D94" s="2610"/>
      <c r="E94" s="2611"/>
      <c r="F94" s="2612"/>
      <c r="G94" s="2610"/>
      <c r="H94" s="2611"/>
      <c r="I94" s="2611"/>
      <c r="J94" s="2612"/>
      <c r="K94" s="175" t="str">
        <f>IF(A94&lt;&gt;"",IFERROR(INDEX(PMtbl[[WKst]:[Unit of measure*]],MATCH($A$84&amp;$A94&amp;$D94&amp;$G94,INDEX(PMtbl[Sec]&amp;PMtbl[Category]&amp;PMtbl[INN]&amp;PMtbl[Specification],0,),0),8),""),"")</f>
        <v/>
      </c>
      <c r="L94" s="175" t="str">
        <f>IF(K94="", "",SETUP!$E$5)</f>
        <v/>
      </c>
      <c r="M94" s="793"/>
      <c r="N94" s="809"/>
      <c r="O94" s="809"/>
      <c r="P94" s="809"/>
      <c r="Q94" s="809"/>
      <c r="R94" s="398">
        <f>SUM('TB-Pharmaceuticals'!$N94:$Q94)</f>
        <v>0</v>
      </c>
      <c r="S94" s="798">
        <f>'TB-Pharmaceuticals'!$M94*'TB-Pharmaceuticals'!$R94</f>
        <v>0</v>
      </c>
      <c r="T94" s="793"/>
      <c r="U94" s="809"/>
      <c r="V94" s="809"/>
      <c r="W94" s="809"/>
      <c r="X94" s="809"/>
      <c r="Y94" s="398">
        <f>SUM('TB-Pharmaceuticals'!$U94:$X94)</f>
        <v>0</v>
      </c>
      <c r="Z94" s="803">
        <f>'TB-Pharmaceuticals'!$T94*'TB-Pharmaceuticals'!$Y94</f>
        <v>0</v>
      </c>
      <c r="AA94" s="793"/>
      <c r="AB94" s="809"/>
      <c r="AC94" s="809"/>
      <c r="AD94" s="809"/>
      <c r="AE94" s="809"/>
      <c r="AF94" s="398">
        <f>SUM('TB-Pharmaceuticals'!$AB94:$AE94)</f>
        <v>0</v>
      </c>
      <c r="AG94" s="803">
        <f>'TB-Pharmaceuticals'!$AA94*'TB-Pharmaceuticals'!$AF94</f>
        <v>0</v>
      </c>
      <c r="AH94" s="399">
        <f>'TB-Pharmaceuticals'!$R94+'TB-Pharmaceuticals'!$Y94+'TB-Pharmaceuticals'!$AF94</f>
        <v>0</v>
      </c>
      <c r="AI94" s="803">
        <f>'TB-Pharmaceuticals'!$S94+'TB-Pharmaceuticals'!$Z94+'TB-Pharmaceuticals'!$AG94</f>
        <v>0</v>
      </c>
      <c r="AJ94" s="400" t="str">
        <f>IF(A94&lt;&gt;"",IFERROR(INDEX(PMtbl[[WKst]:[Unit of measure*]],MATCH($A$84&amp;$A94&amp;$D94&amp;$G94,INDEX(PMtbl[Sec]&amp;PMtbl[Category]&amp;PMtbl[INN]&amp;PMtbl[Specification],0,),0),7),""),"")</f>
        <v/>
      </c>
      <c r="AK94" s="946"/>
      <c r="AL94" s="400" t="str">
        <f>IFERROR(INDEX(SETUP!$C$19:$G$62,MATCH((INDEX(PMtbl[[WKst]:[Unit of measure*]],MATCH($A94&amp;$D94&amp;$G94,INDEX(PMtbl[Category]&amp;PMtbl[INN]&amp;PMtbl[Specification],0,),0),3)),SETUP!$D$19:$D$62,0),5),"")</f>
        <v/>
      </c>
      <c r="AM94" s="400" t="str">
        <f>IFERROR(IF((INDEX(SETUP!$C$19:$G$62,MATCH((INDEX(PMtbl[[WKst]:[Unit of measure*]],MATCH($A94&amp;$D94&amp;$G94,INDEX(PMtbl[Category]&amp;PMtbl[INN]&amp;PMtbl[Specification],0,),0),3)),SETUP!$D$19:$D$62,0),4))="Upfront",0,INDEX(SETUP!$C$19:$G$62,MATCH((INDEX(PMtbl[[WKst]:[Unit of measure*]],MATCH($A94&amp;$D94&amp;$G94,INDEX(PMtbl[Category]&amp;PMtbl[INN]&amp;PMtbl[Specification],0,),0),3)),SETUP!$D$19:$D$62,0),5)),"")</f>
        <v/>
      </c>
    </row>
    <row r="95" spans="1:62">
      <c r="A95" s="2616"/>
      <c r="B95" s="2304"/>
      <c r="C95" s="2304"/>
      <c r="D95" s="2616"/>
      <c r="E95" s="2304"/>
      <c r="F95" s="2304"/>
      <c r="G95" s="2616"/>
      <c r="H95" s="2304"/>
      <c r="I95" s="2304"/>
      <c r="J95" s="2617"/>
      <c r="K95" s="176" t="str">
        <f>IF(A95&lt;&gt;"",IFERROR(INDEX(PMtbl[[WKst]:[Unit of measure*]],MATCH($A$84&amp;$A95&amp;$D95&amp;$G95,INDEX(PMtbl[Sec]&amp;PMtbl[Category]&amp;PMtbl[INN]&amp;PMtbl[Specification],0,),0),8),""),"")</f>
        <v/>
      </c>
      <c r="L95" s="177" t="str">
        <f>IF(K95="", "",SETUP!$E$5)</f>
        <v/>
      </c>
      <c r="M95" s="792"/>
      <c r="N95" s="808"/>
      <c r="O95" s="808"/>
      <c r="P95" s="808"/>
      <c r="Q95" s="808"/>
      <c r="R95" s="395">
        <f>SUM('TB-Pharmaceuticals'!$N95:$Q95)</f>
        <v>0</v>
      </c>
      <c r="S95" s="797">
        <f>'TB-Pharmaceuticals'!$M95*'TB-Pharmaceuticals'!$R95</f>
        <v>0</v>
      </c>
      <c r="T95" s="792"/>
      <c r="U95" s="808"/>
      <c r="V95" s="808"/>
      <c r="W95" s="808"/>
      <c r="X95" s="808"/>
      <c r="Y95" s="395">
        <f>SUM('TB-Pharmaceuticals'!$U95:$X95)</f>
        <v>0</v>
      </c>
      <c r="Z95" s="802">
        <f>'TB-Pharmaceuticals'!$T95*'TB-Pharmaceuticals'!$Y95</f>
        <v>0</v>
      </c>
      <c r="AA95" s="792"/>
      <c r="AB95" s="808"/>
      <c r="AC95" s="808"/>
      <c r="AD95" s="808"/>
      <c r="AE95" s="808"/>
      <c r="AF95" s="395">
        <f>SUM('TB-Pharmaceuticals'!$AB95:$AE95)</f>
        <v>0</v>
      </c>
      <c r="AG95" s="802">
        <f>'TB-Pharmaceuticals'!$AA95*'TB-Pharmaceuticals'!$AF95</f>
        <v>0</v>
      </c>
      <c r="AH95" s="396">
        <f>'TB-Pharmaceuticals'!$R95+'TB-Pharmaceuticals'!$Y95+'TB-Pharmaceuticals'!$AF95</f>
        <v>0</v>
      </c>
      <c r="AI95" s="802">
        <f>'TB-Pharmaceuticals'!$S95+'TB-Pharmaceuticals'!$Z95+'TB-Pharmaceuticals'!$AG95</f>
        <v>0</v>
      </c>
      <c r="AJ95" s="397" t="str">
        <f>IF(A95&lt;&gt;"",IFERROR(INDEX(PMtbl[[WKst]:[Unit of measure*]],MATCH($A$84&amp;$A95&amp;$D95&amp;$G95,INDEX(PMtbl[Sec]&amp;PMtbl[Category]&amp;PMtbl[INN]&amp;PMtbl[Specification],0,),0),7),""),"")</f>
        <v/>
      </c>
      <c r="AK95" s="947"/>
      <c r="AL95" s="397" t="str">
        <f>IFERROR(INDEX(SETUP!$C$19:$G$62,MATCH((INDEX(PMtbl[[WKst]:[Unit of measure*]],MATCH($A95&amp;$D95&amp;$G95,INDEX(PMtbl[Category]&amp;PMtbl[INN]&amp;PMtbl[Specification],0,),0),3)),SETUP!$D$19:$D$62,0),5),"")</f>
        <v/>
      </c>
      <c r="AM95" s="397" t="str">
        <f>IFERROR(IF((INDEX(SETUP!$C$19:$G$62,MATCH((INDEX(PMtbl[[WKst]:[Unit of measure*]],MATCH($A95&amp;$D95&amp;$G95,INDEX(PMtbl[Category]&amp;PMtbl[INN]&amp;PMtbl[Specification],0,),0),3)),SETUP!$D$19:$D$62,0),4))="Upfront",0,INDEX(SETUP!$C$19:$G$62,MATCH((INDEX(PMtbl[[WKst]:[Unit of measure*]],MATCH($A95&amp;$D95&amp;$G95,INDEX(PMtbl[Category]&amp;PMtbl[INN]&amp;PMtbl[Specification],0,),0),3)),SETUP!$D$19:$D$62,0),5)),"")</f>
        <v/>
      </c>
    </row>
    <row r="96" spans="1:62">
      <c r="A96" s="2610"/>
      <c r="B96" s="2611"/>
      <c r="C96" s="2611"/>
      <c r="D96" s="2610"/>
      <c r="E96" s="2611"/>
      <c r="F96" s="2611"/>
      <c r="G96" s="2610"/>
      <c r="H96" s="2611"/>
      <c r="I96" s="2611"/>
      <c r="J96" s="2612"/>
      <c r="K96" s="175" t="str">
        <f>IF(A96&lt;&gt;"",IFERROR(INDEX(PMtbl[[WKst]:[Unit of measure*]],MATCH($A$84&amp;$A96&amp;$D96&amp;$G96,INDEX(PMtbl[Sec]&amp;PMtbl[Category]&amp;PMtbl[INN]&amp;PMtbl[Specification],0,),0),8),""),"")</f>
        <v/>
      </c>
      <c r="L96" s="175" t="str">
        <f>IF(K96="", "",SETUP!$E$5)</f>
        <v/>
      </c>
      <c r="M96" s="793"/>
      <c r="N96" s="809"/>
      <c r="O96" s="809"/>
      <c r="P96" s="809"/>
      <c r="Q96" s="809"/>
      <c r="R96" s="398">
        <f>SUM('TB-Pharmaceuticals'!$N96:$Q96)</f>
        <v>0</v>
      </c>
      <c r="S96" s="798">
        <f>'TB-Pharmaceuticals'!$M96*'TB-Pharmaceuticals'!$R96</f>
        <v>0</v>
      </c>
      <c r="T96" s="793"/>
      <c r="U96" s="809"/>
      <c r="V96" s="809"/>
      <c r="W96" s="809"/>
      <c r="X96" s="809"/>
      <c r="Y96" s="398">
        <f>SUM('TB-Pharmaceuticals'!$U96:$X96)</f>
        <v>0</v>
      </c>
      <c r="Z96" s="803">
        <f>'TB-Pharmaceuticals'!$T96*'TB-Pharmaceuticals'!$Y96</f>
        <v>0</v>
      </c>
      <c r="AA96" s="793"/>
      <c r="AB96" s="809"/>
      <c r="AC96" s="809"/>
      <c r="AD96" s="809"/>
      <c r="AE96" s="809"/>
      <c r="AF96" s="398">
        <f>SUM('TB-Pharmaceuticals'!$AB96:$AE96)</f>
        <v>0</v>
      </c>
      <c r="AG96" s="803">
        <f>'TB-Pharmaceuticals'!$AA96*'TB-Pharmaceuticals'!$AF96</f>
        <v>0</v>
      </c>
      <c r="AH96" s="399">
        <f>'TB-Pharmaceuticals'!$R96+'TB-Pharmaceuticals'!$Y96+'TB-Pharmaceuticals'!$AF96</f>
        <v>0</v>
      </c>
      <c r="AI96" s="803">
        <f>'TB-Pharmaceuticals'!$S96+'TB-Pharmaceuticals'!$Z96+'TB-Pharmaceuticals'!$AG96</f>
        <v>0</v>
      </c>
      <c r="AJ96" s="401" t="str">
        <f>IF(A96&lt;&gt;"",IFERROR(INDEX(PMtbl[[WKst]:[Unit of measure*]],MATCH($A$84&amp;$A96&amp;$D96&amp;$G96,INDEX(PMtbl[Sec]&amp;PMtbl[Category]&amp;PMtbl[INN]&amp;PMtbl[Specification],0,),0),7),""),"")</f>
        <v/>
      </c>
      <c r="AK96" s="949"/>
      <c r="AL96" s="401" t="str">
        <f>IFERROR(INDEX(SETUP!$C$19:$G$62,MATCH((INDEX(PMtbl[[WKst]:[Unit of measure*]],MATCH($A96&amp;$D96&amp;$G96,INDEX(PMtbl[Category]&amp;PMtbl[INN]&amp;PMtbl[Specification],0,),0),3)),SETUP!$D$19:$D$62,0),5),"")</f>
        <v/>
      </c>
      <c r="AM96" s="401" t="str">
        <f>IFERROR(IF((INDEX(SETUP!$C$19:$G$62,MATCH((INDEX(PMtbl[[WKst]:[Unit of measure*]],MATCH($A96&amp;$D96&amp;$G96,INDEX(PMtbl[Category]&amp;PMtbl[INN]&amp;PMtbl[Specification],0,),0),3)),SETUP!$D$19:$D$62,0),4))="Upfront",0,INDEX(SETUP!$C$19:$G$62,MATCH((INDEX(PMtbl[[WKst]:[Unit of measure*]],MATCH($A96&amp;$D96&amp;$G96,INDEX(PMtbl[Category]&amp;PMtbl[INN]&amp;PMtbl[Specification],0,),0),3)),SETUP!$D$19:$D$62,0),5)),"")</f>
        <v/>
      </c>
    </row>
    <row r="97" spans="1:39">
      <c r="A97" s="2616"/>
      <c r="B97" s="2304"/>
      <c r="C97" s="2304"/>
      <c r="D97" s="2616"/>
      <c r="E97" s="2304"/>
      <c r="F97" s="2304"/>
      <c r="G97" s="2616"/>
      <c r="H97" s="2304"/>
      <c r="I97" s="2304"/>
      <c r="J97" s="2617"/>
      <c r="K97" s="176" t="str">
        <f>IF(A97&lt;&gt;"",IFERROR(INDEX(PMtbl[[WKst]:[Unit of measure*]],MATCH($A$84&amp;$A97&amp;$D97&amp;$G97,INDEX(PMtbl[Sec]&amp;PMtbl[Category]&amp;PMtbl[INN]&amp;PMtbl[Specification],0,),0),8),""),"")</f>
        <v/>
      </c>
      <c r="L97" s="177" t="str">
        <f>IF(K97="", "",SETUP!$E$5)</f>
        <v/>
      </c>
      <c r="M97" s="792"/>
      <c r="N97" s="808"/>
      <c r="O97" s="808"/>
      <c r="P97" s="808"/>
      <c r="Q97" s="808"/>
      <c r="R97" s="395">
        <f>SUM('TB-Pharmaceuticals'!$N97:$Q97)</f>
        <v>0</v>
      </c>
      <c r="S97" s="797">
        <f>'TB-Pharmaceuticals'!$M97*'TB-Pharmaceuticals'!$R97</f>
        <v>0</v>
      </c>
      <c r="T97" s="792"/>
      <c r="U97" s="808"/>
      <c r="V97" s="808"/>
      <c r="W97" s="808"/>
      <c r="X97" s="808"/>
      <c r="Y97" s="395">
        <f>SUM('TB-Pharmaceuticals'!$U97:$X97)</f>
        <v>0</v>
      </c>
      <c r="Z97" s="802">
        <f>'TB-Pharmaceuticals'!$T97*'TB-Pharmaceuticals'!$Y97</f>
        <v>0</v>
      </c>
      <c r="AA97" s="792"/>
      <c r="AB97" s="808"/>
      <c r="AC97" s="808"/>
      <c r="AD97" s="808"/>
      <c r="AE97" s="808"/>
      <c r="AF97" s="395">
        <f>SUM('TB-Pharmaceuticals'!$AB97:$AE97)</f>
        <v>0</v>
      </c>
      <c r="AG97" s="802">
        <f>'TB-Pharmaceuticals'!$AA97*'TB-Pharmaceuticals'!$AF97</f>
        <v>0</v>
      </c>
      <c r="AH97" s="396">
        <f>'TB-Pharmaceuticals'!$R97+'TB-Pharmaceuticals'!$Y97+'TB-Pharmaceuticals'!$AF97</f>
        <v>0</v>
      </c>
      <c r="AI97" s="802">
        <f>'TB-Pharmaceuticals'!$S97+'TB-Pharmaceuticals'!$Z97+'TB-Pharmaceuticals'!$AG97</f>
        <v>0</v>
      </c>
      <c r="AJ97" s="402" t="str">
        <f>IF(A97&lt;&gt;"",IFERROR(INDEX(PMtbl[[WKst]:[Unit of measure*]],MATCH($A$84&amp;$A97&amp;$D97&amp;$G97,INDEX(PMtbl[Sec]&amp;PMtbl[Category]&amp;PMtbl[INN]&amp;PMtbl[Specification],0,),0),7),""),"")</f>
        <v/>
      </c>
      <c r="AK97" s="950"/>
      <c r="AL97" s="402" t="str">
        <f>IFERROR(INDEX(SETUP!$C$19:$G$62,MATCH((INDEX(PMtbl[[WKst]:[Unit of measure*]],MATCH($A97&amp;$D97&amp;$G97,INDEX(PMtbl[Category]&amp;PMtbl[INN]&amp;PMtbl[Specification],0,),0),3)),SETUP!$D$19:$D$62,0),5),"")</f>
        <v/>
      </c>
      <c r="AM97" s="402" t="str">
        <f>IFERROR(IF((INDEX(SETUP!$C$19:$G$62,MATCH((INDEX(PMtbl[[WKst]:[Unit of measure*]],MATCH($A97&amp;$D97&amp;$G97,INDEX(PMtbl[Category]&amp;PMtbl[INN]&amp;PMtbl[Specification],0,),0),3)),SETUP!$D$19:$D$62,0),4))="Upfront",0,INDEX(SETUP!$C$19:$G$62,MATCH((INDEX(PMtbl[[WKst]:[Unit of measure*]],MATCH($A97&amp;$D97&amp;$G97,INDEX(PMtbl[Category]&amp;PMtbl[INN]&amp;PMtbl[Specification],0,),0),3)),SETUP!$D$19:$D$62,0),5)),"")</f>
        <v/>
      </c>
    </row>
    <row r="98" spans="1:39">
      <c r="A98" s="2610"/>
      <c r="B98" s="2611"/>
      <c r="C98" s="2611"/>
      <c r="D98" s="2610"/>
      <c r="E98" s="2611"/>
      <c r="F98" s="2611"/>
      <c r="G98" s="2610"/>
      <c r="H98" s="2611"/>
      <c r="I98" s="2611"/>
      <c r="J98" s="2612"/>
      <c r="K98" s="175" t="str">
        <f>IF(A98&lt;&gt;"",IFERROR(INDEX(PMtbl[[WKst]:[Unit of measure*]],MATCH($A$84&amp;$A98&amp;$D98&amp;$G98,INDEX(PMtbl[Sec]&amp;PMtbl[Category]&amp;PMtbl[INN]&amp;PMtbl[Specification],0,),0),8),""),"")</f>
        <v/>
      </c>
      <c r="L98" s="175" t="str">
        <f>IF(K98="", "",SETUP!$E$5)</f>
        <v/>
      </c>
      <c r="M98" s="793"/>
      <c r="N98" s="809"/>
      <c r="O98" s="809"/>
      <c r="P98" s="809"/>
      <c r="Q98" s="809"/>
      <c r="R98" s="398">
        <f>SUM('TB-Pharmaceuticals'!$N98:$Q98)</f>
        <v>0</v>
      </c>
      <c r="S98" s="798">
        <f>'TB-Pharmaceuticals'!$M98*'TB-Pharmaceuticals'!$R98</f>
        <v>0</v>
      </c>
      <c r="T98" s="793"/>
      <c r="U98" s="809"/>
      <c r="V98" s="809"/>
      <c r="W98" s="809"/>
      <c r="X98" s="809"/>
      <c r="Y98" s="398">
        <f>SUM('TB-Pharmaceuticals'!$U98:$X98)</f>
        <v>0</v>
      </c>
      <c r="Z98" s="803">
        <f>'TB-Pharmaceuticals'!$T98*'TB-Pharmaceuticals'!$Y98</f>
        <v>0</v>
      </c>
      <c r="AA98" s="793"/>
      <c r="AB98" s="809"/>
      <c r="AC98" s="809"/>
      <c r="AD98" s="809"/>
      <c r="AE98" s="809"/>
      <c r="AF98" s="398">
        <f>SUM('TB-Pharmaceuticals'!$AB98:$AE98)</f>
        <v>0</v>
      </c>
      <c r="AG98" s="803">
        <f>'TB-Pharmaceuticals'!$AA98*'TB-Pharmaceuticals'!$AF98</f>
        <v>0</v>
      </c>
      <c r="AH98" s="399">
        <f>'TB-Pharmaceuticals'!$R98+'TB-Pharmaceuticals'!$Y98+'TB-Pharmaceuticals'!$AF98</f>
        <v>0</v>
      </c>
      <c r="AI98" s="803">
        <f>'TB-Pharmaceuticals'!$S98+'TB-Pharmaceuticals'!$Z98+'TB-Pharmaceuticals'!$AG98</f>
        <v>0</v>
      </c>
      <c r="AJ98" s="401" t="str">
        <f>IF(A98&lt;&gt;"",IFERROR(INDEX(PMtbl[[WKst]:[Unit of measure*]],MATCH($A$84&amp;$A98&amp;$D98&amp;$G98,INDEX(PMtbl[Sec]&amp;PMtbl[Category]&amp;PMtbl[INN]&amp;PMtbl[Specification],0,),0),7),""),"")</f>
        <v/>
      </c>
      <c r="AK98" s="949"/>
      <c r="AL98" s="401" t="str">
        <f>IFERROR(INDEX(SETUP!$C$19:$G$62,MATCH((INDEX(PMtbl[[WKst]:[Unit of measure*]],MATCH($A98&amp;$D98&amp;$G98,INDEX(PMtbl[Category]&amp;PMtbl[INN]&amp;PMtbl[Specification],0,),0),3)),SETUP!$D$19:$D$62,0),5),"")</f>
        <v/>
      </c>
      <c r="AM98" s="401" t="str">
        <f>IFERROR(IF((INDEX(SETUP!$C$19:$G$62,MATCH((INDEX(PMtbl[[WKst]:[Unit of measure*]],MATCH($A98&amp;$D98&amp;$G98,INDEX(PMtbl[Category]&amp;PMtbl[INN]&amp;PMtbl[Specification],0,),0),3)),SETUP!$D$19:$D$62,0),4))="Upfront",0,INDEX(SETUP!$C$19:$G$62,MATCH((INDEX(PMtbl[[WKst]:[Unit of measure*]],MATCH($A98&amp;$D98&amp;$G98,INDEX(PMtbl[Category]&amp;PMtbl[INN]&amp;PMtbl[Specification],0,),0),3)),SETUP!$D$19:$D$62,0),5)),"")</f>
        <v/>
      </c>
    </row>
    <row r="99" spans="1:39" hidden="1">
      <c r="A99" s="2616"/>
      <c r="B99" s="2304"/>
      <c r="C99" s="2304"/>
      <c r="D99" s="2616"/>
      <c r="E99" s="2304"/>
      <c r="F99" s="2304"/>
      <c r="G99" s="2616"/>
      <c r="H99" s="2304"/>
      <c r="I99" s="2304"/>
      <c r="J99" s="2617"/>
      <c r="K99" s="176" t="str">
        <f>IF(A99&lt;&gt;"",IFERROR(INDEX(PMtbl[[WKst]:[Unit of measure*]],MATCH($A$84&amp;$A99&amp;$D99&amp;$G99,INDEX(PMtbl[Sec]&amp;PMtbl[Category]&amp;PMtbl[INN]&amp;PMtbl[Specification],0,),0),8),""),"")</f>
        <v/>
      </c>
      <c r="L99" s="177" t="str">
        <f>IF(K99="", "",SETUP!$E$5)</f>
        <v/>
      </c>
      <c r="M99" s="792"/>
      <c r="N99" s="808"/>
      <c r="O99" s="808"/>
      <c r="P99" s="808"/>
      <c r="Q99" s="808"/>
      <c r="R99" s="395">
        <f>SUM('TB-Pharmaceuticals'!$N99:$Q99)</f>
        <v>0</v>
      </c>
      <c r="S99" s="797">
        <f>'TB-Pharmaceuticals'!$M99*'TB-Pharmaceuticals'!$R99</f>
        <v>0</v>
      </c>
      <c r="T99" s="792"/>
      <c r="U99" s="808"/>
      <c r="V99" s="808"/>
      <c r="W99" s="808"/>
      <c r="X99" s="808"/>
      <c r="Y99" s="395">
        <f>SUM('TB-Pharmaceuticals'!$U99:$X99)</f>
        <v>0</v>
      </c>
      <c r="Z99" s="802">
        <f>'TB-Pharmaceuticals'!$T99*'TB-Pharmaceuticals'!$Y99</f>
        <v>0</v>
      </c>
      <c r="AA99" s="792"/>
      <c r="AB99" s="808"/>
      <c r="AC99" s="808"/>
      <c r="AD99" s="808"/>
      <c r="AE99" s="808"/>
      <c r="AF99" s="395">
        <f>SUM('TB-Pharmaceuticals'!$AB99:$AE99)</f>
        <v>0</v>
      </c>
      <c r="AG99" s="802">
        <f>'TB-Pharmaceuticals'!$AA99*'TB-Pharmaceuticals'!$AF99</f>
        <v>0</v>
      </c>
      <c r="AH99" s="396">
        <f>'TB-Pharmaceuticals'!$R99+'TB-Pharmaceuticals'!$Y99+'TB-Pharmaceuticals'!$AF99</f>
        <v>0</v>
      </c>
      <c r="AI99" s="802">
        <f>'TB-Pharmaceuticals'!$S99+'TB-Pharmaceuticals'!$Z99+'TB-Pharmaceuticals'!$AG99</f>
        <v>0</v>
      </c>
      <c r="AJ99" s="402" t="str">
        <f>IF(A99&lt;&gt;"",IFERROR(INDEX(PMtbl[[WKst]:[Unit of measure*]],MATCH($A$84&amp;$A99&amp;$D99&amp;$G99,INDEX(PMtbl[Sec]&amp;PMtbl[Category]&amp;PMtbl[INN]&amp;PMtbl[Specification],0,),0),7),""),"")</f>
        <v/>
      </c>
      <c r="AK99" s="950"/>
      <c r="AL99" s="337" t="str">
        <f>IFERROR(INDEX(SETUP!$C$19:$G$62,MATCH((INDEX(PMtbl[[WKst]:[Unit of measure*]],MATCH($A99&amp;$D99&amp;$G99,INDEX(PMtbl[Category]&amp;PMtbl[INN]&amp;PMtbl[Specification],0,),0),3)),SETUP!$D$19:$D$62,0),5),"")</f>
        <v/>
      </c>
      <c r="AM99" s="337" t="str">
        <f>IFERROR(IF((INDEX(SETUP!$C$19:$G$62,MATCH((INDEX(PMtbl[[WKst]:[Unit of measure*]],MATCH($A99&amp;$D99&amp;$G99,INDEX(PMtbl[Category]&amp;PMtbl[INN]&amp;PMtbl[Specification],0,),0),3)),SETUP!$D$19:$D$62,0),4))="Upfront",0,INDEX(SETUP!$C$19:$G$62,MATCH((INDEX(PMtbl[[WKst]:[Unit of measure*]],MATCH($A99&amp;$D99&amp;$G99,INDEX(PMtbl[Category]&amp;PMtbl[INN]&amp;PMtbl[Specification],0,),0),3)),SETUP!$D$19:$D$62,0),5)),"")</f>
        <v/>
      </c>
    </row>
    <row r="100" spans="1:39" hidden="1">
      <c r="A100" s="2610"/>
      <c r="B100" s="2611"/>
      <c r="C100" s="2611"/>
      <c r="D100" s="2610"/>
      <c r="E100" s="2611"/>
      <c r="F100" s="2611"/>
      <c r="G100" s="2610"/>
      <c r="H100" s="2611"/>
      <c r="I100" s="2611"/>
      <c r="J100" s="2612"/>
      <c r="K100" s="175" t="str">
        <f>IF(A100&lt;&gt;"",IFERROR(INDEX(PMtbl[[WKst]:[Unit of measure*]],MATCH($A$84&amp;$A100&amp;$D100&amp;$G100,INDEX(PMtbl[Sec]&amp;PMtbl[Category]&amp;PMtbl[INN]&amp;PMtbl[Specification],0,),0),8),""),"")</f>
        <v/>
      </c>
      <c r="L100" s="175" t="str">
        <f>IF(K100="", "",SETUP!$E$5)</f>
        <v/>
      </c>
      <c r="M100" s="793"/>
      <c r="N100" s="809"/>
      <c r="O100" s="809"/>
      <c r="P100" s="809"/>
      <c r="Q100" s="809"/>
      <c r="R100" s="398">
        <f>SUM('TB-Pharmaceuticals'!$N100:$Q100)</f>
        <v>0</v>
      </c>
      <c r="S100" s="798">
        <f>'TB-Pharmaceuticals'!$M100*'TB-Pharmaceuticals'!$R100</f>
        <v>0</v>
      </c>
      <c r="T100" s="793"/>
      <c r="U100" s="809"/>
      <c r="V100" s="809"/>
      <c r="W100" s="809"/>
      <c r="X100" s="809"/>
      <c r="Y100" s="398">
        <f>SUM('TB-Pharmaceuticals'!$U100:$X100)</f>
        <v>0</v>
      </c>
      <c r="Z100" s="803">
        <f>'TB-Pharmaceuticals'!$T100*'TB-Pharmaceuticals'!$Y100</f>
        <v>0</v>
      </c>
      <c r="AA100" s="793"/>
      <c r="AB100" s="809"/>
      <c r="AC100" s="809"/>
      <c r="AD100" s="809"/>
      <c r="AE100" s="809"/>
      <c r="AF100" s="398">
        <f>SUM('TB-Pharmaceuticals'!$AB100:$AE100)</f>
        <v>0</v>
      </c>
      <c r="AG100" s="803">
        <f>'TB-Pharmaceuticals'!$AA100*'TB-Pharmaceuticals'!$AF100</f>
        <v>0</v>
      </c>
      <c r="AH100" s="399">
        <f>'TB-Pharmaceuticals'!$R100+'TB-Pharmaceuticals'!$Y100+'TB-Pharmaceuticals'!$AF100</f>
        <v>0</v>
      </c>
      <c r="AI100" s="803">
        <f>'TB-Pharmaceuticals'!$S100+'TB-Pharmaceuticals'!$Z100+'TB-Pharmaceuticals'!$AG100</f>
        <v>0</v>
      </c>
      <c r="AJ100" s="401" t="str">
        <f>IF(A100&lt;&gt;"",IFERROR(INDEX(PMtbl[[WKst]:[Unit of measure*]],MATCH($A$84&amp;$A100&amp;$D100&amp;$G100,INDEX(PMtbl[Sec]&amp;PMtbl[Category]&amp;PMtbl[INN]&amp;PMtbl[Specification],0,),0),7),""),"")</f>
        <v/>
      </c>
      <c r="AK100" s="949"/>
      <c r="AL100" s="337" t="str">
        <f>IFERROR(INDEX(SETUP!$C$19:$G$62,MATCH((INDEX(PMtbl[[WKst]:[Unit of measure*]],MATCH($A100&amp;$D100&amp;$G100,INDEX(PMtbl[Category]&amp;PMtbl[INN]&amp;PMtbl[Specification],0,),0),3)),SETUP!$D$19:$D$62,0),5),"")</f>
        <v/>
      </c>
      <c r="AM100" s="337" t="str">
        <f>IFERROR(IF((INDEX(SETUP!$C$19:$G$62,MATCH((INDEX(PMtbl[[WKst]:[Unit of measure*]],MATCH($A100&amp;$D100&amp;$G100,INDEX(PMtbl[Category]&amp;PMtbl[INN]&amp;PMtbl[Specification],0,),0),3)),SETUP!$D$19:$D$62,0),4))="Upfront",0,INDEX(SETUP!$C$19:$G$62,MATCH((INDEX(PMtbl[[WKst]:[Unit of measure*]],MATCH($A100&amp;$D100&amp;$G100,INDEX(PMtbl[Category]&amp;PMtbl[INN]&amp;PMtbl[Specification],0,),0),3)),SETUP!$D$19:$D$62,0),5)),"")</f>
        <v/>
      </c>
    </row>
    <row r="101" spans="1:39" hidden="1">
      <c r="A101" s="2616"/>
      <c r="B101" s="2304"/>
      <c r="C101" s="2304"/>
      <c r="D101" s="2616"/>
      <c r="E101" s="2304"/>
      <c r="F101" s="2304"/>
      <c r="G101" s="2616"/>
      <c r="H101" s="2304"/>
      <c r="I101" s="2304"/>
      <c r="J101" s="2617"/>
      <c r="K101" s="176" t="str">
        <f>IF(A101&lt;&gt;"",IFERROR(INDEX(PMtbl[[WKst]:[Unit of measure*]],MATCH($A$84&amp;$A101&amp;$D101&amp;$G101,INDEX(PMtbl[Sec]&amp;PMtbl[Category]&amp;PMtbl[INN]&amp;PMtbl[Specification],0,),0),8),""),"")</f>
        <v/>
      </c>
      <c r="L101" s="177" t="str">
        <f>IF(K101="", "",SETUP!$E$5)</f>
        <v/>
      </c>
      <c r="M101" s="792"/>
      <c r="N101" s="808"/>
      <c r="O101" s="808"/>
      <c r="P101" s="808"/>
      <c r="Q101" s="808"/>
      <c r="R101" s="395">
        <f>SUM('TB-Pharmaceuticals'!$N101:$Q101)</f>
        <v>0</v>
      </c>
      <c r="S101" s="797">
        <f>'TB-Pharmaceuticals'!$M101*'TB-Pharmaceuticals'!$R101</f>
        <v>0</v>
      </c>
      <c r="T101" s="792"/>
      <c r="U101" s="808"/>
      <c r="V101" s="808"/>
      <c r="W101" s="808"/>
      <c r="X101" s="808"/>
      <c r="Y101" s="395">
        <f>SUM('TB-Pharmaceuticals'!$U101:$X101)</f>
        <v>0</v>
      </c>
      <c r="Z101" s="802">
        <f>'TB-Pharmaceuticals'!$T101*'TB-Pharmaceuticals'!$Y101</f>
        <v>0</v>
      </c>
      <c r="AA101" s="792"/>
      <c r="AB101" s="808"/>
      <c r="AC101" s="808"/>
      <c r="AD101" s="808"/>
      <c r="AE101" s="808"/>
      <c r="AF101" s="395">
        <f>SUM('TB-Pharmaceuticals'!$AB101:$AE101)</f>
        <v>0</v>
      </c>
      <c r="AG101" s="802">
        <f>'TB-Pharmaceuticals'!$AA101*'TB-Pharmaceuticals'!$AF101</f>
        <v>0</v>
      </c>
      <c r="AH101" s="396">
        <f>'TB-Pharmaceuticals'!$R101+'TB-Pharmaceuticals'!$Y101+'TB-Pharmaceuticals'!$AF101</f>
        <v>0</v>
      </c>
      <c r="AI101" s="802">
        <f>'TB-Pharmaceuticals'!$S101+'TB-Pharmaceuticals'!$Z101+'TB-Pharmaceuticals'!$AG101</f>
        <v>0</v>
      </c>
      <c r="AJ101" s="402" t="str">
        <f>IF(A101&lt;&gt;"",IFERROR(INDEX(PMtbl[[WKst]:[Unit of measure*]],MATCH($A$84&amp;$A101&amp;$D101&amp;$G101,INDEX(PMtbl[Sec]&amp;PMtbl[Category]&amp;PMtbl[INN]&amp;PMtbl[Specification],0,),0),7),""),"")</f>
        <v/>
      </c>
      <c r="AK101" s="950"/>
      <c r="AL101" s="337" t="str">
        <f>IFERROR(INDEX(SETUP!$C$19:$G$62,MATCH((INDEX(PMtbl[[WKst]:[Unit of measure*]],MATCH($A101&amp;$D101&amp;$G101,INDEX(PMtbl[Category]&amp;PMtbl[INN]&amp;PMtbl[Specification],0,),0),3)),SETUP!$D$19:$D$62,0),5),"")</f>
        <v/>
      </c>
      <c r="AM101" s="337" t="str">
        <f>IFERROR(IF((INDEX(SETUP!$C$19:$G$62,MATCH((INDEX(PMtbl[[WKst]:[Unit of measure*]],MATCH($A101&amp;$D101&amp;$G101,INDEX(PMtbl[Category]&amp;PMtbl[INN]&amp;PMtbl[Specification],0,),0),3)),SETUP!$D$19:$D$62,0),4))="Upfront",0,INDEX(SETUP!$C$19:$G$62,MATCH((INDEX(PMtbl[[WKst]:[Unit of measure*]],MATCH($A101&amp;$D101&amp;$G101,INDEX(PMtbl[Category]&amp;PMtbl[INN]&amp;PMtbl[Specification],0,),0),3)),SETUP!$D$19:$D$62,0),5)),"")</f>
        <v/>
      </c>
    </row>
    <row r="102" spans="1:39" hidden="1">
      <c r="A102" s="2610"/>
      <c r="B102" s="2611"/>
      <c r="C102" s="2611"/>
      <c r="D102" s="2610"/>
      <c r="E102" s="2611"/>
      <c r="F102" s="2611"/>
      <c r="G102" s="2610"/>
      <c r="H102" s="2611"/>
      <c r="I102" s="2611"/>
      <c r="J102" s="2612"/>
      <c r="K102" s="175" t="str">
        <f>IF(A102&lt;&gt;"",IFERROR(INDEX(PMtbl[[WKst]:[Unit of measure*]],MATCH($A$84&amp;$A102&amp;$D102&amp;$G102,INDEX(PMtbl[Sec]&amp;PMtbl[Category]&amp;PMtbl[INN]&amp;PMtbl[Specification],0,),0),8),""),"")</f>
        <v/>
      </c>
      <c r="L102" s="175" t="str">
        <f>IF(K102="", "",SETUP!$E$5)</f>
        <v/>
      </c>
      <c r="M102" s="793"/>
      <c r="N102" s="809"/>
      <c r="O102" s="809"/>
      <c r="P102" s="809"/>
      <c r="Q102" s="809"/>
      <c r="R102" s="398">
        <f>SUM('TB-Pharmaceuticals'!$N102:$Q102)</f>
        <v>0</v>
      </c>
      <c r="S102" s="798">
        <f>'TB-Pharmaceuticals'!$M102*'TB-Pharmaceuticals'!$R102</f>
        <v>0</v>
      </c>
      <c r="T102" s="793"/>
      <c r="U102" s="809"/>
      <c r="V102" s="809"/>
      <c r="W102" s="809"/>
      <c r="X102" s="809"/>
      <c r="Y102" s="398">
        <f>SUM('TB-Pharmaceuticals'!$U102:$X102)</f>
        <v>0</v>
      </c>
      <c r="Z102" s="803">
        <f>'TB-Pharmaceuticals'!$T102*'TB-Pharmaceuticals'!$Y102</f>
        <v>0</v>
      </c>
      <c r="AA102" s="793"/>
      <c r="AB102" s="809"/>
      <c r="AC102" s="809"/>
      <c r="AD102" s="809"/>
      <c r="AE102" s="809"/>
      <c r="AF102" s="398">
        <f>SUM('TB-Pharmaceuticals'!$AB102:$AE102)</f>
        <v>0</v>
      </c>
      <c r="AG102" s="803">
        <f>'TB-Pharmaceuticals'!$AA102*'TB-Pharmaceuticals'!$AF102</f>
        <v>0</v>
      </c>
      <c r="AH102" s="399">
        <f>'TB-Pharmaceuticals'!$R102+'TB-Pharmaceuticals'!$Y102+'TB-Pharmaceuticals'!$AF102</f>
        <v>0</v>
      </c>
      <c r="AI102" s="803">
        <f>'TB-Pharmaceuticals'!$S102+'TB-Pharmaceuticals'!$Z102+'TB-Pharmaceuticals'!$AG102</f>
        <v>0</v>
      </c>
      <c r="AJ102" s="401" t="str">
        <f>IF(A102&lt;&gt;"",IFERROR(INDEX(PMtbl[[WKst]:[Unit of measure*]],MATCH($A$84&amp;$A102&amp;$D102&amp;$G102,INDEX(PMtbl[Sec]&amp;PMtbl[Category]&amp;PMtbl[INN]&amp;PMtbl[Specification],0,),0),7),""),"")</f>
        <v/>
      </c>
      <c r="AK102" s="949"/>
      <c r="AL102" s="337" t="str">
        <f>IFERROR(INDEX(SETUP!$C$19:$G$62,MATCH((INDEX(PMtbl[[WKst]:[Unit of measure*]],MATCH($A102&amp;$D102&amp;$G102,INDEX(PMtbl[Category]&amp;PMtbl[INN]&amp;PMtbl[Specification],0,),0),3)),SETUP!$D$19:$D$62,0),5),"")</f>
        <v/>
      </c>
      <c r="AM102" s="337" t="str">
        <f>IFERROR(IF((INDEX(SETUP!$C$19:$G$62,MATCH((INDEX(PMtbl[[WKst]:[Unit of measure*]],MATCH($A102&amp;$D102&amp;$G102,INDEX(PMtbl[Category]&amp;PMtbl[INN]&amp;PMtbl[Specification],0,),0),3)),SETUP!$D$19:$D$62,0),4))="Upfront",0,INDEX(SETUP!$C$19:$G$62,MATCH((INDEX(PMtbl[[WKst]:[Unit of measure*]],MATCH($A102&amp;$D102&amp;$G102,INDEX(PMtbl[Category]&amp;PMtbl[INN]&amp;PMtbl[Specification],0,),0),3)),SETUP!$D$19:$D$62,0),5)),"")</f>
        <v/>
      </c>
    </row>
    <row r="103" spans="1:39" hidden="1">
      <c r="A103" s="2616"/>
      <c r="B103" s="2304"/>
      <c r="C103" s="2304"/>
      <c r="D103" s="2616"/>
      <c r="E103" s="2304"/>
      <c r="F103" s="2304"/>
      <c r="G103" s="2616"/>
      <c r="H103" s="2304"/>
      <c r="I103" s="2304"/>
      <c r="J103" s="2617"/>
      <c r="K103" s="176" t="str">
        <f>IF(A103&lt;&gt;"",IFERROR(INDEX(PMtbl[[WKst]:[Unit of measure*]],MATCH($A$84&amp;$A103&amp;$D103&amp;$G103,INDEX(PMtbl[Sec]&amp;PMtbl[Category]&amp;PMtbl[INN]&amp;PMtbl[Specification],0,),0),8),""),"")</f>
        <v/>
      </c>
      <c r="L103" s="177" t="str">
        <f>IF(K103="", "",SETUP!$E$5)</f>
        <v/>
      </c>
      <c r="M103" s="792"/>
      <c r="N103" s="808"/>
      <c r="O103" s="808"/>
      <c r="P103" s="808"/>
      <c r="Q103" s="808"/>
      <c r="R103" s="395">
        <f>SUM('TB-Pharmaceuticals'!$N103:$Q103)</f>
        <v>0</v>
      </c>
      <c r="S103" s="797">
        <f>'TB-Pharmaceuticals'!$M103*'TB-Pharmaceuticals'!$R103</f>
        <v>0</v>
      </c>
      <c r="T103" s="792"/>
      <c r="U103" s="808"/>
      <c r="V103" s="808"/>
      <c r="W103" s="808"/>
      <c r="X103" s="808"/>
      <c r="Y103" s="395">
        <f>SUM('TB-Pharmaceuticals'!$U103:$X103)</f>
        <v>0</v>
      </c>
      <c r="Z103" s="802">
        <f>'TB-Pharmaceuticals'!$T103*'TB-Pharmaceuticals'!$Y103</f>
        <v>0</v>
      </c>
      <c r="AA103" s="792"/>
      <c r="AB103" s="808"/>
      <c r="AC103" s="808"/>
      <c r="AD103" s="808"/>
      <c r="AE103" s="808"/>
      <c r="AF103" s="395">
        <f>SUM('TB-Pharmaceuticals'!$AB103:$AE103)</f>
        <v>0</v>
      </c>
      <c r="AG103" s="802">
        <f>'TB-Pharmaceuticals'!$AA103*'TB-Pharmaceuticals'!$AF103</f>
        <v>0</v>
      </c>
      <c r="AH103" s="396">
        <f>'TB-Pharmaceuticals'!$R103+'TB-Pharmaceuticals'!$Y103+'TB-Pharmaceuticals'!$AF103</f>
        <v>0</v>
      </c>
      <c r="AI103" s="802">
        <f>'TB-Pharmaceuticals'!$S103+'TB-Pharmaceuticals'!$Z103+'TB-Pharmaceuticals'!$AG103</f>
        <v>0</v>
      </c>
      <c r="AJ103" s="402" t="str">
        <f>IF(A103&lt;&gt;"",IFERROR(INDEX(PMtbl[[WKst]:[Unit of measure*]],MATCH($A$84&amp;$A103&amp;$D103&amp;$G103,INDEX(PMtbl[Sec]&amp;PMtbl[Category]&amp;PMtbl[INN]&amp;PMtbl[Specification],0,),0),7),""),"")</f>
        <v/>
      </c>
      <c r="AK103" s="950"/>
      <c r="AL103" s="337" t="str">
        <f>IFERROR(INDEX(SETUP!$C$19:$G$62,MATCH((INDEX(PMtbl[[WKst]:[Unit of measure*]],MATCH($A103&amp;$D103&amp;$G103,INDEX(PMtbl[Category]&amp;PMtbl[INN]&amp;PMtbl[Specification],0,),0),3)),SETUP!$D$19:$D$62,0),5),"")</f>
        <v/>
      </c>
      <c r="AM103" s="337" t="str">
        <f>IFERROR(IF((INDEX(SETUP!$C$19:$G$62,MATCH((INDEX(PMtbl[[WKst]:[Unit of measure*]],MATCH($A103&amp;$D103&amp;$G103,INDEX(PMtbl[Category]&amp;PMtbl[INN]&amp;PMtbl[Specification],0,),0),3)),SETUP!$D$19:$D$62,0),4))="Upfront",0,INDEX(SETUP!$C$19:$G$62,MATCH((INDEX(PMtbl[[WKst]:[Unit of measure*]],MATCH($A103&amp;$D103&amp;$G103,INDEX(PMtbl[Category]&amp;PMtbl[INN]&amp;PMtbl[Specification],0,),0),3)),SETUP!$D$19:$D$62,0),5)),"")</f>
        <v/>
      </c>
    </row>
    <row r="104" spans="1:39" hidden="1">
      <c r="A104" s="2610"/>
      <c r="B104" s="2611"/>
      <c r="C104" s="2611"/>
      <c r="D104" s="2610"/>
      <c r="E104" s="2611"/>
      <c r="F104" s="2611"/>
      <c r="G104" s="2610"/>
      <c r="H104" s="2611"/>
      <c r="I104" s="2611"/>
      <c r="J104" s="2612"/>
      <c r="K104" s="175" t="str">
        <f>IF(A104&lt;&gt;"",IFERROR(INDEX(PMtbl[[WKst]:[Unit of measure*]],MATCH($A$84&amp;$A104&amp;$D104&amp;$G104,INDEX(PMtbl[Sec]&amp;PMtbl[Category]&amp;PMtbl[INN]&amp;PMtbl[Specification],0,),0),8),""),"")</f>
        <v/>
      </c>
      <c r="L104" s="175" t="str">
        <f>IF(K104="", "",SETUP!$E$5)</f>
        <v/>
      </c>
      <c r="M104" s="793"/>
      <c r="N104" s="809"/>
      <c r="O104" s="809"/>
      <c r="P104" s="809"/>
      <c r="Q104" s="809"/>
      <c r="R104" s="398">
        <f>SUM('TB-Pharmaceuticals'!$N104:$Q104)</f>
        <v>0</v>
      </c>
      <c r="S104" s="798">
        <f>'TB-Pharmaceuticals'!$M104*'TB-Pharmaceuticals'!$R104</f>
        <v>0</v>
      </c>
      <c r="T104" s="793"/>
      <c r="U104" s="809"/>
      <c r="V104" s="809"/>
      <c r="W104" s="809"/>
      <c r="X104" s="809"/>
      <c r="Y104" s="398">
        <f>SUM('TB-Pharmaceuticals'!$U104:$X104)</f>
        <v>0</v>
      </c>
      <c r="Z104" s="803">
        <f>'TB-Pharmaceuticals'!$T104*'TB-Pharmaceuticals'!$Y104</f>
        <v>0</v>
      </c>
      <c r="AA104" s="793"/>
      <c r="AB104" s="809"/>
      <c r="AC104" s="809"/>
      <c r="AD104" s="809"/>
      <c r="AE104" s="809"/>
      <c r="AF104" s="398">
        <f>SUM('TB-Pharmaceuticals'!$AB104:$AE104)</f>
        <v>0</v>
      </c>
      <c r="AG104" s="803">
        <f>'TB-Pharmaceuticals'!$AA104*'TB-Pharmaceuticals'!$AF104</f>
        <v>0</v>
      </c>
      <c r="AH104" s="399">
        <f>'TB-Pharmaceuticals'!$R104+'TB-Pharmaceuticals'!$Y104+'TB-Pharmaceuticals'!$AF104</f>
        <v>0</v>
      </c>
      <c r="AI104" s="803">
        <f>'TB-Pharmaceuticals'!$S104+'TB-Pharmaceuticals'!$Z104+'TB-Pharmaceuticals'!$AG104</f>
        <v>0</v>
      </c>
      <c r="AJ104" s="401" t="str">
        <f>IF(A104&lt;&gt;"",IFERROR(INDEX(PMtbl[[WKst]:[Unit of measure*]],MATCH($A$84&amp;$A104&amp;$D104&amp;$G104,INDEX(PMtbl[Sec]&amp;PMtbl[Category]&amp;PMtbl[INN]&amp;PMtbl[Specification],0,),0),7),""),"")</f>
        <v/>
      </c>
      <c r="AK104" s="949"/>
      <c r="AL104" s="337" t="str">
        <f>IFERROR(INDEX(SETUP!$C$19:$G$62,MATCH((INDEX(PMtbl[[WKst]:[Unit of measure*]],MATCH($A104&amp;$D104&amp;$G104,INDEX(PMtbl[Category]&amp;PMtbl[INN]&amp;PMtbl[Specification],0,),0),3)),SETUP!$D$19:$D$62,0),5),"")</f>
        <v/>
      </c>
      <c r="AM104" s="337" t="str">
        <f>IFERROR(IF((INDEX(SETUP!$C$19:$G$62,MATCH((INDEX(PMtbl[[WKst]:[Unit of measure*]],MATCH($A104&amp;$D104&amp;$G104,INDEX(PMtbl[Category]&amp;PMtbl[INN]&amp;PMtbl[Specification],0,),0),3)),SETUP!$D$19:$D$62,0),4))="Upfront",0,INDEX(SETUP!$C$19:$G$62,MATCH((INDEX(PMtbl[[WKst]:[Unit of measure*]],MATCH($A104&amp;$D104&amp;$G104,INDEX(PMtbl[Category]&amp;PMtbl[INN]&amp;PMtbl[Specification],0,),0),3)),SETUP!$D$19:$D$62,0),5)),"")</f>
        <v/>
      </c>
    </row>
    <row r="105" spans="1:39" hidden="1">
      <c r="A105" s="2616"/>
      <c r="B105" s="2304"/>
      <c r="C105" s="2304"/>
      <c r="D105" s="2616"/>
      <c r="E105" s="2304"/>
      <c r="F105" s="2304"/>
      <c r="G105" s="2616"/>
      <c r="H105" s="2304"/>
      <c r="I105" s="2304"/>
      <c r="J105" s="2617"/>
      <c r="K105" s="176" t="str">
        <f>IF(A105&lt;&gt;"",IFERROR(INDEX(PMtbl[[WKst]:[Unit of measure*]],MATCH($A$84&amp;$A105&amp;$D105&amp;$G105,INDEX(PMtbl[Sec]&amp;PMtbl[Category]&amp;PMtbl[INN]&amp;PMtbl[Specification],0,),0),8),""),"")</f>
        <v/>
      </c>
      <c r="L105" s="177" t="str">
        <f>IF(K105="", "",SETUP!$E$5)</f>
        <v/>
      </c>
      <c r="M105" s="792"/>
      <c r="N105" s="808"/>
      <c r="O105" s="808"/>
      <c r="P105" s="808"/>
      <c r="Q105" s="808"/>
      <c r="R105" s="395">
        <f>SUM('TB-Pharmaceuticals'!$N105:$Q105)</f>
        <v>0</v>
      </c>
      <c r="S105" s="797">
        <f>'TB-Pharmaceuticals'!$M105*'TB-Pharmaceuticals'!$R105</f>
        <v>0</v>
      </c>
      <c r="T105" s="792"/>
      <c r="U105" s="808"/>
      <c r="V105" s="808"/>
      <c r="W105" s="808"/>
      <c r="X105" s="808"/>
      <c r="Y105" s="395">
        <f>SUM('TB-Pharmaceuticals'!$U105:$X105)</f>
        <v>0</v>
      </c>
      <c r="Z105" s="802">
        <f>'TB-Pharmaceuticals'!$T105*'TB-Pharmaceuticals'!$Y105</f>
        <v>0</v>
      </c>
      <c r="AA105" s="792"/>
      <c r="AB105" s="808"/>
      <c r="AC105" s="808"/>
      <c r="AD105" s="808"/>
      <c r="AE105" s="808"/>
      <c r="AF105" s="395">
        <f>SUM('TB-Pharmaceuticals'!$AB105:$AE105)</f>
        <v>0</v>
      </c>
      <c r="AG105" s="802">
        <f>'TB-Pharmaceuticals'!$AA105*'TB-Pharmaceuticals'!$AF105</f>
        <v>0</v>
      </c>
      <c r="AH105" s="396">
        <f>'TB-Pharmaceuticals'!$R105+'TB-Pharmaceuticals'!$Y105+'TB-Pharmaceuticals'!$AF105</f>
        <v>0</v>
      </c>
      <c r="AI105" s="802">
        <f>'TB-Pharmaceuticals'!$S105+'TB-Pharmaceuticals'!$Z105+'TB-Pharmaceuticals'!$AG105</f>
        <v>0</v>
      </c>
      <c r="AJ105" s="402" t="str">
        <f>IF(A105&lt;&gt;"",IFERROR(INDEX(PMtbl[[WKst]:[Unit of measure*]],MATCH($A$84&amp;$A105&amp;$D105&amp;$G105,INDEX(PMtbl[Sec]&amp;PMtbl[Category]&amp;PMtbl[INN]&amp;PMtbl[Specification],0,),0),7),""),"")</f>
        <v/>
      </c>
      <c r="AK105" s="950"/>
      <c r="AL105" s="337" t="str">
        <f>IFERROR(INDEX(SETUP!$C$19:$G$62,MATCH((INDEX(PMtbl[[WKst]:[Unit of measure*]],MATCH($A105&amp;$D105&amp;$G105,INDEX(PMtbl[Category]&amp;PMtbl[INN]&amp;PMtbl[Specification],0,),0),3)),SETUP!$D$19:$D$62,0),5),"")</f>
        <v/>
      </c>
      <c r="AM105" s="337" t="str">
        <f>IFERROR(IF((INDEX(SETUP!$C$19:$G$62,MATCH((INDEX(PMtbl[[WKst]:[Unit of measure*]],MATCH($A105&amp;$D105&amp;$G105,INDEX(PMtbl[Category]&amp;PMtbl[INN]&amp;PMtbl[Specification],0,),0),3)),SETUP!$D$19:$D$62,0),4))="Upfront",0,INDEX(SETUP!$C$19:$G$62,MATCH((INDEX(PMtbl[[WKst]:[Unit of measure*]],MATCH($A105&amp;$D105&amp;$G105,INDEX(PMtbl[Category]&amp;PMtbl[INN]&amp;PMtbl[Specification],0,),0),3)),SETUP!$D$19:$D$62,0),5)),"")</f>
        <v/>
      </c>
    </row>
    <row r="106" spans="1:39" hidden="1">
      <c r="A106" s="2610"/>
      <c r="B106" s="2611"/>
      <c r="C106" s="2611"/>
      <c r="D106" s="2610"/>
      <c r="E106" s="2611"/>
      <c r="F106" s="2611"/>
      <c r="G106" s="2610"/>
      <c r="H106" s="2611"/>
      <c r="I106" s="2611"/>
      <c r="J106" s="2612"/>
      <c r="K106" s="175" t="str">
        <f>IF(A106&lt;&gt;"",IFERROR(INDEX(PMtbl[[WKst]:[Unit of measure*]],MATCH($A$84&amp;$A106&amp;$D106&amp;$G106,INDEX(PMtbl[Sec]&amp;PMtbl[Category]&amp;PMtbl[INN]&amp;PMtbl[Specification],0,),0),8),""),"")</f>
        <v/>
      </c>
      <c r="L106" s="175" t="str">
        <f>IF(K106="", "",SETUP!$E$5)</f>
        <v/>
      </c>
      <c r="M106" s="793"/>
      <c r="N106" s="809"/>
      <c r="O106" s="809"/>
      <c r="P106" s="809"/>
      <c r="Q106" s="809"/>
      <c r="R106" s="398">
        <f>SUM('TB-Pharmaceuticals'!$N106:$Q106)</f>
        <v>0</v>
      </c>
      <c r="S106" s="798">
        <f>'TB-Pharmaceuticals'!$M106*'TB-Pharmaceuticals'!$R106</f>
        <v>0</v>
      </c>
      <c r="T106" s="793"/>
      <c r="U106" s="809"/>
      <c r="V106" s="809"/>
      <c r="W106" s="809"/>
      <c r="X106" s="809"/>
      <c r="Y106" s="398">
        <f>SUM('TB-Pharmaceuticals'!$U106:$X106)</f>
        <v>0</v>
      </c>
      <c r="Z106" s="803">
        <f>'TB-Pharmaceuticals'!$T106*'TB-Pharmaceuticals'!$Y106</f>
        <v>0</v>
      </c>
      <c r="AA106" s="793"/>
      <c r="AB106" s="809"/>
      <c r="AC106" s="809"/>
      <c r="AD106" s="809"/>
      <c r="AE106" s="809"/>
      <c r="AF106" s="398">
        <f>SUM('TB-Pharmaceuticals'!$AB106:$AE106)</f>
        <v>0</v>
      </c>
      <c r="AG106" s="803">
        <f>'TB-Pharmaceuticals'!$AA106*'TB-Pharmaceuticals'!$AF106</f>
        <v>0</v>
      </c>
      <c r="AH106" s="399">
        <f>'TB-Pharmaceuticals'!$R106+'TB-Pharmaceuticals'!$Y106+'TB-Pharmaceuticals'!$AF106</f>
        <v>0</v>
      </c>
      <c r="AI106" s="803">
        <f>'TB-Pharmaceuticals'!$S106+'TB-Pharmaceuticals'!$Z106+'TB-Pharmaceuticals'!$AG106</f>
        <v>0</v>
      </c>
      <c r="AJ106" s="401" t="str">
        <f>IF(A106&lt;&gt;"",IFERROR(INDEX(PMtbl[[WKst]:[Unit of measure*]],MATCH($A$84&amp;$A106&amp;$D106&amp;$G106,INDEX(PMtbl[Sec]&amp;PMtbl[Category]&amp;PMtbl[INN]&amp;PMtbl[Specification],0,),0),7),""),"")</f>
        <v/>
      </c>
      <c r="AK106" s="949"/>
      <c r="AL106" s="337" t="str">
        <f>IFERROR(INDEX(SETUP!$C$19:$G$62,MATCH((INDEX(PMtbl[[WKst]:[Unit of measure*]],MATCH($A106&amp;$D106&amp;$G106,INDEX(PMtbl[Category]&amp;PMtbl[INN]&amp;PMtbl[Specification],0,),0),3)),SETUP!$D$19:$D$62,0),5),"")</f>
        <v/>
      </c>
      <c r="AM106" s="337" t="str">
        <f>IFERROR(IF((INDEX(SETUP!$C$19:$G$62,MATCH((INDEX(PMtbl[[WKst]:[Unit of measure*]],MATCH($A106&amp;$D106&amp;$G106,INDEX(PMtbl[Category]&amp;PMtbl[INN]&amp;PMtbl[Specification],0,),0),3)),SETUP!$D$19:$D$62,0),4))="Upfront",0,INDEX(SETUP!$C$19:$G$62,MATCH((INDEX(PMtbl[[WKst]:[Unit of measure*]],MATCH($A106&amp;$D106&amp;$G106,INDEX(PMtbl[Category]&amp;PMtbl[INN]&amp;PMtbl[Specification],0,),0),3)),SETUP!$D$19:$D$62,0),5)),"")</f>
        <v/>
      </c>
    </row>
    <row r="107" spans="1:39" hidden="1">
      <c r="A107" s="2616"/>
      <c r="B107" s="2304"/>
      <c r="C107" s="2304"/>
      <c r="D107" s="2616"/>
      <c r="E107" s="2304"/>
      <c r="F107" s="2304"/>
      <c r="G107" s="2616"/>
      <c r="H107" s="2304"/>
      <c r="I107" s="2304"/>
      <c r="J107" s="2617"/>
      <c r="K107" s="176" t="str">
        <f>IF(A107&lt;&gt;"",IFERROR(INDEX(PMtbl[[WKst]:[Unit of measure*]],MATCH($A$84&amp;$A107&amp;$D107&amp;$G107,INDEX(PMtbl[Sec]&amp;PMtbl[Category]&amp;PMtbl[INN]&amp;PMtbl[Specification],0,),0),8),""),"")</f>
        <v/>
      </c>
      <c r="L107" s="177" t="str">
        <f>IF(K107="", "",SETUP!$E$5)</f>
        <v/>
      </c>
      <c r="M107" s="792"/>
      <c r="N107" s="808"/>
      <c r="O107" s="808"/>
      <c r="P107" s="808"/>
      <c r="Q107" s="808"/>
      <c r="R107" s="395">
        <f>SUM('TB-Pharmaceuticals'!$N107:$Q107)</f>
        <v>0</v>
      </c>
      <c r="S107" s="797">
        <f>'TB-Pharmaceuticals'!$M107*'TB-Pharmaceuticals'!$R107</f>
        <v>0</v>
      </c>
      <c r="T107" s="792"/>
      <c r="U107" s="808"/>
      <c r="V107" s="808"/>
      <c r="W107" s="808"/>
      <c r="X107" s="808"/>
      <c r="Y107" s="395">
        <f>SUM('TB-Pharmaceuticals'!$U107:$X107)</f>
        <v>0</v>
      </c>
      <c r="Z107" s="802">
        <f>'TB-Pharmaceuticals'!$T107*'TB-Pharmaceuticals'!$Y107</f>
        <v>0</v>
      </c>
      <c r="AA107" s="792"/>
      <c r="AB107" s="808"/>
      <c r="AC107" s="808"/>
      <c r="AD107" s="808"/>
      <c r="AE107" s="808"/>
      <c r="AF107" s="395">
        <f>SUM('TB-Pharmaceuticals'!$AB107:$AE107)</f>
        <v>0</v>
      </c>
      <c r="AG107" s="802">
        <f>'TB-Pharmaceuticals'!$AA107*'TB-Pharmaceuticals'!$AF107</f>
        <v>0</v>
      </c>
      <c r="AH107" s="396">
        <f>'TB-Pharmaceuticals'!$R107+'TB-Pharmaceuticals'!$Y107+'TB-Pharmaceuticals'!$AF107</f>
        <v>0</v>
      </c>
      <c r="AI107" s="802">
        <f>'TB-Pharmaceuticals'!$S107+'TB-Pharmaceuticals'!$Z107+'TB-Pharmaceuticals'!$AG107</f>
        <v>0</v>
      </c>
      <c r="AJ107" s="402" t="str">
        <f>IF(A107&lt;&gt;"",IFERROR(INDEX(PMtbl[[WKst]:[Unit of measure*]],MATCH($A$84&amp;$A107&amp;$D107&amp;$G107,INDEX(PMtbl[Sec]&amp;PMtbl[Category]&amp;PMtbl[INN]&amp;PMtbl[Specification],0,),0),7),""),"")</f>
        <v/>
      </c>
      <c r="AK107" s="950"/>
      <c r="AL107" s="337" t="str">
        <f>IFERROR(INDEX(SETUP!$C$19:$G$62,MATCH((INDEX(PMtbl[[WKst]:[Unit of measure*]],MATCH($A107&amp;$D107&amp;$G107,INDEX(PMtbl[Category]&amp;PMtbl[INN]&amp;PMtbl[Specification],0,),0),3)),SETUP!$D$19:$D$62,0),5),"")</f>
        <v/>
      </c>
      <c r="AM107" s="337" t="str">
        <f>IFERROR(IF((INDEX(SETUP!$C$19:$G$62,MATCH((INDEX(PMtbl[[WKst]:[Unit of measure*]],MATCH($A107&amp;$D107&amp;$G107,INDEX(PMtbl[Category]&amp;PMtbl[INN]&amp;PMtbl[Specification],0,),0),3)),SETUP!$D$19:$D$62,0),4))="Upfront",0,INDEX(SETUP!$C$19:$G$62,MATCH((INDEX(PMtbl[[WKst]:[Unit of measure*]],MATCH($A107&amp;$D107&amp;$G107,INDEX(PMtbl[Category]&amp;PMtbl[INN]&amp;PMtbl[Specification],0,),0),3)),SETUP!$D$19:$D$62,0),5)),"")</f>
        <v/>
      </c>
    </row>
    <row r="108" spans="1:39" hidden="1">
      <c r="A108" s="2610"/>
      <c r="B108" s="2611"/>
      <c r="C108" s="2611"/>
      <c r="D108" s="2610"/>
      <c r="E108" s="2611"/>
      <c r="F108" s="2611"/>
      <c r="G108" s="2610"/>
      <c r="H108" s="2611"/>
      <c r="I108" s="2611"/>
      <c r="J108" s="2612"/>
      <c r="K108" s="175" t="str">
        <f>IF(A108&lt;&gt;"",IFERROR(INDEX(PMtbl[[WKst]:[Unit of measure*]],MATCH($A$84&amp;$A108&amp;$D108&amp;$G108,INDEX(PMtbl[Sec]&amp;PMtbl[Category]&amp;PMtbl[INN]&amp;PMtbl[Specification],0,),0),8),""),"")</f>
        <v/>
      </c>
      <c r="L108" s="175" t="str">
        <f>IF(K108="", "",SETUP!$E$5)</f>
        <v/>
      </c>
      <c r="M108" s="793"/>
      <c r="N108" s="809"/>
      <c r="O108" s="809"/>
      <c r="P108" s="809"/>
      <c r="Q108" s="809"/>
      <c r="R108" s="398">
        <f>SUM('TB-Pharmaceuticals'!$N108:$Q108)</f>
        <v>0</v>
      </c>
      <c r="S108" s="798">
        <f>'TB-Pharmaceuticals'!$M108*'TB-Pharmaceuticals'!$R108</f>
        <v>0</v>
      </c>
      <c r="T108" s="793"/>
      <c r="U108" s="809"/>
      <c r="V108" s="809"/>
      <c r="W108" s="809"/>
      <c r="X108" s="809"/>
      <c r="Y108" s="398">
        <f>SUM('TB-Pharmaceuticals'!$U108:$X108)</f>
        <v>0</v>
      </c>
      <c r="Z108" s="803">
        <f>'TB-Pharmaceuticals'!$T108*'TB-Pharmaceuticals'!$Y108</f>
        <v>0</v>
      </c>
      <c r="AA108" s="793"/>
      <c r="AB108" s="809"/>
      <c r="AC108" s="809"/>
      <c r="AD108" s="809"/>
      <c r="AE108" s="809"/>
      <c r="AF108" s="398">
        <f>SUM('TB-Pharmaceuticals'!$AB108:$AE108)</f>
        <v>0</v>
      </c>
      <c r="AG108" s="803">
        <f>'TB-Pharmaceuticals'!$AA108*'TB-Pharmaceuticals'!$AF108</f>
        <v>0</v>
      </c>
      <c r="AH108" s="399">
        <f>'TB-Pharmaceuticals'!$R108+'TB-Pharmaceuticals'!$Y108+'TB-Pharmaceuticals'!$AF108</f>
        <v>0</v>
      </c>
      <c r="AI108" s="803">
        <f>'TB-Pharmaceuticals'!$S108+'TB-Pharmaceuticals'!$Z108+'TB-Pharmaceuticals'!$AG108</f>
        <v>0</v>
      </c>
      <c r="AJ108" s="401" t="str">
        <f>IF(A108&lt;&gt;"",IFERROR(INDEX(PMtbl[[WKst]:[Unit of measure*]],MATCH($A$84&amp;$A108&amp;$D108&amp;$G108,INDEX(PMtbl[Sec]&amp;PMtbl[Category]&amp;PMtbl[INN]&amp;PMtbl[Specification],0,),0),7),""),"")</f>
        <v/>
      </c>
      <c r="AK108" s="949"/>
      <c r="AL108" s="337" t="str">
        <f>IFERROR(INDEX(SETUP!$C$19:$G$62,MATCH((INDEX(PMtbl[[WKst]:[Unit of measure*]],MATCH($A108&amp;$D108&amp;$G108,INDEX(PMtbl[Category]&amp;PMtbl[INN]&amp;PMtbl[Specification],0,),0),3)),SETUP!$D$19:$D$62,0),5),"")</f>
        <v/>
      </c>
      <c r="AM108" s="337" t="str">
        <f>IFERROR(IF((INDEX(SETUP!$C$19:$G$62,MATCH((INDEX(PMtbl[[WKst]:[Unit of measure*]],MATCH($A108&amp;$D108&amp;$G108,INDEX(PMtbl[Category]&amp;PMtbl[INN]&amp;PMtbl[Specification],0,),0),3)),SETUP!$D$19:$D$62,0),4))="Upfront",0,INDEX(SETUP!$C$19:$G$62,MATCH((INDEX(PMtbl[[WKst]:[Unit of measure*]],MATCH($A108&amp;$D108&amp;$G108,INDEX(PMtbl[Category]&amp;PMtbl[INN]&amp;PMtbl[Specification],0,),0),3)),SETUP!$D$19:$D$62,0),5)),"")</f>
        <v/>
      </c>
    </row>
    <row r="109" spans="1:39" hidden="1">
      <c r="A109" s="2616"/>
      <c r="B109" s="2304"/>
      <c r="C109" s="2304"/>
      <c r="D109" s="2616"/>
      <c r="E109" s="2304"/>
      <c r="F109" s="2304"/>
      <c r="G109" s="2616"/>
      <c r="H109" s="2304"/>
      <c r="I109" s="2304"/>
      <c r="J109" s="2617"/>
      <c r="K109" s="176" t="str">
        <f>IF(A109&lt;&gt;"",IFERROR(INDEX(PMtbl[[WKst]:[Unit of measure*]],MATCH($A$84&amp;$A109&amp;$D109&amp;$G109,INDEX(PMtbl[Sec]&amp;PMtbl[Category]&amp;PMtbl[INN]&amp;PMtbl[Specification],0,),0),8),""),"")</f>
        <v/>
      </c>
      <c r="L109" s="177" t="str">
        <f>IF(K109="", "",SETUP!$E$5)</f>
        <v/>
      </c>
      <c r="M109" s="792"/>
      <c r="N109" s="808"/>
      <c r="O109" s="808"/>
      <c r="P109" s="808"/>
      <c r="Q109" s="808"/>
      <c r="R109" s="395">
        <f>SUM('TB-Pharmaceuticals'!$N109:$Q109)</f>
        <v>0</v>
      </c>
      <c r="S109" s="797">
        <f>'TB-Pharmaceuticals'!$M109*'TB-Pharmaceuticals'!$R109</f>
        <v>0</v>
      </c>
      <c r="T109" s="792"/>
      <c r="U109" s="808"/>
      <c r="V109" s="808"/>
      <c r="W109" s="808"/>
      <c r="X109" s="808"/>
      <c r="Y109" s="395">
        <f>SUM('TB-Pharmaceuticals'!$U109:$X109)</f>
        <v>0</v>
      </c>
      <c r="Z109" s="802">
        <f>'TB-Pharmaceuticals'!$T109*'TB-Pharmaceuticals'!$Y109</f>
        <v>0</v>
      </c>
      <c r="AA109" s="792"/>
      <c r="AB109" s="808"/>
      <c r="AC109" s="808"/>
      <c r="AD109" s="808"/>
      <c r="AE109" s="808"/>
      <c r="AF109" s="395">
        <f>SUM('TB-Pharmaceuticals'!$AB109:$AE109)</f>
        <v>0</v>
      </c>
      <c r="AG109" s="802">
        <f>'TB-Pharmaceuticals'!$AA109*'TB-Pharmaceuticals'!$AF109</f>
        <v>0</v>
      </c>
      <c r="AH109" s="396">
        <f>'TB-Pharmaceuticals'!$R109+'TB-Pharmaceuticals'!$Y109+'TB-Pharmaceuticals'!$AF109</f>
        <v>0</v>
      </c>
      <c r="AI109" s="802">
        <f>'TB-Pharmaceuticals'!$S109+'TB-Pharmaceuticals'!$Z109+'TB-Pharmaceuticals'!$AG109</f>
        <v>0</v>
      </c>
      <c r="AJ109" s="402" t="str">
        <f>IF(A109&lt;&gt;"",IFERROR(INDEX(PMtbl[[WKst]:[Unit of measure*]],MATCH($A$84&amp;$A109&amp;$D109&amp;$G109,INDEX(PMtbl[Sec]&amp;PMtbl[Category]&amp;PMtbl[INN]&amp;PMtbl[Specification],0,),0),7),""),"")</f>
        <v/>
      </c>
      <c r="AK109" s="950"/>
      <c r="AL109" s="337" t="str">
        <f>IFERROR(INDEX(SETUP!$C$19:$G$62,MATCH((INDEX(PMtbl[[WKst]:[Unit of measure*]],MATCH($A109&amp;$D109&amp;$G109,INDEX(PMtbl[Category]&amp;PMtbl[INN]&amp;PMtbl[Specification],0,),0),3)),SETUP!$D$19:$D$62,0),5),"")</f>
        <v/>
      </c>
      <c r="AM109" s="337" t="str">
        <f>IFERROR(IF((INDEX(SETUP!$C$19:$G$62,MATCH((INDEX(PMtbl[[WKst]:[Unit of measure*]],MATCH($A109&amp;$D109&amp;$G109,INDEX(PMtbl[Category]&amp;PMtbl[INN]&amp;PMtbl[Specification],0,),0),3)),SETUP!$D$19:$D$62,0),4))="Upfront",0,INDEX(SETUP!$C$19:$G$62,MATCH((INDEX(PMtbl[[WKst]:[Unit of measure*]],MATCH($A109&amp;$D109&amp;$G109,INDEX(PMtbl[Category]&amp;PMtbl[INN]&amp;PMtbl[Specification],0,),0),3)),SETUP!$D$19:$D$62,0),5)),"")</f>
        <v/>
      </c>
    </row>
    <row r="110" spans="1:39" hidden="1">
      <c r="A110" s="2610"/>
      <c r="B110" s="2611"/>
      <c r="C110" s="2611"/>
      <c r="D110" s="2610"/>
      <c r="E110" s="2611"/>
      <c r="F110" s="2611"/>
      <c r="G110" s="2610"/>
      <c r="H110" s="2611"/>
      <c r="I110" s="2611"/>
      <c r="J110" s="2612"/>
      <c r="K110" s="175" t="str">
        <f>IF(A110&lt;&gt;"",IFERROR(INDEX(PMtbl[[WKst]:[Unit of measure*]],MATCH($A$84&amp;$A110&amp;$D110&amp;$G110,INDEX(PMtbl[Sec]&amp;PMtbl[Category]&amp;PMtbl[INN]&amp;PMtbl[Specification],0,),0),8),""),"")</f>
        <v/>
      </c>
      <c r="L110" s="175" t="str">
        <f>IF(K110="", "",SETUP!$E$5)</f>
        <v/>
      </c>
      <c r="M110" s="793"/>
      <c r="N110" s="809"/>
      <c r="O110" s="809"/>
      <c r="P110" s="809"/>
      <c r="Q110" s="809"/>
      <c r="R110" s="398">
        <f>SUM('TB-Pharmaceuticals'!$N110:$Q110)</f>
        <v>0</v>
      </c>
      <c r="S110" s="798">
        <f>'TB-Pharmaceuticals'!$M110*'TB-Pharmaceuticals'!$R110</f>
        <v>0</v>
      </c>
      <c r="T110" s="793"/>
      <c r="U110" s="809"/>
      <c r="V110" s="809"/>
      <c r="W110" s="809"/>
      <c r="X110" s="809"/>
      <c r="Y110" s="398">
        <f>SUM('TB-Pharmaceuticals'!$U110:$X110)</f>
        <v>0</v>
      </c>
      <c r="Z110" s="803">
        <f>'TB-Pharmaceuticals'!$T110*'TB-Pharmaceuticals'!$Y110</f>
        <v>0</v>
      </c>
      <c r="AA110" s="793"/>
      <c r="AB110" s="809"/>
      <c r="AC110" s="809"/>
      <c r="AD110" s="809"/>
      <c r="AE110" s="809"/>
      <c r="AF110" s="398">
        <f>SUM('TB-Pharmaceuticals'!$AB110:$AE110)</f>
        <v>0</v>
      </c>
      <c r="AG110" s="803">
        <f>'TB-Pharmaceuticals'!$AA110*'TB-Pharmaceuticals'!$AF110</f>
        <v>0</v>
      </c>
      <c r="AH110" s="399">
        <f>'TB-Pharmaceuticals'!$R110+'TB-Pharmaceuticals'!$Y110+'TB-Pharmaceuticals'!$AF110</f>
        <v>0</v>
      </c>
      <c r="AI110" s="803">
        <f>'TB-Pharmaceuticals'!$S110+'TB-Pharmaceuticals'!$Z110+'TB-Pharmaceuticals'!$AG110</f>
        <v>0</v>
      </c>
      <c r="AJ110" s="401" t="str">
        <f>IF(A110&lt;&gt;"",IFERROR(INDEX(PMtbl[[WKst]:[Unit of measure*]],MATCH($A$84&amp;$A110&amp;$D110&amp;$G110,INDEX(PMtbl[Sec]&amp;PMtbl[Category]&amp;PMtbl[INN]&amp;PMtbl[Specification],0,),0),7),""),"")</f>
        <v/>
      </c>
      <c r="AK110" s="949"/>
      <c r="AL110" s="337" t="str">
        <f>IFERROR(INDEX(SETUP!$C$19:$G$62,MATCH((INDEX(PMtbl[[WKst]:[Unit of measure*]],MATCH($A110&amp;$D110&amp;$G110,INDEX(PMtbl[Category]&amp;PMtbl[INN]&amp;PMtbl[Specification],0,),0),3)),SETUP!$D$19:$D$62,0),5),"")</f>
        <v/>
      </c>
      <c r="AM110" s="337" t="str">
        <f>IFERROR(IF((INDEX(SETUP!$C$19:$G$62,MATCH((INDEX(PMtbl[[WKst]:[Unit of measure*]],MATCH($A110&amp;$D110&amp;$G110,INDEX(PMtbl[Category]&amp;PMtbl[INN]&amp;PMtbl[Specification],0,),0),3)),SETUP!$D$19:$D$62,0),4))="Upfront",0,INDEX(SETUP!$C$19:$G$62,MATCH((INDEX(PMtbl[[WKst]:[Unit of measure*]],MATCH($A110&amp;$D110&amp;$G110,INDEX(PMtbl[Category]&amp;PMtbl[INN]&amp;PMtbl[Specification],0,),0),3)),SETUP!$D$19:$D$62,0),5)),"")</f>
        <v/>
      </c>
    </row>
    <row r="111" spans="1:39" hidden="1">
      <c r="A111" s="2616"/>
      <c r="B111" s="2304"/>
      <c r="C111" s="2304"/>
      <c r="D111" s="2616"/>
      <c r="E111" s="2304"/>
      <c r="F111" s="2304"/>
      <c r="G111" s="2616"/>
      <c r="H111" s="2304"/>
      <c r="I111" s="2304"/>
      <c r="J111" s="2617"/>
      <c r="K111" s="176" t="str">
        <f>IF(A111&lt;&gt;"",IFERROR(INDEX(PMtbl[[WKst]:[Unit of measure*]],MATCH($A$84&amp;$A111&amp;$D111&amp;$G111,INDEX(PMtbl[Sec]&amp;PMtbl[Category]&amp;PMtbl[INN]&amp;PMtbl[Specification],0,),0),8),""),"")</f>
        <v/>
      </c>
      <c r="L111" s="177" t="str">
        <f>IF(K111="", "",SETUP!$E$5)</f>
        <v/>
      </c>
      <c r="M111" s="792"/>
      <c r="N111" s="808"/>
      <c r="O111" s="808"/>
      <c r="P111" s="808"/>
      <c r="Q111" s="808"/>
      <c r="R111" s="395">
        <f>SUM('TB-Pharmaceuticals'!$N111:$Q111)</f>
        <v>0</v>
      </c>
      <c r="S111" s="797">
        <f>'TB-Pharmaceuticals'!$M111*'TB-Pharmaceuticals'!$R111</f>
        <v>0</v>
      </c>
      <c r="T111" s="792"/>
      <c r="U111" s="808"/>
      <c r="V111" s="808"/>
      <c r="W111" s="808"/>
      <c r="X111" s="808"/>
      <c r="Y111" s="395">
        <f>SUM('TB-Pharmaceuticals'!$U111:$X111)</f>
        <v>0</v>
      </c>
      <c r="Z111" s="802">
        <f>'TB-Pharmaceuticals'!$T111*'TB-Pharmaceuticals'!$Y111</f>
        <v>0</v>
      </c>
      <c r="AA111" s="792"/>
      <c r="AB111" s="808"/>
      <c r="AC111" s="808"/>
      <c r="AD111" s="808"/>
      <c r="AE111" s="808"/>
      <c r="AF111" s="395">
        <f>SUM('TB-Pharmaceuticals'!$AB111:$AE111)</f>
        <v>0</v>
      </c>
      <c r="AG111" s="802">
        <f>'TB-Pharmaceuticals'!$AA111*'TB-Pharmaceuticals'!$AF111</f>
        <v>0</v>
      </c>
      <c r="AH111" s="396">
        <f>'TB-Pharmaceuticals'!$R111+'TB-Pharmaceuticals'!$Y111+'TB-Pharmaceuticals'!$AF111</f>
        <v>0</v>
      </c>
      <c r="AI111" s="802">
        <f>'TB-Pharmaceuticals'!$S111+'TB-Pharmaceuticals'!$Z111+'TB-Pharmaceuticals'!$AG111</f>
        <v>0</v>
      </c>
      <c r="AJ111" s="402" t="str">
        <f>IF(A111&lt;&gt;"",IFERROR(INDEX(PMtbl[[WKst]:[Unit of measure*]],MATCH($A$84&amp;$A111&amp;$D111&amp;$G111,INDEX(PMtbl[Sec]&amp;PMtbl[Category]&amp;PMtbl[INN]&amp;PMtbl[Specification],0,),0),7),""),"")</f>
        <v/>
      </c>
      <c r="AK111" s="950"/>
      <c r="AL111" s="337" t="str">
        <f>IFERROR(INDEX(SETUP!$C$19:$G$62,MATCH((INDEX(PMtbl[[WKst]:[Unit of measure*]],MATCH($A111&amp;$D111&amp;$G111,INDEX(PMtbl[Category]&amp;PMtbl[INN]&amp;PMtbl[Specification],0,),0),3)),SETUP!$D$19:$D$62,0),5),"")</f>
        <v/>
      </c>
      <c r="AM111" s="337" t="str">
        <f>IFERROR(IF((INDEX(SETUP!$C$19:$G$62,MATCH((INDEX(PMtbl[[WKst]:[Unit of measure*]],MATCH($A111&amp;$D111&amp;$G111,INDEX(PMtbl[Category]&amp;PMtbl[INN]&amp;PMtbl[Specification],0,),0),3)),SETUP!$D$19:$D$62,0),4))="Upfront",0,INDEX(SETUP!$C$19:$G$62,MATCH((INDEX(PMtbl[[WKst]:[Unit of measure*]],MATCH($A111&amp;$D111&amp;$G111,INDEX(PMtbl[Category]&amp;PMtbl[INN]&amp;PMtbl[Specification],0,),0),3)),SETUP!$D$19:$D$62,0),5)),"")</f>
        <v/>
      </c>
    </row>
    <row r="112" spans="1:39" hidden="1">
      <c r="A112" s="2610"/>
      <c r="B112" s="2611"/>
      <c r="C112" s="2611"/>
      <c r="D112" s="2610"/>
      <c r="E112" s="2611"/>
      <c r="F112" s="2611"/>
      <c r="G112" s="2610"/>
      <c r="H112" s="2611"/>
      <c r="I112" s="2611"/>
      <c r="J112" s="2612"/>
      <c r="K112" s="175" t="str">
        <f>IF(A112&lt;&gt;"",IFERROR(INDEX(PMtbl[[WKst]:[Unit of measure*]],MATCH($A$84&amp;$A112&amp;$D112&amp;$G112,INDEX(PMtbl[Sec]&amp;PMtbl[Category]&amp;PMtbl[INN]&amp;PMtbl[Specification],0,),0),8),""),"")</f>
        <v/>
      </c>
      <c r="L112" s="175" t="str">
        <f>IF(K112="", "",SETUP!$E$5)</f>
        <v/>
      </c>
      <c r="M112" s="793"/>
      <c r="N112" s="809"/>
      <c r="O112" s="809"/>
      <c r="P112" s="809"/>
      <c r="Q112" s="809"/>
      <c r="R112" s="398">
        <f>SUM('TB-Pharmaceuticals'!$N112:$Q112)</f>
        <v>0</v>
      </c>
      <c r="S112" s="798">
        <f>'TB-Pharmaceuticals'!$M112*'TB-Pharmaceuticals'!$R112</f>
        <v>0</v>
      </c>
      <c r="T112" s="793"/>
      <c r="U112" s="809"/>
      <c r="V112" s="809"/>
      <c r="W112" s="809"/>
      <c r="X112" s="809"/>
      <c r="Y112" s="398">
        <f>SUM('TB-Pharmaceuticals'!$U112:$X112)</f>
        <v>0</v>
      </c>
      <c r="Z112" s="803">
        <f>'TB-Pharmaceuticals'!$T112*'TB-Pharmaceuticals'!$Y112</f>
        <v>0</v>
      </c>
      <c r="AA112" s="793"/>
      <c r="AB112" s="809"/>
      <c r="AC112" s="809"/>
      <c r="AD112" s="809"/>
      <c r="AE112" s="809"/>
      <c r="AF112" s="398">
        <f>SUM('TB-Pharmaceuticals'!$AB112:$AE112)</f>
        <v>0</v>
      </c>
      <c r="AG112" s="803">
        <f>'TB-Pharmaceuticals'!$AA112*'TB-Pharmaceuticals'!$AF112</f>
        <v>0</v>
      </c>
      <c r="AH112" s="399">
        <f>'TB-Pharmaceuticals'!$R112+'TB-Pharmaceuticals'!$Y112+'TB-Pharmaceuticals'!$AF112</f>
        <v>0</v>
      </c>
      <c r="AI112" s="803">
        <f>'TB-Pharmaceuticals'!$S112+'TB-Pharmaceuticals'!$Z112+'TB-Pharmaceuticals'!$AG112</f>
        <v>0</v>
      </c>
      <c r="AJ112" s="401" t="str">
        <f>IF(A112&lt;&gt;"",IFERROR(INDEX(PMtbl[[WKst]:[Unit of measure*]],MATCH($A$84&amp;$A112&amp;$D112&amp;$G112,INDEX(PMtbl[Sec]&amp;PMtbl[Category]&amp;PMtbl[INN]&amp;PMtbl[Specification],0,),0),7),""),"")</f>
        <v/>
      </c>
      <c r="AK112" s="949"/>
      <c r="AL112" s="337" t="str">
        <f>IFERROR(INDEX(SETUP!$C$19:$G$62,MATCH((INDEX(PMtbl[[WKst]:[Unit of measure*]],MATCH($A112&amp;$D112&amp;$G112,INDEX(PMtbl[Category]&amp;PMtbl[INN]&amp;PMtbl[Specification],0,),0),3)),SETUP!$D$19:$D$62,0),5),"")</f>
        <v/>
      </c>
      <c r="AM112" s="337" t="str">
        <f>IFERROR(IF((INDEX(SETUP!$C$19:$G$62,MATCH((INDEX(PMtbl[[WKst]:[Unit of measure*]],MATCH($A112&amp;$D112&amp;$G112,INDEX(PMtbl[Category]&amp;PMtbl[INN]&amp;PMtbl[Specification],0,),0),3)),SETUP!$D$19:$D$62,0),4))="Upfront",0,INDEX(SETUP!$C$19:$G$62,MATCH((INDEX(PMtbl[[WKst]:[Unit of measure*]],MATCH($A112&amp;$D112&amp;$G112,INDEX(PMtbl[Category]&amp;PMtbl[INN]&amp;PMtbl[Specification],0,),0),3)),SETUP!$D$19:$D$62,0),5)),"")</f>
        <v/>
      </c>
    </row>
    <row r="113" spans="1:39" hidden="1">
      <c r="A113" s="2616"/>
      <c r="B113" s="2304"/>
      <c r="C113" s="2304"/>
      <c r="D113" s="2616"/>
      <c r="E113" s="2304"/>
      <c r="F113" s="2304"/>
      <c r="G113" s="2616"/>
      <c r="H113" s="2304"/>
      <c r="I113" s="2304"/>
      <c r="J113" s="2617"/>
      <c r="K113" s="176" t="str">
        <f>IF(A113&lt;&gt;"",IFERROR(INDEX(PMtbl[[WKst]:[Unit of measure*]],MATCH($A$84&amp;$A113&amp;$D113&amp;$G113,INDEX(PMtbl[Sec]&amp;PMtbl[Category]&amp;PMtbl[INN]&amp;PMtbl[Specification],0,),0),8),""),"")</f>
        <v/>
      </c>
      <c r="L113" s="177" t="str">
        <f>IF(K113="", "",SETUP!$E$5)</f>
        <v/>
      </c>
      <c r="M113" s="792"/>
      <c r="N113" s="808"/>
      <c r="O113" s="808"/>
      <c r="P113" s="808"/>
      <c r="Q113" s="808"/>
      <c r="R113" s="395">
        <f>SUM('TB-Pharmaceuticals'!$N113:$Q113)</f>
        <v>0</v>
      </c>
      <c r="S113" s="797">
        <f>'TB-Pharmaceuticals'!$M113*'TB-Pharmaceuticals'!$R113</f>
        <v>0</v>
      </c>
      <c r="T113" s="792"/>
      <c r="U113" s="808"/>
      <c r="V113" s="808"/>
      <c r="W113" s="808"/>
      <c r="X113" s="808"/>
      <c r="Y113" s="395">
        <f>SUM('TB-Pharmaceuticals'!$U113:$X113)</f>
        <v>0</v>
      </c>
      <c r="Z113" s="802">
        <f>'TB-Pharmaceuticals'!$T113*'TB-Pharmaceuticals'!$Y113</f>
        <v>0</v>
      </c>
      <c r="AA113" s="792"/>
      <c r="AB113" s="808"/>
      <c r="AC113" s="808"/>
      <c r="AD113" s="808"/>
      <c r="AE113" s="808"/>
      <c r="AF113" s="395">
        <f>SUM('TB-Pharmaceuticals'!$AB113:$AE113)</f>
        <v>0</v>
      </c>
      <c r="AG113" s="802">
        <f>'TB-Pharmaceuticals'!$AA113*'TB-Pharmaceuticals'!$AF113</f>
        <v>0</v>
      </c>
      <c r="AH113" s="396">
        <f>'TB-Pharmaceuticals'!$R113+'TB-Pharmaceuticals'!$Y113+'TB-Pharmaceuticals'!$AF113</f>
        <v>0</v>
      </c>
      <c r="AI113" s="802">
        <f>'TB-Pharmaceuticals'!$S113+'TB-Pharmaceuticals'!$Z113+'TB-Pharmaceuticals'!$AG113</f>
        <v>0</v>
      </c>
      <c r="AJ113" s="402" t="str">
        <f>IF(A113&lt;&gt;"",IFERROR(INDEX(PMtbl[[WKst]:[Unit of measure*]],MATCH($A$84&amp;$A113&amp;$D113&amp;$G113,INDEX(PMtbl[Sec]&amp;PMtbl[Category]&amp;PMtbl[INN]&amp;PMtbl[Specification],0,),0),7),""),"")</f>
        <v/>
      </c>
      <c r="AK113" s="950"/>
      <c r="AL113" s="337" t="str">
        <f>IFERROR(INDEX(SETUP!$C$19:$G$62,MATCH((INDEX(PMtbl[[WKst]:[Unit of measure*]],MATCH($A113&amp;$D113&amp;$G113,INDEX(PMtbl[Category]&amp;PMtbl[INN]&amp;PMtbl[Specification],0,),0),3)),SETUP!$D$19:$D$62,0),5),"")</f>
        <v/>
      </c>
      <c r="AM113" s="337" t="str">
        <f>IFERROR(IF((INDEX(SETUP!$C$19:$G$62,MATCH((INDEX(PMtbl[[WKst]:[Unit of measure*]],MATCH($A113&amp;$D113&amp;$G113,INDEX(PMtbl[Category]&amp;PMtbl[INN]&amp;PMtbl[Specification],0,),0),3)),SETUP!$D$19:$D$62,0),4))="Upfront",0,INDEX(SETUP!$C$19:$G$62,MATCH((INDEX(PMtbl[[WKst]:[Unit of measure*]],MATCH($A113&amp;$D113&amp;$G113,INDEX(PMtbl[Category]&amp;PMtbl[INN]&amp;PMtbl[Specification],0,),0),3)),SETUP!$D$19:$D$62,0),5)),"")</f>
        <v/>
      </c>
    </row>
    <row r="114" spans="1:39" hidden="1">
      <c r="A114" s="2610"/>
      <c r="B114" s="2611"/>
      <c r="C114" s="2611"/>
      <c r="D114" s="2610"/>
      <c r="E114" s="2611"/>
      <c r="F114" s="2611"/>
      <c r="G114" s="2610"/>
      <c r="H114" s="2611"/>
      <c r="I114" s="2611"/>
      <c r="J114" s="2612"/>
      <c r="K114" s="175" t="str">
        <f>IF(A114&lt;&gt;"",IFERROR(INDEX(PMtbl[[WKst]:[Unit of measure*]],MATCH($A$84&amp;$A114&amp;$D114&amp;$G114,INDEX(PMtbl[Sec]&amp;PMtbl[Category]&amp;PMtbl[INN]&amp;PMtbl[Specification],0,),0),8),""),"")</f>
        <v/>
      </c>
      <c r="L114" s="175" t="str">
        <f>IF(K114="", "",SETUP!$E$5)</f>
        <v/>
      </c>
      <c r="M114" s="793"/>
      <c r="N114" s="809"/>
      <c r="O114" s="809"/>
      <c r="P114" s="809"/>
      <c r="Q114" s="809"/>
      <c r="R114" s="398">
        <f>SUM('TB-Pharmaceuticals'!$N114:$Q114)</f>
        <v>0</v>
      </c>
      <c r="S114" s="798">
        <f>'TB-Pharmaceuticals'!$M114*'TB-Pharmaceuticals'!$R114</f>
        <v>0</v>
      </c>
      <c r="T114" s="793"/>
      <c r="U114" s="809"/>
      <c r="V114" s="809"/>
      <c r="W114" s="809"/>
      <c r="X114" s="809"/>
      <c r="Y114" s="398">
        <f>SUM('TB-Pharmaceuticals'!$U114:$X114)</f>
        <v>0</v>
      </c>
      <c r="Z114" s="803">
        <f>'TB-Pharmaceuticals'!$T114*'TB-Pharmaceuticals'!$Y114</f>
        <v>0</v>
      </c>
      <c r="AA114" s="793"/>
      <c r="AB114" s="809"/>
      <c r="AC114" s="809"/>
      <c r="AD114" s="809"/>
      <c r="AE114" s="809"/>
      <c r="AF114" s="398">
        <f>SUM('TB-Pharmaceuticals'!$AB114:$AE114)</f>
        <v>0</v>
      </c>
      <c r="AG114" s="803">
        <f>'TB-Pharmaceuticals'!$AA114*'TB-Pharmaceuticals'!$AF114</f>
        <v>0</v>
      </c>
      <c r="AH114" s="399">
        <f>'TB-Pharmaceuticals'!$R114+'TB-Pharmaceuticals'!$Y114+'TB-Pharmaceuticals'!$AF114</f>
        <v>0</v>
      </c>
      <c r="AI114" s="803">
        <f>'TB-Pharmaceuticals'!$S114+'TB-Pharmaceuticals'!$Z114+'TB-Pharmaceuticals'!$AG114</f>
        <v>0</v>
      </c>
      <c r="AJ114" s="401" t="str">
        <f>IF(A114&lt;&gt;"",IFERROR(INDEX(PMtbl[[WKst]:[Unit of measure*]],MATCH($A$84&amp;$A114&amp;$D114&amp;$G114,INDEX(PMtbl[Sec]&amp;PMtbl[Category]&amp;PMtbl[INN]&amp;PMtbl[Specification],0,),0),7),""),"")</f>
        <v/>
      </c>
      <c r="AK114" s="949"/>
      <c r="AL114" s="337" t="str">
        <f>IFERROR(INDEX(SETUP!$C$19:$G$62,MATCH((INDEX(PMtbl[[WKst]:[Unit of measure*]],MATCH($A114&amp;$D114&amp;$G114,INDEX(PMtbl[Category]&amp;PMtbl[INN]&amp;PMtbl[Specification],0,),0),3)),SETUP!$D$19:$D$62,0),5),"")</f>
        <v/>
      </c>
      <c r="AM114" s="337" t="str">
        <f>IFERROR(IF((INDEX(SETUP!$C$19:$G$62,MATCH((INDEX(PMtbl[[WKst]:[Unit of measure*]],MATCH($A114&amp;$D114&amp;$G114,INDEX(PMtbl[Category]&amp;PMtbl[INN]&amp;PMtbl[Specification],0,),0),3)),SETUP!$D$19:$D$62,0),4))="Upfront",0,INDEX(SETUP!$C$19:$G$62,MATCH((INDEX(PMtbl[[WKst]:[Unit of measure*]],MATCH($A114&amp;$D114&amp;$G114,INDEX(PMtbl[Category]&amp;PMtbl[INN]&amp;PMtbl[Specification],0,),0),3)),SETUP!$D$19:$D$62,0),5)),"")</f>
        <v/>
      </c>
    </row>
    <row r="115" spans="1:39" hidden="1">
      <c r="A115" s="2616"/>
      <c r="B115" s="2304"/>
      <c r="C115" s="2304"/>
      <c r="D115" s="2616"/>
      <c r="E115" s="2304"/>
      <c r="F115" s="2304"/>
      <c r="G115" s="2616"/>
      <c r="H115" s="2304"/>
      <c r="I115" s="2304"/>
      <c r="J115" s="2617"/>
      <c r="K115" s="176" t="str">
        <f>IF(A115&lt;&gt;"",IFERROR(INDEX(PMtbl[[WKst]:[Unit of measure*]],MATCH($A$84&amp;$A115&amp;$D115&amp;$G115,INDEX(PMtbl[Sec]&amp;PMtbl[Category]&amp;PMtbl[INN]&amp;PMtbl[Specification],0,),0),8),""),"")</f>
        <v/>
      </c>
      <c r="L115" s="177" t="str">
        <f>IF(K115="", "",SETUP!$E$5)</f>
        <v/>
      </c>
      <c r="M115" s="792"/>
      <c r="N115" s="808"/>
      <c r="O115" s="808"/>
      <c r="P115" s="808"/>
      <c r="Q115" s="808"/>
      <c r="R115" s="395">
        <f>SUM('TB-Pharmaceuticals'!$N115:$Q115)</f>
        <v>0</v>
      </c>
      <c r="S115" s="797">
        <f>'TB-Pharmaceuticals'!$M115*'TB-Pharmaceuticals'!$R115</f>
        <v>0</v>
      </c>
      <c r="T115" s="792"/>
      <c r="U115" s="808"/>
      <c r="V115" s="808"/>
      <c r="W115" s="808"/>
      <c r="X115" s="808"/>
      <c r="Y115" s="395">
        <f>SUM('TB-Pharmaceuticals'!$U115:$X115)</f>
        <v>0</v>
      </c>
      <c r="Z115" s="802">
        <f>'TB-Pharmaceuticals'!$T115*'TB-Pharmaceuticals'!$Y115</f>
        <v>0</v>
      </c>
      <c r="AA115" s="792"/>
      <c r="AB115" s="808"/>
      <c r="AC115" s="808"/>
      <c r="AD115" s="808"/>
      <c r="AE115" s="808"/>
      <c r="AF115" s="395">
        <f>SUM('TB-Pharmaceuticals'!$AB115:$AE115)</f>
        <v>0</v>
      </c>
      <c r="AG115" s="802">
        <f>'TB-Pharmaceuticals'!$AA115*'TB-Pharmaceuticals'!$AF115</f>
        <v>0</v>
      </c>
      <c r="AH115" s="396">
        <f>'TB-Pharmaceuticals'!$R115+'TB-Pharmaceuticals'!$Y115+'TB-Pharmaceuticals'!$AF115</f>
        <v>0</v>
      </c>
      <c r="AI115" s="802">
        <f>'TB-Pharmaceuticals'!$S115+'TB-Pharmaceuticals'!$Z115+'TB-Pharmaceuticals'!$AG115</f>
        <v>0</v>
      </c>
      <c r="AJ115" s="402" t="str">
        <f>IF(A115&lt;&gt;"",IFERROR(INDEX(PMtbl[[WKst]:[Unit of measure*]],MATCH($A$84&amp;$A115&amp;$D115&amp;$G115,INDEX(PMtbl[Sec]&amp;PMtbl[Category]&amp;PMtbl[INN]&amp;PMtbl[Specification],0,),0),7),""),"")</f>
        <v/>
      </c>
      <c r="AK115" s="950"/>
      <c r="AL115" s="337" t="str">
        <f>IFERROR(INDEX(SETUP!$C$19:$G$62,MATCH((INDEX(PMtbl[[WKst]:[Unit of measure*]],MATCH($A115&amp;$D115&amp;$G115,INDEX(PMtbl[Category]&amp;PMtbl[INN]&amp;PMtbl[Specification],0,),0),3)),SETUP!$D$19:$D$62,0),5),"")</f>
        <v/>
      </c>
      <c r="AM115" s="337" t="str">
        <f>IFERROR(IF((INDEX(SETUP!$C$19:$G$62,MATCH((INDEX(PMtbl[[WKst]:[Unit of measure*]],MATCH($A115&amp;$D115&amp;$G115,INDEX(PMtbl[Category]&amp;PMtbl[INN]&amp;PMtbl[Specification],0,),0),3)),SETUP!$D$19:$D$62,0),4))="Upfront",0,INDEX(SETUP!$C$19:$G$62,MATCH((INDEX(PMtbl[[WKst]:[Unit of measure*]],MATCH($A115&amp;$D115&amp;$G115,INDEX(PMtbl[Category]&amp;PMtbl[INN]&amp;PMtbl[Specification],0,),0),3)),SETUP!$D$19:$D$62,0),5)),"")</f>
        <v/>
      </c>
    </row>
    <row r="116" spans="1:39" hidden="1">
      <c r="A116" s="2610"/>
      <c r="B116" s="2611"/>
      <c r="C116" s="2611"/>
      <c r="D116" s="2610"/>
      <c r="E116" s="2611"/>
      <c r="F116" s="2611"/>
      <c r="G116" s="2610"/>
      <c r="H116" s="2611"/>
      <c r="I116" s="2611"/>
      <c r="J116" s="2612"/>
      <c r="K116" s="175" t="str">
        <f>IF(A116&lt;&gt;"",IFERROR(INDEX(PMtbl[[WKst]:[Unit of measure*]],MATCH($A$84&amp;$A116&amp;$D116&amp;$G116,INDEX(PMtbl[Sec]&amp;PMtbl[Category]&amp;PMtbl[INN]&amp;PMtbl[Specification],0,),0),8),""),"")</f>
        <v/>
      </c>
      <c r="L116" s="175" t="str">
        <f>IF(K116="", "",SETUP!$E$5)</f>
        <v/>
      </c>
      <c r="M116" s="793"/>
      <c r="N116" s="809"/>
      <c r="O116" s="809"/>
      <c r="P116" s="809"/>
      <c r="Q116" s="809"/>
      <c r="R116" s="398">
        <f>SUM('TB-Pharmaceuticals'!$N116:$Q116)</f>
        <v>0</v>
      </c>
      <c r="S116" s="798">
        <f>'TB-Pharmaceuticals'!$M116*'TB-Pharmaceuticals'!$R116</f>
        <v>0</v>
      </c>
      <c r="T116" s="793"/>
      <c r="U116" s="809"/>
      <c r="V116" s="809"/>
      <c r="W116" s="809"/>
      <c r="X116" s="809"/>
      <c r="Y116" s="398">
        <f>SUM('TB-Pharmaceuticals'!$U116:$X116)</f>
        <v>0</v>
      </c>
      <c r="Z116" s="803">
        <f>'TB-Pharmaceuticals'!$T116*'TB-Pharmaceuticals'!$Y116</f>
        <v>0</v>
      </c>
      <c r="AA116" s="793"/>
      <c r="AB116" s="809"/>
      <c r="AC116" s="809"/>
      <c r="AD116" s="809"/>
      <c r="AE116" s="809"/>
      <c r="AF116" s="398">
        <f>SUM('TB-Pharmaceuticals'!$AB116:$AE116)</f>
        <v>0</v>
      </c>
      <c r="AG116" s="803">
        <f>'TB-Pharmaceuticals'!$AA116*'TB-Pharmaceuticals'!$AF116</f>
        <v>0</v>
      </c>
      <c r="AH116" s="399">
        <f>'TB-Pharmaceuticals'!$R116+'TB-Pharmaceuticals'!$Y116+'TB-Pharmaceuticals'!$AF116</f>
        <v>0</v>
      </c>
      <c r="AI116" s="803">
        <f>'TB-Pharmaceuticals'!$S116+'TB-Pharmaceuticals'!$Z116+'TB-Pharmaceuticals'!$AG116</f>
        <v>0</v>
      </c>
      <c r="AJ116" s="401" t="str">
        <f>IF(A116&lt;&gt;"",IFERROR(INDEX(PMtbl[[WKst]:[Unit of measure*]],MATCH($A$84&amp;$A116&amp;$D116&amp;$G116,INDEX(PMtbl[Sec]&amp;PMtbl[Category]&amp;PMtbl[INN]&amp;PMtbl[Specification],0,),0),7),""),"")</f>
        <v/>
      </c>
      <c r="AK116" s="949"/>
      <c r="AL116" s="337" t="str">
        <f>IFERROR(INDEX(SETUP!$C$19:$G$62,MATCH((INDEX(PMtbl[[WKst]:[Unit of measure*]],MATCH($A116&amp;$D116&amp;$G116,INDEX(PMtbl[Category]&amp;PMtbl[INN]&amp;PMtbl[Specification],0,),0),3)),SETUP!$D$19:$D$62,0),5),"")</f>
        <v/>
      </c>
      <c r="AM116" s="337" t="str">
        <f>IFERROR(IF((INDEX(SETUP!$C$19:$G$62,MATCH((INDEX(PMtbl[[WKst]:[Unit of measure*]],MATCH($A116&amp;$D116&amp;$G116,INDEX(PMtbl[Category]&amp;PMtbl[INN]&amp;PMtbl[Specification],0,),0),3)),SETUP!$D$19:$D$62,0),4))="Upfront",0,INDEX(SETUP!$C$19:$G$62,MATCH((INDEX(PMtbl[[WKst]:[Unit of measure*]],MATCH($A116&amp;$D116&amp;$G116,INDEX(PMtbl[Category]&amp;PMtbl[INN]&amp;PMtbl[Specification],0,),0),3)),SETUP!$D$19:$D$62,0),5)),"")</f>
        <v/>
      </c>
    </row>
    <row r="117" spans="1:39" hidden="1">
      <c r="A117" s="2616"/>
      <c r="B117" s="2304"/>
      <c r="C117" s="2304"/>
      <c r="D117" s="2616"/>
      <c r="E117" s="2304"/>
      <c r="F117" s="2304"/>
      <c r="G117" s="2616"/>
      <c r="H117" s="2304"/>
      <c r="I117" s="2304"/>
      <c r="J117" s="2617"/>
      <c r="K117" s="176" t="str">
        <f>IF(A117&lt;&gt;"",IFERROR(INDEX(PMtbl[[WKst]:[Unit of measure*]],MATCH($A$84&amp;$A117&amp;$D117&amp;$G117,INDEX(PMtbl[Sec]&amp;PMtbl[Category]&amp;PMtbl[INN]&amp;PMtbl[Specification],0,),0),8),""),"")</f>
        <v/>
      </c>
      <c r="L117" s="177" t="str">
        <f>IF(K117="", "",SETUP!$E$5)</f>
        <v/>
      </c>
      <c r="M117" s="792"/>
      <c r="N117" s="808"/>
      <c r="O117" s="808"/>
      <c r="P117" s="808"/>
      <c r="Q117" s="808"/>
      <c r="R117" s="395">
        <f>SUM('TB-Pharmaceuticals'!$N117:$Q117)</f>
        <v>0</v>
      </c>
      <c r="S117" s="797">
        <f>'TB-Pharmaceuticals'!$M117*'TB-Pharmaceuticals'!$R117</f>
        <v>0</v>
      </c>
      <c r="T117" s="792"/>
      <c r="U117" s="808"/>
      <c r="V117" s="808"/>
      <c r="W117" s="808"/>
      <c r="X117" s="808"/>
      <c r="Y117" s="395">
        <f>SUM('TB-Pharmaceuticals'!$U117:$X117)</f>
        <v>0</v>
      </c>
      <c r="Z117" s="802">
        <f>'TB-Pharmaceuticals'!$T117*'TB-Pharmaceuticals'!$Y117</f>
        <v>0</v>
      </c>
      <c r="AA117" s="792"/>
      <c r="AB117" s="808"/>
      <c r="AC117" s="808"/>
      <c r="AD117" s="808"/>
      <c r="AE117" s="808"/>
      <c r="AF117" s="395">
        <f>SUM('TB-Pharmaceuticals'!$AB117:$AE117)</f>
        <v>0</v>
      </c>
      <c r="AG117" s="802">
        <f>'TB-Pharmaceuticals'!$AA117*'TB-Pharmaceuticals'!$AF117</f>
        <v>0</v>
      </c>
      <c r="AH117" s="396">
        <f>'TB-Pharmaceuticals'!$R117+'TB-Pharmaceuticals'!$Y117+'TB-Pharmaceuticals'!$AF117</f>
        <v>0</v>
      </c>
      <c r="AI117" s="802">
        <f>'TB-Pharmaceuticals'!$S117+'TB-Pharmaceuticals'!$Z117+'TB-Pharmaceuticals'!$AG117</f>
        <v>0</v>
      </c>
      <c r="AJ117" s="402" t="str">
        <f>IF(A117&lt;&gt;"",IFERROR(INDEX(PMtbl[[WKst]:[Unit of measure*]],MATCH($A$84&amp;$A117&amp;$D117&amp;$G117,INDEX(PMtbl[Sec]&amp;PMtbl[Category]&amp;PMtbl[INN]&amp;PMtbl[Specification],0,),0),7),""),"")</f>
        <v/>
      </c>
      <c r="AK117" s="950"/>
      <c r="AL117" s="337" t="str">
        <f>IFERROR(INDEX(SETUP!$C$19:$G$62,MATCH((INDEX(PMtbl[[WKst]:[Unit of measure*]],MATCH($A117&amp;$D117&amp;$G117,INDEX(PMtbl[Category]&amp;PMtbl[INN]&amp;PMtbl[Specification],0,),0),3)),SETUP!$D$19:$D$62,0),5),"")</f>
        <v/>
      </c>
      <c r="AM117" s="337" t="str">
        <f>IFERROR(IF((INDEX(SETUP!$C$19:$G$62,MATCH((INDEX(PMtbl[[WKst]:[Unit of measure*]],MATCH($A117&amp;$D117&amp;$G117,INDEX(PMtbl[Category]&amp;PMtbl[INN]&amp;PMtbl[Specification],0,),0),3)),SETUP!$D$19:$D$62,0),4))="Upfront",0,INDEX(SETUP!$C$19:$G$62,MATCH((INDEX(PMtbl[[WKst]:[Unit of measure*]],MATCH($A117&amp;$D117&amp;$G117,INDEX(PMtbl[Category]&amp;PMtbl[INN]&amp;PMtbl[Specification],0,),0),3)),SETUP!$D$19:$D$62,0),5)),"")</f>
        <v/>
      </c>
    </row>
    <row r="118" spans="1:39" hidden="1">
      <c r="A118" s="2610"/>
      <c r="B118" s="2611"/>
      <c r="C118" s="2611"/>
      <c r="D118" s="2610"/>
      <c r="E118" s="2611"/>
      <c r="F118" s="2611"/>
      <c r="G118" s="2610"/>
      <c r="H118" s="2611"/>
      <c r="I118" s="2611"/>
      <c r="J118" s="2612"/>
      <c r="K118" s="175" t="str">
        <f>IF(A118&lt;&gt;"",IFERROR(INDEX(PMtbl[[WKst]:[Unit of measure*]],MATCH($A$84&amp;$A118&amp;$D118&amp;$G118,INDEX(PMtbl[Sec]&amp;PMtbl[Category]&amp;PMtbl[INN]&amp;PMtbl[Specification],0,),0),8),""),"")</f>
        <v/>
      </c>
      <c r="L118" s="175" t="str">
        <f>IF(K118="", "",SETUP!$E$5)</f>
        <v/>
      </c>
      <c r="M118" s="793"/>
      <c r="N118" s="809"/>
      <c r="O118" s="809"/>
      <c r="P118" s="809"/>
      <c r="Q118" s="809"/>
      <c r="R118" s="398">
        <f>SUM('TB-Pharmaceuticals'!$N118:$Q118)</f>
        <v>0</v>
      </c>
      <c r="S118" s="798">
        <f>'TB-Pharmaceuticals'!$M118*'TB-Pharmaceuticals'!$R118</f>
        <v>0</v>
      </c>
      <c r="T118" s="793"/>
      <c r="U118" s="809"/>
      <c r="V118" s="809"/>
      <c r="W118" s="809"/>
      <c r="X118" s="809"/>
      <c r="Y118" s="398">
        <f>SUM('TB-Pharmaceuticals'!$U118:$X118)</f>
        <v>0</v>
      </c>
      <c r="Z118" s="803">
        <f>'TB-Pharmaceuticals'!$T118*'TB-Pharmaceuticals'!$Y118</f>
        <v>0</v>
      </c>
      <c r="AA118" s="793"/>
      <c r="AB118" s="809"/>
      <c r="AC118" s="809"/>
      <c r="AD118" s="809"/>
      <c r="AE118" s="809"/>
      <c r="AF118" s="398">
        <f>SUM('TB-Pharmaceuticals'!$AB118:$AE118)</f>
        <v>0</v>
      </c>
      <c r="AG118" s="803">
        <f>'TB-Pharmaceuticals'!$AA118*'TB-Pharmaceuticals'!$AF118</f>
        <v>0</v>
      </c>
      <c r="AH118" s="399">
        <f>'TB-Pharmaceuticals'!$R118+'TB-Pharmaceuticals'!$Y118+'TB-Pharmaceuticals'!$AF118</f>
        <v>0</v>
      </c>
      <c r="AI118" s="803">
        <f>'TB-Pharmaceuticals'!$S118+'TB-Pharmaceuticals'!$Z118+'TB-Pharmaceuticals'!$AG118</f>
        <v>0</v>
      </c>
      <c r="AJ118" s="401" t="str">
        <f>IF(A118&lt;&gt;"",IFERROR(INDEX(PMtbl[[WKst]:[Unit of measure*]],MATCH($A$84&amp;$A118&amp;$D118&amp;$G118,INDEX(PMtbl[Sec]&amp;PMtbl[Category]&amp;PMtbl[INN]&amp;PMtbl[Specification],0,),0),7),""),"")</f>
        <v/>
      </c>
      <c r="AK118" s="949"/>
      <c r="AL118" s="337" t="str">
        <f>IFERROR(INDEX(SETUP!$C$19:$G$62,MATCH((INDEX(PMtbl[[WKst]:[Unit of measure*]],MATCH($A118&amp;$D118&amp;$G118,INDEX(PMtbl[Category]&amp;PMtbl[INN]&amp;PMtbl[Specification],0,),0),3)),SETUP!$D$19:$D$62,0),5),"")</f>
        <v/>
      </c>
      <c r="AM118" s="337" t="str">
        <f>IFERROR(IF((INDEX(SETUP!$C$19:$G$62,MATCH((INDEX(PMtbl[[WKst]:[Unit of measure*]],MATCH($A118&amp;$D118&amp;$G118,INDEX(PMtbl[Category]&amp;PMtbl[INN]&amp;PMtbl[Specification],0,),0),3)),SETUP!$D$19:$D$62,0),4))="Upfront",0,INDEX(SETUP!$C$19:$G$62,MATCH((INDEX(PMtbl[[WKst]:[Unit of measure*]],MATCH($A118&amp;$D118&amp;$G118,INDEX(PMtbl[Category]&amp;PMtbl[INN]&amp;PMtbl[Specification],0,),0),3)),SETUP!$D$19:$D$62,0),5)),"")</f>
        <v/>
      </c>
    </row>
    <row r="119" spans="1:39" hidden="1">
      <c r="A119" s="2616"/>
      <c r="B119" s="2304"/>
      <c r="C119" s="2304"/>
      <c r="D119" s="2616"/>
      <c r="E119" s="2304"/>
      <c r="F119" s="2304"/>
      <c r="G119" s="2616"/>
      <c r="H119" s="2304"/>
      <c r="I119" s="2304"/>
      <c r="J119" s="2617"/>
      <c r="K119" s="176" t="str">
        <f>IF(A119&lt;&gt;"",IFERROR(INDEX(PMtbl[[WKst]:[Unit of measure*]],MATCH($A$84&amp;$A119&amp;$D119&amp;$G119,INDEX(PMtbl[Sec]&amp;PMtbl[Category]&amp;PMtbl[INN]&amp;PMtbl[Specification],0,),0),8),""),"")</f>
        <v/>
      </c>
      <c r="L119" s="177" t="str">
        <f>IF(K119="", "",SETUP!$E$5)</f>
        <v/>
      </c>
      <c r="M119" s="792"/>
      <c r="N119" s="808"/>
      <c r="O119" s="808"/>
      <c r="P119" s="808"/>
      <c r="Q119" s="808"/>
      <c r="R119" s="395">
        <f>SUM('TB-Pharmaceuticals'!$N119:$Q119)</f>
        <v>0</v>
      </c>
      <c r="S119" s="797">
        <f>'TB-Pharmaceuticals'!$M119*'TB-Pharmaceuticals'!$R119</f>
        <v>0</v>
      </c>
      <c r="T119" s="792"/>
      <c r="U119" s="808"/>
      <c r="V119" s="808"/>
      <c r="W119" s="808"/>
      <c r="X119" s="808"/>
      <c r="Y119" s="395">
        <f>SUM('TB-Pharmaceuticals'!$U119:$X119)</f>
        <v>0</v>
      </c>
      <c r="Z119" s="802">
        <f>'TB-Pharmaceuticals'!$T119*'TB-Pharmaceuticals'!$Y119</f>
        <v>0</v>
      </c>
      <c r="AA119" s="792"/>
      <c r="AB119" s="808"/>
      <c r="AC119" s="808"/>
      <c r="AD119" s="808"/>
      <c r="AE119" s="808"/>
      <c r="AF119" s="395">
        <f>SUM('TB-Pharmaceuticals'!$AB119:$AE119)</f>
        <v>0</v>
      </c>
      <c r="AG119" s="802">
        <f>'TB-Pharmaceuticals'!$AA119*'TB-Pharmaceuticals'!$AF119</f>
        <v>0</v>
      </c>
      <c r="AH119" s="396">
        <f>'TB-Pharmaceuticals'!$R119+'TB-Pharmaceuticals'!$Y119+'TB-Pharmaceuticals'!$AF119</f>
        <v>0</v>
      </c>
      <c r="AI119" s="802">
        <f>'TB-Pharmaceuticals'!$S119+'TB-Pharmaceuticals'!$Z119+'TB-Pharmaceuticals'!$AG119</f>
        <v>0</v>
      </c>
      <c r="AJ119" s="402" t="str">
        <f>IF(A119&lt;&gt;"",IFERROR(INDEX(PMtbl[[WKst]:[Unit of measure*]],MATCH($A$84&amp;$A119&amp;$D119&amp;$G119,INDEX(PMtbl[Sec]&amp;PMtbl[Category]&amp;PMtbl[INN]&amp;PMtbl[Specification],0,),0),7),""),"")</f>
        <v/>
      </c>
      <c r="AK119" s="950"/>
      <c r="AL119" s="337" t="str">
        <f>IFERROR(INDEX(SETUP!$C$19:$G$62,MATCH((INDEX(PMtbl[[WKst]:[Unit of measure*]],MATCH($A119&amp;$D119&amp;$G119,INDEX(PMtbl[Category]&amp;PMtbl[INN]&amp;PMtbl[Specification],0,),0),3)),SETUP!$D$19:$D$62,0),5),"")</f>
        <v/>
      </c>
      <c r="AM119" s="337" t="str">
        <f>IFERROR(IF((INDEX(SETUP!$C$19:$G$62,MATCH((INDEX(PMtbl[[WKst]:[Unit of measure*]],MATCH($A119&amp;$D119&amp;$G119,INDEX(PMtbl[Category]&amp;PMtbl[INN]&amp;PMtbl[Specification],0,),0),3)),SETUP!$D$19:$D$62,0),4))="Upfront",0,INDEX(SETUP!$C$19:$G$62,MATCH((INDEX(PMtbl[[WKst]:[Unit of measure*]],MATCH($A119&amp;$D119&amp;$G119,INDEX(PMtbl[Category]&amp;PMtbl[INN]&amp;PMtbl[Specification],0,),0),3)),SETUP!$D$19:$D$62,0),5)),"")</f>
        <v/>
      </c>
    </row>
    <row r="120" spans="1:39" hidden="1">
      <c r="A120" s="2610"/>
      <c r="B120" s="2611"/>
      <c r="C120" s="2611"/>
      <c r="D120" s="2610"/>
      <c r="E120" s="2611"/>
      <c r="F120" s="2611"/>
      <c r="G120" s="2610"/>
      <c r="H120" s="2611"/>
      <c r="I120" s="2611"/>
      <c r="J120" s="2612"/>
      <c r="K120" s="175" t="str">
        <f>IF(A120&lt;&gt;"",IFERROR(INDEX(PMtbl[[WKst]:[Unit of measure*]],MATCH($A$84&amp;$A120&amp;$D120&amp;$G120,INDEX(PMtbl[Sec]&amp;PMtbl[Category]&amp;PMtbl[INN]&amp;PMtbl[Specification],0,),0),8),""),"")</f>
        <v/>
      </c>
      <c r="L120" s="175" t="str">
        <f>IF(K120="", "",SETUP!$E$5)</f>
        <v/>
      </c>
      <c r="M120" s="793"/>
      <c r="N120" s="809"/>
      <c r="O120" s="809"/>
      <c r="P120" s="809"/>
      <c r="Q120" s="809"/>
      <c r="R120" s="398">
        <f>SUM('TB-Pharmaceuticals'!$N120:$Q120)</f>
        <v>0</v>
      </c>
      <c r="S120" s="798">
        <f>'TB-Pharmaceuticals'!$M120*'TB-Pharmaceuticals'!$R120</f>
        <v>0</v>
      </c>
      <c r="T120" s="793"/>
      <c r="U120" s="809"/>
      <c r="V120" s="809"/>
      <c r="W120" s="809"/>
      <c r="X120" s="809"/>
      <c r="Y120" s="398">
        <f>SUM('TB-Pharmaceuticals'!$U120:$X120)</f>
        <v>0</v>
      </c>
      <c r="Z120" s="803">
        <f>'TB-Pharmaceuticals'!$T120*'TB-Pharmaceuticals'!$Y120</f>
        <v>0</v>
      </c>
      <c r="AA120" s="793"/>
      <c r="AB120" s="809"/>
      <c r="AC120" s="809"/>
      <c r="AD120" s="809"/>
      <c r="AE120" s="809"/>
      <c r="AF120" s="398">
        <f>SUM('TB-Pharmaceuticals'!$AB120:$AE120)</f>
        <v>0</v>
      </c>
      <c r="AG120" s="803">
        <f>'TB-Pharmaceuticals'!$AA120*'TB-Pharmaceuticals'!$AF120</f>
        <v>0</v>
      </c>
      <c r="AH120" s="399">
        <f>'TB-Pharmaceuticals'!$R120+'TB-Pharmaceuticals'!$Y120+'TB-Pharmaceuticals'!$AF120</f>
        <v>0</v>
      </c>
      <c r="AI120" s="803">
        <f>'TB-Pharmaceuticals'!$S120+'TB-Pharmaceuticals'!$Z120+'TB-Pharmaceuticals'!$AG120</f>
        <v>0</v>
      </c>
      <c r="AJ120" s="401" t="str">
        <f>IF(A120&lt;&gt;"",IFERROR(INDEX(PMtbl[[WKst]:[Unit of measure*]],MATCH($A$84&amp;$A120&amp;$D120&amp;$G120,INDEX(PMtbl[Sec]&amp;PMtbl[Category]&amp;PMtbl[INN]&amp;PMtbl[Specification],0,),0),7),""),"")</f>
        <v/>
      </c>
      <c r="AK120" s="949"/>
      <c r="AL120" s="337" t="str">
        <f>IFERROR(INDEX(SETUP!$C$19:$G$62,MATCH((INDEX(PMtbl[[WKst]:[Unit of measure*]],MATCH($A120&amp;$D120&amp;$G120,INDEX(PMtbl[Category]&amp;PMtbl[INN]&amp;PMtbl[Specification],0,),0),3)),SETUP!$D$19:$D$62,0),5),"")</f>
        <v/>
      </c>
      <c r="AM120" s="337" t="str">
        <f>IFERROR(IF((INDEX(SETUP!$C$19:$G$62,MATCH((INDEX(PMtbl[[WKst]:[Unit of measure*]],MATCH($A120&amp;$D120&amp;$G120,INDEX(PMtbl[Category]&amp;PMtbl[INN]&amp;PMtbl[Specification],0,),0),3)),SETUP!$D$19:$D$62,0),4))="Upfront",0,INDEX(SETUP!$C$19:$G$62,MATCH((INDEX(PMtbl[[WKst]:[Unit of measure*]],MATCH($A120&amp;$D120&amp;$G120,INDEX(PMtbl[Category]&amp;PMtbl[INN]&amp;PMtbl[Specification],0,),0),3)),SETUP!$D$19:$D$62,0),5)),"")</f>
        <v/>
      </c>
    </row>
    <row r="121" spans="1:39" hidden="1">
      <c r="A121" s="2616"/>
      <c r="B121" s="2304"/>
      <c r="C121" s="2304"/>
      <c r="D121" s="2616"/>
      <c r="E121" s="2304"/>
      <c r="F121" s="2304"/>
      <c r="G121" s="2616"/>
      <c r="H121" s="2304"/>
      <c r="I121" s="2304"/>
      <c r="J121" s="2617"/>
      <c r="K121" s="176" t="str">
        <f>IF(A121&lt;&gt;"",IFERROR(INDEX(PMtbl[[WKst]:[Unit of measure*]],MATCH($A$84&amp;$A121&amp;$D121&amp;$G121,INDEX(PMtbl[Sec]&amp;PMtbl[Category]&amp;PMtbl[INN]&amp;PMtbl[Specification],0,),0),8),""),"")</f>
        <v/>
      </c>
      <c r="L121" s="177" t="str">
        <f>IF(K121="", "",SETUP!$E$5)</f>
        <v/>
      </c>
      <c r="M121" s="792"/>
      <c r="N121" s="808"/>
      <c r="O121" s="808"/>
      <c r="P121" s="808"/>
      <c r="Q121" s="808"/>
      <c r="R121" s="395">
        <f>SUM('TB-Pharmaceuticals'!$N121:$Q121)</f>
        <v>0</v>
      </c>
      <c r="S121" s="797">
        <f>'TB-Pharmaceuticals'!$M121*'TB-Pharmaceuticals'!$R121</f>
        <v>0</v>
      </c>
      <c r="T121" s="792"/>
      <c r="U121" s="808"/>
      <c r="V121" s="808"/>
      <c r="W121" s="808"/>
      <c r="X121" s="808"/>
      <c r="Y121" s="395">
        <f>SUM('TB-Pharmaceuticals'!$U121:$X121)</f>
        <v>0</v>
      </c>
      <c r="Z121" s="802">
        <f>'TB-Pharmaceuticals'!$T121*'TB-Pharmaceuticals'!$Y121</f>
        <v>0</v>
      </c>
      <c r="AA121" s="792"/>
      <c r="AB121" s="808"/>
      <c r="AC121" s="808"/>
      <c r="AD121" s="808"/>
      <c r="AE121" s="808"/>
      <c r="AF121" s="395">
        <f>SUM('TB-Pharmaceuticals'!$AB121:$AE121)</f>
        <v>0</v>
      </c>
      <c r="AG121" s="802">
        <f>'TB-Pharmaceuticals'!$AA121*'TB-Pharmaceuticals'!$AF121</f>
        <v>0</v>
      </c>
      <c r="AH121" s="396">
        <f>'TB-Pharmaceuticals'!$R121+'TB-Pharmaceuticals'!$Y121+'TB-Pharmaceuticals'!$AF121</f>
        <v>0</v>
      </c>
      <c r="AI121" s="802">
        <f>'TB-Pharmaceuticals'!$S121+'TB-Pharmaceuticals'!$Z121+'TB-Pharmaceuticals'!$AG121</f>
        <v>0</v>
      </c>
      <c r="AJ121" s="402" t="str">
        <f>IF(A121&lt;&gt;"",IFERROR(INDEX(PMtbl[[WKst]:[Unit of measure*]],MATCH($A$84&amp;$A121&amp;$D121&amp;$G121,INDEX(PMtbl[Sec]&amp;PMtbl[Category]&amp;PMtbl[INN]&amp;PMtbl[Specification],0,),0),7),""),"")</f>
        <v/>
      </c>
      <c r="AK121" s="950"/>
      <c r="AL121" s="337" t="str">
        <f>IFERROR(INDEX(SETUP!$C$19:$G$62,MATCH((INDEX(PMtbl[[WKst]:[Unit of measure*]],MATCH($A121&amp;$D121&amp;$G121,INDEX(PMtbl[Category]&amp;PMtbl[INN]&amp;PMtbl[Specification],0,),0),3)),SETUP!$D$19:$D$62,0),5),"")</f>
        <v/>
      </c>
      <c r="AM121" s="337" t="str">
        <f>IFERROR(IF((INDEX(SETUP!$C$19:$G$62,MATCH((INDEX(PMtbl[[WKst]:[Unit of measure*]],MATCH($A121&amp;$D121&amp;$G121,INDEX(PMtbl[Category]&amp;PMtbl[INN]&amp;PMtbl[Specification],0,),0),3)),SETUP!$D$19:$D$62,0),4))="Upfront",0,INDEX(SETUP!$C$19:$G$62,MATCH((INDEX(PMtbl[[WKst]:[Unit of measure*]],MATCH($A121&amp;$D121&amp;$G121,INDEX(PMtbl[Category]&amp;PMtbl[INN]&amp;PMtbl[Specification],0,),0),3)),SETUP!$D$19:$D$62,0),5)),"")</f>
        <v/>
      </c>
    </row>
    <row r="122" spans="1:39" hidden="1">
      <c r="A122" s="2610"/>
      <c r="B122" s="2611"/>
      <c r="C122" s="2611"/>
      <c r="D122" s="2610"/>
      <c r="E122" s="2611"/>
      <c r="F122" s="2611"/>
      <c r="G122" s="2610"/>
      <c r="H122" s="2611"/>
      <c r="I122" s="2611"/>
      <c r="J122" s="2612"/>
      <c r="K122" s="175" t="str">
        <f>IF(A122&lt;&gt;"",IFERROR(INDEX(PMtbl[[WKst]:[Unit of measure*]],MATCH($A$84&amp;$A122&amp;$D122&amp;$G122,INDEX(PMtbl[Sec]&amp;PMtbl[Category]&amp;PMtbl[INN]&amp;PMtbl[Specification],0,),0),8),""),"")</f>
        <v/>
      </c>
      <c r="L122" s="175" t="str">
        <f>IF(K122="", "",SETUP!$E$5)</f>
        <v/>
      </c>
      <c r="M122" s="793"/>
      <c r="N122" s="809"/>
      <c r="O122" s="809"/>
      <c r="P122" s="809"/>
      <c r="Q122" s="809"/>
      <c r="R122" s="398">
        <f>SUM('TB-Pharmaceuticals'!$N122:$Q122)</f>
        <v>0</v>
      </c>
      <c r="S122" s="798">
        <f>'TB-Pharmaceuticals'!$M122*'TB-Pharmaceuticals'!$R122</f>
        <v>0</v>
      </c>
      <c r="T122" s="793"/>
      <c r="U122" s="809"/>
      <c r="V122" s="809"/>
      <c r="W122" s="809"/>
      <c r="X122" s="809"/>
      <c r="Y122" s="398">
        <f>SUM('TB-Pharmaceuticals'!$U122:$X122)</f>
        <v>0</v>
      </c>
      <c r="Z122" s="803">
        <f>'TB-Pharmaceuticals'!$T122*'TB-Pharmaceuticals'!$Y122</f>
        <v>0</v>
      </c>
      <c r="AA122" s="793"/>
      <c r="AB122" s="809"/>
      <c r="AC122" s="809"/>
      <c r="AD122" s="809"/>
      <c r="AE122" s="809"/>
      <c r="AF122" s="398">
        <f>SUM('TB-Pharmaceuticals'!$AB122:$AE122)</f>
        <v>0</v>
      </c>
      <c r="AG122" s="803">
        <f>'TB-Pharmaceuticals'!$AA122*'TB-Pharmaceuticals'!$AF122</f>
        <v>0</v>
      </c>
      <c r="AH122" s="399">
        <f>'TB-Pharmaceuticals'!$R122+'TB-Pharmaceuticals'!$Y122+'TB-Pharmaceuticals'!$AF122</f>
        <v>0</v>
      </c>
      <c r="AI122" s="803">
        <f>'TB-Pharmaceuticals'!$S122+'TB-Pharmaceuticals'!$Z122+'TB-Pharmaceuticals'!$AG122</f>
        <v>0</v>
      </c>
      <c r="AJ122" s="401" t="str">
        <f>IF(A122&lt;&gt;"",IFERROR(INDEX(PMtbl[[WKst]:[Unit of measure*]],MATCH($A$84&amp;$A122&amp;$D122&amp;$G122,INDEX(PMtbl[Sec]&amp;PMtbl[Category]&amp;PMtbl[INN]&amp;PMtbl[Specification],0,),0),7),""),"")</f>
        <v/>
      </c>
      <c r="AK122" s="949"/>
      <c r="AL122" s="337" t="str">
        <f>IFERROR(INDEX(SETUP!$C$19:$G$62,MATCH((INDEX(PMtbl[[WKst]:[Unit of measure*]],MATCH($A122&amp;$D122&amp;$G122,INDEX(PMtbl[Category]&amp;PMtbl[INN]&amp;PMtbl[Specification],0,),0),3)),SETUP!$D$19:$D$62,0),5),"")</f>
        <v/>
      </c>
      <c r="AM122" s="337" t="str">
        <f>IFERROR(IF((INDEX(SETUP!$C$19:$G$62,MATCH((INDEX(PMtbl[[WKst]:[Unit of measure*]],MATCH($A122&amp;$D122&amp;$G122,INDEX(PMtbl[Category]&amp;PMtbl[INN]&amp;PMtbl[Specification],0,),0),3)),SETUP!$D$19:$D$62,0),4))="Upfront",0,INDEX(SETUP!$C$19:$G$62,MATCH((INDEX(PMtbl[[WKst]:[Unit of measure*]],MATCH($A122&amp;$D122&amp;$G122,INDEX(PMtbl[Category]&amp;PMtbl[INN]&amp;PMtbl[Specification],0,),0),3)),SETUP!$D$19:$D$62,0),5)),"")</f>
        <v/>
      </c>
    </row>
    <row r="123" spans="1:39" hidden="1">
      <c r="A123" s="2616"/>
      <c r="B123" s="2304"/>
      <c r="C123" s="2304"/>
      <c r="D123" s="2616"/>
      <c r="E123" s="2304"/>
      <c r="F123" s="2304"/>
      <c r="G123" s="2616"/>
      <c r="H123" s="2304"/>
      <c r="I123" s="2304"/>
      <c r="J123" s="2617"/>
      <c r="K123" s="176" t="str">
        <f>IF(A123&lt;&gt;"",IFERROR(INDEX(PMtbl[[WKst]:[Unit of measure*]],MATCH($A$84&amp;$A123&amp;$D123&amp;$G123,INDEX(PMtbl[Sec]&amp;PMtbl[Category]&amp;PMtbl[INN]&amp;PMtbl[Specification],0,),0),8),""),"")</f>
        <v/>
      </c>
      <c r="L123" s="177" t="str">
        <f>IF(K123="", "",SETUP!$E$5)</f>
        <v/>
      </c>
      <c r="M123" s="792"/>
      <c r="N123" s="808"/>
      <c r="O123" s="808"/>
      <c r="P123" s="808"/>
      <c r="Q123" s="808"/>
      <c r="R123" s="395">
        <f>SUM('TB-Pharmaceuticals'!$N123:$Q123)</f>
        <v>0</v>
      </c>
      <c r="S123" s="797">
        <f>'TB-Pharmaceuticals'!$M123*'TB-Pharmaceuticals'!$R123</f>
        <v>0</v>
      </c>
      <c r="T123" s="792"/>
      <c r="U123" s="808"/>
      <c r="V123" s="808"/>
      <c r="W123" s="808"/>
      <c r="X123" s="808"/>
      <c r="Y123" s="395">
        <f>SUM('TB-Pharmaceuticals'!$U123:$X123)</f>
        <v>0</v>
      </c>
      <c r="Z123" s="802">
        <f>'TB-Pharmaceuticals'!$T123*'TB-Pharmaceuticals'!$Y123</f>
        <v>0</v>
      </c>
      <c r="AA123" s="792"/>
      <c r="AB123" s="808"/>
      <c r="AC123" s="808"/>
      <c r="AD123" s="808"/>
      <c r="AE123" s="808"/>
      <c r="AF123" s="395">
        <f>SUM('TB-Pharmaceuticals'!$AB123:$AE123)</f>
        <v>0</v>
      </c>
      <c r="AG123" s="802">
        <f>'TB-Pharmaceuticals'!$AA123*'TB-Pharmaceuticals'!$AF123</f>
        <v>0</v>
      </c>
      <c r="AH123" s="396">
        <f>'TB-Pharmaceuticals'!$R123+'TB-Pharmaceuticals'!$Y123+'TB-Pharmaceuticals'!$AF123</f>
        <v>0</v>
      </c>
      <c r="AI123" s="802">
        <f>'TB-Pharmaceuticals'!$S123+'TB-Pharmaceuticals'!$Z123+'TB-Pharmaceuticals'!$AG123</f>
        <v>0</v>
      </c>
      <c r="AJ123" s="402" t="str">
        <f>IF(A123&lt;&gt;"",IFERROR(INDEX(PMtbl[[WKst]:[Unit of measure*]],MATCH($A$84&amp;$A123&amp;$D123&amp;$G123,INDEX(PMtbl[Sec]&amp;PMtbl[Category]&amp;PMtbl[INN]&amp;PMtbl[Specification],0,),0),7),""),"")</f>
        <v/>
      </c>
      <c r="AK123" s="950"/>
      <c r="AL123" s="337" t="str">
        <f>IFERROR(INDEX(SETUP!$C$19:$G$62,MATCH((INDEX(PMtbl[[WKst]:[Unit of measure*]],MATCH($A123&amp;$D123&amp;$G123,INDEX(PMtbl[Category]&amp;PMtbl[INN]&amp;PMtbl[Specification],0,),0),3)),SETUP!$D$19:$D$62,0),5),"")</f>
        <v/>
      </c>
      <c r="AM123" s="337" t="str">
        <f>IFERROR(IF((INDEX(SETUP!$C$19:$G$62,MATCH((INDEX(PMtbl[[WKst]:[Unit of measure*]],MATCH($A123&amp;$D123&amp;$G123,INDEX(PMtbl[Category]&amp;PMtbl[INN]&amp;PMtbl[Specification],0,),0),3)),SETUP!$D$19:$D$62,0),4))="Upfront",0,INDEX(SETUP!$C$19:$G$62,MATCH((INDEX(PMtbl[[WKst]:[Unit of measure*]],MATCH($A123&amp;$D123&amp;$G123,INDEX(PMtbl[Category]&amp;PMtbl[INN]&amp;PMtbl[Specification],0,),0),3)),SETUP!$D$19:$D$62,0),5)),"")</f>
        <v/>
      </c>
    </row>
    <row r="124" spans="1:39" hidden="1">
      <c r="A124" s="2610"/>
      <c r="B124" s="2611"/>
      <c r="C124" s="2611"/>
      <c r="D124" s="2610"/>
      <c r="E124" s="2611"/>
      <c r="F124" s="2611"/>
      <c r="G124" s="2610"/>
      <c r="H124" s="2611"/>
      <c r="I124" s="2611"/>
      <c r="J124" s="2612"/>
      <c r="K124" s="175" t="str">
        <f>IF(A124&lt;&gt;"",IFERROR(INDEX(PMtbl[[WKst]:[Unit of measure*]],MATCH($A$84&amp;$A124&amp;$D124&amp;$G124,INDEX(PMtbl[Sec]&amp;PMtbl[Category]&amp;PMtbl[INN]&amp;PMtbl[Specification],0,),0),8),""),"")</f>
        <v/>
      </c>
      <c r="L124" s="175" t="str">
        <f>IF(K124="", "",SETUP!$E$5)</f>
        <v/>
      </c>
      <c r="M124" s="793"/>
      <c r="N124" s="809"/>
      <c r="O124" s="809"/>
      <c r="P124" s="809"/>
      <c r="Q124" s="809"/>
      <c r="R124" s="398">
        <f>SUM('TB-Pharmaceuticals'!$N124:$Q124)</f>
        <v>0</v>
      </c>
      <c r="S124" s="798">
        <f>'TB-Pharmaceuticals'!$M124*'TB-Pharmaceuticals'!$R124</f>
        <v>0</v>
      </c>
      <c r="T124" s="793"/>
      <c r="U124" s="809"/>
      <c r="V124" s="809"/>
      <c r="W124" s="809"/>
      <c r="X124" s="809"/>
      <c r="Y124" s="398">
        <f>SUM('TB-Pharmaceuticals'!$U124:$X124)</f>
        <v>0</v>
      </c>
      <c r="Z124" s="803">
        <f>'TB-Pharmaceuticals'!$T124*'TB-Pharmaceuticals'!$Y124</f>
        <v>0</v>
      </c>
      <c r="AA124" s="793"/>
      <c r="AB124" s="809"/>
      <c r="AC124" s="809"/>
      <c r="AD124" s="809"/>
      <c r="AE124" s="809"/>
      <c r="AF124" s="398">
        <f>SUM('TB-Pharmaceuticals'!$AB124:$AE124)</f>
        <v>0</v>
      </c>
      <c r="AG124" s="803">
        <f>'TB-Pharmaceuticals'!$AA124*'TB-Pharmaceuticals'!$AF124</f>
        <v>0</v>
      </c>
      <c r="AH124" s="399">
        <f>'TB-Pharmaceuticals'!$R124+'TB-Pharmaceuticals'!$Y124+'TB-Pharmaceuticals'!$AF124</f>
        <v>0</v>
      </c>
      <c r="AI124" s="803">
        <f>'TB-Pharmaceuticals'!$S124+'TB-Pharmaceuticals'!$Z124+'TB-Pharmaceuticals'!$AG124</f>
        <v>0</v>
      </c>
      <c r="AJ124" s="401" t="str">
        <f>IF(A124&lt;&gt;"",IFERROR(INDEX(PMtbl[[WKst]:[Unit of measure*]],MATCH($A$84&amp;$A124&amp;$D124&amp;$G124,INDEX(PMtbl[Sec]&amp;PMtbl[Category]&amp;PMtbl[INN]&amp;PMtbl[Specification],0,),0),7),""),"")</f>
        <v/>
      </c>
      <c r="AK124" s="949"/>
      <c r="AL124" s="337" t="str">
        <f>IFERROR(INDEX(SETUP!$C$19:$G$62,MATCH((INDEX(PMtbl[[WKst]:[Unit of measure*]],MATCH($A124&amp;$D124&amp;$G124,INDEX(PMtbl[Category]&amp;PMtbl[INN]&amp;PMtbl[Specification],0,),0),3)),SETUP!$D$19:$D$62,0),5),"")</f>
        <v/>
      </c>
      <c r="AM124" s="337" t="str">
        <f>IFERROR(IF((INDEX(SETUP!$C$19:$G$62,MATCH((INDEX(PMtbl[[WKst]:[Unit of measure*]],MATCH($A124&amp;$D124&amp;$G124,INDEX(PMtbl[Category]&amp;PMtbl[INN]&amp;PMtbl[Specification],0,),0),3)),SETUP!$D$19:$D$62,0),4))="Upfront",0,INDEX(SETUP!$C$19:$G$62,MATCH((INDEX(PMtbl[[WKst]:[Unit of measure*]],MATCH($A124&amp;$D124&amp;$G124,INDEX(PMtbl[Category]&amp;PMtbl[INN]&amp;PMtbl[Specification],0,),0),3)),SETUP!$D$19:$D$62,0),5)),"")</f>
        <v/>
      </c>
    </row>
    <row r="125" spans="1:39" ht="15" thickBot="1">
      <c r="A125" s="2613"/>
      <c r="B125" s="2614"/>
      <c r="C125" s="2614"/>
      <c r="D125" s="2613"/>
      <c r="E125" s="2614"/>
      <c r="F125" s="2614"/>
      <c r="G125" s="2613"/>
      <c r="H125" s="2614"/>
      <c r="I125" s="2614"/>
      <c r="J125" s="2615"/>
      <c r="K125" s="178" t="str">
        <f>IF(A125&lt;&gt;"",IFERROR(INDEX(PMtbl[[WKst]:[Unit of measure*]],MATCH($A$84&amp;$A125&amp;$D125&amp;$G125,INDEX(PMtbl[Sec]&amp;PMtbl[Category]&amp;PMtbl[INN]&amp;PMtbl[Specification],0,),0),8),""),"")</f>
        <v/>
      </c>
      <c r="L125" s="317" t="str">
        <f>IF(K125="", "",SETUP!$E$5)</f>
        <v/>
      </c>
      <c r="M125" s="820"/>
      <c r="N125" s="825"/>
      <c r="O125" s="825"/>
      <c r="P125" s="825"/>
      <c r="Q125" s="825"/>
      <c r="R125" s="448">
        <f>SUM('TB-Pharmaceuticals'!$N125:$Q125)</f>
        <v>0</v>
      </c>
      <c r="S125" s="821">
        <f>'TB-Pharmaceuticals'!$M125*'TB-Pharmaceuticals'!$R125</f>
        <v>0</v>
      </c>
      <c r="T125" s="820"/>
      <c r="U125" s="825"/>
      <c r="V125" s="825"/>
      <c r="W125" s="825"/>
      <c r="X125" s="825"/>
      <c r="Y125" s="448">
        <f>SUM('TB-Pharmaceuticals'!$U125:$X125)</f>
        <v>0</v>
      </c>
      <c r="Z125" s="822">
        <f>'TB-Pharmaceuticals'!$T125*'TB-Pharmaceuticals'!$Y125</f>
        <v>0</v>
      </c>
      <c r="AA125" s="820"/>
      <c r="AB125" s="825"/>
      <c r="AC125" s="825"/>
      <c r="AD125" s="825"/>
      <c r="AE125" s="825"/>
      <c r="AF125" s="448">
        <f>SUM('TB-Pharmaceuticals'!$AB125:$AE125)</f>
        <v>0</v>
      </c>
      <c r="AG125" s="823">
        <f>'TB-Pharmaceuticals'!$AA125*'TB-Pharmaceuticals'!$AF125</f>
        <v>0</v>
      </c>
      <c r="AH125" s="449">
        <f>'TB-Pharmaceuticals'!$R125+'TB-Pharmaceuticals'!$Y125+'TB-Pharmaceuticals'!$AF125</f>
        <v>0</v>
      </c>
      <c r="AI125" s="824">
        <f>'TB-Pharmaceuticals'!$S125+'TB-Pharmaceuticals'!$Z125+'TB-Pharmaceuticals'!$AG125</f>
        <v>0</v>
      </c>
      <c r="AJ125" s="450" t="str">
        <f>IF(A125&lt;&gt;"",IFERROR(INDEX(PMtbl[[WKst]:[Unit of measure*]],MATCH($A$84&amp;$A125&amp;$D125&amp;$G125,INDEX(PMtbl[Sec]&amp;PMtbl[Category]&amp;PMtbl[INN]&amp;PMtbl[Specification],0,),0),7),""),"")</f>
        <v/>
      </c>
      <c r="AK125" s="2062"/>
      <c r="AL125" s="1377" t="str">
        <f>IFERROR(INDEX(SETUP!$C$19:$G$62,MATCH((INDEX(PMtbl[[WKst]:[Unit of measure*]],MATCH($A125&amp;$D125&amp;$G125,INDEX(PMtbl[Category]&amp;PMtbl[INN]&amp;PMtbl[Specification],0,),0),3)),SETUP!$D$19:$D$62,0),5),"")</f>
        <v/>
      </c>
      <c r="AM125" s="1377" t="str">
        <f>IFERROR(IF((INDEX(SETUP!$C$19:$G$62,MATCH((INDEX(PMtbl[[WKst]:[Unit of measure*]],MATCH($A125&amp;$D125&amp;$G125,INDEX(PMtbl[Category]&amp;PMtbl[INN]&amp;PMtbl[Specification],0,),0),3)),SETUP!$D$19:$D$62,0),4))="Upfront",0,INDEX(SETUP!$C$19:$G$62,MATCH((INDEX(PMtbl[[WKst]:[Unit of measure*]],MATCH($A125&amp;$D125&amp;$G125,INDEX(PMtbl[Category]&amp;PMtbl[INN]&amp;PMtbl[Specification],0,),0),3)),SETUP!$D$19:$D$62,0),5)),"")</f>
        <v/>
      </c>
    </row>
    <row r="126" spans="1:39" ht="15" thickBot="1">
      <c r="A126" s="154"/>
      <c r="B126" s="154"/>
      <c r="C126" s="154"/>
      <c r="D126" s="154"/>
      <c r="E126" s="154"/>
      <c r="F126" s="154"/>
      <c r="G126" s="154"/>
      <c r="H126" s="154"/>
      <c r="I126" s="154"/>
      <c r="J126" s="81"/>
      <c r="K126" s="81"/>
      <c r="L126" s="155"/>
      <c r="M126" s="155"/>
      <c r="N126" s="155"/>
      <c r="O126" s="155"/>
      <c r="P126" s="155"/>
      <c r="Q126" s="155"/>
      <c r="R126" s="155"/>
      <c r="S126" s="155"/>
      <c r="T126" s="155"/>
      <c r="U126" s="155"/>
      <c r="V126" s="155"/>
      <c r="W126" s="155"/>
      <c r="X126" s="81"/>
      <c r="Y126" s="81"/>
      <c r="Z126" s="81"/>
      <c r="AA126" s="81"/>
      <c r="AB126" s="155"/>
      <c r="AC126" s="155"/>
      <c r="AD126" s="155"/>
      <c r="AE126" s="155"/>
      <c r="AF126" s="81"/>
      <c r="AG126" s="445"/>
      <c r="AH126" s="81"/>
    </row>
    <row r="127" spans="1:39" ht="15" customHeight="1" thickBot="1">
      <c r="A127" s="2623">
        <v>4</v>
      </c>
      <c r="B127" s="2625" t="s">
        <v>2501</v>
      </c>
      <c r="C127" s="2625"/>
      <c r="D127" s="157" t="s">
        <v>172</v>
      </c>
      <c r="E127" s="157"/>
      <c r="F127" s="157"/>
      <c r="G127" s="158"/>
      <c r="H127" s="2649" t="s">
        <v>289</v>
      </c>
      <c r="I127" s="142"/>
      <c r="J127" s="143"/>
      <c r="K127" s="78"/>
      <c r="L127" s="149"/>
      <c r="M127" s="149"/>
      <c r="N127" s="149"/>
      <c r="O127" s="149"/>
      <c r="P127" s="149"/>
      <c r="Q127" s="149"/>
      <c r="R127" s="149"/>
      <c r="S127" s="149"/>
      <c r="T127" s="149"/>
      <c r="U127" s="149"/>
      <c r="V127" s="149"/>
      <c r="W127" s="149"/>
      <c r="X127" s="78"/>
      <c r="Y127" s="78"/>
      <c r="Z127" s="78"/>
      <c r="AA127" s="78"/>
      <c r="AB127" s="149"/>
      <c r="AC127" s="149"/>
      <c r="AD127" s="149"/>
      <c r="AE127" s="149"/>
      <c r="AF127" s="78"/>
      <c r="AG127" s="150"/>
      <c r="AH127" s="78"/>
    </row>
    <row r="128" spans="1:39" ht="15" customHeight="1" thickBot="1">
      <c r="A128" s="2624"/>
      <c r="B128" s="2626"/>
      <c r="C128" s="2626"/>
      <c r="D128" s="159"/>
      <c r="E128" s="159"/>
      <c r="F128" s="159"/>
      <c r="G128" s="160"/>
      <c r="H128" s="2650"/>
      <c r="I128" s="142"/>
      <c r="J128" s="92"/>
      <c r="K128" s="78"/>
      <c r="L128" s="149"/>
      <c r="M128" s="149"/>
      <c r="N128" s="149"/>
      <c r="O128" s="149"/>
      <c r="P128" s="149"/>
      <c r="Q128" s="149"/>
      <c r="R128" s="149"/>
      <c r="S128" s="149"/>
      <c r="T128" s="149"/>
      <c r="U128" s="149"/>
      <c r="V128" s="149"/>
      <c r="W128" s="149"/>
      <c r="X128" s="78"/>
      <c r="Y128" s="78"/>
      <c r="Z128" s="78"/>
      <c r="AA128" s="78"/>
      <c r="AB128" s="149"/>
      <c r="AC128" s="149"/>
      <c r="AD128" s="149"/>
      <c r="AE128" s="149"/>
      <c r="AF128" s="78"/>
      <c r="AG128" s="150"/>
      <c r="AH128" s="78"/>
    </row>
    <row r="129" spans="1:62" ht="112.15" customHeight="1">
      <c r="A129" s="2348" t="str">
        <f>IF($L$1=2,Language!$E$399,IF($L$1=3,Language!$F$399,Language!$G$399))</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29" s="2349"/>
      <c r="C129" s="2349"/>
      <c r="D129" s="2349"/>
      <c r="E129" s="2349"/>
      <c r="F129" s="2349"/>
      <c r="G129" s="2349"/>
      <c r="H129" s="2349"/>
      <c r="I129" s="2349"/>
      <c r="J129" s="2349"/>
      <c r="K129" s="2349"/>
      <c r="L129" s="2349"/>
      <c r="M129" s="149"/>
      <c r="N129" s="149"/>
      <c r="O129" s="149"/>
      <c r="P129" s="149"/>
      <c r="Q129" s="149"/>
      <c r="R129" s="149"/>
      <c r="S129" s="149"/>
      <c r="T129" s="149"/>
      <c r="U129" s="149"/>
      <c r="V129" s="149"/>
      <c r="W129" s="149"/>
      <c r="X129" s="78"/>
      <c r="Y129" s="78"/>
      <c r="Z129" s="78"/>
      <c r="AA129" s="78"/>
      <c r="AB129" s="149"/>
      <c r="AC129" s="149"/>
      <c r="AD129" s="149"/>
      <c r="AE129" s="149"/>
      <c r="AF129" s="78"/>
      <c r="AG129" s="150"/>
      <c r="AH129" s="78"/>
    </row>
    <row r="130" spans="1:62" ht="16" thickBot="1">
      <c r="A130" s="1489"/>
      <c r="B130" s="1484"/>
      <c r="C130" s="1490"/>
      <c r="D130" s="1491"/>
      <c r="E130" s="96"/>
      <c r="F130" s="96"/>
      <c r="G130" s="96"/>
      <c r="H130" s="96"/>
      <c r="I130" s="96"/>
      <c r="J130" s="96"/>
      <c r="K130" s="96"/>
      <c r="L130" s="156"/>
      <c r="M130" s="156"/>
      <c r="N130" s="156"/>
      <c r="O130" s="156"/>
      <c r="P130" s="156"/>
      <c r="Q130" s="156"/>
      <c r="R130" s="156"/>
      <c r="S130" s="156"/>
      <c r="T130" s="156"/>
      <c r="U130" s="156"/>
      <c r="V130" s="156"/>
      <c r="W130" s="156"/>
      <c r="X130" s="96"/>
      <c r="Y130" s="96"/>
      <c r="Z130" s="96"/>
      <c r="AA130" s="96"/>
      <c r="AB130" s="156"/>
      <c r="AC130" s="156"/>
      <c r="AD130" s="156"/>
      <c r="AE130" s="156"/>
      <c r="AF130" s="96"/>
      <c r="AG130" s="446"/>
      <c r="AH130" s="78"/>
    </row>
    <row r="131" spans="1:62" ht="15.75" customHeight="1" thickBot="1">
      <c r="A131" s="2627" t="str">
        <f>A88</f>
        <v>Categoría</v>
      </c>
      <c r="B131" s="2628"/>
      <c r="C131" s="2629"/>
      <c r="D131" s="2627" t="str">
        <f>D88</f>
        <v>DCI del producto</v>
      </c>
      <c r="E131" s="2628"/>
      <c r="F131" s="2629"/>
      <c r="G131" s="2627" t="s">
        <v>141</v>
      </c>
      <c r="H131" s="2628"/>
      <c r="I131" s="2629"/>
      <c r="J131" s="2651"/>
      <c r="K131" s="2619" t="str">
        <f>K88</f>
        <v>Unidad de medida</v>
      </c>
      <c r="L131" s="2621" t="str">
        <f>L88</f>
        <v>Moneda de pago</v>
      </c>
      <c r="M131" s="2667">
        <f>M88</f>
        <v>2022</v>
      </c>
      <c r="N131" s="2668"/>
      <c r="O131" s="2668"/>
      <c r="P131" s="2668"/>
      <c r="Q131" s="2668"/>
      <c r="R131" s="2668"/>
      <c r="S131" s="2669"/>
      <c r="T131" s="2667">
        <f>T88</f>
        <v>2023</v>
      </c>
      <c r="U131" s="2668"/>
      <c r="V131" s="2668"/>
      <c r="W131" s="2668"/>
      <c r="X131" s="2668"/>
      <c r="Y131" s="2668"/>
      <c r="Z131" s="2669"/>
      <c r="AA131" s="2667">
        <f>AA88</f>
        <v>2024</v>
      </c>
      <c r="AB131" s="2668"/>
      <c r="AC131" s="2668"/>
      <c r="AD131" s="2668"/>
      <c r="AE131" s="2668"/>
      <c r="AF131" s="2668"/>
      <c r="AG131" s="2669"/>
      <c r="AH131" s="2701" t="str">
        <f>AH88</f>
        <v>Total del período de subvención</v>
      </c>
      <c r="AI131" s="2702"/>
      <c r="AJ131" s="1855" t="str">
        <f>AJ88</f>
        <v>Finanzas</v>
      </c>
      <c r="AK131" s="2647" t="str">
        <f>AK88</f>
        <v>Comentarios</v>
      </c>
      <c r="AL131" s="2608" t="str">
        <f>AL88</f>
        <v>Plazo de entrega</v>
      </c>
      <c r="AM131" s="2608" t="s">
        <v>3054</v>
      </c>
    </row>
    <row r="132" spans="1:62" ht="26.5" thickBot="1">
      <c r="A132" s="2630"/>
      <c r="B132" s="2631"/>
      <c r="C132" s="2632"/>
      <c r="D132" s="2630"/>
      <c r="E132" s="2631"/>
      <c r="F132" s="2632"/>
      <c r="G132" s="2630"/>
      <c r="H132" s="2631"/>
      <c r="I132" s="2632"/>
      <c r="J132" s="2652"/>
      <c r="K132" s="2620"/>
      <c r="L132" s="2622"/>
      <c r="M132" s="418" t="str">
        <f>M89</f>
        <v>Costo unitario del A1</v>
      </c>
      <c r="N132" s="419" t="str">
        <f t="shared" ref="N132:AJ132" si="28">N89</f>
        <v>Cantidad del A1, T1</v>
      </c>
      <c r="O132" s="419" t="str">
        <f t="shared" si="28"/>
        <v>Cantidad del A1, T2</v>
      </c>
      <c r="P132" s="419" t="str">
        <f t="shared" si="28"/>
        <v>Cantidad del A1, T3</v>
      </c>
      <c r="Q132" s="419" t="str">
        <f t="shared" si="28"/>
        <v>Cantidad del A1, T4</v>
      </c>
      <c r="R132" s="419" t="str">
        <f t="shared" si="28"/>
        <v>Cantidad total del A1</v>
      </c>
      <c r="S132" s="419" t="str">
        <f t="shared" si="28"/>
        <v>Costo total del A1</v>
      </c>
      <c r="T132" s="418" t="str">
        <f t="shared" si="28"/>
        <v>Costo unitario del A2</v>
      </c>
      <c r="U132" s="419" t="str">
        <f t="shared" si="28"/>
        <v>Cantidad del A2, T1</v>
      </c>
      <c r="V132" s="419" t="str">
        <f t="shared" si="28"/>
        <v>Cantidad del A2, T2</v>
      </c>
      <c r="W132" s="419" t="str">
        <f t="shared" si="28"/>
        <v>Cantidad del A2, T3</v>
      </c>
      <c r="X132" s="419" t="str">
        <f t="shared" si="28"/>
        <v>Cantidad del A2, T4</v>
      </c>
      <c r="Y132" s="419" t="str">
        <f t="shared" si="28"/>
        <v>Cantidad total del A2</v>
      </c>
      <c r="Z132" s="419" t="str">
        <f t="shared" si="28"/>
        <v>Costo total del A2</v>
      </c>
      <c r="AA132" s="418" t="str">
        <f t="shared" si="28"/>
        <v>Costo unitario del A3</v>
      </c>
      <c r="AB132" s="419" t="str">
        <f t="shared" si="28"/>
        <v>Cantidad del A3, T1</v>
      </c>
      <c r="AC132" s="419" t="str">
        <f t="shared" si="28"/>
        <v>Cantidad del A3, T2</v>
      </c>
      <c r="AD132" s="419" t="str">
        <f t="shared" si="28"/>
        <v>Cantidad del A3, T3</v>
      </c>
      <c r="AE132" s="419" t="str">
        <f t="shared" si="28"/>
        <v>Cantidad del A3, T4</v>
      </c>
      <c r="AF132" s="419" t="str">
        <f t="shared" si="28"/>
        <v>Cantidad total del A3</v>
      </c>
      <c r="AG132" s="419" t="str">
        <f t="shared" si="28"/>
        <v>Costo total del A3</v>
      </c>
      <c r="AH132" s="420" t="str">
        <f t="shared" si="28"/>
        <v>Cantidad total</v>
      </c>
      <c r="AI132" s="421" t="str">
        <f t="shared" si="28"/>
        <v xml:space="preserve">Costo total </v>
      </c>
      <c r="AJ132" s="422" t="str">
        <f t="shared" si="28"/>
        <v>Categoría de costos</v>
      </c>
      <c r="AK132" s="2648"/>
      <c r="AL132" s="2609"/>
      <c r="AM132" s="2609"/>
    </row>
    <row r="133" spans="1:62" s="8" customFormat="1">
      <c r="A133" s="2610"/>
      <c r="B133" s="2611"/>
      <c r="C133" s="2611"/>
      <c r="D133" s="2610"/>
      <c r="E133" s="2618"/>
      <c r="F133" s="2618"/>
      <c r="G133" s="2610"/>
      <c r="H133" s="2618"/>
      <c r="I133" s="2618"/>
      <c r="J133" s="2612"/>
      <c r="K133" s="1124" t="str">
        <f>IF(A133&lt;&gt;"",IFERROR(INDEX(PMtbl[[WKst]:[Unit of measure*]],MATCH($A$127&amp;$A133&amp;$D133&amp;$G133,INDEX(PMtbl[Sec]&amp;PMtbl[Category]&amp;PMtbl[INN]&amp;PMtbl[Specification],0,),0),8),""),"")</f>
        <v/>
      </c>
      <c r="L133" s="1124" t="str">
        <f>IF(K133="", "",SETUP!$E$5)</f>
        <v/>
      </c>
      <c r="M133" s="791"/>
      <c r="N133" s="807"/>
      <c r="O133" s="807"/>
      <c r="P133" s="807"/>
      <c r="Q133" s="807"/>
      <c r="R133" s="391">
        <f>SUM('TB-Pharmaceuticals'!$N133:$Q133)</f>
        <v>0</v>
      </c>
      <c r="S133" s="796">
        <f>'TB-Pharmaceuticals'!$M133*'TB-Pharmaceuticals'!$R133</f>
        <v>0</v>
      </c>
      <c r="T133" s="791"/>
      <c r="U133" s="807"/>
      <c r="V133" s="807"/>
      <c r="W133" s="807"/>
      <c r="X133" s="807"/>
      <c r="Y133" s="391">
        <f>SUM('TB-Pharmaceuticals'!$U133:$X133)</f>
        <v>0</v>
      </c>
      <c r="Z133" s="801">
        <f>'TB-Pharmaceuticals'!$T133*'TB-Pharmaceuticals'!$Y133</f>
        <v>0</v>
      </c>
      <c r="AA133" s="791"/>
      <c r="AB133" s="807"/>
      <c r="AC133" s="807"/>
      <c r="AD133" s="807"/>
      <c r="AE133" s="807"/>
      <c r="AF133" s="391">
        <f>SUM('TB-Pharmaceuticals'!$AB133:$AE133)</f>
        <v>0</v>
      </c>
      <c r="AG133" s="801">
        <f>'TB-Pharmaceuticals'!$AA133*'TB-Pharmaceuticals'!$AF133</f>
        <v>0</v>
      </c>
      <c r="AH133" s="826">
        <f>'TB-Pharmaceuticals'!$R133+'TB-Pharmaceuticals'!$Y133+'TB-Pharmaceuticals'!$AF133</f>
        <v>0</v>
      </c>
      <c r="AI133" s="801">
        <f>'TB-Pharmaceuticals'!$S133+'TB-Pharmaceuticals'!$Z133+'TB-Pharmaceuticals'!$AG133</f>
        <v>0</v>
      </c>
      <c r="AJ133" s="1125" t="str">
        <f>IF(A133&lt;&gt;"",IFERROR(INDEX(PMtbl[[WKst]:[Unit of measure*]],MATCH($A$127&amp;$A133&amp;$D133&amp;$G133,INDEX(PMtbl[Sec]&amp;PMtbl[Category]&amp;PMtbl[INN]&amp;PMtbl[Specification],0,),0),7),""),"")</f>
        <v/>
      </c>
      <c r="AK133" s="2061"/>
      <c r="AL133" s="400" t="str">
        <f>IFERROR(INDEX(SETUP!$C$19:$G$62,MATCH((INDEX(PMtbl[[WKst]:[Unit of measure*]],MATCH($A133&amp;$D133&amp;$G133,INDEX(PMtbl[Category]&amp;PMtbl[INN]&amp;PMtbl[Specification],0,),0),3)),SETUP!$D$19:$D$62,0),5),"")</f>
        <v/>
      </c>
      <c r="AM133" s="400" t="str">
        <f>IFERROR(IF((INDEX(SETUP!$C$19:$G$62,MATCH((INDEX(PMtbl[[WKst]:[Unit of measure*]],MATCH($A133&amp;$D133&amp;$G133,INDEX(PMtbl[Category]&amp;PMtbl[INN]&amp;PMtbl[Specification],0,),0),3)),SETUP!$D$19:$D$62,0),4))="Upfront",0,INDEX(SETUP!$C$19:$G$62,MATCH((INDEX(PMtbl[[WKst]:[Unit of measure*]],MATCH($A133&amp;$D133&amp;$G133,INDEX(PMtbl[Category]&amp;PMtbl[INN]&amp;PMtbl[Specification],0,),0),3)),SETUP!$D$19:$D$62,0),5)),"")</f>
        <v/>
      </c>
      <c r="AU133" s="337"/>
      <c r="AV133" s="337"/>
      <c r="AW133" s="337"/>
      <c r="AX133" s="337"/>
      <c r="AY133" s="337"/>
      <c r="AZ133" s="337"/>
      <c r="BA133" s="337"/>
      <c r="BB133" s="337"/>
      <c r="BC133" s="337"/>
      <c r="BD133" s="337"/>
      <c r="BE133" s="337"/>
      <c r="BF133" s="337"/>
      <c r="BG133" s="337"/>
      <c r="BH133" s="337"/>
      <c r="BI133" s="337"/>
      <c r="BJ133" s="337"/>
    </row>
    <row r="134" spans="1:62">
      <c r="A134" s="2616"/>
      <c r="B134" s="2304"/>
      <c r="C134" s="2617"/>
      <c r="D134" s="2616"/>
      <c r="E134" s="2304"/>
      <c r="F134" s="2304"/>
      <c r="G134" s="2616"/>
      <c r="H134" s="2304"/>
      <c r="I134" s="2304"/>
      <c r="J134" s="2617"/>
      <c r="K134" s="176" t="str">
        <f>IF(A134&lt;&gt;"",IFERROR(INDEX(PMtbl[[WKst]:[Unit of measure*]],MATCH($A$127&amp;$A134&amp;$D134&amp;$G134,INDEX(PMtbl[Sec]&amp;PMtbl[Category]&amp;PMtbl[INN]&amp;PMtbl[Specification],0,),0),8),""),"")</f>
        <v/>
      </c>
      <c r="L134" s="177" t="str">
        <f>IF(K134="", "",SETUP!$E$5)</f>
        <v/>
      </c>
      <c r="M134" s="794"/>
      <c r="N134" s="810"/>
      <c r="O134" s="810"/>
      <c r="P134" s="810"/>
      <c r="Q134" s="810"/>
      <c r="R134" s="403">
        <f>SUM('TB-Pharmaceuticals'!$N134:$Q134)</f>
        <v>0</v>
      </c>
      <c r="S134" s="799">
        <f>'TB-Pharmaceuticals'!$M134*'TB-Pharmaceuticals'!$R134</f>
        <v>0</v>
      </c>
      <c r="T134" s="794"/>
      <c r="U134" s="810"/>
      <c r="V134" s="810"/>
      <c r="W134" s="810"/>
      <c r="X134" s="810"/>
      <c r="Y134" s="403">
        <f>SUM('TB-Pharmaceuticals'!$U134:$X134)</f>
        <v>0</v>
      </c>
      <c r="Z134" s="805">
        <f>'TB-Pharmaceuticals'!$T134*'TB-Pharmaceuticals'!$Y134</f>
        <v>0</v>
      </c>
      <c r="AA134" s="794"/>
      <c r="AB134" s="810"/>
      <c r="AC134" s="810"/>
      <c r="AD134" s="810"/>
      <c r="AE134" s="810"/>
      <c r="AF134" s="403">
        <f>SUM('TB-Pharmaceuticals'!$AB134:$AE134)</f>
        <v>0</v>
      </c>
      <c r="AG134" s="805">
        <f>'TB-Pharmaceuticals'!$AA134*'TB-Pharmaceuticals'!$AF134</f>
        <v>0</v>
      </c>
      <c r="AH134" s="827">
        <f>'TB-Pharmaceuticals'!$R134+'TB-Pharmaceuticals'!$Y134+'TB-Pharmaceuticals'!$AF134</f>
        <v>0</v>
      </c>
      <c r="AI134" s="805">
        <f>'TB-Pharmaceuticals'!$S134+'TB-Pharmaceuticals'!$Z134+'TB-Pharmaceuticals'!$AG134</f>
        <v>0</v>
      </c>
      <c r="AJ134" s="423" t="str">
        <f>IF(A134&lt;&gt;"",IFERROR(INDEX(PMtbl[[WKst]:[Unit of measure*]],MATCH($A$127&amp;$A134&amp;$D134&amp;$G134,INDEX(PMtbl[Sec]&amp;PMtbl[Category]&amp;PMtbl[INN]&amp;PMtbl[Specification],0,),0),7),""),"")</f>
        <v/>
      </c>
      <c r="AK134" s="2058"/>
      <c r="AL134" s="397" t="str">
        <f>IFERROR(INDEX(SETUP!$C$19:$G$62,MATCH((INDEX(PMtbl[[WKst]:[Unit of measure*]],MATCH($A134&amp;$D134&amp;$G134,INDEX(PMtbl[Category]&amp;PMtbl[INN]&amp;PMtbl[Specification],0,),0),3)),SETUP!$D$19:$D$62,0),5),"")</f>
        <v/>
      </c>
      <c r="AM134" s="397" t="str">
        <f>IFERROR(IF((INDEX(SETUP!$C$19:$G$62,MATCH((INDEX(PMtbl[[WKst]:[Unit of measure*]],MATCH($A134&amp;$D134&amp;$G134,INDEX(PMtbl[Category]&amp;PMtbl[INN]&amp;PMtbl[Specification],0,),0),3)),SETUP!$D$19:$D$62,0),4))="Upfront",0,INDEX(SETUP!$C$19:$G$62,MATCH((INDEX(PMtbl[[WKst]:[Unit of measure*]],MATCH($A134&amp;$D134&amp;$G134,INDEX(PMtbl[Category]&amp;PMtbl[INN]&amp;PMtbl[Specification],0,),0),3)),SETUP!$D$19:$D$62,0),5)),"")</f>
        <v/>
      </c>
    </row>
    <row r="135" spans="1:62">
      <c r="A135" s="2610"/>
      <c r="B135" s="2611"/>
      <c r="C135" s="2611"/>
      <c r="D135" s="2610"/>
      <c r="E135" s="2611"/>
      <c r="F135" s="2611"/>
      <c r="G135" s="2610"/>
      <c r="H135" s="2611"/>
      <c r="I135" s="2611"/>
      <c r="J135" s="2612"/>
      <c r="K135" s="175" t="str">
        <f>IF(A135&lt;&gt;"",IFERROR(INDEX(PMtbl[[WKst]:[Unit of measure*]],MATCH($A$127&amp;$A135&amp;$D135&amp;$G135,INDEX(PMtbl[Sec]&amp;PMtbl[Category]&amp;PMtbl[INN]&amp;PMtbl[Specification],0,),0),8),""),"")</f>
        <v/>
      </c>
      <c r="L135" s="175" t="str">
        <f>IF(K135="", "",SETUP!$E$5)</f>
        <v/>
      </c>
      <c r="M135" s="813"/>
      <c r="N135" s="819"/>
      <c r="O135" s="819"/>
      <c r="P135" s="819"/>
      <c r="Q135" s="819"/>
      <c r="R135" s="424">
        <f>SUM('TB-Pharmaceuticals'!$N135:$Q135)</f>
        <v>0</v>
      </c>
      <c r="S135" s="815">
        <f>'TB-Pharmaceuticals'!$M135*'TB-Pharmaceuticals'!$R135</f>
        <v>0</v>
      </c>
      <c r="T135" s="813"/>
      <c r="U135" s="819"/>
      <c r="V135" s="819"/>
      <c r="W135" s="819"/>
      <c r="X135" s="819"/>
      <c r="Y135" s="424">
        <f>SUM('TB-Pharmaceuticals'!$U135:$X135)</f>
        <v>0</v>
      </c>
      <c r="Z135" s="817">
        <f>'TB-Pharmaceuticals'!$T135*'TB-Pharmaceuticals'!$Y135</f>
        <v>0</v>
      </c>
      <c r="AA135" s="813"/>
      <c r="AB135" s="819"/>
      <c r="AC135" s="819"/>
      <c r="AD135" s="819"/>
      <c r="AE135" s="819"/>
      <c r="AF135" s="424">
        <f>SUM('TB-Pharmaceuticals'!$AB135:$AE135)</f>
        <v>0</v>
      </c>
      <c r="AG135" s="817">
        <f>'TB-Pharmaceuticals'!$AA135*'TB-Pharmaceuticals'!$AF135</f>
        <v>0</v>
      </c>
      <c r="AH135" s="828">
        <f>'TB-Pharmaceuticals'!$R135+'TB-Pharmaceuticals'!$Y135+'TB-Pharmaceuticals'!$AF135</f>
        <v>0</v>
      </c>
      <c r="AI135" s="817">
        <f>'TB-Pharmaceuticals'!$S135+'TB-Pharmaceuticals'!$Z135+'TB-Pharmaceuticals'!$AG135</f>
        <v>0</v>
      </c>
      <c r="AJ135" s="426" t="str">
        <f>IF(A135&lt;&gt;"",IFERROR(INDEX(PMtbl[[WKst]:[Unit of measure*]],MATCH($A$127&amp;$A135&amp;$D135&amp;$G135,INDEX(PMtbl[Sec]&amp;PMtbl[Category]&amp;PMtbl[INN]&amp;PMtbl[Specification],0,),0),7),""),"")</f>
        <v/>
      </c>
      <c r="AK135" s="2059"/>
      <c r="AL135" s="400" t="str">
        <f>IFERROR(INDEX(SETUP!$C$19:$G$62,MATCH((INDEX(PMtbl[[WKst]:[Unit of measure*]],MATCH($A135&amp;$D135&amp;$G135,INDEX(PMtbl[Category]&amp;PMtbl[INN]&amp;PMtbl[Specification],0,),0),3)),SETUP!$D$19:$D$62,0),5),"")</f>
        <v/>
      </c>
      <c r="AM135" s="400" t="str">
        <f>IFERROR(IF((INDEX(SETUP!$C$19:$G$62,MATCH((INDEX(PMtbl[[WKst]:[Unit of measure*]],MATCH($A135&amp;$D135&amp;$G135,INDEX(PMtbl[Category]&amp;PMtbl[INN]&amp;PMtbl[Specification],0,),0),3)),SETUP!$D$19:$D$62,0),4))="Upfront",0,INDEX(SETUP!$C$19:$G$62,MATCH((INDEX(PMtbl[[WKst]:[Unit of measure*]],MATCH($A135&amp;$D135&amp;$G135,INDEX(PMtbl[Category]&amp;PMtbl[INN]&amp;PMtbl[Specification],0,),0),3)),SETUP!$D$19:$D$62,0),5)),"")</f>
        <v/>
      </c>
      <c r="AU135" s="8"/>
      <c r="AV135" s="8"/>
      <c r="AW135" s="8"/>
      <c r="AX135" s="8"/>
      <c r="AY135" s="8"/>
      <c r="AZ135" s="8"/>
      <c r="BA135" s="8"/>
      <c r="BB135" s="8"/>
      <c r="BC135" s="8"/>
      <c r="BD135" s="8"/>
      <c r="BE135" s="8"/>
      <c r="BF135" s="8"/>
      <c r="BG135" s="8"/>
      <c r="BH135" s="8"/>
      <c r="BI135" s="8"/>
      <c r="BJ135" s="8"/>
    </row>
    <row r="136" spans="1:62">
      <c r="A136" s="2616"/>
      <c r="B136" s="2304"/>
      <c r="C136" s="2304"/>
      <c r="D136" s="2616"/>
      <c r="E136" s="2304"/>
      <c r="F136" s="2304"/>
      <c r="G136" s="2616"/>
      <c r="H136" s="2304"/>
      <c r="I136" s="2304"/>
      <c r="J136" s="2617"/>
      <c r="K136" s="176" t="str">
        <f>IF(A136&lt;&gt;"",IFERROR(INDEX(PMtbl[[WKst]:[Unit of measure*]],MATCH($A$127&amp;$A136&amp;$D136&amp;$G136,INDEX(PMtbl[Sec]&amp;PMtbl[Category]&amp;PMtbl[INN]&amp;PMtbl[Specification],0,),0),8),""),"")</f>
        <v/>
      </c>
      <c r="L136" s="177" t="str">
        <f>IF(K136="", "",SETUP!$E$5)</f>
        <v/>
      </c>
      <c r="M136" s="794"/>
      <c r="N136" s="810"/>
      <c r="O136" s="810"/>
      <c r="P136" s="810"/>
      <c r="Q136" s="810"/>
      <c r="R136" s="403">
        <f>SUM('TB-Pharmaceuticals'!$N136:$Q136)</f>
        <v>0</v>
      </c>
      <c r="S136" s="799">
        <f>'TB-Pharmaceuticals'!$M136*'TB-Pharmaceuticals'!$R136</f>
        <v>0</v>
      </c>
      <c r="T136" s="794"/>
      <c r="U136" s="810"/>
      <c r="V136" s="810"/>
      <c r="W136" s="810"/>
      <c r="X136" s="810"/>
      <c r="Y136" s="403">
        <f>SUM('TB-Pharmaceuticals'!$U136:$X136)</f>
        <v>0</v>
      </c>
      <c r="Z136" s="805">
        <f>'TB-Pharmaceuticals'!$T136*'TB-Pharmaceuticals'!$Y136</f>
        <v>0</v>
      </c>
      <c r="AA136" s="794"/>
      <c r="AB136" s="810"/>
      <c r="AC136" s="810"/>
      <c r="AD136" s="810"/>
      <c r="AE136" s="810"/>
      <c r="AF136" s="403">
        <f>SUM('TB-Pharmaceuticals'!$AB136:$AE136)</f>
        <v>0</v>
      </c>
      <c r="AG136" s="805">
        <f>'TB-Pharmaceuticals'!$AA136*'TB-Pharmaceuticals'!$AF136</f>
        <v>0</v>
      </c>
      <c r="AH136" s="827">
        <f>'TB-Pharmaceuticals'!$R136+'TB-Pharmaceuticals'!$Y136+'TB-Pharmaceuticals'!$AF136</f>
        <v>0</v>
      </c>
      <c r="AI136" s="805">
        <f>'TB-Pharmaceuticals'!$S136+'TB-Pharmaceuticals'!$Z136+'TB-Pharmaceuticals'!$AG136</f>
        <v>0</v>
      </c>
      <c r="AJ136" s="423" t="str">
        <f>IF(A136&lt;&gt;"",IFERROR(INDEX(PMtbl[[WKst]:[Unit of measure*]],MATCH($A$127&amp;$A136&amp;$D136&amp;$G136,INDEX(PMtbl[Sec]&amp;PMtbl[Category]&amp;PMtbl[INN]&amp;PMtbl[Specification],0,),0),7),""),"")</f>
        <v/>
      </c>
      <c r="AK136" s="2058"/>
      <c r="AL136" s="397" t="str">
        <f>IFERROR(INDEX(SETUP!$C$19:$G$62,MATCH((INDEX(PMtbl[[WKst]:[Unit of measure*]],MATCH($A136&amp;$D136&amp;$G136,INDEX(PMtbl[Category]&amp;PMtbl[INN]&amp;PMtbl[Specification],0,),0),3)),SETUP!$D$19:$D$62,0),5),"")</f>
        <v/>
      </c>
      <c r="AM136" s="397" t="str">
        <f>IFERROR(IF((INDEX(SETUP!$C$19:$G$62,MATCH((INDEX(PMtbl[[WKst]:[Unit of measure*]],MATCH($A136&amp;$D136&amp;$G136,INDEX(PMtbl[Category]&amp;PMtbl[INN]&amp;PMtbl[Specification],0,),0),3)),SETUP!$D$19:$D$62,0),4))="Upfront",0,INDEX(SETUP!$C$19:$G$62,MATCH((INDEX(PMtbl[[WKst]:[Unit of measure*]],MATCH($A136&amp;$D136&amp;$G136,INDEX(PMtbl[Category]&amp;PMtbl[INN]&amp;PMtbl[Specification],0,),0),3)),SETUP!$D$19:$D$62,0),5)),"")</f>
        <v/>
      </c>
    </row>
    <row r="137" spans="1:62">
      <c r="A137" s="2610"/>
      <c r="B137" s="2611"/>
      <c r="C137" s="2611"/>
      <c r="D137" s="2610"/>
      <c r="E137" s="2611"/>
      <c r="F137" s="2611"/>
      <c r="G137" s="2610"/>
      <c r="H137" s="2611"/>
      <c r="I137" s="2611"/>
      <c r="J137" s="2612"/>
      <c r="K137" s="175" t="str">
        <f>IF(A137&lt;&gt;"",IFERROR(INDEX(PMtbl[[WKst]:[Unit of measure*]],MATCH($A$127&amp;$A137&amp;$D137&amp;$G137,INDEX(PMtbl[Sec]&amp;PMtbl[Category]&amp;PMtbl[INN]&amp;PMtbl[Specification],0,),0),8),""),"")</f>
        <v/>
      </c>
      <c r="L137" s="175" t="str">
        <f>IF(K137="", "",SETUP!$E$5)</f>
        <v/>
      </c>
      <c r="M137" s="813"/>
      <c r="N137" s="819"/>
      <c r="O137" s="819"/>
      <c r="P137" s="819"/>
      <c r="Q137" s="819"/>
      <c r="R137" s="424">
        <f>SUM('TB-Pharmaceuticals'!$N137:$Q137)</f>
        <v>0</v>
      </c>
      <c r="S137" s="815">
        <f>'TB-Pharmaceuticals'!$M137*'TB-Pharmaceuticals'!$R137</f>
        <v>0</v>
      </c>
      <c r="T137" s="813"/>
      <c r="U137" s="819"/>
      <c r="V137" s="819"/>
      <c r="W137" s="819"/>
      <c r="X137" s="819"/>
      <c r="Y137" s="424">
        <f>SUM('TB-Pharmaceuticals'!$U137:$X137)</f>
        <v>0</v>
      </c>
      <c r="Z137" s="817">
        <f>'TB-Pharmaceuticals'!$T137*'TB-Pharmaceuticals'!$Y137</f>
        <v>0</v>
      </c>
      <c r="AA137" s="813"/>
      <c r="AB137" s="819"/>
      <c r="AC137" s="819"/>
      <c r="AD137" s="819"/>
      <c r="AE137" s="819"/>
      <c r="AF137" s="424">
        <f>SUM('TB-Pharmaceuticals'!$AB137:$AE137)</f>
        <v>0</v>
      </c>
      <c r="AG137" s="817">
        <f>'TB-Pharmaceuticals'!$AA137*'TB-Pharmaceuticals'!$AF137</f>
        <v>0</v>
      </c>
      <c r="AH137" s="828">
        <f>'TB-Pharmaceuticals'!$R137+'TB-Pharmaceuticals'!$Y137+'TB-Pharmaceuticals'!$AF137</f>
        <v>0</v>
      </c>
      <c r="AI137" s="817">
        <f>'TB-Pharmaceuticals'!$S137+'TB-Pharmaceuticals'!$Z137+'TB-Pharmaceuticals'!$AG137</f>
        <v>0</v>
      </c>
      <c r="AJ137" s="426" t="str">
        <f>IF(A137&lt;&gt;"",IFERROR(INDEX(PMtbl[[WKst]:[Unit of measure*]],MATCH($A$127&amp;$A137&amp;$D137&amp;$G137,INDEX(PMtbl[Sec]&amp;PMtbl[Category]&amp;PMtbl[INN]&amp;PMtbl[Specification],0,),0),7),""),"")</f>
        <v/>
      </c>
      <c r="AK137" s="2059"/>
      <c r="AL137" s="400" t="str">
        <f>IFERROR(INDEX(SETUP!$C$19:$G$62,MATCH((INDEX(PMtbl[[WKst]:[Unit of measure*]],MATCH($A137&amp;$D137&amp;$G137,INDEX(PMtbl[Category]&amp;PMtbl[INN]&amp;PMtbl[Specification],0,),0),3)),SETUP!$D$19:$D$62,0),5),"")</f>
        <v/>
      </c>
      <c r="AM137" s="400" t="str">
        <f>IFERROR(IF((INDEX(SETUP!$C$19:$G$62,MATCH((INDEX(PMtbl[[WKst]:[Unit of measure*]],MATCH($A137&amp;$D137&amp;$G137,INDEX(PMtbl[Category]&amp;PMtbl[INN]&amp;PMtbl[Specification],0,),0),3)),SETUP!$D$19:$D$62,0),4))="Upfront",0,INDEX(SETUP!$C$19:$G$62,MATCH((INDEX(PMtbl[[WKst]:[Unit of measure*]],MATCH($A137&amp;$D137&amp;$G137,INDEX(PMtbl[Category]&amp;PMtbl[INN]&amp;PMtbl[Specification],0,),0),3)),SETUP!$D$19:$D$62,0),5)),"")</f>
        <v/>
      </c>
    </row>
    <row r="138" spans="1:62">
      <c r="A138" s="2616"/>
      <c r="B138" s="2304"/>
      <c r="C138" s="2304"/>
      <c r="D138" s="2616"/>
      <c r="E138" s="2304"/>
      <c r="F138" s="2304"/>
      <c r="G138" s="2616"/>
      <c r="H138" s="2304"/>
      <c r="I138" s="2304"/>
      <c r="J138" s="2617"/>
      <c r="K138" s="176" t="str">
        <f>IF(A138&lt;&gt;"",IFERROR(INDEX(PMtbl[[WKst]:[Unit of measure*]],MATCH($A$127&amp;$A138&amp;$D138&amp;$G138,INDEX(PMtbl[Sec]&amp;PMtbl[Category]&amp;PMtbl[INN]&amp;PMtbl[Specification],0,),0),8),""),"")</f>
        <v/>
      </c>
      <c r="L138" s="177" t="str">
        <f>IF(K138="", "",SETUP!$E$5)</f>
        <v/>
      </c>
      <c r="M138" s="794"/>
      <c r="N138" s="810"/>
      <c r="O138" s="810"/>
      <c r="P138" s="810"/>
      <c r="Q138" s="810"/>
      <c r="R138" s="403">
        <f>SUM('TB-Pharmaceuticals'!$N138:$Q138)</f>
        <v>0</v>
      </c>
      <c r="S138" s="799">
        <f>'TB-Pharmaceuticals'!$M138*'TB-Pharmaceuticals'!$R138</f>
        <v>0</v>
      </c>
      <c r="T138" s="794"/>
      <c r="U138" s="810"/>
      <c r="V138" s="810"/>
      <c r="W138" s="810"/>
      <c r="X138" s="810"/>
      <c r="Y138" s="403">
        <f>SUM('TB-Pharmaceuticals'!$U138:$X138)</f>
        <v>0</v>
      </c>
      <c r="Z138" s="805">
        <f>'TB-Pharmaceuticals'!$T138*'TB-Pharmaceuticals'!$Y138</f>
        <v>0</v>
      </c>
      <c r="AA138" s="794"/>
      <c r="AB138" s="810"/>
      <c r="AC138" s="810"/>
      <c r="AD138" s="810"/>
      <c r="AE138" s="810"/>
      <c r="AF138" s="403">
        <f>SUM('TB-Pharmaceuticals'!$AB138:$AE138)</f>
        <v>0</v>
      </c>
      <c r="AG138" s="805">
        <f>'TB-Pharmaceuticals'!$AA138*'TB-Pharmaceuticals'!$AF138</f>
        <v>0</v>
      </c>
      <c r="AH138" s="827">
        <f>'TB-Pharmaceuticals'!$R138+'TB-Pharmaceuticals'!$Y138+'TB-Pharmaceuticals'!$AF138</f>
        <v>0</v>
      </c>
      <c r="AI138" s="805">
        <f>'TB-Pharmaceuticals'!$S138+'TB-Pharmaceuticals'!$Z138+'TB-Pharmaceuticals'!$AG138</f>
        <v>0</v>
      </c>
      <c r="AJ138" s="423" t="str">
        <f>IF(A138&lt;&gt;"",IFERROR(INDEX(PMtbl[[WKst]:[Unit of measure*]],MATCH($A$127&amp;$A138&amp;$D138&amp;$G138,INDEX(PMtbl[Sec]&amp;PMtbl[Category]&amp;PMtbl[INN]&amp;PMtbl[Specification],0,),0),7),""),"")</f>
        <v/>
      </c>
      <c r="AK138" s="2058"/>
      <c r="AL138" s="397" t="str">
        <f>IFERROR(INDEX(SETUP!$C$19:$G$62,MATCH((INDEX(PMtbl[[WKst]:[Unit of measure*]],MATCH($A138&amp;$D138&amp;$G138,INDEX(PMtbl[Category]&amp;PMtbl[INN]&amp;PMtbl[Specification],0,),0),3)),SETUP!$D$19:$D$62,0),5),"")</f>
        <v/>
      </c>
      <c r="AM138" s="397" t="str">
        <f>IFERROR(IF((INDEX(SETUP!$C$19:$G$62,MATCH((INDEX(PMtbl[[WKst]:[Unit of measure*]],MATCH($A138&amp;$D138&amp;$G138,INDEX(PMtbl[Category]&amp;PMtbl[INN]&amp;PMtbl[Specification],0,),0),3)),SETUP!$D$19:$D$62,0),4))="Upfront",0,INDEX(SETUP!$C$19:$G$62,MATCH((INDEX(PMtbl[[WKst]:[Unit of measure*]],MATCH($A138&amp;$D138&amp;$G138,INDEX(PMtbl[Category]&amp;PMtbl[INN]&amp;PMtbl[Specification],0,),0),3)),SETUP!$D$19:$D$62,0),5)),"")</f>
        <v/>
      </c>
    </row>
    <row r="139" spans="1:62">
      <c r="A139" s="2610"/>
      <c r="B139" s="2611"/>
      <c r="C139" s="2611"/>
      <c r="D139" s="2610"/>
      <c r="E139" s="2611"/>
      <c r="F139" s="2611"/>
      <c r="G139" s="2610"/>
      <c r="H139" s="2611"/>
      <c r="I139" s="2611"/>
      <c r="J139" s="2612"/>
      <c r="K139" s="175" t="str">
        <f>IF(A139&lt;&gt;"",IFERROR(INDEX(PMtbl[[WKst]:[Unit of measure*]],MATCH($A$127&amp;$A139&amp;$D139&amp;$G139,INDEX(PMtbl[Sec]&amp;PMtbl[Category]&amp;PMtbl[INN]&amp;PMtbl[Specification],0,),0),8),""),"")</f>
        <v/>
      </c>
      <c r="L139" s="175" t="str">
        <f>IF(K139="", "",SETUP!$E$5)</f>
        <v/>
      </c>
      <c r="M139" s="813"/>
      <c r="N139" s="819"/>
      <c r="O139" s="819"/>
      <c r="P139" s="819"/>
      <c r="Q139" s="819"/>
      <c r="R139" s="424">
        <f>SUM('TB-Pharmaceuticals'!$N139:$Q139)</f>
        <v>0</v>
      </c>
      <c r="S139" s="815">
        <f>'TB-Pharmaceuticals'!$M139*'TB-Pharmaceuticals'!$R139</f>
        <v>0</v>
      </c>
      <c r="T139" s="813"/>
      <c r="U139" s="819"/>
      <c r="V139" s="819"/>
      <c r="W139" s="819"/>
      <c r="X139" s="819"/>
      <c r="Y139" s="424">
        <f>SUM('TB-Pharmaceuticals'!$U139:$X139)</f>
        <v>0</v>
      </c>
      <c r="Z139" s="817">
        <f>'TB-Pharmaceuticals'!$T139*'TB-Pharmaceuticals'!$Y139</f>
        <v>0</v>
      </c>
      <c r="AA139" s="813"/>
      <c r="AB139" s="819"/>
      <c r="AC139" s="819"/>
      <c r="AD139" s="819"/>
      <c r="AE139" s="819"/>
      <c r="AF139" s="424">
        <f>SUM('TB-Pharmaceuticals'!$AB139:$AE139)</f>
        <v>0</v>
      </c>
      <c r="AG139" s="817">
        <f>'TB-Pharmaceuticals'!$AA139*'TB-Pharmaceuticals'!$AF139</f>
        <v>0</v>
      </c>
      <c r="AH139" s="828">
        <f>'TB-Pharmaceuticals'!$R139+'TB-Pharmaceuticals'!$Y139+'TB-Pharmaceuticals'!$AF139</f>
        <v>0</v>
      </c>
      <c r="AI139" s="817">
        <f>'TB-Pharmaceuticals'!$S139+'TB-Pharmaceuticals'!$Z139+'TB-Pharmaceuticals'!$AG139</f>
        <v>0</v>
      </c>
      <c r="AJ139" s="426" t="str">
        <f>IF(A139&lt;&gt;"",IFERROR(INDEX(PMtbl[[WKst]:[Unit of measure*]],MATCH($A$127&amp;$A139&amp;$D139&amp;$G139,INDEX(PMtbl[Sec]&amp;PMtbl[Category]&amp;PMtbl[INN]&amp;PMtbl[Specification],0,),0),7),""),"")</f>
        <v/>
      </c>
      <c r="AK139" s="2059"/>
      <c r="AL139" s="401" t="str">
        <f>IFERROR(INDEX(SETUP!$C$19:$G$62,MATCH((INDEX(PMtbl[[WKst]:[Unit of measure*]],MATCH($A139&amp;$D139&amp;$G139,INDEX(PMtbl[Category]&amp;PMtbl[INN]&amp;PMtbl[Specification],0,),0),3)),SETUP!$D$19:$D$62,0),5),"")</f>
        <v/>
      </c>
      <c r="AM139" s="401" t="str">
        <f>IFERROR(IF((INDEX(SETUP!$C$19:$G$62,MATCH((INDEX(PMtbl[[WKst]:[Unit of measure*]],MATCH($A139&amp;$D139&amp;$G139,INDEX(PMtbl[Category]&amp;PMtbl[INN]&amp;PMtbl[Specification],0,),0),3)),SETUP!$D$19:$D$62,0),4))="Upfront",0,INDEX(SETUP!$C$19:$G$62,MATCH((INDEX(PMtbl[[WKst]:[Unit of measure*]],MATCH($A139&amp;$D139&amp;$G139,INDEX(PMtbl[Category]&amp;PMtbl[INN]&amp;PMtbl[Specification],0,),0),3)),SETUP!$D$19:$D$62,0),5)),"")</f>
        <v/>
      </c>
    </row>
    <row r="140" spans="1:62">
      <c r="A140" s="2616"/>
      <c r="B140" s="2304"/>
      <c r="C140" s="2304"/>
      <c r="D140" s="2616"/>
      <c r="E140" s="2304"/>
      <c r="F140" s="2304"/>
      <c r="G140" s="2616"/>
      <c r="H140" s="2304"/>
      <c r="I140" s="2304"/>
      <c r="J140" s="2617"/>
      <c r="K140" s="176" t="str">
        <f>IF(A140&lt;&gt;"",IFERROR(INDEX(PMtbl[[WKst]:[Unit of measure*]],MATCH($A$127&amp;$A140&amp;$D140&amp;$G140,INDEX(PMtbl[Sec]&amp;PMtbl[Category]&amp;PMtbl[INN]&amp;PMtbl[Specification],0,),0),8),""),"")</f>
        <v/>
      </c>
      <c r="L140" s="177" t="str">
        <f>IF(K140="", "",SETUP!$E$5)</f>
        <v/>
      </c>
      <c r="M140" s="794"/>
      <c r="N140" s="810"/>
      <c r="O140" s="810"/>
      <c r="P140" s="810"/>
      <c r="Q140" s="810"/>
      <c r="R140" s="403">
        <f>SUM('TB-Pharmaceuticals'!$N140:$Q140)</f>
        <v>0</v>
      </c>
      <c r="S140" s="799">
        <f>'TB-Pharmaceuticals'!$M140*'TB-Pharmaceuticals'!$R140</f>
        <v>0</v>
      </c>
      <c r="T140" s="794"/>
      <c r="U140" s="810"/>
      <c r="V140" s="810"/>
      <c r="W140" s="810"/>
      <c r="X140" s="810"/>
      <c r="Y140" s="403">
        <f>SUM('TB-Pharmaceuticals'!$U140:$X140)</f>
        <v>0</v>
      </c>
      <c r="Z140" s="805">
        <f>'TB-Pharmaceuticals'!$T140*'TB-Pharmaceuticals'!$Y140</f>
        <v>0</v>
      </c>
      <c r="AA140" s="794"/>
      <c r="AB140" s="810"/>
      <c r="AC140" s="810"/>
      <c r="AD140" s="810"/>
      <c r="AE140" s="810"/>
      <c r="AF140" s="403">
        <f>SUM('TB-Pharmaceuticals'!$AB140:$AE140)</f>
        <v>0</v>
      </c>
      <c r="AG140" s="805">
        <f>'TB-Pharmaceuticals'!$AA140*'TB-Pharmaceuticals'!$AF140</f>
        <v>0</v>
      </c>
      <c r="AH140" s="827">
        <f>'TB-Pharmaceuticals'!$R140+'TB-Pharmaceuticals'!$Y140+'TB-Pharmaceuticals'!$AF140</f>
        <v>0</v>
      </c>
      <c r="AI140" s="805">
        <f>'TB-Pharmaceuticals'!$S140+'TB-Pharmaceuticals'!$Z140+'TB-Pharmaceuticals'!$AG140</f>
        <v>0</v>
      </c>
      <c r="AJ140" s="423" t="str">
        <f>IF(A140&lt;&gt;"",IFERROR(INDEX(PMtbl[[WKst]:[Unit of measure*]],MATCH($A$127&amp;$A140&amp;$D140&amp;$G140,INDEX(PMtbl[Sec]&amp;PMtbl[Category]&amp;PMtbl[INN]&amp;PMtbl[Specification],0,),0),7),""),"")</f>
        <v/>
      </c>
      <c r="AK140" s="2058"/>
      <c r="AL140" s="402" t="str">
        <f>IFERROR(INDEX(SETUP!$C$19:$G$62,MATCH((INDEX(PMtbl[[WKst]:[Unit of measure*]],MATCH($A140&amp;$D140&amp;$G140,INDEX(PMtbl[Category]&amp;PMtbl[INN]&amp;PMtbl[Specification],0,),0),3)),SETUP!$D$19:$D$62,0),5),"")</f>
        <v/>
      </c>
      <c r="AM140" s="402" t="str">
        <f>IFERROR(IF((INDEX(SETUP!$C$19:$G$62,MATCH((INDEX(PMtbl[[WKst]:[Unit of measure*]],MATCH($A140&amp;$D140&amp;$G140,INDEX(PMtbl[Category]&amp;PMtbl[INN]&amp;PMtbl[Specification],0,),0),3)),SETUP!$D$19:$D$62,0),4))="Upfront",0,INDEX(SETUP!$C$19:$G$62,MATCH((INDEX(PMtbl[[WKst]:[Unit of measure*]],MATCH($A140&amp;$D140&amp;$G140,INDEX(PMtbl[Category]&amp;PMtbl[INN]&amp;PMtbl[Specification],0,),0),3)),SETUP!$D$19:$D$62,0),5)),"")</f>
        <v/>
      </c>
    </row>
    <row r="141" spans="1:62">
      <c r="A141" s="2610"/>
      <c r="B141" s="2611"/>
      <c r="C141" s="2611"/>
      <c r="D141" s="2610"/>
      <c r="E141" s="2611"/>
      <c r="F141" s="2611"/>
      <c r="G141" s="2610"/>
      <c r="H141" s="2611"/>
      <c r="I141" s="2611"/>
      <c r="J141" s="2612"/>
      <c r="K141" s="175" t="str">
        <f>IF(A141&lt;&gt;"",IFERROR(INDEX(PMtbl[[WKst]:[Unit of measure*]],MATCH($A$127&amp;$A141&amp;$D141&amp;$G141,INDEX(PMtbl[Sec]&amp;PMtbl[Category]&amp;PMtbl[INN]&amp;PMtbl[Specification],0,),0),8),""),"")</f>
        <v/>
      </c>
      <c r="L141" s="175" t="str">
        <f>IF(K141="", "",SETUP!$E$5)</f>
        <v/>
      </c>
      <c r="M141" s="813"/>
      <c r="N141" s="819"/>
      <c r="O141" s="819"/>
      <c r="P141" s="819"/>
      <c r="Q141" s="819"/>
      <c r="R141" s="424">
        <f>SUM('TB-Pharmaceuticals'!$N141:$Q141)</f>
        <v>0</v>
      </c>
      <c r="S141" s="815">
        <f>'TB-Pharmaceuticals'!$M141*'TB-Pharmaceuticals'!$R141</f>
        <v>0</v>
      </c>
      <c r="T141" s="813"/>
      <c r="U141" s="819"/>
      <c r="V141" s="819"/>
      <c r="W141" s="819"/>
      <c r="X141" s="819"/>
      <c r="Y141" s="424">
        <f>SUM('TB-Pharmaceuticals'!$U141:$X141)</f>
        <v>0</v>
      </c>
      <c r="Z141" s="817">
        <f>'TB-Pharmaceuticals'!$T141*'TB-Pharmaceuticals'!$Y141</f>
        <v>0</v>
      </c>
      <c r="AA141" s="813"/>
      <c r="AB141" s="819"/>
      <c r="AC141" s="819"/>
      <c r="AD141" s="819"/>
      <c r="AE141" s="819"/>
      <c r="AF141" s="424">
        <f>SUM('TB-Pharmaceuticals'!$AB141:$AE141)</f>
        <v>0</v>
      </c>
      <c r="AG141" s="817">
        <f>'TB-Pharmaceuticals'!$AA141*'TB-Pharmaceuticals'!$AF141</f>
        <v>0</v>
      </c>
      <c r="AH141" s="828">
        <f>'TB-Pharmaceuticals'!$R141+'TB-Pharmaceuticals'!$Y141+'TB-Pharmaceuticals'!$AF141</f>
        <v>0</v>
      </c>
      <c r="AI141" s="817">
        <f>'TB-Pharmaceuticals'!$S141+'TB-Pharmaceuticals'!$Z141+'TB-Pharmaceuticals'!$AG141</f>
        <v>0</v>
      </c>
      <c r="AJ141" s="426" t="str">
        <f>IF(A141&lt;&gt;"",IFERROR(INDEX(PMtbl[[WKst]:[Unit of measure*]],MATCH($A$127&amp;$A141&amp;$D141&amp;$G141,INDEX(PMtbl[Sec]&amp;PMtbl[Category]&amp;PMtbl[INN]&amp;PMtbl[Specification],0,),0),7),""),"")</f>
        <v/>
      </c>
      <c r="AK141" s="2059"/>
      <c r="AL141" s="401" t="str">
        <f>IFERROR(INDEX(SETUP!$C$19:$G$62,MATCH((INDEX(PMtbl[[WKst]:[Unit of measure*]],MATCH($A141&amp;$D141&amp;$G141,INDEX(PMtbl[Category]&amp;PMtbl[INN]&amp;PMtbl[Specification],0,),0),3)),SETUP!$D$19:$D$62,0),5),"")</f>
        <v/>
      </c>
      <c r="AM141" s="401" t="str">
        <f>IFERROR(IF((INDEX(SETUP!$C$19:$G$62,MATCH((INDEX(PMtbl[[WKst]:[Unit of measure*]],MATCH($A141&amp;$D141&amp;$G141,INDEX(PMtbl[Category]&amp;PMtbl[INN]&amp;PMtbl[Specification],0,),0),3)),SETUP!$D$19:$D$62,0),4))="Upfront",0,INDEX(SETUP!$C$19:$G$62,MATCH((INDEX(PMtbl[[WKst]:[Unit of measure*]],MATCH($A141&amp;$D141&amp;$G141,INDEX(PMtbl[Category]&amp;PMtbl[INN]&amp;PMtbl[Specification],0,),0),3)),SETUP!$D$19:$D$62,0),5)),"")</f>
        <v/>
      </c>
    </row>
    <row r="142" spans="1:62">
      <c r="A142" s="2616"/>
      <c r="B142" s="2304"/>
      <c r="C142" s="2304"/>
      <c r="D142" s="2616"/>
      <c r="E142" s="2304"/>
      <c r="F142" s="2304"/>
      <c r="G142" s="2616"/>
      <c r="H142" s="2304"/>
      <c r="I142" s="2304"/>
      <c r="J142" s="2617"/>
      <c r="K142" s="176" t="str">
        <f>IF(A142&lt;&gt;"",IFERROR(INDEX(PMtbl[[WKst]:[Unit of measure*]],MATCH($A$127&amp;$A142&amp;$D142&amp;$G142,INDEX(PMtbl[Sec]&amp;PMtbl[Category]&amp;PMtbl[INN]&amp;PMtbl[Specification],0,),0),8),""),"")</f>
        <v/>
      </c>
      <c r="L142" s="177" t="str">
        <f>IF(K142="", "",SETUP!$E$5)</f>
        <v/>
      </c>
      <c r="M142" s="794"/>
      <c r="N142" s="810"/>
      <c r="O142" s="810"/>
      <c r="P142" s="810"/>
      <c r="Q142" s="810"/>
      <c r="R142" s="403">
        <f>SUM('TB-Pharmaceuticals'!$N142:$Q142)</f>
        <v>0</v>
      </c>
      <c r="S142" s="799">
        <f>'TB-Pharmaceuticals'!$M142*'TB-Pharmaceuticals'!$R142</f>
        <v>0</v>
      </c>
      <c r="T142" s="794"/>
      <c r="U142" s="810"/>
      <c r="V142" s="810"/>
      <c r="W142" s="810"/>
      <c r="X142" s="810"/>
      <c r="Y142" s="403">
        <f>SUM('TB-Pharmaceuticals'!$U142:$X142)</f>
        <v>0</v>
      </c>
      <c r="Z142" s="805">
        <f>'TB-Pharmaceuticals'!$T142*'TB-Pharmaceuticals'!$Y142</f>
        <v>0</v>
      </c>
      <c r="AA142" s="794"/>
      <c r="AB142" s="810"/>
      <c r="AC142" s="810"/>
      <c r="AD142" s="810"/>
      <c r="AE142" s="810"/>
      <c r="AF142" s="403">
        <f>SUM('TB-Pharmaceuticals'!$AB142:$AE142)</f>
        <v>0</v>
      </c>
      <c r="AG142" s="805">
        <f>'TB-Pharmaceuticals'!$AA142*'TB-Pharmaceuticals'!$AF142</f>
        <v>0</v>
      </c>
      <c r="AH142" s="827">
        <f>'TB-Pharmaceuticals'!$R142+'TB-Pharmaceuticals'!$Y142+'TB-Pharmaceuticals'!$AF142</f>
        <v>0</v>
      </c>
      <c r="AI142" s="805">
        <f>'TB-Pharmaceuticals'!$S142+'TB-Pharmaceuticals'!$Z142+'TB-Pharmaceuticals'!$AG142</f>
        <v>0</v>
      </c>
      <c r="AJ142" s="423" t="str">
        <f>IF(A142&lt;&gt;"",IFERROR(INDEX(PMtbl[[WKst]:[Unit of measure*]],MATCH($A$127&amp;$A142&amp;$D142&amp;$G142,INDEX(PMtbl[Sec]&amp;PMtbl[Category]&amp;PMtbl[INN]&amp;PMtbl[Specification],0,),0),7),""),"")</f>
        <v/>
      </c>
      <c r="AK142" s="2058"/>
      <c r="AL142" s="402" t="str">
        <f>IFERROR(INDEX(SETUP!$C$19:$G$62,MATCH((INDEX(PMtbl[[WKst]:[Unit of measure*]],MATCH($A142&amp;$D142&amp;$G142,INDEX(PMtbl[Category]&amp;PMtbl[INN]&amp;PMtbl[Specification],0,),0),3)),SETUP!$D$19:$D$62,0),5),"")</f>
        <v/>
      </c>
      <c r="AM142" s="402" t="str">
        <f>IFERROR(IF((INDEX(SETUP!$C$19:$G$62,MATCH((INDEX(PMtbl[[WKst]:[Unit of measure*]],MATCH($A142&amp;$D142&amp;$G142,INDEX(PMtbl[Category]&amp;PMtbl[INN]&amp;PMtbl[Specification],0,),0),3)),SETUP!$D$19:$D$62,0),4))="Upfront",0,INDEX(SETUP!$C$19:$G$62,MATCH((INDEX(PMtbl[[WKst]:[Unit of measure*]],MATCH($A142&amp;$D142&amp;$G142,INDEX(PMtbl[Category]&amp;PMtbl[INN]&amp;PMtbl[Specification],0,),0),3)),SETUP!$D$19:$D$62,0),5)),"")</f>
        <v/>
      </c>
    </row>
    <row r="143" spans="1:62">
      <c r="A143" s="2610"/>
      <c r="B143" s="2611"/>
      <c r="C143" s="2611"/>
      <c r="D143" s="2610"/>
      <c r="E143" s="2611"/>
      <c r="F143" s="2611"/>
      <c r="G143" s="2610"/>
      <c r="H143" s="2611"/>
      <c r="I143" s="2611"/>
      <c r="J143" s="2612"/>
      <c r="K143" s="175" t="str">
        <f>IF(A143&lt;&gt;"",IFERROR(INDEX(PMtbl[[WKst]:[Unit of measure*]],MATCH($A$127&amp;$A143&amp;$D143&amp;$G143,INDEX(PMtbl[Sec]&amp;PMtbl[Category]&amp;PMtbl[INN]&amp;PMtbl[Specification],0,),0),8),""),"")</f>
        <v/>
      </c>
      <c r="L143" s="175" t="str">
        <f>IF(K143="", "",SETUP!$E$5)</f>
        <v/>
      </c>
      <c r="M143" s="813"/>
      <c r="N143" s="819"/>
      <c r="O143" s="819"/>
      <c r="P143" s="819"/>
      <c r="Q143" s="819"/>
      <c r="R143" s="424">
        <f>SUM('TB-Pharmaceuticals'!$N143:$Q143)</f>
        <v>0</v>
      </c>
      <c r="S143" s="815">
        <f>'TB-Pharmaceuticals'!$M143*'TB-Pharmaceuticals'!$R143</f>
        <v>0</v>
      </c>
      <c r="T143" s="813"/>
      <c r="U143" s="819"/>
      <c r="V143" s="819"/>
      <c r="W143" s="819"/>
      <c r="X143" s="819"/>
      <c r="Y143" s="424">
        <f>SUM('TB-Pharmaceuticals'!$U143:$X143)</f>
        <v>0</v>
      </c>
      <c r="Z143" s="817">
        <f>'TB-Pharmaceuticals'!$T143*'TB-Pharmaceuticals'!$Y143</f>
        <v>0</v>
      </c>
      <c r="AA143" s="813"/>
      <c r="AB143" s="819"/>
      <c r="AC143" s="819"/>
      <c r="AD143" s="819"/>
      <c r="AE143" s="819"/>
      <c r="AF143" s="424">
        <f>SUM('TB-Pharmaceuticals'!$AB143:$AE143)</f>
        <v>0</v>
      </c>
      <c r="AG143" s="817">
        <f>'TB-Pharmaceuticals'!$AA143*'TB-Pharmaceuticals'!$AF143</f>
        <v>0</v>
      </c>
      <c r="AH143" s="828">
        <f>'TB-Pharmaceuticals'!$R143+'TB-Pharmaceuticals'!$Y143+'TB-Pharmaceuticals'!$AF143</f>
        <v>0</v>
      </c>
      <c r="AI143" s="817">
        <f>'TB-Pharmaceuticals'!$S143+'TB-Pharmaceuticals'!$Z143+'TB-Pharmaceuticals'!$AG143</f>
        <v>0</v>
      </c>
      <c r="AJ143" s="426" t="str">
        <f>IF(A143&lt;&gt;"",IFERROR(INDEX(PMtbl[[WKst]:[Unit of measure*]],MATCH($A$127&amp;$A143&amp;$D143&amp;$G143,INDEX(PMtbl[Sec]&amp;PMtbl[Category]&amp;PMtbl[INN]&amp;PMtbl[Specification],0,),0),7),""),"")</f>
        <v/>
      </c>
      <c r="AK143" s="2059"/>
      <c r="AL143" s="401" t="str">
        <f>IFERROR(INDEX(SETUP!$C$19:$G$62,MATCH((INDEX(PMtbl[[WKst]:[Unit of measure*]],MATCH($A143&amp;$D143&amp;$G143,INDEX(PMtbl[Category]&amp;PMtbl[INN]&amp;PMtbl[Specification],0,),0),3)),SETUP!$D$19:$D$62,0),5),"")</f>
        <v/>
      </c>
      <c r="AM143" s="401" t="str">
        <f>IFERROR(IF((INDEX(SETUP!$C$19:$G$62,MATCH((INDEX(PMtbl[[WKst]:[Unit of measure*]],MATCH($A143&amp;$D143&amp;$G143,INDEX(PMtbl[Category]&amp;PMtbl[INN]&amp;PMtbl[Specification],0,),0),3)),SETUP!$D$19:$D$62,0),4))="Upfront",0,INDEX(SETUP!$C$19:$G$62,MATCH((INDEX(PMtbl[[WKst]:[Unit of measure*]],MATCH($A143&amp;$D143&amp;$G143,INDEX(PMtbl[Category]&amp;PMtbl[INN]&amp;PMtbl[Specification],0,),0),3)),SETUP!$D$19:$D$62,0),5)),"")</f>
        <v/>
      </c>
    </row>
    <row r="144" spans="1:62">
      <c r="A144" s="2616"/>
      <c r="B144" s="2304"/>
      <c r="C144" s="2304"/>
      <c r="D144" s="2616"/>
      <c r="E144" s="2304"/>
      <c r="F144" s="2304"/>
      <c r="G144" s="2616"/>
      <c r="H144" s="2304"/>
      <c r="I144" s="2304"/>
      <c r="J144" s="2617"/>
      <c r="K144" s="176" t="str">
        <f>IF(A144&lt;&gt;"",IFERROR(INDEX(PMtbl[[WKst]:[Unit of measure*]],MATCH($A$127&amp;$A144&amp;$D144&amp;$G144,INDEX(PMtbl[Sec]&amp;PMtbl[Category]&amp;PMtbl[INN]&amp;PMtbl[Specification],0,),0),8),""),"")</f>
        <v/>
      </c>
      <c r="L144" s="177" t="str">
        <f>IF(K144="", "",SETUP!$E$5)</f>
        <v/>
      </c>
      <c r="M144" s="794"/>
      <c r="N144" s="810"/>
      <c r="O144" s="810"/>
      <c r="P144" s="810"/>
      <c r="Q144" s="810"/>
      <c r="R144" s="403">
        <f>SUM('TB-Pharmaceuticals'!$N144:$Q144)</f>
        <v>0</v>
      </c>
      <c r="S144" s="799">
        <f>'TB-Pharmaceuticals'!$M144*'TB-Pharmaceuticals'!$R144</f>
        <v>0</v>
      </c>
      <c r="T144" s="794"/>
      <c r="U144" s="810"/>
      <c r="V144" s="810"/>
      <c r="W144" s="810"/>
      <c r="X144" s="810"/>
      <c r="Y144" s="403">
        <f>SUM('TB-Pharmaceuticals'!$U144:$X144)</f>
        <v>0</v>
      </c>
      <c r="Z144" s="805">
        <f>'TB-Pharmaceuticals'!$T144*'TB-Pharmaceuticals'!$Y144</f>
        <v>0</v>
      </c>
      <c r="AA144" s="794"/>
      <c r="AB144" s="810"/>
      <c r="AC144" s="810"/>
      <c r="AD144" s="810"/>
      <c r="AE144" s="810"/>
      <c r="AF144" s="403">
        <f>SUM('TB-Pharmaceuticals'!$AB144:$AE144)</f>
        <v>0</v>
      </c>
      <c r="AG144" s="805">
        <f>'TB-Pharmaceuticals'!$AA144*'TB-Pharmaceuticals'!$AF144</f>
        <v>0</v>
      </c>
      <c r="AH144" s="827">
        <f>'TB-Pharmaceuticals'!$R144+'TB-Pharmaceuticals'!$Y144+'TB-Pharmaceuticals'!$AF144</f>
        <v>0</v>
      </c>
      <c r="AI144" s="805">
        <f>'TB-Pharmaceuticals'!$S144+'TB-Pharmaceuticals'!$Z144+'TB-Pharmaceuticals'!$AG144</f>
        <v>0</v>
      </c>
      <c r="AJ144" s="423" t="str">
        <f>IF(A144&lt;&gt;"",IFERROR(INDEX(PMtbl[[WKst]:[Unit of measure*]],MATCH($A$127&amp;$A144&amp;$D144&amp;$G144,INDEX(PMtbl[Sec]&amp;PMtbl[Category]&amp;PMtbl[INN]&amp;PMtbl[Specification],0,),0),7),""),"")</f>
        <v/>
      </c>
      <c r="AK144" s="2058"/>
      <c r="AL144" s="402" t="str">
        <f>IFERROR(INDEX(SETUP!$C$19:$G$62,MATCH((INDEX(PMtbl[[WKst]:[Unit of measure*]],MATCH($A144&amp;$D144&amp;$G144,INDEX(PMtbl[Category]&amp;PMtbl[INN]&amp;PMtbl[Specification],0,),0),3)),SETUP!$D$19:$D$62,0),5),"")</f>
        <v/>
      </c>
      <c r="AM144" s="402" t="str">
        <f>IFERROR(IF((INDEX(SETUP!$C$19:$G$62,MATCH((INDEX(PMtbl[[WKst]:[Unit of measure*]],MATCH($A144&amp;$D144&amp;$G144,INDEX(PMtbl[Category]&amp;PMtbl[INN]&amp;PMtbl[Specification],0,),0),3)),SETUP!$D$19:$D$62,0),4))="Upfront",0,INDEX(SETUP!$C$19:$G$62,MATCH((INDEX(PMtbl[[WKst]:[Unit of measure*]],MATCH($A144&amp;$D144&amp;$G144,INDEX(PMtbl[Category]&amp;PMtbl[INN]&amp;PMtbl[Specification],0,),0),3)),SETUP!$D$19:$D$62,0),5)),"")</f>
        <v/>
      </c>
    </row>
    <row r="145" spans="1:39">
      <c r="A145" s="2610"/>
      <c r="B145" s="2611"/>
      <c r="C145" s="2611"/>
      <c r="D145" s="2610"/>
      <c r="E145" s="2611"/>
      <c r="F145" s="2611"/>
      <c r="G145" s="2610"/>
      <c r="H145" s="2611"/>
      <c r="I145" s="2611"/>
      <c r="J145" s="2612"/>
      <c r="K145" s="175" t="str">
        <f>IF(A145&lt;&gt;"",IFERROR(INDEX(PMtbl[[WKst]:[Unit of measure*]],MATCH($A$127&amp;$A145&amp;$D145&amp;$G145,INDEX(PMtbl[Sec]&amp;PMtbl[Category]&amp;PMtbl[INN]&amp;PMtbl[Specification],0,),0),8),""),"")</f>
        <v/>
      </c>
      <c r="L145" s="175" t="str">
        <f>IF(K145="", "",SETUP!$E$5)</f>
        <v/>
      </c>
      <c r="M145" s="813"/>
      <c r="N145" s="819"/>
      <c r="O145" s="819"/>
      <c r="P145" s="819"/>
      <c r="Q145" s="819"/>
      <c r="R145" s="424">
        <f>SUM('TB-Pharmaceuticals'!$N145:$Q145)</f>
        <v>0</v>
      </c>
      <c r="S145" s="815">
        <f>'TB-Pharmaceuticals'!$M145*'TB-Pharmaceuticals'!$R145</f>
        <v>0</v>
      </c>
      <c r="T145" s="813"/>
      <c r="U145" s="819"/>
      <c r="V145" s="819"/>
      <c r="W145" s="819"/>
      <c r="X145" s="819"/>
      <c r="Y145" s="424">
        <f>SUM('TB-Pharmaceuticals'!$U145:$X145)</f>
        <v>0</v>
      </c>
      <c r="Z145" s="817">
        <f>'TB-Pharmaceuticals'!$T145*'TB-Pharmaceuticals'!$Y145</f>
        <v>0</v>
      </c>
      <c r="AA145" s="813"/>
      <c r="AB145" s="819"/>
      <c r="AC145" s="819"/>
      <c r="AD145" s="819"/>
      <c r="AE145" s="819"/>
      <c r="AF145" s="424">
        <f>SUM('TB-Pharmaceuticals'!$AB145:$AE145)</f>
        <v>0</v>
      </c>
      <c r="AG145" s="817">
        <f>'TB-Pharmaceuticals'!$AA145*'TB-Pharmaceuticals'!$AF145</f>
        <v>0</v>
      </c>
      <c r="AH145" s="828">
        <f>'TB-Pharmaceuticals'!$R145+'TB-Pharmaceuticals'!$Y145+'TB-Pharmaceuticals'!$AF145</f>
        <v>0</v>
      </c>
      <c r="AI145" s="817">
        <f>'TB-Pharmaceuticals'!$S145+'TB-Pharmaceuticals'!$Z145+'TB-Pharmaceuticals'!$AG145</f>
        <v>0</v>
      </c>
      <c r="AJ145" s="426" t="str">
        <f>IF(A145&lt;&gt;"",IFERROR(INDEX(PMtbl[[WKst]:[Unit of measure*]],MATCH($A$127&amp;$A145&amp;$D145&amp;$G145,INDEX(PMtbl[Sec]&amp;PMtbl[Category]&amp;PMtbl[INN]&amp;PMtbl[Specification],0,),0),7),""),"")</f>
        <v/>
      </c>
      <c r="AK145" s="2059"/>
      <c r="AL145" s="401" t="str">
        <f>IFERROR(INDEX(SETUP!$C$19:$G$62,MATCH((INDEX(PMtbl[[WKst]:[Unit of measure*]],MATCH($A145&amp;$D145&amp;$G145,INDEX(PMtbl[Category]&amp;PMtbl[INN]&amp;PMtbl[Specification],0,),0),3)),SETUP!$D$19:$D$62,0),5),"")</f>
        <v/>
      </c>
      <c r="AM145" s="401" t="str">
        <f>IFERROR(IF((INDEX(SETUP!$C$19:$G$62,MATCH((INDEX(PMtbl[[WKst]:[Unit of measure*]],MATCH($A145&amp;$D145&amp;$G145,INDEX(PMtbl[Category]&amp;PMtbl[INN]&amp;PMtbl[Specification],0,),0),3)),SETUP!$D$19:$D$62,0),4))="Upfront",0,INDEX(SETUP!$C$19:$G$62,MATCH((INDEX(PMtbl[[WKst]:[Unit of measure*]],MATCH($A145&amp;$D145&amp;$G145,INDEX(PMtbl[Category]&amp;PMtbl[INN]&amp;PMtbl[Specification],0,),0),3)),SETUP!$D$19:$D$62,0),5)),"")</f>
        <v/>
      </c>
    </row>
    <row r="146" spans="1:39">
      <c r="A146" s="2616"/>
      <c r="B146" s="2304"/>
      <c r="C146" s="2304"/>
      <c r="D146" s="2616"/>
      <c r="E146" s="2304"/>
      <c r="F146" s="2304"/>
      <c r="G146" s="2616"/>
      <c r="H146" s="2304"/>
      <c r="I146" s="2304"/>
      <c r="J146" s="2617"/>
      <c r="K146" s="176" t="str">
        <f>IF(A146&lt;&gt;"",IFERROR(INDEX(PMtbl[[WKst]:[Unit of measure*]],MATCH($A$127&amp;$A146&amp;$D146&amp;$G146,INDEX(PMtbl[Sec]&amp;PMtbl[Category]&amp;PMtbl[INN]&amp;PMtbl[Specification],0,),0),8),""),"")</f>
        <v/>
      </c>
      <c r="L146" s="177" t="str">
        <f>IF(K146="", "",SETUP!$E$5)</f>
        <v/>
      </c>
      <c r="M146" s="794"/>
      <c r="N146" s="810"/>
      <c r="O146" s="810"/>
      <c r="P146" s="810"/>
      <c r="Q146" s="810"/>
      <c r="R146" s="403">
        <f>SUM('TB-Pharmaceuticals'!$N146:$Q146)</f>
        <v>0</v>
      </c>
      <c r="S146" s="799">
        <f>'TB-Pharmaceuticals'!$M146*'TB-Pharmaceuticals'!$R146</f>
        <v>0</v>
      </c>
      <c r="T146" s="794"/>
      <c r="U146" s="810"/>
      <c r="V146" s="810"/>
      <c r="W146" s="810"/>
      <c r="X146" s="810"/>
      <c r="Y146" s="403">
        <f>SUM('TB-Pharmaceuticals'!$U146:$X146)</f>
        <v>0</v>
      </c>
      <c r="Z146" s="805">
        <f>'TB-Pharmaceuticals'!$T146*'TB-Pharmaceuticals'!$Y146</f>
        <v>0</v>
      </c>
      <c r="AA146" s="794"/>
      <c r="AB146" s="810"/>
      <c r="AC146" s="810"/>
      <c r="AD146" s="810"/>
      <c r="AE146" s="810"/>
      <c r="AF146" s="403">
        <f>SUM('TB-Pharmaceuticals'!$AB146:$AE146)</f>
        <v>0</v>
      </c>
      <c r="AG146" s="805">
        <f>'TB-Pharmaceuticals'!$AA146*'TB-Pharmaceuticals'!$AF146</f>
        <v>0</v>
      </c>
      <c r="AH146" s="827">
        <f>'TB-Pharmaceuticals'!$R146+'TB-Pharmaceuticals'!$Y146+'TB-Pharmaceuticals'!$AF146</f>
        <v>0</v>
      </c>
      <c r="AI146" s="805">
        <f>'TB-Pharmaceuticals'!$S146+'TB-Pharmaceuticals'!$Z146+'TB-Pharmaceuticals'!$AG146</f>
        <v>0</v>
      </c>
      <c r="AJ146" s="423" t="str">
        <f>IF(A146&lt;&gt;"",IFERROR(INDEX(PMtbl[[WKst]:[Unit of measure*]],MATCH($A$127&amp;$A146&amp;$D146&amp;$G146,INDEX(PMtbl[Sec]&amp;PMtbl[Category]&amp;PMtbl[INN]&amp;PMtbl[Specification],0,),0),7),""),"")</f>
        <v/>
      </c>
      <c r="AK146" s="2058"/>
      <c r="AL146" s="402" t="str">
        <f>IFERROR(INDEX(SETUP!$C$19:$G$62,MATCH((INDEX(PMtbl[[WKst]:[Unit of measure*]],MATCH($A146&amp;$D146&amp;$G146,INDEX(PMtbl[Category]&amp;PMtbl[INN]&amp;PMtbl[Specification],0,),0),3)),SETUP!$D$19:$D$62,0),5),"")</f>
        <v/>
      </c>
      <c r="AM146" s="402" t="str">
        <f>IFERROR(IF((INDEX(SETUP!$C$19:$G$62,MATCH((INDEX(PMtbl[[WKst]:[Unit of measure*]],MATCH($A146&amp;$D146&amp;$G146,INDEX(PMtbl[Category]&amp;PMtbl[INN]&amp;PMtbl[Specification],0,),0),3)),SETUP!$D$19:$D$62,0),4))="Upfront",0,INDEX(SETUP!$C$19:$G$62,MATCH((INDEX(PMtbl[[WKst]:[Unit of measure*]],MATCH($A146&amp;$D146&amp;$G146,INDEX(PMtbl[Category]&amp;PMtbl[INN]&amp;PMtbl[Specification],0,),0),3)),SETUP!$D$19:$D$62,0),5)),"")</f>
        <v/>
      </c>
    </row>
    <row r="147" spans="1:39">
      <c r="A147" s="2610"/>
      <c r="B147" s="2611"/>
      <c r="C147" s="2611"/>
      <c r="D147" s="2610"/>
      <c r="E147" s="2611"/>
      <c r="F147" s="2611"/>
      <c r="G147" s="2610"/>
      <c r="H147" s="2611"/>
      <c r="I147" s="2611"/>
      <c r="J147" s="2612"/>
      <c r="K147" s="175" t="str">
        <f>IF(A147&lt;&gt;"",IFERROR(INDEX(PMtbl[[WKst]:[Unit of measure*]],MATCH($A$127&amp;$A147&amp;$D147&amp;$G147,INDEX(PMtbl[Sec]&amp;PMtbl[Category]&amp;PMtbl[INN]&amp;PMtbl[Specification],0,),0),8),""),"")</f>
        <v/>
      </c>
      <c r="L147" s="175" t="str">
        <f>IF(K147="", "",SETUP!$E$5)</f>
        <v/>
      </c>
      <c r="M147" s="813"/>
      <c r="N147" s="819"/>
      <c r="O147" s="819"/>
      <c r="P147" s="819"/>
      <c r="Q147" s="819"/>
      <c r="R147" s="424">
        <f>SUM('TB-Pharmaceuticals'!$N147:$Q147)</f>
        <v>0</v>
      </c>
      <c r="S147" s="815">
        <f>'TB-Pharmaceuticals'!$M147*'TB-Pharmaceuticals'!$R147</f>
        <v>0</v>
      </c>
      <c r="T147" s="813"/>
      <c r="U147" s="819"/>
      <c r="V147" s="819"/>
      <c r="W147" s="819"/>
      <c r="X147" s="819"/>
      <c r="Y147" s="424">
        <f>SUM('TB-Pharmaceuticals'!$U147:$X147)</f>
        <v>0</v>
      </c>
      <c r="Z147" s="817">
        <f>'TB-Pharmaceuticals'!$T147*'TB-Pharmaceuticals'!$Y147</f>
        <v>0</v>
      </c>
      <c r="AA147" s="813"/>
      <c r="AB147" s="819"/>
      <c r="AC147" s="819"/>
      <c r="AD147" s="819"/>
      <c r="AE147" s="819"/>
      <c r="AF147" s="424">
        <f>SUM('TB-Pharmaceuticals'!$AB147:$AE147)</f>
        <v>0</v>
      </c>
      <c r="AG147" s="817">
        <f>'TB-Pharmaceuticals'!$AA147*'TB-Pharmaceuticals'!$AF147</f>
        <v>0</v>
      </c>
      <c r="AH147" s="828">
        <f>'TB-Pharmaceuticals'!$R147+'TB-Pharmaceuticals'!$Y147+'TB-Pharmaceuticals'!$AF147</f>
        <v>0</v>
      </c>
      <c r="AI147" s="817">
        <f>'TB-Pharmaceuticals'!$S147+'TB-Pharmaceuticals'!$Z147+'TB-Pharmaceuticals'!$AG147</f>
        <v>0</v>
      </c>
      <c r="AJ147" s="426" t="str">
        <f>IF(A147&lt;&gt;"",IFERROR(INDEX(PMtbl[[WKst]:[Unit of measure*]],MATCH($A$127&amp;$A147&amp;$D147&amp;$G147,INDEX(PMtbl[Sec]&amp;PMtbl[Category]&amp;PMtbl[INN]&amp;PMtbl[Specification],0,),0),7),""),"")</f>
        <v/>
      </c>
      <c r="AK147" s="2059"/>
      <c r="AL147" s="401" t="str">
        <f>IFERROR(INDEX(SETUP!$C$19:$G$62,MATCH((INDEX(PMtbl[[WKst]:[Unit of measure*]],MATCH($A147&amp;$D147&amp;$G147,INDEX(PMtbl[Category]&amp;PMtbl[INN]&amp;PMtbl[Specification],0,),0),3)),SETUP!$D$19:$D$62,0),5),"")</f>
        <v/>
      </c>
      <c r="AM147" s="401" t="str">
        <f>IFERROR(IF((INDEX(SETUP!$C$19:$G$62,MATCH((INDEX(PMtbl[[WKst]:[Unit of measure*]],MATCH($A147&amp;$D147&amp;$G147,INDEX(PMtbl[Category]&amp;PMtbl[INN]&amp;PMtbl[Specification],0,),0),3)),SETUP!$D$19:$D$62,0),4))="Upfront",0,INDEX(SETUP!$C$19:$G$62,MATCH((INDEX(PMtbl[[WKst]:[Unit of measure*]],MATCH($A147&amp;$D147&amp;$G147,INDEX(PMtbl[Category]&amp;PMtbl[INN]&amp;PMtbl[Specification],0,),0),3)),SETUP!$D$19:$D$62,0),5)),"")</f>
        <v/>
      </c>
    </row>
    <row r="148" spans="1:39">
      <c r="A148" s="2616"/>
      <c r="B148" s="2304"/>
      <c r="C148" s="2304"/>
      <c r="D148" s="2616"/>
      <c r="E148" s="2304"/>
      <c r="F148" s="2304"/>
      <c r="G148" s="2616"/>
      <c r="H148" s="2304"/>
      <c r="I148" s="2304"/>
      <c r="J148" s="2617"/>
      <c r="K148" s="176" t="str">
        <f>IF(A148&lt;&gt;"",IFERROR(INDEX(PMtbl[[WKst]:[Unit of measure*]],MATCH($A$127&amp;$A148&amp;$D148&amp;$G148,INDEX(PMtbl[Sec]&amp;PMtbl[Category]&amp;PMtbl[INN]&amp;PMtbl[Specification],0,),0),8),""),"")</f>
        <v/>
      </c>
      <c r="L148" s="177" t="str">
        <f>IF(K148="", "",SETUP!$E$5)</f>
        <v/>
      </c>
      <c r="M148" s="794"/>
      <c r="N148" s="810"/>
      <c r="O148" s="810"/>
      <c r="P148" s="810"/>
      <c r="Q148" s="810"/>
      <c r="R148" s="403">
        <f>SUM('TB-Pharmaceuticals'!$N148:$Q148)</f>
        <v>0</v>
      </c>
      <c r="S148" s="799">
        <f>'TB-Pharmaceuticals'!$M148*'TB-Pharmaceuticals'!$R148</f>
        <v>0</v>
      </c>
      <c r="T148" s="794"/>
      <c r="U148" s="810"/>
      <c r="V148" s="810"/>
      <c r="W148" s="810"/>
      <c r="X148" s="810"/>
      <c r="Y148" s="403">
        <f>SUM('TB-Pharmaceuticals'!$U148:$X148)</f>
        <v>0</v>
      </c>
      <c r="Z148" s="805">
        <f>'TB-Pharmaceuticals'!$T148*'TB-Pharmaceuticals'!$Y148</f>
        <v>0</v>
      </c>
      <c r="AA148" s="794"/>
      <c r="AB148" s="810"/>
      <c r="AC148" s="810"/>
      <c r="AD148" s="810"/>
      <c r="AE148" s="810"/>
      <c r="AF148" s="403">
        <f>SUM('TB-Pharmaceuticals'!$AB148:$AE148)</f>
        <v>0</v>
      </c>
      <c r="AG148" s="805">
        <f>'TB-Pharmaceuticals'!$AA148*'TB-Pharmaceuticals'!$AF148</f>
        <v>0</v>
      </c>
      <c r="AH148" s="827">
        <f>'TB-Pharmaceuticals'!$R148+'TB-Pharmaceuticals'!$Y148+'TB-Pharmaceuticals'!$AF148</f>
        <v>0</v>
      </c>
      <c r="AI148" s="805">
        <f>'TB-Pharmaceuticals'!$S148+'TB-Pharmaceuticals'!$Z148+'TB-Pharmaceuticals'!$AG148</f>
        <v>0</v>
      </c>
      <c r="AJ148" s="423" t="str">
        <f>IF(A148&lt;&gt;"",IFERROR(INDEX(PMtbl[[WKst]:[Unit of measure*]],MATCH($A$127&amp;$A148&amp;$D148&amp;$G148,INDEX(PMtbl[Sec]&amp;PMtbl[Category]&amp;PMtbl[INN]&amp;PMtbl[Specification],0,),0),7),""),"")</f>
        <v/>
      </c>
      <c r="AK148" s="2058"/>
      <c r="AL148" s="402" t="str">
        <f>IFERROR(INDEX(SETUP!$C$19:$G$62,MATCH((INDEX(PMtbl[[WKst]:[Unit of measure*]],MATCH($A148&amp;$D148&amp;$G148,INDEX(PMtbl[Category]&amp;PMtbl[INN]&amp;PMtbl[Specification],0,),0),3)),SETUP!$D$19:$D$62,0),5),"")</f>
        <v/>
      </c>
      <c r="AM148" s="402" t="str">
        <f>IFERROR(IF((INDEX(SETUP!$C$19:$G$62,MATCH((INDEX(PMtbl[[WKst]:[Unit of measure*]],MATCH($A148&amp;$D148&amp;$G148,INDEX(PMtbl[Category]&amp;PMtbl[INN]&amp;PMtbl[Specification],0,),0),3)),SETUP!$D$19:$D$62,0),4))="Upfront",0,INDEX(SETUP!$C$19:$G$62,MATCH((INDEX(PMtbl[[WKst]:[Unit of measure*]],MATCH($A148&amp;$D148&amp;$G148,INDEX(PMtbl[Category]&amp;PMtbl[INN]&amp;PMtbl[Specification],0,),0),3)),SETUP!$D$19:$D$62,0),5)),"")</f>
        <v/>
      </c>
    </row>
    <row r="149" spans="1:39">
      <c r="A149" s="2610"/>
      <c r="B149" s="2611"/>
      <c r="C149" s="2611"/>
      <c r="D149" s="2610"/>
      <c r="E149" s="2611"/>
      <c r="F149" s="2611"/>
      <c r="G149" s="2610"/>
      <c r="H149" s="2611"/>
      <c r="I149" s="2611"/>
      <c r="J149" s="2612"/>
      <c r="K149" s="175" t="str">
        <f>IF(A149&lt;&gt;"",IFERROR(INDEX(PMtbl[[WKst]:[Unit of measure*]],MATCH($A$127&amp;$A149&amp;$D149&amp;$G149,INDEX(PMtbl[Sec]&amp;PMtbl[Category]&amp;PMtbl[INN]&amp;PMtbl[Specification],0,),0),8),""),"")</f>
        <v/>
      </c>
      <c r="L149" s="175" t="str">
        <f>IF(K149="", "",SETUP!$E$5)</f>
        <v/>
      </c>
      <c r="M149" s="813"/>
      <c r="N149" s="819"/>
      <c r="O149" s="819"/>
      <c r="P149" s="819"/>
      <c r="Q149" s="819"/>
      <c r="R149" s="424">
        <f>SUM('TB-Pharmaceuticals'!$N149:$Q149)</f>
        <v>0</v>
      </c>
      <c r="S149" s="815">
        <f>'TB-Pharmaceuticals'!$M149*'TB-Pharmaceuticals'!$R149</f>
        <v>0</v>
      </c>
      <c r="T149" s="813"/>
      <c r="U149" s="819"/>
      <c r="V149" s="819"/>
      <c r="W149" s="819"/>
      <c r="X149" s="819"/>
      <c r="Y149" s="424">
        <f>SUM('TB-Pharmaceuticals'!$U149:$X149)</f>
        <v>0</v>
      </c>
      <c r="Z149" s="817">
        <f>'TB-Pharmaceuticals'!$T149*'TB-Pharmaceuticals'!$Y149</f>
        <v>0</v>
      </c>
      <c r="AA149" s="813"/>
      <c r="AB149" s="819"/>
      <c r="AC149" s="819"/>
      <c r="AD149" s="819"/>
      <c r="AE149" s="819"/>
      <c r="AF149" s="424">
        <f>SUM('TB-Pharmaceuticals'!$AB149:$AE149)</f>
        <v>0</v>
      </c>
      <c r="AG149" s="817">
        <f>'TB-Pharmaceuticals'!$AA149*'TB-Pharmaceuticals'!$AF149</f>
        <v>0</v>
      </c>
      <c r="AH149" s="828">
        <f>'TB-Pharmaceuticals'!$R149+'TB-Pharmaceuticals'!$Y149+'TB-Pharmaceuticals'!$AF149</f>
        <v>0</v>
      </c>
      <c r="AI149" s="817">
        <f>'TB-Pharmaceuticals'!$S149+'TB-Pharmaceuticals'!$Z149+'TB-Pharmaceuticals'!$AG149</f>
        <v>0</v>
      </c>
      <c r="AJ149" s="426" t="str">
        <f>IF(A149&lt;&gt;"",IFERROR(INDEX(PMtbl[[WKst]:[Unit of measure*]],MATCH($A$127&amp;$A149&amp;$D149&amp;$G149,INDEX(PMtbl[Sec]&amp;PMtbl[Category]&amp;PMtbl[INN]&amp;PMtbl[Specification],0,),0),7),""),"")</f>
        <v/>
      </c>
      <c r="AK149" s="2059"/>
      <c r="AL149" s="401" t="str">
        <f>IFERROR(INDEX(SETUP!$C$19:$G$62,MATCH((INDEX(PMtbl[[WKst]:[Unit of measure*]],MATCH($A149&amp;$D149&amp;$G149,INDEX(PMtbl[Category]&amp;PMtbl[INN]&amp;PMtbl[Specification],0,),0),3)),SETUP!$D$19:$D$62,0),5),"")</f>
        <v/>
      </c>
      <c r="AM149" s="401" t="str">
        <f>IFERROR(IF((INDEX(SETUP!$C$19:$G$62,MATCH((INDEX(PMtbl[[WKst]:[Unit of measure*]],MATCH($A149&amp;$D149&amp;$G149,INDEX(PMtbl[Category]&amp;PMtbl[INN]&amp;PMtbl[Specification],0,),0),3)),SETUP!$D$19:$D$62,0),4))="Upfront",0,INDEX(SETUP!$C$19:$G$62,MATCH((INDEX(PMtbl[[WKst]:[Unit of measure*]],MATCH($A149&amp;$D149&amp;$G149,INDEX(PMtbl[Category]&amp;PMtbl[INN]&amp;PMtbl[Specification],0,),0),3)),SETUP!$D$19:$D$62,0),5)),"")</f>
        <v/>
      </c>
    </row>
    <row r="150" spans="1:39">
      <c r="A150" s="2616"/>
      <c r="B150" s="2304"/>
      <c r="C150" s="2304"/>
      <c r="D150" s="2616"/>
      <c r="E150" s="2304"/>
      <c r="F150" s="2304"/>
      <c r="G150" s="2616"/>
      <c r="H150" s="2304"/>
      <c r="I150" s="2304"/>
      <c r="J150" s="2617"/>
      <c r="K150" s="176" t="str">
        <f>IF(A150&lt;&gt;"",IFERROR(INDEX(PMtbl[[WKst]:[Unit of measure*]],MATCH($A$127&amp;$A150&amp;$D150&amp;$G150,INDEX(PMtbl[Sec]&amp;PMtbl[Category]&amp;PMtbl[INN]&amp;PMtbl[Specification],0,),0),8),""),"")</f>
        <v/>
      </c>
      <c r="L150" s="177" t="str">
        <f>IF(K150="", "",SETUP!$E$5)</f>
        <v/>
      </c>
      <c r="M150" s="794"/>
      <c r="N150" s="810"/>
      <c r="O150" s="810"/>
      <c r="P150" s="810"/>
      <c r="Q150" s="810"/>
      <c r="R150" s="403">
        <f>SUM('TB-Pharmaceuticals'!$N150:$Q150)</f>
        <v>0</v>
      </c>
      <c r="S150" s="799">
        <f>'TB-Pharmaceuticals'!$M150*'TB-Pharmaceuticals'!$R150</f>
        <v>0</v>
      </c>
      <c r="T150" s="794"/>
      <c r="U150" s="810"/>
      <c r="V150" s="810"/>
      <c r="W150" s="810"/>
      <c r="X150" s="810"/>
      <c r="Y150" s="403">
        <f>SUM('TB-Pharmaceuticals'!$U150:$X150)</f>
        <v>0</v>
      </c>
      <c r="Z150" s="805">
        <f>'TB-Pharmaceuticals'!$T150*'TB-Pharmaceuticals'!$Y150</f>
        <v>0</v>
      </c>
      <c r="AA150" s="794"/>
      <c r="AB150" s="810"/>
      <c r="AC150" s="810"/>
      <c r="AD150" s="810"/>
      <c r="AE150" s="810"/>
      <c r="AF150" s="403">
        <f>SUM('TB-Pharmaceuticals'!$AB150:$AE150)</f>
        <v>0</v>
      </c>
      <c r="AG150" s="805">
        <f>'TB-Pharmaceuticals'!$AA150*'TB-Pharmaceuticals'!$AF150</f>
        <v>0</v>
      </c>
      <c r="AH150" s="827">
        <f>'TB-Pharmaceuticals'!$R150+'TB-Pharmaceuticals'!$Y150+'TB-Pharmaceuticals'!$AF150</f>
        <v>0</v>
      </c>
      <c r="AI150" s="805">
        <f>'TB-Pharmaceuticals'!$S150+'TB-Pharmaceuticals'!$Z150+'TB-Pharmaceuticals'!$AG150</f>
        <v>0</v>
      </c>
      <c r="AJ150" s="423" t="str">
        <f>IF(A150&lt;&gt;"",IFERROR(INDEX(PMtbl[[WKst]:[Unit of measure*]],MATCH($A$127&amp;$A150&amp;$D150&amp;$G150,INDEX(PMtbl[Sec]&amp;PMtbl[Category]&amp;PMtbl[INN]&amp;PMtbl[Specification],0,),0),7),""),"")</f>
        <v/>
      </c>
      <c r="AK150" s="2058"/>
      <c r="AL150" s="402" t="str">
        <f>IFERROR(INDEX(SETUP!$C$19:$G$62,MATCH((INDEX(PMtbl[[WKst]:[Unit of measure*]],MATCH($A150&amp;$D150&amp;$G150,INDEX(PMtbl[Category]&amp;PMtbl[INN]&amp;PMtbl[Specification],0,),0),3)),SETUP!$D$19:$D$62,0),5),"")</f>
        <v/>
      </c>
      <c r="AM150" s="402" t="str">
        <f>IFERROR(IF((INDEX(SETUP!$C$19:$G$62,MATCH((INDEX(PMtbl[[WKst]:[Unit of measure*]],MATCH($A150&amp;$D150&amp;$G150,INDEX(PMtbl[Category]&amp;PMtbl[INN]&amp;PMtbl[Specification],0,),0),3)),SETUP!$D$19:$D$62,0),4))="Upfront",0,INDEX(SETUP!$C$19:$G$62,MATCH((INDEX(PMtbl[[WKst]:[Unit of measure*]],MATCH($A150&amp;$D150&amp;$G150,INDEX(PMtbl[Category]&amp;PMtbl[INN]&amp;PMtbl[Specification],0,),0),3)),SETUP!$D$19:$D$62,0),5)),"")</f>
        <v/>
      </c>
    </row>
    <row r="151" spans="1:39">
      <c r="A151" s="2610"/>
      <c r="B151" s="2611"/>
      <c r="C151" s="2611"/>
      <c r="D151" s="2610"/>
      <c r="E151" s="2611"/>
      <c r="F151" s="2611"/>
      <c r="G151" s="2610"/>
      <c r="H151" s="2611"/>
      <c r="I151" s="2611"/>
      <c r="J151" s="2612"/>
      <c r="K151" s="175" t="str">
        <f>IF(A151&lt;&gt;"",IFERROR(INDEX(PMtbl[[WKst]:[Unit of measure*]],MATCH($A$127&amp;$A151&amp;$D151&amp;$G151,INDEX(PMtbl[Sec]&amp;PMtbl[Category]&amp;PMtbl[INN]&amp;PMtbl[Specification],0,),0),8),""),"")</f>
        <v/>
      </c>
      <c r="L151" s="175" t="str">
        <f>IF(K151="", "",SETUP!$E$5)</f>
        <v/>
      </c>
      <c r="M151" s="813"/>
      <c r="N151" s="819"/>
      <c r="O151" s="819"/>
      <c r="P151" s="819"/>
      <c r="Q151" s="819"/>
      <c r="R151" s="424">
        <f>SUM('TB-Pharmaceuticals'!$N151:$Q151)</f>
        <v>0</v>
      </c>
      <c r="S151" s="815">
        <f>'TB-Pharmaceuticals'!$M151*'TB-Pharmaceuticals'!$R151</f>
        <v>0</v>
      </c>
      <c r="T151" s="813"/>
      <c r="U151" s="819"/>
      <c r="V151" s="819"/>
      <c r="W151" s="819"/>
      <c r="X151" s="819"/>
      <c r="Y151" s="424">
        <f>SUM('TB-Pharmaceuticals'!$U151:$X151)</f>
        <v>0</v>
      </c>
      <c r="Z151" s="817">
        <f>'TB-Pharmaceuticals'!$T151*'TB-Pharmaceuticals'!$Y151</f>
        <v>0</v>
      </c>
      <c r="AA151" s="813"/>
      <c r="AB151" s="819"/>
      <c r="AC151" s="819"/>
      <c r="AD151" s="819"/>
      <c r="AE151" s="819"/>
      <c r="AF151" s="424">
        <f>SUM('TB-Pharmaceuticals'!$AB151:$AE151)</f>
        <v>0</v>
      </c>
      <c r="AG151" s="817">
        <f>'TB-Pharmaceuticals'!$AA151*'TB-Pharmaceuticals'!$AF151</f>
        <v>0</v>
      </c>
      <c r="AH151" s="828">
        <f>'TB-Pharmaceuticals'!$R151+'TB-Pharmaceuticals'!$Y151+'TB-Pharmaceuticals'!$AF151</f>
        <v>0</v>
      </c>
      <c r="AI151" s="817">
        <f>'TB-Pharmaceuticals'!$S151+'TB-Pharmaceuticals'!$Z151+'TB-Pharmaceuticals'!$AG151</f>
        <v>0</v>
      </c>
      <c r="AJ151" s="426" t="str">
        <f>IF(A151&lt;&gt;"",IFERROR(INDEX(PMtbl[[WKst]:[Unit of measure*]],MATCH($A$127&amp;$A151&amp;$D151&amp;$G151,INDEX(PMtbl[Sec]&amp;PMtbl[Category]&amp;PMtbl[INN]&amp;PMtbl[Specification],0,),0),7),""),"")</f>
        <v/>
      </c>
      <c r="AK151" s="2059"/>
      <c r="AL151" s="401" t="str">
        <f>IFERROR(INDEX(SETUP!$C$19:$G$62,MATCH((INDEX(PMtbl[[WKst]:[Unit of measure*]],MATCH($A151&amp;$D151&amp;$G151,INDEX(PMtbl[Category]&amp;PMtbl[INN]&amp;PMtbl[Specification],0,),0),3)),SETUP!$D$19:$D$62,0),5),"")</f>
        <v/>
      </c>
      <c r="AM151" s="401" t="str">
        <f>IFERROR(IF((INDEX(SETUP!$C$19:$G$62,MATCH((INDEX(PMtbl[[WKst]:[Unit of measure*]],MATCH($A151&amp;$D151&amp;$G151,INDEX(PMtbl[Category]&amp;PMtbl[INN]&amp;PMtbl[Specification],0,),0),3)),SETUP!$D$19:$D$62,0),4))="Upfront",0,INDEX(SETUP!$C$19:$G$62,MATCH((INDEX(PMtbl[[WKst]:[Unit of measure*]],MATCH($A151&amp;$D151&amp;$G151,INDEX(PMtbl[Category]&amp;PMtbl[INN]&amp;PMtbl[Specification],0,),0),3)),SETUP!$D$19:$D$62,0),5)),"")</f>
        <v/>
      </c>
    </row>
    <row r="152" spans="1:39">
      <c r="A152" s="2616"/>
      <c r="B152" s="2304"/>
      <c r="C152" s="2304"/>
      <c r="D152" s="2616"/>
      <c r="E152" s="2304"/>
      <c r="F152" s="2304"/>
      <c r="G152" s="2616"/>
      <c r="H152" s="2304"/>
      <c r="I152" s="2304"/>
      <c r="J152" s="2617"/>
      <c r="K152" s="176" t="str">
        <f>IF(A152&lt;&gt;"",IFERROR(INDEX(PMtbl[[WKst]:[Unit of measure*]],MATCH($A$127&amp;$A152&amp;$D152&amp;$G152,INDEX(PMtbl[Sec]&amp;PMtbl[Category]&amp;PMtbl[INN]&amp;PMtbl[Specification],0,),0),8),""),"")</f>
        <v/>
      </c>
      <c r="L152" s="177" t="str">
        <f>IF(K152="", "",SETUP!$E$5)</f>
        <v/>
      </c>
      <c r="M152" s="794"/>
      <c r="N152" s="810"/>
      <c r="O152" s="810"/>
      <c r="P152" s="810"/>
      <c r="Q152" s="810"/>
      <c r="R152" s="403">
        <f>SUM('TB-Pharmaceuticals'!$N152:$Q152)</f>
        <v>0</v>
      </c>
      <c r="S152" s="799">
        <f>'TB-Pharmaceuticals'!$M152*'TB-Pharmaceuticals'!$R152</f>
        <v>0</v>
      </c>
      <c r="T152" s="794"/>
      <c r="U152" s="810"/>
      <c r="V152" s="810"/>
      <c r="W152" s="810"/>
      <c r="X152" s="810"/>
      <c r="Y152" s="403">
        <f>SUM('TB-Pharmaceuticals'!$U152:$X152)</f>
        <v>0</v>
      </c>
      <c r="Z152" s="805">
        <f>'TB-Pharmaceuticals'!$T152*'TB-Pharmaceuticals'!$Y152</f>
        <v>0</v>
      </c>
      <c r="AA152" s="794"/>
      <c r="AB152" s="810"/>
      <c r="AC152" s="810"/>
      <c r="AD152" s="810"/>
      <c r="AE152" s="810"/>
      <c r="AF152" s="403">
        <f>SUM('TB-Pharmaceuticals'!$AB152:$AE152)</f>
        <v>0</v>
      </c>
      <c r="AG152" s="805">
        <f>'TB-Pharmaceuticals'!$AA152*'TB-Pharmaceuticals'!$AF152</f>
        <v>0</v>
      </c>
      <c r="AH152" s="827">
        <f>'TB-Pharmaceuticals'!$R152+'TB-Pharmaceuticals'!$Y152+'TB-Pharmaceuticals'!$AF152</f>
        <v>0</v>
      </c>
      <c r="AI152" s="805">
        <f>'TB-Pharmaceuticals'!$S152+'TB-Pharmaceuticals'!$Z152+'TB-Pharmaceuticals'!$AG152</f>
        <v>0</v>
      </c>
      <c r="AJ152" s="423" t="str">
        <f>IF(A152&lt;&gt;"",IFERROR(INDEX(PMtbl[[WKst]:[Unit of measure*]],MATCH($A$127&amp;$A152&amp;$D152&amp;$G152,INDEX(PMtbl[Sec]&amp;PMtbl[Category]&amp;PMtbl[INN]&amp;PMtbl[Specification],0,),0),7),""),"")</f>
        <v/>
      </c>
      <c r="AK152" s="2058"/>
      <c r="AL152" s="405" t="str">
        <f>IFERROR(INDEX(SETUP!$C$19:$G$62,MATCH((INDEX(PMtbl[[WKst]:[Unit of measure*]],MATCH($A152&amp;$D152&amp;$G152,INDEX(PMtbl[Category]&amp;PMtbl[INN]&amp;PMtbl[Specification],0,),0),3)),SETUP!$D$19:$D$62,0),5),"")</f>
        <v/>
      </c>
      <c r="AM152" s="405" t="str">
        <f>IFERROR(IF((INDEX(SETUP!$C$19:$G$62,MATCH((INDEX(PMtbl[[WKst]:[Unit of measure*]],MATCH($A152&amp;$D152&amp;$G152,INDEX(PMtbl[Category]&amp;PMtbl[INN]&amp;PMtbl[Specification],0,),0),3)),SETUP!$D$19:$D$62,0),4))="Upfront",0,INDEX(SETUP!$C$19:$G$62,MATCH((INDEX(PMtbl[[WKst]:[Unit of measure*]],MATCH($A152&amp;$D152&amp;$G152,INDEX(PMtbl[Category]&amp;PMtbl[INN]&amp;PMtbl[Specification],0,),0),3)),SETUP!$D$19:$D$62,0),5)),"")</f>
        <v/>
      </c>
    </row>
    <row r="153" spans="1:39">
      <c r="A153" s="2610"/>
      <c r="B153" s="2611"/>
      <c r="C153" s="2611"/>
      <c r="D153" s="2610"/>
      <c r="E153" s="2611"/>
      <c r="F153" s="2612"/>
      <c r="G153" s="2610"/>
      <c r="H153" s="2611"/>
      <c r="I153" s="2611"/>
      <c r="J153" s="2612"/>
      <c r="K153" s="175" t="str">
        <f>IF(A153&lt;&gt;"",IFERROR(INDEX(PMtbl[[WKst]:[Unit of measure*]],MATCH($A$127&amp;$A153&amp;$D153&amp;$G153,INDEX(PMtbl[Sec]&amp;PMtbl[Category]&amp;PMtbl[INN]&amp;PMtbl[Specification],0,),0),8),""),"")</f>
        <v/>
      </c>
      <c r="L153" s="175" t="str">
        <f>IF(K153="", "",SETUP!$E$5)</f>
        <v/>
      </c>
      <c r="M153" s="813"/>
      <c r="N153" s="819"/>
      <c r="O153" s="819"/>
      <c r="P153" s="819"/>
      <c r="Q153" s="819"/>
      <c r="R153" s="424">
        <f>SUM('TB-Pharmaceuticals'!$N153:$Q153)</f>
        <v>0</v>
      </c>
      <c r="S153" s="815">
        <f>'TB-Pharmaceuticals'!$M153*'TB-Pharmaceuticals'!$R153</f>
        <v>0</v>
      </c>
      <c r="T153" s="813"/>
      <c r="U153" s="819"/>
      <c r="V153" s="819"/>
      <c r="W153" s="819"/>
      <c r="X153" s="819"/>
      <c r="Y153" s="424">
        <f>SUM('TB-Pharmaceuticals'!$U153:$X153)</f>
        <v>0</v>
      </c>
      <c r="Z153" s="817">
        <f>'TB-Pharmaceuticals'!$T153*'TB-Pharmaceuticals'!$Y153</f>
        <v>0</v>
      </c>
      <c r="AA153" s="813"/>
      <c r="AB153" s="819"/>
      <c r="AC153" s="819"/>
      <c r="AD153" s="819"/>
      <c r="AE153" s="819"/>
      <c r="AF153" s="424">
        <f>SUM('TB-Pharmaceuticals'!$AB153:$AE153)</f>
        <v>0</v>
      </c>
      <c r="AG153" s="817">
        <f>'TB-Pharmaceuticals'!$AA153*'TB-Pharmaceuticals'!$AF153</f>
        <v>0</v>
      </c>
      <c r="AH153" s="828">
        <f>'TB-Pharmaceuticals'!$R153+'TB-Pharmaceuticals'!$Y153+'TB-Pharmaceuticals'!$AF153</f>
        <v>0</v>
      </c>
      <c r="AI153" s="817">
        <f>'TB-Pharmaceuticals'!$S153+'TB-Pharmaceuticals'!$Z153+'TB-Pharmaceuticals'!$AG153</f>
        <v>0</v>
      </c>
      <c r="AJ153" s="426" t="str">
        <f>IF(A153&lt;&gt;"",IFERROR(INDEX(PMtbl[[WKst]:[Unit of measure*]],MATCH($A$127&amp;$A153&amp;$D153&amp;$G153,INDEX(PMtbl[Sec]&amp;PMtbl[Category]&amp;PMtbl[INN]&amp;PMtbl[Specification],0,),0),7),""),"")</f>
        <v/>
      </c>
      <c r="AK153" s="2059"/>
      <c r="AL153" s="401" t="str">
        <f>IFERROR(INDEX(SETUP!$C$19:$G$62,MATCH((INDEX(PMtbl[[WKst]:[Unit of measure*]],MATCH($A153&amp;$D153&amp;$G153,INDEX(PMtbl[Category]&amp;PMtbl[INN]&amp;PMtbl[Specification],0,),0),3)),SETUP!$D$19:$D$62,0),5),"")</f>
        <v/>
      </c>
      <c r="AM153" s="401" t="str">
        <f>IFERROR(IF((INDEX(SETUP!$C$19:$G$62,MATCH((INDEX(PMtbl[[WKst]:[Unit of measure*]],MATCH($A153&amp;$D153&amp;$G153,INDEX(PMtbl[Category]&amp;PMtbl[INN]&amp;PMtbl[Specification],0,),0),3)),SETUP!$D$19:$D$62,0),4))="Upfront",0,INDEX(SETUP!$C$19:$G$62,MATCH((INDEX(PMtbl[[WKst]:[Unit of measure*]],MATCH($A153&amp;$D153&amp;$G153,INDEX(PMtbl[Category]&amp;PMtbl[INN]&amp;PMtbl[Specification],0,),0),3)),SETUP!$D$19:$D$62,0),5)),"")</f>
        <v/>
      </c>
    </row>
    <row r="154" spans="1:39">
      <c r="A154" s="2616"/>
      <c r="B154" s="2304"/>
      <c r="C154" s="2304"/>
      <c r="D154" s="2616"/>
      <c r="E154" s="2304"/>
      <c r="F154" s="2304"/>
      <c r="G154" s="2616"/>
      <c r="H154" s="2304"/>
      <c r="I154" s="2304"/>
      <c r="J154" s="2617"/>
      <c r="K154" s="176" t="str">
        <f>IF(A154&lt;&gt;"",IFERROR(INDEX(PMtbl[[WKst]:[Unit of measure*]],MATCH($A$127&amp;$A154&amp;$D154&amp;$G154,INDEX(PMtbl[Sec]&amp;PMtbl[Category]&amp;PMtbl[INN]&amp;PMtbl[Specification],0,),0),8),""),"")</f>
        <v/>
      </c>
      <c r="L154" s="177" t="str">
        <f>IF(K154="", "",SETUP!$E$5)</f>
        <v/>
      </c>
      <c r="M154" s="794"/>
      <c r="N154" s="810"/>
      <c r="O154" s="810"/>
      <c r="P154" s="810"/>
      <c r="Q154" s="810"/>
      <c r="R154" s="403">
        <f>SUM('TB-Pharmaceuticals'!$N154:$Q154)</f>
        <v>0</v>
      </c>
      <c r="S154" s="799">
        <f>'TB-Pharmaceuticals'!$M154*'TB-Pharmaceuticals'!$R154</f>
        <v>0</v>
      </c>
      <c r="T154" s="794"/>
      <c r="U154" s="810"/>
      <c r="V154" s="810"/>
      <c r="W154" s="810"/>
      <c r="X154" s="810"/>
      <c r="Y154" s="403">
        <f>SUM('TB-Pharmaceuticals'!$U154:$X154)</f>
        <v>0</v>
      </c>
      <c r="Z154" s="805">
        <f>'TB-Pharmaceuticals'!$T154*'TB-Pharmaceuticals'!$Y154</f>
        <v>0</v>
      </c>
      <c r="AA154" s="794"/>
      <c r="AB154" s="810"/>
      <c r="AC154" s="810"/>
      <c r="AD154" s="810"/>
      <c r="AE154" s="810"/>
      <c r="AF154" s="403">
        <f>SUM('TB-Pharmaceuticals'!$AB154:$AE154)</f>
        <v>0</v>
      </c>
      <c r="AG154" s="805">
        <f>'TB-Pharmaceuticals'!$AA154*'TB-Pharmaceuticals'!$AF154</f>
        <v>0</v>
      </c>
      <c r="AH154" s="827">
        <f>'TB-Pharmaceuticals'!$R154+'TB-Pharmaceuticals'!$Y154+'TB-Pharmaceuticals'!$AF154</f>
        <v>0</v>
      </c>
      <c r="AI154" s="805">
        <f>'TB-Pharmaceuticals'!$S154+'TB-Pharmaceuticals'!$Z154+'TB-Pharmaceuticals'!$AG154</f>
        <v>0</v>
      </c>
      <c r="AJ154" s="423" t="str">
        <f>IF(A154&lt;&gt;"",IFERROR(INDEX(PMtbl[[WKst]:[Unit of measure*]],MATCH($A$127&amp;$A154&amp;$D154&amp;$G154,INDEX(PMtbl[Sec]&amp;PMtbl[Category]&amp;PMtbl[INN]&amp;PMtbl[Specification],0,),0),7),""),"")</f>
        <v/>
      </c>
      <c r="AK154" s="2058"/>
      <c r="AL154" s="405" t="str">
        <f>IFERROR(INDEX(SETUP!$C$19:$G$62,MATCH((INDEX(PMtbl[[WKst]:[Unit of measure*]],MATCH($A154&amp;$D154&amp;$G154,INDEX(PMtbl[Category]&amp;PMtbl[INN]&amp;PMtbl[Specification],0,),0),3)),SETUP!$D$19:$D$62,0),5),"")</f>
        <v/>
      </c>
      <c r="AM154" s="405" t="str">
        <f>IFERROR(IF((INDEX(SETUP!$C$19:$G$62,MATCH((INDEX(PMtbl[[WKst]:[Unit of measure*]],MATCH($A154&amp;$D154&amp;$G154,INDEX(PMtbl[Category]&amp;PMtbl[INN]&amp;PMtbl[Specification],0,),0),3)),SETUP!$D$19:$D$62,0),4))="Upfront",0,INDEX(SETUP!$C$19:$G$62,MATCH((INDEX(PMtbl[[WKst]:[Unit of measure*]],MATCH($A154&amp;$D154&amp;$G154,INDEX(PMtbl[Category]&amp;PMtbl[INN]&amp;PMtbl[Specification],0,),0),3)),SETUP!$D$19:$D$62,0),5)),"")</f>
        <v/>
      </c>
    </row>
    <row r="155" spans="1:39">
      <c r="A155" s="2610"/>
      <c r="B155" s="2611"/>
      <c r="C155" s="2611"/>
      <c r="D155" s="2610"/>
      <c r="E155" s="2611"/>
      <c r="F155" s="2611"/>
      <c r="G155" s="2610"/>
      <c r="H155" s="2611"/>
      <c r="I155" s="2611"/>
      <c r="J155" s="2612"/>
      <c r="K155" s="175" t="str">
        <f>IF(A155&lt;&gt;"",IFERROR(INDEX(PMtbl[[WKst]:[Unit of measure*]],MATCH($A$127&amp;$A155&amp;$D155&amp;$G155,INDEX(PMtbl[Sec]&amp;PMtbl[Category]&amp;PMtbl[INN]&amp;PMtbl[Specification],0,),0),8),""),"")</f>
        <v/>
      </c>
      <c r="L155" s="175" t="str">
        <f>IF(K155="", "",SETUP!$E$5)</f>
        <v/>
      </c>
      <c r="M155" s="813"/>
      <c r="N155" s="819"/>
      <c r="O155" s="819"/>
      <c r="P155" s="819"/>
      <c r="Q155" s="819"/>
      <c r="R155" s="424">
        <f>SUM('TB-Pharmaceuticals'!$N155:$Q155)</f>
        <v>0</v>
      </c>
      <c r="S155" s="815">
        <f>'TB-Pharmaceuticals'!$M155*'TB-Pharmaceuticals'!$R155</f>
        <v>0</v>
      </c>
      <c r="T155" s="813"/>
      <c r="U155" s="819"/>
      <c r="V155" s="819"/>
      <c r="W155" s="819"/>
      <c r="X155" s="819"/>
      <c r="Y155" s="424">
        <f>SUM('TB-Pharmaceuticals'!$U155:$X155)</f>
        <v>0</v>
      </c>
      <c r="Z155" s="817">
        <f>'TB-Pharmaceuticals'!$T155*'TB-Pharmaceuticals'!$Y155</f>
        <v>0</v>
      </c>
      <c r="AA155" s="813"/>
      <c r="AB155" s="819"/>
      <c r="AC155" s="819"/>
      <c r="AD155" s="819"/>
      <c r="AE155" s="819"/>
      <c r="AF155" s="424">
        <f>SUM('TB-Pharmaceuticals'!$AB155:$AE155)</f>
        <v>0</v>
      </c>
      <c r="AG155" s="817">
        <f>'TB-Pharmaceuticals'!$AA155*'TB-Pharmaceuticals'!$AF155</f>
        <v>0</v>
      </c>
      <c r="AH155" s="828">
        <f>'TB-Pharmaceuticals'!$R155+'TB-Pharmaceuticals'!$Y155+'TB-Pharmaceuticals'!$AF155</f>
        <v>0</v>
      </c>
      <c r="AI155" s="817">
        <f>'TB-Pharmaceuticals'!$S155+'TB-Pharmaceuticals'!$Z155+'TB-Pharmaceuticals'!$AG155</f>
        <v>0</v>
      </c>
      <c r="AJ155" s="426" t="str">
        <f>IF(A155&lt;&gt;"",IFERROR(INDEX(PMtbl[[WKst]:[Unit of measure*]],MATCH($A$127&amp;$A155&amp;$D155&amp;$G155,INDEX(PMtbl[Sec]&amp;PMtbl[Category]&amp;PMtbl[INN]&amp;PMtbl[Specification],0,),0),7),""),"")</f>
        <v/>
      </c>
      <c r="AK155" s="2059"/>
      <c r="AL155" s="401" t="str">
        <f>IFERROR(INDEX(SETUP!$C$19:$G$62,MATCH((INDEX(PMtbl[[WKst]:[Unit of measure*]],MATCH($A155&amp;$D155&amp;$G155,INDEX(PMtbl[Category]&amp;PMtbl[INN]&amp;PMtbl[Specification],0,),0),3)),SETUP!$D$19:$D$62,0),5),"")</f>
        <v/>
      </c>
      <c r="AM155" s="401" t="str">
        <f>IFERROR(IF((INDEX(SETUP!$C$19:$G$62,MATCH((INDEX(PMtbl[[WKst]:[Unit of measure*]],MATCH($A155&amp;$D155&amp;$G155,INDEX(PMtbl[Category]&amp;PMtbl[INN]&amp;PMtbl[Specification],0,),0),3)),SETUP!$D$19:$D$62,0),4))="Upfront",0,INDEX(SETUP!$C$19:$G$62,MATCH((INDEX(PMtbl[[WKst]:[Unit of measure*]],MATCH($A155&amp;$D155&amp;$G155,INDEX(PMtbl[Category]&amp;PMtbl[INN]&amp;PMtbl[Specification],0,),0),3)),SETUP!$D$19:$D$62,0),5)),"")</f>
        <v/>
      </c>
    </row>
    <row r="156" spans="1:39">
      <c r="A156" s="2616"/>
      <c r="B156" s="2304"/>
      <c r="C156" s="2304"/>
      <c r="D156" s="2616"/>
      <c r="E156" s="2304"/>
      <c r="F156" s="2304"/>
      <c r="G156" s="2616"/>
      <c r="H156" s="2304"/>
      <c r="I156" s="2304"/>
      <c r="J156" s="2617"/>
      <c r="K156" s="176" t="str">
        <f>IF(A156&lt;&gt;"",IFERROR(INDEX(PMtbl[[WKst]:[Unit of measure*]],MATCH($A$127&amp;$A156&amp;$D156&amp;$G156,INDEX(PMtbl[Sec]&amp;PMtbl[Category]&amp;PMtbl[INN]&amp;PMtbl[Specification],0,),0),8),""),"")</f>
        <v/>
      </c>
      <c r="L156" s="177" t="str">
        <f>IF(K156="", "",SETUP!$E$5)</f>
        <v/>
      </c>
      <c r="M156" s="794"/>
      <c r="N156" s="810"/>
      <c r="O156" s="810"/>
      <c r="P156" s="810"/>
      <c r="Q156" s="810"/>
      <c r="R156" s="403">
        <f>SUM('TB-Pharmaceuticals'!$N156:$Q156)</f>
        <v>0</v>
      </c>
      <c r="S156" s="799">
        <f>'TB-Pharmaceuticals'!$M156*'TB-Pharmaceuticals'!$R156</f>
        <v>0</v>
      </c>
      <c r="T156" s="794"/>
      <c r="U156" s="810"/>
      <c r="V156" s="810"/>
      <c r="W156" s="810"/>
      <c r="X156" s="810"/>
      <c r="Y156" s="403">
        <f>SUM('TB-Pharmaceuticals'!$U156:$X156)</f>
        <v>0</v>
      </c>
      <c r="Z156" s="805">
        <f>'TB-Pharmaceuticals'!$T156*'TB-Pharmaceuticals'!$Y156</f>
        <v>0</v>
      </c>
      <c r="AA156" s="794"/>
      <c r="AB156" s="810"/>
      <c r="AC156" s="810"/>
      <c r="AD156" s="810"/>
      <c r="AE156" s="810"/>
      <c r="AF156" s="403">
        <f>SUM('TB-Pharmaceuticals'!$AB156:$AE156)</f>
        <v>0</v>
      </c>
      <c r="AG156" s="805">
        <f>'TB-Pharmaceuticals'!$AA156*'TB-Pharmaceuticals'!$AF156</f>
        <v>0</v>
      </c>
      <c r="AH156" s="827">
        <f>'TB-Pharmaceuticals'!$R156+'TB-Pharmaceuticals'!$Y156+'TB-Pharmaceuticals'!$AF156</f>
        <v>0</v>
      </c>
      <c r="AI156" s="805">
        <f>'TB-Pharmaceuticals'!$S156+'TB-Pharmaceuticals'!$Z156+'TB-Pharmaceuticals'!$AG156</f>
        <v>0</v>
      </c>
      <c r="AJ156" s="423" t="str">
        <f>IF(A156&lt;&gt;"",IFERROR(INDEX(PMtbl[[WKst]:[Unit of measure*]],MATCH($A$127&amp;$A156&amp;$D156&amp;$G156,INDEX(PMtbl[Sec]&amp;PMtbl[Category]&amp;PMtbl[INN]&amp;PMtbl[Specification],0,),0),7),""),"")</f>
        <v/>
      </c>
      <c r="AK156" s="2058"/>
      <c r="AL156" s="405" t="str">
        <f>IFERROR(INDEX(SETUP!$C$19:$G$62,MATCH((INDEX(PMtbl[[WKst]:[Unit of measure*]],MATCH($A156&amp;$D156&amp;$G156,INDEX(PMtbl[Category]&amp;PMtbl[INN]&amp;PMtbl[Specification],0,),0),3)),SETUP!$D$19:$D$62,0),5),"")</f>
        <v/>
      </c>
      <c r="AM156" s="405" t="str">
        <f>IFERROR(IF((INDEX(SETUP!$C$19:$G$62,MATCH((INDEX(PMtbl[[WKst]:[Unit of measure*]],MATCH($A156&amp;$D156&amp;$G156,INDEX(PMtbl[Category]&amp;PMtbl[INN]&amp;PMtbl[Specification],0,),0),3)),SETUP!$D$19:$D$62,0),4))="Upfront",0,INDEX(SETUP!$C$19:$G$62,MATCH((INDEX(PMtbl[[WKst]:[Unit of measure*]],MATCH($A156&amp;$D156&amp;$G156,INDEX(PMtbl[Category]&amp;PMtbl[INN]&amp;PMtbl[Specification],0,),0),3)),SETUP!$D$19:$D$62,0),5)),"")</f>
        <v/>
      </c>
    </row>
    <row r="157" spans="1:39">
      <c r="A157" s="2610"/>
      <c r="B157" s="2611"/>
      <c r="C157" s="2611"/>
      <c r="D157" s="2610"/>
      <c r="E157" s="2611"/>
      <c r="F157" s="2611"/>
      <c r="G157" s="2610"/>
      <c r="H157" s="2611"/>
      <c r="I157" s="2611"/>
      <c r="J157" s="2612"/>
      <c r="K157" s="175" t="str">
        <f>IF(A157&lt;&gt;"",IFERROR(INDEX(PMtbl[[WKst]:[Unit of measure*]],MATCH($A$127&amp;$A157&amp;$D157&amp;$G157,INDEX(PMtbl[Sec]&amp;PMtbl[Category]&amp;PMtbl[INN]&amp;PMtbl[Specification],0,),0),8),""),"")</f>
        <v/>
      </c>
      <c r="L157" s="175" t="str">
        <f>IF(K157="", "",SETUP!$E$5)</f>
        <v/>
      </c>
      <c r="M157" s="813"/>
      <c r="N157" s="819"/>
      <c r="O157" s="819"/>
      <c r="P157" s="819"/>
      <c r="Q157" s="819"/>
      <c r="R157" s="424">
        <f>SUM('TB-Pharmaceuticals'!$N157:$Q157)</f>
        <v>0</v>
      </c>
      <c r="S157" s="815">
        <f>'TB-Pharmaceuticals'!$M157*'TB-Pharmaceuticals'!$R157</f>
        <v>0</v>
      </c>
      <c r="T157" s="813"/>
      <c r="U157" s="819"/>
      <c r="V157" s="819"/>
      <c r="W157" s="819"/>
      <c r="X157" s="819"/>
      <c r="Y157" s="424">
        <f>SUM('TB-Pharmaceuticals'!$U157:$X157)</f>
        <v>0</v>
      </c>
      <c r="Z157" s="817">
        <f>'TB-Pharmaceuticals'!$T157*'TB-Pharmaceuticals'!$Y157</f>
        <v>0</v>
      </c>
      <c r="AA157" s="813"/>
      <c r="AB157" s="819"/>
      <c r="AC157" s="819"/>
      <c r="AD157" s="819"/>
      <c r="AE157" s="819"/>
      <c r="AF157" s="424">
        <f>SUM('TB-Pharmaceuticals'!$AB157:$AE157)</f>
        <v>0</v>
      </c>
      <c r="AG157" s="817">
        <f>'TB-Pharmaceuticals'!$AA157*'TB-Pharmaceuticals'!$AF157</f>
        <v>0</v>
      </c>
      <c r="AH157" s="828">
        <f>'TB-Pharmaceuticals'!$R157+'TB-Pharmaceuticals'!$Y157+'TB-Pharmaceuticals'!$AF157</f>
        <v>0</v>
      </c>
      <c r="AI157" s="817">
        <f>'TB-Pharmaceuticals'!$S157+'TB-Pharmaceuticals'!$Z157+'TB-Pharmaceuticals'!$AG157</f>
        <v>0</v>
      </c>
      <c r="AJ157" s="426" t="str">
        <f>IF(A157&lt;&gt;"",IFERROR(INDEX(PMtbl[[WKst]:[Unit of measure*]],MATCH($A$127&amp;$A157&amp;$D157&amp;$G157,INDEX(PMtbl[Sec]&amp;PMtbl[Category]&amp;PMtbl[INN]&amp;PMtbl[Specification],0,),0),7),""),"")</f>
        <v/>
      </c>
      <c r="AK157" s="2059"/>
      <c r="AL157" s="401" t="str">
        <f>IFERROR(INDEX(SETUP!$C$19:$G$62,MATCH((INDEX(PMtbl[[WKst]:[Unit of measure*]],MATCH($A157&amp;$D157&amp;$G157,INDEX(PMtbl[Category]&amp;PMtbl[INN]&amp;PMtbl[Specification],0,),0),3)),SETUP!$D$19:$D$62,0),5),"")</f>
        <v/>
      </c>
      <c r="AM157" s="401" t="str">
        <f>IFERROR(IF((INDEX(SETUP!$C$19:$G$62,MATCH((INDEX(PMtbl[[WKst]:[Unit of measure*]],MATCH($A157&amp;$D157&amp;$G157,INDEX(PMtbl[Category]&amp;PMtbl[INN]&amp;PMtbl[Specification],0,),0),3)),SETUP!$D$19:$D$62,0),4))="Upfront",0,INDEX(SETUP!$C$19:$G$62,MATCH((INDEX(PMtbl[[WKst]:[Unit of measure*]],MATCH($A157&amp;$D157&amp;$G157,INDEX(PMtbl[Category]&amp;PMtbl[INN]&amp;PMtbl[Specification],0,),0),3)),SETUP!$D$19:$D$62,0),5)),"")</f>
        <v/>
      </c>
    </row>
    <row r="158" spans="1:39">
      <c r="A158" s="2616"/>
      <c r="B158" s="2304"/>
      <c r="C158" s="2304"/>
      <c r="D158" s="2616"/>
      <c r="E158" s="2304"/>
      <c r="F158" s="2304"/>
      <c r="G158" s="2616"/>
      <c r="H158" s="2304"/>
      <c r="I158" s="2304"/>
      <c r="J158" s="2617"/>
      <c r="K158" s="176" t="str">
        <f>IF(A158&lt;&gt;"",IFERROR(INDEX(PMtbl[[WKst]:[Unit of measure*]],MATCH($A$127&amp;$A158&amp;$D158&amp;$G158,INDEX(PMtbl[Sec]&amp;PMtbl[Category]&amp;PMtbl[INN]&amp;PMtbl[Specification],0,),0),8),""),"")</f>
        <v/>
      </c>
      <c r="L158" s="177" t="str">
        <f>IF(K158="", "",SETUP!$E$5)</f>
        <v/>
      </c>
      <c r="M158" s="794"/>
      <c r="N158" s="810"/>
      <c r="O158" s="810"/>
      <c r="P158" s="810"/>
      <c r="Q158" s="810"/>
      <c r="R158" s="403">
        <f>SUM('TB-Pharmaceuticals'!$N158:$Q158)</f>
        <v>0</v>
      </c>
      <c r="S158" s="799">
        <f>'TB-Pharmaceuticals'!$M158*'TB-Pharmaceuticals'!$R158</f>
        <v>0</v>
      </c>
      <c r="T158" s="794"/>
      <c r="U158" s="810"/>
      <c r="V158" s="810"/>
      <c r="W158" s="810"/>
      <c r="X158" s="810"/>
      <c r="Y158" s="403">
        <f>SUM('TB-Pharmaceuticals'!$U158:$X158)</f>
        <v>0</v>
      </c>
      <c r="Z158" s="805">
        <f>'TB-Pharmaceuticals'!$T158*'TB-Pharmaceuticals'!$Y158</f>
        <v>0</v>
      </c>
      <c r="AA158" s="794"/>
      <c r="AB158" s="810"/>
      <c r="AC158" s="810"/>
      <c r="AD158" s="810"/>
      <c r="AE158" s="810"/>
      <c r="AF158" s="403">
        <f>SUM('TB-Pharmaceuticals'!$AB158:$AE158)</f>
        <v>0</v>
      </c>
      <c r="AG158" s="805">
        <f>'TB-Pharmaceuticals'!$AA158*'TB-Pharmaceuticals'!$AF158</f>
        <v>0</v>
      </c>
      <c r="AH158" s="827">
        <f>'TB-Pharmaceuticals'!$R158+'TB-Pharmaceuticals'!$Y158+'TB-Pharmaceuticals'!$AF158</f>
        <v>0</v>
      </c>
      <c r="AI158" s="805">
        <f>'TB-Pharmaceuticals'!$S158+'TB-Pharmaceuticals'!$Z158+'TB-Pharmaceuticals'!$AG158</f>
        <v>0</v>
      </c>
      <c r="AJ158" s="423" t="str">
        <f>IF(A158&lt;&gt;"",IFERROR(INDEX(PMtbl[[WKst]:[Unit of measure*]],MATCH($A$127&amp;$A158&amp;$D158&amp;$G158,INDEX(PMtbl[Sec]&amp;PMtbl[Category]&amp;PMtbl[INN]&amp;PMtbl[Specification],0,),0),7),""),"")</f>
        <v/>
      </c>
      <c r="AK158" s="2058"/>
      <c r="AL158" s="405" t="str">
        <f>IFERROR(INDEX(SETUP!$C$19:$G$62,MATCH((INDEX(PMtbl[[WKst]:[Unit of measure*]],MATCH($A158&amp;$D158&amp;$G158,INDEX(PMtbl[Category]&amp;PMtbl[INN]&amp;PMtbl[Specification],0,),0),3)),SETUP!$D$19:$D$62,0),5),"")</f>
        <v/>
      </c>
      <c r="AM158" s="405" t="str">
        <f>IFERROR(IF((INDEX(SETUP!$C$19:$G$62,MATCH((INDEX(PMtbl[[WKst]:[Unit of measure*]],MATCH($A158&amp;$D158&amp;$G158,INDEX(PMtbl[Category]&amp;PMtbl[INN]&amp;PMtbl[Specification],0,),0),3)),SETUP!$D$19:$D$62,0),4))="Upfront",0,INDEX(SETUP!$C$19:$G$62,MATCH((INDEX(PMtbl[[WKst]:[Unit of measure*]],MATCH($A158&amp;$D158&amp;$G158,INDEX(PMtbl[Category]&amp;PMtbl[INN]&amp;PMtbl[Specification],0,),0),3)),SETUP!$D$19:$D$62,0),5)),"")</f>
        <v/>
      </c>
    </row>
    <row r="159" spans="1:39">
      <c r="A159" s="2610"/>
      <c r="B159" s="2611"/>
      <c r="C159" s="2611"/>
      <c r="D159" s="2610"/>
      <c r="E159" s="2611"/>
      <c r="F159" s="2611"/>
      <c r="G159" s="2610"/>
      <c r="H159" s="2611"/>
      <c r="I159" s="2611"/>
      <c r="J159" s="2612"/>
      <c r="K159" s="175" t="str">
        <f>IF(A159&lt;&gt;"",IFERROR(INDEX(PMtbl[[WKst]:[Unit of measure*]],MATCH($A$127&amp;$A159&amp;$D159&amp;$G159,INDEX(PMtbl[Sec]&amp;PMtbl[Category]&amp;PMtbl[INN]&amp;PMtbl[Specification],0,),0),8),""),"")</f>
        <v/>
      </c>
      <c r="L159" s="175" t="str">
        <f>IF(K159="", "",SETUP!$E$5)</f>
        <v/>
      </c>
      <c r="M159" s="813"/>
      <c r="N159" s="819"/>
      <c r="O159" s="819"/>
      <c r="P159" s="819"/>
      <c r="Q159" s="819"/>
      <c r="R159" s="424">
        <f>SUM('TB-Pharmaceuticals'!$N159:$Q159)</f>
        <v>0</v>
      </c>
      <c r="S159" s="815">
        <f>'TB-Pharmaceuticals'!$M159*'TB-Pharmaceuticals'!$R159</f>
        <v>0</v>
      </c>
      <c r="T159" s="813"/>
      <c r="U159" s="819"/>
      <c r="V159" s="819"/>
      <c r="W159" s="819"/>
      <c r="X159" s="819"/>
      <c r="Y159" s="424">
        <f>SUM('TB-Pharmaceuticals'!$U159:$X159)</f>
        <v>0</v>
      </c>
      <c r="Z159" s="817">
        <f>'TB-Pharmaceuticals'!$T159*'TB-Pharmaceuticals'!$Y159</f>
        <v>0</v>
      </c>
      <c r="AA159" s="813"/>
      <c r="AB159" s="819"/>
      <c r="AC159" s="819"/>
      <c r="AD159" s="819"/>
      <c r="AE159" s="819"/>
      <c r="AF159" s="424">
        <f>SUM('TB-Pharmaceuticals'!$AB159:$AE159)</f>
        <v>0</v>
      </c>
      <c r="AG159" s="817">
        <f>'TB-Pharmaceuticals'!$AA159*'TB-Pharmaceuticals'!$AF159</f>
        <v>0</v>
      </c>
      <c r="AH159" s="828">
        <f>'TB-Pharmaceuticals'!$R159+'TB-Pharmaceuticals'!$Y159+'TB-Pharmaceuticals'!$AF159</f>
        <v>0</v>
      </c>
      <c r="AI159" s="817">
        <f>'TB-Pharmaceuticals'!$S159+'TB-Pharmaceuticals'!$Z159+'TB-Pharmaceuticals'!$AG159</f>
        <v>0</v>
      </c>
      <c r="AJ159" s="426" t="str">
        <f>IF(A159&lt;&gt;"",IFERROR(INDEX(PMtbl[[WKst]:[Unit of measure*]],MATCH($A$127&amp;$A159&amp;$D159&amp;$G159,INDEX(PMtbl[Sec]&amp;PMtbl[Category]&amp;PMtbl[INN]&amp;PMtbl[Specification],0,),0),7),""),"")</f>
        <v/>
      </c>
      <c r="AK159" s="2059"/>
      <c r="AL159" s="401" t="str">
        <f>IFERROR(INDEX(SETUP!$C$19:$G$62,MATCH((INDEX(PMtbl[[WKst]:[Unit of measure*]],MATCH($A159&amp;$D159&amp;$G159,INDEX(PMtbl[Category]&amp;PMtbl[INN]&amp;PMtbl[Specification],0,),0),3)),SETUP!$D$19:$D$62,0),5),"")</f>
        <v/>
      </c>
      <c r="AM159" s="401" t="str">
        <f>IFERROR(IF((INDEX(SETUP!$C$19:$G$62,MATCH((INDEX(PMtbl[[WKst]:[Unit of measure*]],MATCH($A159&amp;$D159&amp;$G159,INDEX(PMtbl[Category]&amp;PMtbl[INN]&amp;PMtbl[Specification],0,),0),3)),SETUP!$D$19:$D$62,0),4))="Upfront",0,INDEX(SETUP!$C$19:$G$62,MATCH((INDEX(PMtbl[[WKst]:[Unit of measure*]],MATCH($A159&amp;$D159&amp;$G159,INDEX(PMtbl[Category]&amp;PMtbl[INN]&amp;PMtbl[Specification],0,),0),3)),SETUP!$D$19:$D$62,0),5)),"")</f>
        <v/>
      </c>
    </row>
    <row r="160" spans="1:39">
      <c r="A160" s="2616"/>
      <c r="B160" s="2304"/>
      <c r="C160" s="2304"/>
      <c r="D160" s="2616"/>
      <c r="E160" s="2304"/>
      <c r="F160" s="2304"/>
      <c r="G160" s="2616"/>
      <c r="H160" s="2304"/>
      <c r="I160" s="2304"/>
      <c r="J160" s="2617"/>
      <c r="K160" s="176" t="str">
        <f>IF(A160&lt;&gt;"",IFERROR(INDEX(PMtbl[[WKst]:[Unit of measure*]],MATCH($A$127&amp;$A160&amp;$D160&amp;$G160,INDEX(PMtbl[Sec]&amp;PMtbl[Category]&amp;PMtbl[INN]&amp;PMtbl[Specification],0,),0),8),""),"")</f>
        <v/>
      </c>
      <c r="L160" s="177" t="str">
        <f>IF(K160="", "",SETUP!$E$5)</f>
        <v/>
      </c>
      <c r="M160" s="794"/>
      <c r="N160" s="810"/>
      <c r="O160" s="810"/>
      <c r="P160" s="810"/>
      <c r="Q160" s="810"/>
      <c r="R160" s="403">
        <f>SUM('TB-Pharmaceuticals'!$N160:$Q160)</f>
        <v>0</v>
      </c>
      <c r="S160" s="799">
        <f>'TB-Pharmaceuticals'!$M160*'TB-Pharmaceuticals'!$R160</f>
        <v>0</v>
      </c>
      <c r="T160" s="794"/>
      <c r="U160" s="810"/>
      <c r="V160" s="810"/>
      <c r="W160" s="810"/>
      <c r="X160" s="810"/>
      <c r="Y160" s="403">
        <f>SUM('TB-Pharmaceuticals'!$U160:$X160)</f>
        <v>0</v>
      </c>
      <c r="Z160" s="805">
        <f>'TB-Pharmaceuticals'!$T160*'TB-Pharmaceuticals'!$Y160</f>
        <v>0</v>
      </c>
      <c r="AA160" s="794"/>
      <c r="AB160" s="810"/>
      <c r="AC160" s="810"/>
      <c r="AD160" s="810"/>
      <c r="AE160" s="810"/>
      <c r="AF160" s="403">
        <f>SUM('TB-Pharmaceuticals'!$AB160:$AE160)</f>
        <v>0</v>
      </c>
      <c r="AG160" s="805">
        <f>'TB-Pharmaceuticals'!$AA160*'TB-Pharmaceuticals'!$AF160</f>
        <v>0</v>
      </c>
      <c r="AH160" s="827">
        <f>'TB-Pharmaceuticals'!$R160+'TB-Pharmaceuticals'!$Y160+'TB-Pharmaceuticals'!$AF160</f>
        <v>0</v>
      </c>
      <c r="AI160" s="805">
        <f>'TB-Pharmaceuticals'!$S160+'TB-Pharmaceuticals'!$Z160+'TB-Pharmaceuticals'!$AG160</f>
        <v>0</v>
      </c>
      <c r="AJ160" s="423" t="str">
        <f>IF(A160&lt;&gt;"",IFERROR(INDEX(PMtbl[[WKst]:[Unit of measure*]],MATCH($A$127&amp;$A160&amp;$D160&amp;$G160,INDEX(PMtbl[Sec]&amp;PMtbl[Category]&amp;PMtbl[INN]&amp;PMtbl[Specification],0,),0),7),""),"")</f>
        <v/>
      </c>
      <c r="AK160" s="2058"/>
      <c r="AL160" s="405" t="str">
        <f>IFERROR(INDEX(SETUP!$C$19:$G$62,MATCH((INDEX(PMtbl[[WKst]:[Unit of measure*]],MATCH($A160&amp;$D160&amp;$G160,INDEX(PMtbl[Category]&amp;PMtbl[INN]&amp;PMtbl[Specification],0,),0),3)),SETUP!$D$19:$D$62,0),5),"")</f>
        <v/>
      </c>
      <c r="AM160" s="405" t="str">
        <f>IFERROR(IF((INDEX(SETUP!$C$19:$G$62,MATCH((INDEX(PMtbl[[WKst]:[Unit of measure*]],MATCH($A160&amp;$D160&amp;$G160,INDEX(PMtbl[Category]&amp;PMtbl[INN]&amp;PMtbl[Specification],0,),0),3)),SETUP!$D$19:$D$62,0),4))="Upfront",0,INDEX(SETUP!$C$19:$G$62,MATCH((INDEX(PMtbl[[WKst]:[Unit of measure*]],MATCH($A160&amp;$D160&amp;$G160,INDEX(PMtbl[Category]&amp;PMtbl[INN]&amp;PMtbl[Specification],0,),0),3)),SETUP!$D$19:$D$62,0),5)),"")</f>
        <v/>
      </c>
    </row>
    <row r="161" spans="1:39">
      <c r="A161" s="2610"/>
      <c r="B161" s="2611"/>
      <c r="C161" s="2611"/>
      <c r="D161" s="2610"/>
      <c r="E161" s="2611"/>
      <c r="F161" s="2611"/>
      <c r="G161" s="2610"/>
      <c r="H161" s="2611"/>
      <c r="I161" s="2611"/>
      <c r="J161" s="2612"/>
      <c r="K161" s="175" t="str">
        <f>IF(A161&lt;&gt;"",IFERROR(INDEX(PMtbl[[WKst]:[Unit of measure*]],MATCH($A$127&amp;$A161&amp;$D161&amp;$G161,INDEX(PMtbl[Sec]&amp;PMtbl[Category]&amp;PMtbl[INN]&amp;PMtbl[Specification],0,),0),8),""),"")</f>
        <v/>
      </c>
      <c r="L161" s="175" t="str">
        <f>IF(K161="", "",SETUP!$E$5)</f>
        <v/>
      </c>
      <c r="M161" s="813"/>
      <c r="N161" s="819"/>
      <c r="O161" s="819"/>
      <c r="P161" s="819"/>
      <c r="Q161" s="819"/>
      <c r="R161" s="424">
        <f>SUM('TB-Pharmaceuticals'!$N161:$Q161)</f>
        <v>0</v>
      </c>
      <c r="S161" s="815">
        <f>'TB-Pharmaceuticals'!$M161*'TB-Pharmaceuticals'!$R161</f>
        <v>0</v>
      </c>
      <c r="T161" s="813"/>
      <c r="U161" s="819"/>
      <c r="V161" s="819"/>
      <c r="W161" s="819"/>
      <c r="X161" s="819"/>
      <c r="Y161" s="424">
        <f>SUM('TB-Pharmaceuticals'!$U161:$X161)</f>
        <v>0</v>
      </c>
      <c r="Z161" s="803">
        <f>'TB-Pharmaceuticals'!$T161*'TB-Pharmaceuticals'!$Y161</f>
        <v>0</v>
      </c>
      <c r="AA161" s="813"/>
      <c r="AB161" s="819"/>
      <c r="AC161" s="819"/>
      <c r="AD161" s="819"/>
      <c r="AE161" s="819"/>
      <c r="AF161" s="424">
        <f>SUM('TB-Pharmaceuticals'!$AB161:$AE161)</f>
        <v>0</v>
      </c>
      <c r="AG161" s="817">
        <f>'TB-Pharmaceuticals'!$AA161*'TB-Pharmaceuticals'!$AF161</f>
        <v>0</v>
      </c>
      <c r="AH161" s="828">
        <f>'TB-Pharmaceuticals'!$R161+'TB-Pharmaceuticals'!$Y161+'TB-Pharmaceuticals'!$AF161</f>
        <v>0</v>
      </c>
      <c r="AI161" s="817">
        <f>'TB-Pharmaceuticals'!$S161+'TB-Pharmaceuticals'!$Z161+'TB-Pharmaceuticals'!$AG161</f>
        <v>0</v>
      </c>
      <c r="AJ161" s="427" t="str">
        <f>IF(A161&lt;&gt;"",IFERROR(INDEX(PMtbl[[WKst]:[Unit of measure*]],MATCH($A$127&amp;$A161&amp;$D161&amp;$G161,INDEX(PMtbl[Sec]&amp;PMtbl[Category]&amp;PMtbl[INN]&amp;PMtbl[Specification],0,),0),7),""),"")</f>
        <v/>
      </c>
      <c r="AK161" s="2060"/>
      <c r="AL161" s="401" t="str">
        <f>IFERROR(INDEX(SETUP!$C$19:$G$62,MATCH((INDEX(PMtbl[[WKst]:[Unit of measure*]],MATCH($A161&amp;$D161&amp;$G161,INDEX(PMtbl[Category]&amp;PMtbl[INN]&amp;PMtbl[Specification],0,),0),3)),SETUP!$D$19:$D$62,0),5),"")</f>
        <v/>
      </c>
      <c r="AM161" s="401" t="str">
        <f>IFERROR(IF((INDEX(SETUP!$C$19:$G$62,MATCH((INDEX(PMtbl[[WKst]:[Unit of measure*]],MATCH($A161&amp;$D161&amp;$G161,INDEX(PMtbl[Category]&amp;PMtbl[INN]&amp;PMtbl[Specification],0,),0),3)),SETUP!$D$19:$D$62,0),4))="Upfront",0,INDEX(SETUP!$C$19:$G$62,MATCH((INDEX(PMtbl[[WKst]:[Unit of measure*]],MATCH($A161&amp;$D161&amp;$G161,INDEX(PMtbl[Category]&amp;PMtbl[INN]&amp;PMtbl[Specification],0,),0),3)),SETUP!$D$19:$D$62,0),5)),"")</f>
        <v/>
      </c>
    </row>
    <row r="162" spans="1:39" ht="15" thickBot="1">
      <c r="A162" s="2613"/>
      <c r="B162" s="2614"/>
      <c r="C162" s="2614"/>
      <c r="D162" s="2613"/>
      <c r="E162" s="2614"/>
      <c r="F162" s="2614"/>
      <c r="G162" s="2613"/>
      <c r="H162" s="2614"/>
      <c r="I162" s="2614"/>
      <c r="J162" s="2615"/>
      <c r="K162" s="178" t="str">
        <f>IF(A162&lt;&gt;"",IFERROR(INDEX(PMtbl[[WKst]:[Unit of measure*]],MATCH($A$127&amp;$A162&amp;$D162&amp;$G162,INDEX(PMtbl[Sec]&amp;PMtbl[Category]&amp;PMtbl[INN]&amp;PMtbl[Specification],0,),0),8),""),"")</f>
        <v/>
      </c>
      <c r="L162" s="316" t="str">
        <f>IF(K162="", "",SETUP!$E$5)</f>
        <v/>
      </c>
      <c r="M162" s="795"/>
      <c r="N162" s="811"/>
      <c r="O162" s="811"/>
      <c r="P162" s="811"/>
      <c r="Q162" s="811"/>
      <c r="R162" s="406">
        <f>SUM('TB-Pharmaceuticals'!$N162:$Q162)</f>
        <v>0</v>
      </c>
      <c r="S162" s="800">
        <f>'TB-Pharmaceuticals'!$M162*'TB-Pharmaceuticals'!$R162</f>
        <v>0</v>
      </c>
      <c r="T162" s="795"/>
      <c r="U162" s="811"/>
      <c r="V162" s="811"/>
      <c r="W162" s="811"/>
      <c r="X162" s="811"/>
      <c r="Y162" s="406">
        <f>SUM('TB-Pharmaceuticals'!$U162:$X162)</f>
        <v>0</v>
      </c>
      <c r="Z162" s="804">
        <f>'TB-Pharmaceuticals'!$T162*'TB-Pharmaceuticals'!$Y162</f>
        <v>0</v>
      </c>
      <c r="AA162" s="795"/>
      <c r="AB162" s="811"/>
      <c r="AC162" s="811"/>
      <c r="AD162" s="811"/>
      <c r="AE162" s="811"/>
      <c r="AF162" s="406">
        <f>SUM('TB-Pharmaceuticals'!$AB162:$AE162)</f>
        <v>0</v>
      </c>
      <c r="AG162" s="806">
        <f>'TB-Pharmaceuticals'!$AA162*'TB-Pharmaceuticals'!$AF162</f>
        <v>0</v>
      </c>
      <c r="AH162" s="829">
        <f>'TB-Pharmaceuticals'!$R162+'TB-Pharmaceuticals'!$Y162+'TB-Pharmaceuticals'!$AF162</f>
        <v>0</v>
      </c>
      <c r="AI162" s="806">
        <f>'TB-Pharmaceuticals'!$S162+'TB-Pharmaceuticals'!$Z162+'TB-Pharmaceuticals'!$AG162</f>
        <v>0</v>
      </c>
      <c r="AJ162" s="408" t="str">
        <f>IF(A162&lt;&gt;"",IFERROR(INDEX(PMtbl[[WKst]:[Unit of measure*]],MATCH($A$127&amp;$A162&amp;$D162&amp;$G162,INDEX(PMtbl[Sec]&amp;PMtbl[Category]&amp;PMtbl[INN]&amp;PMtbl[Specification],0,),0),7),""),"")</f>
        <v/>
      </c>
      <c r="AK162" s="2056"/>
      <c r="AL162" s="408" t="str">
        <f>IFERROR(INDEX(SETUP!$C$19:$G$62,MATCH((INDEX(PMtbl[[WKst]:[Unit of measure*]],MATCH($A162&amp;$D162&amp;$G162,INDEX(PMtbl[Category]&amp;PMtbl[INN]&amp;PMtbl[Specification],0,),0),3)),SETUP!$D$19:$D$62,0),5),"")</f>
        <v/>
      </c>
      <c r="AM162" s="408" t="str">
        <f>IFERROR(IF((INDEX(SETUP!$C$19:$G$62,MATCH((INDEX(PMtbl[[WKst]:[Unit of measure*]],MATCH($A162&amp;$D162&amp;$G162,INDEX(PMtbl[Category]&amp;PMtbl[INN]&amp;PMtbl[Specification],0,),0),3)),SETUP!$D$19:$D$62,0),4))="Upfront",0,INDEX(SETUP!$C$19:$G$62,MATCH((INDEX(PMtbl[[WKst]:[Unit of measure*]],MATCH($A162&amp;$D162&amp;$G162,INDEX(PMtbl[Category]&amp;PMtbl[INN]&amp;PMtbl[Specification],0,),0),3)),SETUP!$D$19:$D$62,0),5)),"")</f>
        <v/>
      </c>
    </row>
  </sheetData>
  <sheetProtection algorithmName="SHA-512" hashValue="hjdVTN+7wZiYpX4KQZ/3gc+AbQFvZbrRX6XH9+EPxtrJrc4p3WIWkcnyE8CCaMiV2xOUAAuZpBBTF9PA/7/ESQ==" saltValue="H2X90ViHXI4k1svI3SV4YA==" spinCount="100000" sheet="1" autoFilter="0"/>
  <dataConsolidate/>
  <mergeCells count="476">
    <mergeCell ref="G142:J142"/>
    <mergeCell ref="G144:J144"/>
    <mergeCell ref="G146:J146"/>
    <mergeCell ref="G148:J148"/>
    <mergeCell ref="G150:J150"/>
    <mergeCell ref="D142:F142"/>
    <mergeCell ref="D144:F144"/>
    <mergeCell ref="D146:F146"/>
    <mergeCell ref="D148:F148"/>
    <mergeCell ref="D150:F150"/>
    <mergeCell ref="A142:C142"/>
    <mergeCell ref="A144:C144"/>
    <mergeCell ref="A146:C146"/>
    <mergeCell ref="A148:C148"/>
    <mergeCell ref="A150:C150"/>
    <mergeCell ref="G53:J53"/>
    <mergeCell ref="G55:J55"/>
    <mergeCell ref="G57:J57"/>
    <mergeCell ref="G59:J59"/>
    <mergeCell ref="G61:J61"/>
    <mergeCell ref="G63:J63"/>
    <mergeCell ref="G65:J65"/>
    <mergeCell ref="G67:J67"/>
    <mergeCell ref="G62:J62"/>
    <mergeCell ref="A106:C106"/>
    <mergeCell ref="A107:C107"/>
    <mergeCell ref="A108:C108"/>
    <mergeCell ref="A91:C91"/>
    <mergeCell ref="A92:C92"/>
    <mergeCell ref="A93:C93"/>
    <mergeCell ref="A100:C100"/>
    <mergeCell ref="A101:C101"/>
    <mergeCell ref="A102:C102"/>
    <mergeCell ref="A64:C64"/>
    <mergeCell ref="AL131:AL132"/>
    <mergeCell ref="A68:C68"/>
    <mergeCell ref="D68:F68"/>
    <mergeCell ref="G68:J68"/>
    <mergeCell ref="A70:C70"/>
    <mergeCell ref="D70:F70"/>
    <mergeCell ref="G70:J70"/>
    <mergeCell ref="A56:C56"/>
    <mergeCell ref="D56:F56"/>
    <mergeCell ref="G56:J56"/>
    <mergeCell ref="A58:C58"/>
    <mergeCell ref="D58:F58"/>
    <mergeCell ref="G58:J58"/>
    <mergeCell ref="A60:C60"/>
    <mergeCell ref="D60:F60"/>
    <mergeCell ref="G60:J60"/>
    <mergeCell ref="A69:C69"/>
    <mergeCell ref="A71:C71"/>
    <mergeCell ref="D57:F57"/>
    <mergeCell ref="D59:F59"/>
    <mergeCell ref="D61:F61"/>
    <mergeCell ref="D63:F63"/>
    <mergeCell ref="D65:F65"/>
    <mergeCell ref="D67:F67"/>
    <mergeCell ref="AL12:AL13"/>
    <mergeCell ref="AL39:AL40"/>
    <mergeCell ref="AL88:AL89"/>
    <mergeCell ref="A50:C50"/>
    <mergeCell ref="D50:F50"/>
    <mergeCell ref="G50:J50"/>
    <mergeCell ref="A52:C52"/>
    <mergeCell ref="D52:F52"/>
    <mergeCell ref="D51:F51"/>
    <mergeCell ref="D53:F53"/>
    <mergeCell ref="D55:F55"/>
    <mergeCell ref="D69:F69"/>
    <mergeCell ref="D71:F71"/>
    <mergeCell ref="A51:C51"/>
    <mergeCell ref="A53:C53"/>
    <mergeCell ref="A55:C55"/>
    <mergeCell ref="A57:C57"/>
    <mergeCell ref="A59:C59"/>
    <mergeCell ref="M88:S88"/>
    <mergeCell ref="AK39:AK40"/>
    <mergeCell ref="AK88:AK89"/>
    <mergeCell ref="A65:C65"/>
    <mergeCell ref="A67:C67"/>
    <mergeCell ref="D62:F62"/>
    <mergeCell ref="M131:S131"/>
    <mergeCell ref="T131:Z131"/>
    <mergeCell ref="AA131:AG131"/>
    <mergeCell ref="AH131:AI131"/>
    <mergeCell ref="A109:C109"/>
    <mergeCell ref="A110:C110"/>
    <mergeCell ref="A120:C120"/>
    <mergeCell ref="A121:C121"/>
    <mergeCell ref="A122:C122"/>
    <mergeCell ref="A123:C123"/>
    <mergeCell ref="A124:C124"/>
    <mergeCell ref="A111:C111"/>
    <mergeCell ref="A112:C112"/>
    <mergeCell ref="A113:C113"/>
    <mergeCell ref="A114:C114"/>
    <mergeCell ref="A115:C115"/>
    <mergeCell ref="A116:C116"/>
    <mergeCell ref="A117:C117"/>
    <mergeCell ref="A118:C118"/>
    <mergeCell ref="A119:C119"/>
    <mergeCell ref="AK131:AK132"/>
    <mergeCell ref="T39:Z39"/>
    <mergeCell ref="AA39:AG39"/>
    <mergeCell ref="AH39:AI39"/>
    <mergeCell ref="AA88:AG88"/>
    <mergeCell ref="AH88:AI88"/>
    <mergeCell ref="T88:Z88"/>
    <mergeCell ref="A99:C99"/>
    <mergeCell ref="A88:C89"/>
    <mergeCell ref="A90:C90"/>
    <mergeCell ref="A44:C44"/>
    <mergeCell ref="A45:C45"/>
    <mergeCell ref="A46:C46"/>
    <mergeCell ref="A54:C54"/>
    <mergeCell ref="D54:F54"/>
    <mergeCell ref="G54:J54"/>
    <mergeCell ref="A62:C62"/>
    <mergeCell ref="D64:F64"/>
    <mergeCell ref="G64:J64"/>
    <mergeCell ref="A66:C66"/>
    <mergeCell ref="D66:F66"/>
    <mergeCell ref="G66:J66"/>
    <mergeCell ref="A61:C61"/>
    <mergeCell ref="A63:C63"/>
    <mergeCell ref="G69:J69"/>
    <mergeCell ref="G71:J71"/>
    <mergeCell ref="G51:J51"/>
    <mergeCell ref="G82:J82"/>
    <mergeCell ref="G74:J74"/>
    <mergeCell ref="G76:J76"/>
    <mergeCell ref="G78:J78"/>
    <mergeCell ref="A94:C94"/>
    <mergeCell ref="A95:C95"/>
    <mergeCell ref="A96:C96"/>
    <mergeCell ref="A97:C97"/>
    <mergeCell ref="A98:C98"/>
    <mergeCell ref="D95:F95"/>
    <mergeCell ref="G95:J95"/>
    <mergeCell ref="D96:F96"/>
    <mergeCell ref="G96:J96"/>
    <mergeCell ref="D97:F97"/>
    <mergeCell ref="G97:J97"/>
    <mergeCell ref="D98:F98"/>
    <mergeCell ref="G98:J98"/>
    <mergeCell ref="B35:C36"/>
    <mergeCell ref="A35:A36"/>
    <mergeCell ref="A41:C41"/>
    <mergeCell ref="A37:L37"/>
    <mergeCell ref="A103:C103"/>
    <mergeCell ref="A104:C104"/>
    <mergeCell ref="A105:C105"/>
    <mergeCell ref="A42:C42"/>
    <mergeCell ref="A43:C43"/>
    <mergeCell ref="A47:C47"/>
    <mergeCell ref="A49:C49"/>
    <mergeCell ref="A73:C73"/>
    <mergeCell ref="A75:C75"/>
    <mergeCell ref="A77:C77"/>
    <mergeCell ref="A79:C79"/>
    <mergeCell ref="A48:C48"/>
    <mergeCell ref="A72:C72"/>
    <mergeCell ref="A74:C74"/>
    <mergeCell ref="A76:C76"/>
    <mergeCell ref="A78:C78"/>
    <mergeCell ref="A86:L86"/>
    <mergeCell ref="D81:F81"/>
    <mergeCell ref="G81:J81"/>
    <mergeCell ref="D82:F82"/>
    <mergeCell ref="A18:C18"/>
    <mergeCell ref="A17:C17"/>
    <mergeCell ref="A19:C19"/>
    <mergeCell ref="A20:C20"/>
    <mergeCell ref="D19:F19"/>
    <mergeCell ref="B5:B6"/>
    <mergeCell ref="B8:C9"/>
    <mergeCell ref="D8:G8"/>
    <mergeCell ref="D9:G9"/>
    <mergeCell ref="D14:F14"/>
    <mergeCell ref="G14:J14"/>
    <mergeCell ref="C5:D6"/>
    <mergeCell ref="D12:F13"/>
    <mergeCell ref="G12:J13"/>
    <mergeCell ref="D16:F16"/>
    <mergeCell ref="G16:J16"/>
    <mergeCell ref="D15:F15"/>
    <mergeCell ref="G15:J15"/>
    <mergeCell ref="H5:K6"/>
    <mergeCell ref="A10:L10"/>
    <mergeCell ref="A12:C13"/>
    <mergeCell ref="A14:C14"/>
    <mergeCell ref="A15:C15"/>
    <mergeCell ref="A16:C16"/>
    <mergeCell ref="D47:F47"/>
    <mergeCell ref="D49:F49"/>
    <mergeCell ref="D73:F73"/>
    <mergeCell ref="D75:F75"/>
    <mergeCell ref="D77:F77"/>
    <mergeCell ref="D79:F79"/>
    <mergeCell ref="D48:F48"/>
    <mergeCell ref="D72:F72"/>
    <mergeCell ref="D74:F74"/>
    <mergeCell ref="D76:F76"/>
    <mergeCell ref="D78:F78"/>
    <mergeCell ref="G47:J47"/>
    <mergeCell ref="G49:J49"/>
    <mergeCell ref="G73:J73"/>
    <mergeCell ref="G75:J75"/>
    <mergeCell ref="G77:J77"/>
    <mergeCell ref="G79:J79"/>
    <mergeCell ref="G80:J80"/>
    <mergeCell ref="G52:J52"/>
    <mergeCell ref="G3:G4"/>
    <mergeCell ref="G5:G6"/>
    <mergeCell ref="H3:K4"/>
    <mergeCell ref="G46:J46"/>
    <mergeCell ref="D35:G35"/>
    <mergeCell ref="D36:G36"/>
    <mergeCell ref="D42:F42"/>
    <mergeCell ref="G42:J42"/>
    <mergeCell ref="D43:F43"/>
    <mergeCell ref="G43:J43"/>
    <mergeCell ref="H35:H36"/>
    <mergeCell ref="D33:F33"/>
    <mergeCell ref="D24:F24"/>
    <mergeCell ref="D26:F26"/>
    <mergeCell ref="D28:F28"/>
    <mergeCell ref="D30:F30"/>
    <mergeCell ref="A8:A9"/>
    <mergeCell ref="B3:B4"/>
    <mergeCell ref="C3:D4"/>
    <mergeCell ref="N1:N2"/>
    <mergeCell ref="G39:J40"/>
    <mergeCell ref="K12:K13"/>
    <mergeCell ref="K39:K40"/>
    <mergeCell ref="G23:J23"/>
    <mergeCell ref="G25:J25"/>
    <mergeCell ref="G27:J27"/>
    <mergeCell ref="G29:J29"/>
    <mergeCell ref="G31:J31"/>
    <mergeCell ref="G24:J24"/>
    <mergeCell ref="G26:J26"/>
    <mergeCell ref="G28:J28"/>
    <mergeCell ref="G30:J30"/>
    <mergeCell ref="L39:L40"/>
    <mergeCell ref="G33:J33"/>
    <mergeCell ref="G32:J32"/>
    <mergeCell ref="M39:S39"/>
    <mergeCell ref="O1:P2"/>
    <mergeCell ref="M1:M2"/>
    <mergeCell ref="H8:H9"/>
    <mergeCell ref="G17:J17"/>
    <mergeCell ref="A1:K1"/>
    <mergeCell ref="A21:C21"/>
    <mergeCell ref="D92:F92"/>
    <mergeCell ref="G92:J92"/>
    <mergeCell ref="D93:F93"/>
    <mergeCell ref="G93:J93"/>
    <mergeCell ref="D94:F94"/>
    <mergeCell ref="G94:J94"/>
    <mergeCell ref="H84:H85"/>
    <mergeCell ref="D88:F89"/>
    <mergeCell ref="G88:J89"/>
    <mergeCell ref="D90:F90"/>
    <mergeCell ref="G90:J90"/>
    <mergeCell ref="D84:G84"/>
    <mergeCell ref="D85:G85"/>
    <mergeCell ref="D91:F91"/>
    <mergeCell ref="G91:J91"/>
    <mergeCell ref="D44:F44"/>
    <mergeCell ref="G44:J44"/>
    <mergeCell ref="D45:F45"/>
    <mergeCell ref="G45:J45"/>
    <mergeCell ref="D46:F46"/>
    <mergeCell ref="G48:J48"/>
    <mergeCell ref="G72:J72"/>
    <mergeCell ref="D99:F99"/>
    <mergeCell ref="G99:J99"/>
    <mergeCell ref="D100:F100"/>
    <mergeCell ref="G100:J100"/>
    <mergeCell ref="D101:F101"/>
    <mergeCell ref="G101:J101"/>
    <mergeCell ref="D102:F102"/>
    <mergeCell ref="G102:J102"/>
    <mergeCell ref="D103:F103"/>
    <mergeCell ref="G103:J103"/>
    <mergeCell ref="D104:F104"/>
    <mergeCell ref="G104:J104"/>
    <mergeCell ref="G106:J106"/>
    <mergeCell ref="G114:J114"/>
    <mergeCell ref="D115:F115"/>
    <mergeCell ref="G115:J115"/>
    <mergeCell ref="D116:F116"/>
    <mergeCell ref="G116:J11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A134:C134"/>
    <mergeCell ref="D134:F134"/>
    <mergeCell ref="G134:J134"/>
    <mergeCell ref="A135:C135"/>
    <mergeCell ref="D135:F135"/>
    <mergeCell ref="G135:J135"/>
    <mergeCell ref="D122:F122"/>
    <mergeCell ref="G122:J122"/>
    <mergeCell ref="D123:F123"/>
    <mergeCell ref="G123:J123"/>
    <mergeCell ref="D124:F124"/>
    <mergeCell ref="G124:J124"/>
    <mergeCell ref="D125:F125"/>
    <mergeCell ref="G125:J125"/>
    <mergeCell ref="A125:C125"/>
    <mergeCell ref="A127:A128"/>
    <mergeCell ref="B127:C128"/>
    <mergeCell ref="H127:H128"/>
    <mergeCell ref="A129:L129"/>
    <mergeCell ref="A131:C132"/>
    <mergeCell ref="D131:F132"/>
    <mergeCell ref="G131:J132"/>
    <mergeCell ref="K131:K132"/>
    <mergeCell ref="L131:L132"/>
    <mergeCell ref="AX11:BI11"/>
    <mergeCell ref="AX12:BA12"/>
    <mergeCell ref="BB12:BE12"/>
    <mergeCell ref="BF12:BI12"/>
    <mergeCell ref="M12:S12"/>
    <mergeCell ref="G20:J20"/>
    <mergeCell ref="D21:F21"/>
    <mergeCell ref="G21:J21"/>
    <mergeCell ref="D22:F22"/>
    <mergeCell ref="G22:J22"/>
    <mergeCell ref="L12:L13"/>
    <mergeCell ref="T12:Z12"/>
    <mergeCell ref="AA12:AG12"/>
    <mergeCell ref="G19:J19"/>
    <mergeCell ref="D20:F20"/>
    <mergeCell ref="AH12:AI12"/>
    <mergeCell ref="D17:F17"/>
    <mergeCell ref="D18:F18"/>
    <mergeCell ref="G18:J18"/>
    <mergeCell ref="AK12:AK13"/>
    <mergeCell ref="AX21:BI21"/>
    <mergeCell ref="AX22:BA22"/>
    <mergeCell ref="BB22:BE22"/>
    <mergeCell ref="BF22:BI22"/>
    <mergeCell ref="A22:C22"/>
    <mergeCell ref="A39:C40"/>
    <mergeCell ref="D23:F23"/>
    <mergeCell ref="D27:F27"/>
    <mergeCell ref="D29:F29"/>
    <mergeCell ref="D31:F31"/>
    <mergeCell ref="D39:F40"/>
    <mergeCell ref="G34:J34"/>
    <mergeCell ref="G41:J41"/>
    <mergeCell ref="A23:C23"/>
    <mergeCell ref="A27:C27"/>
    <mergeCell ref="A29:C29"/>
    <mergeCell ref="A31:C31"/>
    <mergeCell ref="A33:C33"/>
    <mergeCell ref="D25:F25"/>
    <mergeCell ref="D34:F34"/>
    <mergeCell ref="D41:F41"/>
    <mergeCell ref="A24:C24"/>
    <mergeCell ref="A26:C26"/>
    <mergeCell ref="A28:C28"/>
    <mergeCell ref="A30:C30"/>
    <mergeCell ref="A32:C32"/>
    <mergeCell ref="D32:F32"/>
    <mergeCell ref="A25:C25"/>
    <mergeCell ref="A133:C133"/>
    <mergeCell ref="D133:F133"/>
    <mergeCell ref="G133:J133"/>
    <mergeCell ref="A80:C80"/>
    <mergeCell ref="D80:F80"/>
    <mergeCell ref="K88:K89"/>
    <mergeCell ref="L88:L89"/>
    <mergeCell ref="A81:C81"/>
    <mergeCell ref="A82:C82"/>
    <mergeCell ref="A84:A85"/>
    <mergeCell ref="B84:C85"/>
    <mergeCell ref="D117:F117"/>
    <mergeCell ref="G117:J117"/>
    <mergeCell ref="D118:F118"/>
    <mergeCell ref="G118:J118"/>
    <mergeCell ref="D119:F119"/>
    <mergeCell ref="G119:J119"/>
    <mergeCell ref="D120:F120"/>
    <mergeCell ref="G120:J120"/>
    <mergeCell ref="D121:F121"/>
    <mergeCell ref="G121:J121"/>
    <mergeCell ref="D105:F105"/>
    <mergeCell ref="G105:J105"/>
    <mergeCell ref="D106:F106"/>
    <mergeCell ref="A136:C136"/>
    <mergeCell ref="D136:F136"/>
    <mergeCell ref="G136:J136"/>
    <mergeCell ref="A137:C137"/>
    <mergeCell ref="D137:F137"/>
    <mergeCell ref="G137:J137"/>
    <mergeCell ref="A138:C138"/>
    <mergeCell ref="D138:F138"/>
    <mergeCell ref="G138:J138"/>
    <mergeCell ref="A139:C139"/>
    <mergeCell ref="D139:F139"/>
    <mergeCell ref="G139:J139"/>
    <mergeCell ref="A140:C140"/>
    <mergeCell ref="D140:F140"/>
    <mergeCell ref="G140:J140"/>
    <mergeCell ref="A151:C151"/>
    <mergeCell ref="D151:F151"/>
    <mergeCell ref="G151:J151"/>
    <mergeCell ref="A143:C143"/>
    <mergeCell ref="D143:F143"/>
    <mergeCell ref="G143:J143"/>
    <mergeCell ref="A145:C145"/>
    <mergeCell ref="D145:F145"/>
    <mergeCell ref="G145:J145"/>
    <mergeCell ref="A147:C147"/>
    <mergeCell ref="D147:F147"/>
    <mergeCell ref="G147:J147"/>
    <mergeCell ref="A149:C149"/>
    <mergeCell ref="D149:F149"/>
    <mergeCell ref="G149:J149"/>
    <mergeCell ref="A141:C141"/>
    <mergeCell ref="D141:F141"/>
    <mergeCell ref="G141:J141"/>
    <mergeCell ref="G156:J156"/>
    <mergeCell ref="A157:C157"/>
    <mergeCell ref="D157:F157"/>
    <mergeCell ref="G157:J157"/>
    <mergeCell ref="A152:C152"/>
    <mergeCell ref="D152:F152"/>
    <mergeCell ref="G152:J152"/>
    <mergeCell ref="A153:C153"/>
    <mergeCell ref="D153:F153"/>
    <mergeCell ref="G153:J153"/>
    <mergeCell ref="A154:C154"/>
    <mergeCell ref="D154:F154"/>
    <mergeCell ref="G154:J154"/>
    <mergeCell ref="AM12:AM13"/>
    <mergeCell ref="AM39:AM40"/>
    <mergeCell ref="AM88:AM89"/>
    <mergeCell ref="AM131:AM132"/>
    <mergeCell ref="A161:C161"/>
    <mergeCell ref="D161:F161"/>
    <mergeCell ref="G161:J161"/>
    <mergeCell ref="A162:C162"/>
    <mergeCell ref="D162:F162"/>
    <mergeCell ref="G162:J162"/>
    <mergeCell ref="A158:C158"/>
    <mergeCell ref="D158:F158"/>
    <mergeCell ref="G158:J158"/>
    <mergeCell ref="A159:C159"/>
    <mergeCell ref="D159:F159"/>
    <mergeCell ref="G159:J159"/>
    <mergeCell ref="A160:C160"/>
    <mergeCell ref="D160:F160"/>
    <mergeCell ref="G160:J160"/>
    <mergeCell ref="A155:C155"/>
    <mergeCell ref="D155:F155"/>
    <mergeCell ref="G155:J155"/>
    <mergeCell ref="A156:C156"/>
    <mergeCell ref="D156:F156"/>
  </mergeCells>
  <conditionalFormatting sqref="D34:F34">
    <cfRule type="expression" dxfId="751" priority="249">
      <formula>AND(ISTEXT(G34),ISBLANK(D34))</formula>
    </cfRule>
  </conditionalFormatting>
  <conditionalFormatting sqref="D83:F83">
    <cfRule type="expression" dxfId="750" priority="26">
      <formula>AND(ISTEXT(G83),ISBLANK(D83))</formula>
    </cfRule>
  </conditionalFormatting>
  <conditionalFormatting sqref="G34:J34 G83:J83">
    <cfRule type="expression" dxfId="749" priority="519">
      <formula>NOT(ISERROR(#REF!))</formula>
    </cfRule>
    <cfRule type="expression" dxfId="748" priority="520">
      <formula>ISTEXT(D34)</formula>
    </cfRule>
  </conditionalFormatting>
  <conditionalFormatting sqref="A14:J15 A22:J33 A19:J19 D20:J21 D16:J16 D18:J18">
    <cfRule type="expression" dxfId="747" priority="16">
      <formula>AND($G14&lt;&gt;"",$K14="")</formula>
    </cfRule>
  </conditionalFormatting>
  <conditionalFormatting sqref="A41:J62 A64:J67 D63:J63 A69:J82 D68:J68">
    <cfRule type="expression" dxfId="746" priority="15">
      <formula>AND($G41&lt;&gt;"",$K41="")</formula>
    </cfRule>
  </conditionalFormatting>
  <conditionalFormatting sqref="A133:J162">
    <cfRule type="expression" dxfId="745" priority="14">
      <formula>AND($G133&lt;&gt;"",$K133="")</formula>
    </cfRule>
  </conditionalFormatting>
  <conditionalFormatting sqref="A90:J93 A95:J125 D94:J94">
    <cfRule type="expression" dxfId="744" priority="13">
      <formula>AND($G90&lt;&gt;"",$K90="")</formula>
    </cfRule>
  </conditionalFormatting>
  <conditionalFormatting sqref="A20:C20">
    <cfRule type="expression" dxfId="743" priority="12">
      <formula>AND($G20&lt;&gt;"",$K20="")</formula>
    </cfRule>
  </conditionalFormatting>
  <conditionalFormatting sqref="A63:C63">
    <cfRule type="expression" dxfId="742" priority="11">
      <formula>AND($G63&lt;&gt;"",$K63="")</formula>
    </cfRule>
  </conditionalFormatting>
  <conditionalFormatting sqref="A18:C18">
    <cfRule type="expression" dxfId="741" priority="9">
      <formula>AND($G18&lt;&gt;"",$K18="")</formula>
    </cfRule>
  </conditionalFormatting>
  <conditionalFormatting sqref="A21:C21">
    <cfRule type="expression" dxfId="740" priority="8">
      <formula>AND($G21&lt;&gt;"",$K21="")</formula>
    </cfRule>
  </conditionalFormatting>
  <conditionalFormatting sqref="A16:C16">
    <cfRule type="expression" dxfId="739" priority="6">
      <formula>AND($G16&lt;&gt;"",$K16="")</formula>
    </cfRule>
  </conditionalFormatting>
  <conditionalFormatting sqref="A68:C68">
    <cfRule type="expression" dxfId="738" priority="5">
      <formula>AND($G68&lt;&gt;"",$K68="")</formula>
    </cfRule>
  </conditionalFormatting>
  <conditionalFormatting sqref="A94:C94">
    <cfRule type="expression" dxfId="737" priority="3">
      <formula>AND($G94&lt;&gt;"",$K94="")</formula>
    </cfRule>
  </conditionalFormatting>
  <conditionalFormatting sqref="A17:J17">
    <cfRule type="expression" dxfId="736" priority="1">
      <formula>AND($G17&lt;&gt;"",$K17="")</formula>
    </cfRule>
  </conditionalFormatting>
  <dataValidations count="15">
    <dataValidation type="list" allowBlank="1" showInputMessage="1" showErrorMessage="1" sqref="F130" xr:uid="{00000000-0002-0000-0A00-000000000000}">
      <formula1>YesNo</formula1>
    </dataValidation>
    <dataValidation type="decimal" allowBlank="1" showInputMessage="1" showErrorMessage="1" sqref="AF133:AG162 AF41:AG82 Y90:AA125 M14:M33 M41:M82 M90:M125 M133:M162 R133:T162 Y133:AA162 AF90:AG125 R90:T125 R41:T82 Y41:AA82 AF14:AG33 R14:T33 Y14:AA33" xr:uid="{00000000-0002-0000-0A00-000001000000}">
      <formula1>0</formula1>
      <formula2>1E+29</formula2>
    </dataValidation>
    <dataValidation type="list" allowBlank="1" showInputMessage="1" showErrorMessage="1" sqref="A14:C33" xr:uid="{00000000-0002-0000-0A00-000002000000}">
      <formula1>TB1S1T1C1</formula1>
    </dataValidation>
    <dataValidation type="list" allowBlank="1" showInputMessage="1" showErrorMessage="1" sqref="D14:F33" xr:uid="{00000000-0002-0000-0A00-000003000000}">
      <formula1>TB1S1T1C2</formula1>
    </dataValidation>
    <dataValidation type="list" allowBlank="1" showInputMessage="1" showErrorMessage="1" sqref="G14:J33" xr:uid="{00000000-0002-0000-0A00-000004000000}">
      <formula1>TB1S1T1C3</formula1>
    </dataValidation>
    <dataValidation type="list" allowBlank="1" showInputMessage="1" showErrorMessage="1" sqref="A41:C82" xr:uid="{00000000-0002-0000-0A00-000005000000}">
      <formula1>TB1S2T1C1</formula1>
    </dataValidation>
    <dataValidation type="list" allowBlank="1" showInputMessage="1" showErrorMessage="1" sqref="D41:F82" xr:uid="{00000000-0002-0000-0A00-000006000000}">
      <formula1>TB1S2T1C2</formula1>
    </dataValidation>
    <dataValidation type="list" allowBlank="1" showInputMessage="1" showErrorMessage="1" sqref="G41:J82" xr:uid="{00000000-0002-0000-0A00-000007000000}">
      <formula1>TB1S2T1C3</formula1>
    </dataValidation>
    <dataValidation type="list" allowBlank="1" showInputMessage="1" showErrorMessage="1" sqref="A90:C125" xr:uid="{00000000-0002-0000-0A00-000008000000}">
      <formula1>TB1S3T1C1</formula1>
    </dataValidation>
    <dataValidation type="list" allowBlank="1" showInputMessage="1" showErrorMessage="1" sqref="D90:F125" xr:uid="{00000000-0002-0000-0A00-000009000000}">
      <formula1>TB1S3T1C2</formula1>
    </dataValidation>
    <dataValidation type="list" allowBlank="1" showInputMessage="1" showErrorMessage="1" sqref="G90:J125" xr:uid="{00000000-0002-0000-0A00-00000A000000}">
      <formula1>TB1S3T1C3</formula1>
    </dataValidation>
    <dataValidation type="list" allowBlank="1" showInputMessage="1" showErrorMessage="1" sqref="A133:C162" xr:uid="{00000000-0002-0000-0A00-00000B000000}">
      <formula1>TB1S4T1C1</formula1>
    </dataValidation>
    <dataValidation type="list" allowBlank="1" showInputMessage="1" showErrorMessage="1" sqref="D133:F162" xr:uid="{00000000-0002-0000-0A00-00000C000000}">
      <formula1>TB1S4T1C2</formula1>
    </dataValidation>
    <dataValidation type="list" allowBlank="1" showInputMessage="1" showErrorMessage="1" sqref="G133:J162" xr:uid="{00000000-0002-0000-0A00-00000D000000}">
      <formula1>TB1S4T1C3</formula1>
    </dataValidation>
    <dataValidation type="whole" operator="greaterThanOrEqual" allowBlank="1" showInputMessage="1" showErrorMessage="1" error="Do not input values in Fractions" sqref="N14:Q33 N90:Q125 U90:X125 N133:Q162 U133:X162 AB133:AE162 AB90:AE125 N41:Q82 U41:X82 AB41:AE82 AB14:AE33 U14:X33" xr:uid="{00000000-0002-0000-0A00-00000E000000}">
      <formula1>0</formula1>
    </dataValidation>
  </dataValidations>
  <hyperlinks>
    <hyperlink ref="H127" location="'TB-Pharmaceuticals'!A8" display="Back to anti TB medicines" xr:uid="{00000000-0004-0000-0A00-000000000000}"/>
    <hyperlink ref="N1:N2" location="'TB-Key Info'!A1" display="Back to TB key info" xr:uid="{00000000-0004-0000-0A00-000001000000}"/>
    <hyperlink ref="O1:P2" location="'TB-EQUIPMENT &amp; OTHER HPs'!A1" display="Go to TB-Other HPs &amp; Equipment" xr:uid="{00000000-0004-0000-0A00-000002000000}"/>
    <hyperlink ref="H8" location="'TB-Pharmaceuticals'!A65" display="Go to other medicines" xr:uid="{00000000-0004-0000-0A00-000003000000}"/>
    <hyperlink ref="H8:H9" location="'TB-Pharmaceuticals'!A111" display="Go to other medicines" xr:uid="{00000000-0004-0000-0A00-000004000000}"/>
    <hyperlink ref="H35" location="'TB-Pharmaceuticals'!A65" display="Go to other medicines" xr:uid="{00000000-0004-0000-0A00-000005000000}"/>
    <hyperlink ref="H35:H36" location="'TB-Pharmaceuticals'!A111" display="Go to other medicines" xr:uid="{00000000-0004-0000-0A00-000006000000}"/>
    <hyperlink ref="H84" location="'TB-Pharmaceuticals'!A65" display="Go to other medicines" xr:uid="{00000000-0004-0000-0A00-000007000000}"/>
    <hyperlink ref="H84:H85" location="'TB-Pharmaceuticals'!A111" display="Go to other medicines" xr:uid="{00000000-0004-0000-0A00-000008000000}"/>
    <hyperlink ref="H127:H128" location="'TB-Pharmaceuticals'!A10" display="Back to anti TB medicines" xr:uid="{00000000-0004-0000-0A00-000009000000}"/>
  </hyperlinks>
  <pageMargins left="0.7" right="0.7" top="0.75" bottom="0.75" header="0.3" footer="0.3"/>
  <pageSetup paperSize="9" orientation="portrait" r:id="rId1"/>
  <ignoredErrors>
    <ignoredError sqref="AX25" formula="1"/>
    <ignoredError sqref="AL12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F000000}">
          <x14:formula1>
            <xm:f>SETUP!$C$28:$C$42</xm:f>
          </x14:formula1>
          <xm:sqref>L83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5"/>
  </sheetPr>
  <dimension ref="A1:BJ179"/>
  <sheetViews>
    <sheetView showGridLines="0" zoomScale="85" zoomScaleNormal="85" workbookViewId="0">
      <selection activeCell="AG134" sqref="AG134"/>
    </sheetView>
  </sheetViews>
  <sheetFormatPr baseColWidth="10" defaultColWidth="8.7265625" defaultRowHeight="14.5"/>
  <cols>
    <col min="1" max="1" width="8.7265625" style="62"/>
    <col min="2" max="2" width="15.26953125" style="62" customWidth="1"/>
    <col min="3" max="3" width="20" style="62" customWidth="1"/>
    <col min="4" max="5" width="15.26953125" style="62" customWidth="1"/>
    <col min="6" max="6" width="16.26953125" style="62" customWidth="1"/>
    <col min="7" max="7" width="18.26953125" style="62" customWidth="1"/>
    <col min="8" max="8" width="16.26953125" style="62" customWidth="1"/>
    <col min="9" max="10" width="18.7265625" style="62" customWidth="1"/>
    <col min="11" max="11" width="21.26953125" style="62" customWidth="1"/>
    <col min="12" max="13" width="15" style="62" customWidth="1"/>
    <col min="14" max="14" width="12.26953125" style="758" customWidth="1"/>
    <col min="15" max="18" width="12.26953125" style="509" customWidth="1"/>
    <col min="19" max="19" width="15.26953125" style="509" customWidth="1"/>
    <col min="20" max="21" width="12.26953125" style="758" customWidth="1"/>
    <col min="22" max="25" width="12.26953125" style="509" customWidth="1"/>
    <col min="26" max="26" width="13.26953125" style="509" customWidth="1"/>
    <col min="27" max="28" width="12.26953125" style="758" customWidth="1"/>
    <col min="29" max="29" width="12.26953125" style="509" customWidth="1"/>
    <col min="30" max="30" width="11" style="509" customWidth="1"/>
    <col min="31" max="31" width="10.26953125" style="509" customWidth="1"/>
    <col min="32" max="33" width="12.26953125" style="509" customWidth="1"/>
    <col min="34" max="34" width="12.26953125" style="758" customWidth="1"/>
    <col min="35" max="35" width="9.26953125" style="509" bestFit="1" customWidth="1"/>
    <col min="36" max="36" width="19.453125" style="758" customWidth="1"/>
    <col min="37" max="37" width="8.7265625" style="62"/>
    <col min="38" max="38" width="55.26953125" style="506" customWidth="1"/>
    <col min="39" max="39" width="11.26953125" style="506" customWidth="1"/>
    <col min="40" max="40" width="8.7265625" style="62" hidden="1" customWidth="1"/>
    <col min="41" max="45" width="8.7265625" style="62"/>
    <col min="46" max="46" width="40.26953125" style="62" bestFit="1" customWidth="1"/>
    <col min="47" max="47" width="7.54296875" style="62" hidden="1" customWidth="1"/>
    <col min="48" max="48" width="18.26953125" style="62" hidden="1" customWidth="1"/>
    <col min="49" max="49" width="15" style="62" hidden="1" customWidth="1"/>
    <col min="50" max="56" width="13.26953125" style="62" hidden="1" customWidth="1"/>
    <col min="57" max="57" width="12.7265625" style="62" hidden="1" customWidth="1"/>
    <col min="58" max="61" width="13.26953125" style="62" hidden="1" customWidth="1"/>
    <col min="62" max="62" width="11.26953125" style="62" hidden="1" customWidth="1"/>
    <col min="63" max="16384" width="8.7265625" style="62"/>
  </cols>
  <sheetData>
    <row r="1" spans="1:61" ht="24" customHeight="1" thickBot="1">
      <c r="A1" s="2579" t="str">
        <f>VLOOKUP("Health Product Management Template - TB - List of equipment and other health products",Language!$D$433:$G$573,$L$1,FALSE)</f>
        <v>Plantilla para la gestión de productos sanitarios - TB - lista de equipamiento y otros productos sanitarios</v>
      </c>
      <c r="B1" s="2580"/>
      <c r="C1" s="2580"/>
      <c r="D1" s="2580"/>
      <c r="E1" s="2580"/>
      <c r="F1" s="2580"/>
      <c r="G1" s="2580"/>
      <c r="H1" s="2580"/>
      <c r="I1" s="2580"/>
      <c r="J1" s="2580"/>
      <c r="K1" s="2581"/>
      <c r="L1" s="1856">
        <f>SETUP!$A$2</f>
        <v>3</v>
      </c>
      <c r="M1" s="2649"/>
      <c r="N1" s="2737" t="s">
        <v>272</v>
      </c>
      <c r="O1" s="2741" t="s">
        <v>235</v>
      </c>
      <c r="P1" s="868"/>
      <c r="Q1" s="868"/>
      <c r="R1" s="868"/>
      <c r="S1" s="868"/>
      <c r="T1" s="767"/>
      <c r="U1" s="767"/>
      <c r="V1" s="868"/>
      <c r="W1" s="868"/>
      <c r="X1" s="868"/>
      <c r="Y1" s="868"/>
      <c r="Z1" s="868"/>
      <c r="AA1" s="767"/>
      <c r="AB1" s="767"/>
      <c r="AC1" s="868"/>
      <c r="AD1" s="868"/>
      <c r="AE1" s="868"/>
      <c r="AF1" s="868"/>
      <c r="AG1" s="868"/>
    </row>
    <row r="2" spans="1:61" ht="15" thickBot="1">
      <c r="A2" s="63"/>
      <c r="B2" s="63"/>
      <c r="C2" s="63"/>
      <c r="D2" s="63"/>
      <c r="E2" s="63"/>
      <c r="F2" s="63"/>
      <c r="G2" s="63"/>
      <c r="H2" s="63"/>
      <c r="I2" s="63"/>
      <c r="J2" s="63"/>
      <c r="K2" s="63"/>
      <c r="L2" s="98"/>
      <c r="M2" s="2744"/>
      <c r="N2" s="2738"/>
      <c r="O2" s="2742"/>
      <c r="P2" s="868"/>
      <c r="Q2" s="868"/>
      <c r="R2" s="868"/>
      <c r="S2" s="868"/>
      <c r="T2" s="767"/>
      <c r="U2" s="767"/>
      <c r="V2" s="868"/>
      <c r="W2" s="868"/>
      <c r="X2" s="868"/>
      <c r="Y2" s="868"/>
      <c r="Z2" s="868"/>
      <c r="AA2" s="767"/>
      <c r="AB2" s="767"/>
      <c r="AC2" s="868"/>
      <c r="AD2" s="868"/>
      <c r="AE2" s="868"/>
      <c r="AF2" s="868"/>
      <c r="AG2" s="868"/>
    </row>
    <row r="3" spans="1:61" ht="15" customHeight="1" thickBot="1">
      <c r="A3" s="164"/>
      <c r="B3" s="2662" t="str">
        <f>VLOOKUP("COUNTRY:",Language!$D$433:$G$573,$L$1,FALSE)</f>
        <v>PAÍS:</v>
      </c>
      <c r="C3" s="2588" t="str">
        <f>SETUP!$E$3</f>
        <v>El Salvador</v>
      </c>
      <c r="D3" s="2588"/>
      <c r="E3" s="2588"/>
      <c r="F3" s="165"/>
      <c r="G3" s="2735" t="str">
        <f>VLOOKUP("GRANT NUMBER:",Language!$D$433:$G$573,$L$1,FALSE)</f>
        <v>NÚMERO DE LA SUBVENCIÓN:</v>
      </c>
      <c r="H3" s="2588" t="str">
        <f>SETUP!$G$13</f>
        <v>SLV-H-MOH</v>
      </c>
      <c r="I3" s="2588"/>
      <c r="J3" s="2588"/>
      <c r="K3" s="2589"/>
      <c r="L3" s="98"/>
      <c r="M3" s="81"/>
      <c r="N3" s="867"/>
      <c r="O3" s="868"/>
      <c r="P3" s="868"/>
      <c r="Q3" s="868"/>
      <c r="R3" s="868"/>
      <c r="S3" s="868"/>
      <c r="T3" s="767"/>
      <c r="U3" s="767"/>
      <c r="V3" s="868"/>
      <c r="W3" s="868"/>
      <c r="X3" s="868"/>
      <c r="Y3" s="868"/>
      <c r="Z3" s="868"/>
      <c r="AA3" s="767"/>
      <c r="AB3" s="767"/>
      <c r="AC3" s="868"/>
      <c r="AD3" s="868"/>
      <c r="AE3" s="868"/>
      <c r="AF3" s="868"/>
      <c r="AG3" s="868"/>
      <c r="AH3" s="842"/>
    </row>
    <row r="4" spans="1:61" ht="15.75" customHeight="1" thickTop="1" thickBot="1">
      <c r="A4" s="168"/>
      <c r="B4" s="2663"/>
      <c r="C4" s="2664"/>
      <c r="D4" s="2664"/>
      <c r="E4" s="2664"/>
      <c r="F4" s="169"/>
      <c r="G4" s="2736"/>
      <c r="H4" s="2590"/>
      <c r="I4" s="2590"/>
      <c r="J4" s="2590"/>
      <c r="K4" s="2591"/>
      <c r="L4" s="98"/>
      <c r="M4" s="78"/>
      <c r="N4" s="767"/>
      <c r="O4" s="868"/>
      <c r="P4" s="868"/>
      <c r="Q4" s="868"/>
      <c r="R4" s="868"/>
      <c r="S4" s="868"/>
      <c r="T4" s="767"/>
      <c r="U4" s="767"/>
      <c r="V4" s="868"/>
      <c r="W4" s="868"/>
      <c r="X4" s="868"/>
      <c r="Y4" s="868"/>
      <c r="Z4" s="868"/>
      <c r="AA4" s="767"/>
      <c r="AB4" s="767"/>
      <c r="AC4" s="868"/>
      <c r="AD4" s="868"/>
      <c r="AE4" s="868"/>
      <c r="AF4" s="868"/>
      <c r="AG4" s="868"/>
      <c r="AH4" s="842"/>
    </row>
    <row r="5" spans="1:61" ht="15.5" thickTop="1" thickBot="1">
      <c r="A5" s="168"/>
      <c r="B5" s="2680" t="str">
        <f>VLOOKUP("COMPONENT:",Language!$D$433:$G$573,$L$1,FALSE)</f>
        <v>COMPONENTE:</v>
      </c>
      <c r="C5" s="2590" t="str">
        <f>SETUP!$E$6</f>
        <v>HIV</v>
      </c>
      <c r="D5" s="2590"/>
      <c r="E5" s="2590"/>
      <c r="F5" s="172"/>
      <c r="G5" s="2739" t="str">
        <f>VLOOKUP("PR: ",Language!$D$433:$G$573,$L$1,FALSE)</f>
        <v xml:space="preserve">RP: </v>
      </c>
      <c r="H5" s="2574" t="str">
        <f>SETUP!E7</f>
        <v>Ministry of Health of the Republic of El Salvador</v>
      </c>
      <c r="I5" s="2574"/>
      <c r="J5" s="2574"/>
      <c r="K5" s="2575"/>
      <c r="L5" s="98"/>
      <c r="M5" s="78"/>
      <c r="N5" s="767"/>
      <c r="O5" s="868"/>
      <c r="P5" s="868"/>
      <c r="Q5" s="868"/>
      <c r="R5" s="868"/>
      <c r="S5" s="868"/>
      <c r="T5" s="767"/>
      <c r="U5" s="767"/>
      <c r="V5" s="868"/>
      <c r="W5" s="868"/>
      <c r="X5" s="868"/>
      <c r="Y5" s="868"/>
      <c r="Z5" s="868"/>
      <c r="AA5" s="767"/>
      <c r="AB5" s="767"/>
      <c r="AC5" s="868"/>
      <c r="AD5" s="868"/>
      <c r="AE5" s="868"/>
      <c r="AF5" s="868"/>
      <c r="AG5" s="868"/>
      <c r="AH5" s="842"/>
    </row>
    <row r="6" spans="1:61" ht="15.5" thickTop="1" thickBot="1">
      <c r="A6" s="173"/>
      <c r="B6" s="2681"/>
      <c r="C6" s="2576"/>
      <c r="D6" s="2576"/>
      <c r="E6" s="2576"/>
      <c r="F6" s="174"/>
      <c r="G6" s="2740"/>
      <c r="H6" s="2576"/>
      <c r="I6" s="2576"/>
      <c r="J6" s="2576"/>
      <c r="K6" s="2577"/>
      <c r="L6" s="180"/>
      <c r="M6" s="78"/>
      <c r="N6" s="767"/>
      <c r="O6" s="868"/>
      <c r="P6" s="868"/>
      <c r="Q6" s="868"/>
      <c r="R6" s="868"/>
      <c r="S6" s="868"/>
      <c r="T6" s="767"/>
      <c r="U6" s="767"/>
      <c r="V6" s="868"/>
      <c r="W6" s="868"/>
      <c r="X6" s="868"/>
      <c r="Y6" s="868"/>
      <c r="Z6" s="868"/>
      <c r="AA6" s="767"/>
      <c r="AB6" s="767"/>
      <c r="AC6" s="868"/>
      <c r="AD6" s="868"/>
      <c r="AE6" s="868"/>
      <c r="AF6" s="868"/>
      <c r="AG6" s="868"/>
      <c r="AH6" s="842"/>
    </row>
    <row r="7" spans="1:61" ht="15" thickBot="1">
      <c r="A7" s="1512" t="str">
        <f ca="1">MID(CELL("filename",A1),FIND("]",CELL("filename",A1))+1,255)</f>
        <v>TB-EQUIPMENT &amp; OTHER HPs</v>
      </c>
      <c r="B7" s="181"/>
      <c r="C7" s="181"/>
      <c r="D7" s="181"/>
      <c r="E7" s="181"/>
      <c r="F7" s="181"/>
      <c r="G7" s="181"/>
      <c r="H7" s="181"/>
      <c r="I7" s="181"/>
      <c r="J7" s="181"/>
      <c r="K7" s="182"/>
      <c r="L7" s="96"/>
      <c r="M7" s="189"/>
      <c r="N7" s="767"/>
      <c r="O7" s="868"/>
      <c r="P7" s="868"/>
      <c r="Q7" s="868"/>
      <c r="R7" s="868"/>
      <c r="S7" s="868"/>
      <c r="T7" s="767"/>
      <c r="U7" s="767"/>
      <c r="V7" s="868"/>
      <c r="W7" s="868"/>
      <c r="X7" s="868"/>
      <c r="Y7" s="868"/>
      <c r="Z7" s="868"/>
      <c r="AA7" s="767"/>
      <c r="AB7" s="767"/>
      <c r="AC7" s="868"/>
      <c r="AD7" s="868"/>
      <c r="AE7" s="868"/>
      <c r="AF7" s="868"/>
      <c r="AG7" s="868"/>
      <c r="AH7" s="842"/>
    </row>
    <row r="8" spans="1:61" ht="19.149999999999999" customHeight="1" thickBot="1">
      <c r="A8" s="2623">
        <v>1</v>
      </c>
      <c r="B8" s="2625" t="s">
        <v>291</v>
      </c>
      <c r="C8" s="2625"/>
      <c r="D8" s="2625"/>
      <c r="E8" s="2625"/>
      <c r="F8" s="157" t="s">
        <v>292</v>
      </c>
      <c r="G8" s="158"/>
      <c r="H8" s="2602" t="s">
        <v>2533</v>
      </c>
      <c r="I8" s="2592" t="s">
        <v>2534</v>
      </c>
      <c r="J8" s="2592" t="s">
        <v>295</v>
      </c>
      <c r="K8"/>
      <c r="M8" s="337"/>
      <c r="P8" s="868"/>
      <c r="Q8" s="868"/>
      <c r="R8" s="868"/>
      <c r="S8" s="868"/>
      <c r="T8" s="767"/>
      <c r="U8" s="767"/>
      <c r="V8" s="868"/>
      <c r="W8" s="868"/>
      <c r="X8" s="868"/>
      <c r="Y8" s="868"/>
      <c r="Z8" s="868"/>
      <c r="AA8" s="767"/>
      <c r="AB8" s="767"/>
      <c r="AC8" s="868"/>
      <c r="AD8" s="868"/>
      <c r="AE8" s="868"/>
      <c r="AF8" s="868"/>
      <c r="AG8" s="868"/>
      <c r="AH8" s="842"/>
    </row>
    <row r="9" spans="1:61" ht="23.65" customHeight="1" thickBot="1">
      <c r="A9" s="2624"/>
      <c r="B9" s="2626"/>
      <c r="C9" s="2626"/>
      <c r="D9" s="2626"/>
      <c r="E9" s="2626"/>
      <c r="F9" s="300" t="s">
        <v>296</v>
      </c>
      <c r="G9" s="301"/>
      <c r="H9" s="2653"/>
      <c r="I9" s="2593"/>
      <c r="J9" s="2593"/>
      <c r="K9"/>
      <c r="P9" s="868"/>
      <c r="Q9" s="868"/>
      <c r="R9" s="868"/>
      <c r="S9" s="868"/>
      <c r="T9" s="767"/>
      <c r="U9" s="767"/>
      <c r="V9" s="868"/>
      <c r="W9" s="868"/>
      <c r="Y9" s="868"/>
      <c r="Z9" s="868"/>
      <c r="AA9" s="767"/>
      <c r="AB9" s="767"/>
      <c r="AC9" s="868"/>
      <c r="AD9" s="868"/>
      <c r="AE9" s="868"/>
      <c r="AF9" s="868"/>
      <c r="AG9" s="868"/>
      <c r="AH9" s="842"/>
      <c r="AI9" s="147"/>
    </row>
    <row r="10" spans="1:61" ht="102.75" customHeight="1">
      <c r="A10" s="2348" t="str">
        <f>IF($L$1=2,Language!$E$438,IF($L$1=3,Language!$F$438,Language!$G$438))</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49"/>
      <c r="C10" s="2349"/>
      <c r="D10" s="2349"/>
      <c r="E10" s="2349"/>
      <c r="F10" s="2349"/>
      <c r="G10" s="2349"/>
      <c r="H10" s="2349"/>
      <c r="I10" s="2349"/>
      <c r="J10" s="2349"/>
      <c r="K10" s="2349"/>
      <c r="L10" s="2349"/>
      <c r="M10" s="2350"/>
      <c r="N10" s="852"/>
      <c r="O10" s="869"/>
      <c r="P10" s="869"/>
      <c r="Q10" s="869"/>
      <c r="R10" s="869"/>
      <c r="S10" s="869"/>
      <c r="T10" s="852"/>
      <c r="U10" s="852"/>
      <c r="V10" s="869"/>
      <c r="W10" s="869"/>
      <c r="X10" s="869"/>
      <c r="Y10" s="869"/>
      <c r="Z10" s="869"/>
      <c r="AA10" s="852"/>
      <c r="AB10" s="852"/>
      <c r="AC10" s="869"/>
      <c r="AD10" s="869"/>
      <c r="AE10" s="869"/>
      <c r="AF10" s="869"/>
      <c r="AG10" s="869"/>
      <c r="AH10" s="843"/>
    </row>
    <row r="11" spans="1:61" ht="16" thickBot="1">
      <c r="A11" s="97" t="s">
        <v>297</v>
      </c>
      <c r="B11" s="114"/>
      <c r="C11" s="1506"/>
      <c r="D11" s="115"/>
      <c r="E11" s="115"/>
      <c r="F11" s="116"/>
      <c r="G11" s="116"/>
      <c r="H11" s="184"/>
      <c r="I11" s="184"/>
      <c r="J11" s="116"/>
      <c r="K11" s="116"/>
      <c r="L11" s="116"/>
      <c r="M11" s="116"/>
      <c r="N11" s="853"/>
      <c r="O11" s="870"/>
      <c r="P11" s="870"/>
      <c r="Q11" s="870"/>
      <c r="R11" s="870"/>
      <c r="S11" s="870"/>
      <c r="T11" s="853"/>
      <c r="U11" s="853"/>
      <c r="V11" s="870"/>
      <c r="W11" s="870"/>
      <c r="X11" s="870"/>
      <c r="Y11" s="870"/>
      <c r="Z11" s="870"/>
      <c r="AA11" s="853"/>
      <c r="AB11" s="853"/>
      <c r="AC11" s="870"/>
      <c r="AD11" s="870"/>
      <c r="AE11" s="870"/>
      <c r="AF11" s="870"/>
      <c r="AG11" s="870"/>
      <c r="AH11" s="844"/>
      <c r="AX11" s="2635" t="s">
        <v>1225</v>
      </c>
      <c r="AY11" s="2635"/>
      <c r="AZ11" s="2635"/>
      <c r="BA11" s="2635"/>
      <c r="BB11" s="2635"/>
      <c r="BC11" s="2635"/>
      <c r="BD11" s="2635"/>
      <c r="BE11" s="2635"/>
      <c r="BF11" s="2635"/>
      <c r="BG11" s="2635"/>
      <c r="BH11" s="2635"/>
      <c r="BI11" s="2635"/>
    </row>
    <row r="12" spans="1:61" s="268" customFormat="1" ht="15.75" customHeight="1" thickBot="1">
      <c r="A12" s="2665" t="str">
        <f>VLOOKUP("Category",Language!$D$433:$G$573,$L$1,FALSE)</f>
        <v>Categoría</v>
      </c>
      <c r="B12" s="2645"/>
      <c r="C12" s="2645"/>
      <c r="D12" s="2645"/>
      <c r="E12" s="2665" t="str">
        <f>VLOOKUP("Type of product",Language!$D$433:$G$573,$L$1,FALSE)</f>
        <v>Tipo de producto</v>
      </c>
      <c r="F12" s="2645"/>
      <c r="G12" s="2645"/>
      <c r="H12" s="2745"/>
      <c r="I12" s="2748" t="str">
        <f>VLOOKUP("Specifications (Denomination, technical features, pack size)",Language!$D$433:$G$573,$L$1,FALSE)</f>
        <v xml:space="preserve">Especificaciones (denominación, características técnicas, tamaño del empaque) </v>
      </c>
      <c r="J12" s="2721"/>
      <c r="K12" s="2749"/>
      <c r="L12" s="2645" t="str">
        <f>VLOOKUP("Unit of measure",Language!$D$433:$G$573,$L$1,FALSE)</f>
        <v>Unidad de medida</v>
      </c>
      <c r="M12" s="2716" t="str">
        <f>VLOOKUP("Payment Currency",Language!$D$433:$G$573,$L$1,FALSE)</f>
        <v>Moneda de pago</v>
      </c>
      <c r="N12" s="2637">
        <f>IF(ISBLANK(IMP_ST_DATE),SETUP!$A$3,IF(MO_CHECK&gt;3,"Y1",YEAR(IMP_ST_DATE)))</f>
        <v>2022</v>
      </c>
      <c r="O12" s="2638"/>
      <c r="P12" s="2638"/>
      <c r="Q12" s="2638"/>
      <c r="R12" s="2638"/>
      <c r="S12" s="2638"/>
      <c r="T12" s="2639"/>
      <c r="U12" s="2642">
        <f>IF(N12="Y1","Y2",IF(ISBLANK(IMP_ST_DATE),SETUP!$A$3,YEAR(IMP_ST_DATE)+1))</f>
        <v>2023</v>
      </c>
      <c r="V12" s="2638"/>
      <c r="W12" s="2638"/>
      <c r="X12" s="2638"/>
      <c r="Y12" s="2638"/>
      <c r="Z12" s="2638"/>
      <c r="AA12" s="2643"/>
      <c r="AB12" s="2642">
        <f>IF(N12="Y1","Y3",IF(ISBLANK(IMP_ST_DATE),SETUP!$A$3,YEAR(IMP_ST_DATE)+2))</f>
        <v>2024</v>
      </c>
      <c r="AC12" s="2638"/>
      <c r="AD12" s="2638"/>
      <c r="AE12" s="2638"/>
      <c r="AF12" s="2638"/>
      <c r="AG12" s="2638"/>
      <c r="AH12" s="2644"/>
      <c r="AI12" s="2715" t="str">
        <f>VLOOKUP("Total grant period",Language!$D$433:$G$573,$L$1,FALSE)</f>
        <v>Total del período de subvención</v>
      </c>
      <c r="AJ12" s="2646"/>
      <c r="AK12" s="1826" t="str">
        <f>VLOOKUP("Finance",Language!$D$433:$G$573,$L$1,FALSE)</f>
        <v>Finanzas</v>
      </c>
      <c r="AL12" s="2712" t="str">
        <f>VLOOKUP("Comments",Language!$D$433:$G$573,$L$1,FALSE)</f>
        <v>Comentarios</v>
      </c>
      <c r="AM12" s="2608" t="str">
        <f>VLOOKUP("Delivery Lead Time",Language!$D$433:$G$573,$L$1,FALSE)</f>
        <v>Plazo de entrega</v>
      </c>
      <c r="AN12" s="2608" t="s">
        <v>3054</v>
      </c>
      <c r="AT12" s="62"/>
      <c r="AX12" s="2636">
        <f>YEAR(IMP_ST_DATE)</f>
        <v>2022</v>
      </c>
      <c r="AY12" s="2636"/>
      <c r="AZ12" s="2636"/>
      <c r="BA12" s="2636"/>
      <c r="BB12" s="2636">
        <f>YEAR(IMP_ST_DATE)+1</f>
        <v>2023</v>
      </c>
      <c r="BC12" s="2636"/>
      <c r="BD12" s="2636"/>
      <c r="BE12" s="2636"/>
      <c r="BF12" s="2636">
        <f>YEAR(IMP_ST_DATE)+2</f>
        <v>2024</v>
      </c>
      <c r="BG12" s="2636"/>
      <c r="BH12" s="2636"/>
      <c r="BI12" s="2636"/>
    </row>
    <row r="13" spans="1:61" s="323" customFormat="1" ht="26.5" thickBot="1">
      <c r="A13" s="2746"/>
      <c r="B13" s="2743"/>
      <c r="C13" s="2743"/>
      <c r="D13" s="2743"/>
      <c r="E13" s="2746"/>
      <c r="F13" s="2743"/>
      <c r="G13" s="2743"/>
      <c r="H13" s="2747"/>
      <c r="I13" s="2750"/>
      <c r="J13" s="2751"/>
      <c r="K13" s="2752"/>
      <c r="L13" s="2743"/>
      <c r="M13" s="2717"/>
      <c r="N13" s="854" t="str">
        <f>VLOOKUP("Y1 Unit cost",Language!$D$433:$G$573,$L$1,FALSE)</f>
        <v>Costo unitario del A1</v>
      </c>
      <c r="O13" s="871" t="str">
        <f>VLOOKUP("Y1 Q1 quantity",Language!$D$433:$G$573,$L$1,FALSE)</f>
        <v>Cantidad del A1, T1</v>
      </c>
      <c r="P13" s="871" t="str">
        <f>VLOOKUP("Y1 Q2 quantity",Language!$D$433:$G$573,$L$1,FALSE)</f>
        <v>Cantidad del A1, T2</v>
      </c>
      <c r="Q13" s="871" t="str">
        <f>VLOOKUP("Y1 Q3 quantity",Language!$D$433:$G$573,$L$1,FALSE)</f>
        <v>Cantidad del A1, T3</v>
      </c>
      <c r="R13" s="871" t="str">
        <f>VLOOKUP("Y1 Q4 quantity",Language!$D$433:$G$573,$L$1,FALSE)</f>
        <v>Cantidad del A1, T4</v>
      </c>
      <c r="S13" s="871" t="str">
        <f>VLOOKUP("Y1 Total quantity",Language!$D$433:$G$573,$L$1,FALSE)</f>
        <v>Cantidad total del A1</v>
      </c>
      <c r="T13" s="830" t="str">
        <f>VLOOKUP("Y1 Total cost",Language!$D$433:$G$573,$L$1,FALSE)</f>
        <v>Costo total del A1</v>
      </c>
      <c r="U13" s="854" t="str">
        <f>VLOOKUP("Y2 Unit cost",Language!$D$433:$G$573,$L$1,FALSE)</f>
        <v>Costo unitario del A2</v>
      </c>
      <c r="V13" s="871" t="str">
        <f>VLOOKUP("Y2 Q1 quantity",Language!$D$433:$G$573,$L$1,FALSE)</f>
        <v>Cantidad del A2, T1</v>
      </c>
      <c r="W13" s="871" t="str">
        <f>VLOOKUP("Y2 Q2 quantity",Language!$D$433:$G$573,$L$1,FALSE)</f>
        <v>Cantidad del A2, T2</v>
      </c>
      <c r="X13" s="871" t="str">
        <f>VLOOKUP("Y2 Q3 quantity",Language!$D$433:$G$573,$L$1,FALSE)</f>
        <v>Cantidad del A2, T3</v>
      </c>
      <c r="Y13" s="871" t="str">
        <f>VLOOKUP("Y2 Q4 quantity",Language!$D$433:$G$573,$L$1,FALSE)</f>
        <v>Cantidad del A2, T4</v>
      </c>
      <c r="Z13" s="871" t="str">
        <f>VLOOKUP("Y2 Total quantity",Language!$D$433:$G$573,$L$1,FALSE)</f>
        <v>Cantidad total del A2</v>
      </c>
      <c r="AA13" s="830" t="str">
        <f>VLOOKUP("Y2 Total cost",Language!$D$433:$G$573,$L$1,FALSE)</f>
        <v>Costo total del A2</v>
      </c>
      <c r="AB13" s="854" t="str">
        <f>VLOOKUP("Y3 Unit cost",Language!$D$433:$G$573,$L$1,FALSE)</f>
        <v>Costo unitario del A3</v>
      </c>
      <c r="AC13" s="871" t="str">
        <f>VLOOKUP("Y3 Q1 quantity",Language!$D$433:$G$573,$L$1,FALSE)</f>
        <v>Cantidad del A3, T1</v>
      </c>
      <c r="AD13" s="871" t="str">
        <f>VLOOKUP("Y3 Q2 quantity",Language!$D$433:$G$573,$L$1,FALSE)</f>
        <v>Cantidad del A3, T2</v>
      </c>
      <c r="AE13" s="871" t="str">
        <f>VLOOKUP("Y3 Q3 quantity",Language!$D$433:$G$573,$L$1,FALSE)</f>
        <v>Cantidad del A3, T3</v>
      </c>
      <c r="AF13" s="871" t="str">
        <f>VLOOKUP("Y3 Q4 quantity",Language!$D$433:$G$573,$L$1,FALSE)</f>
        <v>Cantidad del A3, T4</v>
      </c>
      <c r="AG13" s="871" t="str">
        <f>VLOOKUP("Y3 Total quantity",Language!$D$433:$G$573,$L$1,FALSE)</f>
        <v>Cantidad total del A3</v>
      </c>
      <c r="AH13" s="830" t="str">
        <f>VLOOKUP("Y3 Total cost",Language!$D$433:$G$573,$L$1,FALSE)</f>
        <v>Costo total del A3</v>
      </c>
      <c r="AI13" s="887" t="str">
        <f>VLOOKUP("Total quantity",Language!$D$433:$G$573,$L$1,FALSE)</f>
        <v>Cantidad total</v>
      </c>
      <c r="AJ13" s="830" t="str">
        <f>VLOOKUP("Total cost ",Language!$D$433:$G$573,$L$1,FALSE)</f>
        <v xml:space="preserve">Costo total </v>
      </c>
      <c r="AK13" s="387" t="str">
        <f>VLOOKUP("Cost Input",Language!$D$433:$G$573,$L$1,FALSE)</f>
        <v>Categoría de costos</v>
      </c>
      <c r="AL13" s="2713"/>
      <c r="AM13" s="2609"/>
      <c r="AN13" s="2609"/>
      <c r="AT13" s="62"/>
      <c r="AX13" s="390" t="s">
        <v>1213</v>
      </c>
      <c r="AY13" s="390" t="s">
        <v>1214</v>
      </c>
      <c r="AZ13" s="390" t="s">
        <v>1215</v>
      </c>
      <c r="BA13" s="390" t="s">
        <v>1216</v>
      </c>
      <c r="BB13" s="390" t="s">
        <v>1217</v>
      </c>
      <c r="BC13" s="390" t="s">
        <v>1218</v>
      </c>
      <c r="BD13" s="390" t="s">
        <v>1220</v>
      </c>
      <c r="BE13" s="390" t="s">
        <v>1221</v>
      </c>
      <c r="BF13" s="390" t="s">
        <v>1222</v>
      </c>
      <c r="BG13" s="390" t="s">
        <v>1223</v>
      </c>
      <c r="BH13" s="390" t="s">
        <v>1219</v>
      </c>
      <c r="BI13" s="390" t="s">
        <v>1224</v>
      </c>
    </row>
    <row r="14" spans="1:61" s="1128" customFormat="1">
      <c r="A14" s="2610"/>
      <c r="B14" s="2611"/>
      <c r="C14" s="2611"/>
      <c r="D14" s="2611"/>
      <c r="E14" s="2610"/>
      <c r="F14" s="2618"/>
      <c r="G14" s="2618"/>
      <c r="H14" s="2612"/>
      <c r="I14" s="2610"/>
      <c r="J14" s="2618"/>
      <c r="K14" s="2612"/>
      <c r="L14" s="1124" t="str">
        <f>IF(A14&lt;&gt;"",IFERROR(INDEX(PMtbl[[WKst]:[Unit of measure*]],MATCH($A$8&amp;$A14&amp;$E14&amp;$I14,INDEX(PMtbl[Sec]&amp;PMtbl[Category]&amp;PMtbl[INN]&amp;PMtbl[Specification],0,),0),8),""),"")</f>
        <v/>
      </c>
      <c r="M14" s="1124" t="str">
        <f>IF(L14="", "",SETUP!$E$5)</f>
        <v/>
      </c>
      <c r="N14" s="855"/>
      <c r="O14" s="872"/>
      <c r="P14" s="872"/>
      <c r="Q14" s="872"/>
      <c r="R14" s="872"/>
      <c r="S14" s="464">
        <f>SUM('TB-EQUIPMENT &amp; OTHER HPs'!$O14:$R14)</f>
        <v>0</v>
      </c>
      <c r="T14" s="831">
        <f>'TB-EQUIPMENT &amp; OTHER HPs'!$N14*'TB-EQUIPMENT &amp; OTHER HPs'!$S14</f>
        <v>0</v>
      </c>
      <c r="U14" s="855"/>
      <c r="V14" s="872"/>
      <c r="W14" s="872"/>
      <c r="X14" s="872"/>
      <c r="Y14" s="872"/>
      <c r="Z14" s="464">
        <f>SUM('TB-EQUIPMENT &amp; OTHER HPs'!$V14:$Y14)</f>
        <v>0</v>
      </c>
      <c r="AA14" s="831">
        <f>'TB-EQUIPMENT &amp; OTHER HPs'!$U14*'TB-EQUIPMENT &amp; OTHER HPs'!$Z14</f>
        <v>0</v>
      </c>
      <c r="AB14" s="855"/>
      <c r="AC14" s="872"/>
      <c r="AD14" s="872"/>
      <c r="AE14" s="872"/>
      <c r="AF14" s="872"/>
      <c r="AG14" s="464">
        <f>SUM('TB-EQUIPMENT &amp; OTHER HPs'!$AC14:$AF14)</f>
        <v>0</v>
      </c>
      <c r="AH14" s="831">
        <f>'TB-EQUIPMENT &amp; OTHER HPs'!$AB14*'TB-EQUIPMENT &amp; OTHER HPs'!$AG14</f>
        <v>0</v>
      </c>
      <c r="AI14" s="465">
        <f>'TB-EQUIPMENT &amp; OTHER HPs'!$S14+'TB-EQUIPMENT &amp; OTHER HPs'!$Z14+'TB-EQUIPMENT &amp; OTHER HPs'!$AG14</f>
        <v>0</v>
      </c>
      <c r="AJ14" s="831">
        <f>'TB-EQUIPMENT &amp; OTHER HPs'!$T14+'TB-EQUIPMENT &amp; OTHER HPs'!$AA14+'TB-EQUIPMENT &amp; OTHER HPs'!$AH14</f>
        <v>0</v>
      </c>
      <c r="AK14" s="1125" t="str">
        <f>IF(A14&lt;&gt;"",IFERROR(INDEX(PMtbl[[WKst]:[Unit of measure*]],MATCH($A$8&amp;$A14&amp;$E14&amp;$I14,INDEX(PMtbl[Sec]&amp;PMtbl[Category]&amp;PMtbl[INN]&amp;PMtbl[Specification],0,),0),7),""),"")</f>
        <v/>
      </c>
      <c r="AL14" s="946"/>
      <c r="AM14" s="1423" t="str">
        <f>IFERROR(INDEX(SETUP!$C$19:$G$62,MATCH((INDEX(PMtbl[[WKst]:[Unit of measure*]],MATCH($A14&amp;$E14&amp;$I14,INDEX(PMtbl[Category]&amp;PMtbl[INN]&amp;PMtbl[Specification],0,),0),3)),SETUP!$D$19:$D$62,0),5),"")</f>
        <v/>
      </c>
      <c r="AN14" s="1423"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W14" s="1129" t="s">
        <v>292</v>
      </c>
      <c r="AX14" s="1731">
        <f>SUMPRODUCT(($A$14:$D$61="TB Microscopy - Equipment &amp; reagents")*($N$14:$N$61)*(O14:O61))-SUMPRODUCT(($AK$14:$AK$61=6.5)*($N$14:$N$61)*(O14:O61))</f>
        <v>0</v>
      </c>
      <c r="AY14" s="1731">
        <f>SUMPRODUCT(($A$14:$D$61="TB Microscopy - Equipment &amp; reagents")*($N$14:$N$61)*(P14:P61))-SUMPRODUCT(($AK$14:$AK$61=6.5)*($N$14:$N$61)*(P14:P61))</f>
        <v>0</v>
      </c>
      <c r="AZ14" s="1731">
        <f>SUMPRODUCT(($A$14:$D$61="TB Microscopy - Equipment &amp; reagents")*($N$14:$N$61)*(Q14:Q61))-SUMPRODUCT(($AK$14:$AK$61=6.5)*($N$14:$N$61)*(Q14:Q61))</f>
        <v>0</v>
      </c>
      <c r="BA14" s="1731">
        <f>SUMPRODUCT(($A$14:$D$61="TB Microscopy - Equipment &amp; reagents")*($N$14:$N$61)*(R14:R61))-SUMPRODUCT(($AK$14:$AK$61=6.5)*($N$14:$N$61)*(R14:R61))</f>
        <v>0</v>
      </c>
      <c r="BB14" s="1731">
        <f>SUMPRODUCT(($A$14:$D$61="TB Microscopy - Equipment &amp; reagents")*($U$14:$U$61)*(V14:V61))-SUMPRODUCT(($AK$14:$AK$61=6.5)*($U$14:$U$61)*(V14:V61))</f>
        <v>0</v>
      </c>
      <c r="BC14" s="1731">
        <f>SUMPRODUCT(($A$14:$D$61="TB Microscopy - Equipment &amp; reagents")*($U$14:$U$61)*(W14:W61))-SUMPRODUCT(($K$14:$AK$61=6.5)*($U$14:$U$61)*(W14:W61))</f>
        <v>0</v>
      </c>
      <c r="BD14" s="1731">
        <f>SUMPRODUCT(($A$14:$D$61="TB Microscopy - Equipment &amp; reagents")*($U$14:$U$61)*(X14:X61))-SUMPRODUCT(($AK$14:$AK$61=6.5)*($U$14:$U$61)*(X14:X61))</f>
        <v>0</v>
      </c>
      <c r="BE14" s="1731">
        <f>SUMPRODUCT(($A$14:$D$61="TB Microscopy - Equipment &amp; reagents")*($U$14:$U$61)*(Y14:Y61))-SUMPRODUCT(($AK$14:$AK$61=6.5)*($U$14:$U$61)*(Y14:Y61))</f>
        <v>0</v>
      </c>
      <c r="BF14" s="1732">
        <f>SUMPRODUCT(($A$14:$D$61="TB Microscopy - Equipment &amp; reagents")*($AB$14:$AB$61)*(AC14:AC61))-SUMPRODUCT(($AK$14:$AK$61=6.5)*($AB$14:$AB$61)*(AC14:AC61))</f>
        <v>0</v>
      </c>
      <c r="BG14" s="1731">
        <f>SUMPRODUCT(($A$14:$D$61="TB Microscopy - Equipment &amp; reagents")*($AB$14:$AB$61)*(AD14:AD61))-SUMPRODUCT(($AK$14:$AK$61=6.5)*($AB$14:$AB$61)*(AD14:AD61))</f>
        <v>0</v>
      </c>
      <c r="BH14" s="1731">
        <f>SUMPRODUCT(($A$14:$D$61="TB Microscopy - Equipment &amp; reagents")*($AB$14:$AB$61)*(AE14:AE61))-SUMPRODUCT(($AK$14:$AK$61=6.5)*($AB$14:$AB$61)*(AE14:AE61))</f>
        <v>0</v>
      </c>
      <c r="BI14" s="1731">
        <f>SUMPRODUCT(($A$14:$D$61="TB Microscopy - Equipment &amp; reagents")*($AB$14:$AB$61)*(AF14:AF61))-SUMPRODUCT(($AK$14:$AK$61=6.5)*($AB$14:$AB$61)*(AF14:AF61))</f>
        <v>0</v>
      </c>
    </row>
    <row r="15" spans="1:61" s="198" customFormat="1">
      <c r="A15" s="2616"/>
      <c r="B15" s="2304"/>
      <c r="C15" s="2304"/>
      <c r="D15" s="2304"/>
      <c r="E15" s="2616"/>
      <c r="F15" s="2304"/>
      <c r="G15" s="2304"/>
      <c r="H15" s="2617"/>
      <c r="I15" s="2616"/>
      <c r="J15" s="2304"/>
      <c r="K15" s="2617"/>
      <c r="L15" s="176" t="str">
        <f>IF(A15&lt;&gt;"",IFERROR(INDEX(PMtbl[[WKst]:[Unit of measure*]],MATCH($A$8&amp;$A15&amp;$E15&amp;$I15,INDEX(PMtbl[Sec]&amp;PMtbl[Category]&amp;PMtbl[INN]&amp;PMtbl[Specification],0,),0),8),""),"")</f>
        <v/>
      </c>
      <c r="M15" s="177" t="str">
        <f>IF(L15="", "",SETUP!$E$5)</f>
        <v/>
      </c>
      <c r="N15" s="856"/>
      <c r="O15" s="12"/>
      <c r="P15" s="12"/>
      <c r="Q15" s="12"/>
      <c r="R15" s="12"/>
      <c r="S15" s="467">
        <f>SUM('TB-EQUIPMENT &amp; OTHER HPs'!$O15:$R15)</f>
        <v>0</v>
      </c>
      <c r="T15" s="832">
        <f>'TB-EQUIPMENT &amp; OTHER HPs'!$N15*'TB-EQUIPMENT &amp; OTHER HPs'!$S15</f>
        <v>0</v>
      </c>
      <c r="U15" s="856"/>
      <c r="V15" s="12"/>
      <c r="W15" s="12"/>
      <c r="X15" s="12"/>
      <c r="Y15" s="12"/>
      <c r="Z15" s="467">
        <f>SUM('TB-EQUIPMENT &amp; OTHER HPs'!$V15:$Y15)</f>
        <v>0</v>
      </c>
      <c r="AA15" s="832">
        <f>'TB-EQUIPMENT &amp; OTHER HPs'!$U15*'TB-EQUIPMENT &amp; OTHER HPs'!$Z15</f>
        <v>0</v>
      </c>
      <c r="AB15" s="856"/>
      <c r="AC15" s="12"/>
      <c r="AD15" s="12"/>
      <c r="AE15" s="12"/>
      <c r="AF15" s="12"/>
      <c r="AG15" s="467">
        <f>SUM('TB-EQUIPMENT &amp; OTHER HPs'!$AC15:$AF15)</f>
        <v>0</v>
      </c>
      <c r="AH15" s="832">
        <f>'TB-EQUIPMENT &amp; OTHER HPs'!$AB15*'TB-EQUIPMENT &amp; OTHER HPs'!$AG15</f>
        <v>0</v>
      </c>
      <c r="AI15" s="468">
        <f>'TB-EQUIPMENT &amp; OTHER HPs'!$S15+'TB-EQUIPMENT &amp; OTHER HPs'!$Z15+'TB-EQUIPMENT &amp; OTHER HPs'!$AG15</f>
        <v>0</v>
      </c>
      <c r="AJ15" s="832">
        <f>'TB-EQUIPMENT &amp; OTHER HPs'!$T15+'TB-EQUIPMENT &amp; OTHER HPs'!$AA15+'TB-EQUIPMENT &amp; OTHER HPs'!$AH15</f>
        <v>0</v>
      </c>
      <c r="AK15" s="397" t="str">
        <f>IF(A15&lt;&gt;"",IFERROR(INDEX(PMtbl[[WKst]:[Unit of measure*]],MATCH($A$8&amp;$A15&amp;$E15&amp;$I15,INDEX(PMtbl[Sec]&amp;PMtbl[Category]&amp;PMtbl[INN]&amp;PMtbl[Specification],0,),0),7),""),"")</f>
        <v/>
      </c>
      <c r="AL15" s="947"/>
      <c r="AM15" s="1424" t="str">
        <f>IFERROR(INDEX(SETUP!$C$19:$G$62,MATCH((INDEX(PMtbl[[WKst]:[Unit of measure*]],MATCH($A15&amp;$E15&amp;$I15,INDEX(PMtbl[Category]&amp;PMtbl[INN]&amp;PMtbl[Specification],0,),0),3)),SETUP!$D$19:$D$62,0),5),"")</f>
        <v/>
      </c>
      <c r="AN15" s="1424"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W15" s="466" t="s">
        <v>1348</v>
      </c>
      <c r="AX15" s="1731">
        <f>SUMPRODUCT(($A$69:$D$83="RDTs for TB")*($N$69:$N$83)*(O69:O83))+SUMPRODUCT(($A$69:$D$83="GeneXpert - Equipment &amp; cartridges for TB program")*($N$69:$N$83)*(O69:O83))+SUMPRODUCT(($A$69:$D$83="TB-LAMP Loop-Mediated Isothermal Amplification for TB program")*($N$69:$N$83)*(O69:O83))+SUMPRODUCT(($A$69:$D$83="TrueNat for TB program")*($N$69:$N$83)*(O69:O83))-SUMPRODUCT(($AK$69:$AK$83=6.5)*($N$69:$N$83)*(O69:O83))</f>
        <v>0</v>
      </c>
      <c r="AY15" s="1731">
        <f>SUMPRODUCT(($A$69:$D$83="RDTs for TB")*($N$69:$N$83)*(P69:P83))+SUMPRODUCT(($A$69:$D$83="GeneXpert - Equipment &amp; cartridges for TB program")*($N$69:$N$83)*(P69:P83))+SUMPRODUCT(($A$69:$D$83="TB-LAMP Loop-Mediated Isothermal Amplification for TB program")*($N$69:$N$83)*(P69:P83))+SUMPRODUCT(($A$69:$D$83="TrueNat for TB program")*($N$69:$N$83)*(P69:P83))-SUMPRODUCT(($AK$69:$AK$83=6.5)*($N$69:$N$83)*(P69:P83))</f>
        <v>0</v>
      </c>
      <c r="AZ15" s="1731">
        <f>SUMPRODUCT(($A$69:$D$83="RDTs for TB")*($N$69:$N$83)*(Q69:Q83))+SUMPRODUCT(($A$69:$D$83="GeneXpert - Equipment &amp; cartridges for TB program")*($N$69:$N$83)*(Q69:Q83))+SUMPRODUCT(($A$69:$D$83="TB-LAMP Loop-Mediated Isothermal Amplification for TB program")*($N$69:$N$83)*(Q69:Q83))+SUMPRODUCT(($A$69:$D$83="TrueNat for TB program")*($N$69:$N$83)*(Q69:Q83))-SUMPRODUCT(($AK$69:$AK$83=6.5)*($N$69:$N$83)*(Q69:Q83))</f>
        <v>0</v>
      </c>
      <c r="BA15" s="1731">
        <f>SUMPRODUCT(($A$69:$D$83="RDTs for TB")*($N$69:$N$83)*(R69:R83))+SUMPRODUCT(($A$69:$D$83="GeneXpert - Equipment &amp; cartridges for TB program")*($N$69:$N$83)*(R69:R83))+SUMPRODUCT(($A$69:$D$83="TB-LAMP Loop-Mediated Isothermal Amplification for TB program")*($N$69:$N$83)*(R69:R83))+SUMPRODUCT(($A$69:$D$83="TrueNat for TB program")*($N$69:$N$83)*(R69:R83))-SUMPRODUCT(($AK$69:$AK$83=6.5)*($N$69:$N$83)*(R69:R83))</f>
        <v>0</v>
      </c>
      <c r="BB15" s="1731">
        <f>SUMPRODUCT(($A$69:$D$83="RDTs for TB")*($U$69:$U$83)*(V69:V83))+SUMPRODUCT(($A$69:$D$83="GeneXpert - Equipment &amp; cartridges for TB program")*($U$69:$U$83)*(V69:V83))+SUMPRODUCT(($A$69:$D$83="TB-LAMP Loop-Mediated Isothermal Amplification for TB program")*($U$69:$U$83)*(V69:V83))+SUMPRODUCT(($A$69:$D$83="TrueNat for TB program")*($U$69:$U$83)*(V69:V83))-SUMPRODUCT(($AK$69:$AK$83=6.5)*($U$69:$U$83)*(V69:V83))</f>
        <v>0</v>
      </c>
      <c r="BC15" s="1731">
        <f>SUMPRODUCT(($A$69:$D$83="RDTs for TB")*($U$69:$U$83)*(W69:W83))+SUMPRODUCT(($A$69:$D$83="GeneXpert - Equipment &amp; cartridges for TB program")*($U$69:$U$83)*(W69:W83))+SUMPRODUCT(($A$69:$D$83="TB-LAMP Loop-Mediated Isothermal Amplification for TB program")*($U$69:$U$83)*(W69:W83))+SUMPRODUCT(($A$69:$D$83="TrueNat for TB program")*($U$69:$U$83)*(W69:W83))-SUMPRODUCT(($AK$69:$AK$83=6.5)*($U$69:$U$83)*(W69:W83))</f>
        <v>0</v>
      </c>
      <c r="BD15" s="1731">
        <f>SUMPRODUCT(($A$69:$D$83="RDTs for TB")*($U$69:$U$83)*(X69:X83))+SUMPRODUCT(($A$69:$D$83="GeneXpert - Equipment &amp; cartridges for TB program")*($U$69:$U$83)*(X69:X83))+SUMPRODUCT(($A$69:$D$83="TB-LAMP Loop-Mediated Isothermal Amplification for TB program")*($U$69:$U$83)*(X69:X83))+SUMPRODUCT(($A$69:$D$83="TrueNat for TB program")*($U$69:$U$83)*(X69:X83))-SUMPRODUCT(($AK$69:$AK$83=6.5)*($U$69:$U$83)*(X69:X83))</f>
        <v>0</v>
      </c>
      <c r="BE15" s="1731">
        <f>SUMPRODUCT(($A$69:$D$83="RDTs for TB")*($U$69:$U$83)*(Y69:Y83))+SUMPRODUCT(($A$69:$D$83="GeneXpert - Equipment &amp; cartridges for TB program")*($U$69:$U$83)*(Y69:Y83))+SUMPRODUCT(($A$69:$D$83="TB-LAMP Loop-Mediated Isothermal Amplification for TB program")*($U$69:$U$83)*(Y69:Y83))+SUMPRODUCT(($A$69:$D$83="TrueNat for TB program")*($U$69:$U$83)*(Y69:Y83))-SUMPRODUCT(($AK$69:$AK$83=6.5)*($U$69:$U$83)*(Y69:Y83))</f>
        <v>0</v>
      </c>
      <c r="BF15" s="1731">
        <f>SUMPRODUCT(($A$69:$D$83="RDTs for TB")*($AB$69:$AB$83)*(AC69:AC83))+SUMPRODUCT(($A$69:$D$83="GeneXpert - Equipment &amp; cartridges for TB program")*($AB$69:$AB$83)*(AC69:AC83))+SUMPRODUCT(($A$69:$D$83="TB-LAMP Loop-Mediated Isothermal Amplification for TB program")*($AB$69:$AB$83)*(AC69:AC83))+SUMPRODUCT(($A$69:$D$83="TrueNat for TB program")*($AB$69:$AB$83)*(AC69:AC83))-SUMPRODUCT(($AK$69:$AK$83=6.5)*($AB$69:$AB$83)*(AC69:AC83))</f>
        <v>0</v>
      </c>
      <c r="BG15" s="1731">
        <f>SUMPRODUCT(($A$69:$D$83="RDTs for TB")*($AB$69:$AB$83)*(AD69:AD83))+SUMPRODUCT(($A$69:$D$83="GeneXpert - Equipment &amp; cartridges for TB program")*($AB$69:$AB$83)*(AD69:AD83))+SUMPRODUCT(($A$69:$D$83="TB-LAMP Loop-Mediated Isothermal Amplification for TB program")*($AB$69:$AB$83)*(AD69:AD83))+SUMPRODUCT(($A$69:$D$83="TrueNat for TB program")*($AB$69:$AB$83)*(AD69:AD83))-SUMPRODUCT(($AK$69:$AK$83=6.5)*($AB$69:$AB$83)*(AD69:AD83))</f>
        <v>0</v>
      </c>
      <c r="BH15" s="1731">
        <f>SUMPRODUCT(($A$69:$D$83="RDTs for TB")*($AB$69:$AB$83)*(AE69:AE83))+SUMPRODUCT(($A$69:$D$83="GeneXpert - Equipment &amp; cartridges for TB program")*($AB$69:$AB$83)*(AE69:AE83))+SUMPRODUCT(($A$69:$D$83="TB-LAMP Loop-Mediated Isothermal Amplification for TB program")*($AB$69:$AB$83)*(AE69:AE83))+SUMPRODUCT(($A$69:$D$83="TrueNat for TB program")*($AB$69:$AB$83)*(AE69:AE83))-SUMPRODUCT(($AK$69:$AK$83=6.5)*($AB$69:$AB$83)*(AE69:AE83))</f>
        <v>0</v>
      </c>
      <c r="BI15" s="1731">
        <f>SUMPRODUCT(($A$69:$D$83="RDTs for TB")*($AB$69:$AB$83)*(AF69:AF83))+SUMPRODUCT(($A$69:$D$83="GeneXpert - Equipment &amp; cartridges for TB program")*($AB$69:$AB$83)*(AF69:AF83))+SUMPRODUCT(($A$69:$D$83="TB-LAMP Loop-Mediated Isothermal Amplification for TB program")*($AB$69:$AB$83)*(AF69:AF83))+SUMPRODUCT(($A$69:$D$83="TrueNat for TB program")*($AB$69:$AB$83)*(AF69:AF83))-SUMPRODUCT(($AK$69:$AK$83=6.5)*($AB$69:$AB$83)*(AF69:AF83))</f>
        <v>0</v>
      </c>
    </row>
    <row r="16" spans="1:61" s="198" customFormat="1">
      <c r="A16" s="2610"/>
      <c r="B16" s="2611"/>
      <c r="C16" s="2611"/>
      <c r="D16" s="2611"/>
      <c r="E16" s="2610"/>
      <c r="F16" s="2611"/>
      <c r="G16" s="2611"/>
      <c r="H16" s="2612"/>
      <c r="I16" s="2610"/>
      <c r="J16" s="2611"/>
      <c r="K16" s="2612"/>
      <c r="L16" s="175" t="str">
        <f>IF(A16&lt;&gt;"",IFERROR(INDEX(PMtbl[[WKst]:[Unit of measure*]],MATCH($A$8&amp;$A16&amp;$E16&amp;$I16,INDEX(PMtbl[Sec]&amp;PMtbl[Category]&amp;PMtbl[INN]&amp;PMtbl[Specification],0,),0),8),""),"")</f>
        <v/>
      </c>
      <c r="M16" s="175" t="str">
        <f>IF(L16="", "",SETUP!$E$5)</f>
        <v/>
      </c>
      <c r="N16" s="857"/>
      <c r="O16" s="873"/>
      <c r="P16" s="873"/>
      <c r="Q16" s="873"/>
      <c r="R16" s="873"/>
      <c r="S16" s="469">
        <f>SUM('TB-EQUIPMENT &amp; OTHER HPs'!$O16:$R16)</f>
        <v>0</v>
      </c>
      <c r="T16" s="833">
        <f>'TB-EQUIPMENT &amp; OTHER HPs'!$N16*'TB-EQUIPMENT &amp; OTHER HPs'!$S16</f>
        <v>0</v>
      </c>
      <c r="U16" s="857"/>
      <c r="V16" s="873"/>
      <c r="W16" s="873"/>
      <c r="X16" s="873"/>
      <c r="Y16" s="873"/>
      <c r="Z16" s="469">
        <f>SUM('TB-EQUIPMENT &amp; OTHER HPs'!$V16:$Y16)</f>
        <v>0</v>
      </c>
      <c r="AA16" s="833">
        <f>'TB-EQUIPMENT &amp; OTHER HPs'!$U16*'TB-EQUIPMENT &amp; OTHER HPs'!$Z16</f>
        <v>0</v>
      </c>
      <c r="AB16" s="857"/>
      <c r="AC16" s="873"/>
      <c r="AD16" s="873"/>
      <c r="AE16" s="873"/>
      <c r="AF16" s="873"/>
      <c r="AG16" s="469">
        <f>SUM('TB-EQUIPMENT &amp; OTHER HPs'!$AC16:$AF16)</f>
        <v>0</v>
      </c>
      <c r="AH16" s="833">
        <f>'TB-EQUIPMENT &amp; OTHER HPs'!$AB16*'TB-EQUIPMENT &amp; OTHER HPs'!$AG16</f>
        <v>0</v>
      </c>
      <c r="AI16" s="470">
        <f>'TB-EQUIPMENT &amp; OTHER HPs'!$S16+'TB-EQUIPMENT &amp; OTHER HPs'!$Z16+'TB-EQUIPMENT &amp; OTHER HPs'!$AG16</f>
        <v>0</v>
      </c>
      <c r="AJ16" s="833">
        <f>'TB-EQUIPMENT &amp; OTHER HPs'!$T16+'TB-EQUIPMENT &amp; OTHER HPs'!$AA16+'TB-EQUIPMENT &amp; OTHER HPs'!$AH16</f>
        <v>0</v>
      </c>
      <c r="AK16" s="400" t="str">
        <f>IF(A16&lt;&gt;"",IFERROR(INDEX(PMtbl[[WKst]:[Unit of measure*]],MATCH($A$8&amp;$A16&amp;$E16&amp;$I16,INDEX(PMtbl[Sec]&amp;PMtbl[Category]&amp;PMtbl[INN]&amp;PMtbl[Specification],0,),0),7),""),"")</f>
        <v/>
      </c>
      <c r="AL16" s="946"/>
      <c r="AM16" s="1425" t="str">
        <f>IFERROR(INDEX(SETUP!$C$19:$G$62,MATCH((INDEX(PMtbl[[WKst]:[Unit of measure*]],MATCH($A16&amp;$E16&amp;$I16,INDEX(PMtbl[Category]&amp;PMtbl[INN]&amp;PMtbl[Specification],0,),0),3)),SETUP!$D$19:$D$62,0),5),"")</f>
        <v/>
      </c>
      <c r="AN16" s="1425"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W16" s="466" t="s">
        <v>1354</v>
      </c>
      <c r="AX16" s="1731">
        <f>SUMPRODUCT(($A$91:$D$130="Culture/DST/LPA - Equipment &amp; reagents")*($N$91:$N$130)*(O91:O130))-SUMPRODUCT(($AK$91:$AK$130=6.5)*($N$91:$N$130)*(O91:O130))</f>
        <v>0</v>
      </c>
      <c r="AY16" s="1731">
        <f>SUMPRODUCT(($A$91:$D$130="Culture/DST/LPA - Equipment &amp; reagents")*($N$91:$N$130)*(P91:P130))-SUMPRODUCT(($AK$91:$AK$130=6.5)*($N$91:$N$130)*(P91:P130))</f>
        <v>0</v>
      </c>
      <c r="AZ16" s="1731">
        <f>SUMPRODUCT(($A$91:$D$130="Culture/DST/LPA - Equipment &amp; reagents")*($N$91:$N$130)*(Q91:Q130))-SUMPRODUCT(($AK$91:$AK$130=6.5)*($N$91:$N$130)*(Q91:Q130))</f>
        <v>0</v>
      </c>
      <c r="BA16" s="1731">
        <f>SUMPRODUCT(($A$91:$D$130="Culture/DST/LPA - Equipment &amp; reagents")*($N$91:$N$130)*(R91:R130))-SUMPRODUCT(($AK$91:$AK$130=6.5)*($N$91:$N$130)*(R91:R130))</f>
        <v>0</v>
      </c>
      <c r="BB16" s="1731">
        <f>SUMPRODUCT(($A$91:$D$130="Culture/DST/LPA - Equipment &amp; reagents")*($U$91:$U$130)*(V91:V130))-SUMPRODUCT(($AK$91:$AK$130=6.5)*($U$91:$U$130)*(V91:V130))</f>
        <v>0</v>
      </c>
      <c r="BC16" s="1731">
        <f>SUMPRODUCT(($A$91:$D$130="Culture/DST/LPA - Equipment &amp; reagents")*($U$91:$U$130)*(W91:W130))-SUMPRODUCT(($AK$91:$AK$130=6.5)*($U$91:$U$130)*(W91:W130))</f>
        <v>0</v>
      </c>
      <c r="BD16" s="1731">
        <f>SUMPRODUCT(($A$91:$D$130="Culture/DST/LPA - Equipment &amp; reagents")*($U$91:$U$130)*(X91:X130))-SUMPRODUCT(($AK$91:$AK$130=6.5)*($U$91:$U$130)*(X91:X130))</f>
        <v>0</v>
      </c>
      <c r="BE16" s="1731">
        <f>SUMPRODUCT(($A$91:$D$130="Culture/DST/LPA - Equipment &amp; reagents")*($U$91:$U$130)*(Y91:Y130))-SUMPRODUCT(($AK$91:$AK$130=6.5)*($U$91:$U$130)*(Y91:Y130))</f>
        <v>0</v>
      </c>
      <c r="BF16" s="1731">
        <f>SUMPRODUCT(($A$91:$D$130="Culture/DST/LPA - Equipment &amp; reagents")*($AB$91:$AB$130)*(AC91:AC130))-SUMPRODUCT(($AK$91:$AK$130=6.5)*($AB$91:$AB$130)*(AC91:AC130))</f>
        <v>0</v>
      </c>
      <c r="BG16" s="1731">
        <f>SUMPRODUCT(($A$91:$D$130="Culture/DST/LPA - Equipment &amp; reagents")*($AB$91:$AB$130)*(AD91:AD130))-SUMPRODUCT(($AK$91:$AK$130=6.5)*($AB$91:$AB$130)*(AD91:AD130))</f>
        <v>0</v>
      </c>
      <c r="BH16" s="1731">
        <f>SUMPRODUCT(($A$91:$D$130="Culture/DST/LPA - Equipment &amp; reagents")*($AB$91:$AB$130)*(AE91:AE130))-SUMPRODUCT(($AK$91:$AK$130=6.5)*($AB$91:$AB$130)*(AE91:AE130))</f>
        <v>0</v>
      </c>
      <c r="BI16" s="1731">
        <f>SUMPRODUCT(($A$91:$D$130="Culture/DST/LPA - Equipment &amp; reagents")*($AB$91:$AB$130)*(AF91:AF130))-SUMPRODUCT(($AK$91:$AK$130=6.5)*($AB$91:$AB$130)*(AF91:AF130))</f>
        <v>0</v>
      </c>
    </row>
    <row r="17" spans="1:62" s="198" customFormat="1">
      <c r="A17" s="2616"/>
      <c r="B17" s="2304"/>
      <c r="C17" s="2304"/>
      <c r="D17" s="2304"/>
      <c r="E17" s="2616"/>
      <c r="F17" s="2304"/>
      <c r="G17" s="2304"/>
      <c r="H17" s="2617"/>
      <c r="I17" s="2616"/>
      <c r="J17" s="2304"/>
      <c r="K17" s="2617"/>
      <c r="L17" s="176" t="str">
        <f>IF(A17&lt;&gt;"",IFERROR(INDEX(PMtbl[[WKst]:[Unit of measure*]],MATCH($A$8&amp;$A17&amp;$E17&amp;$I17,INDEX(PMtbl[Sec]&amp;PMtbl[Category]&amp;PMtbl[INN]&amp;PMtbl[Specification],0,),0),8),""),"")</f>
        <v/>
      </c>
      <c r="M17" s="177" t="str">
        <f>IF(L17="", "",SETUP!$E$5)</f>
        <v/>
      </c>
      <c r="N17" s="856"/>
      <c r="O17" s="12"/>
      <c r="P17" s="12"/>
      <c r="Q17" s="12"/>
      <c r="R17" s="12"/>
      <c r="S17" s="467">
        <f>SUM('TB-EQUIPMENT &amp; OTHER HPs'!$O17:$R17)</f>
        <v>0</v>
      </c>
      <c r="T17" s="832">
        <f>'TB-EQUIPMENT &amp; OTHER HPs'!$N17*'TB-EQUIPMENT &amp; OTHER HPs'!$S17</f>
        <v>0</v>
      </c>
      <c r="U17" s="856"/>
      <c r="V17" s="12"/>
      <c r="W17" s="12"/>
      <c r="X17" s="12"/>
      <c r="Y17" s="12"/>
      <c r="Z17" s="467">
        <f>SUM('TB-EQUIPMENT &amp; OTHER HPs'!$V17:$Y17)</f>
        <v>0</v>
      </c>
      <c r="AA17" s="832">
        <f>'TB-EQUIPMENT &amp; OTHER HPs'!$U17*'TB-EQUIPMENT &amp; OTHER HPs'!$Z17</f>
        <v>0</v>
      </c>
      <c r="AB17" s="856"/>
      <c r="AC17" s="12"/>
      <c r="AD17" s="12"/>
      <c r="AE17" s="12"/>
      <c r="AF17" s="12"/>
      <c r="AG17" s="467">
        <f>SUM('TB-EQUIPMENT &amp; OTHER HPs'!$AC17:$AF17)</f>
        <v>0</v>
      </c>
      <c r="AH17" s="832">
        <f>'TB-EQUIPMENT &amp; OTHER HPs'!$AB17*'TB-EQUIPMENT &amp; OTHER HPs'!$AG17</f>
        <v>0</v>
      </c>
      <c r="AI17" s="468">
        <f>'TB-EQUIPMENT &amp; OTHER HPs'!$S17+'TB-EQUIPMENT &amp; OTHER HPs'!$Z17+'TB-EQUIPMENT &amp; OTHER HPs'!$AG17</f>
        <v>0</v>
      </c>
      <c r="AJ17" s="832">
        <f>'TB-EQUIPMENT &amp; OTHER HPs'!$T17+'TB-EQUIPMENT &amp; OTHER HPs'!$AA17+'TB-EQUIPMENT &amp; OTHER HPs'!$AH17</f>
        <v>0</v>
      </c>
      <c r="AK17" s="397" t="str">
        <f>IF(A17&lt;&gt;"",IFERROR(INDEX(PMtbl[[WKst]:[Unit of measure*]],MATCH($A$8&amp;$A17&amp;$E17&amp;$I17,INDEX(PMtbl[Sec]&amp;PMtbl[Category]&amp;PMtbl[INN]&amp;PMtbl[Specification],0,),0),7),""),"")</f>
        <v/>
      </c>
      <c r="AL17" s="947"/>
      <c r="AM17" s="1424" t="str">
        <f>IFERROR(INDEX(SETUP!$C$19:$G$62,MATCH((INDEX(PMtbl[[WKst]:[Unit of measure*]],MATCH($A17&amp;$E17&amp;$I17,INDEX(PMtbl[Category]&amp;PMtbl[INN]&amp;PMtbl[Specification],0,),0),3)),SETUP!$D$19:$D$62,0),5),"")</f>
        <v/>
      </c>
      <c r="AN17" s="1424"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W17" s="466" t="s">
        <v>449</v>
      </c>
      <c r="AX17" s="1731">
        <f>SUMPRODUCT(($A$138:$D$175="Consumables for TB program")*($N$138:$N$175)*(O138:O175))+AX18
+SUMPRODUCT(($A$138:$D$175="Laboratory equipment for TB program")*($N$138:$N$175)*(O138:O175))
+SUMPRODUCT(($A$138:$D$175="Waste management for TB")*($N$138:$N$175)*(O138:O175))
+SUMPRODUCT(($A$138:$D$175="Other health equipment for TB program")*($N$138:$N$175)*(O138:O175))
+SUMPRODUCT(($A$138:$D$175="Other Laboratory reagents_TB program")*($N$138:$N$175)*(O138:O175))
-SUMPRODUCT(($AK$138:$AK$175=6.5)*($N$138:$N$175)*(O138:O175))</f>
        <v>0</v>
      </c>
      <c r="AY17" s="1731">
        <f>SUMPRODUCT(($A$138:$D$175="Consumables for TB program")*($N$138:$N$175)*(P138:P175))+SUMPRODUCT(($A$138:$D$175="Laboratory equipment for TB program")*($N$138:$N$175)*(P138:P175))+SUMPRODUCT(($A$138:$D$175="Waste management for TB")*($N$138:$N$175)*(P138:P175))+SUMPRODUCT(($A$138:$D$175="Other health equipment for TB program")*($N$138:$N$175)*(P138:P175))+SUMPRODUCT(($A$138:$D$175="Other Laboratory reagents_TB program")*($N$138:$N$175)*(P138:P175))-SUMPRODUCT(($AK$138:$AK$175=6.5)*($N$138:$N$175)*(P138:P175))+AY18</f>
        <v>0</v>
      </c>
      <c r="AZ17" s="1731">
        <f>SUMPRODUCT(($A$138:$D$175="Consumables for TB program")*($N$138:$N$175)*(Q138:Q175))+SUMPRODUCT(($A$138:$D$175="Laboratory equipment for TB program")*($N$138:$N$175)*(Q138:Q175))+SUMPRODUCT(($A$138:$D$175="Waste management for TB")*($N$138:$N$175)*(Q138:Q175))+SUMPRODUCT(($A$138:$D$175="Other health equipment for TB program")*($N$138:$N$175)*(Q138:Q175))+SUMPRODUCT(($A$138:$D$175="Other Laboratory reagents_TB program")*($N$138:$N$175)*(Q138:Q175))-SUMPRODUCT(($AK$138:$AK$175=6.5)*($N$138:$N$175)*(Q138:Q175))+AZ18</f>
        <v>0</v>
      </c>
      <c r="BA17" s="1731">
        <f>SUMPRODUCT(($A$138:$D$175="Consumables for TB program")*($N$138:$N$175)*(R138:R175))+SUMPRODUCT(($A$138:$D$175="Laboratory equipment for TB program")*($N$138:$N$175)*(R138:R175))+SUMPRODUCT(($A$138:$D$175="Waste management for TB")*($N$138:$N$175)*(R138:R175))+SUMPRODUCT(($A$138:$D$175="Other health equipment for TB program")*($N$138:$N$175)*(R138:R175))+SUMPRODUCT(($A$138:$D$175="Other Laboratory reagents_TB program")*($N$138:$N$175)*(R138:R175))-SUMPRODUCT(($AK$138:$AK$175=6.5)*($N$138:$N$175)*(R138:R175))+BA18</f>
        <v>0</v>
      </c>
      <c r="BB17" s="1731">
        <f>SUMPRODUCT(($A$138:$D$175="Consumables for TB program")*($U$138:$U$175)*(V138:V175))+SUMPRODUCT(($A$138:$D$175="Laboratory equipment for TB program")*($U$138:$U$175)*(V138:V175))+SUMPRODUCT(($A$138:$D$175="Waste management for TB")*($U$138:$U$175)*(V138:V175))+SUMPRODUCT(($A$138:$D$175="Other health equipment for TB program")*($U$138:$U$175)*(V138:V175))+SUMPRODUCT(($A$138:$D$175="Other Laboratory reagents_TB program")*($U$138:$U$175)*(V138:V175))-SUMPRODUCT(($AK$138:$AK$175=6.5)*($U$138:$U$175)*(V138:V175))+BB18</f>
        <v>0</v>
      </c>
      <c r="BC17" s="1731">
        <f>SUMPRODUCT(($A$138:$D$175="Consumables for TB program")*($U$138:$U$175)*(W138:W175))+SUMPRODUCT(($A$138:$D$175="Laboratory equipment for TB program")*($U$138:$U$175)*(W138:W175))+SUMPRODUCT(($A$138:$D$175="Waste management for TB")*($U$138:$U$175)*(W138:W175))+SUMPRODUCT(($A$138:$D$175="Other health equipment for TB program")*($U$138:$U$175)*(W138:W175))+SUMPRODUCT(($A$138:$D$175="Other Laboratory reagents_TB program")*($U$138:$U$175)*(W138:W175))-SUMPRODUCT(($AK$138:$AK$175=6.5)*($U$138:$U$175)*(W138:W175))+BC18</f>
        <v>0</v>
      </c>
      <c r="BD17" s="1731">
        <f>SUMPRODUCT(($A$138:$D$175="Consumables for TB program")*($U$138:$U$175)*(X138:X175))+SUMPRODUCT(($A$138:$D$175="Laboratory equipment for TB program")*($U$138:$U$175)*(X138:X175))+SUMPRODUCT(($A$138:$D$175="Waste management for TB")*($U$138:$U$175)*(X138:X175))+SUMPRODUCT(($A$138:$D$175="Other health equipment for TB program")*($U$138:$U$175)*(X138:X175))+SUMPRODUCT(($A$138:$D$175="Other Laboratory reagents_TB program")*($U$138:$U$175)*(X138:X175))-SUMPRODUCT(($AK$138:$AK$175=6.5)*($U$138:$U$175)*(X138:X175))+BD18</f>
        <v>0</v>
      </c>
      <c r="BE17" s="1731">
        <f>SUMPRODUCT(($A$138:$D$175="Consumables for TB program")*($U$138:$U$175)*(Y138:Y175))+SUMPRODUCT(($A$138:$D$175="Laboratory equipment for TB program")*($U$138:$U$175)*(Y138:Y175))+SUMPRODUCT(($A$138:$D$175="Waste management for TB")*($U$138:$U$175)*(Y138:Y175))+SUMPRODUCT(($A$138:$D$175="Other health equipment for TB program")*($U$138:$U$175)*(Y138:Y175))+SUMPRODUCT(($A$138:$D$175="Other Laboratory reagents_TB program")*($U$138:$U$175)*(Y138:Y175))-SUMPRODUCT(($AK$138:$AK$175=6.5)*($U$138:$U$175)*(Y138:Y175))+BE18</f>
        <v>0</v>
      </c>
      <c r="BF17" s="1731">
        <f>SUMPRODUCT(($A$138:$D$175="Consumables for TB program")*($AB$138:$AB$175)*(AC138:AC175))+SUMPRODUCT(($A$138:$D$175="Laboratory equipment for TB program")*($AB$138:$AB$175)*(AC138:AC175))+SUMPRODUCT(($A$138:$D$175="Waste management for TB")*($AB$138:$AB$175)*(AC138:AC175))+SUMPRODUCT(($A$138:$D$175="Other health equipment for TB program")*($AB$138:$AB$175)*(AC138:AC175))+SUMPRODUCT(($A$138:$D$175="Other Laboratory reagents_TB program")*($AB$138:$AB$175)*(AC138:AC175))-SUMPRODUCT(($AK$138:$AK$175=6.5)*($AB$138:$AB$175)*(AC138:AC175))+BF18</f>
        <v>0</v>
      </c>
      <c r="BG17" s="1731">
        <f>SUMPRODUCT(($A$138:$D$175="Consumables for TB program")*($AB$138:$AB$175)*(AD138:AD175))+SUMPRODUCT(($A$138:$D$175="Laboratory equipment for TB program")*($AB$138:$AB$175)*(AD138:AD175))+SUMPRODUCT(($A$138:$D$175="Waste management for TB")*($AB$138:$AB$175)*(AD138:AD175))+SUMPRODUCT(($A$138:$D$175="Other health equipment for TB program")*($AB$138:$AB$175)*(AD138:AD175))+SUMPRODUCT(($A$138:$D$175="Other Laboratory reagents_TB program")*($AB$138:$AB$175)*(AD138:AD175))-SUMPRODUCT(($AK$138:$AK$175=6.5)*($AB$138:$AB$175)*(AD138:AD175))+BG18</f>
        <v>0</v>
      </c>
      <c r="BH17" s="1731">
        <f>SUMPRODUCT(($A$138:$D$175="Consumables for TB program")*($AB$138:$AB$175)*(AE138:AE175))+SUMPRODUCT(($A$138:$D$175="Laboratory equipment for TB program")*($AB$138:$AB$175)*(AE138:AE175))+SUMPRODUCT(($A$138:$D$175="Waste management for TB")*($AB$138:$AB$175)*(AE138:AE175))+SUMPRODUCT(($A$138:$D$175="Other health equipment for TB program")*($AB$138:$AB$175)*(AE138:AE175))+SUMPRODUCT(($A$138:$D$175="Other Laboratory reagents_TB program")*($AB$138:$AB$175)*(AE138:AE175))-SUMPRODUCT(($AK$138:$AK$175=6.5)*($AB$138:$AB$175)*(AE138:AE175))+BH18</f>
        <v>0</v>
      </c>
      <c r="BI17" s="1731">
        <f>SUMPRODUCT(($A$138:$D$175="Consumables for TB program")*($AB$138:$AB$175)*(AF138:AF175))+SUMPRODUCT(($A$138:$D$175="Laboratory equipment for TB program")*($AB$138:$AB$175)*(AF138:AF175))+SUMPRODUCT(($A$138:$D$175="Waste management for TB")*($AB$138:$AB$175)*(AF138:AF175))+SUMPRODUCT(($A$138:$D$175="Other health equipment for TB program")*($AB$138:$AB$175)*(AF138:AF175))+SUMPRODUCT(($A$138:$D$175="Other Laboratory reagents_TB program")*($AB$138:$AB$175)*(AF138:AF175))-SUMPRODUCT(($AK$138:$AK$175=6.5)*($AB$138:$AB$175)*(AF138:AF175))+BI18</f>
        <v>0</v>
      </c>
    </row>
    <row r="18" spans="1:62" s="198" customFormat="1">
      <c r="A18" s="2610"/>
      <c r="B18" s="2611"/>
      <c r="C18" s="2611"/>
      <c r="D18" s="2611"/>
      <c r="E18" s="2610"/>
      <c r="F18" s="2611"/>
      <c r="G18" s="2611"/>
      <c r="H18" s="2612"/>
      <c r="I18" s="2610"/>
      <c r="J18" s="2611"/>
      <c r="K18" s="2612"/>
      <c r="L18" s="175" t="str">
        <f>IF(A18&lt;&gt;"",IFERROR(INDEX(PMtbl[[WKst]:[Unit of measure*]],MATCH($A$8&amp;$A18&amp;$E18&amp;$I18,INDEX(PMtbl[Sec]&amp;PMtbl[Category]&amp;PMtbl[INN]&amp;PMtbl[Specification],0,),0),8),""),"")</f>
        <v/>
      </c>
      <c r="M18" s="175" t="str">
        <f>IF(L18="", "",SETUP!$E$5)</f>
        <v/>
      </c>
      <c r="N18" s="857"/>
      <c r="O18" s="873"/>
      <c r="P18" s="873"/>
      <c r="Q18" s="873"/>
      <c r="R18" s="873"/>
      <c r="S18" s="469">
        <f>SUM('TB-EQUIPMENT &amp; OTHER HPs'!$O18:$R18)</f>
        <v>0</v>
      </c>
      <c r="T18" s="833">
        <f>'TB-EQUIPMENT &amp; OTHER HPs'!$N18*'TB-EQUIPMENT &amp; OTHER HPs'!$S18</f>
        <v>0</v>
      </c>
      <c r="U18" s="857"/>
      <c r="V18" s="873"/>
      <c r="W18" s="873"/>
      <c r="X18" s="873"/>
      <c r="Y18" s="873"/>
      <c r="Z18" s="469">
        <f>SUM('TB-EQUIPMENT &amp; OTHER HPs'!$V18:$Y18)</f>
        <v>0</v>
      </c>
      <c r="AA18" s="833">
        <f>'TB-EQUIPMENT &amp; OTHER HPs'!$U18*'TB-EQUIPMENT &amp; OTHER HPs'!$Z18</f>
        <v>0</v>
      </c>
      <c r="AB18" s="857"/>
      <c r="AC18" s="873"/>
      <c r="AD18" s="873"/>
      <c r="AE18" s="873"/>
      <c r="AF18" s="873"/>
      <c r="AG18" s="469">
        <f>SUM('TB-EQUIPMENT &amp; OTHER HPs'!$AC18:$AF18)</f>
        <v>0</v>
      </c>
      <c r="AH18" s="833">
        <f>'TB-EQUIPMENT &amp; OTHER HPs'!$AB18*'TB-EQUIPMENT &amp; OTHER HPs'!$AG18</f>
        <v>0</v>
      </c>
      <c r="AI18" s="470">
        <f>'TB-EQUIPMENT &amp; OTHER HPs'!$S18+'TB-EQUIPMENT &amp; OTHER HPs'!$Z18+'TB-EQUIPMENT &amp; OTHER HPs'!$AG18</f>
        <v>0</v>
      </c>
      <c r="AJ18" s="833">
        <f>'TB-EQUIPMENT &amp; OTHER HPs'!$T18+'TB-EQUIPMENT &amp; OTHER HPs'!$AA18+'TB-EQUIPMENT &amp; OTHER HPs'!$AH18</f>
        <v>0</v>
      </c>
      <c r="AK18" s="400" t="str">
        <f>IF(A18&lt;&gt;"",IFERROR(INDEX(PMtbl[[WKst]:[Unit of measure*]],MATCH($A$8&amp;$A18&amp;$E18&amp;$I18,INDEX(PMtbl[Sec]&amp;PMtbl[Category]&amp;PMtbl[INN]&amp;PMtbl[Specification],0,),0),7),""),"")</f>
        <v/>
      </c>
      <c r="AL18" s="946"/>
      <c r="AM18" s="1425" t="str">
        <f>IFERROR(INDEX(SETUP!$C$19:$G$62,MATCH((INDEX(PMtbl[[WKst]:[Unit of measure*]],MATCH($A18&amp;$E18&amp;$I18,INDEX(PMtbl[Category]&amp;PMtbl[INN]&amp;PMtbl[Specification],0,),0),3)),SETUP!$D$19:$D$62,0),5),"")</f>
        <v/>
      </c>
      <c r="AN18" s="1425"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W18" s="1698" t="s">
        <v>1355</v>
      </c>
      <c r="AX18" s="1699">
        <f>SUMPRODUCT(($A$138:$D$175="RDTS for HIV testing in TB program")*($N$138:$N$175)*(O138:O175))</f>
        <v>0</v>
      </c>
      <c r="AY18" s="1699">
        <f>SUMPRODUCT(($A$138:$D$175="RDTS for HIV testing in TB program")*($N$138:$N$175)*(P138:P175))</f>
        <v>0</v>
      </c>
      <c r="AZ18" s="1699">
        <f>SUMPRODUCT(($A$138:$D$175="RDTS for HIV testing in TB program")*($N$138:$N$175)*(Q138:Q175))</f>
        <v>0</v>
      </c>
      <c r="BA18" s="1699">
        <f>SUMPRODUCT(($A$138:$D$175="RDTS for HIV testing in TB program")*($N$138:$N$175)*(R138:R175))</f>
        <v>0</v>
      </c>
      <c r="BB18" s="1699">
        <f>SUMPRODUCT(($A$138:$D$175="RDTS for HIV testing in TB program")*($U$138:$U$175)*(V138:V175))</f>
        <v>0</v>
      </c>
      <c r="BC18" s="1699">
        <f>SUMPRODUCT(($A$138:$D$175="RDTS for HIV testing in TB program")*($U$138:$U$175)*(W138:W175))</f>
        <v>0</v>
      </c>
      <c r="BD18" s="1699">
        <f>SUMPRODUCT(($A$138:$D$175="RDTS for HIV testing in TB program")*($U$138:$U$175)*(X138:X175))</f>
        <v>0</v>
      </c>
      <c r="BE18" s="1699">
        <f>SUMPRODUCT(($A$138:$D$175="RDTS for HIV testing in TB program")*($U$138:$U$175)*(Y138:Y175))</f>
        <v>0</v>
      </c>
      <c r="BF18" s="1699">
        <f>SUMPRODUCT(($A$138:$D$175="RDTS for HIV testing in TB program")*($AB$138:$AB$175)*(AC138:AC175))</f>
        <v>0</v>
      </c>
      <c r="BG18" s="1699">
        <f>SUMPRODUCT(($A$138:$D$175="RDTS for HIV testing in TB program")*($AB$138:$AB$175)*(AD138:AD175))</f>
        <v>0</v>
      </c>
      <c r="BH18" s="1699">
        <f>SUMPRODUCT(($A$138:$D$175="RDTS for HIV testing in TB program")*($AB$138:$AB$175)*(AE138:AE175))</f>
        <v>0</v>
      </c>
      <c r="BI18" s="1699">
        <f>SUMPRODUCT(($A$138:$D$175="RDTS for HIV testing in TB program")*($AB$138:$AB$175)*(AF138:AF175))</f>
        <v>0</v>
      </c>
    </row>
    <row r="19" spans="1:62" s="198" customFormat="1">
      <c r="A19" s="2616"/>
      <c r="B19" s="2304"/>
      <c r="C19" s="2304"/>
      <c r="D19" s="2304"/>
      <c r="E19" s="2616"/>
      <c r="F19" s="2304"/>
      <c r="G19" s="2304"/>
      <c r="H19" s="2617"/>
      <c r="I19" s="2616"/>
      <c r="J19" s="2304"/>
      <c r="K19" s="2617"/>
      <c r="L19" s="176" t="str">
        <f>IF(A19&lt;&gt;"",IFERROR(INDEX(PMtbl[[WKst]:[Unit of measure*]],MATCH($A$8&amp;$A19&amp;$E19&amp;$I19,INDEX(PMtbl[Sec]&amp;PMtbl[Category]&amp;PMtbl[INN]&amp;PMtbl[Specification],0,),0),8),""),"")</f>
        <v/>
      </c>
      <c r="M19" s="177" t="str">
        <f>IF(L19="", "",SETUP!$E$5)</f>
        <v/>
      </c>
      <c r="N19" s="856"/>
      <c r="O19" s="12"/>
      <c r="P19" s="12"/>
      <c r="Q19" s="12"/>
      <c r="R19" s="12"/>
      <c r="S19" s="467">
        <f>SUM('TB-EQUIPMENT &amp; OTHER HPs'!$O19:$R19)</f>
        <v>0</v>
      </c>
      <c r="T19" s="832">
        <f>'TB-EQUIPMENT &amp; OTHER HPs'!$N19*'TB-EQUIPMENT &amp; OTHER HPs'!$S19</f>
        <v>0</v>
      </c>
      <c r="U19" s="856"/>
      <c r="V19" s="12"/>
      <c r="W19" s="12"/>
      <c r="X19" s="12"/>
      <c r="Y19" s="12"/>
      <c r="Z19" s="467">
        <f>SUM('TB-EQUIPMENT &amp; OTHER HPs'!$V19:$Y19)</f>
        <v>0</v>
      </c>
      <c r="AA19" s="832">
        <f>'TB-EQUIPMENT &amp; OTHER HPs'!$U19*'TB-EQUIPMENT &amp; OTHER HPs'!$Z19</f>
        <v>0</v>
      </c>
      <c r="AB19" s="856"/>
      <c r="AC19" s="12"/>
      <c r="AD19" s="12"/>
      <c r="AE19" s="12"/>
      <c r="AF19" s="12"/>
      <c r="AG19" s="467">
        <f>SUM('TB-EQUIPMENT &amp; OTHER HPs'!$AC19:$AF19)</f>
        <v>0</v>
      </c>
      <c r="AH19" s="832">
        <f>'TB-EQUIPMENT &amp; OTHER HPs'!$AB19*'TB-EQUIPMENT &amp; OTHER HPs'!$AG19</f>
        <v>0</v>
      </c>
      <c r="AI19" s="468">
        <f>'TB-EQUIPMENT &amp; OTHER HPs'!$S19+'TB-EQUIPMENT &amp; OTHER HPs'!$Z19+'TB-EQUIPMENT &amp; OTHER HPs'!$AG19</f>
        <v>0</v>
      </c>
      <c r="AJ19" s="832">
        <f>'TB-EQUIPMENT &amp; OTHER HPs'!$T19+'TB-EQUIPMENT &amp; OTHER HPs'!$AA19+'TB-EQUIPMENT &amp; OTHER HPs'!$AH19</f>
        <v>0</v>
      </c>
      <c r="AK19" s="397" t="str">
        <f>IF(A19&lt;&gt;"",IFERROR(INDEX(PMtbl[[WKst]:[Unit of measure*]],MATCH($A$8&amp;$A19&amp;$E19&amp;$I19,INDEX(PMtbl[Sec]&amp;PMtbl[Category]&amp;PMtbl[INN]&amp;PMtbl[Specification],0,),0),7),""),"")</f>
        <v/>
      </c>
      <c r="AL19" s="947"/>
      <c r="AM19" s="1424" t="str">
        <f>IFERROR(INDEX(SETUP!$C$19:$G$62,MATCH((INDEX(PMtbl[[WKst]:[Unit of measure*]],MATCH($A19&amp;$E19&amp;$I19,INDEX(PMtbl[Category]&amp;PMtbl[INN]&amp;PMtbl[Specification],0,),0),3)),SETUP!$D$19:$D$62,0),5),"")</f>
        <v/>
      </c>
      <c r="AN19" s="1424"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X19" s="1510">
        <f>SUM(AX14:AX17)</f>
        <v>0</v>
      </c>
      <c r="AY19" s="1510">
        <f t="shared" ref="AY19:BI19" si="0">SUM(AY14:AY17)</f>
        <v>0</v>
      </c>
      <c r="AZ19" s="1510">
        <f t="shared" si="0"/>
        <v>0</v>
      </c>
      <c r="BA19" s="1510">
        <f t="shared" si="0"/>
        <v>0</v>
      </c>
      <c r="BB19" s="1510">
        <f t="shared" si="0"/>
        <v>0</v>
      </c>
      <c r="BC19" s="1510">
        <f t="shared" si="0"/>
        <v>0</v>
      </c>
      <c r="BD19" s="1510">
        <f t="shared" si="0"/>
        <v>0</v>
      </c>
      <c r="BE19" s="1510">
        <f t="shared" si="0"/>
        <v>0</v>
      </c>
      <c r="BF19" s="1510">
        <f t="shared" si="0"/>
        <v>0</v>
      </c>
      <c r="BG19" s="1510">
        <f t="shared" si="0"/>
        <v>0</v>
      </c>
      <c r="BH19" s="1510">
        <f t="shared" si="0"/>
        <v>0</v>
      </c>
      <c r="BI19" s="1510">
        <f t="shared" si="0"/>
        <v>0</v>
      </c>
    </row>
    <row r="20" spans="1:62" s="198" customFormat="1">
      <c r="A20" s="2610"/>
      <c r="B20" s="2611"/>
      <c r="C20" s="2611"/>
      <c r="D20" s="2611"/>
      <c r="E20" s="2610"/>
      <c r="F20" s="2611"/>
      <c r="G20" s="2611"/>
      <c r="H20" s="2612"/>
      <c r="I20" s="2610"/>
      <c r="J20" s="2611"/>
      <c r="K20" s="2612"/>
      <c r="L20" s="175" t="str">
        <f>IF(A20&lt;&gt;"",IFERROR(INDEX(PMtbl[[WKst]:[Unit of measure*]],MATCH($A$8&amp;$A20&amp;$E20&amp;$I20,INDEX(PMtbl[Sec]&amp;PMtbl[Category]&amp;PMtbl[INN]&amp;PMtbl[Specification],0,),0),8),""),"")</f>
        <v/>
      </c>
      <c r="M20" s="175" t="str">
        <f>IF(L20="", "",SETUP!$E$5)</f>
        <v/>
      </c>
      <c r="N20" s="857"/>
      <c r="O20" s="873"/>
      <c r="P20" s="873"/>
      <c r="Q20" s="873"/>
      <c r="R20" s="873"/>
      <c r="S20" s="469">
        <f>SUM('TB-EQUIPMENT &amp; OTHER HPs'!$O20:$R20)</f>
        <v>0</v>
      </c>
      <c r="T20" s="833">
        <f>'TB-EQUIPMENT &amp; OTHER HPs'!$N20*'TB-EQUIPMENT &amp; OTHER HPs'!$S20</f>
        <v>0</v>
      </c>
      <c r="U20" s="857"/>
      <c r="V20" s="873"/>
      <c r="W20" s="873"/>
      <c r="X20" s="873"/>
      <c r="Y20" s="873"/>
      <c r="Z20" s="469">
        <f>SUM('TB-EQUIPMENT &amp; OTHER HPs'!$V20:$Y20)</f>
        <v>0</v>
      </c>
      <c r="AA20" s="833">
        <f>'TB-EQUIPMENT &amp; OTHER HPs'!$U20*'TB-EQUIPMENT &amp; OTHER HPs'!$Z20</f>
        <v>0</v>
      </c>
      <c r="AB20" s="857"/>
      <c r="AC20" s="873"/>
      <c r="AD20" s="873"/>
      <c r="AE20" s="873"/>
      <c r="AF20" s="873"/>
      <c r="AG20" s="469">
        <f>SUM('TB-EQUIPMENT &amp; OTHER HPs'!$AC20:$AF20)</f>
        <v>0</v>
      </c>
      <c r="AH20" s="833">
        <f>'TB-EQUIPMENT &amp; OTHER HPs'!$AB20*'TB-EQUIPMENT &amp; OTHER HPs'!$AG20</f>
        <v>0</v>
      </c>
      <c r="AI20" s="470">
        <f>'TB-EQUIPMENT &amp; OTHER HPs'!$S20+'TB-EQUIPMENT &amp; OTHER HPs'!$Z20+'TB-EQUIPMENT &amp; OTHER HPs'!$AG20</f>
        <v>0</v>
      </c>
      <c r="AJ20" s="833">
        <f>'TB-EQUIPMENT &amp; OTHER HPs'!$T20+'TB-EQUIPMENT &amp; OTHER HPs'!$AA20+'TB-EQUIPMENT &amp; OTHER HPs'!$AH20</f>
        <v>0</v>
      </c>
      <c r="AK20" s="400" t="str">
        <f>IF(A20&lt;&gt;"",IFERROR(INDEX(PMtbl[[WKst]:[Unit of measure*]],MATCH($A$8&amp;$A20&amp;$E20&amp;$I20,INDEX(PMtbl[Sec]&amp;PMtbl[Category]&amp;PMtbl[INN]&amp;PMtbl[Specification],0,),0),7),""),"")</f>
        <v/>
      </c>
      <c r="AL20" s="946"/>
      <c r="AM20" s="1425" t="str">
        <f>IFERROR(INDEX(SETUP!$C$19:$G$62,MATCH((INDEX(PMtbl[[WKst]:[Unit of measure*]],MATCH($A20&amp;$E20&amp;$I20,INDEX(PMtbl[Category]&amp;PMtbl[INN]&amp;PMtbl[Specification],0,),0),3)),SETUP!$D$19:$D$62,0),5),"")</f>
        <v/>
      </c>
      <c r="AN20" s="1425"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W20" s="510" t="s">
        <v>1897</v>
      </c>
      <c r="AX20" s="511">
        <f>SUMPRODUCT(--($AK$14:$AK$176=6.5), $N$14:$N$176, O$14:O$176)</f>
        <v>0</v>
      </c>
      <c r="AY20" s="511">
        <f>SUMPRODUCT(--($AK$14:$AK$176=6.5), $N$14:$N$176, P$14:P$176)</f>
        <v>0</v>
      </c>
      <c r="AZ20" s="511">
        <f>SUMPRODUCT(--($AK$14:$AK$176=6.5), $N$14:$N$176, Q$14:Q$176)</f>
        <v>0</v>
      </c>
      <c r="BA20" s="511">
        <f>SUMPRODUCT(--($AK$14:$AK$176=6.5), $N$14:$N$176, R$14:R$176)</f>
        <v>0</v>
      </c>
      <c r="BB20" s="511">
        <f>SUMPRODUCT(--($AK$14:$AK$176=6.5), $U$14:$U$176, V$14:V$176)</f>
        <v>0</v>
      </c>
      <c r="BC20" s="511">
        <f>SUMPRODUCT(--($AK$14:$AK$176=6.5), $U$14:$U$176, W$14:W$176)</f>
        <v>0</v>
      </c>
      <c r="BD20" s="511">
        <f>SUMPRODUCT(--($AK$14:$AK$176=6.5), $U$14:$U$176, X$14:X$176)</f>
        <v>0</v>
      </c>
      <c r="BE20" s="511">
        <f>SUMPRODUCT(--($AK$14:$AK$176=6.5), $U$14:$U$176, Y$14:Y$176)</f>
        <v>0</v>
      </c>
      <c r="BF20" s="511">
        <f>SUMPRODUCT(--($AK$14:$AK$176=6.5), $AB$14:$AB$176, AC$14:AC$176)</f>
        <v>0</v>
      </c>
      <c r="BG20" s="511">
        <f>SUMPRODUCT(--($AK$14:$AK$176=6.5), $AB$14:$AB$176, AD$14:AD$176)</f>
        <v>0</v>
      </c>
      <c r="BH20" s="511">
        <f>SUMPRODUCT(--($AK$14:$AK$176=6.5), $AB$14:$AB$176, AE$14:AE$176)</f>
        <v>0</v>
      </c>
      <c r="BI20" s="511">
        <f>SUMPRODUCT(--($AK$14:$AK$176=6.5), $AB$14:$AB$176, AF$14:AF$176)</f>
        <v>0</v>
      </c>
    </row>
    <row r="21" spans="1:62" s="198" customFormat="1">
      <c r="A21" s="2616"/>
      <c r="B21" s="2304"/>
      <c r="C21" s="2304"/>
      <c r="D21" s="2304"/>
      <c r="E21" s="2616"/>
      <c r="F21" s="2304"/>
      <c r="G21" s="2304"/>
      <c r="H21" s="2617"/>
      <c r="I21" s="2616"/>
      <c r="J21" s="2304"/>
      <c r="K21" s="2617"/>
      <c r="L21" s="176" t="str">
        <f>IF(A21&lt;&gt;"",IFERROR(INDEX(PMtbl[[WKst]:[Unit of measure*]],MATCH($A$8&amp;$A21&amp;$E21&amp;$I21,INDEX(PMtbl[Sec]&amp;PMtbl[Category]&amp;PMtbl[INN]&amp;PMtbl[Specification],0,),0),8),""),"")</f>
        <v/>
      </c>
      <c r="M21" s="177" t="str">
        <f>IF(L21="", "",SETUP!$E$5)</f>
        <v/>
      </c>
      <c r="N21" s="856"/>
      <c r="O21" s="12"/>
      <c r="P21" s="12"/>
      <c r="Q21" s="12"/>
      <c r="R21" s="12"/>
      <c r="S21" s="467">
        <f>SUM('TB-EQUIPMENT &amp; OTHER HPs'!$O21:$R21)</f>
        <v>0</v>
      </c>
      <c r="T21" s="832">
        <f>'TB-EQUIPMENT &amp; OTHER HPs'!$N21*'TB-EQUIPMENT &amp; OTHER HPs'!$S21</f>
        <v>0</v>
      </c>
      <c r="U21" s="856"/>
      <c r="V21" s="12"/>
      <c r="W21" s="12"/>
      <c r="X21" s="12"/>
      <c r="Y21" s="12"/>
      <c r="Z21" s="467">
        <f>SUM('TB-EQUIPMENT &amp; OTHER HPs'!$V21:$Y21)</f>
        <v>0</v>
      </c>
      <c r="AA21" s="832">
        <f>'TB-EQUIPMENT &amp; OTHER HPs'!$U21*'TB-EQUIPMENT &amp; OTHER HPs'!$Z21</f>
        <v>0</v>
      </c>
      <c r="AB21" s="856"/>
      <c r="AC21" s="12"/>
      <c r="AD21" s="12"/>
      <c r="AE21" s="12"/>
      <c r="AF21" s="12"/>
      <c r="AG21" s="467">
        <f>SUM('TB-EQUIPMENT &amp; OTHER HPs'!$AC21:$AF21)</f>
        <v>0</v>
      </c>
      <c r="AH21" s="832">
        <f>'TB-EQUIPMENT &amp; OTHER HPs'!$AB21*'TB-EQUIPMENT &amp; OTHER HPs'!$AG21</f>
        <v>0</v>
      </c>
      <c r="AI21" s="468">
        <f>'TB-EQUIPMENT &amp; OTHER HPs'!$S21+'TB-EQUIPMENT &amp; OTHER HPs'!$Z21+'TB-EQUIPMENT &amp; OTHER HPs'!$AG21</f>
        <v>0</v>
      </c>
      <c r="AJ21" s="832">
        <f>'TB-EQUIPMENT &amp; OTHER HPs'!$T21+'TB-EQUIPMENT &amp; OTHER HPs'!$AA21+'TB-EQUIPMENT &amp; OTHER HPs'!$AH21</f>
        <v>0</v>
      </c>
      <c r="AK21" s="397" t="str">
        <f>IF(A21&lt;&gt;"",IFERROR(INDEX(PMtbl[[WKst]:[Unit of measure*]],MATCH($A$8&amp;$A21&amp;$E21&amp;$I21,INDEX(PMtbl[Sec]&amp;PMtbl[Category]&amp;PMtbl[INN]&amp;PMtbl[Specification],0,),0),7),""),"")</f>
        <v/>
      </c>
      <c r="AL21" s="947"/>
      <c r="AM21" s="1424" t="str">
        <f>IFERROR(INDEX(SETUP!$C$19:$G$62,MATCH((INDEX(PMtbl[[WKst]:[Unit of measure*]],MATCH($A21&amp;$E21&amp;$I21,INDEX(PMtbl[Category]&amp;PMtbl[INN]&amp;PMtbl[Specification],0,),0),3)),SETUP!$D$19:$D$62,0),5),"")</f>
        <v/>
      </c>
      <c r="AN21" s="1424"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710">
        <f>SUM(AX19:AX20)-AX44</f>
        <v>0</v>
      </c>
      <c r="AY21" s="1710">
        <f t="shared" ref="AY21:BI21" si="1">SUM(AY19:AY20)-AY44</f>
        <v>0</v>
      </c>
      <c r="AZ21" s="1710">
        <f t="shared" si="1"/>
        <v>0</v>
      </c>
      <c r="BA21" s="1710">
        <f t="shared" si="1"/>
        <v>0</v>
      </c>
      <c r="BB21" s="1710">
        <f t="shared" si="1"/>
        <v>0</v>
      </c>
      <c r="BC21" s="1710">
        <f t="shared" si="1"/>
        <v>0</v>
      </c>
      <c r="BD21" s="1710">
        <f t="shared" si="1"/>
        <v>0</v>
      </c>
      <c r="BE21" s="1710">
        <f t="shared" si="1"/>
        <v>0</v>
      </c>
      <c r="BF21" s="1710">
        <f t="shared" si="1"/>
        <v>0</v>
      </c>
      <c r="BG21" s="1710">
        <f t="shared" si="1"/>
        <v>0</v>
      </c>
      <c r="BH21" s="1710">
        <f t="shared" si="1"/>
        <v>0</v>
      </c>
      <c r="BI21" s="1710">
        <f t="shared" si="1"/>
        <v>0</v>
      </c>
    </row>
    <row r="22" spans="1:62" s="198" customFormat="1">
      <c r="A22" s="2611"/>
      <c r="B22" s="2611"/>
      <c r="C22" s="2611"/>
      <c r="D22" s="2611"/>
      <c r="E22" s="2610"/>
      <c r="F22" s="2611"/>
      <c r="G22" s="2611"/>
      <c r="H22" s="2612"/>
      <c r="I22" s="2610"/>
      <c r="J22" s="2611"/>
      <c r="K22" s="2612"/>
      <c r="L22" s="175" t="str">
        <f>IF(A22&lt;&gt;"",IFERROR(INDEX(PMtbl[[WKst]:[Unit of measure*]],MATCH($A$8&amp;$A22&amp;$E22&amp;$I22,INDEX(PMtbl[Sec]&amp;PMtbl[Category]&amp;PMtbl[INN]&amp;PMtbl[Specification],0,),0),8),""),"")</f>
        <v/>
      </c>
      <c r="M22" s="175" t="str">
        <f>IF(L22="", "",SETUP!$E$5)</f>
        <v/>
      </c>
      <c r="N22" s="857"/>
      <c r="O22" s="873"/>
      <c r="P22" s="873"/>
      <c r="Q22" s="873"/>
      <c r="R22" s="873"/>
      <c r="S22" s="469">
        <f>SUM('TB-EQUIPMENT &amp; OTHER HPs'!$O22:$R22)</f>
        <v>0</v>
      </c>
      <c r="T22" s="833">
        <f>'TB-EQUIPMENT &amp; OTHER HPs'!$N22*'TB-EQUIPMENT &amp; OTHER HPs'!$S22</f>
        <v>0</v>
      </c>
      <c r="U22" s="857"/>
      <c r="V22" s="873"/>
      <c r="W22" s="873"/>
      <c r="X22" s="873"/>
      <c r="Y22" s="873"/>
      <c r="Z22" s="469">
        <f>SUM('TB-EQUIPMENT &amp; OTHER HPs'!$V22:$Y22)</f>
        <v>0</v>
      </c>
      <c r="AA22" s="833">
        <f>'TB-EQUIPMENT &amp; OTHER HPs'!$U22*'TB-EQUIPMENT &amp; OTHER HPs'!$Z22</f>
        <v>0</v>
      </c>
      <c r="AB22" s="857"/>
      <c r="AC22" s="873"/>
      <c r="AD22" s="873"/>
      <c r="AE22" s="873"/>
      <c r="AF22" s="873"/>
      <c r="AG22" s="469">
        <f>SUM('TB-EQUIPMENT &amp; OTHER HPs'!$AC22:$AF22)</f>
        <v>0</v>
      </c>
      <c r="AH22" s="833">
        <f>'TB-EQUIPMENT &amp; OTHER HPs'!$AB22*'TB-EQUIPMENT &amp; OTHER HPs'!$AG22</f>
        <v>0</v>
      </c>
      <c r="AI22" s="470">
        <f>'TB-EQUIPMENT &amp; OTHER HPs'!$S22+'TB-EQUIPMENT &amp; OTHER HPs'!$Z22+'TB-EQUIPMENT &amp; OTHER HPs'!$AG22</f>
        <v>0</v>
      </c>
      <c r="AJ22" s="833">
        <f>'TB-EQUIPMENT &amp; OTHER HPs'!$T22+'TB-EQUIPMENT &amp; OTHER HPs'!$AA22+'TB-EQUIPMENT &amp; OTHER HPs'!$AH22</f>
        <v>0</v>
      </c>
      <c r="AK22" s="400" t="str">
        <f>IF(A22&lt;&gt;"",IFERROR(INDEX(PMtbl[[WKst]:[Unit of measure*]],MATCH($A$8&amp;$A22&amp;$E22&amp;$I22,INDEX(PMtbl[Sec]&amp;PMtbl[Category]&amp;PMtbl[INN]&amp;PMtbl[Specification],0,),0),7),""),"")</f>
        <v/>
      </c>
      <c r="AL22" s="946"/>
      <c r="AM22" s="1425" t="str">
        <f>IFERROR(INDEX(SETUP!$C$19:$G$62,MATCH((INDEX(PMtbl[[WKst]:[Unit of measure*]],MATCH($A22&amp;$E22&amp;$I22,INDEX(PMtbl[Category]&amp;PMtbl[INN]&amp;PMtbl[Specification],0,),0),3)),SETUP!$D$19:$D$62,0),5),"")</f>
        <v/>
      </c>
      <c r="AN22" s="1425"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row>
    <row r="23" spans="1:62" s="198" customFormat="1">
      <c r="A23" s="2616"/>
      <c r="B23" s="2304"/>
      <c r="C23" s="2304"/>
      <c r="D23" s="2304"/>
      <c r="E23" s="2616"/>
      <c r="F23" s="2304"/>
      <c r="G23" s="2304"/>
      <c r="H23" s="2617"/>
      <c r="I23" s="2616"/>
      <c r="J23" s="2304"/>
      <c r="K23" s="2617"/>
      <c r="L23" s="176" t="str">
        <f>IF(A23&lt;&gt;"",IFERROR(INDEX(PMtbl[[WKst]:[Unit of measure*]],MATCH($A$8&amp;$A23&amp;$E23&amp;$I23,INDEX(PMtbl[Sec]&amp;PMtbl[Category]&amp;PMtbl[INN]&amp;PMtbl[Specification],0,),0),8),""),"")</f>
        <v/>
      </c>
      <c r="M23" s="177" t="str">
        <f>IF(L23="", "",SETUP!$E$5)</f>
        <v/>
      </c>
      <c r="N23" s="856"/>
      <c r="O23" s="12"/>
      <c r="P23" s="12"/>
      <c r="Q23" s="12"/>
      <c r="R23" s="12"/>
      <c r="S23" s="467">
        <f>SUM('TB-EQUIPMENT &amp; OTHER HPs'!$O23:$R23)</f>
        <v>0</v>
      </c>
      <c r="T23" s="832">
        <f>'TB-EQUIPMENT &amp; OTHER HPs'!$N23*'TB-EQUIPMENT &amp; OTHER HPs'!$S23</f>
        <v>0</v>
      </c>
      <c r="U23" s="856"/>
      <c r="V23" s="12"/>
      <c r="W23" s="12"/>
      <c r="X23" s="12"/>
      <c r="Y23" s="12"/>
      <c r="Z23" s="467">
        <f>SUM('TB-EQUIPMENT &amp; OTHER HPs'!$V23:$Y23)</f>
        <v>0</v>
      </c>
      <c r="AA23" s="832">
        <f>'TB-EQUIPMENT &amp; OTHER HPs'!$U23*'TB-EQUIPMENT &amp; OTHER HPs'!$Z23</f>
        <v>0</v>
      </c>
      <c r="AB23" s="856"/>
      <c r="AC23" s="12"/>
      <c r="AD23" s="12"/>
      <c r="AE23" s="12"/>
      <c r="AF23" s="12"/>
      <c r="AG23" s="467">
        <f>SUM('TB-EQUIPMENT &amp; OTHER HPs'!$AC23:$AF23)</f>
        <v>0</v>
      </c>
      <c r="AH23" s="832">
        <f>'TB-EQUIPMENT &amp; OTHER HPs'!$AB23*'TB-EQUIPMENT &amp; OTHER HPs'!$AG23</f>
        <v>0</v>
      </c>
      <c r="AI23" s="468">
        <f>'TB-EQUIPMENT &amp; OTHER HPs'!$S23+'TB-EQUIPMENT &amp; OTHER HPs'!$Z23+'TB-EQUIPMENT &amp; OTHER HPs'!$AG23</f>
        <v>0</v>
      </c>
      <c r="AJ23" s="832">
        <f>'TB-EQUIPMENT &amp; OTHER HPs'!$T23+'TB-EQUIPMENT &amp; OTHER HPs'!$AA23+'TB-EQUIPMENT &amp; OTHER HPs'!$AH23</f>
        <v>0</v>
      </c>
      <c r="AK23" s="397" t="str">
        <f>IF(A23&lt;&gt;"",IFERROR(INDEX(PMtbl[[WKst]:[Unit of measure*]],MATCH($A$8&amp;$A23&amp;$E23&amp;$I23,INDEX(PMtbl[Sec]&amp;PMtbl[Category]&amp;PMtbl[INN]&amp;PMtbl[Specification],0,),0),7),""),"")</f>
        <v/>
      </c>
      <c r="AL23" s="947"/>
      <c r="AM23" s="1424" t="str">
        <f>IFERROR(INDEX(SETUP!$C$19:$G$62,MATCH((INDEX(PMtbl[[WKst]:[Unit of measure*]],MATCH($A23&amp;$E23&amp;$I23,INDEX(PMtbl[Category]&amp;PMtbl[INN]&amp;PMtbl[Specification],0,),0),3)),SETUP!$D$19:$D$62,0),5),"")</f>
        <v/>
      </c>
      <c r="AN23" s="1424"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W23" s="62"/>
      <c r="AX23" s="2635" t="s">
        <v>1225</v>
      </c>
      <c r="AY23" s="2635"/>
      <c r="AZ23" s="2635"/>
      <c r="BA23" s="2635"/>
      <c r="BB23" s="2635"/>
      <c r="BC23" s="2635"/>
      <c r="BD23" s="2635"/>
      <c r="BE23" s="2635"/>
      <c r="BF23" s="2635"/>
      <c r="BG23" s="2635"/>
      <c r="BH23" s="2635"/>
      <c r="BI23" s="2635"/>
    </row>
    <row r="24" spans="1:62" s="198" customFormat="1">
      <c r="A24" s="2610"/>
      <c r="B24" s="2611"/>
      <c r="C24" s="2611"/>
      <c r="D24" s="2611"/>
      <c r="E24" s="2610"/>
      <c r="F24" s="2611"/>
      <c r="G24" s="2611"/>
      <c r="H24" s="2612"/>
      <c r="I24" s="2610"/>
      <c r="J24" s="2611"/>
      <c r="K24" s="2612"/>
      <c r="L24" s="175" t="str">
        <f>IF(A24&lt;&gt;"",IFERROR(INDEX(PMtbl[[WKst]:[Unit of measure*]],MATCH($A$8&amp;$A24&amp;$E24&amp;$I24,INDEX(PMtbl[Sec]&amp;PMtbl[Category]&amp;PMtbl[INN]&amp;PMtbl[Specification],0,),0),8),""),"")</f>
        <v/>
      </c>
      <c r="M24" s="175" t="str">
        <f>IF(L24="", "",SETUP!$E$5)</f>
        <v/>
      </c>
      <c r="N24" s="857"/>
      <c r="O24" s="873"/>
      <c r="P24" s="873"/>
      <c r="Q24" s="873"/>
      <c r="R24" s="873"/>
      <c r="S24" s="469">
        <f>SUM('TB-EQUIPMENT &amp; OTHER HPs'!$O24:$R24)</f>
        <v>0</v>
      </c>
      <c r="T24" s="833">
        <f>'TB-EQUIPMENT &amp; OTHER HPs'!$N24*'TB-EQUIPMENT &amp; OTHER HPs'!$S24</f>
        <v>0</v>
      </c>
      <c r="U24" s="857"/>
      <c r="V24" s="873"/>
      <c r="W24" s="873"/>
      <c r="X24" s="873"/>
      <c r="Y24" s="873"/>
      <c r="Z24" s="469">
        <f>SUM('TB-EQUIPMENT &amp; OTHER HPs'!$V24:$Y24)</f>
        <v>0</v>
      </c>
      <c r="AA24" s="833">
        <f>'TB-EQUIPMENT &amp; OTHER HPs'!$U24*'TB-EQUIPMENT &amp; OTHER HPs'!$Z24</f>
        <v>0</v>
      </c>
      <c r="AB24" s="857"/>
      <c r="AC24" s="873"/>
      <c r="AD24" s="873"/>
      <c r="AE24" s="873"/>
      <c r="AF24" s="873"/>
      <c r="AG24" s="469">
        <f>SUM('TB-EQUIPMENT &amp; OTHER HPs'!$AC24:$AF24)</f>
        <v>0</v>
      </c>
      <c r="AH24" s="833">
        <f>'TB-EQUIPMENT &amp; OTHER HPs'!$AB24*'TB-EQUIPMENT &amp; OTHER HPs'!$AG24</f>
        <v>0</v>
      </c>
      <c r="AI24" s="470">
        <f>'TB-EQUIPMENT &amp; OTHER HPs'!$S24+'TB-EQUIPMENT &amp; OTHER HPs'!$Z24+'TB-EQUIPMENT &amp; OTHER HPs'!$AG24</f>
        <v>0</v>
      </c>
      <c r="AJ24" s="833">
        <f>'TB-EQUIPMENT &amp; OTHER HPs'!$T24+'TB-EQUIPMENT &amp; OTHER HPs'!$AA24+'TB-EQUIPMENT &amp; OTHER HPs'!$AH24</f>
        <v>0</v>
      </c>
      <c r="AK24" s="400" t="str">
        <f>IF(A24&lt;&gt;"",IFERROR(INDEX(PMtbl[[WKst]:[Unit of measure*]],MATCH($A$8&amp;$A24&amp;$E24&amp;$I24,INDEX(PMtbl[Sec]&amp;PMtbl[Category]&amp;PMtbl[INN]&amp;PMtbl[Specification],0,),0),7),""),"")</f>
        <v/>
      </c>
      <c r="AL24" s="946"/>
      <c r="AM24" s="1425" t="str">
        <f>IFERROR(INDEX(SETUP!$C$19:$G$62,MATCH((INDEX(PMtbl[[WKst]:[Unit of measure*]],MATCH($A24&amp;$E24&amp;$I24,INDEX(PMtbl[Category]&amp;PMtbl[INN]&amp;PMtbl[Specification],0,),0),3)),SETUP!$D$19:$D$62,0),5),"")</f>
        <v/>
      </c>
      <c r="AN24" s="1425"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W24" s="268"/>
      <c r="AX24" s="2636">
        <f>YEAR(IMP_ST_DATE)</f>
        <v>2022</v>
      </c>
      <c r="AY24" s="2636"/>
      <c r="AZ24" s="2636"/>
      <c r="BA24" s="2636"/>
      <c r="BB24" s="2636">
        <f>YEAR(IMP_ST_DATE)+1</f>
        <v>2023</v>
      </c>
      <c r="BC24" s="2636"/>
      <c r="BD24" s="2636"/>
      <c r="BE24" s="2636"/>
      <c r="BF24" s="2636">
        <f>YEAR(IMP_ST_DATE)+2</f>
        <v>2024</v>
      </c>
      <c r="BG24" s="2636"/>
      <c r="BH24" s="2636"/>
      <c r="BI24" s="2636"/>
    </row>
    <row r="25" spans="1:62" s="198" customFormat="1">
      <c r="A25" s="2616"/>
      <c r="B25" s="2304"/>
      <c r="C25" s="2304"/>
      <c r="D25" s="2304"/>
      <c r="E25" s="2616"/>
      <c r="F25" s="2304"/>
      <c r="G25" s="2304"/>
      <c r="H25" s="2617"/>
      <c r="I25" s="2616"/>
      <c r="J25" s="2304"/>
      <c r="K25" s="2617"/>
      <c r="L25" s="176" t="str">
        <f>IF(A25&lt;&gt;"",IFERROR(INDEX(PMtbl[[WKst]:[Unit of measure*]],MATCH($A$8&amp;$A25&amp;$E25&amp;$I25,INDEX(PMtbl[Sec]&amp;PMtbl[Category]&amp;PMtbl[INN]&amp;PMtbl[Specification],0,),0),8),""),"")</f>
        <v/>
      </c>
      <c r="M25" s="177" t="str">
        <f>IF(L25="", "",SETUP!$E$5)</f>
        <v/>
      </c>
      <c r="N25" s="856"/>
      <c r="O25" s="12"/>
      <c r="P25" s="12"/>
      <c r="Q25" s="12"/>
      <c r="R25" s="12"/>
      <c r="S25" s="467">
        <f>SUM('TB-EQUIPMENT &amp; OTHER HPs'!$O25:$R25)</f>
        <v>0</v>
      </c>
      <c r="T25" s="832">
        <f>'TB-EQUIPMENT &amp; OTHER HPs'!$N25*'TB-EQUIPMENT &amp; OTHER HPs'!$S25</f>
        <v>0</v>
      </c>
      <c r="U25" s="856"/>
      <c r="V25" s="12"/>
      <c r="W25" s="12"/>
      <c r="X25" s="12"/>
      <c r="Y25" s="12"/>
      <c r="Z25" s="467">
        <f>SUM('TB-EQUIPMENT &amp; OTHER HPs'!$V25:$Y25)</f>
        <v>0</v>
      </c>
      <c r="AA25" s="832">
        <f>'TB-EQUIPMENT &amp; OTHER HPs'!$U25*'TB-EQUIPMENT &amp; OTHER HPs'!$Z25</f>
        <v>0</v>
      </c>
      <c r="AB25" s="856"/>
      <c r="AC25" s="12"/>
      <c r="AD25" s="12"/>
      <c r="AE25" s="12"/>
      <c r="AF25" s="12"/>
      <c r="AG25" s="467">
        <f>SUM('TB-EQUIPMENT &amp; OTHER HPs'!$AC25:$AF25)</f>
        <v>0</v>
      </c>
      <c r="AH25" s="832">
        <f>'TB-EQUIPMENT &amp; OTHER HPs'!$AB25*'TB-EQUIPMENT &amp; OTHER HPs'!$AG25</f>
        <v>0</v>
      </c>
      <c r="AI25" s="468">
        <f>'TB-EQUIPMENT &amp; OTHER HPs'!$S25+'TB-EQUIPMENT &amp; OTHER HPs'!$Z25+'TB-EQUIPMENT &amp; OTHER HPs'!$AG25</f>
        <v>0</v>
      </c>
      <c r="AJ25" s="832">
        <f>'TB-EQUIPMENT &amp; OTHER HPs'!$T25+'TB-EQUIPMENT &amp; OTHER HPs'!$AA25+'TB-EQUIPMENT &amp; OTHER HPs'!$AH25</f>
        <v>0</v>
      </c>
      <c r="AK25" s="397" t="str">
        <f>IF(A25&lt;&gt;"",IFERROR(INDEX(PMtbl[[WKst]:[Unit of measure*]],MATCH($A$8&amp;$A25&amp;$E25&amp;$I25,INDEX(PMtbl[Sec]&amp;PMtbl[Category]&amp;PMtbl[INN]&amp;PMtbl[Specification],0,),0),7),""),"")</f>
        <v/>
      </c>
      <c r="AL25" s="947"/>
      <c r="AM25" s="1424" t="str">
        <f>IFERROR(INDEX(SETUP!$C$19:$G$62,MATCH((INDEX(PMtbl[[WKst]:[Unit of measure*]],MATCH($A25&amp;$E25&amp;$I25,INDEX(PMtbl[Category]&amp;PMtbl[INN]&amp;PMtbl[Specification],0,),0),3)),SETUP!$D$19:$D$62,0),5),"")</f>
        <v/>
      </c>
      <c r="AN25" s="1424"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1419" t="s">
        <v>2586</v>
      </c>
      <c r="AV25" s="1419" t="s">
        <v>2671</v>
      </c>
      <c r="AW25" s="1419" t="s">
        <v>416</v>
      </c>
      <c r="AX25" s="1419" t="s">
        <v>1213</v>
      </c>
      <c r="AY25" s="1419" t="s">
        <v>1214</v>
      </c>
      <c r="AZ25" s="1419" t="s">
        <v>1215</v>
      </c>
      <c r="BA25" s="1419" t="s">
        <v>1216</v>
      </c>
      <c r="BB25" s="1419" t="s">
        <v>1217</v>
      </c>
      <c r="BC25" s="1419" t="s">
        <v>1218</v>
      </c>
      <c r="BD25" s="1419" t="s">
        <v>1220</v>
      </c>
      <c r="BE25" s="1419" t="s">
        <v>1221</v>
      </c>
      <c r="BF25" s="1419" t="s">
        <v>1222</v>
      </c>
      <c r="BG25" s="1419" t="s">
        <v>1223</v>
      </c>
      <c r="BH25" s="1419" t="s">
        <v>1219</v>
      </c>
      <c r="BI25" s="1419" t="s">
        <v>1224</v>
      </c>
      <c r="BJ25" s="390" t="s">
        <v>2498</v>
      </c>
    </row>
    <row r="26" spans="1:62" s="198" customFormat="1">
      <c r="A26" s="2610"/>
      <c r="B26" s="2611"/>
      <c r="C26" s="2611"/>
      <c r="D26" s="2611"/>
      <c r="E26" s="2610"/>
      <c r="F26" s="2611"/>
      <c r="G26" s="2611"/>
      <c r="H26" s="2612"/>
      <c r="I26" s="2610"/>
      <c r="J26" s="2611"/>
      <c r="K26" s="2612"/>
      <c r="L26" s="175" t="str">
        <f>IF(A26&lt;&gt;"",IFERROR(INDEX(PMtbl[[WKst]:[Unit of measure*]],MATCH($A$8&amp;$A26&amp;$E26&amp;$I26,INDEX(PMtbl[Sec]&amp;PMtbl[Category]&amp;PMtbl[INN]&amp;PMtbl[Specification],0,),0),8),""),"")</f>
        <v/>
      </c>
      <c r="M26" s="175" t="str">
        <f>IF(L26="", "",SETUP!$E$5)</f>
        <v/>
      </c>
      <c r="N26" s="857"/>
      <c r="O26" s="873"/>
      <c r="P26" s="873"/>
      <c r="Q26" s="873"/>
      <c r="R26" s="873"/>
      <c r="S26" s="469">
        <f>SUM('TB-EQUIPMENT &amp; OTHER HPs'!$O26:$R26)</f>
        <v>0</v>
      </c>
      <c r="T26" s="833">
        <f>'TB-EQUIPMENT &amp; OTHER HPs'!$N26*'TB-EQUIPMENT &amp; OTHER HPs'!$S26</f>
        <v>0</v>
      </c>
      <c r="U26" s="857"/>
      <c r="V26" s="873"/>
      <c r="W26" s="873"/>
      <c r="X26" s="873"/>
      <c r="Y26" s="873"/>
      <c r="Z26" s="469">
        <f>SUM('TB-EQUIPMENT &amp; OTHER HPs'!$V26:$Y26)</f>
        <v>0</v>
      </c>
      <c r="AA26" s="833">
        <f>'TB-EQUIPMENT &amp; OTHER HPs'!$U26*'TB-EQUIPMENT &amp; OTHER HPs'!$Z26</f>
        <v>0</v>
      </c>
      <c r="AB26" s="857"/>
      <c r="AC26" s="873"/>
      <c r="AD26" s="873"/>
      <c r="AE26" s="873"/>
      <c r="AF26" s="873"/>
      <c r="AG26" s="469">
        <f>SUM('TB-EQUIPMENT &amp; OTHER HPs'!$AC26:$AF26)</f>
        <v>0</v>
      </c>
      <c r="AH26" s="833">
        <f>'TB-EQUIPMENT &amp; OTHER HPs'!$AB26*'TB-EQUIPMENT &amp; OTHER HPs'!$AG26</f>
        <v>0</v>
      </c>
      <c r="AI26" s="470">
        <f>'TB-EQUIPMENT &amp; OTHER HPs'!$S26+'TB-EQUIPMENT &amp; OTHER HPs'!$Z26+'TB-EQUIPMENT &amp; OTHER HPs'!$AG26</f>
        <v>0</v>
      </c>
      <c r="AJ26" s="833">
        <f>'TB-EQUIPMENT &amp; OTHER HPs'!$T26+'TB-EQUIPMENT &amp; OTHER HPs'!$AA26+'TB-EQUIPMENT &amp; OTHER HPs'!$AH26</f>
        <v>0</v>
      </c>
      <c r="AK26" s="400" t="str">
        <f>IF(A26&lt;&gt;"",IFERROR(INDEX(PMtbl[[WKst]:[Unit of measure*]],MATCH($A$8&amp;$A26&amp;$E26&amp;$I26,INDEX(PMtbl[Sec]&amp;PMtbl[Category]&amp;PMtbl[INN]&amp;PMtbl[Specification],0,),0),7),""),"")</f>
        <v/>
      </c>
      <c r="AL26" s="946"/>
      <c r="AM26" s="1425" t="str">
        <f>IFERROR(INDEX(SETUP!$C$19:$G$62,MATCH((INDEX(PMtbl[[WKst]:[Unit of measure*]],MATCH($A26&amp;$E26&amp;$I26,INDEX(PMtbl[Category]&amp;PMtbl[INN]&amp;PMtbl[Specification],0,),0),3)),SETUP!$D$19:$D$62,0),5),"")</f>
        <v/>
      </c>
      <c r="AN26" s="1425"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1420">
        <v>1</v>
      </c>
      <c r="AV26" s="1420">
        <f>IFERROR(VLOOKUP($AW26,$AK$12:$AN$61,4,FALSE),0)</f>
        <v>0</v>
      </c>
      <c r="AW26" s="1531">
        <v>5.6</v>
      </c>
      <c r="AX26" s="1583">
        <f t="shared" ref="AX26:BA27" si="2">SUMPRODUCT(($AK$14:$AK$61=$AW26)*($N$14:$N$61)*((O$14:O$61)))</f>
        <v>0</v>
      </c>
      <c r="AY26" s="1583">
        <f t="shared" si="2"/>
        <v>0</v>
      </c>
      <c r="AZ26" s="1583">
        <f t="shared" si="2"/>
        <v>0</v>
      </c>
      <c r="BA26" s="1583">
        <f t="shared" si="2"/>
        <v>0</v>
      </c>
      <c r="BB26" s="1583">
        <f t="shared" ref="BB26:BE27" si="3">SUMPRODUCT(($AK$14:$AK$61=$AW26)*($U$14:$U$61)*((V$14:V$61)))</f>
        <v>0</v>
      </c>
      <c r="BC26" s="1583">
        <f t="shared" si="3"/>
        <v>0</v>
      </c>
      <c r="BD26" s="1583">
        <f t="shared" si="3"/>
        <v>0</v>
      </c>
      <c r="BE26" s="1583">
        <f t="shared" si="3"/>
        <v>0</v>
      </c>
      <c r="BF26" s="1583">
        <f t="shared" ref="BF26:BI27" si="4">SUMPRODUCT(($AK$14:$AK$61=$AW26)*($AB$14:$AB$61)*((AC$14:AC$61)))</f>
        <v>0</v>
      </c>
      <c r="BG26" s="1583">
        <f t="shared" si="4"/>
        <v>0</v>
      </c>
      <c r="BH26" s="1583">
        <f t="shared" si="4"/>
        <v>0</v>
      </c>
      <c r="BI26" s="1584">
        <f t="shared" si="4"/>
        <v>0</v>
      </c>
      <c r="BJ26" s="1584">
        <f>SUM(AX26:BI26)</f>
        <v>0</v>
      </c>
    </row>
    <row r="27" spans="1:62" s="198" customFormat="1">
      <c r="A27" s="2616"/>
      <c r="B27" s="2304"/>
      <c r="C27" s="2304"/>
      <c r="D27" s="2304"/>
      <c r="E27" s="2616"/>
      <c r="F27" s="2304"/>
      <c r="G27" s="2304"/>
      <c r="H27" s="2617"/>
      <c r="I27" s="2616"/>
      <c r="J27" s="2304"/>
      <c r="K27" s="2617"/>
      <c r="L27" s="176" t="str">
        <f>IF(A27&lt;&gt;"",IFERROR(INDEX(PMtbl[[WKst]:[Unit of measure*]],MATCH($A$8&amp;$A27&amp;$E27&amp;$I27,INDEX(PMtbl[Sec]&amp;PMtbl[Category]&amp;PMtbl[INN]&amp;PMtbl[Specification],0,),0),8),""),"")</f>
        <v/>
      </c>
      <c r="M27" s="177" t="str">
        <f>IF(L27="", "",SETUP!$E$5)</f>
        <v/>
      </c>
      <c r="N27" s="856"/>
      <c r="O27" s="12"/>
      <c r="P27" s="12"/>
      <c r="Q27" s="12"/>
      <c r="R27" s="12"/>
      <c r="S27" s="467">
        <f>SUM('TB-EQUIPMENT &amp; OTHER HPs'!$O27:$R27)</f>
        <v>0</v>
      </c>
      <c r="T27" s="832">
        <f>'TB-EQUIPMENT &amp; OTHER HPs'!$N27*'TB-EQUIPMENT &amp; OTHER HPs'!$S27</f>
        <v>0</v>
      </c>
      <c r="U27" s="856"/>
      <c r="V27" s="12"/>
      <c r="W27" s="12"/>
      <c r="X27" s="12"/>
      <c r="Y27" s="12"/>
      <c r="Z27" s="467">
        <f>SUM('TB-EQUIPMENT &amp; OTHER HPs'!$V27:$Y27)</f>
        <v>0</v>
      </c>
      <c r="AA27" s="832">
        <f>'TB-EQUIPMENT &amp; OTHER HPs'!$U27*'TB-EQUIPMENT &amp; OTHER HPs'!$Z27</f>
        <v>0</v>
      </c>
      <c r="AB27" s="856"/>
      <c r="AC27" s="12"/>
      <c r="AD27" s="12"/>
      <c r="AE27" s="12"/>
      <c r="AF27" s="12"/>
      <c r="AG27" s="467">
        <f>SUM('TB-EQUIPMENT &amp; OTHER HPs'!$AC27:$AF27)</f>
        <v>0</v>
      </c>
      <c r="AH27" s="832">
        <f>'TB-EQUIPMENT &amp; OTHER HPs'!$AB27*'TB-EQUIPMENT &amp; OTHER HPs'!$AG27</f>
        <v>0</v>
      </c>
      <c r="AI27" s="468">
        <f>'TB-EQUIPMENT &amp; OTHER HPs'!$S27+'TB-EQUIPMENT &amp; OTHER HPs'!$Z27+'TB-EQUIPMENT &amp; OTHER HPs'!$AG27</f>
        <v>0</v>
      </c>
      <c r="AJ27" s="832">
        <f>'TB-EQUIPMENT &amp; OTHER HPs'!$T27+'TB-EQUIPMENT &amp; OTHER HPs'!$AA27+'TB-EQUIPMENT &amp; OTHER HPs'!$AH27</f>
        <v>0</v>
      </c>
      <c r="AK27" s="397" t="str">
        <f>IF(A27&lt;&gt;"",IFERROR(INDEX(PMtbl[[WKst]:[Unit of measure*]],MATCH($A$8&amp;$A27&amp;$E27&amp;$I27,INDEX(PMtbl[Sec]&amp;PMtbl[Category]&amp;PMtbl[INN]&amp;PMtbl[Specification],0,),0),7),""),"")</f>
        <v/>
      </c>
      <c r="AL27" s="947"/>
      <c r="AM27" s="1424" t="str">
        <f>IFERROR(INDEX(SETUP!$C$19:$G$62,MATCH((INDEX(PMtbl[[WKst]:[Unit of measure*]],MATCH($A27&amp;$E27&amp;$I27,INDEX(PMtbl[Category]&amp;PMtbl[INN]&amp;PMtbl[Specification],0,),0),3)),SETUP!$D$19:$D$62,0),5),"")</f>
        <v/>
      </c>
      <c r="AN27" s="1424"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1461">
        <v>1</v>
      </c>
      <c r="AV27" s="1420">
        <f>IFERROR(VLOOKUP($AW27,$AK$12:$AN$61,4,FALSE),0)</f>
        <v>0</v>
      </c>
      <c r="AW27" s="1462">
        <v>6.3</v>
      </c>
      <c r="AX27" s="1583">
        <f t="shared" si="2"/>
        <v>0</v>
      </c>
      <c r="AY27" s="1583">
        <f t="shared" si="2"/>
        <v>0</v>
      </c>
      <c r="AZ27" s="1583">
        <f t="shared" si="2"/>
        <v>0</v>
      </c>
      <c r="BA27" s="1583">
        <f t="shared" si="2"/>
        <v>0</v>
      </c>
      <c r="BB27" s="1583">
        <f t="shared" si="3"/>
        <v>0</v>
      </c>
      <c r="BC27" s="1583">
        <f t="shared" si="3"/>
        <v>0</v>
      </c>
      <c r="BD27" s="1583">
        <f t="shared" si="3"/>
        <v>0</v>
      </c>
      <c r="BE27" s="1583">
        <f t="shared" si="3"/>
        <v>0</v>
      </c>
      <c r="BF27" s="1583">
        <f t="shared" si="4"/>
        <v>0</v>
      </c>
      <c r="BG27" s="1583">
        <f t="shared" si="4"/>
        <v>0</v>
      </c>
      <c r="BH27" s="1583">
        <f t="shared" si="4"/>
        <v>0</v>
      </c>
      <c r="BI27" s="1584">
        <f t="shared" si="4"/>
        <v>0</v>
      </c>
      <c r="BJ27" s="1584">
        <f t="shared" ref="BJ27" si="5">SUM(AX27:BI27)</f>
        <v>0</v>
      </c>
    </row>
    <row r="28" spans="1:62" s="198" customFormat="1">
      <c r="A28" s="2610"/>
      <c r="B28" s="2611"/>
      <c r="C28" s="2611"/>
      <c r="D28" s="2611"/>
      <c r="E28" s="2610"/>
      <c r="F28" s="2611"/>
      <c r="G28" s="2611"/>
      <c r="H28" s="2612"/>
      <c r="I28" s="2610"/>
      <c r="J28" s="2611"/>
      <c r="K28" s="2612"/>
      <c r="L28" s="175" t="str">
        <f>IF(A28&lt;&gt;"",IFERROR(INDEX(PMtbl[[WKst]:[Unit of measure*]],MATCH($A$8&amp;$A28&amp;$E28&amp;$I28,INDEX(PMtbl[Sec]&amp;PMtbl[Category]&amp;PMtbl[INN]&amp;PMtbl[Specification],0,),0),8),""),"")</f>
        <v/>
      </c>
      <c r="M28" s="175" t="str">
        <f>IF(L28="", "",SETUP!$E$5)</f>
        <v/>
      </c>
      <c r="N28" s="857"/>
      <c r="O28" s="873"/>
      <c r="P28" s="873"/>
      <c r="Q28" s="873"/>
      <c r="R28" s="873"/>
      <c r="S28" s="469">
        <f>SUM('TB-EQUIPMENT &amp; OTHER HPs'!$O28:$R28)</f>
        <v>0</v>
      </c>
      <c r="T28" s="833">
        <f>'TB-EQUIPMENT &amp; OTHER HPs'!$N28*'TB-EQUIPMENT &amp; OTHER HPs'!$S28</f>
        <v>0</v>
      </c>
      <c r="U28" s="857"/>
      <c r="V28" s="873"/>
      <c r="W28" s="873"/>
      <c r="X28" s="873"/>
      <c r="Y28" s="873"/>
      <c r="Z28" s="469">
        <f>SUM('TB-EQUIPMENT &amp; OTHER HPs'!$V28:$Y28)</f>
        <v>0</v>
      </c>
      <c r="AA28" s="833">
        <f>'TB-EQUIPMENT &amp; OTHER HPs'!$U28*'TB-EQUIPMENT &amp; OTHER HPs'!$Z28</f>
        <v>0</v>
      </c>
      <c r="AB28" s="857"/>
      <c r="AC28" s="873"/>
      <c r="AD28" s="873"/>
      <c r="AE28" s="873"/>
      <c r="AF28" s="873"/>
      <c r="AG28" s="469">
        <f>SUM('TB-EQUIPMENT &amp; OTHER HPs'!$AC28:$AF28)</f>
        <v>0</v>
      </c>
      <c r="AH28" s="833">
        <f>'TB-EQUIPMENT &amp; OTHER HPs'!$AB28*'TB-EQUIPMENT &amp; OTHER HPs'!$AG28</f>
        <v>0</v>
      </c>
      <c r="AI28" s="470">
        <f>'TB-EQUIPMENT &amp; OTHER HPs'!$S28+'TB-EQUIPMENT &amp; OTHER HPs'!$Z28+'TB-EQUIPMENT &amp; OTHER HPs'!$AG28</f>
        <v>0</v>
      </c>
      <c r="AJ28" s="833">
        <f>'TB-EQUIPMENT &amp; OTHER HPs'!$T28+'TB-EQUIPMENT &amp; OTHER HPs'!$AA28+'TB-EQUIPMENT &amp; OTHER HPs'!$AH28</f>
        <v>0</v>
      </c>
      <c r="AK28" s="400" t="str">
        <f>IF(A28&lt;&gt;"",IFERROR(INDEX(PMtbl[[WKst]:[Unit of measure*]],MATCH($A$8&amp;$A28&amp;$E28&amp;$I28,INDEX(PMtbl[Sec]&amp;PMtbl[Category]&amp;PMtbl[INN]&amp;PMtbl[Specification],0,),0),7),""),"")</f>
        <v/>
      </c>
      <c r="AL28" s="946"/>
      <c r="AM28" s="1425" t="str">
        <f>IFERROR(INDEX(SETUP!$C$19:$G$62,MATCH((INDEX(PMtbl[[WKst]:[Unit of measure*]],MATCH($A28&amp;$E28&amp;$I28,INDEX(PMtbl[Category]&amp;PMtbl[INN]&amp;PMtbl[Specification],0,),0),3)),SETUP!$D$19:$D$62,0),5),"")</f>
        <v/>
      </c>
      <c r="AN28" s="1425"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1461">
        <v>1</v>
      </c>
      <c r="AV28" s="1420">
        <f>IFERROR(VLOOKUP($AW28,$AK$67:$AN$83,4,FALSE),0)</f>
        <v>0</v>
      </c>
      <c r="AW28" s="1462">
        <v>6.5</v>
      </c>
      <c r="AX28" s="1583">
        <f t="shared" ref="AX28" si="6">SUMPRODUCT(($AK$14:$AK$61=$AW28)*($N$14:$N$61)*((O$14:O$61)))</f>
        <v>0</v>
      </c>
      <c r="AY28" s="1583">
        <f t="shared" ref="AY28" si="7">SUMPRODUCT(($AK$14:$AK$61=$AW28)*($N$14:$N$61)*((P$14:P$61)))</f>
        <v>0</v>
      </c>
      <c r="AZ28" s="1583">
        <f t="shared" ref="AZ28" si="8">SUMPRODUCT(($AK$14:$AK$61=$AW28)*($N$14:$N$61)*((Q$14:Q$61)))</f>
        <v>0</v>
      </c>
      <c r="BA28" s="1583">
        <f t="shared" ref="BA28" si="9">SUMPRODUCT(($AK$14:$AK$61=$AW28)*($N$14:$N$61)*((R$14:R$61)))</f>
        <v>0</v>
      </c>
      <c r="BB28" s="1583">
        <f t="shared" ref="BB28" si="10">SUMPRODUCT(($AK$14:$AK$61=$AW28)*($U$14:$U$61)*((V$14:V$61)))</f>
        <v>0</v>
      </c>
      <c r="BC28" s="1583">
        <f t="shared" ref="BC28" si="11">SUMPRODUCT(($AK$14:$AK$61=$AW28)*($U$14:$U$61)*((W$14:W$61)))</f>
        <v>0</v>
      </c>
      <c r="BD28" s="1583">
        <f t="shared" ref="BD28" si="12">SUMPRODUCT(($AK$14:$AK$61=$AW28)*($U$14:$U$61)*((X$14:X$61)))</f>
        <v>0</v>
      </c>
      <c r="BE28" s="1583">
        <f t="shared" ref="BE28" si="13">SUMPRODUCT(($AK$14:$AK$61=$AW28)*($U$14:$U$61)*((Y$14:Y$61)))</f>
        <v>0</v>
      </c>
      <c r="BF28" s="1583">
        <f t="shared" ref="BF28" si="14">SUMPRODUCT(($AK$14:$AK$61=$AW28)*($AB$14:$AB$61)*((AC$14:AC$61)))</f>
        <v>0</v>
      </c>
      <c r="BG28" s="1583">
        <f t="shared" ref="BG28" si="15">SUMPRODUCT(($AK$14:$AK$61=$AW28)*($AB$14:$AB$61)*((AD$14:AD$61)))</f>
        <v>0</v>
      </c>
      <c r="BH28" s="1583">
        <f t="shared" ref="BH28" si="16">SUMPRODUCT(($AK$14:$AK$61=$AW28)*($AB$14:$AB$61)*((AE$14:AE$61)))</f>
        <v>0</v>
      </c>
      <c r="BI28" s="1584">
        <f t="shared" ref="BI28" si="17">SUMPRODUCT(($AK$14:$AK$61=$AW28)*($AB$14:$AB$61)*((AF$14:AF$61)))</f>
        <v>0</v>
      </c>
      <c r="BJ28" s="1584">
        <f t="shared" ref="BJ28" si="18">SUM(AX28:BI28)</f>
        <v>0</v>
      </c>
    </row>
    <row r="29" spans="1:62" s="198" customFormat="1">
      <c r="A29" s="2616"/>
      <c r="B29" s="2304"/>
      <c r="C29" s="2304"/>
      <c r="D29" s="2304"/>
      <c r="E29" s="2616"/>
      <c r="F29" s="2304"/>
      <c r="G29" s="2304"/>
      <c r="H29" s="2617"/>
      <c r="I29" s="2616"/>
      <c r="J29" s="2304"/>
      <c r="K29" s="2617"/>
      <c r="L29" s="176" t="str">
        <f>IF(A29&lt;&gt;"",IFERROR(INDEX(PMtbl[[WKst]:[Unit of measure*]],MATCH($A$8&amp;$A29&amp;$E29&amp;$I29,INDEX(PMtbl[Sec]&amp;PMtbl[Category]&amp;PMtbl[INN]&amp;PMtbl[Specification],0,),0),8),""),"")</f>
        <v/>
      </c>
      <c r="M29" s="177" t="str">
        <f>IF(L29="", "",SETUP!$E$5)</f>
        <v/>
      </c>
      <c r="N29" s="856"/>
      <c r="O29" s="12"/>
      <c r="P29" s="12"/>
      <c r="Q29" s="12"/>
      <c r="R29" s="12"/>
      <c r="S29" s="467">
        <f>SUM('TB-EQUIPMENT &amp; OTHER HPs'!$O29:$R29)</f>
        <v>0</v>
      </c>
      <c r="T29" s="832">
        <f>'TB-EQUIPMENT &amp; OTHER HPs'!$N29*'TB-EQUIPMENT &amp; OTHER HPs'!$S29</f>
        <v>0</v>
      </c>
      <c r="U29" s="856"/>
      <c r="V29" s="12"/>
      <c r="W29" s="12"/>
      <c r="X29" s="12"/>
      <c r="Y29" s="12"/>
      <c r="Z29" s="467">
        <f>SUM('TB-EQUIPMENT &amp; OTHER HPs'!$V29:$Y29)</f>
        <v>0</v>
      </c>
      <c r="AA29" s="832">
        <f>'TB-EQUIPMENT &amp; OTHER HPs'!$U29*'TB-EQUIPMENT &amp; OTHER HPs'!$Z29</f>
        <v>0</v>
      </c>
      <c r="AB29" s="856"/>
      <c r="AC29" s="12"/>
      <c r="AD29" s="12"/>
      <c r="AE29" s="12"/>
      <c r="AF29" s="12"/>
      <c r="AG29" s="467">
        <f>SUM('TB-EQUIPMENT &amp; OTHER HPs'!$AC29:$AF29)</f>
        <v>0</v>
      </c>
      <c r="AH29" s="832">
        <f>'TB-EQUIPMENT &amp; OTHER HPs'!$AB29*'TB-EQUIPMENT &amp; OTHER HPs'!$AG29</f>
        <v>0</v>
      </c>
      <c r="AI29" s="468">
        <f>'TB-EQUIPMENT &amp; OTHER HPs'!$S29+'TB-EQUIPMENT &amp; OTHER HPs'!$Z29+'TB-EQUIPMENT &amp; OTHER HPs'!$AG29</f>
        <v>0</v>
      </c>
      <c r="AJ29" s="832">
        <f>'TB-EQUIPMENT &amp; OTHER HPs'!$T29+'TB-EQUIPMENT &amp; OTHER HPs'!$AA29+'TB-EQUIPMENT &amp; OTHER HPs'!$AH29</f>
        <v>0</v>
      </c>
      <c r="AK29" s="397" t="str">
        <f>IF(A29&lt;&gt;"",IFERROR(INDEX(PMtbl[[WKst]:[Unit of measure*]],MATCH($A$8&amp;$A29&amp;$E29&amp;$I29,INDEX(PMtbl[Sec]&amp;PMtbl[Category]&amp;PMtbl[INN]&amp;PMtbl[Specification],0,),0),7),""),"")</f>
        <v/>
      </c>
      <c r="AL29" s="947"/>
      <c r="AM29" s="1424" t="str">
        <f>IFERROR(INDEX(SETUP!$C$19:$G$62,MATCH((INDEX(PMtbl[[WKst]:[Unit of measure*]],MATCH($A29&amp;$E29&amp;$I29,INDEX(PMtbl[Category]&amp;PMtbl[INN]&amp;PMtbl[Specification],0,),0),3)),SETUP!$D$19:$D$62,0),5),"")</f>
        <v/>
      </c>
      <c r="AN29" s="1424"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U29" s="1461">
        <v>2</v>
      </c>
      <c r="AV29" s="1420">
        <f>IFERROR(VLOOKUP($AW29,$AK$67:$AN$83,4,FALSE),0)</f>
        <v>0</v>
      </c>
      <c r="AW29" s="1462">
        <v>5.4</v>
      </c>
      <c r="AX29" s="1583">
        <f>SUMPRODUCT(($AK$69:$AK$83=$AW29)*($N$69:$N$83)*((O$69:O$83)))</f>
        <v>0</v>
      </c>
      <c r="AY29" s="1583">
        <f>SUMPRODUCT(($AK$69:$AK$83=$AW29)*($N$69:$N$83)*((P$69:P$83)))</f>
        <v>0</v>
      </c>
      <c r="AZ29" s="1583">
        <f>SUMPRODUCT(($AK$69:$AK$83=$AW29)*($N$69:$N$83)*((Q$69:Q$83)))</f>
        <v>0</v>
      </c>
      <c r="BA29" s="1583">
        <f>SUMPRODUCT(($AK$69:$AK$83=$AW29)*($N$69:$N$83)*((R$69:R$83)))</f>
        <v>0</v>
      </c>
      <c r="BB29" s="1583">
        <f>SUMPRODUCT(($AK$69:$AK$83=$AW29)*($U$69:$U$83)*((V$69:V$83)))</f>
        <v>0</v>
      </c>
      <c r="BC29" s="1583">
        <f>SUMPRODUCT(($AK$69:$AK$83=$AW29)*($U$69:$U$83)*((W$69:W$83)))</f>
        <v>0</v>
      </c>
      <c r="BD29" s="1583">
        <f>SUMPRODUCT(($AK$69:$AK$83=$AW29)*($U$69:$U$83)*((X$69:X$83)))</f>
        <v>0</v>
      </c>
      <c r="BE29" s="1583">
        <f>SUMPRODUCT(($AK$69:$AK$83=$AW29)*($U$69:$U$83)*((Y$69:Y$83)))</f>
        <v>0</v>
      </c>
      <c r="BF29" s="1583">
        <f>SUMPRODUCT(($AK$69:$AK$83=$AW29)*($AB$69:$AB$83)*((AC$69:AC$83)))</f>
        <v>0</v>
      </c>
      <c r="BG29" s="1583">
        <f>SUMPRODUCT(($AK$69:$AK$83=$AW29)*($AB$69:$AB$83)*((AD$69:AD$83)))</f>
        <v>0</v>
      </c>
      <c r="BH29" s="1583">
        <f>SUMPRODUCT(($AK$69:$AK$83=$AW29)*($AB$69:$AB$83)*((AE$69:AE$83)))</f>
        <v>0</v>
      </c>
      <c r="BI29" s="1584">
        <f>SUMPRODUCT(($AK$69:$AK$83=$AW29)*($AB$69:$AB$83)*((AF$69:AF$83)))</f>
        <v>0</v>
      </c>
      <c r="BJ29" s="1584">
        <f t="shared" ref="BJ29:BJ35" si="19">SUM(AX29:BI29)</f>
        <v>0</v>
      </c>
    </row>
    <row r="30" spans="1:62" s="198" customFormat="1">
      <c r="A30" s="2610"/>
      <c r="B30" s="2611"/>
      <c r="C30" s="2611"/>
      <c r="D30" s="2611"/>
      <c r="E30" s="2610"/>
      <c r="F30" s="2611"/>
      <c r="G30" s="2611"/>
      <c r="H30" s="2612"/>
      <c r="I30" s="2610"/>
      <c r="J30" s="2611"/>
      <c r="K30" s="2612"/>
      <c r="L30" s="175" t="str">
        <f>IF(A30&lt;&gt;"",IFERROR(INDEX(PMtbl[[WKst]:[Unit of measure*]],MATCH($A$8&amp;$A30&amp;$E30&amp;$I30,INDEX(PMtbl[Sec]&amp;PMtbl[Category]&amp;PMtbl[INN]&amp;PMtbl[Specification],0,),0),8),""),"")</f>
        <v/>
      </c>
      <c r="M30" s="175" t="str">
        <f>IF(L30="", "",SETUP!$E$5)</f>
        <v/>
      </c>
      <c r="N30" s="857"/>
      <c r="O30" s="873"/>
      <c r="P30" s="873"/>
      <c r="Q30" s="873"/>
      <c r="R30" s="873"/>
      <c r="S30" s="469">
        <f>SUM('TB-EQUIPMENT &amp; OTHER HPs'!$O30:$R30)</f>
        <v>0</v>
      </c>
      <c r="T30" s="833">
        <f>'TB-EQUIPMENT &amp; OTHER HPs'!$N30*'TB-EQUIPMENT &amp; OTHER HPs'!$S30</f>
        <v>0</v>
      </c>
      <c r="U30" s="857"/>
      <c r="V30" s="873"/>
      <c r="W30" s="873"/>
      <c r="X30" s="873"/>
      <c r="Y30" s="873"/>
      <c r="Z30" s="469">
        <f>SUM('TB-EQUIPMENT &amp; OTHER HPs'!$V30:$Y30)</f>
        <v>0</v>
      </c>
      <c r="AA30" s="833">
        <f>'TB-EQUIPMENT &amp; OTHER HPs'!$U30*'TB-EQUIPMENT &amp; OTHER HPs'!$Z30</f>
        <v>0</v>
      </c>
      <c r="AB30" s="857"/>
      <c r="AC30" s="873"/>
      <c r="AD30" s="873"/>
      <c r="AE30" s="873"/>
      <c r="AF30" s="873"/>
      <c r="AG30" s="469">
        <f>SUM('TB-EQUIPMENT &amp; OTHER HPs'!$AC30:$AF30)</f>
        <v>0</v>
      </c>
      <c r="AH30" s="833">
        <f>'TB-EQUIPMENT &amp; OTHER HPs'!$AB30*'TB-EQUIPMENT &amp; OTHER HPs'!$AG30</f>
        <v>0</v>
      </c>
      <c r="AI30" s="470">
        <f>'TB-EQUIPMENT &amp; OTHER HPs'!$S30+'TB-EQUIPMENT &amp; OTHER HPs'!$Z30+'TB-EQUIPMENT &amp; OTHER HPs'!$AG30</f>
        <v>0</v>
      </c>
      <c r="AJ30" s="833">
        <f>'TB-EQUIPMENT &amp; OTHER HPs'!$T30+'TB-EQUIPMENT &amp; OTHER HPs'!$AA30+'TB-EQUIPMENT &amp; OTHER HPs'!$AH30</f>
        <v>0</v>
      </c>
      <c r="AK30" s="400" t="str">
        <f>IF(A30&lt;&gt;"",IFERROR(INDEX(PMtbl[[WKst]:[Unit of measure*]],MATCH($A$8&amp;$A30&amp;$E30&amp;$I30,INDEX(PMtbl[Sec]&amp;PMtbl[Category]&amp;PMtbl[INN]&amp;PMtbl[Specification],0,),0),7),""),"")</f>
        <v/>
      </c>
      <c r="AL30" s="946"/>
      <c r="AM30" s="1425" t="str">
        <f>IFERROR(INDEX(SETUP!$C$19:$G$62,MATCH((INDEX(PMtbl[[WKst]:[Unit of measure*]],MATCH($A30&amp;$E30&amp;$I30,INDEX(PMtbl[Category]&amp;PMtbl[INN]&amp;PMtbl[Specification],0,),0),3)),SETUP!$D$19:$D$62,0),5),"")</f>
        <v/>
      </c>
      <c r="AN30" s="1425"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c r="AU30" s="1461">
        <v>2</v>
      </c>
      <c r="AV30" s="1420">
        <f>IFERROR(VLOOKUP($AW30,$AK$67:$AN$83,4,FALSE),0)</f>
        <v>0</v>
      </c>
      <c r="AW30" s="1462">
        <v>6.4</v>
      </c>
      <c r="AX30" s="1583">
        <f>SUMPRODUCT(($AK$69:$AK$83=$AW30)*($N$69:$N$83)*((O$69:O$83)))</f>
        <v>0</v>
      </c>
      <c r="AY30" s="1583">
        <f t="shared" ref="AY30:AY32" si="20">SUMPRODUCT(($AK$69:$AK$83=$AW30)*($N$69:$N$83)*((P$69:P$83)))</f>
        <v>0</v>
      </c>
      <c r="AZ30" s="1583">
        <f t="shared" ref="AZ30:AZ32" si="21">SUMPRODUCT(($AK$69:$AK$83=$AW30)*($N$69:$N$83)*((Q$69:Q$83)))</f>
        <v>0</v>
      </c>
      <c r="BA30" s="1583">
        <f t="shared" ref="BA30:BA32" si="22">SUMPRODUCT(($AK$69:$AK$83=$AW30)*($N$69:$N$83)*((R$69:R$83)))</f>
        <v>0</v>
      </c>
      <c r="BB30" s="1583">
        <f t="shared" ref="BB30:BB32" si="23">SUMPRODUCT(($AK$69:$AK$83=$AW30)*($U$69:$U$83)*((V$69:V$83)))</f>
        <v>0</v>
      </c>
      <c r="BC30" s="1583">
        <f t="shared" ref="BC30:BC32" si="24">SUMPRODUCT(($AK$69:$AK$83=$AW30)*($U$69:$U$83)*((W$69:W$83)))</f>
        <v>0</v>
      </c>
      <c r="BD30" s="1583">
        <f t="shared" ref="BD30:BD32" si="25">SUMPRODUCT(($AK$69:$AK$83=$AW30)*($U$69:$U$83)*((X$69:X$83)))</f>
        <v>0</v>
      </c>
      <c r="BE30" s="1583">
        <f t="shared" ref="BE30:BE32" si="26">SUMPRODUCT(($AK$69:$AK$83=$AW30)*($U$69:$U$83)*((Y$69:Y$83)))</f>
        <v>0</v>
      </c>
      <c r="BF30" s="1583">
        <f t="shared" ref="BF30:BF32" si="27">SUMPRODUCT(($AK$69:$AK$83=$AW30)*($AB$69:$AB$83)*((AC$69:AC$83)))</f>
        <v>0</v>
      </c>
      <c r="BG30" s="1583">
        <f t="shared" ref="BG30:BG32" si="28">SUMPRODUCT(($AK$69:$AK$83=$AW30)*($AB$69:$AB$83)*((AD$69:AD$83)))</f>
        <v>0</v>
      </c>
      <c r="BH30" s="1583">
        <f t="shared" ref="BH30:BH32" si="29">SUMPRODUCT(($AK$69:$AK$83=$AW30)*($AB$69:$AB$83)*((AE$69:AE$83)))</f>
        <v>0</v>
      </c>
      <c r="BI30" s="1584">
        <f t="shared" ref="BI30:BI32" si="30">SUMPRODUCT(($AK$69:$AK$83=$AW30)*($AB$69:$AB$83)*((AF$69:AF$83)))</f>
        <v>0</v>
      </c>
      <c r="BJ30" s="1584">
        <f t="shared" si="19"/>
        <v>0</v>
      </c>
    </row>
    <row r="31" spans="1:62" s="198" customFormat="1">
      <c r="A31" s="2616"/>
      <c r="B31" s="2304"/>
      <c r="C31" s="2304"/>
      <c r="D31" s="2304"/>
      <c r="E31" s="2616"/>
      <c r="F31" s="2304"/>
      <c r="G31" s="2304"/>
      <c r="H31" s="2617"/>
      <c r="I31" s="2616"/>
      <c r="J31" s="2304"/>
      <c r="K31" s="2617"/>
      <c r="L31" s="176" t="str">
        <f>IF(A31&lt;&gt;"",IFERROR(INDEX(PMtbl[[WKst]:[Unit of measure*]],MATCH($A$8&amp;$A31&amp;$E31&amp;$I31,INDEX(PMtbl[Sec]&amp;PMtbl[Category]&amp;PMtbl[INN]&amp;PMtbl[Specification],0,),0),8),""),"")</f>
        <v/>
      </c>
      <c r="M31" s="177" t="str">
        <f>IF(L31="", "",SETUP!$E$5)</f>
        <v/>
      </c>
      <c r="N31" s="856"/>
      <c r="O31" s="12"/>
      <c r="P31" s="12"/>
      <c r="Q31" s="12"/>
      <c r="R31" s="12"/>
      <c r="S31" s="467">
        <f>SUM('TB-EQUIPMENT &amp; OTHER HPs'!$O31:$R31)</f>
        <v>0</v>
      </c>
      <c r="T31" s="832">
        <f>'TB-EQUIPMENT &amp; OTHER HPs'!$N31*'TB-EQUIPMENT &amp; OTHER HPs'!$S31</f>
        <v>0</v>
      </c>
      <c r="U31" s="856"/>
      <c r="V31" s="12"/>
      <c r="W31" s="12"/>
      <c r="X31" s="12"/>
      <c r="Y31" s="12"/>
      <c r="Z31" s="467">
        <f>SUM('TB-EQUIPMENT &amp; OTHER HPs'!$V31:$Y31)</f>
        <v>0</v>
      </c>
      <c r="AA31" s="832">
        <f>'TB-EQUIPMENT &amp; OTHER HPs'!$U31*'TB-EQUIPMENT &amp; OTHER HPs'!$Z31</f>
        <v>0</v>
      </c>
      <c r="AB31" s="856"/>
      <c r="AC31" s="12"/>
      <c r="AD31" s="12"/>
      <c r="AE31" s="12"/>
      <c r="AF31" s="12"/>
      <c r="AG31" s="467">
        <f>SUM('TB-EQUIPMENT &amp; OTHER HPs'!$AC31:$AF31)</f>
        <v>0</v>
      </c>
      <c r="AH31" s="832">
        <f>'TB-EQUIPMENT &amp; OTHER HPs'!$AB31*'TB-EQUIPMENT &amp; OTHER HPs'!$AG31</f>
        <v>0</v>
      </c>
      <c r="AI31" s="468">
        <f>'TB-EQUIPMENT &amp; OTHER HPs'!$S31+'TB-EQUIPMENT &amp; OTHER HPs'!$Z31+'TB-EQUIPMENT &amp; OTHER HPs'!$AG31</f>
        <v>0</v>
      </c>
      <c r="AJ31" s="832">
        <f>'TB-EQUIPMENT &amp; OTHER HPs'!$T31+'TB-EQUIPMENT &amp; OTHER HPs'!$AA31+'TB-EQUIPMENT &amp; OTHER HPs'!$AH31</f>
        <v>0</v>
      </c>
      <c r="AK31" s="397" t="str">
        <f>IF(A31&lt;&gt;"",IFERROR(INDEX(PMtbl[[WKst]:[Unit of measure*]],MATCH($A$8&amp;$A31&amp;$E31&amp;$I31,INDEX(PMtbl[Sec]&amp;PMtbl[Category]&amp;PMtbl[INN]&amp;PMtbl[Specification],0,),0),7),""),"")</f>
        <v/>
      </c>
      <c r="AL31" s="947"/>
      <c r="AM31" s="1424" t="str">
        <f>IFERROR(INDEX(SETUP!$C$19:$G$62,MATCH((INDEX(PMtbl[[WKst]:[Unit of measure*]],MATCH($A31&amp;$E31&amp;$I31,INDEX(PMtbl[Category]&amp;PMtbl[INN]&amp;PMtbl[Specification],0,),0),3)),SETUP!$D$19:$D$62,0),5),"")</f>
        <v/>
      </c>
      <c r="AN31" s="1424"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c r="AT31" s="1400"/>
      <c r="AU31" s="1461">
        <v>2</v>
      </c>
      <c r="AV31" s="1420">
        <f>IFERROR(VLOOKUP($AW31,$AK$67:$AN$83,4,FALSE),0)</f>
        <v>0</v>
      </c>
      <c r="AW31" s="1462">
        <v>6.5</v>
      </c>
      <c r="AX31" s="1583">
        <f t="shared" ref="AX31:AX32" si="31">SUMPRODUCT(($AK$69:$AK$83=$AW31)*($N$69:$N$83)*((O$69:O$83)))</f>
        <v>0</v>
      </c>
      <c r="AY31" s="1583">
        <f t="shared" si="20"/>
        <v>0</v>
      </c>
      <c r="AZ31" s="1583">
        <f t="shared" si="21"/>
        <v>0</v>
      </c>
      <c r="BA31" s="1583">
        <f t="shared" si="22"/>
        <v>0</v>
      </c>
      <c r="BB31" s="1583">
        <f t="shared" si="23"/>
        <v>0</v>
      </c>
      <c r="BC31" s="1583">
        <f t="shared" si="24"/>
        <v>0</v>
      </c>
      <c r="BD31" s="1583">
        <f t="shared" si="25"/>
        <v>0</v>
      </c>
      <c r="BE31" s="1583">
        <f t="shared" si="26"/>
        <v>0</v>
      </c>
      <c r="BF31" s="1583">
        <f t="shared" si="27"/>
        <v>0</v>
      </c>
      <c r="BG31" s="1583">
        <f t="shared" si="28"/>
        <v>0</v>
      </c>
      <c r="BH31" s="1583">
        <f t="shared" si="29"/>
        <v>0</v>
      </c>
      <c r="BI31" s="1584">
        <f t="shared" si="30"/>
        <v>0</v>
      </c>
      <c r="BJ31" s="1584">
        <f t="shared" si="19"/>
        <v>0</v>
      </c>
    </row>
    <row r="32" spans="1:62" s="198" customFormat="1">
      <c r="A32" s="2610"/>
      <c r="B32" s="2611"/>
      <c r="C32" s="2611"/>
      <c r="D32" s="2611"/>
      <c r="E32" s="2610"/>
      <c r="F32" s="2611"/>
      <c r="G32" s="2611"/>
      <c r="H32" s="2612"/>
      <c r="I32" s="2610"/>
      <c r="J32" s="2611"/>
      <c r="K32" s="2612"/>
      <c r="L32" s="175" t="str">
        <f>IF(A32&lt;&gt;"",IFERROR(INDEX(PMtbl[[WKst]:[Unit of measure*]],MATCH($A$8&amp;$A32&amp;$E32&amp;$I32,INDEX(PMtbl[Sec]&amp;PMtbl[Category]&amp;PMtbl[INN]&amp;PMtbl[Specification],0,),0),8),""),"")</f>
        <v/>
      </c>
      <c r="M32" s="175" t="str">
        <f>IF(L32="", "",SETUP!$E$5)</f>
        <v/>
      </c>
      <c r="N32" s="857"/>
      <c r="O32" s="873"/>
      <c r="P32" s="873"/>
      <c r="Q32" s="873"/>
      <c r="R32" s="873"/>
      <c r="S32" s="469">
        <f>SUM('TB-EQUIPMENT &amp; OTHER HPs'!$O32:$R32)</f>
        <v>0</v>
      </c>
      <c r="T32" s="833">
        <f>'TB-EQUIPMENT &amp; OTHER HPs'!$N32*'TB-EQUIPMENT &amp; OTHER HPs'!$S32</f>
        <v>0</v>
      </c>
      <c r="U32" s="857"/>
      <c r="V32" s="873"/>
      <c r="W32" s="873"/>
      <c r="X32" s="873"/>
      <c r="Y32" s="873"/>
      <c r="Z32" s="469">
        <f>SUM('TB-EQUIPMENT &amp; OTHER HPs'!$V32:$Y32)</f>
        <v>0</v>
      </c>
      <c r="AA32" s="833">
        <f>'TB-EQUIPMENT &amp; OTHER HPs'!$U32*'TB-EQUIPMENT &amp; OTHER HPs'!$Z32</f>
        <v>0</v>
      </c>
      <c r="AB32" s="857"/>
      <c r="AC32" s="873"/>
      <c r="AD32" s="873"/>
      <c r="AE32" s="873"/>
      <c r="AF32" s="873"/>
      <c r="AG32" s="469">
        <f>SUM('TB-EQUIPMENT &amp; OTHER HPs'!$AC32:$AF32)</f>
        <v>0</v>
      </c>
      <c r="AH32" s="833">
        <f>'TB-EQUIPMENT &amp; OTHER HPs'!$AB32*'TB-EQUIPMENT &amp; OTHER HPs'!$AG32</f>
        <v>0</v>
      </c>
      <c r="AI32" s="470">
        <f>'TB-EQUIPMENT &amp; OTHER HPs'!$S32+'TB-EQUIPMENT &amp; OTHER HPs'!$Z32+'TB-EQUIPMENT &amp; OTHER HPs'!$AG32</f>
        <v>0</v>
      </c>
      <c r="AJ32" s="833">
        <f>'TB-EQUIPMENT &amp; OTHER HPs'!$T32+'TB-EQUIPMENT &amp; OTHER HPs'!$AA32+'TB-EQUIPMENT &amp; OTHER HPs'!$AH32</f>
        <v>0</v>
      </c>
      <c r="AK32" s="400" t="str">
        <f>IF(A32&lt;&gt;"",IFERROR(INDEX(PMtbl[[WKst]:[Unit of measure*]],MATCH($A$8&amp;$A32&amp;$E32&amp;$I32,INDEX(PMtbl[Sec]&amp;PMtbl[Category]&amp;PMtbl[INN]&amp;PMtbl[Specification],0,),0),7),""),"")</f>
        <v/>
      </c>
      <c r="AL32" s="946"/>
      <c r="AM32" s="1425" t="str">
        <f>IFERROR(INDEX(SETUP!$C$19:$G$62,MATCH((INDEX(PMtbl[[WKst]:[Unit of measure*]],MATCH($A32&amp;$E32&amp;$I32,INDEX(PMtbl[Category]&amp;PMtbl[INN]&amp;PMtbl[Specification],0,),0),3)),SETUP!$D$19:$D$62,0),5),"")</f>
        <v/>
      </c>
      <c r="AN32" s="1425"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c r="AU32" s="1650">
        <v>2</v>
      </c>
      <c r="AV32" s="1651">
        <f>IFERROR(VLOOKUP($AW32,$AK$67:$AN$83,4,FALSE),0)</f>
        <v>0</v>
      </c>
      <c r="AW32" s="1654">
        <v>6.6</v>
      </c>
      <c r="AX32" s="1652">
        <f t="shared" si="31"/>
        <v>0</v>
      </c>
      <c r="AY32" s="1652">
        <f t="shared" si="20"/>
        <v>0</v>
      </c>
      <c r="AZ32" s="1652">
        <f t="shared" si="21"/>
        <v>0</v>
      </c>
      <c r="BA32" s="1652">
        <f t="shared" si="22"/>
        <v>0</v>
      </c>
      <c r="BB32" s="1652">
        <f t="shared" si="23"/>
        <v>0</v>
      </c>
      <c r="BC32" s="1652">
        <f t="shared" si="24"/>
        <v>0</v>
      </c>
      <c r="BD32" s="1652">
        <f t="shared" si="25"/>
        <v>0</v>
      </c>
      <c r="BE32" s="1652">
        <f t="shared" si="26"/>
        <v>0</v>
      </c>
      <c r="BF32" s="1652">
        <f t="shared" si="27"/>
        <v>0</v>
      </c>
      <c r="BG32" s="1652">
        <f t="shared" si="28"/>
        <v>0</v>
      </c>
      <c r="BH32" s="1652">
        <f t="shared" si="29"/>
        <v>0</v>
      </c>
      <c r="BI32" s="1653">
        <f t="shared" si="30"/>
        <v>0</v>
      </c>
      <c r="BJ32" s="1653">
        <f t="shared" si="19"/>
        <v>0</v>
      </c>
    </row>
    <row r="33" spans="1:62" s="198" customFormat="1">
      <c r="A33" s="2616"/>
      <c r="B33" s="2304"/>
      <c r="C33" s="2304"/>
      <c r="D33" s="2304"/>
      <c r="E33" s="2616"/>
      <c r="F33" s="2304"/>
      <c r="G33" s="2304"/>
      <c r="H33" s="2617"/>
      <c r="I33" s="2616"/>
      <c r="J33" s="2304"/>
      <c r="K33" s="2617"/>
      <c r="L33" s="176" t="str">
        <f>IF(A33&lt;&gt;"",IFERROR(INDEX(PMtbl[[WKst]:[Unit of measure*]],MATCH($A$8&amp;$A33&amp;$E33&amp;$I33,INDEX(PMtbl[Sec]&amp;PMtbl[Category]&amp;PMtbl[INN]&amp;PMtbl[Specification],0,),0),8),""),"")</f>
        <v/>
      </c>
      <c r="M33" s="177" t="str">
        <f>IF(L33="", "",SETUP!$E$5)</f>
        <v/>
      </c>
      <c r="N33" s="856"/>
      <c r="O33" s="12"/>
      <c r="P33" s="12"/>
      <c r="Q33" s="12"/>
      <c r="R33" s="12"/>
      <c r="S33" s="467">
        <f>SUM('TB-EQUIPMENT &amp; OTHER HPs'!$O33:$R33)</f>
        <v>0</v>
      </c>
      <c r="T33" s="832">
        <f>'TB-EQUIPMENT &amp; OTHER HPs'!$N33*'TB-EQUIPMENT &amp; OTHER HPs'!$S33</f>
        <v>0</v>
      </c>
      <c r="U33" s="856"/>
      <c r="V33" s="12"/>
      <c r="W33" s="12"/>
      <c r="X33" s="12"/>
      <c r="Y33" s="12"/>
      <c r="Z33" s="467">
        <f>SUM('TB-EQUIPMENT &amp; OTHER HPs'!$V33:$Y33)</f>
        <v>0</v>
      </c>
      <c r="AA33" s="832">
        <f>'TB-EQUIPMENT &amp; OTHER HPs'!$U33*'TB-EQUIPMENT &amp; OTHER HPs'!$Z33</f>
        <v>0</v>
      </c>
      <c r="AB33" s="856"/>
      <c r="AC33" s="12"/>
      <c r="AD33" s="12"/>
      <c r="AE33" s="12"/>
      <c r="AF33" s="12"/>
      <c r="AG33" s="467">
        <f>SUM('TB-EQUIPMENT &amp; OTHER HPs'!$AC33:$AF33)</f>
        <v>0</v>
      </c>
      <c r="AH33" s="832">
        <f>'TB-EQUIPMENT &amp; OTHER HPs'!$AB33*'TB-EQUIPMENT &amp; OTHER HPs'!$AG33</f>
        <v>0</v>
      </c>
      <c r="AI33" s="468">
        <f>'TB-EQUIPMENT &amp; OTHER HPs'!$S33+'TB-EQUIPMENT &amp; OTHER HPs'!$Z33+'TB-EQUIPMENT &amp; OTHER HPs'!$AG33</f>
        <v>0</v>
      </c>
      <c r="AJ33" s="832">
        <f>'TB-EQUIPMENT &amp; OTHER HPs'!$T33+'TB-EQUIPMENT &amp; OTHER HPs'!$AA33+'TB-EQUIPMENT &amp; OTHER HPs'!$AH33</f>
        <v>0</v>
      </c>
      <c r="AK33" s="397" t="str">
        <f>IF(A33&lt;&gt;"",IFERROR(INDEX(PMtbl[[WKst]:[Unit of measure*]],MATCH($A$8&amp;$A33&amp;$E33&amp;$I33,INDEX(PMtbl[Sec]&amp;PMtbl[Category]&amp;PMtbl[INN]&amp;PMtbl[Specification],0,),0),7),""),"")</f>
        <v/>
      </c>
      <c r="AL33" s="947"/>
      <c r="AM33" s="1424" t="str">
        <f>IFERROR(INDEX(SETUP!$C$19:$G$62,MATCH((INDEX(PMtbl[[WKst]:[Unit of measure*]],MATCH($A33&amp;$E33&amp;$I33,INDEX(PMtbl[Category]&amp;PMtbl[INN]&amp;PMtbl[Specification],0,),0),3)),SETUP!$D$19:$D$62,0),5),"")</f>
        <v/>
      </c>
      <c r="AN33" s="1424"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c r="AU33" s="1461">
        <v>3</v>
      </c>
      <c r="AV33" s="1420">
        <f>IFERROR(VLOOKUP($AW33,$AK$89:$AN$130,4,FALSE),0)</f>
        <v>0</v>
      </c>
      <c r="AW33" s="1462">
        <v>5.6</v>
      </c>
      <c r="AX33" s="1583">
        <f>SUMPRODUCT(($AK$91:$AK$130=$AW33)*($N$91:$N$130)*((O$91:O$130)))</f>
        <v>0</v>
      </c>
      <c r="AY33" s="1583">
        <f>SUMPRODUCT(($AK$91:$AK$130=$AW33)*($N$91:$N$130)*((P$91:P$130)))</f>
        <v>0</v>
      </c>
      <c r="AZ33" s="1583">
        <f>SUMPRODUCT(($AK$91:$AK$130=$AW33)*($N$91:$N$130)*((Q$91:Q$130)))</f>
        <v>0</v>
      </c>
      <c r="BA33" s="1583">
        <f>SUMPRODUCT(($AK$91:$AK$130=$AW33)*($N$91:$N$130)*((R$91:R$130)))</f>
        <v>0</v>
      </c>
      <c r="BB33" s="1583">
        <f>SUMPRODUCT(($AK$91:$AK$130=$AW33)*($U$91:$U$130)*((V$91:V$130)))</f>
        <v>0</v>
      </c>
      <c r="BC33" s="1583">
        <f>SUMPRODUCT(($AK$91:$AK$130=$AW33)*($U$91:$U$130)*((W$91:W$130)))</f>
        <v>0</v>
      </c>
      <c r="BD33" s="1583">
        <f>SUMPRODUCT(($AK$91:$AK$130=$AW33)*($U$91:$U$130)*((X$91:X$130)))</f>
        <v>0</v>
      </c>
      <c r="BE33" s="1583">
        <f>SUMPRODUCT(($AK$91:$AK$130=$AW33)*($U$91:$U$130)*((Y$91:Y$130)))</f>
        <v>0</v>
      </c>
      <c r="BF33" s="1583">
        <f>SUMPRODUCT(($AK$91:$AK$130=$AW33)*($AB$91:$AB$130)*((AC$91:AC$130)))</f>
        <v>0</v>
      </c>
      <c r="BG33" s="1583">
        <f>SUMPRODUCT(($AK$91:$AK$130=$AW33)*($AB$91:$AB$130)*((AD$91:AD$130)))</f>
        <v>0</v>
      </c>
      <c r="BH33" s="1583">
        <f>SUMPRODUCT(($AK$91:$AK$130=$AW33)*($AB$91:$AB$130)*((AE$91:AE$130)))</f>
        <v>0</v>
      </c>
      <c r="BI33" s="1583">
        <f>SUMPRODUCT(($AK$91:$AK$130=$AW33)*($AB$91:$AB$130)*((AF$91:AF$130)))</f>
        <v>0</v>
      </c>
      <c r="BJ33" s="1584">
        <f t="shared" si="19"/>
        <v>0</v>
      </c>
    </row>
    <row r="34" spans="1:62" s="198" customFormat="1">
      <c r="A34" s="2610"/>
      <c r="B34" s="2611"/>
      <c r="C34" s="2611"/>
      <c r="D34" s="2611"/>
      <c r="E34" s="2610"/>
      <c r="F34" s="2611"/>
      <c r="G34" s="2611"/>
      <c r="H34" s="2612"/>
      <c r="I34" s="2610"/>
      <c r="J34" s="2611"/>
      <c r="K34" s="2612"/>
      <c r="L34" s="175" t="str">
        <f>IF(A34&lt;&gt;"",IFERROR(INDEX(PMtbl[[WKst]:[Unit of measure*]],MATCH($A$8&amp;$A34&amp;$E34&amp;$I34,INDEX(PMtbl[Sec]&amp;PMtbl[Category]&amp;PMtbl[INN]&amp;PMtbl[Specification],0,),0),8),""),"")</f>
        <v/>
      </c>
      <c r="M34" s="175" t="str">
        <f>IF(L34="", "",SETUP!$E$5)</f>
        <v/>
      </c>
      <c r="N34" s="857"/>
      <c r="O34" s="873"/>
      <c r="P34" s="873"/>
      <c r="Q34" s="873"/>
      <c r="R34" s="873"/>
      <c r="S34" s="469">
        <f>SUM('TB-EQUIPMENT &amp; OTHER HPs'!$O34:$R34)</f>
        <v>0</v>
      </c>
      <c r="T34" s="833">
        <f>'TB-EQUIPMENT &amp; OTHER HPs'!$N34*'TB-EQUIPMENT &amp; OTHER HPs'!$S34</f>
        <v>0</v>
      </c>
      <c r="U34" s="857"/>
      <c r="V34" s="873"/>
      <c r="W34" s="873"/>
      <c r="X34" s="873"/>
      <c r="Y34" s="873"/>
      <c r="Z34" s="469">
        <f>SUM('TB-EQUIPMENT &amp; OTHER HPs'!$V34:$Y34)</f>
        <v>0</v>
      </c>
      <c r="AA34" s="833">
        <f>'TB-EQUIPMENT &amp; OTHER HPs'!$U34*'TB-EQUIPMENT &amp; OTHER HPs'!$Z34</f>
        <v>0</v>
      </c>
      <c r="AB34" s="857"/>
      <c r="AC34" s="873"/>
      <c r="AD34" s="873"/>
      <c r="AE34" s="873"/>
      <c r="AF34" s="873"/>
      <c r="AG34" s="469">
        <f>SUM('TB-EQUIPMENT &amp; OTHER HPs'!$AC34:$AF34)</f>
        <v>0</v>
      </c>
      <c r="AH34" s="833">
        <f>'TB-EQUIPMENT &amp; OTHER HPs'!$AB34*'TB-EQUIPMENT &amp; OTHER HPs'!$AG34</f>
        <v>0</v>
      </c>
      <c r="AI34" s="470">
        <f>'TB-EQUIPMENT &amp; OTHER HPs'!$S34+'TB-EQUIPMENT &amp; OTHER HPs'!$Z34+'TB-EQUIPMENT &amp; OTHER HPs'!$AG34</f>
        <v>0</v>
      </c>
      <c r="AJ34" s="833">
        <f>'TB-EQUIPMENT &amp; OTHER HPs'!$T34+'TB-EQUIPMENT &amp; OTHER HPs'!$AA34+'TB-EQUIPMENT &amp; OTHER HPs'!$AH34</f>
        <v>0</v>
      </c>
      <c r="AK34" s="400" t="str">
        <f>IF(A34&lt;&gt;"",IFERROR(INDEX(PMtbl[[WKst]:[Unit of measure*]],MATCH($A$8&amp;$A34&amp;$E34&amp;$I34,INDEX(PMtbl[Sec]&amp;PMtbl[Category]&amp;PMtbl[INN]&amp;PMtbl[Specification],0,),0),7),""),"")</f>
        <v/>
      </c>
      <c r="AL34" s="946"/>
      <c r="AM34" s="1425" t="str">
        <f>IFERROR(INDEX(SETUP!$C$19:$G$62,MATCH((INDEX(PMtbl[[WKst]:[Unit of measure*]],MATCH($A34&amp;$E34&amp;$I34,INDEX(PMtbl[Category]&amp;PMtbl[INN]&amp;PMtbl[Specification],0,),0),3)),SETUP!$D$19:$D$62,0),5),"")</f>
        <v/>
      </c>
      <c r="AN34" s="1425"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c r="AU34" s="1461">
        <v>3</v>
      </c>
      <c r="AV34" s="1420">
        <f>IFERROR(VLOOKUP($AW34,$AK$89:$AN$130,4,FALSE),0)</f>
        <v>0</v>
      </c>
      <c r="AW34" s="1462">
        <v>6.4</v>
      </c>
      <c r="AX34" s="1583">
        <f t="shared" ref="AX34" si="32">SUMPRODUCT(($AK$91:$AK$130=$AW34)*($N$91:$N$130)*((O$91:O$130)))</f>
        <v>0</v>
      </c>
      <c r="AY34" s="1583">
        <f t="shared" ref="AY34:AY35" si="33">SUMPRODUCT(($AK$91:$AK$130=$AW34)*($N$91:$N$130)*((P$91:P$130)))</f>
        <v>0</v>
      </c>
      <c r="AZ34" s="1583">
        <f t="shared" ref="AZ34:AZ35" si="34">SUMPRODUCT(($AK$91:$AK$130=$AW34)*($N$91:$N$130)*((Q$91:Q$130)))</f>
        <v>0</v>
      </c>
      <c r="BA34" s="1583">
        <f t="shared" ref="BA34:BA35" si="35">SUMPRODUCT(($AK$91:$AK$130=$AW34)*($N$91:$N$130)*((R$91:R$130)))</f>
        <v>0</v>
      </c>
      <c r="BB34" s="1583">
        <f t="shared" ref="BB34:BB35" si="36">SUMPRODUCT(($AK$91:$AK$130=$AW34)*($U$91:$U$130)*((V$91:V$130)))</f>
        <v>0</v>
      </c>
      <c r="BC34" s="1583">
        <f t="shared" ref="BC34:BC35" si="37">SUMPRODUCT(($AK$91:$AK$130=$AW34)*($U$91:$U$130)*((W$91:W$130)))</f>
        <v>0</v>
      </c>
      <c r="BD34" s="1583">
        <f t="shared" ref="BD34:BD35" si="38">SUMPRODUCT(($AK$91:$AK$130=$AW34)*($U$91:$U$130)*((X$91:X$130)))</f>
        <v>0</v>
      </c>
      <c r="BE34" s="1583">
        <f t="shared" ref="BE34:BE35" si="39">SUMPRODUCT(($AK$91:$AK$130=$AW34)*($U$91:$U$130)*((Y$91:Y$130)))</f>
        <v>0</v>
      </c>
      <c r="BF34" s="1583">
        <f t="shared" ref="BF34:BF35" si="40">SUMPRODUCT(($AK$91:$AK$130=$AW34)*($AB$91:$AB$130)*((AC$91:AC$130)))</f>
        <v>0</v>
      </c>
      <c r="BG34" s="1583">
        <f t="shared" ref="BG34:BG35" si="41">SUMPRODUCT(($AK$91:$AK$130=$AW34)*($AB$91:$AB$130)*((AD$91:AD$130)))</f>
        <v>0</v>
      </c>
      <c r="BH34" s="1583">
        <f t="shared" ref="BH34:BH35" si="42">SUMPRODUCT(($AK$91:$AK$130=$AW34)*($AB$91:$AB$130)*((AE$91:AE$130)))</f>
        <v>0</v>
      </c>
      <c r="BI34" s="1583">
        <f t="shared" ref="BI34:BI35" si="43">SUMPRODUCT(($AK$91:$AK$130=$AW34)*($AB$91:$AB$130)*((AF$91:AF$130)))</f>
        <v>0</v>
      </c>
      <c r="BJ34" s="1584">
        <f t="shared" si="19"/>
        <v>0</v>
      </c>
    </row>
    <row r="35" spans="1:62" s="198" customFormat="1">
      <c r="A35" s="2616"/>
      <c r="B35" s="2304"/>
      <c r="C35" s="2304"/>
      <c r="D35" s="2304"/>
      <c r="E35" s="2616"/>
      <c r="F35" s="2304"/>
      <c r="G35" s="2304"/>
      <c r="H35" s="2617"/>
      <c r="I35" s="2616"/>
      <c r="J35" s="2304"/>
      <c r="K35" s="2617"/>
      <c r="L35" s="176" t="str">
        <f>IF(A35&lt;&gt;"",IFERROR(INDEX(PMtbl[[WKst]:[Unit of measure*]],MATCH($A$8&amp;$A35&amp;$E35&amp;$I35,INDEX(PMtbl[Sec]&amp;PMtbl[Category]&amp;PMtbl[INN]&amp;PMtbl[Specification],0,),0),8),""),"")</f>
        <v/>
      </c>
      <c r="M35" s="177" t="str">
        <f>IF(L35="", "",SETUP!$E$5)</f>
        <v/>
      </c>
      <c r="N35" s="856"/>
      <c r="O35" s="12"/>
      <c r="P35" s="12"/>
      <c r="Q35" s="12"/>
      <c r="R35" s="12"/>
      <c r="S35" s="467">
        <f>SUM('TB-EQUIPMENT &amp; OTHER HPs'!$O35:$R35)</f>
        <v>0</v>
      </c>
      <c r="T35" s="832">
        <f>'TB-EQUIPMENT &amp; OTHER HPs'!$N35*'TB-EQUIPMENT &amp; OTHER HPs'!$S35</f>
        <v>0</v>
      </c>
      <c r="U35" s="856"/>
      <c r="V35" s="12"/>
      <c r="W35" s="12"/>
      <c r="X35" s="12"/>
      <c r="Y35" s="12"/>
      <c r="Z35" s="467">
        <f>SUM('TB-EQUIPMENT &amp; OTHER HPs'!$V35:$Y35)</f>
        <v>0</v>
      </c>
      <c r="AA35" s="832">
        <f>'TB-EQUIPMENT &amp; OTHER HPs'!$U35*'TB-EQUIPMENT &amp; OTHER HPs'!$Z35</f>
        <v>0</v>
      </c>
      <c r="AB35" s="856"/>
      <c r="AC35" s="12"/>
      <c r="AD35" s="12"/>
      <c r="AE35" s="12"/>
      <c r="AF35" s="12"/>
      <c r="AG35" s="467">
        <f>SUM('TB-EQUIPMENT &amp; OTHER HPs'!$AC35:$AF35)</f>
        <v>0</v>
      </c>
      <c r="AH35" s="832">
        <f>'TB-EQUIPMENT &amp; OTHER HPs'!$AB35*'TB-EQUIPMENT &amp; OTHER HPs'!$AG35</f>
        <v>0</v>
      </c>
      <c r="AI35" s="468">
        <f>'TB-EQUIPMENT &amp; OTHER HPs'!$S35+'TB-EQUIPMENT &amp; OTHER HPs'!$Z35+'TB-EQUIPMENT &amp; OTHER HPs'!$AG35</f>
        <v>0</v>
      </c>
      <c r="AJ35" s="832">
        <f>'TB-EQUIPMENT &amp; OTHER HPs'!$T35+'TB-EQUIPMENT &amp; OTHER HPs'!$AA35+'TB-EQUIPMENT &amp; OTHER HPs'!$AH35</f>
        <v>0</v>
      </c>
      <c r="AK35" s="397" t="str">
        <f>IF(A35&lt;&gt;"",IFERROR(INDEX(PMtbl[[WKst]:[Unit of measure*]],MATCH($A$8&amp;$A35&amp;$E35&amp;$I35,INDEX(PMtbl[Sec]&amp;PMtbl[Category]&amp;PMtbl[INN]&amp;PMtbl[Specification],0,),0),7),""),"")</f>
        <v/>
      </c>
      <c r="AL35" s="947"/>
      <c r="AM35" s="1424" t="str">
        <f>IFERROR(INDEX(SETUP!$C$19:$G$62,MATCH((INDEX(PMtbl[[WKst]:[Unit of measure*]],MATCH($A35&amp;$E35&amp;$I35,INDEX(PMtbl[Category]&amp;PMtbl[INN]&amp;PMtbl[Specification],0,),0),3)),SETUP!$D$19:$D$62,0),5),"")</f>
        <v/>
      </c>
      <c r="AN35" s="1424"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c r="AT35" s="1422"/>
      <c r="AU35" s="1461">
        <v>3</v>
      </c>
      <c r="AV35" s="1420">
        <f>IFERROR(VLOOKUP($AW35,$AK$89:$AN$130,4,FALSE),0)</f>
        <v>0</v>
      </c>
      <c r="AW35" s="1462">
        <v>6.6</v>
      </c>
      <c r="AX35" s="1583">
        <f>SUMPRODUCT(($AK$91:$AK$130=$AW35)*($N$91:$N$130)*((O$91:O$130)))</f>
        <v>0</v>
      </c>
      <c r="AY35" s="1583">
        <f t="shared" si="33"/>
        <v>0</v>
      </c>
      <c r="AZ35" s="1583">
        <f t="shared" si="34"/>
        <v>0</v>
      </c>
      <c r="BA35" s="1583">
        <f t="shared" si="35"/>
        <v>0</v>
      </c>
      <c r="BB35" s="1583">
        <f t="shared" si="36"/>
        <v>0</v>
      </c>
      <c r="BC35" s="1583">
        <f t="shared" si="37"/>
        <v>0</v>
      </c>
      <c r="BD35" s="1583">
        <f t="shared" si="38"/>
        <v>0</v>
      </c>
      <c r="BE35" s="1583">
        <f t="shared" si="39"/>
        <v>0</v>
      </c>
      <c r="BF35" s="1583">
        <f t="shared" si="40"/>
        <v>0</v>
      </c>
      <c r="BG35" s="1583">
        <f t="shared" si="41"/>
        <v>0</v>
      </c>
      <c r="BH35" s="1583">
        <f t="shared" si="42"/>
        <v>0</v>
      </c>
      <c r="BI35" s="1583">
        <f t="shared" si="43"/>
        <v>0</v>
      </c>
      <c r="BJ35" s="1584">
        <f t="shared" si="19"/>
        <v>0</v>
      </c>
    </row>
    <row r="36" spans="1:62" s="198" customFormat="1">
      <c r="A36" s="2610"/>
      <c r="B36" s="2611"/>
      <c r="C36" s="2611"/>
      <c r="D36" s="2611"/>
      <c r="E36" s="2610"/>
      <c r="F36" s="2611"/>
      <c r="G36" s="2611"/>
      <c r="H36" s="2612"/>
      <c r="I36" s="2610"/>
      <c r="J36" s="2611"/>
      <c r="K36" s="2612"/>
      <c r="L36" s="175" t="str">
        <f>IF(A36&lt;&gt;"",IFERROR(INDEX(PMtbl[[WKst]:[Unit of measure*]],MATCH($A$8&amp;$A36&amp;$E36&amp;$I36,INDEX(PMtbl[Sec]&amp;PMtbl[Category]&amp;PMtbl[INN]&amp;PMtbl[Specification],0,),0),8),""),"")</f>
        <v/>
      </c>
      <c r="M36" s="175" t="str">
        <f>IF(L36="", "",SETUP!$E$5)</f>
        <v/>
      </c>
      <c r="N36" s="857"/>
      <c r="O36" s="873"/>
      <c r="P36" s="873"/>
      <c r="Q36" s="873"/>
      <c r="R36" s="873"/>
      <c r="S36" s="469">
        <f>SUM('TB-EQUIPMENT &amp; OTHER HPs'!$O36:$R36)</f>
        <v>0</v>
      </c>
      <c r="T36" s="833">
        <f>'TB-EQUIPMENT &amp; OTHER HPs'!$N36*'TB-EQUIPMENT &amp; OTHER HPs'!$S36</f>
        <v>0</v>
      </c>
      <c r="U36" s="857"/>
      <c r="V36" s="873"/>
      <c r="W36" s="873"/>
      <c r="X36" s="873"/>
      <c r="Y36" s="873"/>
      <c r="Z36" s="469">
        <f>SUM('TB-EQUIPMENT &amp; OTHER HPs'!$V36:$Y36)</f>
        <v>0</v>
      </c>
      <c r="AA36" s="833">
        <f>'TB-EQUIPMENT &amp; OTHER HPs'!$U36*'TB-EQUIPMENT &amp; OTHER HPs'!$Z36</f>
        <v>0</v>
      </c>
      <c r="AB36" s="857"/>
      <c r="AC36" s="873"/>
      <c r="AD36" s="873"/>
      <c r="AE36" s="873"/>
      <c r="AF36" s="873"/>
      <c r="AG36" s="469">
        <f>SUM('TB-EQUIPMENT &amp; OTHER HPs'!$AC36:$AF36)</f>
        <v>0</v>
      </c>
      <c r="AH36" s="833">
        <f>'TB-EQUIPMENT &amp; OTHER HPs'!$AB36*'TB-EQUIPMENT &amp; OTHER HPs'!$AG36</f>
        <v>0</v>
      </c>
      <c r="AI36" s="470">
        <f>'TB-EQUIPMENT &amp; OTHER HPs'!$S36+'TB-EQUIPMENT &amp; OTHER HPs'!$Z36+'TB-EQUIPMENT &amp; OTHER HPs'!$AG36</f>
        <v>0</v>
      </c>
      <c r="AJ36" s="833">
        <f>'TB-EQUIPMENT &amp; OTHER HPs'!$T36+'TB-EQUIPMENT &amp; OTHER HPs'!$AA36+'TB-EQUIPMENT &amp; OTHER HPs'!$AH36</f>
        <v>0</v>
      </c>
      <c r="AK36" s="400" t="str">
        <f>IF(A36&lt;&gt;"",IFERROR(INDEX(PMtbl[[WKst]:[Unit of measure*]],MATCH($A$8&amp;$A36&amp;$E36&amp;$I36,INDEX(PMtbl[Sec]&amp;PMtbl[Category]&amp;PMtbl[INN]&amp;PMtbl[Specification],0,),0),7),""),"")</f>
        <v/>
      </c>
      <c r="AL36" s="946"/>
      <c r="AM36" s="1425" t="str">
        <f>IFERROR(INDEX(SETUP!$C$19:$G$62,MATCH((INDEX(PMtbl[[WKst]:[Unit of measure*]],MATCH($A36&amp;$E36&amp;$I36,INDEX(PMtbl[Category]&amp;PMtbl[INN]&amp;PMtbl[Specification],0,),0),3)),SETUP!$D$19:$D$62,0),5),"")</f>
        <v/>
      </c>
      <c r="AN36" s="1425"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c r="AU36" s="1461">
        <v>3</v>
      </c>
      <c r="AV36" s="1420">
        <f t="shared" ref="AV36:AV42" si="44">IFERROR(VLOOKUP($AW36,$AK$136:$AN$175,4,FALSE),0)</f>
        <v>0</v>
      </c>
      <c r="AW36" s="1462">
        <v>6.5</v>
      </c>
      <c r="AX36" s="1583">
        <f>SUMPRODUCT(($AK$91:$AK$130=$AW36)*($N$91:$N$130)*((O$91:O$130)))</f>
        <v>0</v>
      </c>
      <c r="AY36" s="1583">
        <f t="shared" ref="AY36" si="45">SUMPRODUCT(($AK$91:$AK$130=$AW36)*($N$91:$N$130)*((P$91:P$130)))</f>
        <v>0</v>
      </c>
      <c r="AZ36" s="1583">
        <f t="shared" ref="AZ36" si="46">SUMPRODUCT(($AK$91:$AK$130=$AW36)*($N$91:$N$130)*((Q$91:Q$130)))</f>
        <v>0</v>
      </c>
      <c r="BA36" s="1583">
        <f t="shared" ref="BA36" si="47">SUMPRODUCT(($AK$91:$AK$130=$AW36)*($N$91:$N$130)*((R$91:R$130)))</f>
        <v>0</v>
      </c>
      <c r="BB36" s="1583">
        <f t="shared" ref="BB36" si="48">SUMPRODUCT(($AK$91:$AK$130=$AW36)*($U$91:$U$130)*((V$91:V$130)))</f>
        <v>0</v>
      </c>
      <c r="BC36" s="1583">
        <f t="shared" ref="BC36" si="49">SUMPRODUCT(($AK$91:$AK$130=$AW36)*($U$91:$U$130)*((W$91:W$130)))</f>
        <v>0</v>
      </c>
      <c r="BD36" s="1583">
        <f t="shared" ref="BD36" si="50">SUMPRODUCT(($AK$91:$AK$130=$AW36)*($U$91:$U$130)*((X$91:X$130)))</f>
        <v>0</v>
      </c>
      <c r="BE36" s="1583">
        <f t="shared" ref="BE36" si="51">SUMPRODUCT(($AK$91:$AK$130=$AW36)*($U$91:$U$130)*((Y$91:Y$130)))</f>
        <v>0</v>
      </c>
      <c r="BF36" s="1583">
        <f t="shared" ref="BF36" si="52">SUMPRODUCT(($AK$91:$AK$130=$AW36)*($AB$91:$AB$130)*((AC$91:AC$130)))</f>
        <v>0</v>
      </c>
      <c r="BG36" s="1583">
        <f t="shared" ref="BG36" si="53">SUMPRODUCT(($AK$91:$AK$130=$AW36)*($AB$91:$AB$130)*((AD$91:AD$130)))</f>
        <v>0</v>
      </c>
      <c r="BH36" s="1583">
        <f t="shared" ref="BH36" si="54">SUMPRODUCT(($AK$91:$AK$130=$AW36)*($AB$91:$AB$130)*((AE$91:AE$130)))</f>
        <v>0</v>
      </c>
      <c r="BI36" s="1583">
        <f t="shared" ref="BI36" si="55">SUMPRODUCT(($AK$91:$AK$130=$AW36)*($AB$91:$AB$130)*((AF$91:AF$130)))</f>
        <v>0</v>
      </c>
      <c r="BJ36" s="1584">
        <f t="shared" ref="BJ36" si="56">SUM(AX36:BI36)</f>
        <v>0</v>
      </c>
    </row>
    <row r="37" spans="1:62" s="198" customFormat="1">
      <c r="A37" s="2616"/>
      <c r="B37" s="2304"/>
      <c r="C37" s="2304"/>
      <c r="D37" s="2304"/>
      <c r="E37" s="2616"/>
      <c r="F37" s="2304"/>
      <c r="G37" s="2304"/>
      <c r="H37" s="2617"/>
      <c r="I37" s="2616"/>
      <c r="J37" s="2304"/>
      <c r="K37" s="2617"/>
      <c r="L37" s="176" t="str">
        <f>IF(A37&lt;&gt;"",IFERROR(INDEX(PMtbl[[WKst]:[Unit of measure*]],MATCH($A$8&amp;$A37&amp;$E37&amp;$I37,INDEX(PMtbl[Sec]&amp;PMtbl[Category]&amp;PMtbl[INN]&amp;PMtbl[Specification],0,),0),8),""),"")</f>
        <v/>
      </c>
      <c r="M37" s="177" t="str">
        <f>IF(L37="", "",SETUP!$E$5)</f>
        <v/>
      </c>
      <c r="N37" s="856"/>
      <c r="O37" s="12"/>
      <c r="P37" s="12"/>
      <c r="Q37" s="12"/>
      <c r="R37" s="12"/>
      <c r="S37" s="467">
        <f>SUM('TB-EQUIPMENT &amp; OTHER HPs'!$O37:$R37)</f>
        <v>0</v>
      </c>
      <c r="T37" s="832">
        <f>'TB-EQUIPMENT &amp; OTHER HPs'!$N37*'TB-EQUIPMENT &amp; OTHER HPs'!$S37</f>
        <v>0</v>
      </c>
      <c r="U37" s="856"/>
      <c r="V37" s="12"/>
      <c r="W37" s="12"/>
      <c r="X37" s="12"/>
      <c r="Y37" s="12"/>
      <c r="Z37" s="467">
        <f>SUM('TB-EQUIPMENT &amp; OTHER HPs'!$V37:$Y37)</f>
        <v>0</v>
      </c>
      <c r="AA37" s="832">
        <f>'TB-EQUIPMENT &amp; OTHER HPs'!$U37*'TB-EQUIPMENT &amp; OTHER HPs'!$Z37</f>
        <v>0</v>
      </c>
      <c r="AB37" s="856"/>
      <c r="AC37" s="12"/>
      <c r="AD37" s="12"/>
      <c r="AE37" s="12"/>
      <c r="AF37" s="12"/>
      <c r="AG37" s="467">
        <f>SUM('TB-EQUIPMENT &amp; OTHER HPs'!$AC37:$AF37)</f>
        <v>0</v>
      </c>
      <c r="AH37" s="832">
        <f>'TB-EQUIPMENT &amp; OTHER HPs'!$AB37*'TB-EQUIPMENT &amp; OTHER HPs'!$AG37</f>
        <v>0</v>
      </c>
      <c r="AI37" s="468">
        <f>'TB-EQUIPMENT &amp; OTHER HPs'!$S37+'TB-EQUIPMENT &amp; OTHER HPs'!$Z37+'TB-EQUIPMENT &amp; OTHER HPs'!$AG37</f>
        <v>0</v>
      </c>
      <c r="AJ37" s="832">
        <f>'TB-EQUIPMENT &amp; OTHER HPs'!$T37+'TB-EQUIPMENT &amp; OTHER HPs'!$AA37+'TB-EQUIPMENT &amp; OTHER HPs'!$AH37</f>
        <v>0</v>
      </c>
      <c r="AK37" s="397" t="str">
        <f>IF(A37&lt;&gt;"",IFERROR(INDEX(PMtbl[[WKst]:[Unit of measure*]],MATCH($A$8&amp;$A37&amp;$E37&amp;$I37,INDEX(PMtbl[Sec]&amp;PMtbl[Category]&amp;PMtbl[INN]&amp;PMtbl[Specification],0,),0),7),""),"")</f>
        <v/>
      </c>
      <c r="AL37" s="947"/>
      <c r="AM37" s="1424" t="str">
        <f>IFERROR(INDEX(SETUP!$C$19:$G$62,MATCH((INDEX(PMtbl[[WKst]:[Unit of measure*]],MATCH($A37&amp;$E37&amp;$I37,INDEX(PMtbl[Category]&amp;PMtbl[INN]&amp;PMtbl[Specification],0,),0),3)),SETUP!$D$19:$D$62,0),5),"")</f>
        <v/>
      </c>
      <c r="AN37" s="1424"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c r="AU37" s="1461">
        <v>4</v>
      </c>
      <c r="AV37" s="1420">
        <f t="shared" si="44"/>
        <v>0</v>
      </c>
      <c r="AW37" s="1462">
        <v>5.8</v>
      </c>
      <c r="AX37" s="1583">
        <f>SUMPRODUCT(($AK$138:$AK$175=$AW37)*($N$138:$N$175)*((O$138:O$175)))</f>
        <v>0</v>
      </c>
      <c r="AY37" s="1583">
        <f>SUMPRODUCT(($AK$138:$AK$175=$AW37)*($N$138:$N$175)*((P$138:P$175)))</f>
        <v>0</v>
      </c>
      <c r="AZ37" s="1583">
        <f>SUMPRODUCT(($AK$138:$AK$175=$AW37)*($N$138:$N$175)*((Q$138:Q$175)))</f>
        <v>0</v>
      </c>
      <c r="BA37" s="1583">
        <f>SUMPRODUCT(($AK$138:$AK$175=$AW37)*($N$138:$N$175)*((R$138:R$175)))</f>
        <v>0</v>
      </c>
      <c r="BB37" s="1583">
        <f>SUMPRODUCT(($AK$138:$AK$175=$AW37)*($U$138:$U$175)*((V$138:V$175)))</f>
        <v>0</v>
      </c>
      <c r="BC37" s="1583">
        <f>SUMPRODUCT(($AK$138:$AK$175=$AW37)*($U$138:$U$175)*((W$138:W$175)))</f>
        <v>0</v>
      </c>
      <c r="BD37" s="1583">
        <f>SUMPRODUCT(($AK$138:$AK$175=$AW37)*($U$138:$U$175)*((X$138:X$175)))</f>
        <v>0</v>
      </c>
      <c r="BE37" s="1583">
        <f>SUMPRODUCT(($AK$138:$AK$175=$AW37)*($U$138:$U$175)*((Y$138:Y$175)))</f>
        <v>0</v>
      </c>
      <c r="BF37" s="1583">
        <f>SUMPRODUCT(($AK$138:$AK$175=$AW37)*($AB$138:$AB$175)*((AC$138:AC$175)))</f>
        <v>0</v>
      </c>
      <c r="BG37" s="1583">
        <f>SUMPRODUCT(($AK$138:$AK$175=$AW37)*($AB$138:$AB$175)*((AD$138:AD$175)))</f>
        <v>0</v>
      </c>
      <c r="BH37" s="1583">
        <f>SUMPRODUCT(($AK$138:$AK$175=$AW37)*($AB$138:$AB$175)*((AE$138:AE$175)))</f>
        <v>0</v>
      </c>
      <c r="BI37" s="1583">
        <f>SUMPRODUCT(($AK$138:$AK$175=$AW37)*($AB$138:$AB$175)*((AF$138:AF$175)))</f>
        <v>0</v>
      </c>
      <c r="BJ37" s="1584">
        <f t="shared" ref="BJ37:BJ42" si="57">SUM(AX37:BI37)</f>
        <v>0</v>
      </c>
    </row>
    <row r="38" spans="1:62" s="198" customFormat="1">
      <c r="A38" s="2610"/>
      <c r="B38" s="2611"/>
      <c r="C38" s="2611"/>
      <c r="D38" s="2611"/>
      <c r="E38" s="2610"/>
      <c r="F38" s="2611"/>
      <c r="G38" s="2611"/>
      <c r="H38" s="2612"/>
      <c r="I38" s="2610"/>
      <c r="J38" s="2611"/>
      <c r="K38" s="2612"/>
      <c r="L38" s="175" t="str">
        <f>IF(A38&lt;&gt;"",IFERROR(INDEX(PMtbl[[WKst]:[Unit of measure*]],MATCH($A$8&amp;$A38&amp;$E38&amp;$I38,INDEX(PMtbl[Sec]&amp;PMtbl[Category]&amp;PMtbl[INN]&amp;PMtbl[Specification],0,),0),8),""),"")</f>
        <v/>
      </c>
      <c r="M38" s="175" t="str">
        <f>IF(L38="", "",SETUP!$E$5)</f>
        <v/>
      </c>
      <c r="N38" s="857"/>
      <c r="O38" s="873"/>
      <c r="P38" s="873"/>
      <c r="Q38" s="873"/>
      <c r="R38" s="873"/>
      <c r="S38" s="469">
        <f>SUM('TB-EQUIPMENT &amp; OTHER HPs'!$O38:$R38)</f>
        <v>0</v>
      </c>
      <c r="T38" s="833">
        <f>'TB-EQUIPMENT &amp; OTHER HPs'!$N38*'TB-EQUIPMENT &amp; OTHER HPs'!$S38</f>
        <v>0</v>
      </c>
      <c r="U38" s="857"/>
      <c r="V38" s="873"/>
      <c r="W38" s="873"/>
      <c r="X38" s="873"/>
      <c r="Y38" s="873"/>
      <c r="Z38" s="469">
        <f>SUM('TB-EQUIPMENT &amp; OTHER HPs'!$V38:$Y38)</f>
        <v>0</v>
      </c>
      <c r="AA38" s="833">
        <f>'TB-EQUIPMENT &amp; OTHER HPs'!$U38*'TB-EQUIPMENT &amp; OTHER HPs'!$Z38</f>
        <v>0</v>
      </c>
      <c r="AB38" s="857"/>
      <c r="AC38" s="873"/>
      <c r="AD38" s="873"/>
      <c r="AE38" s="873"/>
      <c r="AF38" s="873"/>
      <c r="AG38" s="469">
        <f>SUM('TB-EQUIPMENT &amp; OTHER HPs'!$AC38:$AF38)</f>
        <v>0</v>
      </c>
      <c r="AH38" s="833">
        <f>'TB-EQUIPMENT &amp; OTHER HPs'!$AB38*'TB-EQUIPMENT &amp; OTHER HPs'!$AG38</f>
        <v>0</v>
      </c>
      <c r="AI38" s="470">
        <f>'TB-EQUIPMENT &amp; OTHER HPs'!$S38+'TB-EQUIPMENT &amp; OTHER HPs'!$Z38+'TB-EQUIPMENT &amp; OTHER HPs'!$AG38</f>
        <v>0</v>
      </c>
      <c r="AJ38" s="833">
        <f>'TB-EQUIPMENT &amp; OTHER HPs'!$T38+'TB-EQUIPMENT &amp; OTHER HPs'!$AA38+'TB-EQUIPMENT &amp; OTHER HPs'!$AH38</f>
        <v>0</v>
      </c>
      <c r="AK38" s="400" t="str">
        <f>IF(A38&lt;&gt;"",IFERROR(INDEX(PMtbl[[WKst]:[Unit of measure*]],MATCH($A$8&amp;$A38&amp;$E38&amp;$I38,INDEX(PMtbl[Sec]&amp;PMtbl[Category]&amp;PMtbl[INN]&amp;PMtbl[Specification],0,),0),7),""),"")</f>
        <v/>
      </c>
      <c r="AL38" s="946"/>
      <c r="AM38" s="1425" t="str">
        <f>IFERROR(INDEX(SETUP!$C$19:$G$62,MATCH((INDEX(PMtbl[[WKst]:[Unit of measure*]],MATCH($A38&amp;$E38&amp;$I38,INDEX(PMtbl[Category]&amp;PMtbl[INN]&amp;PMtbl[Specification],0,),0),3)),SETUP!$D$19:$D$62,0),5),"")</f>
        <v/>
      </c>
      <c r="AN38" s="1425"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c r="AU38" s="1650">
        <v>4</v>
      </c>
      <c r="AV38" s="1651">
        <f t="shared" si="44"/>
        <v>0</v>
      </c>
      <c r="AW38" s="1654">
        <v>5.7</v>
      </c>
      <c r="AX38" s="1652">
        <f t="shared" ref="AX38:AX41" si="58">SUMPRODUCT(($AK$138:$AK$175=$AW38)*($N$138:$N$175)*((O$138:O$175)))</f>
        <v>0</v>
      </c>
      <c r="AY38" s="1652">
        <f t="shared" ref="AY38:AY42" si="59">SUMPRODUCT(($AK$138:$AK$175=$AW38)*($N$138:$N$175)*((P$138:P$175)))</f>
        <v>0</v>
      </c>
      <c r="AZ38" s="1652">
        <f t="shared" ref="AZ38:AZ42" si="60">SUMPRODUCT(($AK$138:$AK$175=$AW38)*($N$138:$N$175)*((Q$138:Q$175)))</f>
        <v>0</v>
      </c>
      <c r="BA38" s="1652">
        <f t="shared" ref="BA38:BA42" si="61">SUMPRODUCT(($AK$138:$AK$175=$AW38)*($N$138:$N$175)*((R$138:R$175)))</f>
        <v>0</v>
      </c>
      <c r="BB38" s="1652">
        <f t="shared" ref="BB38:BB42" si="62">SUMPRODUCT(($AK$138:$AK$175=$AW38)*($U$138:$U$175)*((V$138:V$175)))</f>
        <v>0</v>
      </c>
      <c r="BC38" s="1652">
        <f t="shared" ref="BC38:BC42" si="63">SUMPRODUCT(($AK$138:$AK$175=$AW38)*($U$138:$U$175)*((W$138:W$175)))</f>
        <v>0</v>
      </c>
      <c r="BD38" s="1652">
        <f t="shared" ref="BD38:BD42" si="64">SUMPRODUCT(($AK$138:$AK$175=$AW38)*($U$138:$U$175)*((X$138:X$175)))</f>
        <v>0</v>
      </c>
      <c r="BE38" s="1652">
        <f t="shared" ref="BE38:BE42" si="65">SUMPRODUCT(($AK$138:$AK$175=$AW38)*($U$138:$U$175)*((Y$138:Y$175)))</f>
        <v>0</v>
      </c>
      <c r="BF38" s="1652">
        <f t="shared" ref="BF38:BF42" si="66">SUMPRODUCT(($AK$138:$AK$175=$AW38)*($AB$138:$AB$175)*((AC$138:AC$175)))</f>
        <v>0</v>
      </c>
      <c r="BG38" s="1652">
        <f t="shared" ref="BG38:BG42" si="67">SUMPRODUCT(($AK$138:$AK$175=$AW38)*($AB$138:$AB$175)*((AD$138:AD$175)))</f>
        <v>0</v>
      </c>
      <c r="BH38" s="1652">
        <f t="shared" ref="BH38:BH42" si="68">SUMPRODUCT(($AK$138:$AK$175=$AW38)*($AB$138:$AB$175)*((AE$138:AE$175)))</f>
        <v>0</v>
      </c>
      <c r="BI38" s="1652">
        <f t="shared" ref="BI38:BI42" si="69">SUMPRODUCT(($AK$138:$AK$175=$AW38)*($AB$138:$AB$175)*((AF$138:AF$175)))</f>
        <v>0</v>
      </c>
      <c r="BJ38" s="1653">
        <f t="shared" si="57"/>
        <v>0</v>
      </c>
    </row>
    <row r="39" spans="1:62" s="198" customFormat="1">
      <c r="A39" s="2616"/>
      <c r="B39" s="2304"/>
      <c r="C39" s="2304"/>
      <c r="D39" s="2304"/>
      <c r="E39" s="2616"/>
      <c r="F39" s="2304"/>
      <c r="G39" s="2304"/>
      <c r="H39" s="2617"/>
      <c r="I39" s="2616"/>
      <c r="J39" s="2304"/>
      <c r="K39" s="2617"/>
      <c r="L39" s="176" t="str">
        <f>IF(A39&lt;&gt;"",IFERROR(INDEX(PMtbl[[WKst]:[Unit of measure*]],MATCH($A$8&amp;$A39&amp;$E39&amp;$I39,INDEX(PMtbl[Sec]&amp;PMtbl[Category]&amp;PMtbl[INN]&amp;PMtbl[Specification],0,),0),8),""),"")</f>
        <v/>
      </c>
      <c r="M39" s="177" t="str">
        <f>IF(L39="", "",SETUP!$E$5)</f>
        <v/>
      </c>
      <c r="N39" s="856"/>
      <c r="O39" s="12"/>
      <c r="P39" s="12"/>
      <c r="Q39" s="12"/>
      <c r="R39" s="12"/>
      <c r="S39" s="467">
        <f>SUM('TB-EQUIPMENT &amp; OTHER HPs'!$O39:$R39)</f>
        <v>0</v>
      </c>
      <c r="T39" s="832">
        <f>'TB-EQUIPMENT &amp; OTHER HPs'!$N39*'TB-EQUIPMENT &amp; OTHER HPs'!$S39</f>
        <v>0</v>
      </c>
      <c r="U39" s="856"/>
      <c r="V39" s="12"/>
      <c r="W39" s="12"/>
      <c r="X39" s="12"/>
      <c r="Y39" s="12"/>
      <c r="Z39" s="467">
        <f>SUM('TB-EQUIPMENT &amp; OTHER HPs'!$V39:$Y39)</f>
        <v>0</v>
      </c>
      <c r="AA39" s="832">
        <f>'TB-EQUIPMENT &amp; OTHER HPs'!$U39*'TB-EQUIPMENT &amp; OTHER HPs'!$Z39</f>
        <v>0</v>
      </c>
      <c r="AB39" s="856"/>
      <c r="AC39" s="12"/>
      <c r="AD39" s="12"/>
      <c r="AE39" s="12"/>
      <c r="AF39" s="12"/>
      <c r="AG39" s="467">
        <f>SUM('TB-EQUIPMENT &amp; OTHER HPs'!$AC39:$AF39)</f>
        <v>0</v>
      </c>
      <c r="AH39" s="832">
        <f>'TB-EQUIPMENT &amp; OTHER HPs'!$AB39*'TB-EQUIPMENT &amp; OTHER HPs'!$AG39</f>
        <v>0</v>
      </c>
      <c r="AI39" s="468">
        <f>'TB-EQUIPMENT &amp; OTHER HPs'!$S39+'TB-EQUIPMENT &amp; OTHER HPs'!$Z39+'TB-EQUIPMENT &amp; OTHER HPs'!$AG39</f>
        <v>0</v>
      </c>
      <c r="AJ39" s="832">
        <f>'TB-EQUIPMENT &amp; OTHER HPs'!$T39+'TB-EQUIPMENT &amp; OTHER HPs'!$AA39+'TB-EQUIPMENT &amp; OTHER HPs'!$AH39</f>
        <v>0</v>
      </c>
      <c r="AK39" s="397" t="str">
        <f>IF(A39&lt;&gt;"",IFERROR(INDEX(PMtbl[[WKst]:[Unit of measure*]],MATCH($A$8&amp;$A39&amp;$E39&amp;$I39,INDEX(PMtbl[Sec]&amp;PMtbl[Category]&amp;PMtbl[INN]&amp;PMtbl[Specification],0,),0),7),""),"")</f>
        <v/>
      </c>
      <c r="AL39" s="947"/>
      <c r="AM39" s="1424" t="str">
        <f>IFERROR(INDEX(SETUP!$C$19:$G$62,MATCH((INDEX(PMtbl[[WKst]:[Unit of measure*]],MATCH($A39&amp;$E39&amp;$I39,INDEX(PMtbl[Category]&amp;PMtbl[INN]&amp;PMtbl[Specification],0,),0),3)),SETUP!$D$19:$D$62,0),5),"")</f>
        <v/>
      </c>
      <c r="AN39" s="1424"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c r="AT39" s="1422"/>
      <c r="AU39" s="1461">
        <v>4</v>
      </c>
      <c r="AV39" s="1420">
        <f t="shared" si="44"/>
        <v>0</v>
      </c>
      <c r="AW39" s="1462">
        <v>6.6</v>
      </c>
      <c r="AX39" s="1583">
        <f t="shared" si="58"/>
        <v>0</v>
      </c>
      <c r="AY39" s="1583">
        <f t="shared" si="59"/>
        <v>0</v>
      </c>
      <c r="AZ39" s="1583">
        <f t="shared" si="60"/>
        <v>0</v>
      </c>
      <c r="BA39" s="1583">
        <f t="shared" si="61"/>
        <v>0</v>
      </c>
      <c r="BB39" s="1583">
        <f t="shared" si="62"/>
        <v>0</v>
      </c>
      <c r="BC39" s="1583">
        <f t="shared" si="63"/>
        <v>0</v>
      </c>
      <c r="BD39" s="1583">
        <f t="shared" si="64"/>
        <v>0</v>
      </c>
      <c r="BE39" s="1583">
        <f t="shared" si="65"/>
        <v>0</v>
      </c>
      <c r="BF39" s="1583">
        <f t="shared" si="66"/>
        <v>0</v>
      </c>
      <c r="BG39" s="1583">
        <f t="shared" si="67"/>
        <v>0</v>
      </c>
      <c r="BH39" s="1583">
        <f t="shared" si="68"/>
        <v>0</v>
      </c>
      <c r="BI39" s="1583">
        <f t="shared" si="69"/>
        <v>0</v>
      </c>
      <c r="BJ39" s="1584">
        <f t="shared" si="57"/>
        <v>0</v>
      </c>
    </row>
    <row r="40" spans="1:62" s="198" customFormat="1">
      <c r="A40" s="2610"/>
      <c r="B40" s="2611"/>
      <c r="C40" s="2611"/>
      <c r="D40" s="2611"/>
      <c r="E40" s="2610"/>
      <c r="F40" s="2611"/>
      <c r="G40" s="2611"/>
      <c r="H40" s="2612"/>
      <c r="I40" s="2610"/>
      <c r="J40" s="2611"/>
      <c r="K40" s="2612"/>
      <c r="L40" s="175" t="str">
        <f>IF(A40&lt;&gt;"",IFERROR(INDEX(PMtbl[[WKst]:[Unit of measure*]],MATCH($A$8&amp;$A40&amp;$E40&amp;$I40,INDEX(PMtbl[Sec]&amp;PMtbl[Category]&amp;PMtbl[INN]&amp;PMtbl[Specification],0,),0),8),""),"")</f>
        <v/>
      </c>
      <c r="M40" s="175" t="str">
        <f>IF(L40="", "",SETUP!$E$5)</f>
        <v/>
      </c>
      <c r="N40" s="857"/>
      <c r="O40" s="873"/>
      <c r="P40" s="873"/>
      <c r="Q40" s="873"/>
      <c r="R40" s="873"/>
      <c r="S40" s="469">
        <f>SUM('TB-EQUIPMENT &amp; OTHER HPs'!$O40:$R40)</f>
        <v>0</v>
      </c>
      <c r="T40" s="833">
        <f>'TB-EQUIPMENT &amp; OTHER HPs'!$N40*'TB-EQUIPMENT &amp; OTHER HPs'!$S40</f>
        <v>0</v>
      </c>
      <c r="U40" s="857"/>
      <c r="V40" s="873"/>
      <c r="W40" s="873"/>
      <c r="X40" s="873"/>
      <c r="Y40" s="873"/>
      <c r="Z40" s="469">
        <f>SUM('TB-EQUIPMENT &amp; OTHER HPs'!$V40:$Y40)</f>
        <v>0</v>
      </c>
      <c r="AA40" s="833">
        <f>'TB-EQUIPMENT &amp; OTHER HPs'!$U40*'TB-EQUIPMENT &amp; OTHER HPs'!$Z40</f>
        <v>0</v>
      </c>
      <c r="AB40" s="857"/>
      <c r="AC40" s="873"/>
      <c r="AD40" s="873"/>
      <c r="AE40" s="873"/>
      <c r="AF40" s="873"/>
      <c r="AG40" s="469">
        <f>SUM('TB-EQUIPMENT &amp; OTHER HPs'!$AC40:$AF40)</f>
        <v>0</v>
      </c>
      <c r="AH40" s="833">
        <f>'TB-EQUIPMENT &amp; OTHER HPs'!$AB40*'TB-EQUIPMENT &amp; OTHER HPs'!$AG40</f>
        <v>0</v>
      </c>
      <c r="AI40" s="470">
        <f>'TB-EQUIPMENT &amp; OTHER HPs'!$S40+'TB-EQUIPMENT &amp; OTHER HPs'!$Z40+'TB-EQUIPMENT &amp; OTHER HPs'!$AG40</f>
        <v>0</v>
      </c>
      <c r="AJ40" s="833">
        <f>'TB-EQUIPMENT &amp; OTHER HPs'!$T40+'TB-EQUIPMENT &amp; OTHER HPs'!$AA40+'TB-EQUIPMENT &amp; OTHER HPs'!$AH40</f>
        <v>0</v>
      </c>
      <c r="AK40" s="400" t="str">
        <f>IF(A40&lt;&gt;"",IFERROR(INDEX(PMtbl[[WKst]:[Unit of measure*]],MATCH($A$8&amp;$A40&amp;$E40&amp;$I40,INDEX(PMtbl[Sec]&amp;PMtbl[Category]&amp;PMtbl[INN]&amp;PMtbl[Specification],0,),0),7),""),"")</f>
        <v/>
      </c>
      <c r="AL40" s="946"/>
      <c r="AM40" s="1425" t="str">
        <f>IFERROR(INDEX(SETUP!$C$19:$G$62,MATCH((INDEX(PMtbl[[WKst]:[Unit of measure*]],MATCH($A40&amp;$E40&amp;$I40,INDEX(PMtbl[Category]&amp;PMtbl[INN]&amp;PMtbl[Specification],0,),0),3)),SETUP!$D$19:$D$62,0),5),"")</f>
        <v/>
      </c>
      <c r="AN40" s="1425"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c r="AU40" s="1461">
        <v>4</v>
      </c>
      <c r="AV40" s="1420">
        <f t="shared" si="44"/>
        <v>0</v>
      </c>
      <c r="AW40" s="1462">
        <v>6.5</v>
      </c>
      <c r="AX40" s="1583">
        <f t="shared" si="58"/>
        <v>0</v>
      </c>
      <c r="AY40" s="1583">
        <f t="shared" si="59"/>
        <v>0</v>
      </c>
      <c r="AZ40" s="1583">
        <f t="shared" si="60"/>
        <v>0</v>
      </c>
      <c r="BA40" s="1583">
        <f t="shared" si="61"/>
        <v>0</v>
      </c>
      <c r="BB40" s="1583">
        <f t="shared" si="62"/>
        <v>0</v>
      </c>
      <c r="BC40" s="1583">
        <f t="shared" si="63"/>
        <v>0</v>
      </c>
      <c r="BD40" s="1583">
        <f t="shared" si="64"/>
        <v>0</v>
      </c>
      <c r="BE40" s="1583">
        <f t="shared" si="65"/>
        <v>0</v>
      </c>
      <c r="BF40" s="1583">
        <f t="shared" si="66"/>
        <v>0</v>
      </c>
      <c r="BG40" s="1583">
        <f t="shared" si="67"/>
        <v>0</v>
      </c>
      <c r="BH40" s="1583">
        <f t="shared" si="68"/>
        <v>0</v>
      </c>
      <c r="BI40" s="1583">
        <f t="shared" si="69"/>
        <v>0</v>
      </c>
      <c r="BJ40" s="1584">
        <f t="shared" si="57"/>
        <v>0</v>
      </c>
    </row>
    <row r="41" spans="1:62" s="198" customFormat="1">
      <c r="A41" s="2616"/>
      <c r="B41" s="2304"/>
      <c r="C41" s="2304"/>
      <c r="D41" s="2304"/>
      <c r="E41" s="2616"/>
      <c r="F41" s="2304"/>
      <c r="G41" s="2304"/>
      <c r="H41" s="2617"/>
      <c r="I41" s="2616"/>
      <c r="J41" s="2304"/>
      <c r="K41" s="2617"/>
      <c r="L41" s="176" t="str">
        <f>IF(A41&lt;&gt;"",IFERROR(INDEX(PMtbl[[WKst]:[Unit of measure*]],MATCH($A$8&amp;$A41&amp;$E41&amp;$I41,INDEX(PMtbl[Sec]&amp;PMtbl[Category]&amp;PMtbl[INN]&amp;PMtbl[Specification],0,),0),8),""),"")</f>
        <v/>
      </c>
      <c r="M41" s="177" t="str">
        <f>IF(L41="", "",SETUP!$E$5)</f>
        <v/>
      </c>
      <c r="N41" s="856"/>
      <c r="O41" s="12"/>
      <c r="P41" s="12"/>
      <c r="Q41" s="12"/>
      <c r="R41" s="12"/>
      <c r="S41" s="467">
        <f>SUM('TB-EQUIPMENT &amp; OTHER HPs'!$O41:$R41)</f>
        <v>0</v>
      </c>
      <c r="T41" s="832">
        <f>'TB-EQUIPMENT &amp; OTHER HPs'!$N41*'TB-EQUIPMENT &amp; OTHER HPs'!$S41</f>
        <v>0</v>
      </c>
      <c r="U41" s="856"/>
      <c r="V41" s="12"/>
      <c r="W41" s="12"/>
      <c r="X41" s="12"/>
      <c r="Y41" s="12"/>
      <c r="Z41" s="467">
        <f>SUM('TB-EQUIPMENT &amp; OTHER HPs'!$V41:$Y41)</f>
        <v>0</v>
      </c>
      <c r="AA41" s="832">
        <f>'TB-EQUIPMENT &amp; OTHER HPs'!$U41*'TB-EQUIPMENT &amp; OTHER HPs'!$Z41</f>
        <v>0</v>
      </c>
      <c r="AB41" s="856"/>
      <c r="AC41" s="12"/>
      <c r="AD41" s="12"/>
      <c r="AE41" s="12"/>
      <c r="AF41" s="12"/>
      <c r="AG41" s="467">
        <f>SUM('TB-EQUIPMENT &amp; OTHER HPs'!$AC41:$AF41)</f>
        <v>0</v>
      </c>
      <c r="AH41" s="832">
        <f>'TB-EQUIPMENT &amp; OTHER HPs'!$AB41*'TB-EQUIPMENT &amp; OTHER HPs'!$AG41</f>
        <v>0</v>
      </c>
      <c r="AI41" s="468">
        <f>'TB-EQUIPMENT &amp; OTHER HPs'!$S41+'TB-EQUIPMENT &amp; OTHER HPs'!$Z41+'TB-EQUIPMENT &amp; OTHER HPs'!$AG41</f>
        <v>0</v>
      </c>
      <c r="AJ41" s="832">
        <f>'TB-EQUIPMENT &amp; OTHER HPs'!$T41+'TB-EQUIPMENT &amp; OTHER HPs'!$AA41+'TB-EQUIPMENT &amp; OTHER HPs'!$AH41</f>
        <v>0</v>
      </c>
      <c r="AK41" s="397" t="str">
        <f>IF(A41&lt;&gt;"",IFERROR(INDEX(PMtbl[[WKst]:[Unit of measure*]],MATCH($A$8&amp;$A41&amp;$E41&amp;$I41,INDEX(PMtbl[Sec]&amp;PMtbl[Category]&amp;PMtbl[INN]&amp;PMtbl[Specification],0,),0),7),""),"")</f>
        <v/>
      </c>
      <c r="AL41" s="947"/>
      <c r="AM41" s="1424" t="str">
        <f>IFERROR(INDEX(SETUP!$C$19:$G$62,MATCH((INDEX(PMtbl[[WKst]:[Unit of measure*]],MATCH($A41&amp;$E41&amp;$I41,INDEX(PMtbl[Category]&amp;PMtbl[INN]&amp;PMtbl[Specification],0,),0),3)),SETUP!$D$19:$D$62,0),5),"")</f>
        <v/>
      </c>
      <c r="AN41" s="1424"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c r="AU41" s="1461">
        <v>4</v>
      </c>
      <c r="AV41" s="1420">
        <f t="shared" si="44"/>
        <v>0</v>
      </c>
      <c r="AW41" s="1462">
        <v>5.6</v>
      </c>
      <c r="AX41" s="1583">
        <f t="shared" si="58"/>
        <v>0</v>
      </c>
      <c r="AY41" s="1583">
        <f t="shared" si="59"/>
        <v>0</v>
      </c>
      <c r="AZ41" s="1583">
        <f t="shared" si="60"/>
        <v>0</v>
      </c>
      <c r="BA41" s="1583">
        <f t="shared" si="61"/>
        <v>0</v>
      </c>
      <c r="BB41" s="1583">
        <f t="shared" si="62"/>
        <v>0</v>
      </c>
      <c r="BC41" s="1583">
        <f t="shared" si="63"/>
        <v>0</v>
      </c>
      <c r="BD41" s="1583">
        <f t="shared" si="64"/>
        <v>0</v>
      </c>
      <c r="BE41" s="1583">
        <f t="shared" si="65"/>
        <v>0</v>
      </c>
      <c r="BF41" s="1583">
        <f t="shared" si="66"/>
        <v>0</v>
      </c>
      <c r="BG41" s="1583">
        <f t="shared" si="67"/>
        <v>0</v>
      </c>
      <c r="BH41" s="1583">
        <f t="shared" si="68"/>
        <v>0</v>
      </c>
      <c r="BI41" s="1583">
        <f t="shared" si="69"/>
        <v>0</v>
      </c>
      <c r="BJ41" s="1584">
        <f t="shared" si="57"/>
        <v>0</v>
      </c>
    </row>
    <row r="42" spans="1:62" s="198" customFormat="1">
      <c r="A42" s="2610"/>
      <c r="B42" s="2611"/>
      <c r="C42" s="2611"/>
      <c r="D42" s="2611"/>
      <c r="E42" s="2610"/>
      <c r="F42" s="2611"/>
      <c r="G42" s="2611"/>
      <c r="H42" s="2612"/>
      <c r="I42" s="2610"/>
      <c r="J42" s="2611"/>
      <c r="K42" s="2612"/>
      <c r="L42" s="175" t="str">
        <f>IF(A42&lt;&gt;"",IFERROR(INDEX(PMtbl[[WKst]:[Unit of measure*]],MATCH($A$8&amp;$A42&amp;$E42&amp;$I42,INDEX(PMtbl[Sec]&amp;PMtbl[Category]&amp;PMtbl[INN]&amp;PMtbl[Specification],0,),0),8),""),"")</f>
        <v/>
      </c>
      <c r="M42" s="175" t="str">
        <f>IF(L42="", "",SETUP!$E$5)</f>
        <v/>
      </c>
      <c r="N42" s="857"/>
      <c r="O42" s="873"/>
      <c r="P42" s="873"/>
      <c r="Q42" s="873"/>
      <c r="R42" s="873"/>
      <c r="S42" s="469">
        <f>SUM('TB-EQUIPMENT &amp; OTHER HPs'!$O42:$R42)</f>
        <v>0</v>
      </c>
      <c r="T42" s="833">
        <f>'TB-EQUIPMENT &amp; OTHER HPs'!$N42*'TB-EQUIPMENT &amp; OTHER HPs'!$S42</f>
        <v>0</v>
      </c>
      <c r="U42" s="857"/>
      <c r="V42" s="873"/>
      <c r="W42" s="873"/>
      <c r="X42" s="873"/>
      <c r="Y42" s="873"/>
      <c r="Z42" s="469">
        <f>SUM('TB-EQUIPMENT &amp; OTHER HPs'!$V42:$Y42)</f>
        <v>0</v>
      </c>
      <c r="AA42" s="833">
        <f>'TB-EQUIPMENT &amp; OTHER HPs'!$U42*'TB-EQUIPMENT &amp; OTHER HPs'!$Z42</f>
        <v>0</v>
      </c>
      <c r="AB42" s="857"/>
      <c r="AC42" s="873"/>
      <c r="AD42" s="873"/>
      <c r="AE42" s="873"/>
      <c r="AF42" s="873"/>
      <c r="AG42" s="469">
        <f>SUM('TB-EQUIPMENT &amp; OTHER HPs'!$AC42:$AF42)</f>
        <v>0</v>
      </c>
      <c r="AH42" s="833">
        <f>'TB-EQUIPMENT &amp; OTHER HPs'!$AB42*'TB-EQUIPMENT &amp; OTHER HPs'!$AG42</f>
        <v>0</v>
      </c>
      <c r="AI42" s="470">
        <f>'TB-EQUIPMENT &amp; OTHER HPs'!$S42+'TB-EQUIPMENT &amp; OTHER HPs'!$Z42+'TB-EQUIPMENT &amp; OTHER HPs'!$AG42</f>
        <v>0</v>
      </c>
      <c r="AJ42" s="833">
        <f>'TB-EQUIPMENT &amp; OTHER HPs'!$T42+'TB-EQUIPMENT &amp; OTHER HPs'!$AA42+'TB-EQUIPMENT &amp; OTHER HPs'!$AH42</f>
        <v>0</v>
      </c>
      <c r="AK42" s="400" t="str">
        <f>IF(A42&lt;&gt;"",IFERROR(INDEX(PMtbl[[WKst]:[Unit of measure*]],MATCH($A$8&amp;$A42&amp;$E42&amp;$I42,INDEX(PMtbl[Sec]&amp;PMtbl[Category]&amp;PMtbl[INN]&amp;PMtbl[Specification],0,),0),7),""),"")</f>
        <v/>
      </c>
      <c r="AL42" s="946"/>
      <c r="AM42" s="1425" t="str">
        <f>IFERROR(INDEX(SETUP!$C$19:$G$62,MATCH((INDEX(PMtbl[[WKst]:[Unit of measure*]],MATCH($A42&amp;$E42&amp;$I42,INDEX(PMtbl[Category]&amp;PMtbl[INN]&amp;PMtbl[Specification],0,),0),3)),SETUP!$D$19:$D$62,0),5),"")</f>
        <v/>
      </c>
      <c r="AN42" s="1425"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c r="AU42" s="1461">
        <v>4</v>
      </c>
      <c r="AV42" s="1420">
        <f t="shared" si="44"/>
        <v>0</v>
      </c>
      <c r="AW42" s="1462">
        <v>5.4</v>
      </c>
      <c r="AX42" s="1583">
        <f>SUMPRODUCT(($AK$138:$AK$175=$AW42)*($N$138:$N$175)*((O$138:O$175)))</f>
        <v>0</v>
      </c>
      <c r="AY42" s="1583">
        <f t="shared" si="59"/>
        <v>0</v>
      </c>
      <c r="AZ42" s="1583">
        <f t="shared" si="60"/>
        <v>0</v>
      </c>
      <c r="BA42" s="1583">
        <f t="shared" si="61"/>
        <v>0</v>
      </c>
      <c r="BB42" s="1583">
        <f t="shared" si="62"/>
        <v>0</v>
      </c>
      <c r="BC42" s="1583">
        <f t="shared" si="63"/>
        <v>0</v>
      </c>
      <c r="BD42" s="1583">
        <f t="shared" si="64"/>
        <v>0</v>
      </c>
      <c r="BE42" s="1583">
        <f t="shared" si="65"/>
        <v>0</v>
      </c>
      <c r="BF42" s="1583">
        <f t="shared" si="66"/>
        <v>0</v>
      </c>
      <c r="BG42" s="1583">
        <f t="shared" si="67"/>
        <v>0</v>
      </c>
      <c r="BH42" s="1583">
        <f t="shared" si="68"/>
        <v>0</v>
      </c>
      <c r="BI42" s="1583">
        <f t="shared" si="69"/>
        <v>0</v>
      </c>
      <c r="BJ42" s="1584">
        <f t="shared" si="57"/>
        <v>0</v>
      </c>
    </row>
    <row r="43" spans="1:62" s="198" customFormat="1">
      <c r="A43" s="2616"/>
      <c r="B43" s="2304"/>
      <c r="C43" s="2304"/>
      <c r="D43" s="2304"/>
      <c r="E43" s="2616"/>
      <c r="F43" s="2304"/>
      <c r="G43" s="2304"/>
      <c r="H43" s="2617"/>
      <c r="I43" s="2616"/>
      <c r="J43" s="2304"/>
      <c r="K43" s="2617"/>
      <c r="L43" s="176" t="str">
        <f>IF(A43&lt;&gt;"",IFERROR(INDEX(PMtbl[[WKst]:[Unit of measure*]],MATCH($A$8&amp;$A43&amp;$E43&amp;$I43,INDEX(PMtbl[Sec]&amp;PMtbl[Category]&amp;PMtbl[INN]&amp;PMtbl[Specification],0,),0),8),""),"")</f>
        <v/>
      </c>
      <c r="M43" s="177" t="str">
        <f>IF(L43="", "",SETUP!$E$5)</f>
        <v/>
      </c>
      <c r="N43" s="856"/>
      <c r="O43" s="12"/>
      <c r="P43" s="12"/>
      <c r="Q43" s="12"/>
      <c r="R43" s="12"/>
      <c r="S43" s="467">
        <f>SUM('TB-EQUIPMENT &amp; OTHER HPs'!$O43:$R43)</f>
        <v>0</v>
      </c>
      <c r="T43" s="832">
        <f>'TB-EQUIPMENT &amp; OTHER HPs'!$N43*'TB-EQUIPMENT &amp; OTHER HPs'!$S43</f>
        <v>0</v>
      </c>
      <c r="U43" s="856"/>
      <c r="V43" s="12"/>
      <c r="W43" s="12"/>
      <c r="X43" s="12"/>
      <c r="Y43" s="12"/>
      <c r="Z43" s="467">
        <f>SUM('TB-EQUIPMENT &amp; OTHER HPs'!$V43:$Y43)</f>
        <v>0</v>
      </c>
      <c r="AA43" s="832">
        <f>'TB-EQUIPMENT &amp; OTHER HPs'!$U43*'TB-EQUIPMENT &amp; OTHER HPs'!$Z43</f>
        <v>0</v>
      </c>
      <c r="AB43" s="856"/>
      <c r="AC43" s="12"/>
      <c r="AD43" s="12"/>
      <c r="AE43" s="12"/>
      <c r="AF43" s="12"/>
      <c r="AG43" s="467">
        <f>SUM('TB-EQUIPMENT &amp; OTHER HPs'!$AC43:$AF43)</f>
        <v>0</v>
      </c>
      <c r="AH43" s="832">
        <f>'TB-EQUIPMENT &amp; OTHER HPs'!$AB43*'TB-EQUIPMENT &amp; OTHER HPs'!$AG43</f>
        <v>0</v>
      </c>
      <c r="AI43" s="468">
        <f>'TB-EQUIPMENT &amp; OTHER HPs'!$S43+'TB-EQUIPMENT &amp; OTHER HPs'!$Z43+'TB-EQUIPMENT &amp; OTHER HPs'!$AG43</f>
        <v>0</v>
      </c>
      <c r="AJ43" s="832">
        <f>'TB-EQUIPMENT &amp; OTHER HPs'!$T43+'TB-EQUIPMENT &amp; OTHER HPs'!$AA43+'TB-EQUIPMENT &amp; OTHER HPs'!$AH43</f>
        <v>0</v>
      </c>
      <c r="AK43" s="397" t="str">
        <f>IF(A43&lt;&gt;"",IFERROR(INDEX(PMtbl[[WKst]:[Unit of measure*]],MATCH($A$8&amp;$A43&amp;$E43&amp;$I43,INDEX(PMtbl[Sec]&amp;PMtbl[Category]&amp;PMtbl[INN]&amp;PMtbl[Specification],0,),0),7),""),"")</f>
        <v/>
      </c>
      <c r="AL43" s="947"/>
      <c r="AM43" s="1424" t="str">
        <f>IFERROR(INDEX(SETUP!$C$19:$G$62,MATCH((INDEX(PMtbl[[WKst]:[Unit of measure*]],MATCH($A43&amp;$E43&amp;$I43,INDEX(PMtbl[Category]&amp;PMtbl[INN]&amp;PMtbl[Specification],0,),0),3)),SETUP!$D$19:$D$62,0),5),"")</f>
        <v/>
      </c>
      <c r="AN43" s="1424"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c r="AU43" s="466"/>
      <c r="AV43" s="466"/>
      <c r="AW43" s="1508"/>
      <c r="AX43" s="1585"/>
      <c r="AY43" s="1585"/>
      <c r="AZ43" s="1585"/>
      <c r="BA43" s="1585"/>
      <c r="BB43" s="1585"/>
      <c r="BC43" s="1585"/>
      <c r="BD43" s="1585"/>
      <c r="BE43" s="1585"/>
      <c r="BF43" s="1585"/>
      <c r="BG43" s="1585"/>
      <c r="BH43" s="1585"/>
      <c r="BI43" s="1585"/>
      <c r="BJ43" s="1584"/>
    </row>
    <row r="44" spans="1:62" s="198" customFormat="1">
      <c r="A44" s="2610"/>
      <c r="B44" s="2611"/>
      <c r="C44" s="2611"/>
      <c r="D44" s="2611"/>
      <c r="E44" s="2610"/>
      <c r="F44" s="2611"/>
      <c r="G44" s="2611"/>
      <c r="H44" s="2612"/>
      <c r="I44" s="2610"/>
      <c r="J44" s="2611"/>
      <c r="K44" s="2612"/>
      <c r="L44" s="175" t="str">
        <f>IF(A44&lt;&gt;"",IFERROR(INDEX(PMtbl[[WKst]:[Unit of measure*]],MATCH($A$8&amp;$A44&amp;$E44&amp;$I44,INDEX(PMtbl[Sec]&amp;PMtbl[Category]&amp;PMtbl[INN]&amp;PMtbl[Specification],0,),0),8),""),"")</f>
        <v/>
      </c>
      <c r="M44" s="175" t="str">
        <f>IF(L44="", "",SETUP!$E$5)</f>
        <v/>
      </c>
      <c r="N44" s="857"/>
      <c r="O44" s="873"/>
      <c r="P44" s="873"/>
      <c r="Q44" s="873"/>
      <c r="R44" s="873"/>
      <c r="S44" s="469">
        <f>SUM('TB-EQUIPMENT &amp; OTHER HPs'!$O44:$R44)</f>
        <v>0</v>
      </c>
      <c r="T44" s="833">
        <f>'TB-EQUIPMENT &amp; OTHER HPs'!$N44*'TB-EQUIPMENT &amp; OTHER HPs'!$S44</f>
        <v>0</v>
      </c>
      <c r="U44" s="857"/>
      <c r="V44" s="873"/>
      <c r="W44" s="873"/>
      <c r="X44" s="873"/>
      <c r="Y44" s="873"/>
      <c r="Z44" s="469">
        <f>SUM('TB-EQUIPMENT &amp; OTHER HPs'!$V44:$Y44)</f>
        <v>0</v>
      </c>
      <c r="AA44" s="833">
        <f>'TB-EQUIPMENT &amp; OTHER HPs'!$U44*'TB-EQUIPMENT &amp; OTHER HPs'!$Z44</f>
        <v>0</v>
      </c>
      <c r="AB44" s="857"/>
      <c r="AC44" s="873"/>
      <c r="AD44" s="873"/>
      <c r="AE44" s="873"/>
      <c r="AF44" s="873"/>
      <c r="AG44" s="469">
        <f>SUM('TB-EQUIPMENT &amp; OTHER HPs'!$AC44:$AF44)</f>
        <v>0</v>
      </c>
      <c r="AH44" s="833">
        <f>'TB-EQUIPMENT &amp; OTHER HPs'!$AB44*'TB-EQUIPMENT &amp; OTHER HPs'!$AG44</f>
        <v>0</v>
      </c>
      <c r="AI44" s="470">
        <f>'TB-EQUIPMENT &amp; OTHER HPs'!$S44+'TB-EQUIPMENT &amp; OTHER HPs'!$Z44+'TB-EQUIPMENT &amp; OTHER HPs'!$AG44</f>
        <v>0</v>
      </c>
      <c r="AJ44" s="833">
        <f>'TB-EQUIPMENT &amp; OTHER HPs'!$T44+'TB-EQUIPMENT &amp; OTHER HPs'!$AA44+'TB-EQUIPMENT &amp; OTHER HPs'!$AH44</f>
        <v>0</v>
      </c>
      <c r="AK44" s="400" t="str">
        <f>IF(A44&lt;&gt;"",IFERROR(INDEX(PMtbl[[WKst]:[Unit of measure*]],MATCH($A$8&amp;$A44&amp;$E44&amp;$I44,INDEX(PMtbl[Sec]&amp;PMtbl[Category]&amp;PMtbl[INN]&amp;PMtbl[Specification],0,),0),7),""),"")</f>
        <v/>
      </c>
      <c r="AL44" s="946"/>
      <c r="AM44" s="1425" t="str">
        <f>IFERROR(INDEX(SETUP!$C$19:$G$62,MATCH((INDEX(PMtbl[[WKst]:[Unit of measure*]],MATCH($A44&amp;$E44&amp;$I44,INDEX(PMtbl[Category]&amp;PMtbl[INN]&amp;PMtbl[Specification],0,),0),3)),SETUP!$D$19:$D$62,0),5),"")</f>
        <v/>
      </c>
      <c r="AN44" s="1425"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c r="AX44" s="1586">
        <f t="shared" ref="AX44:BJ44" si="70">SUM(AX26:AX43)</f>
        <v>0</v>
      </c>
      <c r="AY44" s="1586">
        <f t="shared" si="70"/>
        <v>0</v>
      </c>
      <c r="AZ44" s="1586">
        <f t="shared" si="70"/>
        <v>0</v>
      </c>
      <c r="BA44" s="1586">
        <f t="shared" si="70"/>
        <v>0</v>
      </c>
      <c r="BB44" s="1586">
        <f t="shared" si="70"/>
        <v>0</v>
      </c>
      <c r="BC44" s="1586">
        <f t="shared" si="70"/>
        <v>0</v>
      </c>
      <c r="BD44" s="1586">
        <f t="shared" si="70"/>
        <v>0</v>
      </c>
      <c r="BE44" s="1586">
        <f t="shared" si="70"/>
        <v>0</v>
      </c>
      <c r="BF44" s="1586">
        <f t="shared" si="70"/>
        <v>0</v>
      </c>
      <c r="BG44" s="1586">
        <f t="shared" si="70"/>
        <v>0</v>
      </c>
      <c r="BH44" s="1586">
        <f t="shared" si="70"/>
        <v>0</v>
      </c>
      <c r="BI44" s="1586">
        <f t="shared" si="70"/>
        <v>0</v>
      </c>
      <c r="BJ44" s="1586">
        <f t="shared" si="70"/>
        <v>0</v>
      </c>
    </row>
    <row r="45" spans="1:62" s="198" customFormat="1">
      <c r="A45" s="2616"/>
      <c r="B45" s="2304"/>
      <c r="C45" s="2304"/>
      <c r="D45" s="2304"/>
      <c r="E45" s="2616"/>
      <c r="F45" s="2304"/>
      <c r="G45" s="2304"/>
      <c r="H45" s="2617"/>
      <c r="I45" s="2616"/>
      <c r="J45" s="2304"/>
      <c r="K45" s="2617"/>
      <c r="L45" s="176" t="str">
        <f>IF(A45&lt;&gt;"",IFERROR(INDEX(PMtbl[[WKst]:[Unit of measure*]],MATCH($A$8&amp;$A45&amp;$E45&amp;$I45,INDEX(PMtbl[Sec]&amp;PMtbl[Category]&amp;PMtbl[INN]&amp;PMtbl[Specification],0,),0),8),""),"")</f>
        <v/>
      </c>
      <c r="M45" s="177" t="str">
        <f>IF(L45="", "",SETUP!$E$5)</f>
        <v/>
      </c>
      <c r="N45" s="856"/>
      <c r="O45" s="12"/>
      <c r="P45" s="12"/>
      <c r="Q45" s="12"/>
      <c r="R45" s="12"/>
      <c r="S45" s="467">
        <f>SUM('TB-EQUIPMENT &amp; OTHER HPs'!$O45:$R45)</f>
        <v>0</v>
      </c>
      <c r="T45" s="832">
        <f>'TB-EQUIPMENT &amp; OTHER HPs'!$N45*'TB-EQUIPMENT &amp; OTHER HPs'!$S45</f>
        <v>0</v>
      </c>
      <c r="U45" s="856"/>
      <c r="V45" s="12"/>
      <c r="W45" s="12"/>
      <c r="X45" s="12"/>
      <c r="Y45" s="12"/>
      <c r="Z45" s="467">
        <f>SUM('TB-EQUIPMENT &amp; OTHER HPs'!$V45:$Y45)</f>
        <v>0</v>
      </c>
      <c r="AA45" s="832">
        <f>'TB-EQUIPMENT &amp; OTHER HPs'!$U45*'TB-EQUIPMENT &amp; OTHER HPs'!$Z45</f>
        <v>0</v>
      </c>
      <c r="AB45" s="856"/>
      <c r="AC45" s="12"/>
      <c r="AD45" s="12"/>
      <c r="AE45" s="12"/>
      <c r="AF45" s="12"/>
      <c r="AG45" s="467">
        <f>SUM('TB-EQUIPMENT &amp; OTHER HPs'!$AC45:$AF45)</f>
        <v>0</v>
      </c>
      <c r="AH45" s="832">
        <f>'TB-EQUIPMENT &amp; OTHER HPs'!$AB45*'TB-EQUIPMENT &amp; OTHER HPs'!$AG45</f>
        <v>0</v>
      </c>
      <c r="AI45" s="468">
        <f>'TB-EQUIPMENT &amp; OTHER HPs'!$S45+'TB-EQUIPMENT &amp; OTHER HPs'!$Z45+'TB-EQUIPMENT &amp; OTHER HPs'!$AG45</f>
        <v>0</v>
      </c>
      <c r="AJ45" s="832">
        <f>'TB-EQUIPMENT &amp; OTHER HPs'!$T45+'TB-EQUIPMENT &amp; OTHER HPs'!$AA45+'TB-EQUIPMENT &amp; OTHER HPs'!$AH45</f>
        <v>0</v>
      </c>
      <c r="AK45" s="397" t="str">
        <f>IF(A45&lt;&gt;"",IFERROR(INDEX(PMtbl[[WKst]:[Unit of measure*]],MATCH($A$8&amp;$A45&amp;$E45&amp;$I45,INDEX(PMtbl[Sec]&amp;PMtbl[Category]&amp;PMtbl[INN]&amp;PMtbl[Specification],0,),0),7),""),"")</f>
        <v/>
      </c>
      <c r="AL45" s="947"/>
      <c r="AM45" s="1424" t="str">
        <f>IFERROR(INDEX(SETUP!$C$19:$G$62,MATCH((INDEX(PMtbl[[WKst]:[Unit of measure*]],MATCH($A45&amp;$E45&amp;$I45,INDEX(PMtbl[Category]&amp;PMtbl[INN]&amp;PMtbl[Specification],0,),0),3)),SETUP!$D$19:$D$62,0),5),"")</f>
        <v/>
      </c>
      <c r="AN45" s="1424"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62" s="198" customFormat="1">
      <c r="A46" s="2610"/>
      <c r="B46" s="2611"/>
      <c r="C46" s="2611"/>
      <c r="D46" s="2611"/>
      <c r="E46" s="2610"/>
      <c r="F46" s="2611"/>
      <c r="G46" s="2611"/>
      <c r="H46" s="2612"/>
      <c r="I46" s="2610"/>
      <c r="J46" s="2611"/>
      <c r="K46" s="2612"/>
      <c r="L46" s="175" t="str">
        <f>IF(A46&lt;&gt;"",IFERROR(INDEX(PMtbl[[WKst]:[Unit of measure*]],MATCH($A$8&amp;$A46&amp;$E46&amp;$I46,INDEX(PMtbl[Sec]&amp;PMtbl[Category]&amp;PMtbl[INN]&amp;PMtbl[Specification],0,),0),8),""),"")</f>
        <v/>
      </c>
      <c r="M46" s="175" t="str">
        <f>IF(L46="", "",SETUP!$E$5)</f>
        <v/>
      </c>
      <c r="N46" s="857"/>
      <c r="O46" s="873"/>
      <c r="P46" s="873"/>
      <c r="Q46" s="873"/>
      <c r="R46" s="873"/>
      <c r="S46" s="469">
        <f>SUM('TB-EQUIPMENT &amp; OTHER HPs'!$O46:$R46)</f>
        <v>0</v>
      </c>
      <c r="T46" s="833">
        <f>'TB-EQUIPMENT &amp; OTHER HPs'!$N46*'TB-EQUIPMENT &amp; OTHER HPs'!$S46</f>
        <v>0</v>
      </c>
      <c r="U46" s="857"/>
      <c r="V46" s="873"/>
      <c r="W46" s="873"/>
      <c r="X46" s="873"/>
      <c r="Y46" s="873"/>
      <c r="Z46" s="469">
        <f>SUM('TB-EQUIPMENT &amp; OTHER HPs'!$V46:$Y46)</f>
        <v>0</v>
      </c>
      <c r="AA46" s="833">
        <f>'TB-EQUIPMENT &amp; OTHER HPs'!$U46*'TB-EQUIPMENT &amp; OTHER HPs'!$Z46</f>
        <v>0</v>
      </c>
      <c r="AB46" s="857"/>
      <c r="AC46" s="873"/>
      <c r="AD46" s="873"/>
      <c r="AE46" s="873"/>
      <c r="AF46" s="873"/>
      <c r="AG46" s="469">
        <f>SUM('TB-EQUIPMENT &amp; OTHER HPs'!$AC46:$AF46)</f>
        <v>0</v>
      </c>
      <c r="AH46" s="833">
        <f>'TB-EQUIPMENT &amp; OTHER HPs'!$AB46*'TB-EQUIPMENT &amp; OTHER HPs'!$AG46</f>
        <v>0</v>
      </c>
      <c r="AI46" s="470">
        <f>'TB-EQUIPMENT &amp; OTHER HPs'!$S46+'TB-EQUIPMENT &amp; OTHER HPs'!$Z46+'TB-EQUIPMENT &amp; OTHER HPs'!$AG46</f>
        <v>0</v>
      </c>
      <c r="AJ46" s="833">
        <f>'TB-EQUIPMENT &amp; OTHER HPs'!$T46+'TB-EQUIPMENT &amp; OTHER HPs'!$AA46+'TB-EQUIPMENT &amp; OTHER HPs'!$AH46</f>
        <v>0</v>
      </c>
      <c r="AK46" s="400" t="str">
        <f>IF(A46&lt;&gt;"",IFERROR(INDEX(PMtbl[[WKst]:[Unit of measure*]],MATCH($A$8&amp;$A46&amp;$E46&amp;$I46,INDEX(PMtbl[Sec]&amp;PMtbl[Category]&amp;PMtbl[INN]&amp;PMtbl[Specification],0,),0),7),""),"")</f>
        <v/>
      </c>
      <c r="AL46" s="946"/>
      <c r="AM46" s="1425" t="str">
        <f>IFERROR(INDEX(SETUP!$C$19:$G$62,MATCH((INDEX(PMtbl[[WKst]:[Unit of measure*]],MATCH($A46&amp;$E46&amp;$I46,INDEX(PMtbl[Category]&amp;PMtbl[INN]&amp;PMtbl[Specification],0,),0),3)),SETUP!$D$19:$D$62,0),5),"")</f>
        <v/>
      </c>
      <c r="AN46" s="1425"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c r="AX46" s="841"/>
      <c r="AY46" s="841"/>
      <c r="AZ46" s="841"/>
      <c r="BA46" s="841"/>
      <c r="BB46" s="841"/>
      <c r="BC46" s="841"/>
      <c r="BD46" s="841"/>
      <c r="BE46" s="841"/>
      <c r="BF46" s="841"/>
      <c r="BG46" s="841"/>
      <c r="BH46" s="841"/>
      <c r="BI46" s="841"/>
      <c r="BJ46" s="841"/>
    </row>
    <row r="47" spans="1:62" s="198" customFormat="1">
      <c r="A47" s="2616"/>
      <c r="B47" s="2304"/>
      <c r="C47" s="2304"/>
      <c r="D47" s="2304"/>
      <c r="E47" s="2616"/>
      <c r="F47" s="2304"/>
      <c r="G47" s="2304"/>
      <c r="H47" s="2617"/>
      <c r="I47" s="2616"/>
      <c r="J47" s="2304"/>
      <c r="K47" s="2617"/>
      <c r="L47" s="176" t="str">
        <f>IF(A47&lt;&gt;"",IFERROR(INDEX(PMtbl[[WKst]:[Unit of measure*]],MATCH($A$8&amp;$A47&amp;$E47&amp;$I47,INDEX(PMtbl[Sec]&amp;PMtbl[Category]&amp;PMtbl[INN]&amp;PMtbl[Specification],0,),0),8),""),"")</f>
        <v/>
      </c>
      <c r="M47" s="177" t="str">
        <f>IF(L47="", "",SETUP!$E$5)</f>
        <v/>
      </c>
      <c r="N47" s="856"/>
      <c r="O47" s="12"/>
      <c r="P47" s="12"/>
      <c r="Q47" s="12"/>
      <c r="R47" s="12"/>
      <c r="S47" s="467">
        <f>SUM('TB-EQUIPMENT &amp; OTHER HPs'!$O47:$R47)</f>
        <v>0</v>
      </c>
      <c r="T47" s="832">
        <f>'TB-EQUIPMENT &amp; OTHER HPs'!$N47*'TB-EQUIPMENT &amp; OTHER HPs'!$S47</f>
        <v>0</v>
      </c>
      <c r="U47" s="856"/>
      <c r="V47" s="12"/>
      <c r="W47" s="12"/>
      <c r="X47" s="12"/>
      <c r="Y47" s="12"/>
      <c r="Z47" s="467">
        <f>SUM('TB-EQUIPMENT &amp; OTHER HPs'!$V47:$Y47)</f>
        <v>0</v>
      </c>
      <c r="AA47" s="832">
        <f>'TB-EQUIPMENT &amp; OTHER HPs'!$U47*'TB-EQUIPMENT &amp; OTHER HPs'!$Z47</f>
        <v>0</v>
      </c>
      <c r="AB47" s="856"/>
      <c r="AC47" s="12"/>
      <c r="AD47" s="12"/>
      <c r="AE47" s="12"/>
      <c r="AF47" s="12"/>
      <c r="AG47" s="467">
        <f>SUM('TB-EQUIPMENT &amp; OTHER HPs'!$AC47:$AF47)</f>
        <v>0</v>
      </c>
      <c r="AH47" s="832">
        <f>'TB-EQUIPMENT &amp; OTHER HPs'!$AB47*'TB-EQUIPMENT &amp; OTHER HPs'!$AG47</f>
        <v>0</v>
      </c>
      <c r="AI47" s="468">
        <f>'TB-EQUIPMENT &amp; OTHER HPs'!$S47+'TB-EQUIPMENT &amp; OTHER HPs'!$Z47+'TB-EQUIPMENT &amp; OTHER HPs'!$AG47</f>
        <v>0</v>
      </c>
      <c r="AJ47" s="832">
        <f>'TB-EQUIPMENT &amp; OTHER HPs'!$T47+'TB-EQUIPMENT &amp; OTHER HPs'!$AA47+'TB-EQUIPMENT &amp; OTHER HPs'!$AH47</f>
        <v>0</v>
      </c>
      <c r="AK47" s="397" t="str">
        <f>IF(A47&lt;&gt;"",IFERROR(INDEX(PMtbl[[WKst]:[Unit of measure*]],MATCH($A$8&amp;$A47&amp;$E47&amp;$I47,INDEX(PMtbl[Sec]&amp;PMtbl[Category]&amp;PMtbl[INN]&amp;PMtbl[Specification],0,),0),7),""),"")</f>
        <v/>
      </c>
      <c r="AL47" s="947"/>
      <c r="AM47" s="1424" t="str">
        <f>IFERROR(INDEX(SETUP!$C$19:$G$62,MATCH((INDEX(PMtbl[[WKst]:[Unit of measure*]],MATCH($A47&amp;$E47&amp;$I47,INDEX(PMtbl[Category]&amp;PMtbl[INN]&amp;PMtbl[Specification],0,),0),3)),SETUP!$D$19:$D$62,0),5),"")</f>
        <v/>
      </c>
      <c r="AN47" s="1424"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c r="AX47" s="1532"/>
      <c r="AY47" s="1532"/>
      <c r="AZ47" s="1532"/>
      <c r="BA47" s="1532"/>
      <c r="BB47" s="1532"/>
      <c r="BC47" s="1532"/>
      <c r="BD47" s="1532"/>
      <c r="BE47" s="1532"/>
      <c r="BF47" s="1532"/>
      <c r="BG47" s="1532"/>
      <c r="BH47" s="1532"/>
      <c r="BI47" s="1532"/>
    </row>
    <row r="48" spans="1:62" s="198" customFormat="1">
      <c r="A48" s="2610"/>
      <c r="B48" s="2611"/>
      <c r="C48" s="2611"/>
      <c r="D48" s="2611"/>
      <c r="E48" s="2610"/>
      <c r="F48" s="2611"/>
      <c r="G48" s="2611"/>
      <c r="H48" s="2612"/>
      <c r="I48" s="2610"/>
      <c r="J48" s="2611"/>
      <c r="K48" s="2612"/>
      <c r="L48" s="175" t="str">
        <f>IF(A48&lt;&gt;"",IFERROR(INDEX(PMtbl[[WKst]:[Unit of measure*]],MATCH($A$8&amp;$A48&amp;$E48&amp;$I48,INDEX(PMtbl[Sec]&amp;PMtbl[Category]&amp;PMtbl[INN]&amp;PMtbl[Specification],0,),0),8),""),"")</f>
        <v/>
      </c>
      <c r="M48" s="175" t="str">
        <f>IF(L48="", "",SETUP!$E$5)</f>
        <v/>
      </c>
      <c r="N48" s="857"/>
      <c r="O48" s="873"/>
      <c r="P48" s="873"/>
      <c r="Q48" s="873"/>
      <c r="R48" s="873"/>
      <c r="S48" s="469">
        <f>SUM('TB-EQUIPMENT &amp; OTHER HPs'!$O48:$R48)</f>
        <v>0</v>
      </c>
      <c r="T48" s="833">
        <f>'TB-EQUIPMENT &amp; OTHER HPs'!$N48*'TB-EQUIPMENT &amp; OTHER HPs'!$S48</f>
        <v>0</v>
      </c>
      <c r="U48" s="857"/>
      <c r="V48" s="873"/>
      <c r="W48" s="873"/>
      <c r="X48" s="873"/>
      <c r="Y48" s="873"/>
      <c r="Z48" s="469">
        <f>SUM('TB-EQUIPMENT &amp; OTHER HPs'!$V48:$Y48)</f>
        <v>0</v>
      </c>
      <c r="AA48" s="833">
        <f>'TB-EQUIPMENT &amp; OTHER HPs'!$U48*'TB-EQUIPMENT &amp; OTHER HPs'!$Z48</f>
        <v>0</v>
      </c>
      <c r="AB48" s="857"/>
      <c r="AC48" s="873"/>
      <c r="AD48" s="873"/>
      <c r="AE48" s="873"/>
      <c r="AF48" s="873"/>
      <c r="AG48" s="469">
        <f>SUM('TB-EQUIPMENT &amp; OTHER HPs'!$AC48:$AF48)</f>
        <v>0</v>
      </c>
      <c r="AH48" s="833">
        <f>'TB-EQUIPMENT &amp; OTHER HPs'!$AB48*'TB-EQUIPMENT &amp; OTHER HPs'!$AG48</f>
        <v>0</v>
      </c>
      <c r="AI48" s="470">
        <f>'TB-EQUIPMENT &amp; OTHER HPs'!$S48+'TB-EQUIPMENT &amp; OTHER HPs'!$Z48+'TB-EQUIPMENT &amp; OTHER HPs'!$AG48</f>
        <v>0</v>
      </c>
      <c r="AJ48" s="833">
        <f>'TB-EQUIPMENT &amp; OTHER HPs'!$T48+'TB-EQUIPMENT &amp; OTHER HPs'!$AA48+'TB-EQUIPMENT &amp; OTHER HPs'!$AH48</f>
        <v>0</v>
      </c>
      <c r="AK48" s="400" t="str">
        <f>IF(A48&lt;&gt;"",IFERROR(INDEX(PMtbl[[WKst]:[Unit of measure*]],MATCH($A$8&amp;$A48&amp;$E48&amp;$I48,INDEX(PMtbl[Sec]&amp;PMtbl[Category]&amp;PMtbl[INN]&amp;PMtbl[Specification],0,),0),7),""),"")</f>
        <v/>
      </c>
      <c r="AL48" s="946"/>
      <c r="AM48" s="1425" t="str">
        <f>IFERROR(INDEX(SETUP!$C$19:$G$62,MATCH((INDEX(PMtbl[[WKst]:[Unit of measure*]],MATCH($A48&amp;$E48&amp;$I48,INDEX(PMtbl[Category]&amp;PMtbl[INN]&amp;PMtbl[Specification],0,),0),3)),SETUP!$D$19:$D$62,0),5),"")</f>
        <v/>
      </c>
      <c r="AN48" s="1425"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62" s="198" customFormat="1">
      <c r="A49" s="2616"/>
      <c r="B49" s="2304"/>
      <c r="C49" s="2304"/>
      <c r="D49" s="2304"/>
      <c r="E49" s="2616"/>
      <c r="F49" s="2304"/>
      <c r="G49" s="2304"/>
      <c r="H49" s="2617"/>
      <c r="I49" s="2616"/>
      <c r="J49" s="2304"/>
      <c r="K49" s="2617"/>
      <c r="L49" s="176" t="str">
        <f>IF(A49&lt;&gt;"",IFERROR(INDEX(PMtbl[[WKst]:[Unit of measure*]],MATCH($A$8&amp;$A49&amp;$E49&amp;$I49,INDEX(PMtbl[Sec]&amp;PMtbl[Category]&amp;PMtbl[INN]&amp;PMtbl[Specification],0,),0),8),""),"")</f>
        <v/>
      </c>
      <c r="M49" s="177" t="str">
        <f>IF(L49="", "",SETUP!$E$5)</f>
        <v/>
      </c>
      <c r="N49" s="856"/>
      <c r="O49" s="12"/>
      <c r="P49" s="12"/>
      <c r="Q49" s="12"/>
      <c r="R49" s="12"/>
      <c r="S49" s="467">
        <f>SUM('TB-EQUIPMENT &amp; OTHER HPs'!$O49:$R49)</f>
        <v>0</v>
      </c>
      <c r="T49" s="832">
        <f>'TB-EQUIPMENT &amp; OTHER HPs'!$N49*'TB-EQUIPMENT &amp; OTHER HPs'!$S49</f>
        <v>0</v>
      </c>
      <c r="U49" s="856"/>
      <c r="V49" s="12"/>
      <c r="W49" s="12"/>
      <c r="X49" s="12"/>
      <c r="Y49" s="12"/>
      <c r="Z49" s="467">
        <f>SUM('TB-EQUIPMENT &amp; OTHER HPs'!$V49:$Y49)</f>
        <v>0</v>
      </c>
      <c r="AA49" s="832">
        <f>'TB-EQUIPMENT &amp; OTHER HPs'!$U49*'TB-EQUIPMENT &amp; OTHER HPs'!$Z49</f>
        <v>0</v>
      </c>
      <c r="AB49" s="856"/>
      <c r="AC49" s="12"/>
      <c r="AD49" s="12"/>
      <c r="AE49" s="12"/>
      <c r="AF49" s="12"/>
      <c r="AG49" s="467">
        <f>SUM('TB-EQUIPMENT &amp; OTHER HPs'!$AC49:$AF49)</f>
        <v>0</v>
      </c>
      <c r="AH49" s="832">
        <f>'TB-EQUIPMENT &amp; OTHER HPs'!$AB49*'TB-EQUIPMENT &amp; OTHER HPs'!$AG49</f>
        <v>0</v>
      </c>
      <c r="AI49" s="468">
        <f>'TB-EQUIPMENT &amp; OTHER HPs'!$S49+'TB-EQUIPMENT &amp; OTHER HPs'!$Z49+'TB-EQUIPMENT &amp; OTHER HPs'!$AG49</f>
        <v>0</v>
      </c>
      <c r="AJ49" s="832">
        <f>'TB-EQUIPMENT &amp; OTHER HPs'!$T49+'TB-EQUIPMENT &amp; OTHER HPs'!$AA49+'TB-EQUIPMENT &amp; OTHER HPs'!$AH49</f>
        <v>0</v>
      </c>
      <c r="AK49" s="397" t="str">
        <f>IF(A49&lt;&gt;"",IFERROR(INDEX(PMtbl[[WKst]:[Unit of measure*]],MATCH($A$8&amp;$A49&amp;$E49&amp;$I49,INDEX(PMtbl[Sec]&amp;PMtbl[Category]&amp;PMtbl[INN]&amp;PMtbl[Specification],0,),0),7),""),"")</f>
        <v/>
      </c>
      <c r="AL49" s="947"/>
      <c r="AM49" s="1424" t="str">
        <f>IFERROR(INDEX(SETUP!$C$19:$G$62,MATCH((INDEX(PMtbl[[WKst]:[Unit of measure*]],MATCH($A49&amp;$E49&amp;$I49,INDEX(PMtbl[Category]&amp;PMtbl[INN]&amp;PMtbl[Specification],0,),0),3)),SETUP!$D$19:$D$62,0),5),"")</f>
        <v/>
      </c>
      <c r="AN49" s="1424"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62" s="198" customFormat="1">
      <c r="A50" s="2610"/>
      <c r="B50" s="2611"/>
      <c r="C50" s="2611"/>
      <c r="D50" s="2611"/>
      <c r="E50" s="2610"/>
      <c r="F50" s="2611"/>
      <c r="G50" s="2611"/>
      <c r="H50" s="2612"/>
      <c r="I50" s="2610"/>
      <c r="J50" s="2611"/>
      <c r="K50" s="2612"/>
      <c r="L50" s="175" t="str">
        <f>IF(A50&lt;&gt;"",IFERROR(INDEX(PMtbl[[WKst]:[Unit of measure*]],MATCH($A$8&amp;$A50&amp;$E50&amp;$I50,INDEX(PMtbl[Sec]&amp;PMtbl[Category]&amp;PMtbl[INN]&amp;PMtbl[Specification],0,),0),8),""),"")</f>
        <v/>
      </c>
      <c r="M50" s="175" t="str">
        <f>IF(L50="", "",SETUP!$E$5)</f>
        <v/>
      </c>
      <c r="N50" s="857"/>
      <c r="O50" s="873"/>
      <c r="P50" s="873"/>
      <c r="Q50" s="873"/>
      <c r="R50" s="873"/>
      <c r="S50" s="469">
        <f>SUM('TB-EQUIPMENT &amp; OTHER HPs'!$O50:$R50)</f>
        <v>0</v>
      </c>
      <c r="T50" s="833">
        <f>'TB-EQUIPMENT &amp; OTHER HPs'!$N50*'TB-EQUIPMENT &amp; OTHER HPs'!$S50</f>
        <v>0</v>
      </c>
      <c r="U50" s="857"/>
      <c r="V50" s="873"/>
      <c r="W50" s="873"/>
      <c r="X50" s="873"/>
      <c r="Y50" s="873"/>
      <c r="Z50" s="469">
        <f>SUM('TB-EQUIPMENT &amp; OTHER HPs'!$V50:$Y50)</f>
        <v>0</v>
      </c>
      <c r="AA50" s="833">
        <f>'TB-EQUIPMENT &amp; OTHER HPs'!$U50*'TB-EQUIPMENT &amp; OTHER HPs'!$Z50</f>
        <v>0</v>
      </c>
      <c r="AB50" s="857"/>
      <c r="AC50" s="873"/>
      <c r="AD50" s="873"/>
      <c r="AE50" s="873"/>
      <c r="AF50" s="873"/>
      <c r="AG50" s="469">
        <f>SUM('TB-EQUIPMENT &amp; OTHER HPs'!$AC50:$AF50)</f>
        <v>0</v>
      </c>
      <c r="AH50" s="833">
        <f>'TB-EQUIPMENT &amp; OTHER HPs'!$AB50*'TB-EQUIPMENT &amp; OTHER HPs'!$AG50</f>
        <v>0</v>
      </c>
      <c r="AI50" s="470">
        <f>'TB-EQUIPMENT &amp; OTHER HPs'!$S50+'TB-EQUIPMENT &amp; OTHER HPs'!$Z50+'TB-EQUIPMENT &amp; OTHER HPs'!$AG50</f>
        <v>0</v>
      </c>
      <c r="AJ50" s="833">
        <f>'TB-EQUIPMENT &amp; OTHER HPs'!$T50+'TB-EQUIPMENT &amp; OTHER HPs'!$AA50+'TB-EQUIPMENT &amp; OTHER HPs'!$AH50</f>
        <v>0</v>
      </c>
      <c r="AK50" s="400" t="str">
        <f>IF(A50&lt;&gt;"",IFERROR(INDEX(PMtbl[[WKst]:[Unit of measure*]],MATCH($A$8&amp;$A50&amp;$E50&amp;$I50,INDEX(PMtbl[Sec]&amp;PMtbl[Category]&amp;PMtbl[INN]&amp;PMtbl[Specification],0,),0),7),""),"")</f>
        <v/>
      </c>
      <c r="AL50" s="946"/>
      <c r="AM50" s="1425" t="str">
        <f>IFERROR(INDEX(SETUP!$C$19:$G$62,MATCH((INDEX(PMtbl[[WKst]:[Unit of measure*]],MATCH($A50&amp;$E50&amp;$I50,INDEX(PMtbl[Category]&amp;PMtbl[INN]&amp;PMtbl[Specification],0,),0),3)),SETUP!$D$19:$D$62,0),5),"")</f>
        <v/>
      </c>
      <c r="AN50" s="1425"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62" s="198" customFormat="1">
      <c r="A51" s="2616"/>
      <c r="B51" s="2304"/>
      <c r="C51" s="2304"/>
      <c r="D51" s="2304"/>
      <c r="E51" s="2616"/>
      <c r="F51" s="2304"/>
      <c r="G51" s="2304"/>
      <c r="H51" s="2617"/>
      <c r="I51" s="2616"/>
      <c r="J51" s="2304"/>
      <c r="K51" s="2617"/>
      <c r="L51" s="176" t="str">
        <f>IF(A51&lt;&gt;"",IFERROR(INDEX(PMtbl[[WKst]:[Unit of measure*]],MATCH($A$8&amp;$A51&amp;$E51&amp;$I51,INDEX(PMtbl[Sec]&amp;PMtbl[Category]&amp;PMtbl[INN]&amp;PMtbl[Specification],0,),0),8),""),"")</f>
        <v/>
      </c>
      <c r="M51" s="177" t="str">
        <f>IF(L51="", "",SETUP!$E$5)</f>
        <v/>
      </c>
      <c r="N51" s="856"/>
      <c r="O51" s="12"/>
      <c r="P51" s="12"/>
      <c r="Q51" s="12"/>
      <c r="R51" s="12"/>
      <c r="S51" s="467">
        <f>SUM('TB-EQUIPMENT &amp; OTHER HPs'!$O51:$R51)</f>
        <v>0</v>
      </c>
      <c r="T51" s="832">
        <f>'TB-EQUIPMENT &amp; OTHER HPs'!$N51*'TB-EQUIPMENT &amp; OTHER HPs'!$S51</f>
        <v>0</v>
      </c>
      <c r="U51" s="856"/>
      <c r="V51" s="12"/>
      <c r="W51" s="12"/>
      <c r="X51" s="12"/>
      <c r="Y51" s="12"/>
      <c r="Z51" s="467">
        <f>SUM('TB-EQUIPMENT &amp; OTHER HPs'!$V51:$Y51)</f>
        <v>0</v>
      </c>
      <c r="AA51" s="832">
        <f>'TB-EQUIPMENT &amp; OTHER HPs'!$U51*'TB-EQUIPMENT &amp; OTHER HPs'!$Z51</f>
        <v>0</v>
      </c>
      <c r="AB51" s="856"/>
      <c r="AC51" s="12"/>
      <c r="AD51" s="12"/>
      <c r="AE51" s="12"/>
      <c r="AF51" s="12"/>
      <c r="AG51" s="467">
        <f>SUM('TB-EQUIPMENT &amp; OTHER HPs'!$AC51:$AF51)</f>
        <v>0</v>
      </c>
      <c r="AH51" s="832">
        <f>'TB-EQUIPMENT &amp; OTHER HPs'!$AB51*'TB-EQUIPMENT &amp; OTHER HPs'!$AG51</f>
        <v>0</v>
      </c>
      <c r="AI51" s="468">
        <f>'TB-EQUIPMENT &amp; OTHER HPs'!$S51+'TB-EQUIPMENT &amp; OTHER HPs'!$Z51+'TB-EQUIPMENT &amp; OTHER HPs'!$AG51</f>
        <v>0</v>
      </c>
      <c r="AJ51" s="832">
        <f>'TB-EQUIPMENT &amp; OTHER HPs'!$T51+'TB-EQUIPMENT &amp; OTHER HPs'!$AA51+'TB-EQUIPMENT &amp; OTHER HPs'!$AH51</f>
        <v>0</v>
      </c>
      <c r="AK51" s="397" t="str">
        <f>IF(A51&lt;&gt;"",IFERROR(INDEX(PMtbl[[WKst]:[Unit of measure*]],MATCH($A$8&amp;$A51&amp;$E51&amp;$I51,INDEX(PMtbl[Sec]&amp;PMtbl[Category]&amp;PMtbl[INN]&amp;PMtbl[Specification],0,),0),7),""),"")</f>
        <v/>
      </c>
      <c r="AL51" s="947"/>
      <c r="AM51" s="1424" t="str">
        <f>IFERROR(INDEX(SETUP!$C$19:$G$62,MATCH((INDEX(PMtbl[[WKst]:[Unit of measure*]],MATCH($A51&amp;$E51&amp;$I51,INDEX(PMtbl[Category]&amp;PMtbl[INN]&amp;PMtbl[Specification],0,),0),3)),SETUP!$D$19:$D$62,0),5),"")</f>
        <v/>
      </c>
      <c r="AN51" s="1424"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c r="AX51" s="1532"/>
    </row>
    <row r="52" spans="1:62" s="198" customFormat="1">
      <c r="A52" s="2610"/>
      <c r="B52" s="2611"/>
      <c r="C52" s="2611"/>
      <c r="D52" s="2611"/>
      <c r="E52" s="2610"/>
      <c r="F52" s="2611"/>
      <c r="G52" s="2611"/>
      <c r="H52" s="2612"/>
      <c r="I52" s="2610"/>
      <c r="J52" s="2611"/>
      <c r="K52" s="2612"/>
      <c r="L52" s="175" t="str">
        <f>IF(A52&lt;&gt;"",IFERROR(INDEX(PMtbl[[WKst]:[Unit of measure*]],MATCH($A$8&amp;$A52&amp;$E52&amp;$I52,INDEX(PMtbl[Sec]&amp;PMtbl[Category]&amp;PMtbl[INN]&amp;PMtbl[Specification],0,),0),8),""),"")</f>
        <v/>
      </c>
      <c r="M52" s="175" t="str">
        <f>IF(L52="", "",SETUP!$E$5)</f>
        <v/>
      </c>
      <c r="N52" s="857"/>
      <c r="O52" s="873"/>
      <c r="P52" s="873"/>
      <c r="Q52" s="873"/>
      <c r="R52" s="873"/>
      <c r="S52" s="469">
        <f>SUM('TB-EQUIPMENT &amp; OTHER HPs'!$O52:$R52)</f>
        <v>0</v>
      </c>
      <c r="T52" s="833">
        <f>'TB-EQUIPMENT &amp; OTHER HPs'!$N52*'TB-EQUIPMENT &amp; OTHER HPs'!$S52</f>
        <v>0</v>
      </c>
      <c r="U52" s="857"/>
      <c r="V52" s="873"/>
      <c r="W52" s="873"/>
      <c r="X52" s="873"/>
      <c r="Y52" s="873"/>
      <c r="Z52" s="469">
        <f>SUM('TB-EQUIPMENT &amp; OTHER HPs'!$V52:$Y52)</f>
        <v>0</v>
      </c>
      <c r="AA52" s="833">
        <f>'TB-EQUIPMENT &amp; OTHER HPs'!$U52*'TB-EQUIPMENT &amp; OTHER HPs'!$Z52</f>
        <v>0</v>
      </c>
      <c r="AB52" s="857"/>
      <c r="AC52" s="873"/>
      <c r="AD52" s="873"/>
      <c r="AE52" s="873"/>
      <c r="AF52" s="873"/>
      <c r="AG52" s="469">
        <f>SUM('TB-EQUIPMENT &amp; OTHER HPs'!$AC52:$AF52)</f>
        <v>0</v>
      </c>
      <c r="AH52" s="833">
        <f>'TB-EQUIPMENT &amp; OTHER HPs'!$AB52*'TB-EQUIPMENT &amp; OTHER HPs'!$AG52</f>
        <v>0</v>
      </c>
      <c r="AI52" s="470">
        <f>'TB-EQUIPMENT &amp; OTHER HPs'!$S52+'TB-EQUIPMENT &amp; OTHER HPs'!$Z52+'TB-EQUIPMENT &amp; OTHER HPs'!$AG52</f>
        <v>0</v>
      </c>
      <c r="AJ52" s="833">
        <f>'TB-EQUIPMENT &amp; OTHER HPs'!$T52+'TB-EQUIPMENT &amp; OTHER HPs'!$AA52+'TB-EQUIPMENT &amp; OTHER HPs'!$AH52</f>
        <v>0</v>
      </c>
      <c r="AK52" s="400" t="str">
        <f>IF(A52&lt;&gt;"",IFERROR(INDEX(PMtbl[[WKst]:[Unit of measure*]],MATCH($A$8&amp;$A52&amp;$E52&amp;$I52,INDEX(PMtbl[Sec]&amp;PMtbl[Category]&amp;PMtbl[INN]&amp;PMtbl[Specification],0,),0),7),""),"")</f>
        <v/>
      </c>
      <c r="AL52" s="946"/>
      <c r="AM52" s="1425" t="str">
        <f>IFERROR(INDEX(SETUP!$C$19:$G$62,MATCH((INDEX(PMtbl[[WKst]:[Unit of measure*]],MATCH($A52&amp;$E52&amp;$I52,INDEX(PMtbl[Category]&amp;PMtbl[INN]&amp;PMtbl[Specification],0,),0),3)),SETUP!$D$19:$D$62,0),5),"")</f>
        <v/>
      </c>
      <c r="AN52" s="1425"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62" s="198" customFormat="1">
      <c r="A53" s="2616"/>
      <c r="B53" s="2304"/>
      <c r="C53" s="2304"/>
      <c r="D53" s="2304"/>
      <c r="E53" s="2616"/>
      <c r="F53" s="2304"/>
      <c r="G53" s="2304"/>
      <c r="H53" s="2617"/>
      <c r="I53" s="2616"/>
      <c r="J53" s="2304"/>
      <c r="K53" s="2617"/>
      <c r="L53" s="176" t="str">
        <f>IF(A53&lt;&gt;"",IFERROR(INDEX(PMtbl[[WKst]:[Unit of measure*]],MATCH($A$8&amp;$A53&amp;$E53&amp;$I53,INDEX(PMtbl[Sec]&amp;PMtbl[Category]&amp;PMtbl[INN]&amp;PMtbl[Specification],0,),0),8),""),"")</f>
        <v/>
      </c>
      <c r="M53" s="177" t="str">
        <f>IF(L53="", "",SETUP!$E$5)</f>
        <v/>
      </c>
      <c r="N53" s="856"/>
      <c r="O53" s="12"/>
      <c r="P53" s="12"/>
      <c r="Q53" s="12"/>
      <c r="R53" s="12"/>
      <c r="S53" s="467">
        <f>SUM('TB-EQUIPMENT &amp; OTHER HPs'!$O53:$R53)</f>
        <v>0</v>
      </c>
      <c r="T53" s="832">
        <f>'TB-EQUIPMENT &amp; OTHER HPs'!$N53*'TB-EQUIPMENT &amp; OTHER HPs'!$S53</f>
        <v>0</v>
      </c>
      <c r="U53" s="856"/>
      <c r="V53" s="12"/>
      <c r="W53" s="12"/>
      <c r="X53" s="12"/>
      <c r="Y53" s="12"/>
      <c r="Z53" s="467">
        <f>SUM('TB-EQUIPMENT &amp; OTHER HPs'!$V53:$Y53)</f>
        <v>0</v>
      </c>
      <c r="AA53" s="832">
        <f>'TB-EQUIPMENT &amp; OTHER HPs'!$U53*'TB-EQUIPMENT &amp; OTHER HPs'!$Z53</f>
        <v>0</v>
      </c>
      <c r="AB53" s="856"/>
      <c r="AC53" s="12"/>
      <c r="AD53" s="12"/>
      <c r="AE53" s="12"/>
      <c r="AF53" s="12"/>
      <c r="AG53" s="467">
        <f>SUM('TB-EQUIPMENT &amp; OTHER HPs'!$AC53:$AF53)</f>
        <v>0</v>
      </c>
      <c r="AH53" s="832">
        <f>'TB-EQUIPMENT &amp; OTHER HPs'!$AB53*'TB-EQUIPMENT &amp; OTHER HPs'!$AG53</f>
        <v>0</v>
      </c>
      <c r="AI53" s="468">
        <f>'TB-EQUIPMENT &amp; OTHER HPs'!$S53+'TB-EQUIPMENT &amp; OTHER HPs'!$Z53+'TB-EQUIPMENT &amp; OTHER HPs'!$AG53</f>
        <v>0</v>
      </c>
      <c r="AJ53" s="832">
        <f>'TB-EQUIPMENT &amp; OTHER HPs'!$T53+'TB-EQUIPMENT &amp; OTHER HPs'!$AA53+'TB-EQUIPMENT &amp; OTHER HPs'!$AH53</f>
        <v>0</v>
      </c>
      <c r="AK53" s="397" t="str">
        <f>IF(A53&lt;&gt;"",IFERROR(INDEX(PMtbl[[WKst]:[Unit of measure*]],MATCH($A$8&amp;$A53&amp;$E53&amp;$I53,INDEX(PMtbl[Sec]&amp;PMtbl[Category]&amp;PMtbl[INN]&amp;PMtbl[Specification],0,),0),7),""),"")</f>
        <v/>
      </c>
      <c r="AL53" s="947"/>
      <c r="AM53" s="1424" t="str">
        <f>IFERROR(INDEX(SETUP!$C$19:$G$62,MATCH((INDEX(PMtbl[[WKst]:[Unit of measure*]],MATCH($A53&amp;$E53&amp;$I53,INDEX(PMtbl[Category]&amp;PMtbl[INN]&amp;PMtbl[Specification],0,),0),3)),SETUP!$D$19:$D$62,0),5),"")</f>
        <v/>
      </c>
      <c r="AN53" s="1424"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62" s="198" customFormat="1">
      <c r="A54" s="2610"/>
      <c r="B54" s="2611"/>
      <c r="C54" s="2611"/>
      <c r="D54" s="2611"/>
      <c r="E54" s="2610"/>
      <c r="F54" s="2611"/>
      <c r="G54" s="2611"/>
      <c r="H54" s="2612"/>
      <c r="I54" s="2610"/>
      <c r="J54" s="2611"/>
      <c r="K54" s="2612"/>
      <c r="L54" s="175" t="str">
        <f>IF(A54&lt;&gt;"",IFERROR(INDEX(PMtbl[[WKst]:[Unit of measure*]],MATCH($A$8&amp;$A54&amp;$E54&amp;$I54,INDEX(PMtbl[Sec]&amp;PMtbl[Category]&amp;PMtbl[INN]&amp;PMtbl[Specification],0,),0),8),""),"")</f>
        <v/>
      </c>
      <c r="M54" s="175" t="str">
        <f>IF(L54="", "",SETUP!$E$5)</f>
        <v/>
      </c>
      <c r="N54" s="857"/>
      <c r="O54" s="873"/>
      <c r="P54" s="873"/>
      <c r="Q54" s="873"/>
      <c r="R54" s="873"/>
      <c r="S54" s="469">
        <f>SUM('TB-EQUIPMENT &amp; OTHER HPs'!$O54:$R54)</f>
        <v>0</v>
      </c>
      <c r="T54" s="833">
        <f>'TB-EQUIPMENT &amp; OTHER HPs'!$N54*'TB-EQUIPMENT &amp; OTHER HPs'!$S54</f>
        <v>0</v>
      </c>
      <c r="U54" s="857"/>
      <c r="V54" s="873"/>
      <c r="W54" s="873"/>
      <c r="X54" s="873"/>
      <c r="Y54" s="873"/>
      <c r="Z54" s="469">
        <f>SUM('TB-EQUIPMENT &amp; OTHER HPs'!$V54:$Y54)</f>
        <v>0</v>
      </c>
      <c r="AA54" s="833">
        <f>'TB-EQUIPMENT &amp; OTHER HPs'!$U54*'TB-EQUIPMENT &amp; OTHER HPs'!$Z54</f>
        <v>0</v>
      </c>
      <c r="AB54" s="857"/>
      <c r="AC54" s="873"/>
      <c r="AD54" s="873"/>
      <c r="AE54" s="873"/>
      <c r="AF54" s="873"/>
      <c r="AG54" s="469">
        <f>SUM('TB-EQUIPMENT &amp; OTHER HPs'!$AC54:$AF54)</f>
        <v>0</v>
      </c>
      <c r="AH54" s="833">
        <f>'TB-EQUIPMENT &amp; OTHER HPs'!$AB54*'TB-EQUIPMENT &amp; OTHER HPs'!$AG54</f>
        <v>0</v>
      </c>
      <c r="AI54" s="470">
        <f>'TB-EQUIPMENT &amp; OTHER HPs'!$S54+'TB-EQUIPMENT &amp; OTHER HPs'!$Z54+'TB-EQUIPMENT &amp; OTHER HPs'!$AG54</f>
        <v>0</v>
      </c>
      <c r="AJ54" s="833">
        <f>'TB-EQUIPMENT &amp; OTHER HPs'!$T54+'TB-EQUIPMENT &amp; OTHER HPs'!$AA54+'TB-EQUIPMENT &amp; OTHER HPs'!$AH54</f>
        <v>0</v>
      </c>
      <c r="AK54" s="400" t="str">
        <f>IF(A54&lt;&gt;"",IFERROR(INDEX(PMtbl[[WKst]:[Unit of measure*]],MATCH($A$8&amp;$A54&amp;$E54&amp;$I54,INDEX(PMtbl[Sec]&amp;PMtbl[Category]&amp;PMtbl[INN]&amp;PMtbl[Specification],0,),0),7),""),"")</f>
        <v/>
      </c>
      <c r="AL54" s="946"/>
      <c r="AM54" s="1425" t="str">
        <f>IFERROR(INDEX(SETUP!$C$19:$G$62,MATCH((INDEX(PMtbl[[WKst]:[Unit of measure*]],MATCH($A54&amp;$E54&amp;$I54,INDEX(PMtbl[Category]&amp;PMtbl[INN]&amp;PMtbl[Specification],0,),0),3)),SETUP!$D$19:$D$62,0),5),"")</f>
        <v/>
      </c>
      <c r="AN54" s="1425"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62" s="198" customFormat="1">
      <c r="A55" s="2616"/>
      <c r="B55" s="2304"/>
      <c r="C55" s="2304"/>
      <c r="D55" s="2304"/>
      <c r="E55" s="2616"/>
      <c r="F55" s="2304"/>
      <c r="G55" s="2304"/>
      <c r="H55" s="2617"/>
      <c r="I55" s="2616"/>
      <c r="J55" s="2304"/>
      <c r="K55" s="2617"/>
      <c r="L55" s="176" t="str">
        <f>IF(A55&lt;&gt;"",IFERROR(INDEX(PMtbl[[WKst]:[Unit of measure*]],MATCH($A$8&amp;$A55&amp;$E55&amp;$I55,INDEX(PMtbl[Sec]&amp;PMtbl[Category]&amp;PMtbl[INN]&amp;PMtbl[Specification],0,),0),8),""),"")</f>
        <v/>
      </c>
      <c r="M55" s="177" t="str">
        <f>IF(L55="", "",SETUP!$E$5)</f>
        <v/>
      </c>
      <c r="N55" s="856"/>
      <c r="O55" s="12"/>
      <c r="P55" s="12"/>
      <c r="Q55" s="12"/>
      <c r="R55" s="12"/>
      <c r="S55" s="467">
        <f>SUM('TB-EQUIPMENT &amp; OTHER HPs'!$O55:$R55)</f>
        <v>0</v>
      </c>
      <c r="T55" s="832">
        <f>'TB-EQUIPMENT &amp; OTHER HPs'!$N55*'TB-EQUIPMENT &amp; OTHER HPs'!$S55</f>
        <v>0</v>
      </c>
      <c r="U55" s="856"/>
      <c r="V55" s="12"/>
      <c r="W55" s="12"/>
      <c r="X55" s="12"/>
      <c r="Y55" s="12"/>
      <c r="Z55" s="467">
        <f>SUM('TB-EQUIPMENT &amp; OTHER HPs'!$V55:$Y55)</f>
        <v>0</v>
      </c>
      <c r="AA55" s="832">
        <f>'TB-EQUIPMENT &amp; OTHER HPs'!$U55*'TB-EQUIPMENT &amp; OTHER HPs'!$Z55</f>
        <v>0</v>
      </c>
      <c r="AB55" s="856"/>
      <c r="AC55" s="12"/>
      <c r="AD55" s="12"/>
      <c r="AE55" s="12"/>
      <c r="AF55" s="12"/>
      <c r="AG55" s="467">
        <f>SUM('TB-EQUIPMENT &amp; OTHER HPs'!$AC55:$AF55)</f>
        <v>0</v>
      </c>
      <c r="AH55" s="832">
        <f>'TB-EQUIPMENT &amp; OTHER HPs'!$AB55*'TB-EQUIPMENT &amp; OTHER HPs'!$AG55</f>
        <v>0</v>
      </c>
      <c r="AI55" s="468">
        <f>'TB-EQUIPMENT &amp; OTHER HPs'!$S55+'TB-EQUIPMENT &amp; OTHER HPs'!$Z55+'TB-EQUIPMENT &amp; OTHER HPs'!$AG55</f>
        <v>0</v>
      </c>
      <c r="AJ55" s="832">
        <f>'TB-EQUIPMENT &amp; OTHER HPs'!$T55+'TB-EQUIPMENT &amp; OTHER HPs'!$AA55+'TB-EQUIPMENT &amp; OTHER HPs'!$AH55</f>
        <v>0</v>
      </c>
      <c r="AK55" s="397" t="str">
        <f>IF(A55&lt;&gt;"",IFERROR(INDEX(PMtbl[[WKst]:[Unit of measure*]],MATCH($A$8&amp;$A55&amp;$E55&amp;$I55,INDEX(PMtbl[Sec]&amp;PMtbl[Category]&amp;PMtbl[INN]&amp;PMtbl[Specification],0,),0),7),""),"")</f>
        <v/>
      </c>
      <c r="AL55" s="947"/>
      <c r="AM55" s="1424" t="str">
        <f>IFERROR(INDEX(SETUP!$C$19:$G$62,MATCH((INDEX(PMtbl[[WKst]:[Unit of measure*]],MATCH($A55&amp;$E55&amp;$I55,INDEX(PMtbl[Category]&amp;PMtbl[INN]&amp;PMtbl[Specification],0,),0),3)),SETUP!$D$19:$D$62,0),5),"")</f>
        <v/>
      </c>
      <c r="AN55" s="1424"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62" s="198" customFormat="1">
      <c r="A56" s="2610"/>
      <c r="B56" s="2611"/>
      <c r="C56" s="2611"/>
      <c r="D56" s="2611"/>
      <c r="E56" s="2610"/>
      <c r="F56" s="2611"/>
      <c r="G56" s="2611"/>
      <c r="H56" s="2612"/>
      <c r="I56" s="2610"/>
      <c r="J56" s="2611"/>
      <c r="K56" s="2612"/>
      <c r="L56" s="175" t="str">
        <f>IF(A56&lt;&gt;"",IFERROR(INDEX(PMtbl[[WKst]:[Unit of measure*]],MATCH($A$8&amp;$A56&amp;$E56&amp;$I56,INDEX(PMtbl[Sec]&amp;PMtbl[Category]&amp;PMtbl[INN]&amp;PMtbl[Specification],0,),0),8),""),"")</f>
        <v/>
      </c>
      <c r="M56" s="175" t="str">
        <f>IF(L56="", "",SETUP!$E$5)</f>
        <v/>
      </c>
      <c r="N56" s="857"/>
      <c r="O56" s="873"/>
      <c r="P56" s="873"/>
      <c r="Q56" s="873"/>
      <c r="R56" s="873"/>
      <c r="S56" s="469">
        <f>SUM('TB-EQUIPMENT &amp; OTHER HPs'!$O56:$R56)</f>
        <v>0</v>
      </c>
      <c r="T56" s="833">
        <f>'TB-EQUIPMENT &amp; OTHER HPs'!$N56*'TB-EQUIPMENT &amp; OTHER HPs'!$S56</f>
        <v>0</v>
      </c>
      <c r="U56" s="857"/>
      <c r="V56" s="873"/>
      <c r="W56" s="873"/>
      <c r="X56" s="873"/>
      <c r="Y56" s="873"/>
      <c r="Z56" s="469">
        <f>SUM('TB-EQUIPMENT &amp; OTHER HPs'!$V56:$Y56)</f>
        <v>0</v>
      </c>
      <c r="AA56" s="833">
        <f>'TB-EQUIPMENT &amp; OTHER HPs'!$U56*'TB-EQUIPMENT &amp; OTHER HPs'!$Z56</f>
        <v>0</v>
      </c>
      <c r="AB56" s="857"/>
      <c r="AC56" s="873"/>
      <c r="AD56" s="873"/>
      <c r="AE56" s="873"/>
      <c r="AF56" s="873"/>
      <c r="AG56" s="469">
        <f>SUM('TB-EQUIPMENT &amp; OTHER HPs'!$AC56:$AF56)</f>
        <v>0</v>
      </c>
      <c r="AH56" s="833">
        <f>'TB-EQUIPMENT &amp; OTHER HPs'!$AB56*'TB-EQUIPMENT &amp; OTHER HPs'!$AG56</f>
        <v>0</v>
      </c>
      <c r="AI56" s="470">
        <f>'TB-EQUIPMENT &amp; OTHER HPs'!$S56+'TB-EQUIPMENT &amp; OTHER HPs'!$Z56+'TB-EQUIPMENT &amp; OTHER HPs'!$AG56</f>
        <v>0</v>
      </c>
      <c r="AJ56" s="833">
        <f>'TB-EQUIPMENT &amp; OTHER HPs'!$T56+'TB-EQUIPMENT &amp; OTHER HPs'!$AA56+'TB-EQUIPMENT &amp; OTHER HPs'!$AH56</f>
        <v>0</v>
      </c>
      <c r="AK56" s="400" t="str">
        <f>IF(A56&lt;&gt;"",IFERROR(INDEX(PMtbl[[WKst]:[Unit of measure*]],MATCH($A$8&amp;$A56&amp;$E56&amp;$I56,INDEX(PMtbl[Sec]&amp;PMtbl[Category]&amp;PMtbl[INN]&amp;PMtbl[Specification],0,),0),7),""),"")</f>
        <v/>
      </c>
      <c r="AL56" s="946"/>
      <c r="AM56" s="1425" t="str">
        <f>IFERROR(INDEX(SETUP!$C$19:$G$62,MATCH((INDEX(PMtbl[[WKst]:[Unit of measure*]],MATCH($A56&amp;$E56&amp;$I56,INDEX(PMtbl[Category]&amp;PMtbl[INN]&amp;PMtbl[Specification],0,),0),3)),SETUP!$D$19:$D$62,0),5),"")</f>
        <v/>
      </c>
      <c r="AN56" s="1425"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62" s="198" customFormat="1">
      <c r="A57" s="2616"/>
      <c r="B57" s="2304"/>
      <c r="C57" s="2304"/>
      <c r="D57" s="2304"/>
      <c r="E57" s="2616"/>
      <c r="F57" s="2304"/>
      <c r="G57" s="2304"/>
      <c r="H57" s="2617"/>
      <c r="I57" s="2616"/>
      <c r="J57" s="2304"/>
      <c r="K57" s="2617"/>
      <c r="L57" s="176" t="str">
        <f>IF(A57&lt;&gt;"",IFERROR(INDEX(PMtbl[[WKst]:[Unit of measure*]],MATCH($A$8&amp;$A57&amp;$E57&amp;$I57,INDEX(PMtbl[Sec]&amp;PMtbl[Category]&amp;PMtbl[INN]&amp;PMtbl[Specification],0,),0),8),""),"")</f>
        <v/>
      </c>
      <c r="M57" s="177" t="str">
        <f>IF(L57="", "",SETUP!$E$5)</f>
        <v/>
      </c>
      <c r="N57" s="856"/>
      <c r="O57" s="12"/>
      <c r="P57" s="12"/>
      <c r="Q57" s="12"/>
      <c r="R57" s="12"/>
      <c r="S57" s="467">
        <f>SUM('TB-EQUIPMENT &amp; OTHER HPs'!$O57:$R57)</f>
        <v>0</v>
      </c>
      <c r="T57" s="832">
        <f>'TB-EQUIPMENT &amp; OTHER HPs'!$N57*'TB-EQUIPMENT &amp; OTHER HPs'!$S57</f>
        <v>0</v>
      </c>
      <c r="U57" s="856"/>
      <c r="V57" s="12"/>
      <c r="W57" s="12"/>
      <c r="X57" s="12"/>
      <c r="Y57" s="12"/>
      <c r="Z57" s="467">
        <f>SUM('TB-EQUIPMENT &amp; OTHER HPs'!$V57:$Y57)</f>
        <v>0</v>
      </c>
      <c r="AA57" s="832">
        <f>'TB-EQUIPMENT &amp; OTHER HPs'!$U57*'TB-EQUIPMENT &amp; OTHER HPs'!$Z57</f>
        <v>0</v>
      </c>
      <c r="AB57" s="856"/>
      <c r="AC57" s="12"/>
      <c r="AD57" s="12"/>
      <c r="AE57" s="12"/>
      <c r="AF57" s="12"/>
      <c r="AG57" s="467">
        <f>SUM('TB-EQUIPMENT &amp; OTHER HPs'!$AC57:$AF57)</f>
        <v>0</v>
      </c>
      <c r="AH57" s="832">
        <f>'TB-EQUIPMENT &amp; OTHER HPs'!$AB57*'TB-EQUIPMENT &amp; OTHER HPs'!$AG57</f>
        <v>0</v>
      </c>
      <c r="AI57" s="468">
        <f>'TB-EQUIPMENT &amp; OTHER HPs'!$S57+'TB-EQUIPMENT &amp; OTHER HPs'!$Z57+'TB-EQUIPMENT &amp; OTHER HPs'!$AG57</f>
        <v>0</v>
      </c>
      <c r="AJ57" s="832">
        <f>'TB-EQUIPMENT &amp; OTHER HPs'!$T57+'TB-EQUIPMENT &amp; OTHER HPs'!$AA57+'TB-EQUIPMENT &amp; OTHER HPs'!$AH57</f>
        <v>0</v>
      </c>
      <c r="AK57" s="397" t="str">
        <f>IF(A57&lt;&gt;"",IFERROR(INDEX(PMtbl[[WKst]:[Unit of measure*]],MATCH($A$8&amp;$A57&amp;$E57&amp;$I57,INDEX(PMtbl[Sec]&amp;PMtbl[Category]&amp;PMtbl[INN]&amp;PMtbl[Specification],0,),0),7),""),"")</f>
        <v/>
      </c>
      <c r="AL57" s="947"/>
      <c r="AM57" s="1424" t="str">
        <f>IFERROR(INDEX(SETUP!$C$19:$G$62,MATCH((INDEX(PMtbl[[WKst]:[Unit of measure*]],MATCH($A57&amp;$E57&amp;$I57,INDEX(PMtbl[Category]&amp;PMtbl[INN]&amp;PMtbl[Specification],0,),0),3)),SETUP!$D$19:$D$62,0),5),"")</f>
        <v/>
      </c>
      <c r="AN57" s="1424"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62" s="198" customFormat="1">
      <c r="A58" s="2610"/>
      <c r="B58" s="2611"/>
      <c r="C58" s="2611"/>
      <c r="D58" s="2611"/>
      <c r="E58" s="2610"/>
      <c r="F58" s="2611"/>
      <c r="G58" s="2611"/>
      <c r="H58" s="2612"/>
      <c r="I58" s="2610"/>
      <c r="J58" s="2611"/>
      <c r="K58" s="2612"/>
      <c r="L58" s="175" t="str">
        <f>IF(A58&lt;&gt;"",IFERROR(INDEX(PMtbl[[WKst]:[Unit of measure*]],MATCH($A$8&amp;$A58&amp;$E58&amp;$I58,INDEX(PMtbl[Sec]&amp;PMtbl[Category]&amp;PMtbl[INN]&amp;PMtbl[Specification],0,),0),8),""),"")</f>
        <v/>
      </c>
      <c r="M58" s="175" t="str">
        <f>IF(L58="", "",SETUP!$E$5)</f>
        <v/>
      </c>
      <c r="N58" s="857"/>
      <c r="O58" s="873"/>
      <c r="P58" s="873"/>
      <c r="Q58" s="873"/>
      <c r="R58" s="873"/>
      <c r="S58" s="469">
        <f>SUM('TB-EQUIPMENT &amp; OTHER HPs'!$O58:$R58)</f>
        <v>0</v>
      </c>
      <c r="T58" s="833">
        <f>'TB-EQUIPMENT &amp; OTHER HPs'!$N58*'TB-EQUIPMENT &amp; OTHER HPs'!$S58</f>
        <v>0</v>
      </c>
      <c r="U58" s="857"/>
      <c r="V58" s="873"/>
      <c r="W58" s="873"/>
      <c r="X58" s="873"/>
      <c r="Y58" s="873"/>
      <c r="Z58" s="469">
        <f>SUM('TB-EQUIPMENT &amp; OTHER HPs'!$V58:$Y58)</f>
        <v>0</v>
      </c>
      <c r="AA58" s="833">
        <f>'TB-EQUIPMENT &amp; OTHER HPs'!$U58*'TB-EQUIPMENT &amp; OTHER HPs'!$Z58</f>
        <v>0</v>
      </c>
      <c r="AB58" s="857"/>
      <c r="AC58" s="873"/>
      <c r="AD58" s="873"/>
      <c r="AE58" s="873"/>
      <c r="AF58" s="873"/>
      <c r="AG58" s="469">
        <f>SUM('TB-EQUIPMENT &amp; OTHER HPs'!$AC58:$AF58)</f>
        <v>0</v>
      </c>
      <c r="AH58" s="833">
        <f>'TB-EQUIPMENT &amp; OTHER HPs'!$AB58*'TB-EQUIPMENT &amp; OTHER HPs'!$AG58</f>
        <v>0</v>
      </c>
      <c r="AI58" s="470">
        <f>'TB-EQUIPMENT &amp; OTHER HPs'!$S58+'TB-EQUIPMENT &amp; OTHER HPs'!$Z58+'TB-EQUIPMENT &amp; OTHER HPs'!$AG58</f>
        <v>0</v>
      </c>
      <c r="AJ58" s="833">
        <f>'TB-EQUIPMENT &amp; OTHER HPs'!$T58+'TB-EQUIPMENT &amp; OTHER HPs'!$AA58+'TB-EQUIPMENT &amp; OTHER HPs'!$AH58</f>
        <v>0</v>
      </c>
      <c r="AK58" s="400" t="str">
        <f>IF(A58&lt;&gt;"",IFERROR(INDEX(PMtbl[[WKst]:[Unit of measure*]],MATCH($A$8&amp;$A58&amp;$E58&amp;$I58,INDEX(PMtbl[Sec]&amp;PMtbl[Category]&amp;PMtbl[INN]&amp;PMtbl[Specification],0,),0),7),""),"")</f>
        <v/>
      </c>
      <c r="AL58" s="946"/>
      <c r="AM58" s="1425" t="str">
        <f>IFERROR(INDEX(SETUP!$C$19:$G$62,MATCH((INDEX(PMtbl[[WKst]:[Unit of measure*]],MATCH($A58&amp;$E58&amp;$I58,INDEX(PMtbl[Category]&amp;PMtbl[INN]&amp;PMtbl[Specification],0,),0),3)),SETUP!$D$19:$D$62,0),5),"")</f>
        <v/>
      </c>
      <c r="AN58" s="1425"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62" s="198" customFormat="1">
      <c r="A59" s="2616"/>
      <c r="B59" s="2304"/>
      <c r="C59" s="2304"/>
      <c r="D59" s="2304"/>
      <c r="E59" s="2616"/>
      <c r="F59" s="2304"/>
      <c r="G59" s="2304"/>
      <c r="H59" s="2617"/>
      <c r="I59" s="2616"/>
      <c r="J59" s="2304"/>
      <c r="K59" s="2617"/>
      <c r="L59" s="176" t="str">
        <f>IF(A59&lt;&gt;"",IFERROR(INDEX(PMtbl[[WKst]:[Unit of measure*]],MATCH($A$8&amp;$A59&amp;$E59&amp;$I59,INDEX(PMtbl[Sec]&amp;PMtbl[Category]&amp;PMtbl[INN]&amp;PMtbl[Specification],0,),0),8),""),"")</f>
        <v/>
      </c>
      <c r="M59" s="177" t="str">
        <f>IF(L59="", "",SETUP!$E$5)</f>
        <v/>
      </c>
      <c r="N59" s="856"/>
      <c r="O59" s="12"/>
      <c r="P59" s="12"/>
      <c r="Q59" s="12"/>
      <c r="R59" s="12"/>
      <c r="S59" s="467">
        <f>SUM('TB-EQUIPMENT &amp; OTHER HPs'!$O59:$R59)</f>
        <v>0</v>
      </c>
      <c r="T59" s="832">
        <f>'TB-EQUIPMENT &amp; OTHER HPs'!$N59*'TB-EQUIPMENT &amp; OTHER HPs'!$S59</f>
        <v>0</v>
      </c>
      <c r="U59" s="856"/>
      <c r="V59" s="12"/>
      <c r="W59" s="12"/>
      <c r="X59" s="12"/>
      <c r="Y59" s="12"/>
      <c r="Z59" s="467">
        <f>SUM('TB-EQUIPMENT &amp; OTHER HPs'!$V59:$Y59)</f>
        <v>0</v>
      </c>
      <c r="AA59" s="832">
        <f>'TB-EQUIPMENT &amp; OTHER HPs'!$U59*'TB-EQUIPMENT &amp; OTHER HPs'!$Z59</f>
        <v>0</v>
      </c>
      <c r="AB59" s="856"/>
      <c r="AC59" s="12"/>
      <c r="AD59" s="12"/>
      <c r="AE59" s="12"/>
      <c r="AF59" s="12"/>
      <c r="AG59" s="467">
        <f>SUM('TB-EQUIPMENT &amp; OTHER HPs'!$AC59:$AF59)</f>
        <v>0</v>
      </c>
      <c r="AH59" s="832">
        <f>'TB-EQUIPMENT &amp; OTHER HPs'!$AB59*'TB-EQUIPMENT &amp; OTHER HPs'!$AG59</f>
        <v>0</v>
      </c>
      <c r="AI59" s="468">
        <f>'TB-EQUIPMENT &amp; OTHER HPs'!$S59+'TB-EQUIPMENT &amp; OTHER HPs'!$Z59+'TB-EQUIPMENT &amp; OTHER HPs'!$AG59</f>
        <v>0</v>
      </c>
      <c r="AJ59" s="832">
        <f>'TB-EQUIPMENT &amp; OTHER HPs'!$T59+'TB-EQUIPMENT &amp; OTHER HPs'!$AA59+'TB-EQUIPMENT &amp; OTHER HPs'!$AH59</f>
        <v>0</v>
      </c>
      <c r="AK59" s="397" t="str">
        <f>IF(A59&lt;&gt;"",IFERROR(INDEX(PMtbl[[WKst]:[Unit of measure*]],MATCH($A$8&amp;$A59&amp;$E59&amp;$I59,INDEX(PMtbl[Sec]&amp;PMtbl[Category]&amp;PMtbl[INN]&amp;PMtbl[Specification],0,),0),7),""),"")</f>
        <v/>
      </c>
      <c r="AL59" s="947"/>
      <c r="AM59" s="1424" t="str">
        <f>IFERROR(INDEX(SETUP!$C$19:$G$62,MATCH((INDEX(PMtbl[[WKst]:[Unit of measure*]],MATCH($A59&amp;$E59&amp;$I59,INDEX(PMtbl[Category]&amp;PMtbl[INN]&amp;PMtbl[Specification],0,),0),3)),SETUP!$D$19:$D$62,0),5),"")</f>
        <v/>
      </c>
      <c r="AN59" s="1424"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62" s="198" customFormat="1">
      <c r="A60" s="2610"/>
      <c r="B60" s="2611"/>
      <c r="C60" s="2611"/>
      <c r="D60" s="2611"/>
      <c r="E60" s="2610"/>
      <c r="F60" s="2611"/>
      <c r="G60" s="2611"/>
      <c r="H60" s="2612"/>
      <c r="I60" s="2610"/>
      <c r="J60" s="2611"/>
      <c r="K60" s="2612"/>
      <c r="L60" s="175" t="str">
        <f>IF(A60&lt;&gt;"",IFERROR(INDEX(PMtbl[[WKst]:[Unit of measure*]],MATCH($A$8&amp;$A60&amp;$E60&amp;$I60,INDEX(PMtbl[Sec]&amp;PMtbl[Category]&amp;PMtbl[INN]&amp;PMtbl[Specification],0,),0),8),""),"")</f>
        <v/>
      </c>
      <c r="M60" s="175" t="str">
        <f>IF(L60="", "",SETUP!$E$5)</f>
        <v/>
      </c>
      <c r="N60" s="857"/>
      <c r="O60" s="873"/>
      <c r="P60" s="873"/>
      <c r="Q60" s="873"/>
      <c r="R60" s="873"/>
      <c r="S60" s="469">
        <f>SUM('TB-EQUIPMENT &amp; OTHER HPs'!$O60:$R60)</f>
        <v>0</v>
      </c>
      <c r="T60" s="833">
        <f>'TB-EQUIPMENT &amp; OTHER HPs'!$N60*'TB-EQUIPMENT &amp; OTHER HPs'!$S60</f>
        <v>0</v>
      </c>
      <c r="U60" s="857"/>
      <c r="V60" s="873"/>
      <c r="W60" s="873"/>
      <c r="X60" s="873"/>
      <c r="Y60" s="873"/>
      <c r="Z60" s="469">
        <f>SUM('TB-EQUIPMENT &amp; OTHER HPs'!$V60:$Y60)</f>
        <v>0</v>
      </c>
      <c r="AA60" s="833">
        <f>'TB-EQUIPMENT &amp; OTHER HPs'!$U60*'TB-EQUIPMENT &amp; OTHER HPs'!$Z60</f>
        <v>0</v>
      </c>
      <c r="AB60" s="857"/>
      <c r="AC60" s="873"/>
      <c r="AD60" s="873"/>
      <c r="AE60" s="873"/>
      <c r="AF60" s="873"/>
      <c r="AG60" s="469">
        <f>SUM('TB-EQUIPMENT &amp; OTHER HPs'!$AC60:$AF60)</f>
        <v>0</v>
      </c>
      <c r="AH60" s="833">
        <f>'TB-EQUIPMENT &amp; OTHER HPs'!$AB60*'TB-EQUIPMENT &amp; OTHER HPs'!$AG60</f>
        <v>0</v>
      </c>
      <c r="AI60" s="470">
        <f>'TB-EQUIPMENT &amp; OTHER HPs'!$S60+'TB-EQUIPMENT &amp; OTHER HPs'!$Z60+'TB-EQUIPMENT &amp; OTHER HPs'!$AG60</f>
        <v>0</v>
      </c>
      <c r="AJ60" s="833">
        <f>'TB-EQUIPMENT &amp; OTHER HPs'!$T60+'TB-EQUIPMENT &amp; OTHER HPs'!$AA60+'TB-EQUIPMENT &amp; OTHER HPs'!$AH60</f>
        <v>0</v>
      </c>
      <c r="AK60" s="400" t="str">
        <f>IF(A60&lt;&gt;"",IFERROR(INDEX(PMtbl[[WKst]:[Unit of measure*]],MATCH($A$8&amp;$A60&amp;$E60&amp;$I60,INDEX(PMtbl[Sec]&amp;PMtbl[Category]&amp;PMtbl[INN]&amp;PMtbl[Specification],0,),0),7),""),"")</f>
        <v/>
      </c>
      <c r="AL60" s="946"/>
      <c r="AM60" s="1425" t="str">
        <f>IFERROR(INDEX(SETUP!$C$19:$G$62,MATCH((INDEX(PMtbl[[WKst]:[Unit of measure*]],MATCH($A60&amp;$E60&amp;$I60,INDEX(PMtbl[Category]&amp;PMtbl[INN]&amp;PMtbl[Specification],0,),0),3)),SETUP!$D$19:$D$62,0),5),"")</f>
        <v/>
      </c>
      <c r="AN60" s="1425"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62" s="198" customFormat="1" ht="15" thickBot="1">
      <c r="A61" s="2613"/>
      <c r="B61" s="2614"/>
      <c r="C61" s="2614"/>
      <c r="D61" s="2614"/>
      <c r="E61" s="2613"/>
      <c r="F61" s="2614"/>
      <c r="G61" s="2614"/>
      <c r="H61" s="2615"/>
      <c r="I61" s="2613"/>
      <c r="J61" s="2614"/>
      <c r="K61" s="2615"/>
      <c r="L61" s="178" t="str">
        <f>IF(A61&lt;&gt;"",IFERROR(INDEX(PMtbl[[WKst]:[Unit of measure*]],MATCH($A$8&amp;$A61&amp;$E61&amp;$I61,INDEX(PMtbl[Sec]&amp;PMtbl[Category]&amp;PMtbl[INN]&amp;PMtbl[Specification],0,),0),8),""),"")</f>
        <v/>
      </c>
      <c r="M61" s="179" t="str">
        <f>IF(L61="", "",SETUP!$E$5)</f>
        <v/>
      </c>
      <c r="N61" s="858"/>
      <c r="O61" s="874"/>
      <c r="P61" s="874"/>
      <c r="Q61" s="874"/>
      <c r="R61" s="874"/>
      <c r="S61" s="471">
        <f>SUM('TB-EQUIPMENT &amp; OTHER HPs'!$O61:$R61)</f>
        <v>0</v>
      </c>
      <c r="T61" s="834">
        <f>'TB-EQUIPMENT &amp; OTHER HPs'!$N61*'TB-EQUIPMENT &amp; OTHER HPs'!$S61</f>
        <v>0</v>
      </c>
      <c r="U61" s="858"/>
      <c r="V61" s="874"/>
      <c r="W61" s="874"/>
      <c r="X61" s="874"/>
      <c r="Y61" s="874"/>
      <c r="Z61" s="471">
        <f>SUM('TB-EQUIPMENT &amp; OTHER HPs'!$V61:$Y61)</f>
        <v>0</v>
      </c>
      <c r="AA61" s="834">
        <f>'TB-EQUIPMENT &amp; OTHER HPs'!$U61*'TB-EQUIPMENT &amp; OTHER HPs'!$Z61</f>
        <v>0</v>
      </c>
      <c r="AB61" s="858"/>
      <c r="AC61" s="874"/>
      <c r="AD61" s="874"/>
      <c r="AE61" s="874"/>
      <c r="AF61" s="874"/>
      <c r="AG61" s="471">
        <f>SUM('TB-EQUIPMENT &amp; OTHER HPs'!$AC61:$AF61)</f>
        <v>0</v>
      </c>
      <c r="AH61" s="834">
        <f>'TB-EQUIPMENT &amp; OTHER HPs'!$AB61*'TB-EQUIPMENT &amp; OTHER HPs'!$AG61</f>
        <v>0</v>
      </c>
      <c r="AI61" s="472">
        <f>'TB-EQUIPMENT &amp; OTHER HPs'!$S61+'TB-EQUIPMENT &amp; OTHER HPs'!$Z61+'TB-EQUIPMENT &amp; OTHER HPs'!$AG61</f>
        <v>0</v>
      </c>
      <c r="AJ61" s="834">
        <f>'TB-EQUIPMENT &amp; OTHER HPs'!$T61+'TB-EQUIPMENT &amp; OTHER HPs'!$AA61+'TB-EQUIPMENT &amp; OTHER HPs'!$AH61</f>
        <v>0</v>
      </c>
      <c r="AK61" s="473" t="str">
        <f>IF(A61&lt;&gt;"",IFERROR(INDEX(PMtbl[[WKst]:[Unit of measure*]],MATCH($A$8&amp;$A61&amp;$E61&amp;$I61,INDEX(PMtbl[Sec]&amp;PMtbl[Category]&amp;PMtbl[INN]&amp;PMtbl[Specification],0,),0),7),""),"")</f>
        <v/>
      </c>
      <c r="AL61" s="948"/>
      <c r="AM61" s="1426" t="str">
        <f>IFERROR(INDEX(SETUP!$C$19:$G$62,MATCH((INDEX(PMtbl[[WKst]:[Unit of measure*]],MATCH($A61&amp;$E61&amp;$I61,INDEX(PMtbl[Category]&amp;PMtbl[INN]&amp;PMtbl[Specification],0,),0),3)),SETUP!$D$19:$D$62,0),5),"")</f>
        <v/>
      </c>
      <c r="AN61" s="1426"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62" ht="15" thickBot="1">
      <c r="A62" s="154"/>
      <c r="B62" s="154"/>
      <c r="C62" s="154"/>
      <c r="D62" s="154"/>
      <c r="E62" s="154"/>
      <c r="F62" s="154"/>
      <c r="G62" s="154"/>
      <c r="H62" s="154"/>
      <c r="I62" s="154"/>
      <c r="J62" s="81"/>
      <c r="K62" s="81"/>
      <c r="L62" s="81"/>
      <c r="M62" s="81"/>
      <c r="N62" s="845"/>
      <c r="O62" s="875"/>
      <c r="P62" s="875"/>
      <c r="Q62" s="875"/>
      <c r="R62" s="875"/>
      <c r="S62" s="875"/>
      <c r="T62" s="845"/>
      <c r="U62" s="845"/>
      <c r="V62" s="875"/>
      <c r="W62" s="875"/>
      <c r="X62" s="875"/>
      <c r="Y62" s="875"/>
      <c r="Z62" s="875"/>
      <c r="AA62" s="845"/>
      <c r="AB62" s="845"/>
      <c r="AC62" s="875"/>
      <c r="AD62" s="875"/>
      <c r="AE62" s="875"/>
      <c r="AF62" s="875"/>
      <c r="AG62" s="885"/>
      <c r="AH62" s="845"/>
      <c r="AU62" s="198"/>
      <c r="AV62" s="198"/>
      <c r="AW62" s="198"/>
      <c r="AX62" s="198"/>
      <c r="AY62" s="198"/>
      <c r="AZ62" s="198"/>
      <c r="BA62" s="198"/>
      <c r="BB62" s="198"/>
      <c r="BC62" s="198"/>
      <c r="BD62" s="198"/>
      <c r="BE62" s="198"/>
      <c r="BF62" s="198"/>
      <c r="BG62" s="198"/>
      <c r="BH62" s="198"/>
      <c r="BI62" s="198"/>
      <c r="BJ62" s="198"/>
    </row>
    <row r="63" spans="1:62" ht="21" customHeight="1" thickBot="1">
      <c r="A63" s="2623">
        <v>2</v>
      </c>
      <c r="B63" s="2625" t="s">
        <v>298</v>
      </c>
      <c r="C63" s="2625"/>
      <c r="D63" s="2625"/>
      <c r="E63" s="2625"/>
      <c r="F63" s="157" t="s">
        <v>1386</v>
      </c>
      <c r="G63" s="158"/>
      <c r="H63" s="2592" t="s">
        <v>299</v>
      </c>
      <c r="I63" s="2592" t="s">
        <v>2534</v>
      </c>
      <c r="J63" s="2592" t="s">
        <v>295</v>
      </c>
      <c r="K63"/>
      <c r="M63" s="143"/>
      <c r="N63" s="767"/>
      <c r="O63" s="868"/>
      <c r="P63" s="868"/>
      <c r="Q63" s="868"/>
      <c r="R63" s="868"/>
      <c r="S63" s="868"/>
      <c r="T63" s="767"/>
      <c r="U63" s="767"/>
      <c r="V63" s="868"/>
      <c r="W63" s="868"/>
      <c r="X63" s="868"/>
      <c r="Y63" s="868"/>
      <c r="Z63" s="868"/>
      <c r="AA63" s="767"/>
      <c r="AB63" s="767"/>
      <c r="AC63" s="868"/>
      <c r="AD63" s="868"/>
      <c r="AE63" s="868"/>
      <c r="AF63" s="868"/>
      <c r="AG63" s="868"/>
      <c r="AH63" s="767"/>
      <c r="AU63" s="198"/>
      <c r="AV63" s="198"/>
      <c r="AW63" s="198"/>
      <c r="AX63" s="198"/>
      <c r="AY63" s="198"/>
      <c r="AZ63" s="198"/>
      <c r="BA63" s="198"/>
      <c r="BB63" s="198"/>
      <c r="BC63" s="198"/>
      <c r="BD63" s="198"/>
      <c r="BE63" s="198"/>
      <c r="BF63" s="198"/>
      <c r="BG63" s="198"/>
      <c r="BH63" s="198"/>
      <c r="BI63" s="198"/>
      <c r="BJ63" s="198"/>
    </row>
    <row r="64" spans="1:62" ht="19.5" customHeight="1" thickBot="1">
      <c r="A64" s="2624"/>
      <c r="B64" s="2626"/>
      <c r="C64" s="2626"/>
      <c r="D64" s="2626"/>
      <c r="E64" s="2626"/>
      <c r="F64" s="300" t="s">
        <v>1865</v>
      </c>
      <c r="G64" s="301"/>
      <c r="H64" s="2593"/>
      <c r="I64" s="2593"/>
      <c r="J64" s="2593"/>
      <c r="K64"/>
      <c r="M64" s="78"/>
      <c r="N64" s="767"/>
      <c r="O64" s="868"/>
      <c r="P64" s="868"/>
      <c r="Q64" s="868"/>
      <c r="R64" s="868"/>
      <c r="S64" s="868"/>
      <c r="T64" s="767"/>
      <c r="U64" s="767"/>
      <c r="V64" s="868"/>
      <c r="W64" s="868"/>
      <c r="X64" s="868"/>
      <c r="Y64" s="868"/>
      <c r="Z64" s="868"/>
      <c r="AA64" s="767"/>
      <c r="AB64" s="767"/>
      <c r="AC64" s="868"/>
      <c r="AD64" s="868"/>
      <c r="AE64" s="868"/>
      <c r="AF64" s="868"/>
      <c r="AG64" s="868"/>
      <c r="AH64" s="767"/>
      <c r="AW64" s="198"/>
      <c r="AX64" s="198"/>
      <c r="AY64" s="198"/>
      <c r="AZ64" s="198"/>
      <c r="BA64" s="198"/>
      <c r="BB64" s="198"/>
      <c r="BC64" s="198"/>
      <c r="BD64" s="198"/>
      <c r="BE64" s="198"/>
      <c r="BF64" s="198"/>
      <c r="BG64" s="198"/>
      <c r="BH64" s="198"/>
      <c r="BI64" s="198"/>
    </row>
    <row r="65" spans="1:62" ht="101.25" customHeight="1">
      <c r="A65" s="2348" t="str">
        <f>IF($L$1=2,Language!$E$472,IF($L$1=3,Language!$F$472,Language!$G$472))</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5" s="2349"/>
      <c r="C65" s="2349"/>
      <c r="D65" s="2349"/>
      <c r="E65" s="2349"/>
      <c r="F65" s="2349"/>
      <c r="G65" s="2349"/>
      <c r="H65" s="2349"/>
      <c r="I65" s="2349"/>
      <c r="J65" s="2349"/>
      <c r="K65" s="2349"/>
      <c r="L65" s="2349"/>
      <c r="M65" s="2350"/>
      <c r="N65" s="852"/>
      <c r="O65" s="869"/>
      <c r="P65" s="869"/>
      <c r="Q65" s="869"/>
      <c r="R65" s="869"/>
      <c r="S65" s="869"/>
      <c r="T65" s="852"/>
      <c r="U65" s="852"/>
      <c r="V65" s="869"/>
      <c r="W65" s="869"/>
      <c r="X65" s="869"/>
      <c r="Y65" s="869"/>
      <c r="Z65" s="869"/>
      <c r="AA65" s="852"/>
      <c r="AB65" s="852"/>
      <c r="AC65" s="869"/>
      <c r="AD65" s="869"/>
      <c r="AE65" s="869"/>
      <c r="AF65" s="869"/>
      <c r="AG65" s="869"/>
      <c r="AH65" s="846"/>
    </row>
    <row r="66" spans="1:62" ht="16" thickBot="1">
      <c r="A66" s="96"/>
      <c r="B66" s="114"/>
      <c r="C66" s="1506"/>
      <c r="D66" s="115"/>
      <c r="E66" s="115"/>
      <c r="F66" s="116"/>
      <c r="G66" s="116"/>
      <c r="H66" s="116"/>
      <c r="I66" s="116"/>
      <c r="J66" s="116"/>
      <c r="K66" s="116"/>
      <c r="L66" s="116"/>
      <c r="M66" s="116"/>
      <c r="N66" s="853"/>
      <c r="O66" s="870"/>
      <c r="P66" s="870"/>
      <c r="Q66" s="870"/>
      <c r="R66" s="870"/>
      <c r="S66" s="870"/>
      <c r="T66" s="853"/>
      <c r="U66" s="853"/>
      <c r="V66" s="870"/>
      <c r="W66" s="870"/>
      <c r="X66" s="870"/>
      <c r="Y66" s="870"/>
      <c r="Z66" s="870"/>
      <c r="AA66" s="853"/>
      <c r="AB66" s="853"/>
      <c r="AC66" s="870"/>
      <c r="AD66" s="870"/>
      <c r="AE66" s="870"/>
      <c r="AF66" s="870"/>
      <c r="AG66" s="870"/>
      <c r="AH66" s="846"/>
    </row>
    <row r="67" spans="1:62" s="268" customFormat="1" ht="15.75" customHeight="1" thickBot="1">
      <c r="A67" s="2645" t="str">
        <f t="shared" ref="A67:M67" si="71">A12</f>
        <v>Categoría</v>
      </c>
      <c r="B67" s="2645">
        <f t="shared" si="71"/>
        <v>0</v>
      </c>
      <c r="C67" s="2645">
        <f t="shared" si="71"/>
        <v>0</v>
      </c>
      <c r="D67" s="2645">
        <f t="shared" si="71"/>
        <v>0</v>
      </c>
      <c r="E67" s="2665" t="str">
        <f t="shared" si="71"/>
        <v>Tipo de producto</v>
      </c>
      <c r="F67" s="2645">
        <f t="shared" si="71"/>
        <v>0</v>
      </c>
      <c r="G67" s="2645">
        <f t="shared" si="71"/>
        <v>0</v>
      </c>
      <c r="H67" s="2745">
        <f t="shared" si="71"/>
        <v>0</v>
      </c>
      <c r="I67" s="2748" t="str">
        <f t="shared" si="71"/>
        <v xml:space="preserve">Especificaciones (denominación, características técnicas, tamaño del empaque) </v>
      </c>
      <c r="J67" s="2721">
        <f t="shared" si="71"/>
        <v>0</v>
      </c>
      <c r="K67" s="2749">
        <f t="shared" si="71"/>
        <v>0</v>
      </c>
      <c r="L67" s="2645" t="str">
        <f t="shared" si="71"/>
        <v>Unidad de medida</v>
      </c>
      <c r="M67" s="2646" t="str">
        <f t="shared" si="71"/>
        <v>Moneda de pago</v>
      </c>
      <c r="N67" s="2703">
        <f>N12</f>
        <v>2022</v>
      </c>
      <c r="O67" s="2704"/>
      <c r="P67" s="2704"/>
      <c r="Q67" s="2704"/>
      <c r="R67" s="2704"/>
      <c r="S67" s="2704"/>
      <c r="T67" s="2705"/>
      <c r="U67" s="2706">
        <f>U12</f>
        <v>2023</v>
      </c>
      <c r="V67" s="2707"/>
      <c r="W67" s="2707"/>
      <c r="X67" s="2707"/>
      <c r="Y67" s="2707"/>
      <c r="Z67" s="2707"/>
      <c r="AA67" s="2708"/>
      <c r="AB67" s="2709">
        <f>AB12</f>
        <v>2024</v>
      </c>
      <c r="AC67" s="2710"/>
      <c r="AD67" s="2710"/>
      <c r="AE67" s="2710"/>
      <c r="AF67" s="2710"/>
      <c r="AG67" s="2710"/>
      <c r="AH67" s="2711"/>
      <c r="AI67" s="2718" t="str">
        <f t="shared" ref="AI67:AJ67" si="72">AI12</f>
        <v>Total del período de subvención</v>
      </c>
      <c r="AJ67" s="2719">
        <f t="shared" si="72"/>
        <v>0</v>
      </c>
      <c r="AK67" s="453" t="str">
        <f>AK12</f>
        <v>Finanzas</v>
      </c>
      <c r="AL67" s="2712" t="str">
        <f>AL12</f>
        <v>Comentarios</v>
      </c>
      <c r="AM67" s="2608" t="str">
        <f>AM12</f>
        <v>Plazo de entrega</v>
      </c>
      <c r="AN67" s="2608" t="s">
        <v>3054</v>
      </c>
      <c r="AU67" s="62"/>
      <c r="AV67" s="62"/>
      <c r="AW67" s="62"/>
      <c r="AX67" s="62"/>
      <c r="AY67" s="62"/>
      <c r="AZ67" s="62"/>
      <c r="BA67" s="62"/>
      <c r="BB67" s="62"/>
      <c r="BC67" s="62"/>
      <c r="BD67" s="62"/>
      <c r="BE67" s="62"/>
      <c r="BF67" s="62"/>
      <c r="BG67" s="62"/>
      <c r="BH67" s="62"/>
      <c r="BI67" s="62"/>
      <c r="BJ67" s="62"/>
    </row>
    <row r="68" spans="1:62" s="323" customFormat="1" ht="26.5" thickBot="1">
      <c r="A68" s="2757">
        <f t="shared" ref="A68:M68" si="73">A13</f>
        <v>0</v>
      </c>
      <c r="B68" s="2757">
        <f t="shared" si="73"/>
        <v>0</v>
      </c>
      <c r="C68" s="2757">
        <f t="shared" si="73"/>
        <v>0</v>
      </c>
      <c r="D68" s="2757">
        <f t="shared" si="73"/>
        <v>0</v>
      </c>
      <c r="E68" s="2666">
        <f t="shared" si="73"/>
        <v>0</v>
      </c>
      <c r="F68" s="2757">
        <f t="shared" si="73"/>
        <v>0</v>
      </c>
      <c r="G68" s="2757">
        <f t="shared" si="73"/>
        <v>0</v>
      </c>
      <c r="H68" s="2758">
        <f t="shared" si="73"/>
        <v>0</v>
      </c>
      <c r="I68" s="2750">
        <f t="shared" si="73"/>
        <v>0</v>
      </c>
      <c r="J68" s="2751">
        <f t="shared" si="73"/>
        <v>0</v>
      </c>
      <c r="K68" s="2752">
        <f t="shared" si="73"/>
        <v>0</v>
      </c>
      <c r="L68" s="2743">
        <f t="shared" si="73"/>
        <v>0</v>
      </c>
      <c r="M68" s="2720">
        <f t="shared" si="73"/>
        <v>0</v>
      </c>
      <c r="N68" s="854" t="str">
        <f t="shared" ref="N68:AH68" si="74">N13</f>
        <v>Costo unitario del A1</v>
      </c>
      <c r="O68" s="871" t="str">
        <f t="shared" si="74"/>
        <v>Cantidad del A1, T1</v>
      </c>
      <c r="P68" s="871" t="str">
        <f t="shared" si="74"/>
        <v>Cantidad del A1, T2</v>
      </c>
      <c r="Q68" s="871" t="str">
        <f t="shared" si="74"/>
        <v>Cantidad del A1, T3</v>
      </c>
      <c r="R68" s="871" t="str">
        <f t="shared" si="74"/>
        <v>Cantidad del A1, T4</v>
      </c>
      <c r="S68" s="871" t="str">
        <f t="shared" si="74"/>
        <v>Cantidad total del A1</v>
      </c>
      <c r="T68" s="830" t="str">
        <f t="shared" si="74"/>
        <v>Costo total del A1</v>
      </c>
      <c r="U68" s="854" t="str">
        <f t="shared" si="74"/>
        <v>Costo unitario del A2</v>
      </c>
      <c r="V68" s="871" t="str">
        <f t="shared" si="74"/>
        <v>Cantidad del A2, T1</v>
      </c>
      <c r="W68" s="871" t="str">
        <f t="shared" si="74"/>
        <v>Cantidad del A2, T2</v>
      </c>
      <c r="X68" s="871" t="str">
        <f t="shared" si="74"/>
        <v>Cantidad del A2, T3</v>
      </c>
      <c r="Y68" s="871" t="str">
        <f t="shared" si="74"/>
        <v>Cantidad del A2, T4</v>
      </c>
      <c r="Z68" s="871" t="str">
        <f t="shared" si="74"/>
        <v>Cantidad total del A2</v>
      </c>
      <c r="AA68" s="830" t="str">
        <f t="shared" si="74"/>
        <v>Costo total del A2</v>
      </c>
      <c r="AB68" s="854" t="str">
        <f t="shared" si="74"/>
        <v>Costo unitario del A3</v>
      </c>
      <c r="AC68" s="871" t="str">
        <f t="shared" si="74"/>
        <v>Cantidad del A3, T1</v>
      </c>
      <c r="AD68" s="871" t="str">
        <f t="shared" si="74"/>
        <v>Cantidad del A3, T2</v>
      </c>
      <c r="AE68" s="871" t="str">
        <f t="shared" si="74"/>
        <v>Cantidad del A3, T3</v>
      </c>
      <c r="AF68" s="871" t="str">
        <f t="shared" si="74"/>
        <v>Cantidad del A3, T4</v>
      </c>
      <c r="AG68" s="871" t="str">
        <f t="shared" si="74"/>
        <v>Cantidad total del A3</v>
      </c>
      <c r="AH68" s="830" t="str">
        <f t="shared" si="74"/>
        <v>Costo total del A3</v>
      </c>
      <c r="AI68" s="887" t="str">
        <f>AI13</f>
        <v>Cantidad total</v>
      </c>
      <c r="AJ68" s="830" t="str">
        <f>AJ13</f>
        <v xml:space="preserve">Costo total </v>
      </c>
      <c r="AK68" s="389" t="str">
        <f>AK13</f>
        <v>Categoría de costos</v>
      </c>
      <c r="AL68" s="2713"/>
      <c r="AM68" s="2609"/>
      <c r="AN68" s="2609"/>
      <c r="AU68" s="62"/>
      <c r="AV68" s="62"/>
      <c r="AW68" s="62"/>
      <c r="AX68" s="62"/>
      <c r="AY68" s="62"/>
      <c r="AZ68" s="62"/>
      <c r="BA68" s="62"/>
      <c r="BB68" s="62"/>
      <c r="BC68" s="62"/>
      <c r="BD68" s="62"/>
      <c r="BE68" s="62"/>
      <c r="BF68" s="62"/>
      <c r="BG68" s="62"/>
      <c r="BH68" s="62"/>
      <c r="BI68" s="62"/>
      <c r="BJ68" s="62"/>
    </row>
    <row r="69" spans="1:62" s="1128" customFormat="1">
      <c r="A69" s="2611"/>
      <c r="B69" s="2611"/>
      <c r="C69" s="2611"/>
      <c r="D69" s="2611"/>
      <c r="E69" s="2656"/>
      <c r="F69" s="2657"/>
      <c r="G69" s="2657"/>
      <c r="H69" s="2753"/>
      <c r="I69" s="2754"/>
      <c r="J69" s="2755"/>
      <c r="K69" s="2756"/>
      <c r="L69" s="1130" t="str">
        <f>IF(A69&lt;&gt;"",IFERROR(INDEX(PMtbl[[WKst]:[Unit of measure*]],MATCH($A$63&amp;$A69&amp;$E69&amp;$I69,INDEX(PMtbl[Sec]&amp;PMtbl[Category]&amp;PMtbl[INN]&amp;PMtbl[Specification],0,),0),8),""),"")</f>
        <v/>
      </c>
      <c r="M69" s="1130" t="str">
        <f>IF(L69="", "",SETUP!$E$5)</f>
        <v/>
      </c>
      <c r="N69" s="859"/>
      <c r="O69" s="876"/>
      <c r="P69" s="876"/>
      <c r="Q69" s="876"/>
      <c r="R69" s="876"/>
      <c r="S69" s="474">
        <f>SUM('TB-EQUIPMENT &amp; OTHER HPs'!$O69:$R69)</f>
        <v>0</v>
      </c>
      <c r="T69" s="837">
        <f>'TB-EQUIPMENT &amp; OTHER HPs'!$N69*'TB-EQUIPMENT &amp; OTHER HPs'!$S69</f>
        <v>0</v>
      </c>
      <c r="U69" s="859"/>
      <c r="V69" s="876"/>
      <c r="W69" s="876"/>
      <c r="X69" s="876"/>
      <c r="Y69" s="876"/>
      <c r="Z69" s="474">
        <f>SUM('TB-EQUIPMENT &amp; OTHER HPs'!$V69:$Y69)</f>
        <v>0</v>
      </c>
      <c r="AA69" s="837">
        <f>'TB-EQUIPMENT &amp; OTHER HPs'!$U69*'TB-EQUIPMENT &amp; OTHER HPs'!$Z69</f>
        <v>0</v>
      </c>
      <c r="AB69" s="859"/>
      <c r="AC69" s="876"/>
      <c r="AD69" s="876"/>
      <c r="AE69" s="876"/>
      <c r="AF69" s="876"/>
      <c r="AG69" s="474">
        <f>SUM('TB-EQUIPMENT &amp; OTHER HPs'!$AC69:$AF69)</f>
        <v>0</v>
      </c>
      <c r="AH69" s="837">
        <f>'TB-EQUIPMENT &amp; OTHER HPs'!$AB69*'TB-EQUIPMENT &amp; OTHER HPs'!$AG69</f>
        <v>0</v>
      </c>
      <c r="AI69" s="475">
        <f>'TB-EQUIPMENT &amp; OTHER HPs'!$S69+'TB-EQUIPMENT &amp; OTHER HPs'!$Z69+'TB-EQUIPMENT &amp; OTHER HPs'!$AG69</f>
        <v>0</v>
      </c>
      <c r="AJ69" s="835">
        <f>'TB-EQUIPMENT &amp; OTHER HPs'!$T69+'TB-EQUIPMENT &amp; OTHER HPs'!$AA69+'TB-EQUIPMENT &amp; OTHER HPs'!$AH69</f>
        <v>0</v>
      </c>
      <c r="AK69" s="1131" t="str">
        <f>IF(A69&lt;&gt;"",IFERROR(INDEX(PMtbl[[WKst]:[Unit of measure*]],MATCH($A$63&amp;$A69&amp;$E69&amp;$I69,INDEX(PMtbl[Sec]&amp;PMtbl[Category]&amp;PMtbl[INN]&amp;PMtbl[Specification],0,),0),7),""),"")</f>
        <v/>
      </c>
      <c r="AL69" s="952"/>
      <c r="AM69" s="1427" t="str">
        <f>IFERROR(INDEX(SETUP!$C$19:$G$62,MATCH((INDEX(PMtbl[[WKst]:[Unit of measure*]],MATCH($A69&amp;$E69&amp;$I69,INDEX(PMtbl[Category]&amp;PMtbl[INN]&amp;PMtbl[Specification],0,),0),3)),SETUP!$D$19:$D$62,0),5),"")</f>
        <v/>
      </c>
      <c r="AN69" s="1427"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c r="AU69" s="268"/>
      <c r="AV69" s="268"/>
      <c r="AW69" s="62"/>
      <c r="AX69" s="62"/>
      <c r="AY69" s="62"/>
      <c r="AZ69" s="62"/>
      <c r="BA69" s="62"/>
      <c r="BB69" s="62"/>
      <c r="BC69" s="62"/>
      <c r="BD69" s="62"/>
      <c r="BE69" s="62"/>
      <c r="BF69" s="62"/>
      <c r="BG69" s="62"/>
      <c r="BH69" s="62"/>
      <c r="BI69" s="62"/>
      <c r="BJ69" s="268"/>
    </row>
    <row r="70" spans="1:62" s="1128" customFormat="1">
      <c r="A70" s="2435"/>
      <c r="B70" s="2435"/>
      <c r="C70" s="2435"/>
      <c r="D70" s="2726"/>
      <c r="E70" s="2725"/>
      <c r="F70" s="2476"/>
      <c r="G70" s="2476"/>
      <c r="H70" s="2726"/>
      <c r="I70" s="2727"/>
      <c r="J70" s="2730"/>
      <c r="K70" s="2729"/>
      <c r="L70" s="1133" t="str">
        <f>IF(A70&lt;&gt;"",IFERROR(INDEX(PMtbl[[WKst]:[Unit of measure*]],MATCH($A$63&amp;$A70&amp;$E70&amp;$I70,INDEX(PMtbl[Sec]&amp;PMtbl[Category]&amp;PMtbl[INN]&amp;PMtbl[Specification],0,),0),8),""),"")</f>
        <v/>
      </c>
      <c r="M70" s="1133" t="str">
        <f>IF(L70="", "",SETUP!$E$5)</f>
        <v/>
      </c>
      <c r="N70" s="856"/>
      <c r="O70" s="12"/>
      <c r="P70" s="12"/>
      <c r="Q70" s="12"/>
      <c r="R70" s="12"/>
      <c r="S70" s="467">
        <f>SUM('TB-EQUIPMENT &amp; OTHER HPs'!$O70:$R70)</f>
        <v>0</v>
      </c>
      <c r="T70" s="832">
        <f>'TB-EQUIPMENT &amp; OTHER HPs'!$N70*'TB-EQUIPMENT &amp; OTHER HPs'!$S70</f>
        <v>0</v>
      </c>
      <c r="U70" s="856"/>
      <c r="V70" s="12"/>
      <c r="W70" s="12"/>
      <c r="X70" s="12"/>
      <c r="Y70" s="12"/>
      <c r="Z70" s="467">
        <f>SUM('TB-EQUIPMENT &amp; OTHER HPs'!$V70:$Y70)</f>
        <v>0</v>
      </c>
      <c r="AA70" s="832">
        <f>'TB-EQUIPMENT &amp; OTHER HPs'!$U70*'TB-EQUIPMENT &amp; OTHER HPs'!$Z70</f>
        <v>0</v>
      </c>
      <c r="AB70" s="856"/>
      <c r="AC70" s="12"/>
      <c r="AD70" s="12"/>
      <c r="AE70" s="12"/>
      <c r="AF70" s="12"/>
      <c r="AG70" s="467">
        <f>SUM('TB-EQUIPMENT &amp; OTHER HPs'!$AC70:$AF70)</f>
        <v>0</v>
      </c>
      <c r="AH70" s="832">
        <f>'TB-EQUIPMENT &amp; OTHER HPs'!$AB70*'TB-EQUIPMENT &amp; OTHER HPs'!$AG70</f>
        <v>0</v>
      </c>
      <c r="AI70" s="476">
        <f>'TB-EQUIPMENT &amp; OTHER HPs'!$S70+'TB-EQUIPMENT &amp; OTHER HPs'!$Z70+'TB-EQUIPMENT &amp; OTHER HPs'!$AG70</f>
        <v>0</v>
      </c>
      <c r="AJ70" s="797">
        <f>'TB-EQUIPMENT &amp; OTHER HPs'!$T70+'TB-EQUIPMENT &amp; OTHER HPs'!$AA70+'TB-EQUIPMENT &amp; OTHER HPs'!$AH70</f>
        <v>0</v>
      </c>
      <c r="AK70" s="1134" t="str">
        <f>IF(A70&lt;&gt;"",IFERROR(INDEX(PMtbl[[WKst]:[Unit of measure*]],MATCH($A$63&amp;$A70&amp;$E70&amp;$I70,INDEX(PMtbl[Sec]&amp;PMtbl[Category]&amp;PMtbl[INN]&amp;PMtbl[Specification],0,),0),7),""),"")</f>
        <v/>
      </c>
      <c r="AL70" s="947"/>
      <c r="AM70" s="1428" t="str">
        <f>IFERROR(INDEX(SETUP!$C$19:$G$62,MATCH((INDEX(PMtbl[[WKst]:[Unit of measure*]],MATCH($A70&amp;$E70&amp;$I70,INDEX(PMtbl[Category]&amp;PMtbl[INN]&amp;PMtbl[Specification],0,),0),3)),SETUP!$D$19:$D$62,0),5),"")</f>
        <v/>
      </c>
      <c r="AN70" s="1428"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c r="AU70" s="323"/>
      <c r="AV70" s="323"/>
      <c r="AW70" s="268"/>
      <c r="AX70" s="268"/>
      <c r="AY70" s="268"/>
      <c r="AZ70" s="268"/>
      <c r="BA70" s="268"/>
      <c r="BB70" s="268"/>
      <c r="BC70" s="268"/>
      <c r="BD70" s="268"/>
      <c r="BE70" s="268"/>
      <c r="BF70" s="268"/>
      <c r="BG70" s="268"/>
      <c r="BH70" s="268"/>
      <c r="BI70" s="268"/>
      <c r="BJ70" s="323"/>
    </row>
    <row r="71" spans="1:62" s="1128" customFormat="1">
      <c r="A71" s="2611"/>
      <c r="B71" s="2611"/>
      <c r="C71" s="2611"/>
      <c r="D71" s="2611"/>
      <c r="E71" s="2610"/>
      <c r="F71" s="2618"/>
      <c r="G71" s="2618"/>
      <c r="H71" s="2612"/>
      <c r="I71" s="2722"/>
      <c r="J71" s="2723"/>
      <c r="K71" s="2724"/>
      <c r="L71" s="1124" t="str">
        <f>IF(A71&lt;&gt;"",IFERROR(INDEX(PMtbl[[WKst]:[Unit of measure*]],MATCH($A$63&amp;$A71&amp;$E71&amp;$I71,INDEX(PMtbl[Sec]&amp;PMtbl[Category]&amp;PMtbl[INN]&amp;PMtbl[Specification],0,),0),8),""),"")</f>
        <v/>
      </c>
      <c r="M71" s="1124" t="str">
        <f>IF(L71="", "",SETUP!$E$5)</f>
        <v/>
      </c>
      <c r="N71" s="857"/>
      <c r="O71" s="873"/>
      <c r="P71" s="873"/>
      <c r="Q71" s="873"/>
      <c r="R71" s="873"/>
      <c r="S71" s="469">
        <f>SUM('TB-EQUIPMENT &amp; OTHER HPs'!$O71:$R71)</f>
        <v>0</v>
      </c>
      <c r="T71" s="833">
        <f>'TB-EQUIPMENT &amp; OTHER HPs'!$N71*'TB-EQUIPMENT &amp; OTHER HPs'!$S71</f>
        <v>0</v>
      </c>
      <c r="U71" s="857"/>
      <c r="V71" s="873"/>
      <c r="W71" s="873"/>
      <c r="X71" s="873"/>
      <c r="Y71" s="873"/>
      <c r="Z71" s="469">
        <f>SUM('TB-EQUIPMENT &amp; OTHER HPs'!$V71:$Y71)</f>
        <v>0</v>
      </c>
      <c r="AA71" s="833">
        <f>'TB-EQUIPMENT &amp; OTHER HPs'!$U71*'TB-EQUIPMENT &amp; OTHER HPs'!$Z71</f>
        <v>0</v>
      </c>
      <c r="AB71" s="857"/>
      <c r="AC71" s="873"/>
      <c r="AD71" s="873"/>
      <c r="AE71" s="873"/>
      <c r="AF71" s="873"/>
      <c r="AG71" s="469">
        <f>SUM('TB-EQUIPMENT &amp; OTHER HPs'!$AC71:$AF71)</f>
        <v>0</v>
      </c>
      <c r="AH71" s="833">
        <f>'TB-EQUIPMENT &amp; OTHER HPs'!$AB71*'TB-EQUIPMENT &amp; OTHER HPs'!$AG71</f>
        <v>0</v>
      </c>
      <c r="AI71" s="477">
        <f>'TB-EQUIPMENT &amp; OTHER HPs'!$S71+'TB-EQUIPMENT &amp; OTHER HPs'!$Z71+'TB-EQUIPMENT &amp; OTHER HPs'!$AG71</f>
        <v>0</v>
      </c>
      <c r="AJ71" s="798">
        <f>'TB-EQUIPMENT &amp; OTHER HPs'!$T71+'TB-EQUIPMENT &amp; OTHER HPs'!$AA71+'TB-EQUIPMENT &amp; OTHER HPs'!$AH71</f>
        <v>0</v>
      </c>
      <c r="AK71" s="1135" t="str">
        <f>IF(A71&lt;&gt;"",IFERROR(INDEX(PMtbl[[WKst]:[Unit of measure*]],MATCH($A$63&amp;$A71&amp;$E71&amp;$I71,INDEX(PMtbl[Sec]&amp;PMtbl[Category]&amp;PMtbl[INN]&amp;PMtbl[Specification],0,),0),7),""),"")</f>
        <v/>
      </c>
      <c r="AL71" s="946"/>
      <c r="AM71" s="1427" t="str">
        <f>IFERROR(INDEX(SETUP!$C$19:$G$62,MATCH((INDEX(PMtbl[[WKst]:[Unit of measure*]],MATCH($A71&amp;$E71&amp;$I71,INDEX(PMtbl[Category]&amp;PMtbl[INN]&amp;PMtbl[Specification],0,),0),3)),SETUP!$D$19:$D$62,0),5),"")</f>
        <v/>
      </c>
      <c r="AN71" s="1427"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c r="AW71" s="1132"/>
      <c r="AX71" s="1132"/>
      <c r="AY71" s="1132"/>
      <c r="AZ71" s="1132"/>
      <c r="BA71" s="1132"/>
      <c r="BB71" s="1132"/>
      <c r="BC71" s="1132"/>
      <c r="BD71" s="1132"/>
      <c r="BE71" s="1132"/>
      <c r="BF71" s="1132"/>
      <c r="BG71" s="1132"/>
      <c r="BH71" s="1132"/>
      <c r="BI71" s="1132"/>
    </row>
    <row r="72" spans="1:62" s="198" customFormat="1">
      <c r="A72" s="2435"/>
      <c r="B72" s="2435"/>
      <c r="C72" s="2435"/>
      <c r="D72" s="2726"/>
      <c r="E72" s="2725"/>
      <c r="F72" s="2435"/>
      <c r="G72" s="2435"/>
      <c r="H72" s="2726"/>
      <c r="I72" s="2727"/>
      <c r="J72" s="2728"/>
      <c r="K72" s="2729"/>
      <c r="L72" s="176" t="str">
        <f>IF(A72&lt;&gt;"",IFERROR(INDEX(PMtbl[[WKst]:[Unit of measure*]],MATCH($A$63&amp;$A72&amp;$E72&amp;$I72,INDEX(PMtbl[Sec]&amp;PMtbl[Category]&amp;PMtbl[INN]&amp;PMtbl[Specification],0,),0),8),""),"")</f>
        <v/>
      </c>
      <c r="M72" s="177" t="str">
        <f>IF(L72="", "",SETUP!$E$5)</f>
        <v/>
      </c>
      <c r="N72" s="856"/>
      <c r="O72" s="12"/>
      <c r="P72" s="12"/>
      <c r="Q72" s="12"/>
      <c r="R72" s="12"/>
      <c r="S72" s="467">
        <f>SUM('TB-EQUIPMENT &amp; OTHER HPs'!$O72:$R72)</f>
        <v>0</v>
      </c>
      <c r="T72" s="832">
        <f>'TB-EQUIPMENT &amp; OTHER HPs'!$N72*'TB-EQUIPMENT &amp; OTHER HPs'!$S72</f>
        <v>0</v>
      </c>
      <c r="U72" s="856"/>
      <c r="V72" s="12"/>
      <c r="W72" s="12"/>
      <c r="X72" s="12"/>
      <c r="Y72" s="12"/>
      <c r="Z72" s="467">
        <f>SUM('TB-EQUIPMENT &amp; OTHER HPs'!$V72:$Y72)</f>
        <v>0</v>
      </c>
      <c r="AA72" s="832">
        <f>'TB-EQUIPMENT &amp; OTHER HPs'!$U72*'TB-EQUIPMENT &amp; OTHER HPs'!$Z72</f>
        <v>0</v>
      </c>
      <c r="AB72" s="856"/>
      <c r="AC72" s="12"/>
      <c r="AD72" s="12"/>
      <c r="AE72" s="12"/>
      <c r="AF72" s="12"/>
      <c r="AG72" s="467">
        <f>SUM('TB-EQUIPMENT &amp; OTHER HPs'!$AC72:$AF72)</f>
        <v>0</v>
      </c>
      <c r="AH72" s="832">
        <f>'TB-EQUIPMENT &amp; OTHER HPs'!$AB72*'TB-EQUIPMENT &amp; OTHER HPs'!$AG72</f>
        <v>0</v>
      </c>
      <c r="AI72" s="476">
        <f>'TB-EQUIPMENT &amp; OTHER HPs'!$S72+'TB-EQUIPMENT &amp; OTHER HPs'!$Z72+'TB-EQUIPMENT &amp; OTHER HPs'!$AG72</f>
        <v>0</v>
      </c>
      <c r="AJ72" s="797">
        <f>'TB-EQUIPMENT &amp; OTHER HPs'!$T72+'TB-EQUIPMENT &amp; OTHER HPs'!$AA72+'TB-EQUIPMENT &amp; OTHER HPs'!$AH72</f>
        <v>0</v>
      </c>
      <c r="AK72" s="479" t="str">
        <f>IF(A72&lt;&gt;"",IFERROR(INDEX(PMtbl[[WKst]:[Unit of measure*]],MATCH($A$63&amp;$A72&amp;$E72&amp;$I72,INDEX(PMtbl[Sec]&amp;PMtbl[Category]&amp;PMtbl[INN]&amp;PMtbl[Specification],0,),0),7),""),"")</f>
        <v/>
      </c>
      <c r="AL72" s="950"/>
      <c r="AM72" s="1429" t="str">
        <f>IFERROR(INDEX(SETUP!$C$19:$G$62,MATCH((INDEX(PMtbl[[WKst]:[Unit of measure*]],MATCH($A72&amp;$E72&amp;$I72,INDEX(PMtbl[Category]&amp;PMtbl[INN]&amp;PMtbl[Specification],0,),0),3)),SETUP!$D$19:$D$62,0),5),"")</f>
        <v/>
      </c>
      <c r="AN72" s="1429"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c r="AU72" s="1128"/>
      <c r="AV72" s="1128"/>
      <c r="AW72" s="1128"/>
      <c r="AX72" s="1128"/>
      <c r="AY72" s="1128"/>
      <c r="AZ72" s="1128"/>
      <c r="BA72" s="1128"/>
      <c r="BB72" s="1128"/>
      <c r="BC72" s="1128"/>
      <c r="BD72" s="1128"/>
      <c r="BE72" s="1128"/>
      <c r="BF72" s="1128"/>
      <c r="BG72" s="1128"/>
      <c r="BH72" s="1128"/>
      <c r="BI72" s="1128"/>
      <c r="BJ72" s="1128"/>
    </row>
    <row r="73" spans="1:62" s="198" customFormat="1">
      <c r="A73" s="2611"/>
      <c r="B73" s="2611"/>
      <c r="C73" s="2611"/>
      <c r="D73" s="2611"/>
      <c r="E73" s="2610"/>
      <c r="F73" s="2611"/>
      <c r="G73" s="2611"/>
      <c r="H73" s="2612"/>
      <c r="I73" s="2722"/>
      <c r="J73" s="2734"/>
      <c r="K73" s="2724"/>
      <c r="L73" s="175" t="str">
        <f>IF(A73&lt;&gt;"",IFERROR(INDEX(PMtbl[[WKst]:[Unit of measure*]],MATCH($A$63&amp;$A73&amp;$E73&amp;$I73,INDEX(PMtbl[Sec]&amp;PMtbl[Category]&amp;PMtbl[INN]&amp;PMtbl[Specification],0,),0),8),""),"")</f>
        <v/>
      </c>
      <c r="M73" s="175" t="str">
        <f>IF(L73="", "",SETUP!$E$5)</f>
        <v/>
      </c>
      <c r="N73" s="857"/>
      <c r="O73" s="873"/>
      <c r="P73" s="873"/>
      <c r="Q73" s="873"/>
      <c r="R73" s="873"/>
      <c r="S73" s="469">
        <f>SUM('TB-EQUIPMENT &amp; OTHER HPs'!$O73:$R73)</f>
        <v>0</v>
      </c>
      <c r="T73" s="833">
        <f>'TB-EQUIPMENT &amp; OTHER HPs'!$N73*'TB-EQUIPMENT &amp; OTHER HPs'!$S73</f>
        <v>0</v>
      </c>
      <c r="U73" s="857"/>
      <c r="V73" s="873"/>
      <c r="W73" s="873"/>
      <c r="X73" s="873"/>
      <c r="Y73" s="873"/>
      <c r="Z73" s="469">
        <f>SUM('TB-EQUIPMENT &amp; OTHER HPs'!$V73:$Y73)</f>
        <v>0</v>
      </c>
      <c r="AA73" s="833">
        <f>'TB-EQUIPMENT &amp; OTHER HPs'!$U73*'TB-EQUIPMENT &amp; OTHER HPs'!$Z73</f>
        <v>0</v>
      </c>
      <c r="AB73" s="857"/>
      <c r="AC73" s="873"/>
      <c r="AD73" s="873"/>
      <c r="AE73" s="873"/>
      <c r="AF73" s="873"/>
      <c r="AG73" s="469">
        <f>SUM('TB-EQUIPMENT &amp; OTHER HPs'!$AC73:$AF73)</f>
        <v>0</v>
      </c>
      <c r="AH73" s="833">
        <f>'TB-EQUIPMENT &amp; OTHER HPs'!$AB73*'TB-EQUIPMENT &amp; OTHER HPs'!$AG73</f>
        <v>0</v>
      </c>
      <c r="AI73" s="477">
        <f>'TB-EQUIPMENT &amp; OTHER HPs'!$S73+'TB-EQUIPMENT &amp; OTHER HPs'!$Z73+'TB-EQUIPMENT &amp; OTHER HPs'!$AG73</f>
        <v>0</v>
      </c>
      <c r="AJ73" s="798">
        <f>'TB-EQUIPMENT &amp; OTHER HPs'!$T73+'TB-EQUIPMENT &amp; OTHER HPs'!$AA73+'TB-EQUIPMENT &amp; OTHER HPs'!$AH73</f>
        <v>0</v>
      </c>
      <c r="AK73" s="478" t="str">
        <f>IF(A73&lt;&gt;"",IFERROR(INDEX(PMtbl[[WKst]:[Unit of measure*]],MATCH($A$63&amp;$A73&amp;$E73&amp;$I73,INDEX(PMtbl[Sec]&amp;PMtbl[Category]&amp;PMtbl[INN]&amp;PMtbl[Specification],0,),0),7),""),"")</f>
        <v/>
      </c>
      <c r="AL73" s="949"/>
      <c r="AM73" s="1430" t="str">
        <f>IFERROR(INDEX(SETUP!$C$19:$G$62,MATCH((INDEX(PMtbl[[WKst]:[Unit of measure*]],MATCH($A73&amp;$E73&amp;$I73,INDEX(PMtbl[Category]&amp;PMtbl[INN]&amp;PMtbl[Specification],0,),0),3)),SETUP!$D$19:$D$62,0),5),"")</f>
        <v/>
      </c>
      <c r="AN73" s="143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c r="AU73" s="1128"/>
      <c r="AV73" s="1128"/>
      <c r="AW73" s="1128"/>
      <c r="AX73" s="1128"/>
      <c r="AY73" s="1128"/>
      <c r="AZ73" s="1128"/>
      <c r="BA73" s="1128"/>
      <c r="BB73" s="1128"/>
      <c r="BC73" s="1128"/>
      <c r="BD73" s="1128"/>
      <c r="BE73" s="1128"/>
      <c r="BF73" s="1128"/>
      <c r="BG73" s="1128"/>
      <c r="BH73" s="1128"/>
      <c r="BI73" s="1128"/>
      <c r="BJ73" s="1128"/>
    </row>
    <row r="74" spans="1:62" s="198" customFormat="1">
      <c r="A74" s="2435"/>
      <c r="B74" s="2435"/>
      <c r="C74" s="2435"/>
      <c r="D74" s="2435"/>
      <c r="E74" s="2725"/>
      <c r="F74" s="2435"/>
      <c r="G74" s="2435"/>
      <c r="H74" s="2726"/>
      <c r="I74" s="2727"/>
      <c r="J74" s="2728"/>
      <c r="K74" s="2729"/>
      <c r="L74" s="176" t="str">
        <f>IF(A74&lt;&gt;"",IFERROR(INDEX(PMtbl[[WKst]:[Unit of measure*]],MATCH($A$63&amp;$A74&amp;$E74&amp;$I74,INDEX(PMtbl[Sec]&amp;PMtbl[Category]&amp;PMtbl[INN]&amp;PMtbl[Specification],0,),0),8),""),"")</f>
        <v/>
      </c>
      <c r="M74" s="177" t="str">
        <f>IF(L74="", "",SETUP!$E$5)</f>
        <v/>
      </c>
      <c r="N74" s="856"/>
      <c r="O74" s="12"/>
      <c r="P74" s="12"/>
      <c r="Q74" s="12"/>
      <c r="R74" s="12"/>
      <c r="S74" s="467">
        <f>SUM('TB-EQUIPMENT &amp; OTHER HPs'!$O74:$R74)</f>
        <v>0</v>
      </c>
      <c r="T74" s="832">
        <f>'TB-EQUIPMENT &amp; OTHER HPs'!$N74*'TB-EQUIPMENT &amp; OTHER HPs'!$S74</f>
        <v>0</v>
      </c>
      <c r="U74" s="856"/>
      <c r="V74" s="12"/>
      <c r="W74" s="12"/>
      <c r="X74" s="12"/>
      <c r="Y74" s="12"/>
      <c r="Z74" s="467">
        <f>SUM('TB-EQUIPMENT &amp; OTHER HPs'!$V74:$Y74)</f>
        <v>0</v>
      </c>
      <c r="AA74" s="832">
        <f>'TB-EQUIPMENT &amp; OTHER HPs'!$U74*'TB-EQUIPMENT &amp; OTHER HPs'!$Z74</f>
        <v>0</v>
      </c>
      <c r="AB74" s="856"/>
      <c r="AC74" s="12"/>
      <c r="AD74" s="12"/>
      <c r="AE74" s="12"/>
      <c r="AF74" s="12"/>
      <c r="AG74" s="467">
        <f>SUM('TB-EQUIPMENT &amp; OTHER HPs'!$AC74:$AF74)</f>
        <v>0</v>
      </c>
      <c r="AH74" s="832">
        <f>'TB-EQUIPMENT &amp; OTHER HPs'!$AB74*'TB-EQUIPMENT &amp; OTHER HPs'!$AG74</f>
        <v>0</v>
      </c>
      <c r="AI74" s="476">
        <f>'TB-EQUIPMENT &amp; OTHER HPs'!$S74+'TB-EQUIPMENT &amp; OTHER HPs'!$Z74+'TB-EQUIPMENT &amp; OTHER HPs'!$AG74</f>
        <v>0</v>
      </c>
      <c r="AJ74" s="797">
        <f>'TB-EQUIPMENT &amp; OTHER HPs'!$T74+'TB-EQUIPMENT &amp; OTHER HPs'!$AA74+'TB-EQUIPMENT &amp; OTHER HPs'!$AH74</f>
        <v>0</v>
      </c>
      <c r="AK74" s="479" t="str">
        <f>IF(A74&lt;&gt;"",IFERROR(INDEX(PMtbl[[WKst]:[Unit of measure*]],MATCH($A$63&amp;$A74&amp;$E74&amp;$I74,INDEX(PMtbl[Sec]&amp;PMtbl[Category]&amp;PMtbl[INN]&amp;PMtbl[Specification],0,),0),7),""),"")</f>
        <v/>
      </c>
      <c r="AL74" s="950"/>
      <c r="AM74" s="1429" t="str">
        <f>IFERROR(INDEX(SETUP!$C$19:$G$62,MATCH((INDEX(PMtbl[[WKst]:[Unit of measure*]],MATCH($A74&amp;$E74&amp;$I74,INDEX(PMtbl[Category]&amp;PMtbl[INN]&amp;PMtbl[Specification],0,),0),3)),SETUP!$D$19:$D$62,0),5),"")</f>
        <v/>
      </c>
      <c r="AN74" s="1429"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2" s="198" customFormat="1">
      <c r="A75" s="2611"/>
      <c r="B75" s="2611"/>
      <c r="C75" s="2611"/>
      <c r="D75" s="2611"/>
      <c r="E75" s="2610"/>
      <c r="F75" s="2611"/>
      <c r="G75" s="2611"/>
      <c r="H75" s="2612"/>
      <c r="I75" s="2722"/>
      <c r="J75" s="2734"/>
      <c r="K75" s="2724"/>
      <c r="L75" s="175" t="str">
        <f>IF(A75&lt;&gt;"",IFERROR(INDEX(PMtbl[[WKst]:[Unit of measure*]],MATCH($A$63&amp;$A75&amp;$E75&amp;$I75,INDEX(PMtbl[Sec]&amp;PMtbl[Category]&amp;PMtbl[INN]&amp;PMtbl[Specification],0,),0),8),""),"")</f>
        <v/>
      </c>
      <c r="M75" s="175" t="str">
        <f>IF(L75="", "",SETUP!$E$5)</f>
        <v/>
      </c>
      <c r="N75" s="857"/>
      <c r="O75" s="873"/>
      <c r="P75" s="873"/>
      <c r="Q75" s="873"/>
      <c r="R75" s="873"/>
      <c r="S75" s="469">
        <f>SUM('TB-EQUIPMENT &amp; OTHER HPs'!$O75:$R75)</f>
        <v>0</v>
      </c>
      <c r="T75" s="833">
        <f>'TB-EQUIPMENT &amp; OTHER HPs'!$N75*'TB-EQUIPMENT &amp; OTHER HPs'!$S75</f>
        <v>0</v>
      </c>
      <c r="U75" s="857"/>
      <c r="V75" s="873"/>
      <c r="W75" s="873"/>
      <c r="X75" s="873"/>
      <c r="Y75" s="873"/>
      <c r="Z75" s="469">
        <f>SUM('TB-EQUIPMENT &amp; OTHER HPs'!$V75:$Y75)</f>
        <v>0</v>
      </c>
      <c r="AA75" s="833">
        <f>'TB-EQUIPMENT &amp; OTHER HPs'!$U75*'TB-EQUIPMENT &amp; OTHER HPs'!$Z75</f>
        <v>0</v>
      </c>
      <c r="AB75" s="857"/>
      <c r="AC75" s="873"/>
      <c r="AD75" s="873"/>
      <c r="AE75" s="873"/>
      <c r="AF75" s="873"/>
      <c r="AG75" s="469">
        <f>SUM('TB-EQUIPMENT &amp; OTHER HPs'!$AC75:$AF75)</f>
        <v>0</v>
      </c>
      <c r="AH75" s="833">
        <f>'TB-EQUIPMENT &amp; OTHER HPs'!$AB75*'TB-EQUIPMENT &amp; OTHER HPs'!$AG75</f>
        <v>0</v>
      </c>
      <c r="AI75" s="477">
        <f>'TB-EQUIPMENT &amp; OTHER HPs'!$S75+'TB-EQUIPMENT &amp; OTHER HPs'!$Z75+'TB-EQUIPMENT &amp; OTHER HPs'!$AG75</f>
        <v>0</v>
      </c>
      <c r="AJ75" s="798">
        <f>'TB-EQUIPMENT &amp; OTHER HPs'!$T75+'TB-EQUIPMENT &amp; OTHER HPs'!$AA75+'TB-EQUIPMENT &amp; OTHER HPs'!$AH75</f>
        <v>0</v>
      </c>
      <c r="AK75" s="478" t="str">
        <f>IF(A75&lt;&gt;"",IFERROR(INDEX(PMtbl[[WKst]:[Unit of measure*]],MATCH($A$63&amp;$A75&amp;$E75&amp;$I75,INDEX(PMtbl[Sec]&amp;PMtbl[Category]&amp;PMtbl[INN]&amp;PMtbl[Specification],0,),0),7),""),"")</f>
        <v/>
      </c>
      <c r="AL75" s="949"/>
      <c r="AM75" s="1430" t="str">
        <f>IFERROR(INDEX(SETUP!$C$19:$G$62,MATCH((INDEX(PMtbl[[WKst]:[Unit of measure*]],MATCH($A75&amp;$E75&amp;$I75,INDEX(PMtbl[Category]&amp;PMtbl[INN]&amp;PMtbl[Specification],0,),0),3)),SETUP!$D$19:$D$62,0),5),"")</f>
        <v/>
      </c>
      <c r="AN75" s="143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62" s="198" customFormat="1">
      <c r="A76" s="2435"/>
      <c r="B76" s="2435"/>
      <c r="C76" s="2435"/>
      <c r="D76" s="2435"/>
      <c r="E76" s="2725"/>
      <c r="F76" s="2435"/>
      <c r="G76" s="2435"/>
      <c r="H76" s="2726"/>
      <c r="I76" s="2727"/>
      <c r="J76" s="2728"/>
      <c r="K76" s="2729"/>
      <c r="L76" s="176" t="str">
        <f>IF(A76&lt;&gt;"",IFERROR(INDEX(PMtbl[[WKst]:[Unit of measure*]],MATCH($A$63&amp;$A76&amp;$E76&amp;$I76,INDEX(PMtbl[Sec]&amp;PMtbl[Category]&amp;PMtbl[INN]&amp;PMtbl[Specification],0,),0),8),""),"")</f>
        <v/>
      </c>
      <c r="M76" s="177" t="str">
        <f>IF(L76="", "",SETUP!$E$5)</f>
        <v/>
      </c>
      <c r="N76" s="856"/>
      <c r="O76" s="12"/>
      <c r="P76" s="12"/>
      <c r="Q76" s="12"/>
      <c r="R76" s="12"/>
      <c r="S76" s="467">
        <f>SUM('TB-EQUIPMENT &amp; OTHER HPs'!$O76:$R76)</f>
        <v>0</v>
      </c>
      <c r="T76" s="832">
        <f>'TB-EQUIPMENT &amp; OTHER HPs'!$N76*'TB-EQUIPMENT &amp; OTHER HPs'!$S76</f>
        <v>0</v>
      </c>
      <c r="U76" s="856"/>
      <c r="V76" s="12"/>
      <c r="W76" s="12"/>
      <c r="X76" s="12"/>
      <c r="Y76" s="12"/>
      <c r="Z76" s="467">
        <f>SUM('TB-EQUIPMENT &amp; OTHER HPs'!$V76:$Y76)</f>
        <v>0</v>
      </c>
      <c r="AA76" s="832">
        <f>'TB-EQUIPMENT &amp; OTHER HPs'!$U76*'TB-EQUIPMENT &amp; OTHER HPs'!$Z76</f>
        <v>0</v>
      </c>
      <c r="AB76" s="856"/>
      <c r="AC76" s="12"/>
      <c r="AD76" s="12"/>
      <c r="AE76" s="12"/>
      <c r="AF76" s="12"/>
      <c r="AG76" s="467">
        <f>SUM('TB-EQUIPMENT &amp; OTHER HPs'!$AC76:$AF76)</f>
        <v>0</v>
      </c>
      <c r="AH76" s="832">
        <f>'TB-EQUIPMENT &amp; OTHER HPs'!$AB76*'TB-EQUIPMENT &amp; OTHER HPs'!$AG76</f>
        <v>0</v>
      </c>
      <c r="AI76" s="476">
        <f>'TB-EQUIPMENT &amp; OTHER HPs'!$S76+'TB-EQUIPMENT &amp; OTHER HPs'!$Z76+'TB-EQUIPMENT &amp; OTHER HPs'!$AG76</f>
        <v>0</v>
      </c>
      <c r="AJ76" s="797">
        <f>'TB-EQUIPMENT &amp; OTHER HPs'!$T76+'TB-EQUIPMENT &amp; OTHER HPs'!$AA76+'TB-EQUIPMENT &amp; OTHER HPs'!$AH76</f>
        <v>0</v>
      </c>
      <c r="AK76" s="479" t="str">
        <f>IF(A76&lt;&gt;"",IFERROR(INDEX(PMtbl[[WKst]:[Unit of measure*]],MATCH($A$63&amp;$A76&amp;$E76&amp;$I76,INDEX(PMtbl[Sec]&amp;PMtbl[Category]&amp;PMtbl[INN]&amp;PMtbl[Specification],0,),0),7),""),"")</f>
        <v/>
      </c>
      <c r="AL76" s="950"/>
      <c r="AM76" s="1429" t="str">
        <f>IFERROR(INDEX(SETUP!$C$19:$G$62,MATCH((INDEX(PMtbl[[WKst]:[Unit of measure*]],MATCH($A76&amp;$E76&amp;$I76,INDEX(PMtbl[Category]&amp;PMtbl[INN]&amp;PMtbl[Specification],0,),0),3)),SETUP!$D$19:$D$62,0),5),"")</f>
        <v/>
      </c>
      <c r="AN76" s="1429"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62" s="198" customFormat="1">
      <c r="A77" s="2611"/>
      <c r="B77" s="2611"/>
      <c r="C77" s="2611"/>
      <c r="D77" s="2611"/>
      <c r="E77" s="2610"/>
      <c r="F77" s="2611"/>
      <c r="G77" s="2611"/>
      <c r="H77" s="2612"/>
      <c r="I77" s="2722"/>
      <c r="J77" s="2734"/>
      <c r="K77" s="2724"/>
      <c r="L77" s="175" t="str">
        <f>IF(A77&lt;&gt;"",IFERROR(INDEX(PMtbl[[WKst]:[Unit of measure*]],MATCH($A$63&amp;$A77&amp;$E77&amp;$I77,INDEX(PMtbl[Sec]&amp;PMtbl[Category]&amp;PMtbl[INN]&amp;PMtbl[Specification],0,),0),8),""),"")</f>
        <v/>
      </c>
      <c r="M77" s="175" t="str">
        <f>IF(L77="", "",SETUP!$E$5)</f>
        <v/>
      </c>
      <c r="N77" s="857"/>
      <c r="O77" s="873"/>
      <c r="P77" s="873"/>
      <c r="Q77" s="873"/>
      <c r="R77" s="873"/>
      <c r="S77" s="469">
        <f>SUM('TB-EQUIPMENT &amp; OTHER HPs'!$O77:$R77)</f>
        <v>0</v>
      </c>
      <c r="T77" s="833">
        <f>'TB-EQUIPMENT &amp; OTHER HPs'!$N77*'TB-EQUIPMENT &amp; OTHER HPs'!$S77</f>
        <v>0</v>
      </c>
      <c r="U77" s="857"/>
      <c r="V77" s="873"/>
      <c r="W77" s="873"/>
      <c r="X77" s="873"/>
      <c r="Y77" s="873"/>
      <c r="Z77" s="469">
        <f>SUM('TB-EQUIPMENT &amp; OTHER HPs'!$V77:$Y77)</f>
        <v>0</v>
      </c>
      <c r="AA77" s="833">
        <f>'TB-EQUIPMENT &amp; OTHER HPs'!$U77*'TB-EQUIPMENT &amp; OTHER HPs'!$Z77</f>
        <v>0</v>
      </c>
      <c r="AB77" s="857"/>
      <c r="AC77" s="873"/>
      <c r="AD77" s="873"/>
      <c r="AE77" s="873"/>
      <c r="AF77" s="873"/>
      <c r="AG77" s="469">
        <f>SUM('TB-EQUIPMENT &amp; OTHER HPs'!$AC77:$AF77)</f>
        <v>0</v>
      </c>
      <c r="AH77" s="833">
        <f>'TB-EQUIPMENT &amp; OTHER HPs'!$AB77*'TB-EQUIPMENT &amp; OTHER HPs'!$AG77</f>
        <v>0</v>
      </c>
      <c r="AI77" s="477">
        <f>'TB-EQUIPMENT &amp; OTHER HPs'!$S77+'TB-EQUIPMENT &amp; OTHER HPs'!$Z77+'TB-EQUIPMENT &amp; OTHER HPs'!$AG77</f>
        <v>0</v>
      </c>
      <c r="AJ77" s="798">
        <f>'TB-EQUIPMENT &amp; OTHER HPs'!$T77+'TB-EQUIPMENT &amp; OTHER HPs'!$AA77+'TB-EQUIPMENT &amp; OTHER HPs'!$AH77</f>
        <v>0</v>
      </c>
      <c r="AK77" s="478" t="str">
        <f>IF(A77&lt;&gt;"",IFERROR(INDEX(PMtbl[[WKst]:[Unit of measure*]],MATCH($A$63&amp;$A77&amp;$E77&amp;$I77,INDEX(PMtbl[Sec]&amp;PMtbl[Category]&amp;PMtbl[INN]&amp;PMtbl[Specification],0,),0),7),""),"")</f>
        <v/>
      </c>
      <c r="AL77" s="949"/>
      <c r="AM77" s="1430" t="str">
        <f>IFERROR(INDEX(SETUP!$C$19:$G$62,MATCH((INDEX(PMtbl[[WKst]:[Unit of measure*]],MATCH($A77&amp;$E77&amp;$I77,INDEX(PMtbl[Category]&amp;PMtbl[INN]&amp;PMtbl[Specification],0,),0),3)),SETUP!$D$19:$D$62,0),5),"")</f>
        <v/>
      </c>
      <c r="AN77" s="143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62" s="198" customFormat="1">
      <c r="A78" s="2435"/>
      <c r="B78" s="2435"/>
      <c r="C78" s="2435"/>
      <c r="D78" s="2435"/>
      <c r="E78" s="2725"/>
      <c r="F78" s="2435"/>
      <c r="G78" s="2435"/>
      <c r="H78" s="2726"/>
      <c r="I78" s="2727"/>
      <c r="J78" s="2728"/>
      <c r="K78" s="2729"/>
      <c r="L78" s="176" t="str">
        <f>IF(A78&lt;&gt;"",IFERROR(INDEX(PMtbl[[WKst]:[Unit of measure*]],MATCH($A$63&amp;$A78&amp;$E78&amp;$I78,INDEX(PMtbl[Sec]&amp;PMtbl[Category]&amp;PMtbl[INN]&amp;PMtbl[Specification],0,),0),8),""),"")</f>
        <v/>
      </c>
      <c r="M78" s="177" t="str">
        <f>IF(L78="", "",SETUP!$E$5)</f>
        <v/>
      </c>
      <c r="N78" s="856"/>
      <c r="O78" s="12"/>
      <c r="P78" s="12"/>
      <c r="Q78" s="12"/>
      <c r="R78" s="12"/>
      <c r="S78" s="467">
        <f>SUM('TB-EQUIPMENT &amp; OTHER HPs'!$O78:$R78)</f>
        <v>0</v>
      </c>
      <c r="T78" s="832">
        <f>'TB-EQUIPMENT &amp; OTHER HPs'!$N78*'TB-EQUIPMENT &amp; OTHER HPs'!$S78</f>
        <v>0</v>
      </c>
      <c r="U78" s="856"/>
      <c r="V78" s="12"/>
      <c r="W78" s="12"/>
      <c r="X78" s="12"/>
      <c r="Y78" s="12"/>
      <c r="Z78" s="467">
        <f>SUM('TB-EQUIPMENT &amp; OTHER HPs'!$V78:$Y78)</f>
        <v>0</v>
      </c>
      <c r="AA78" s="832">
        <f>'TB-EQUIPMENT &amp; OTHER HPs'!$U78*'TB-EQUIPMENT &amp; OTHER HPs'!$Z78</f>
        <v>0</v>
      </c>
      <c r="AB78" s="856"/>
      <c r="AC78" s="12"/>
      <c r="AD78" s="12"/>
      <c r="AE78" s="12"/>
      <c r="AF78" s="12"/>
      <c r="AG78" s="467">
        <f>SUM('TB-EQUIPMENT &amp; OTHER HPs'!$AC78:$AF78)</f>
        <v>0</v>
      </c>
      <c r="AH78" s="832">
        <f>'TB-EQUIPMENT &amp; OTHER HPs'!$AB78*'TB-EQUIPMENT &amp; OTHER HPs'!$AG78</f>
        <v>0</v>
      </c>
      <c r="AI78" s="476">
        <f>'TB-EQUIPMENT &amp; OTHER HPs'!$S78+'TB-EQUIPMENT &amp; OTHER HPs'!$Z78+'TB-EQUIPMENT &amp; OTHER HPs'!$AG78</f>
        <v>0</v>
      </c>
      <c r="AJ78" s="797">
        <f>'TB-EQUIPMENT &amp; OTHER HPs'!$T78+'TB-EQUIPMENT &amp; OTHER HPs'!$AA78+'TB-EQUIPMENT &amp; OTHER HPs'!$AH78</f>
        <v>0</v>
      </c>
      <c r="AK78" s="479" t="str">
        <f>IF(A78&lt;&gt;"",IFERROR(INDEX(PMtbl[[WKst]:[Unit of measure*]],MATCH($A$63&amp;$A78&amp;$E78&amp;$I78,INDEX(PMtbl[Sec]&amp;PMtbl[Category]&amp;PMtbl[INN]&amp;PMtbl[Specification],0,),0),7),""),"")</f>
        <v/>
      </c>
      <c r="AL78" s="950"/>
      <c r="AM78" s="1429" t="str">
        <f>IFERROR(INDEX(SETUP!$C$19:$G$62,MATCH((INDEX(PMtbl[[WKst]:[Unit of measure*]],MATCH($A78&amp;$E78&amp;$I78,INDEX(PMtbl[Category]&amp;PMtbl[INN]&amp;PMtbl[Specification],0,),0),3)),SETUP!$D$19:$D$62,0),5),"")</f>
        <v/>
      </c>
      <c r="AN78" s="1429"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62" s="198" customFormat="1">
      <c r="A79" s="2611"/>
      <c r="B79" s="2611"/>
      <c r="C79" s="2611"/>
      <c r="D79" s="2611"/>
      <c r="E79" s="2610"/>
      <c r="F79" s="2611"/>
      <c r="G79" s="2611"/>
      <c r="H79" s="2612"/>
      <c r="I79" s="2722"/>
      <c r="J79" s="2734"/>
      <c r="K79" s="2724"/>
      <c r="L79" s="175" t="str">
        <f>IF(A79&lt;&gt;"",IFERROR(INDEX(PMtbl[[WKst]:[Unit of measure*]],MATCH($A$63&amp;$A79&amp;$E79&amp;$I79,INDEX(PMtbl[Sec]&amp;PMtbl[Category]&amp;PMtbl[INN]&amp;PMtbl[Specification],0,),0),8),""),"")</f>
        <v/>
      </c>
      <c r="M79" s="175" t="str">
        <f>IF(L79="", "",SETUP!$E$5)</f>
        <v/>
      </c>
      <c r="N79" s="857"/>
      <c r="O79" s="873"/>
      <c r="P79" s="873"/>
      <c r="Q79" s="873"/>
      <c r="R79" s="873"/>
      <c r="S79" s="469">
        <f>SUM('TB-EQUIPMENT &amp; OTHER HPs'!$O79:$R79)</f>
        <v>0</v>
      </c>
      <c r="T79" s="833">
        <f>'TB-EQUIPMENT &amp; OTHER HPs'!$N79*'TB-EQUIPMENT &amp; OTHER HPs'!$S79</f>
        <v>0</v>
      </c>
      <c r="U79" s="857"/>
      <c r="V79" s="873"/>
      <c r="W79" s="873"/>
      <c r="X79" s="873"/>
      <c r="Y79" s="873"/>
      <c r="Z79" s="469">
        <f>SUM('TB-EQUIPMENT &amp; OTHER HPs'!$V79:$Y79)</f>
        <v>0</v>
      </c>
      <c r="AA79" s="833">
        <f>'TB-EQUIPMENT &amp; OTHER HPs'!$U79*'TB-EQUIPMENT &amp; OTHER HPs'!$Z79</f>
        <v>0</v>
      </c>
      <c r="AB79" s="857"/>
      <c r="AC79" s="873"/>
      <c r="AD79" s="873"/>
      <c r="AE79" s="873"/>
      <c r="AF79" s="873"/>
      <c r="AG79" s="469">
        <f>SUM('TB-EQUIPMENT &amp; OTHER HPs'!$AC79:$AF79)</f>
        <v>0</v>
      </c>
      <c r="AH79" s="833">
        <f>'TB-EQUIPMENT &amp; OTHER HPs'!$AB79*'TB-EQUIPMENT &amp; OTHER HPs'!$AG79</f>
        <v>0</v>
      </c>
      <c r="AI79" s="477">
        <f>'TB-EQUIPMENT &amp; OTHER HPs'!$S79+'TB-EQUIPMENT &amp; OTHER HPs'!$Z79+'TB-EQUIPMENT &amp; OTHER HPs'!$AG79</f>
        <v>0</v>
      </c>
      <c r="AJ79" s="798">
        <f>'TB-EQUIPMENT &amp; OTHER HPs'!$T79+'TB-EQUIPMENT &amp; OTHER HPs'!$AA79+'TB-EQUIPMENT &amp; OTHER HPs'!$AH79</f>
        <v>0</v>
      </c>
      <c r="AK79" s="478" t="str">
        <f>IF(A79&lt;&gt;"",IFERROR(INDEX(PMtbl[[WKst]:[Unit of measure*]],MATCH($A$63&amp;$A79&amp;$E79&amp;$I79,INDEX(PMtbl[Sec]&amp;PMtbl[Category]&amp;PMtbl[INN]&amp;PMtbl[Specification],0,),0),7),""),"")</f>
        <v/>
      </c>
      <c r="AL79" s="949"/>
      <c r="AM79" s="1430" t="str">
        <f>IFERROR(INDEX(SETUP!$C$19:$G$62,MATCH((INDEX(PMtbl[[WKst]:[Unit of measure*]],MATCH($A79&amp;$E79&amp;$I79,INDEX(PMtbl[Category]&amp;PMtbl[INN]&amp;PMtbl[Specification],0,),0),3)),SETUP!$D$19:$D$62,0),5),"")</f>
        <v/>
      </c>
      <c r="AN79" s="143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62" s="198" customFormat="1">
      <c r="A80" s="2435"/>
      <c r="B80" s="2435"/>
      <c r="C80" s="2435"/>
      <c r="D80" s="2435"/>
      <c r="E80" s="2725"/>
      <c r="F80" s="2435"/>
      <c r="G80" s="2435"/>
      <c r="H80" s="2726"/>
      <c r="I80" s="2727"/>
      <c r="J80" s="2728"/>
      <c r="K80" s="2729"/>
      <c r="L80" s="176" t="str">
        <f>IF(A80&lt;&gt;"",IFERROR(INDEX(PMtbl[[WKst]:[Unit of measure*]],MATCH($A$63&amp;$A80&amp;$E80&amp;$I80,INDEX(PMtbl[Sec]&amp;PMtbl[Category]&amp;PMtbl[INN]&amp;PMtbl[Specification],0,),0),8),""),"")</f>
        <v/>
      </c>
      <c r="M80" s="177" t="str">
        <f>IF(L80="", "",SETUP!$E$5)</f>
        <v/>
      </c>
      <c r="N80" s="856"/>
      <c r="O80" s="12"/>
      <c r="P80" s="12"/>
      <c r="Q80" s="12"/>
      <c r="R80" s="12"/>
      <c r="S80" s="467">
        <f>SUM('TB-EQUIPMENT &amp; OTHER HPs'!$O80:$R80)</f>
        <v>0</v>
      </c>
      <c r="T80" s="832">
        <f>'TB-EQUIPMENT &amp; OTHER HPs'!$N80*'TB-EQUIPMENT &amp; OTHER HPs'!$S80</f>
        <v>0</v>
      </c>
      <c r="U80" s="856"/>
      <c r="V80" s="12"/>
      <c r="W80" s="12"/>
      <c r="X80" s="12"/>
      <c r="Y80" s="12"/>
      <c r="Z80" s="467">
        <f>SUM('TB-EQUIPMENT &amp; OTHER HPs'!$V80:$Y80)</f>
        <v>0</v>
      </c>
      <c r="AA80" s="832">
        <f>'TB-EQUIPMENT &amp; OTHER HPs'!$U80*'TB-EQUIPMENT &amp; OTHER HPs'!$Z80</f>
        <v>0</v>
      </c>
      <c r="AB80" s="856"/>
      <c r="AC80" s="12"/>
      <c r="AD80" s="12"/>
      <c r="AE80" s="12"/>
      <c r="AF80" s="12"/>
      <c r="AG80" s="467">
        <f>SUM('TB-EQUIPMENT &amp; OTHER HPs'!$AC80:$AF80)</f>
        <v>0</v>
      </c>
      <c r="AH80" s="832">
        <f>'TB-EQUIPMENT &amp; OTHER HPs'!$AB80*'TB-EQUIPMENT &amp; OTHER HPs'!$AG80</f>
        <v>0</v>
      </c>
      <c r="AI80" s="476">
        <f>'TB-EQUIPMENT &amp; OTHER HPs'!$S80+'TB-EQUIPMENT &amp; OTHER HPs'!$Z80+'TB-EQUIPMENT &amp; OTHER HPs'!$AG80</f>
        <v>0</v>
      </c>
      <c r="AJ80" s="797">
        <f>'TB-EQUIPMENT &amp; OTHER HPs'!$T80+'TB-EQUIPMENT &amp; OTHER HPs'!$AA80+'TB-EQUIPMENT &amp; OTHER HPs'!$AH80</f>
        <v>0</v>
      </c>
      <c r="AK80" s="479" t="str">
        <f>IF(A80&lt;&gt;"",IFERROR(INDEX(PMtbl[[WKst]:[Unit of measure*]],MATCH($A$63&amp;$A80&amp;$E80&amp;$I80,INDEX(PMtbl[Sec]&amp;PMtbl[Category]&amp;PMtbl[INN]&amp;PMtbl[Specification],0,),0),7),""),"")</f>
        <v/>
      </c>
      <c r="AL80" s="950"/>
      <c r="AM80" s="1429" t="str">
        <f>IFERROR(INDEX(SETUP!$C$19:$G$62,MATCH((INDEX(PMtbl[[WKst]:[Unit of measure*]],MATCH($A80&amp;$E80&amp;$I80,INDEX(PMtbl[Category]&amp;PMtbl[INN]&amp;PMtbl[Specification],0,),0),3)),SETUP!$D$19:$D$62,0),5),"")</f>
        <v/>
      </c>
      <c r="AN80" s="1429"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62" s="198" customFormat="1">
      <c r="A81" s="2611"/>
      <c r="B81" s="2611"/>
      <c r="C81" s="2611"/>
      <c r="D81" s="2611"/>
      <c r="E81" s="2610"/>
      <c r="F81" s="2611"/>
      <c r="G81" s="2611"/>
      <c r="H81" s="2612"/>
      <c r="I81" s="2722"/>
      <c r="J81" s="2734"/>
      <c r="K81" s="2724"/>
      <c r="L81" s="175" t="str">
        <f>IF(A81&lt;&gt;"",IFERROR(INDEX(PMtbl[[WKst]:[Unit of measure*]],MATCH($A$63&amp;$A81&amp;$E81&amp;$I81,INDEX(PMtbl[Sec]&amp;PMtbl[Category]&amp;PMtbl[INN]&amp;PMtbl[Specification],0,),0),8),""),"")</f>
        <v/>
      </c>
      <c r="M81" s="175" t="str">
        <f>IF(L81="", "",SETUP!$E$5)</f>
        <v/>
      </c>
      <c r="N81" s="857"/>
      <c r="O81" s="873"/>
      <c r="P81" s="873"/>
      <c r="Q81" s="873"/>
      <c r="R81" s="873"/>
      <c r="S81" s="469">
        <f>SUM('TB-EQUIPMENT &amp; OTHER HPs'!$O81:$R81)</f>
        <v>0</v>
      </c>
      <c r="T81" s="833">
        <f>'TB-EQUIPMENT &amp; OTHER HPs'!$N81*'TB-EQUIPMENT &amp; OTHER HPs'!$S81</f>
        <v>0</v>
      </c>
      <c r="U81" s="857"/>
      <c r="V81" s="873"/>
      <c r="W81" s="873"/>
      <c r="X81" s="873"/>
      <c r="Y81" s="873"/>
      <c r="Z81" s="469">
        <f>SUM('TB-EQUIPMENT &amp; OTHER HPs'!$V81:$Y81)</f>
        <v>0</v>
      </c>
      <c r="AA81" s="833">
        <f>'TB-EQUIPMENT &amp; OTHER HPs'!$U81*'TB-EQUIPMENT &amp; OTHER HPs'!$Z81</f>
        <v>0</v>
      </c>
      <c r="AB81" s="857"/>
      <c r="AC81" s="873"/>
      <c r="AD81" s="873"/>
      <c r="AE81" s="873"/>
      <c r="AF81" s="873"/>
      <c r="AG81" s="469">
        <f>SUM('TB-EQUIPMENT &amp; OTHER HPs'!$AC81:$AF81)</f>
        <v>0</v>
      </c>
      <c r="AH81" s="833">
        <f>'TB-EQUIPMENT &amp; OTHER HPs'!$AB81*'TB-EQUIPMENT &amp; OTHER HPs'!$AG81</f>
        <v>0</v>
      </c>
      <c r="AI81" s="477">
        <f>'TB-EQUIPMENT &amp; OTHER HPs'!$S81+'TB-EQUIPMENT &amp; OTHER HPs'!$Z81+'TB-EQUIPMENT &amp; OTHER HPs'!$AG81</f>
        <v>0</v>
      </c>
      <c r="AJ81" s="798">
        <f>'TB-EQUIPMENT &amp; OTHER HPs'!$T81+'TB-EQUIPMENT &amp; OTHER HPs'!$AA81+'TB-EQUIPMENT &amp; OTHER HPs'!$AH81</f>
        <v>0</v>
      </c>
      <c r="AK81" s="478" t="str">
        <f>IF(A81&lt;&gt;"",IFERROR(INDEX(PMtbl[[WKst]:[Unit of measure*]],MATCH($A$63&amp;$A81&amp;$E81&amp;$I81,INDEX(PMtbl[Sec]&amp;PMtbl[Category]&amp;PMtbl[INN]&amp;PMtbl[Specification],0,),0),7),""),"")</f>
        <v/>
      </c>
      <c r="AL81" s="949"/>
      <c r="AM81" s="1430" t="str">
        <f>IFERROR(INDEX(SETUP!$C$19:$G$62,MATCH((INDEX(PMtbl[[WKst]:[Unit of measure*]],MATCH($A81&amp;$E81&amp;$I81,INDEX(PMtbl[Category]&amp;PMtbl[INN]&amp;PMtbl[Specification],0,),0),3)),SETUP!$D$19:$D$62,0),5),"")</f>
        <v/>
      </c>
      <c r="AN81" s="143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62" s="198" customFormat="1">
      <c r="A82" s="2435"/>
      <c r="B82" s="2435"/>
      <c r="C82" s="2435"/>
      <c r="D82" s="2435"/>
      <c r="E82" s="2725"/>
      <c r="F82" s="2435"/>
      <c r="G82" s="2435"/>
      <c r="H82" s="2726"/>
      <c r="I82" s="2727"/>
      <c r="J82" s="2728"/>
      <c r="K82" s="2729"/>
      <c r="L82" s="176" t="str">
        <f>IF(A82&lt;&gt;"",IFERROR(INDEX(PMtbl[[WKst]:[Unit of measure*]],MATCH($A$63&amp;$A82&amp;$E82&amp;$I82,INDEX(PMtbl[Sec]&amp;PMtbl[Category]&amp;PMtbl[INN]&amp;PMtbl[Specification],0,),0),8),""),"")</f>
        <v/>
      </c>
      <c r="M82" s="177" t="str">
        <f>IF(L82="", "",SETUP!$E$5)</f>
        <v/>
      </c>
      <c r="N82" s="856"/>
      <c r="O82" s="12"/>
      <c r="P82" s="12"/>
      <c r="Q82" s="12"/>
      <c r="R82" s="12"/>
      <c r="S82" s="467">
        <f>SUM('TB-EQUIPMENT &amp; OTHER HPs'!$O82:$R82)</f>
        <v>0</v>
      </c>
      <c r="T82" s="832">
        <f>'TB-EQUIPMENT &amp; OTHER HPs'!$N82*'TB-EQUIPMENT &amp; OTHER HPs'!$S82</f>
        <v>0</v>
      </c>
      <c r="U82" s="856"/>
      <c r="V82" s="12"/>
      <c r="W82" s="12"/>
      <c r="X82" s="12"/>
      <c r="Y82" s="12"/>
      <c r="Z82" s="467">
        <f>SUM('TB-EQUIPMENT &amp; OTHER HPs'!$V82:$Y82)</f>
        <v>0</v>
      </c>
      <c r="AA82" s="832">
        <f>'TB-EQUIPMENT &amp; OTHER HPs'!$U82*'TB-EQUIPMENT &amp; OTHER HPs'!$Z82</f>
        <v>0</v>
      </c>
      <c r="AB82" s="856"/>
      <c r="AC82" s="12"/>
      <c r="AD82" s="12"/>
      <c r="AE82" s="12"/>
      <c r="AF82" s="12"/>
      <c r="AG82" s="467">
        <f>SUM('TB-EQUIPMENT &amp; OTHER HPs'!$AC82:$AF82)</f>
        <v>0</v>
      </c>
      <c r="AH82" s="832">
        <f>'TB-EQUIPMENT &amp; OTHER HPs'!$AB82*'TB-EQUIPMENT &amp; OTHER HPs'!$AG82</f>
        <v>0</v>
      </c>
      <c r="AI82" s="476">
        <f>'TB-EQUIPMENT &amp; OTHER HPs'!$S82+'TB-EQUIPMENT &amp; OTHER HPs'!$Z82+'TB-EQUIPMENT &amp; OTHER HPs'!$AG82</f>
        <v>0</v>
      </c>
      <c r="AJ82" s="797">
        <f>'TB-EQUIPMENT &amp; OTHER HPs'!$T82+'TB-EQUIPMENT &amp; OTHER HPs'!$AA82+'TB-EQUIPMENT &amp; OTHER HPs'!$AH82</f>
        <v>0</v>
      </c>
      <c r="AK82" s="479" t="str">
        <f>IF(A82&lt;&gt;"",IFERROR(INDEX(PMtbl[[WKst]:[Unit of measure*]],MATCH($A$63&amp;$A82&amp;$E82&amp;$I82,INDEX(PMtbl[Sec]&amp;PMtbl[Category]&amp;PMtbl[INN]&amp;PMtbl[Specification],0,),0),7),""),"")</f>
        <v/>
      </c>
      <c r="AL82" s="950"/>
      <c r="AM82" s="1429" t="str">
        <f>IFERROR(INDEX(SETUP!$C$19:$G$62,MATCH((INDEX(PMtbl[[WKst]:[Unit of measure*]],MATCH($A82&amp;$E82&amp;$I82,INDEX(PMtbl[Category]&amp;PMtbl[INN]&amp;PMtbl[Specification],0,),0),3)),SETUP!$D$19:$D$62,0),5),"")</f>
        <v/>
      </c>
      <c r="AN82" s="1429"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62" s="198" customFormat="1" ht="15" thickBot="1">
      <c r="A83" s="2778"/>
      <c r="B83" s="2778"/>
      <c r="C83" s="2778"/>
      <c r="D83" s="2778"/>
      <c r="E83" s="2777"/>
      <c r="F83" s="2778"/>
      <c r="G83" s="2778"/>
      <c r="H83" s="2779"/>
      <c r="I83" s="2731"/>
      <c r="J83" s="2732"/>
      <c r="K83" s="2733"/>
      <c r="L83" s="185" t="str">
        <f>IF(A83&lt;&gt;"",IFERROR(INDEX(PMtbl[[WKst]:[Unit of measure*]],MATCH($A$63&amp;$A83&amp;$E83&amp;$I83,INDEX(PMtbl[Sec]&amp;PMtbl[Category]&amp;PMtbl[INN]&amp;PMtbl[Specification],0,),0),8),""),"")</f>
        <v/>
      </c>
      <c r="M83" s="185" t="str">
        <f>IF(L83="", "",SETUP!$E$5)</f>
        <v/>
      </c>
      <c r="N83" s="860"/>
      <c r="O83" s="877"/>
      <c r="P83" s="877"/>
      <c r="Q83" s="877"/>
      <c r="R83" s="877"/>
      <c r="S83" s="480">
        <f>SUM('TB-EQUIPMENT &amp; OTHER HPs'!$O83:$R83)</f>
        <v>0</v>
      </c>
      <c r="T83" s="847">
        <f>'TB-EQUIPMENT &amp; OTHER HPs'!$N83*'TB-EQUIPMENT &amp; OTHER HPs'!$S83</f>
        <v>0</v>
      </c>
      <c r="U83" s="860"/>
      <c r="V83" s="877"/>
      <c r="W83" s="877"/>
      <c r="X83" s="877"/>
      <c r="Y83" s="877"/>
      <c r="Z83" s="480">
        <f>SUM('TB-EQUIPMENT &amp; OTHER HPs'!$V83:$Y83)</f>
        <v>0</v>
      </c>
      <c r="AA83" s="847">
        <f>'TB-EQUIPMENT &amp; OTHER HPs'!$U83*'TB-EQUIPMENT &amp; OTHER HPs'!$Z83</f>
        <v>0</v>
      </c>
      <c r="AB83" s="860"/>
      <c r="AC83" s="877"/>
      <c r="AD83" s="877"/>
      <c r="AE83" s="877"/>
      <c r="AF83" s="877"/>
      <c r="AG83" s="480">
        <f>SUM('TB-EQUIPMENT &amp; OTHER HPs'!$AC83:$AF83)</f>
        <v>0</v>
      </c>
      <c r="AH83" s="847">
        <f>'TB-EQUIPMENT &amp; OTHER HPs'!$AB83*'TB-EQUIPMENT &amp; OTHER HPs'!$AG83</f>
        <v>0</v>
      </c>
      <c r="AI83" s="481">
        <f>'TB-EQUIPMENT &amp; OTHER HPs'!$S83+'TB-EQUIPMENT &amp; OTHER HPs'!$Z83+'TB-EQUIPMENT &amp; OTHER HPs'!$AG83</f>
        <v>0</v>
      </c>
      <c r="AJ83" s="836">
        <f>'TB-EQUIPMENT &amp; OTHER HPs'!$T83+'TB-EQUIPMENT &amp; OTHER HPs'!$AA83+'TB-EQUIPMENT &amp; OTHER HPs'!$AH83</f>
        <v>0</v>
      </c>
      <c r="AK83" s="482" t="str">
        <f>IF(A83&lt;&gt;"",IFERROR(INDEX(PMtbl[[WKst]:[Unit of measure*]],MATCH($A$63&amp;$A83&amp;$E83&amp;$I83,INDEX(PMtbl[Sec]&amp;PMtbl[Category]&amp;PMtbl[INN]&amp;PMtbl[Specification],0,),0),7),""),"")</f>
        <v/>
      </c>
      <c r="AL83" s="951"/>
      <c r="AM83" s="1431" t="str">
        <f>IFERROR(INDEX(SETUP!$C$19:$G$62,MATCH((INDEX(PMtbl[[WKst]:[Unit of measure*]],MATCH($A83&amp;$E83&amp;$I83,INDEX(PMtbl[Category]&amp;PMtbl[INN]&amp;PMtbl[Specification],0,),0),3)),SETUP!$D$19:$D$62,0),5),"")</f>
        <v/>
      </c>
      <c r="AN83" s="1431"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62" ht="15" thickBot="1">
      <c r="A84" s="186"/>
      <c r="B84" s="186"/>
      <c r="C84" s="186"/>
      <c r="D84" s="186"/>
      <c r="E84" s="186"/>
      <c r="F84" s="186"/>
      <c r="G84" s="186"/>
      <c r="H84" s="187"/>
      <c r="I84" s="63"/>
      <c r="J84" s="63"/>
      <c r="K84" s="63"/>
      <c r="L84" s="63"/>
      <c r="M84" s="63"/>
      <c r="N84" s="861"/>
      <c r="O84" s="197"/>
      <c r="P84" s="197"/>
      <c r="Q84" s="197"/>
      <c r="R84" s="197"/>
      <c r="S84" s="197"/>
      <c r="T84" s="861"/>
      <c r="U84" s="861"/>
      <c r="V84" s="197"/>
      <c r="W84" s="197"/>
      <c r="X84" s="197"/>
      <c r="Y84" s="197"/>
      <c r="Z84" s="197"/>
      <c r="AA84" s="861"/>
      <c r="AB84" s="861"/>
      <c r="AC84" s="197"/>
      <c r="AD84" s="197"/>
      <c r="AE84" s="197"/>
      <c r="AF84" s="197"/>
      <c r="AG84" s="197"/>
      <c r="AH84" s="848"/>
      <c r="AU84" s="198"/>
      <c r="AV84" s="198"/>
      <c r="AW84" s="198"/>
      <c r="AX84" s="198"/>
      <c r="AY84" s="198"/>
      <c r="AZ84" s="198"/>
      <c r="BA84" s="198"/>
      <c r="BB84" s="198"/>
      <c r="BC84" s="198"/>
      <c r="BD84" s="198"/>
      <c r="BE84" s="198"/>
      <c r="BF84" s="198"/>
      <c r="BG84" s="198"/>
      <c r="BH84" s="198"/>
      <c r="BI84" s="198"/>
      <c r="BJ84" s="198"/>
    </row>
    <row r="85" spans="1:62" ht="15" customHeight="1" thickBot="1">
      <c r="A85" s="2785">
        <v>3</v>
      </c>
      <c r="B85" s="2787" t="s">
        <v>300</v>
      </c>
      <c r="C85" s="2787"/>
      <c r="D85" s="2787"/>
      <c r="E85" s="2787"/>
      <c r="F85" s="2780" t="s">
        <v>1387</v>
      </c>
      <c r="G85" s="2780"/>
      <c r="H85" s="2592" t="s">
        <v>299</v>
      </c>
      <c r="I85" s="2602" t="s">
        <v>293</v>
      </c>
      <c r="J85" s="2592" t="s">
        <v>295</v>
      </c>
      <c r="K85"/>
      <c r="M85" s="143"/>
      <c r="N85" s="767"/>
      <c r="O85" s="868"/>
      <c r="P85" s="868"/>
      <c r="Q85" s="868"/>
      <c r="R85" s="868"/>
      <c r="S85" s="868"/>
      <c r="T85" s="767"/>
      <c r="U85" s="767"/>
      <c r="V85" s="868"/>
      <c r="W85" s="868"/>
      <c r="X85" s="868"/>
      <c r="Y85" s="868"/>
      <c r="Z85" s="868"/>
      <c r="AA85" s="767"/>
      <c r="AB85" s="767"/>
      <c r="AC85" s="868"/>
      <c r="AD85" s="868"/>
      <c r="AE85" s="868"/>
      <c r="AF85" s="868"/>
      <c r="AG85" s="868"/>
      <c r="AH85" s="849"/>
      <c r="AU85" s="198"/>
      <c r="AV85" s="198"/>
      <c r="AW85" s="198"/>
      <c r="AX85" s="198"/>
      <c r="AY85" s="198"/>
      <c r="AZ85" s="198"/>
      <c r="BA85" s="198"/>
      <c r="BB85" s="198"/>
      <c r="BC85" s="198"/>
      <c r="BD85" s="198"/>
      <c r="BE85" s="198"/>
      <c r="BF85" s="198"/>
      <c r="BG85" s="198"/>
      <c r="BH85" s="198"/>
      <c r="BI85" s="198"/>
      <c r="BJ85" s="198"/>
    </row>
    <row r="86" spans="1:62" ht="15" customHeight="1" thickBot="1">
      <c r="A86" s="2786"/>
      <c r="B86" s="2787"/>
      <c r="C86" s="2787"/>
      <c r="D86" s="2787"/>
      <c r="E86" s="2787"/>
      <c r="F86" s="2781" t="s">
        <v>1388</v>
      </c>
      <c r="G86" s="2781"/>
      <c r="H86" s="2593"/>
      <c r="I86" s="2653"/>
      <c r="J86" s="2593"/>
      <c r="K86"/>
      <c r="M86" s="78"/>
      <c r="N86" s="767"/>
      <c r="O86" s="868"/>
      <c r="P86" s="868"/>
      <c r="Q86" s="868"/>
      <c r="R86" s="868"/>
      <c r="S86" s="868"/>
      <c r="T86" s="767"/>
      <c r="U86" s="767"/>
      <c r="V86" s="868"/>
      <c r="W86" s="868"/>
      <c r="X86" s="868"/>
      <c r="Y86" s="868"/>
      <c r="Z86" s="868"/>
      <c r="AA86" s="767"/>
      <c r="AB86" s="767"/>
      <c r="AC86" s="868"/>
      <c r="AD86" s="868"/>
      <c r="AE86" s="868"/>
      <c r="AF86" s="868"/>
      <c r="AG86" s="868"/>
      <c r="AH86" s="849"/>
      <c r="AW86" s="198"/>
      <c r="AX86" s="198"/>
      <c r="AY86" s="198"/>
      <c r="AZ86" s="198"/>
      <c r="BA86" s="198"/>
      <c r="BB86" s="198"/>
      <c r="BC86" s="198"/>
      <c r="BD86" s="198"/>
      <c r="BE86" s="198"/>
      <c r="BF86" s="198"/>
      <c r="BG86" s="198"/>
      <c r="BH86" s="198"/>
      <c r="BI86" s="198"/>
    </row>
    <row r="87" spans="1:62" ht="103.15" customHeight="1">
      <c r="A87" s="2348" t="str">
        <f>IF($L$1=2,Language!$E$506,IF($L$1=3,Language!$F$506,Language!$G$506))</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87" s="2349"/>
      <c r="C87" s="2349"/>
      <c r="D87" s="2349"/>
      <c r="E87" s="2349"/>
      <c r="F87" s="2349"/>
      <c r="G87" s="2349"/>
      <c r="H87" s="2349"/>
      <c r="I87" s="2349"/>
      <c r="J87" s="2349"/>
      <c r="K87" s="2349"/>
      <c r="L87" s="2349"/>
      <c r="M87" s="2350"/>
      <c r="N87" s="845"/>
      <c r="O87" s="875"/>
      <c r="P87" s="875"/>
      <c r="Q87" s="875"/>
      <c r="R87" s="875"/>
      <c r="S87" s="875"/>
      <c r="T87" s="845"/>
      <c r="U87" s="845"/>
      <c r="V87" s="875"/>
      <c r="W87" s="875"/>
      <c r="X87" s="875"/>
      <c r="Y87" s="875"/>
      <c r="Z87" s="875"/>
      <c r="AA87" s="845"/>
      <c r="AB87" s="845"/>
      <c r="AC87" s="875"/>
      <c r="AD87" s="875"/>
      <c r="AE87" s="875"/>
      <c r="AF87" s="875"/>
      <c r="AG87" s="875"/>
      <c r="AH87" s="849"/>
    </row>
    <row r="88" spans="1:62" ht="12.75" customHeight="1" thickBot="1">
      <c r="A88" s="154"/>
      <c r="B88" s="154"/>
      <c r="C88" s="1506"/>
      <c r="D88" s="154"/>
      <c r="E88" s="154"/>
      <c r="F88" s="154"/>
      <c r="G88" s="116"/>
      <c r="H88" s="154"/>
      <c r="I88" s="154"/>
      <c r="J88" s="116"/>
      <c r="K88" s="154"/>
      <c r="L88" s="154"/>
      <c r="M88" s="154"/>
      <c r="N88" s="778"/>
      <c r="O88" s="878"/>
      <c r="P88" s="878"/>
      <c r="Q88" s="878"/>
      <c r="R88" s="878"/>
      <c r="S88" s="878"/>
      <c r="T88" s="778"/>
      <c r="U88" s="778"/>
      <c r="V88" s="878"/>
      <c r="W88" s="878"/>
      <c r="X88" s="878"/>
      <c r="Y88" s="878"/>
      <c r="Z88" s="878"/>
      <c r="AA88" s="778"/>
      <c r="AB88" s="778"/>
      <c r="AC88" s="878"/>
      <c r="AD88" s="878"/>
      <c r="AE88" s="878"/>
      <c r="AF88" s="878"/>
      <c r="AG88" s="878"/>
      <c r="AH88" s="850"/>
    </row>
    <row r="89" spans="1:62" ht="27.75" customHeight="1" thickBot="1">
      <c r="A89" s="2645" t="str">
        <f>A67</f>
        <v>Categoría</v>
      </c>
      <c r="B89" s="2645"/>
      <c r="C89" s="2645"/>
      <c r="D89" s="2645"/>
      <c r="E89" s="2665" t="str">
        <f>E67</f>
        <v>Tipo de producto</v>
      </c>
      <c r="F89" s="2645"/>
      <c r="G89" s="2645"/>
      <c r="H89" s="2745"/>
      <c r="I89" s="2748" t="str">
        <f>I67</f>
        <v xml:space="preserve">Especificaciones (denominación, características técnicas, tamaño del empaque) </v>
      </c>
      <c r="J89" s="2721"/>
      <c r="K89" s="2749"/>
      <c r="L89" s="2645" t="str">
        <f>L67</f>
        <v>Unidad de medida</v>
      </c>
      <c r="M89" s="2645" t="str">
        <f>M67</f>
        <v>Moneda de pago</v>
      </c>
      <c r="N89" s="2714">
        <f>N67</f>
        <v>2022</v>
      </c>
      <c r="O89" s="2710"/>
      <c r="P89" s="2710"/>
      <c r="Q89" s="2710"/>
      <c r="R89" s="2710"/>
      <c r="S89" s="2710"/>
      <c r="T89" s="2710"/>
      <c r="U89" s="2710">
        <f>U67</f>
        <v>2023</v>
      </c>
      <c r="V89" s="2710"/>
      <c r="W89" s="2710"/>
      <c r="X89" s="2710"/>
      <c r="Y89" s="2710"/>
      <c r="Z89" s="2710"/>
      <c r="AA89" s="2711"/>
      <c r="AB89" s="2710">
        <f>AB67</f>
        <v>2024</v>
      </c>
      <c r="AC89" s="2710"/>
      <c r="AD89" s="2710"/>
      <c r="AE89" s="2710"/>
      <c r="AF89" s="2710"/>
      <c r="AG89" s="2710"/>
      <c r="AH89" s="2711"/>
      <c r="AI89" s="2721" t="str">
        <f t="shared" ref="AI89:AJ89" si="75">AI67</f>
        <v>Total del período de subvención</v>
      </c>
      <c r="AJ89" s="2716">
        <f t="shared" si="75"/>
        <v>0</v>
      </c>
      <c r="AK89" s="454" t="str">
        <f>AK67</f>
        <v>Finanzas</v>
      </c>
      <c r="AL89" s="2712" t="str">
        <f t="shared" ref="AL89:AM90" si="76">AL67</f>
        <v>Comentarios</v>
      </c>
      <c r="AM89" s="2608" t="str">
        <f t="shared" si="76"/>
        <v>Plazo de entrega</v>
      </c>
      <c r="AN89" s="2608" t="s">
        <v>3054</v>
      </c>
    </row>
    <row r="90" spans="1:62" s="325" customFormat="1" ht="26.5" thickBot="1">
      <c r="A90" s="2757"/>
      <c r="B90" s="2757"/>
      <c r="C90" s="2757"/>
      <c r="D90" s="2757"/>
      <c r="E90" s="2666"/>
      <c r="F90" s="2757"/>
      <c r="G90" s="2757"/>
      <c r="H90" s="2758"/>
      <c r="I90" s="2759"/>
      <c r="J90" s="2760"/>
      <c r="K90" s="2761"/>
      <c r="L90" s="2757"/>
      <c r="M90" s="2757"/>
      <c r="N90" s="854" t="str">
        <f>N68</f>
        <v>Costo unitario del A1</v>
      </c>
      <c r="O90" s="871" t="str">
        <f t="shared" ref="O90:AJ90" si="77">O68</f>
        <v>Cantidad del A1, T1</v>
      </c>
      <c r="P90" s="871" t="str">
        <f t="shared" si="77"/>
        <v>Cantidad del A1, T2</v>
      </c>
      <c r="Q90" s="871" t="str">
        <f t="shared" si="77"/>
        <v>Cantidad del A1, T3</v>
      </c>
      <c r="R90" s="871" t="str">
        <f t="shared" si="77"/>
        <v>Cantidad del A1, T4</v>
      </c>
      <c r="S90" s="871" t="str">
        <f t="shared" si="77"/>
        <v>Cantidad total del A1</v>
      </c>
      <c r="T90" s="830" t="str">
        <f t="shared" si="77"/>
        <v>Costo total del A1</v>
      </c>
      <c r="U90" s="854" t="str">
        <f t="shared" si="77"/>
        <v>Costo unitario del A2</v>
      </c>
      <c r="V90" s="871" t="str">
        <f t="shared" si="77"/>
        <v>Cantidad del A2, T1</v>
      </c>
      <c r="W90" s="871" t="str">
        <f t="shared" si="77"/>
        <v>Cantidad del A2, T2</v>
      </c>
      <c r="X90" s="871" t="str">
        <f t="shared" si="77"/>
        <v>Cantidad del A2, T3</v>
      </c>
      <c r="Y90" s="871" t="str">
        <f t="shared" si="77"/>
        <v>Cantidad del A2, T4</v>
      </c>
      <c r="Z90" s="871" t="str">
        <f t="shared" si="77"/>
        <v>Cantidad total del A2</v>
      </c>
      <c r="AA90" s="830" t="str">
        <f t="shared" si="77"/>
        <v>Costo total del A2</v>
      </c>
      <c r="AB90" s="854" t="str">
        <f t="shared" si="77"/>
        <v>Costo unitario del A3</v>
      </c>
      <c r="AC90" s="871" t="str">
        <f t="shared" si="77"/>
        <v>Cantidad del A3, T1</v>
      </c>
      <c r="AD90" s="871" t="str">
        <f t="shared" si="77"/>
        <v>Cantidad del A3, T2</v>
      </c>
      <c r="AE90" s="871" t="str">
        <f t="shared" si="77"/>
        <v>Cantidad del A3, T3</v>
      </c>
      <c r="AF90" s="871" t="str">
        <f t="shared" si="77"/>
        <v>Cantidad del A3, T4</v>
      </c>
      <c r="AG90" s="871" t="str">
        <f t="shared" si="77"/>
        <v>Cantidad total del A3</v>
      </c>
      <c r="AH90" s="830" t="str">
        <f t="shared" si="77"/>
        <v>Costo total del A3</v>
      </c>
      <c r="AI90" s="887" t="str">
        <f t="shared" si="77"/>
        <v>Cantidad total</v>
      </c>
      <c r="AJ90" s="830" t="str">
        <f t="shared" si="77"/>
        <v xml:space="preserve">Costo total </v>
      </c>
      <c r="AK90" s="389" t="str">
        <f>AK68</f>
        <v>Categoría de costos</v>
      </c>
      <c r="AL90" s="2713">
        <f t="shared" si="76"/>
        <v>0</v>
      </c>
      <c r="AM90" s="2609">
        <f t="shared" si="76"/>
        <v>0</v>
      </c>
      <c r="AN90" s="2609"/>
      <c r="AU90" s="62"/>
      <c r="AV90" s="62"/>
      <c r="AW90" s="62"/>
      <c r="AX90" s="62"/>
      <c r="AY90" s="62"/>
      <c r="AZ90" s="62"/>
      <c r="BA90" s="62"/>
      <c r="BB90" s="62"/>
      <c r="BC90" s="62"/>
      <c r="BD90" s="62"/>
      <c r="BE90" s="62"/>
      <c r="BF90" s="62"/>
      <c r="BG90" s="62"/>
      <c r="BH90" s="62"/>
      <c r="BI90" s="62"/>
      <c r="BJ90" s="62"/>
    </row>
    <row r="91" spans="1:62" s="1137" customFormat="1">
      <c r="A91" s="2611"/>
      <c r="B91" s="2611"/>
      <c r="C91" s="2611"/>
      <c r="D91" s="2611"/>
      <c r="E91" s="2610"/>
      <c r="F91" s="2618"/>
      <c r="G91" s="2618"/>
      <c r="H91" s="2612"/>
      <c r="I91" s="2754"/>
      <c r="J91" s="2755"/>
      <c r="K91" s="2756"/>
      <c r="L91" s="1130" t="str">
        <f>IF(A91&lt;&gt;"",IFERROR(INDEX(PMtbl[[WKst]:[Unit of measure*]],MATCH($A$85&amp;$A91&amp;$E91&amp;$I91,INDEX(PMtbl[Sec]&amp;PMtbl[Category]&amp;PMtbl[INN]&amp;PMtbl[Specification],0,),0),8),""),"")</f>
        <v/>
      </c>
      <c r="M91" s="1124" t="str">
        <f>IF(L91="", "",SETUP!$E$5)</f>
        <v/>
      </c>
      <c r="N91" s="859"/>
      <c r="O91" s="876"/>
      <c r="P91" s="876"/>
      <c r="Q91" s="876"/>
      <c r="R91" s="876"/>
      <c r="S91" s="474">
        <f>SUM('TB-EQUIPMENT &amp; OTHER HPs'!$O91:$R91)</f>
        <v>0</v>
      </c>
      <c r="T91" s="837">
        <f>'TB-EQUIPMENT &amp; OTHER HPs'!$N91*'TB-EQUIPMENT &amp; OTHER HPs'!$S91</f>
        <v>0</v>
      </c>
      <c r="U91" s="859"/>
      <c r="V91" s="876"/>
      <c r="W91" s="876"/>
      <c r="X91" s="876"/>
      <c r="Y91" s="876"/>
      <c r="Z91" s="474">
        <f>SUM('TB-EQUIPMENT &amp; OTHER HPs'!$V91:$Y91)</f>
        <v>0</v>
      </c>
      <c r="AA91" s="837">
        <f>'TB-EQUIPMENT &amp; OTHER HPs'!$U91*'TB-EQUIPMENT &amp; OTHER HPs'!$Z91</f>
        <v>0</v>
      </c>
      <c r="AB91" s="859"/>
      <c r="AC91" s="876"/>
      <c r="AD91" s="876"/>
      <c r="AE91" s="876"/>
      <c r="AF91" s="876"/>
      <c r="AG91" s="474">
        <f>SUM('TB-EQUIPMENT &amp; OTHER HPs'!$AC91:$AF91)</f>
        <v>0</v>
      </c>
      <c r="AH91" s="837">
        <f>'TB-EQUIPMENT &amp; OTHER HPs'!$AB91*'TB-EQUIPMENT &amp; OTHER HPs'!$AG91</f>
        <v>0</v>
      </c>
      <c r="AI91" s="483">
        <f>'TB-EQUIPMENT &amp; OTHER HPs'!$S91+'TB-EQUIPMENT &amp; OTHER HPs'!$Z91+'TB-EQUIPMENT &amp; OTHER HPs'!$AG91</f>
        <v>0</v>
      </c>
      <c r="AJ91" s="837">
        <f>'TB-EQUIPMENT &amp; OTHER HPs'!$T91+'TB-EQUIPMENT &amp; OTHER HPs'!$AA91+'TB-EQUIPMENT &amp; OTHER HPs'!$AH91</f>
        <v>0</v>
      </c>
      <c r="AK91" s="1136" t="str">
        <f>IF(A91&lt;&gt;"",IFERROR(INDEX(PMtbl[[WKst]:[Unit of measure*]],MATCH($A$85&amp;$A91&amp;$E91&amp;$I91,INDEX(PMtbl[Sec]&amp;PMtbl[Category]&amp;PMtbl[INN]&amp;PMtbl[Specification],0,),0),7),""),"")</f>
        <v/>
      </c>
      <c r="AL91" s="952"/>
      <c r="AM91" s="1432" t="str">
        <f>IFERROR(INDEX(SETUP!$C$19:$G$62,MATCH((INDEX(PMtbl[[WKst]:[Unit of measure*]],MATCH($A91&amp;$E91&amp;$I91,INDEX(PMtbl[Category]&amp;PMtbl[INN]&amp;PMtbl[Specification],0,),0),3)),SETUP!$D$19:$D$62,0),5),"")</f>
        <v/>
      </c>
      <c r="AN91" s="1432"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c r="AU91" s="62"/>
      <c r="AV91" s="62"/>
      <c r="AW91" s="62"/>
      <c r="AX91" s="62"/>
      <c r="AY91" s="62"/>
      <c r="AZ91" s="62"/>
      <c r="BA91" s="62"/>
      <c r="BB91" s="62"/>
      <c r="BC91" s="62"/>
      <c r="BD91" s="62"/>
      <c r="BE91" s="62"/>
      <c r="BF91" s="62"/>
      <c r="BG91" s="62"/>
      <c r="BH91" s="62"/>
      <c r="BI91" s="62"/>
      <c r="BJ91" s="62"/>
    </row>
    <row r="92" spans="1:62" s="1128" customFormat="1">
      <c r="A92" s="2435"/>
      <c r="B92" s="2435"/>
      <c r="C92" s="2435"/>
      <c r="D92" s="2435"/>
      <c r="E92" s="2725"/>
      <c r="F92" s="2476"/>
      <c r="G92" s="2476"/>
      <c r="H92" s="2726"/>
      <c r="I92" s="2727"/>
      <c r="J92" s="2730"/>
      <c r="K92" s="2729"/>
      <c r="L92" s="1133" t="str">
        <f>IF(A92&lt;&gt;"",IFERROR(INDEX(PMtbl[[WKst]:[Unit of measure*]],MATCH($A$85&amp;$A92&amp;$E92&amp;$I92,INDEX(PMtbl[Sec]&amp;PMtbl[Category]&amp;PMtbl[INN]&amp;PMtbl[Specification],0,),0),8),""),"")</f>
        <v/>
      </c>
      <c r="M92" s="1133" t="str">
        <f>IF(L92="", "",SETUP!$E$5)</f>
        <v/>
      </c>
      <c r="N92" s="856"/>
      <c r="O92" s="12"/>
      <c r="P92" s="12"/>
      <c r="Q92" s="12"/>
      <c r="R92" s="12"/>
      <c r="S92" s="467">
        <f>SUM('TB-EQUIPMENT &amp; OTHER HPs'!$O92:$R92)</f>
        <v>0</v>
      </c>
      <c r="T92" s="832">
        <f>'TB-EQUIPMENT &amp; OTHER HPs'!$N92*'TB-EQUIPMENT &amp; OTHER HPs'!$S92</f>
        <v>0</v>
      </c>
      <c r="U92" s="856"/>
      <c r="V92" s="12"/>
      <c r="W92" s="12"/>
      <c r="X92" s="12"/>
      <c r="Y92" s="12"/>
      <c r="Z92" s="467">
        <f>SUM('TB-EQUIPMENT &amp; OTHER HPs'!$V92:$Y92)</f>
        <v>0</v>
      </c>
      <c r="AA92" s="832">
        <f>'TB-EQUIPMENT &amp; OTHER HPs'!$U92*'TB-EQUIPMENT &amp; OTHER HPs'!$Z92</f>
        <v>0</v>
      </c>
      <c r="AB92" s="856"/>
      <c r="AC92" s="12"/>
      <c r="AD92" s="12"/>
      <c r="AE92" s="12"/>
      <c r="AF92" s="12"/>
      <c r="AG92" s="467">
        <f>SUM('TB-EQUIPMENT &amp; OTHER HPs'!$AC92:$AF92)</f>
        <v>0</v>
      </c>
      <c r="AH92" s="832">
        <f>'TB-EQUIPMENT &amp; OTHER HPs'!$AB92*'TB-EQUIPMENT &amp; OTHER HPs'!$AG92</f>
        <v>0</v>
      </c>
      <c r="AI92" s="468">
        <f>'TB-EQUIPMENT &amp; OTHER HPs'!$S92+'TB-EQUIPMENT &amp; OTHER HPs'!$Z92+'TB-EQUIPMENT &amp; OTHER HPs'!$AG92</f>
        <v>0</v>
      </c>
      <c r="AJ92" s="832">
        <f>'TB-EQUIPMENT &amp; OTHER HPs'!$T92+'TB-EQUIPMENT &amp; OTHER HPs'!$AA92+'TB-EQUIPMENT &amp; OTHER HPs'!$AH92</f>
        <v>0</v>
      </c>
      <c r="AK92" s="1139" t="str">
        <f>IF(A92&lt;&gt;"",IFERROR(INDEX(PMtbl[[WKst]:[Unit of measure*]],MATCH($A$85&amp;$A92&amp;$E92&amp;$I92,INDEX(PMtbl[Sec]&amp;PMtbl[Category]&amp;PMtbl[INN]&amp;PMtbl[Specification],0,),0),7),""),"")</f>
        <v/>
      </c>
      <c r="AL92" s="947"/>
      <c r="AM92" s="1428" t="str">
        <f>IFERROR(INDEX(SETUP!$C$19:$G$62,MATCH((INDEX(PMtbl[[WKst]:[Unit of measure*]],MATCH($A92&amp;$E92&amp;$I92,INDEX(PMtbl[Category]&amp;PMtbl[INN]&amp;PMtbl[Specification],0,),0),3)),SETUP!$D$19:$D$62,0),5),"")</f>
        <v/>
      </c>
      <c r="AN92" s="1428"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c r="AU92" s="325"/>
      <c r="AV92" s="325"/>
      <c r="AW92" s="62"/>
      <c r="AX92" s="62"/>
      <c r="AY92" s="62"/>
      <c r="AZ92" s="62"/>
      <c r="BA92" s="62"/>
      <c r="BB92" s="62"/>
      <c r="BC92" s="62"/>
      <c r="BD92" s="62"/>
      <c r="BE92" s="62"/>
      <c r="BF92" s="62"/>
      <c r="BG92" s="62"/>
      <c r="BH92" s="62"/>
      <c r="BI92" s="62"/>
      <c r="BJ92" s="325"/>
    </row>
    <row r="93" spans="1:62" s="1128" customFormat="1">
      <c r="A93" s="2611"/>
      <c r="B93" s="2611"/>
      <c r="C93" s="2611"/>
      <c r="D93" s="2611"/>
      <c r="E93" s="2610"/>
      <c r="F93" s="2618"/>
      <c r="G93" s="2618"/>
      <c r="H93" s="2612"/>
      <c r="I93" s="2722"/>
      <c r="J93" s="2723"/>
      <c r="K93" s="2724"/>
      <c r="L93" s="1124" t="str">
        <f>IF(A93&lt;&gt;"",IFERROR(INDEX(PMtbl[[WKst]:[Unit of measure*]],MATCH($A$85&amp;$A93&amp;$E93&amp;$I93,INDEX(PMtbl[Sec]&amp;PMtbl[Category]&amp;PMtbl[INN]&amp;PMtbl[Specification],0,),0),8),""),"")</f>
        <v/>
      </c>
      <c r="M93" s="1124" t="str">
        <f>IF(L93="", "",SETUP!$E$5)</f>
        <v/>
      </c>
      <c r="N93" s="857"/>
      <c r="O93" s="873"/>
      <c r="P93" s="873"/>
      <c r="Q93" s="873"/>
      <c r="R93" s="873"/>
      <c r="S93" s="469">
        <f>SUM('TB-EQUIPMENT &amp; OTHER HPs'!$O93:$R93)</f>
        <v>0</v>
      </c>
      <c r="T93" s="833">
        <f>'TB-EQUIPMENT &amp; OTHER HPs'!$N93*'TB-EQUIPMENT &amp; OTHER HPs'!$S93</f>
        <v>0</v>
      </c>
      <c r="U93" s="857"/>
      <c r="V93" s="873"/>
      <c r="W93" s="873"/>
      <c r="X93" s="873"/>
      <c r="Y93" s="873"/>
      <c r="Z93" s="469">
        <f>SUM('TB-EQUIPMENT &amp; OTHER HPs'!$V93:$Y93)</f>
        <v>0</v>
      </c>
      <c r="AA93" s="833">
        <f>'TB-EQUIPMENT &amp; OTHER HPs'!$U93*'TB-EQUIPMENT &amp; OTHER HPs'!$Z93</f>
        <v>0</v>
      </c>
      <c r="AB93" s="857"/>
      <c r="AC93" s="873"/>
      <c r="AD93" s="873"/>
      <c r="AE93" s="873"/>
      <c r="AF93" s="873"/>
      <c r="AG93" s="469">
        <f>SUM('TB-EQUIPMENT &amp; OTHER HPs'!$AC93:$AF93)</f>
        <v>0</v>
      </c>
      <c r="AH93" s="833">
        <f>'TB-EQUIPMENT &amp; OTHER HPs'!$AB93*'TB-EQUIPMENT &amp; OTHER HPs'!$AG93</f>
        <v>0</v>
      </c>
      <c r="AI93" s="470">
        <f>'TB-EQUIPMENT &amp; OTHER HPs'!$S93+'TB-EQUIPMENT &amp; OTHER HPs'!$Z93+'TB-EQUIPMENT &amp; OTHER HPs'!$AG93</f>
        <v>0</v>
      </c>
      <c r="AJ93" s="833">
        <f>'TB-EQUIPMENT &amp; OTHER HPs'!$T93+'TB-EQUIPMENT &amp; OTHER HPs'!$AA93+'TB-EQUIPMENT &amp; OTHER HPs'!$AH93</f>
        <v>0</v>
      </c>
      <c r="AK93" s="1140" t="str">
        <f>IF(A93&lt;&gt;"",IFERROR(INDEX(PMtbl[[WKst]:[Unit of measure*]],MATCH($A$85&amp;$A93&amp;$E93&amp;$I93,INDEX(PMtbl[Sec]&amp;PMtbl[Category]&amp;PMtbl[INN]&amp;PMtbl[Specification],0,),0),7),""),"")</f>
        <v/>
      </c>
      <c r="AL93" s="946"/>
      <c r="AM93" s="1427" t="str">
        <f>IFERROR(INDEX(SETUP!$C$19:$G$62,MATCH((INDEX(PMtbl[[WKst]:[Unit of measure*]],MATCH($A93&amp;$E93&amp;$I93,INDEX(PMtbl[Category]&amp;PMtbl[INN]&amp;PMtbl[Specification],0,),0),3)),SETUP!$D$19:$D$62,0),5),"")</f>
        <v/>
      </c>
      <c r="AN93" s="1427"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c r="AU93" s="1137"/>
      <c r="AV93" s="1137"/>
      <c r="AW93" s="1138"/>
      <c r="AX93" s="1138"/>
      <c r="AY93" s="1138"/>
      <c r="AZ93" s="1138"/>
      <c r="BA93" s="1138"/>
      <c r="BB93" s="1138"/>
      <c r="BC93" s="1138"/>
      <c r="BD93" s="1138"/>
      <c r="BE93" s="1138"/>
      <c r="BF93" s="1138"/>
      <c r="BG93" s="1138"/>
      <c r="BH93" s="1138"/>
      <c r="BI93" s="1138"/>
      <c r="BJ93" s="1137"/>
    </row>
    <row r="94" spans="1:62" s="1128" customFormat="1">
      <c r="A94" s="2435"/>
      <c r="B94" s="2435"/>
      <c r="C94" s="2435"/>
      <c r="D94" s="2435"/>
      <c r="E94" s="2725"/>
      <c r="F94" s="2476"/>
      <c r="G94" s="2476"/>
      <c r="H94" s="2726"/>
      <c r="I94" s="2727"/>
      <c r="J94" s="2730"/>
      <c r="K94" s="2729"/>
      <c r="L94" s="1133" t="str">
        <f>IF(A94&lt;&gt;"",IFERROR(INDEX(PMtbl[[WKst]:[Unit of measure*]],MATCH($A$85&amp;$A94&amp;$E94&amp;$I94,INDEX(PMtbl[Sec]&amp;PMtbl[Category]&amp;PMtbl[INN]&amp;PMtbl[Specification],0,),0),8),""),"")</f>
        <v/>
      </c>
      <c r="M94" s="1141" t="str">
        <f>IF(L94="", "",SETUP!$E$5)</f>
        <v/>
      </c>
      <c r="N94" s="856"/>
      <c r="O94" s="12"/>
      <c r="P94" s="12"/>
      <c r="Q94" s="12"/>
      <c r="R94" s="12"/>
      <c r="S94" s="467">
        <f>SUM('TB-EQUIPMENT &amp; OTHER HPs'!$O94:$R94)</f>
        <v>0</v>
      </c>
      <c r="T94" s="832">
        <f>'TB-EQUIPMENT &amp; OTHER HPs'!$N94*'TB-EQUIPMENT &amp; OTHER HPs'!$S94</f>
        <v>0</v>
      </c>
      <c r="U94" s="856"/>
      <c r="V94" s="12"/>
      <c r="W94" s="12"/>
      <c r="X94" s="12"/>
      <c r="Y94" s="12"/>
      <c r="Z94" s="467">
        <f>SUM('TB-EQUIPMENT &amp; OTHER HPs'!$V94:$Y94)</f>
        <v>0</v>
      </c>
      <c r="AA94" s="832">
        <f>'TB-EQUIPMENT &amp; OTHER HPs'!$U94*'TB-EQUIPMENT &amp; OTHER HPs'!$Z94</f>
        <v>0</v>
      </c>
      <c r="AB94" s="856"/>
      <c r="AC94" s="12"/>
      <c r="AD94" s="12"/>
      <c r="AE94" s="12"/>
      <c r="AF94" s="12"/>
      <c r="AG94" s="467">
        <f>SUM('TB-EQUIPMENT &amp; OTHER HPs'!$AC94:$AF94)</f>
        <v>0</v>
      </c>
      <c r="AH94" s="832">
        <f>'TB-EQUIPMENT &amp; OTHER HPs'!$AB94*'TB-EQUIPMENT &amp; OTHER HPs'!$AG94</f>
        <v>0</v>
      </c>
      <c r="AI94" s="468">
        <f>'TB-EQUIPMENT &amp; OTHER HPs'!$S94+'TB-EQUIPMENT &amp; OTHER HPs'!$Z94+'TB-EQUIPMENT &amp; OTHER HPs'!$AG94</f>
        <v>0</v>
      </c>
      <c r="AJ94" s="832">
        <f>'TB-EQUIPMENT &amp; OTHER HPs'!$T94+'TB-EQUIPMENT &amp; OTHER HPs'!$AA94+'TB-EQUIPMENT &amp; OTHER HPs'!$AH94</f>
        <v>0</v>
      </c>
      <c r="AK94" s="1139" t="str">
        <f>IF(A94&lt;&gt;"",IFERROR(INDEX(PMtbl[[WKst]:[Unit of measure*]],MATCH($A$85&amp;$A94&amp;$E94&amp;$I94,INDEX(PMtbl[Sec]&amp;PMtbl[Category]&amp;PMtbl[INN]&amp;PMtbl[Specification],0,),0),7),""),"")</f>
        <v/>
      </c>
      <c r="AL94" s="947"/>
      <c r="AM94" s="1428" t="str">
        <f>IFERROR(INDEX(SETUP!$C$19:$G$62,MATCH((INDEX(PMtbl[[WKst]:[Unit of measure*]],MATCH($A94&amp;$E94&amp;$I94,INDEX(PMtbl[Category]&amp;PMtbl[INN]&amp;PMtbl[Specification],0,),0),3)),SETUP!$D$19:$D$62,0),5),"")</f>
        <v/>
      </c>
      <c r="AN94" s="1428"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c r="AW94" s="1137"/>
      <c r="AX94" s="1137"/>
      <c r="AY94" s="1137"/>
      <c r="AZ94" s="1137"/>
      <c r="BA94" s="1137"/>
      <c r="BB94" s="1137"/>
      <c r="BC94" s="1137"/>
      <c r="BD94" s="1137"/>
      <c r="BE94" s="1137"/>
      <c r="BF94" s="1137"/>
      <c r="BG94" s="1137"/>
      <c r="BH94" s="1137"/>
      <c r="BI94" s="1137"/>
    </row>
    <row r="95" spans="1:62" s="198" customFormat="1">
      <c r="A95" s="2611"/>
      <c r="B95" s="2611"/>
      <c r="C95" s="2611"/>
      <c r="D95" s="2611"/>
      <c r="E95" s="2610"/>
      <c r="F95" s="2611"/>
      <c r="G95" s="2611"/>
      <c r="H95" s="2612"/>
      <c r="I95" s="2722"/>
      <c r="J95" s="2734"/>
      <c r="K95" s="2724"/>
      <c r="L95" s="175" t="str">
        <f>IF(A95&lt;&gt;"",IFERROR(INDEX(PMtbl[[WKst]:[Unit of measure*]],MATCH($A$85&amp;$A95&amp;$E95&amp;$I95,INDEX(PMtbl[Sec]&amp;PMtbl[Category]&amp;PMtbl[INN]&amp;PMtbl[Specification],0,),0),8),""),"")</f>
        <v/>
      </c>
      <c r="M95" s="175" t="str">
        <f>IF(L95="", "",SETUP!$E$5)</f>
        <v/>
      </c>
      <c r="N95" s="857"/>
      <c r="O95" s="873"/>
      <c r="P95" s="873"/>
      <c r="Q95" s="873"/>
      <c r="R95" s="873"/>
      <c r="S95" s="469">
        <f>SUM('TB-EQUIPMENT &amp; OTHER HPs'!$O95:$R95)</f>
        <v>0</v>
      </c>
      <c r="T95" s="833">
        <f>'TB-EQUIPMENT &amp; OTHER HPs'!$N95*'TB-EQUIPMENT &amp; OTHER HPs'!$S95</f>
        <v>0</v>
      </c>
      <c r="U95" s="857"/>
      <c r="V95" s="873"/>
      <c r="W95" s="873"/>
      <c r="X95" s="873"/>
      <c r="Y95" s="873"/>
      <c r="Z95" s="469">
        <f>SUM('TB-EQUIPMENT &amp; OTHER HPs'!$V95:$Y95)</f>
        <v>0</v>
      </c>
      <c r="AA95" s="833">
        <f>'TB-EQUIPMENT &amp; OTHER HPs'!$U95*'TB-EQUIPMENT &amp; OTHER HPs'!$Z95</f>
        <v>0</v>
      </c>
      <c r="AB95" s="857"/>
      <c r="AC95" s="873"/>
      <c r="AD95" s="873"/>
      <c r="AE95" s="873"/>
      <c r="AF95" s="873"/>
      <c r="AG95" s="469">
        <f>SUM('TB-EQUIPMENT &amp; OTHER HPs'!$AC95:$AF95)</f>
        <v>0</v>
      </c>
      <c r="AH95" s="833">
        <f>'TB-EQUIPMENT &amp; OTHER HPs'!$AB95*'TB-EQUIPMENT &amp; OTHER HPs'!$AG95</f>
        <v>0</v>
      </c>
      <c r="AI95" s="470">
        <f>'TB-EQUIPMENT &amp; OTHER HPs'!$S95+'TB-EQUIPMENT &amp; OTHER HPs'!$Z95+'TB-EQUIPMENT &amp; OTHER HPs'!$AG95</f>
        <v>0</v>
      </c>
      <c r="AJ95" s="833">
        <f>'TB-EQUIPMENT &amp; OTHER HPs'!$T95+'TB-EQUIPMENT &amp; OTHER HPs'!$AA95+'TB-EQUIPMENT &amp; OTHER HPs'!$AH95</f>
        <v>0</v>
      </c>
      <c r="AK95" s="401" t="str">
        <f>IF(A95&lt;&gt;"",IFERROR(INDEX(PMtbl[[WKst]:[Unit of measure*]],MATCH($A$85&amp;$A95&amp;$E95&amp;$I95,INDEX(PMtbl[Sec]&amp;PMtbl[Category]&amp;PMtbl[INN]&amp;PMtbl[Specification],0,),0),7),""),"")</f>
        <v/>
      </c>
      <c r="AL95" s="949"/>
      <c r="AM95" s="1430" t="str">
        <f>IFERROR(INDEX(SETUP!$C$19:$G$62,MATCH((INDEX(PMtbl[[WKst]:[Unit of measure*]],MATCH($A95&amp;$E95&amp;$I95,INDEX(PMtbl[Category]&amp;PMtbl[INN]&amp;PMtbl[Specification],0,),0),3)),SETUP!$D$19:$D$62,0),5),"")</f>
        <v/>
      </c>
      <c r="AN95" s="143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c r="AU95" s="1128"/>
      <c r="AV95" s="1128"/>
      <c r="AW95" s="1128"/>
      <c r="AX95" s="1128"/>
      <c r="AY95" s="1128"/>
      <c r="AZ95" s="1128"/>
      <c r="BA95" s="1128"/>
      <c r="BB95" s="1128"/>
      <c r="BC95" s="1128"/>
      <c r="BD95" s="1128"/>
      <c r="BE95" s="1128"/>
      <c r="BF95" s="1128"/>
      <c r="BG95" s="1128"/>
      <c r="BH95" s="1128"/>
      <c r="BI95" s="1128"/>
      <c r="BJ95" s="1128"/>
    </row>
    <row r="96" spans="1:62" s="198" customFormat="1">
      <c r="A96" s="2435"/>
      <c r="B96" s="2435"/>
      <c r="C96" s="2435"/>
      <c r="D96" s="2435"/>
      <c r="E96" s="2725"/>
      <c r="F96" s="2435"/>
      <c r="G96" s="2435"/>
      <c r="H96" s="2726"/>
      <c r="I96" s="2727"/>
      <c r="J96" s="2728"/>
      <c r="K96" s="2729"/>
      <c r="L96" s="176" t="str">
        <f>IF(A96&lt;&gt;"",IFERROR(INDEX(PMtbl[[WKst]:[Unit of measure*]],MATCH($A$85&amp;$A96&amp;$E96&amp;$I96,INDEX(PMtbl[Sec]&amp;PMtbl[Category]&amp;PMtbl[INN]&amp;PMtbl[Specification],0,),0),8),""),"")</f>
        <v/>
      </c>
      <c r="M96" s="177" t="str">
        <f>IF(L96="", "",SETUP!$E$5)</f>
        <v/>
      </c>
      <c r="N96" s="856"/>
      <c r="O96" s="12"/>
      <c r="P96" s="12"/>
      <c r="Q96" s="12"/>
      <c r="R96" s="12"/>
      <c r="S96" s="467">
        <f>SUM('TB-EQUIPMENT &amp; OTHER HPs'!$O96:$R96)</f>
        <v>0</v>
      </c>
      <c r="T96" s="832">
        <f>'TB-EQUIPMENT &amp; OTHER HPs'!$N96*'TB-EQUIPMENT &amp; OTHER HPs'!$S96</f>
        <v>0</v>
      </c>
      <c r="U96" s="856"/>
      <c r="V96" s="12"/>
      <c r="W96" s="12"/>
      <c r="X96" s="12"/>
      <c r="Y96" s="12"/>
      <c r="Z96" s="467">
        <f>SUM('TB-EQUIPMENT &amp; OTHER HPs'!$V96:$Y96)</f>
        <v>0</v>
      </c>
      <c r="AA96" s="832">
        <f>'TB-EQUIPMENT &amp; OTHER HPs'!$U96*'TB-EQUIPMENT &amp; OTHER HPs'!$Z96</f>
        <v>0</v>
      </c>
      <c r="AB96" s="856"/>
      <c r="AC96" s="12"/>
      <c r="AD96" s="12"/>
      <c r="AE96" s="12"/>
      <c r="AF96" s="12"/>
      <c r="AG96" s="467">
        <f>SUM('TB-EQUIPMENT &amp; OTHER HPs'!$AC96:$AF96)</f>
        <v>0</v>
      </c>
      <c r="AH96" s="832">
        <f>'TB-EQUIPMENT &amp; OTHER HPs'!$AB96*'TB-EQUIPMENT &amp; OTHER HPs'!$AG96</f>
        <v>0</v>
      </c>
      <c r="AI96" s="468">
        <f>'TB-EQUIPMENT &amp; OTHER HPs'!$S96+'TB-EQUIPMENT &amp; OTHER HPs'!$Z96+'TB-EQUIPMENT &amp; OTHER HPs'!$AG96</f>
        <v>0</v>
      </c>
      <c r="AJ96" s="832">
        <f>'TB-EQUIPMENT &amp; OTHER HPs'!$T96+'TB-EQUIPMENT &amp; OTHER HPs'!$AA96+'TB-EQUIPMENT &amp; OTHER HPs'!$AH96</f>
        <v>0</v>
      </c>
      <c r="AK96" s="402" t="str">
        <f>IF(A96&lt;&gt;"",IFERROR(INDEX(PMtbl[[WKst]:[Unit of measure*]],MATCH($A$85&amp;$A96&amp;$E96&amp;$I96,INDEX(PMtbl[Sec]&amp;PMtbl[Category]&amp;PMtbl[INN]&amp;PMtbl[Specification],0,),0),7),""),"")</f>
        <v/>
      </c>
      <c r="AL96" s="950"/>
      <c r="AM96" s="1429" t="str">
        <f>IFERROR(INDEX(SETUP!$C$19:$G$62,MATCH((INDEX(PMtbl[[WKst]:[Unit of measure*]],MATCH($A96&amp;$E96&amp;$I96,INDEX(PMtbl[Category]&amp;PMtbl[INN]&amp;PMtbl[Specification],0,),0),3)),SETUP!$D$19:$D$62,0),5),"")</f>
        <v/>
      </c>
      <c r="AN96" s="1429"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c r="AU96" s="1128"/>
      <c r="AV96" s="1128"/>
      <c r="AW96" s="1128"/>
      <c r="AX96" s="1128"/>
      <c r="AY96" s="1128"/>
      <c r="AZ96" s="1128"/>
      <c r="BA96" s="1128"/>
      <c r="BB96" s="1128"/>
      <c r="BC96" s="1128"/>
      <c r="BD96" s="1128"/>
      <c r="BE96" s="1128"/>
      <c r="BF96" s="1128"/>
      <c r="BG96" s="1128"/>
      <c r="BH96" s="1128"/>
      <c r="BI96" s="1128"/>
      <c r="BJ96" s="1128"/>
    </row>
    <row r="97" spans="1:40" s="198" customFormat="1">
      <c r="A97" s="2610"/>
      <c r="B97" s="2611"/>
      <c r="C97" s="2611"/>
      <c r="D97" s="2611"/>
      <c r="E97" s="2610"/>
      <c r="F97" s="2611"/>
      <c r="G97" s="2611"/>
      <c r="H97" s="2612"/>
      <c r="I97" s="2722"/>
      <c r="J97" s="2734"/>
      <c r="K97" s="2724"/>
      <c r="L97" s="175" t="str">
        <f>IF(A97&lt;&gt;"",IFERROR(INDEX(PMtbl[[WKst]:[Unit of measure*]],MATCH($A$85&amp;$A97&amp;$E97&amp;$I97,INDEX(PMtbl[Sec]&amp;PMtbl[Category]&amp;PMtbl[INN]&amp;PMtbl[Specification],0,),0),8),""),"")</f>
        <v/>
      </c>
      <c r="M97" s="175" t="str">
        <f>IF(L97="", "",SETUP!$E$5)</f>
        <v/>
      </c>
      <c r="N97" s="857"/>
      <c r="O97" s="873"/>
      <c r="P97" s="873"/>
      <c r="Q97" s="873"/>
      <c r="R97" s="873"/>
      <c r="S97" s="469">
        <f>SUM('TB-EQUIPMENT &amp; OTHER HPs'!$O97:$R97)</f>
        <v>0</v>
      </c>
      <c r="T97" s="833">
        <f>'TB-EQUIPMENT &amp; OTHER HPs'!$N97*'TB-EQUIPMENT &amp; OTHER HPs'!$S97</f>
        <v>0</v>
      </c>
      <c r="U97" s="857"/>
      <c r="V97" s="873"/>
      <c r="W97" s="873"/>
      <c r="X97" s="873"/>
      <c r="Y97" s="873"/>
      <c r="Z97" s="469">
        <f>SUM('TB-EQUIPMENT &amp; OTHER HPs'!$V97:$Y97)</f>
        <v>0</v>
      </c>
      <c r="AA97" s="833">
        <f>'TB-EQUIPMENT &amp; OTHER HPs'!$U97*'TB-EQUIPMENT &amp; OTHER HPs'!$Z97</f>
        <v>0</v>
      </c>
      <c r="AB97" s="857"/>
      <c r="AC97" s="873"/>
      <c r="AD97" s="873"/>
      <c r="AE97" s="873"/>
      <c r="AF97" s="873"/>
      <c r="AG97" s="469">
        <f>SUM('TB-EQUIPMENT &amp; OTHER HPs'!$AC97:$AF97)</f>
        <v>0</v>
      </c>
      <c r="AH97" s="833">
        <f>'TB-EQUIPMENT &amp; OTHER HPs'!$AB97*'TB-EQUIPMENT &amp; OTHER HPs'!$AG97</f>
        <v>0</v>
      </c>
      <c r="AI97" s="470">
        <f>'TB-EQUIPMENT &amp; OTHER HPs'!$S97+'TB-EQUIPMENT &amp; OTHER HPs'!$Z97+'TB-EQUIPMENT &amp; OTHER HPs'!$AG97</f>
        <v>0</v>
      </c>
      <c r="AJ97" s="833">
        <f>'TB-EQUIPMENT &amp; OTHER HPs'!$T97+'TB-EQUIPMENT &amp; OTHER HPs'!$AA97+'TB-EQUIPMENT &amp; OTHER HPs'!$AH97</f>
        <v>0</v>
      </c>
      <c r="AK97" s="401" t="str">
        <f>IF(A97&lt;&gt;"",IFERROR(INDEX(PMtbl[[WKst]:[Unit of measure*]],MATCH($A$85&amp;$A97&amp;$E97&amp;$I97,INDEX(PMtbl[Sec]&amp;PMtbl[Category]&amp;PMtbl[INN]&amp;PMtbl[Specification],0,),0),7),""),"")</f>
        <v/>
      </c>
      <c r="AL97" s="949"/>
      <c r="AM97" s="1430" t="str">
        <f>IFERROR(INDEX(SETUP!$C$19:$G$62,MATCH((INDEX(PMtbl[[WKst]:[Unit of measure*]],MATCH($A97&amp;$E97&amp;$I97,INDEX(PMtbl[Category]&amp;PMtbl[INN]&amp;PMtbl[Specification],0,),0),3)),SETUP!$D$19:$D$62,0),5),"")</f>
        <v/>
      </c>
      <c r="AN97" s="143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s="198" customFormat="1">
      <c r="A98" s="2435"/>
      <c r="B98" s="2435"/>
      <c r="C98" s="2435"/>
      <c r="D98" s="2435"/>
      <c r="E98" s="2725"/>
      <c r="F98" s="2435"/>
      <c r="G98" s="2435"/>
      <c r="H98" s="2726"/>
      <c r="I98" s="2727"/>
      <c r="J98" s="2728"/>
      <c r="K98" s="2729"/>
      <c r="L98" s="176" t="str">
        <f>IF(A98&lt;&gt;"",IFERROR(INDEX(PMtbl[[WKst]:[Unit of measure*]],MATCH($A$85&amp;$A98&amp;$E98&amp;$I98,INDEX(PMtbl[Sec]&amp;PMtbl[Category]&amp;PMtbl[INN]&amp;PMtbl[Specification],0,),0),8),""),"")</f>
        <v/>
      </c>
      <c r="M98" s="177" t="str">
        <f>IF(L98="", "",SETUP!$E$5)</f>
        <v/>
      </c>
      <c r="N98" s="856"/>
      <c r="O98" s="12"/>
      <c r="P98" s="12"/>
      <c r="Q98" s="12"/>
      <c r="R98" s="12"/>
      <c r="S98" s="467">
        <f>SUM('TB-EQUIPMENT &amp; OTHER HPs'!$O98:$R98)</f>
        <v>0</v>
      </c>
      <c r="T98" s="832">
        <f>'TB-EQUIPMENT &amp; OTHER HPs'!$N98*'TB-EQUIPMENT &amp; OTHER HPs'!$S98</f>
        <v>0</v>
      </c>
      <c r="U98" s="856"/>
      <c r="V98" s="12"/>
      <c r="W98" s="12"/>
      <c r="X98" s="12"/>
      <c r="Y98" s="12"/>
      <c r="Z98" s="467">
        <f>SUM('TB-EQUIPMENT &amp; OTHER HPs'!$V98:$Y98)</f>
        <v>0</v>
      </c>
      <c r="AA98" s="832">
        <f>'TB-EQUIPMENT &amp; OTHER HPs'!$U98*'TB-EQUIPMENT &amp; OTHER HPs'!$Z98</f>
        <v>0</v>
      </c>
      <c r="AB98" s="856"/>
      <c r="AC98" s="12"/>
      <c r="AD98" s="12"/>
      <c r="AE98" s="12"/>
      <c r="AF98" s="12"/>
      <c r="AG98" s="467">
        <f>SUM('TB-EQUIPMENT &amp; OTHER HPs'!$AC98:$AF98)</f>
        <v>0</v>
      </c>
      <c r="AH98" s="832">
        <f>'TB-EQUIPMENT &amp; OTHER HPs'!$AB98*'TB-EQUIPMENT &amp; OTHER HPs'!$AG98</f>
        <v>0</v>
      </c>
      <c r="AI98" s="468">
        <f>'TB-EQUIPMENT &amp; OTHER HPs'!$S98+'TB-EQUIPMENT &amp; OTHER HPs'!$Z98+'TB-EQUIPMENT &amp; OTHER HPs'!$AG98</f>
        <v>0</v>
      </c>
      <c r="AJ98" s="832">
        <f>'TB-EQUIPMENT &amp; OTHER HPs'!$T98+'TB-EQUIPMENT &amp; OTHER HPs'!$AA98+'TB-EQUIPMENT &amp; OTHER HPs'!$AH98</f>
        <v>0</v>
      </c>
      <c r="AK98" s="402" t="str">
        <f>IF(A98&lt;&gt;"",IFERROR(INDEX(PMtbl[[WKst]:[Unit of measure*]],MATCH($A$85&amp;$A98&amp;$E98&amp;$I98,INDEX(PMtbl[Sec]&amp;PMtbl[Category]&amp;PMtbl[INN]&amp;PMtbl[Specification],0,),0),7),""),"")</f>
        <v/>
      </c>
      <c r="AL98" s="950"/>
      <c r="AM98" s="1429" t="str">
        <f>IFERROR(INDEX(SETUP!$C$19:$G$62,MATCH((INDEX(PMtbl[[WKst]:[Unit of measure*]],MATCH($A98&amp;$E98&amp;$I98,INDEX(PMtbl[Category]&amp;PMtbl[INN]&amp;PMtbl[Specification],0,),0),3)),SETUP!$D$19:$D$62,0),5),"")</f>
        <v/>
      </c>
      <c r="AN98" s="1429"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s="198" customFormat="1">
      <c r="A99" s="2611"/>
      <c r="B99" s="2611"/>
      <c r="C99" s="2611"/>
      <c r="D99" s="2611"/>
      <c r="E99" s="2610"/>
      <c r="F99" s="2611"/>
      <c r="G99" s="2611"/>
      <c r="H99" s="2612"/>
      <c r="I99" s="2722"/>
      <c r="J99" s="2734"/>
      <c r="K99" s="2724"/>
      <c r="L99" s="175" t="str">
        <f>IF(A99&lt;&gt;"",IFERROR(INDEX(PMtbl[[WKst]:[Unit of measure*]],MATCH($A$85&amp;$A99&amp;$E99&amp;$I99,INDEX(PMtbl[Sec]&amp;PMtbl[Category]&amp;PMtbl[INN]&amp;PMtbl[Specification],0,),0),8),""),"")</f>
        <v/>
      </c>
      <c r="M99" s="175" t="str">
        <f>IF(L99="", "",SETUP!$E$5)</f>
        <v/>
      </c>
      <c r="N99" s="857"/>
      <c r="O99" s="873"/>
      <c r="P99" s="873"/>
      <c r="Q99" s="873"/>
      <c r="R99" s="873"/>
      <c r="S99" s="469">
        <f>SUM('TB-EQUIPMENT &amp; OTHER HPs'!$O99:$R99)</f>
        <v>0</v>
      </c>
      <c r="T99" s="833">
        <f>'TB-EQUIPMENT &amp; OTHER HPs'!$N99*'TB-EQUIPMENT &amp; OTHER HPs'!$S99</f>
        <v>0</v>
      </c>
      <c r="U99" s="857"/>
      <c r="V99" s="873"/>
      <c r="W99" s="873"/>
      <c r="X99" s="873"/>
      <c r="Y99" s="873"/>
      <c r="Z99" s="469">
        <f>SUM('TB-EQUIPMENT &amp; OTHER HPs'!$V99:$Y99)</f>
        <v>0</v>
      </c>
      <c r="AA99" s="833">
        <f>'TB-EQUIPMENT &amp; OTHER HPs'!$U99*'TB-EQUIPMENT &amp; OTHER HPs'!$Z99</f>
        <v>0</v>
      </c>
      <c r="AB99" s="857"/>
      <c r="AC99" s="873"/>
      <c r="AD99" s="873"/>
      <c r="AE99" s="873"/>
      <c r="AF99" s="873"/>
      <c r="AG99" s="469">
        <f>SUM('TB-EQUIPMENT &amp; OTHER HPs'!$AC99:$AF99)</f>
        <v>0</v>
      </c>
      <c r="AH99" s="833">
        <f>'TB-EQUIPMENT &amp; OTHER HPs'!$AB99*'TB-EQUIPMENT &amp; OTHER HPs'!$AG99</f>
        <v>0</v>
      </c>
      <c r="AI99" s="470">
        <f>'TB-EQUIPMENT &amp; OTHER HPs'!$S99+'TB-EQUIPMENT &amp; OTHER HPs'!$Z99+'TB-EQUIPMENT &amp; OTHER HPs'!$AG99</f>
        <v>0</v>
      </c>
      <c r="AJ99" s="833">
        <f>'TB-EQUIPMENT &amp; OTHER HPs'!$T99+'TB-EQUIPMENT &amp; OTHER HPs'!$AA99+'TB-EQUIPMENT &amp; OTHER HPs'!$AH99</f>
        <v>0</v>
      </c>
      <c r="AK99" s="401" t="str">
        <f>IF(A99&lt;&gt;"",IFERROR(INDEX(PMtbl[[WKst]:[Unit of measure*]],MATCH($A$85&amp;$A99&amp;$E99&amp;$I99,INDEX(PMtbl[Sec]&amp;PMtbl[Category]&amp;PMtbl[INN]&amp;PMtbl[Specification],0,),0),7),""),"")</f>
        <v/>
      </c>
      <c r="AL99" s="949"/>
      <c r="AM99" s="1430" t="str">
        <f>IFERROR(INDEX(SETUP!$C$19:$G$62,MATCH((INDEX(PMtbl[[WKst]:[Unit of measure*]],MATCH($A99&amp;$E99&amp;$I99,INDEX(PMtbl[Category]&amp;PMtbl[INN]&amp;PMtbl[Specification],0,),0),3)),SETUP!$D$19:$D$62,0),5),"")</f>
        <v/>
      </c>
      <c r="AN99" s="1430"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s="198" customFormat="1">
      <c r="A100" s="2435"/>
      <c r="B100" s="2435"/>
      <c r="C100" s="2435"/>
      <c r="D100" s="2435"/>
      <c r="E100" s="2725"/>
      <c r="F100" s="2435"/>
      <c r="G100" s="2435"/>
      <c r="H100" s="2726"/>
      <c r="I100" s="2727"/>
      <c r="J100" s="2728"/>
      <c r="K100" s="2729"/>
      <c r="L100" s="176" t="str">
        <f>IF(A100&lt;&gt;"",IFERROR(INDEX(PMtbl[[WKst]:[Unit of measure*]],MATCH($A$85&amp;$A100&amp;$E100&amp;$I100,INDEX(PMtbl[Sec]&amp;PMtbl[Category]&amp;PMtbl[INN]&amp;PMtbl[Specification],0,),0),8),""),"")</f>
        <v/>
      </c>
      <c r="M100" s="177" t="str">
        <f>IF(L100="", "",SETUP!$E$5)</f>
        <v/>
      </c>
      <c r="N100" s="856"/>
      <c r="O100" s="12"/>
      <c r="P100" s="12"/>
      <c r="Q100" s="12"/>
      <c r="R100" s="12"/>
      <c r="S100" s="467">
        <f>SUM('TB-EQUIPMENT &amp; OTHER HPs'!$O100:$R100)</f>
        <v>0</v>
      </c>
      <c r="T100" s="832">
        <f>'TB-EQUIPMENT &amp; OTHER HPs'!$N100*'TB-EQUIPMENT &amp; OTHER HPs'!$S100</f>
        <v>0</v>
      </c>
      <c r="U100" s="856"/>
      <c r="V100" s="12"/>
      <c r="W100" s="12"/>
      <c r="X100" s="12"/>
      <c r="Y100" s="12"/>
      <c r="Z100" s="467">
        <f>SUM('TB-EQUIPMENT &amp; OTHER HPs'!$V100:$Y100)</f>
        <v>0</v>
      </c>
      <c r="AA100" s="832">
        <f>'TB-EQUIPMENT &amp; OTHER HPs'!$U100*'TB-EQUIPMENT &amp; OTHER HPs'!$Z100</f>
        <v>0</v>
      </c>
      <c r="AB100" s="856"/>
      <c r="AC100" s="12"/>
      <c r="AD100" s="12"/>
      <c r="AE100" s="12"/>
      <c r="AF100" s="12"/>
      <c r="AG100" s="467">
        <f>SUM('TB-EQUIPMENT &amp; OTHER HPs'!$AC100:$AF100)</f>
        <v>0</v>
      </c>
      <c r="AH100" s="832">
        <f>'TB-EQUIPMENT &amp; OTHER HPs'!$AB100*'TB-EQUIPMENT &amp; OTHER HPs'!$AG100</f>
        <v>0</v>
      </c>
      <c r="AI100" s="468">
        <f>'TB-EQUIPMENT &amp; OTHER HPs'!$S100+'TB-EQUIPMENT &amp; OTHER HPs'!$Z100+'TB-EQUIPMENT &amp; OTHER HPs'!$AG100</f>
        <v>0</v>
      </c>
      <c r="AJ100" s="832">
        <f>'TB-EQUIPMENT &amp; OTHER HPs'!$T100+'TB-EQUIPMENT &amp; OTHER HPs'!$AA100+'TB-EQUIPMENT &amp; OTHER HPs'!$AH100</f>
        <v>0</v>
      </c>
      <c r="AK100" s="402" t="str">
        <f>IF(A100&lt;&gt;"",IFERROR(INDEX(PMtbl[[WKst]:[Unit of measure*]],MATCH($A$85&amp;$A100&amp;$E100&amp;$I100,INDEX(PMtbl[Sec]&amp;PMtbl[Category]&amp;PMtbl[INN]&amp;PMtbl[Specification],0,),0),7),""),"")</f>
        <v/>
      </c>
      <c r="AL100" s="950"/>
      <c r="AM100" s="1429" t="str">
        <f>IFERROR(INDEX(SETUP!$C$19:$G$62,MATCH((INDEX(PMtbl[[WKst]:[Unit of measure*]],MATCH($A100&amp;$E100&amp;$I100,INDEX(PMtbl[Category]&amp;PMtbl[INN]&amp;PMtbl[Specification],0,),0),3)),SETUP!$D$19:$D$62,0),5),"")</f>
        <v/>
      </c>
      <c r="AN100" s="1429" t="str">
        <f>IFERROR(IF((INDEX(SETUP!$C$19:$G$62,MATCH((INDEX(PMtbl[[WKst]:[Unit of measure*]],MATCH($A100&amp;$E100&amp;$I100,INDEX(PMtbl[Category]&amp;PMtbl[INN]&amp;PMtbl[Specification],0,),0),3)),SETUP!$D$19:$D$62,0),4))="Upfront",0,INDEX(SETUP!$C$19:$G$62,MATCH((INDEX(PMtbl[[WKst]:[Unit of measure*]],MATCH($A100&amp;$E100&amp;$I100,INDEX(PMtbl[Category]&amp;PMtbl[INN]&amp;PMtbl[Specification],0,),0),3)),SETUP!$D$19:$D$62,0),5)),"")</f>
        <v/>
      </c>
    </row>
    <row r="101" spans="1:40" s="198" customFormat="1">
      <c r="A101" s="2611"/>
      <c r="B101" s="2611"/>
      <c r="C101" s="2611"/>
      <c r="D101" s="2611"/>
      <c r="E101" s="2610"/>
      <c r="F101" s="2611"/>
      <c r="G101" s="2611"/>
      <c r="H101" s="2612"/>
      <c r="I101" s="2722"/>
      <c r="J101" s="2734"/>
      <c r="K101" s="2724"/>
      <c r="L101" s="175" t="str">
        <f>IF(A101&lt;&gt;"",IFERROR(INDEX(PMtbl[[WKst]:[Unit of measure*]],MATCH($A$85&amp;$A101&amp;$E101&amp;$I101,INDEX(PMtbl[Sec]&amp;PMtbl[Category]&amp;PMtbl[INN]&amp;PMtbl[Specification],0,),0),8),""),"")</f>
        <v/>
      </c>
      <c r="M101" s="175" t="str">
        <f>IF(L101="", "",SETUP!$E$5)</f>
        <v/>
      </c>
      <c r="N101" s="857"/>
      <c r="O101" s="873"/>
      <c r="P101" s="873"/>
      <c r="Q101" s="873"/>
      <c r="R101" s="873"/>
      <c r="S101" s="469">
        <f>SUM('TB-EQUIPMENT &amp; OTHER HPs'!$O101:$R101)</f>
        <v>0</v>
      </c>
      <c r="T101" s="833">
        <f>'TB-EQUIPMENT &amp; OTHER HPs'!$N101*'TB-EQUIPMENT &amp; OTHER HPs'!$S101</f>
        <v>0</v>
      </c>
      <c r="U101" s="857"/>
      <c r="V101" s="873"/>
      <c r="W101" s="873"/>
      <c r="X101" s="873"/>
      <c r="Y101" s="873"/>
      <c r="Z101" s="469">
        <f>SUM('TB-EQUIPMENT &amp; OTHER HPs'!$V101:$Y101)</f>
        <v>0</v>
      </c>
      <c r="AA101" s="833">
        <f>'TB-EQUIPMENT &amp; OTHER HPs'!$U101*'TB-EQUIPMENT &amp; OTHER HPs'!$Z101</f>
        <v>0</v>
      </c>
      <c r="AB101" s="857"/>
      <c r="AC101" s="873"/>
      <c r="AD101" s="873"/>
      <c r="AE101" s="873"/>
      <c r="AF101" s="873"/>
      <c r="AG101" s="469">
        <f>SUM('TB-EQUIPMENT &amp; OTHER HPs'!$AC101:$AF101)</f>
        <v>0</v>
      </c>
      <c r="AH101" s="833">
        <f>'TB-EQUIPMENT &amp; OTHER HPs'!$AB101*'TB-EQUIPMENT &amp; OTHER HPs'!$AG101</f>
        <v>0</v>
      </c>
      <c r="AI101" s="470">
        <f>'TB-EQUIPMENT &amp; OTHER HPs'!$S101+'TB-EQUIPMENT &amp; OTHER HPs'!$Z101+'TB-EQUIPMENT &amp; OTHER HPs'!$AG101</f>
        <v>0</v>
      </c>
      <c r="AJ101" s="833">
        <f>'TB-EQUIPMENT &amp; OTHER HPs'!$T101+'TB-EQUIPMENT &amp; OTHER HPs'!$AA101+'TB-EQUIPMENT &amp; OTHER HPs'!$AH101</f>
        <v>0</v>
      </c>
      <c r="AK101" s="401" t="str">
        <f>IF(A101&lt;&gt;"",IFERROR(INDEX(PMtbl[[WKst]:[Unit of measure*]],MATCH($A$85&amp;$A101&amp;$E101&amp;$I101,INDEX(PMtbl[Sec]&amp;PMtbl[Category]&amp;PMtbl[INN]&amp;PMtbl[Specification],0,),0),7),""),"")</f>
        <v/>
      </c>
      <c r="AL101" s="949"/>
      <c r="AM101" s="1430" t="str">
        <f>IFERROR(INDEX(SETUP!$C$19:$G$62,MATCH((INDEX(PMtbl[[WKst]:[Unit of measure*]],MATCH($A101&amp;$E101&amp;$I101,INDEX(PMtbl[Category]&amp;PMtbl[INN]&amp;PMtbl[Specification],0,),0),3)),SETUP!$D$19:$D$62,0),5),"")</f>
        <v/>
      </c>
      <c r="AN101" s="1430" t="str">
        <f>IFERROR(IF((INDEX(SETUP!$C$19:$G$62,MATCH((INDEX(PMtbl[[WKst]:[Unit of measure*]],MATCH($A101&amp;$E101&amp;$I101,INDEX(PMtbl[Category]&amp;PMtbl[INN]&amp;PMtbl[Specification],0,),0),3)),SETUP!$D$19:$D$62,0),4))="Upfront",0,INDEX(SETUP!$C$19:$G$62,MATCH((INDEX(PMtbl[[WKst]:[Unit of measure*]],MATCH($A101&amp;$E101&amp;$I101,INDEX(PMtbl[Category]&amp;PMtbl[INN]&amp;PMtbl[Specification],0,),0),3)),SETUP!$D$19:$D$62,0),5)),"")</f>
        <v/>
      </c>
    </row>
    <row r="102" spans="1:40" s="198" customFormat="1">
      <c r="A102" s="2435"/>
      <c r="B102" s="2435"/>
      <c r="C102" s="2435"/>
      <c r="D102" s="2435"/>
      <c r="E102" s="2725"/>
      <c r="F102" s="2435"/>
      <c r="G102" s="2435"/>
      <c r="H102" s="2726"/>
      <c r="I102" s="2727"/>
      <c r="J102" s="2728"/>
      <c r="K102" s="2729"/>
      <c r="L102" s="176" t="str">
        <f>IF(A102&lt;&gt;"",IFERROR(INDEX(PMtbl[[WKst]:[Unit of measure*]],MATCH($A$85&amp;$A102&amp;$E102&amp;$I102,INDEX(PMtbl[Sec]&amp;PMtbl[Category]&amp;PMtbl[INN]&amp;PMtbl[Specification],0,),0),8),""),"")</f>
        <v/>
      </c>
      <c r="M102" s="177" t="str">
        <f>IF(L102="", "",SETUP!$E$5)</f>
        <v/>
      </c>
      <c r="N102" s="856"/>
      <c r="O102" s="12"/>
      <c r="P102" s="12"/>
      <c r="Q102" s="12"/>
      <c r="R102" s="12"/>
      <c r="S102" s="467">
        <f>SUM('TB-EQUIPMENT &amp; OTHER HPs'!$O102:$R102)</f>
        <v>0</v>
      </c>
      <c r="T102" s="832">
        <f>'TB-EQUIPMENT &amp; OTHER HPs'!$N102*'TB-EQUIPMENT &amp; OTHER HPs'!$S102</f>
        <v>0</v>
      </c>
      <c r="U102" s="856"/>
      <c r="V102" s="12"/>
      <c r="W102" s="12"/>
      <c r="X102" s="12"/>
      <c r="Y102" s="12"/>
      <c r="Z102" s="467">
        <f>SUM('TB-EQUIPMENT &amp; OTHER HPs'!$V102:$Y102)</f>
        <v>0</v>
      </c>
      <c r="AA102" s="832">
        <f>'TB-EQUIPMENT &amp; OTHER HPs'!$U102*'TB-EQUIPMENT &amp; OTHER HPs'!$Z102</f>
        <v>0</v>
      </c>
      <c r="AB102" s="856"/>
      <c r="AC102" s="12"/>
      <c r="AD102" s="12"/>
      <c r="AE102" s="12"/>
      <c r="AF102" s="12"/>
      <c r="AG102" s="467">
        <f>SUM('TB-EQUIPMENT &amp; OTHER HPs'!$AC102:$AF102)</f>
        <v>0</v>
      </c>
      <c r="AH102" s="832">
        <f>'TB-EQUIPMENT &amp; OTHER HPs'!$AB102*'TB-EQUIPMENT &amp; OTHER HPs'!$AG102</f>
        <v>0</v>
      </c>
      <c r="AI102" s="468">
        <f>'TB-EQUIPMENT &amp; OTHER HPs'!$S102+'TB-EQUIPMENT &amp; OTHER HPs'!$Z102+'TB-EQUIPMENT &amp; OTHER HPs'!$AG102</f>
        <v>0</v>
      </c>
      <c r="AJ102" s="832">
        <f>'TB-EQUIPMENT &amp; OTHER HPs'!$T102+'TB-EQUIPMENT &amp; OTHER HPs'!$AA102+'TB-EQUIPMENT &amp; OTHER HPs'!$AH102</f>
        <v>0</v>
      </c>
      <c r="AK102" s="402" t="str">
        <f>IF(A102&lt;&gt;"",IFERROR(INDEX(PMtbl[[WKst]:[Unit of measure*]],MATCH($A$85&amp;$A102&amp;$E102&amp;$I102,INDEX(PMtbl[Sec]&amp;PMtbl[Category]&amp;PMtbl[INN]&amp;PMtbl[Specification],0,),0),7),""),"")</f>
        <v/>
      </c>
      <c r="AL102" s="950"/>
      <c r="AM102" s="1429" t="str">
        <f>IFERROR(INDEX(SETUP!$C$19:$G$62,MATCH((INDEX(PMtbl[[WKst]:[Unit of measure*]],MATCH($A102&amp;$E102&amp;$I102,INDEX(PMtbl[Category]&amp;PMtbl[INN]&amp;PMtbl[Specification],0,),0),3)),SETUP!$D$19:$D$62,0),5),"")</f>
        <v/>
      </c>
      <c r="AN102" s="1429" t="str">
        <f>IFERROR(IF((INDEX(SETUP!$C$19:$G$62,MATCH((INDEX(PMtbl[[WKst]:[Unit of measure*]],MATCH($A102&amp;$E102&amp;$I102,INDEX(PMtbl[Category]&amp;PMtbl[INN]&amp;PMtbl[Specification],0,),0),3)),SETUP!$D$19:$D$62,0),4))="Upfront",0,INDEX(SETUP!$C$19:$G$62,MATCH((INDEX(PMtbl[[WKst]:[Unit of measure*]],MATCH($A102&amp;$E102&amp;$I102,INDEX(PMtbl[Category]&amp;PMtbl[INN]&amp;PMtbl[Specification],0,),0),3)),SETUP!$D$19:$D$62,0),5)),"")</f>
        <v/>
      </c>
    </row>
    <row r="103" spans="1:40" s="198" customFormat="1">
      <c r="A103" s="2611"/>
      <c r="B103" s="2611"/>
      <c r="C103" s="2611"/>
      <c r="D103" s="2611"/>
      <c r="E103" s="2610"/>
      <c r="F103" s="2611"/>
      <c r="G103" s="2611"/>
      <c r="H103" s="2612"/>
      <c r="I103" s="2722"/>
      <c r="J103" s="2734"/>
      <c r="K103" s="2724"/>
      <c r="L103" s="175" t="str">
        <f>IF(A103&lt;&gt;"",IFERROR(INDEX(PMtbl[[WKst]:[Unit of measure*]],MATCH($A$85&amp;$A103&amp;$E103&amp;$I103,INDEX(PMtbl[Sec]&amp;PMtbl[Category]&amp;PMtbl[INN]&amp;PMtbl[Specification],0,),0),8),""),"")</f>
        <v/>
      </c>
      <c r="M103" s="175" t="str">
        <f>IF(L103="", "",SETUP!$E$5)</f>
        <v/>
      </c>
      <c r="N103" s="857"/>
      <c r="O103" s="873"/>
      <c r="P103" s="873"/>
      <c r="Q103" s="873"/>
      <c r="R103" s="873"/>
      <c r="S103" s="469">
        <f>SUM('TB-EQUIPMENT &amp; OTHER HPs'!$O103:$R103)</f>
        <v>0</v>
      </c>
      <c r="T103" s="833">
        <f>'TB-EQUIPMENT &amp; OTHER HPs'!$N103*'TB-EQUIPMENT &amp; OTHER HPs'!$S103</f>
        <v>0</v>
      </c>
      <c r="U103" s="857"/>
      <c r="V103" s="873"/>
      <c r="W103" s="873"/>
      <c r="X103" s="873"/>
      <c r="Y103" s="873"/>
      <c r="Z103" s="469">
        <f>SUM('TB-EQUIPMENT &amp; OTHER HPs'!$V103:$Y103)</f>
        <v>0</v>
      </c>
      <c r="AA103" s="833">
        <f>'TB-EQUIPMENT &amp; OTHER HPs'!$U103*'TB-EQUIPMENT &amp; OTHER HPs'!$Z103</f>
        <v>0</v>
      </c>
      <c r="AB103" s="857"/>
      <c r="AC103" s="873"/>
      <c r="AD103" s="873"/>
      <c r="AE103" s="873"/>
      <c r="AF103" s="873"/>
      <c r="AG103" s="469">
        <f>SUM('TB-EQUIPMENT &amp; OTHER HPs'!$AC103:$AF103)</f>
        <v>0</v>
      </c>
      <c r="AH103" s="833">
        <f>'TB-EQUIPMENT &amp; OTHER HPs'!$AB103*'TB-EQUIPMENT &amp; OTHER HPs'!$AG103</f>
        <v>0</v>
      </c>
      <c r="AI103" s="470">
        <f>'TB-EQUIPMENT &amp; OTHER HPs'!$S103+'TB-EQUIPMENT &amp; OTHER HPs'!$Z103+'TB-EQUIPMENT &amp; OTHER HPs'!$AG103</f>
        <v>0</v>
      </c>
      <c r="AJ103" s="833">
        <f>'TB-EQUIPMENT &amp; OTHER HPs'!$T103+'TB-EQUIPMENT &amp; OTHER HPs'!$AA103+'TB-EQUIPMENT &amp; OTHER HPs'!$AH103</f>
        <v>0</v>
      </c>
      <c r="AK103" s="401" t="str">
        <f>IF(A103&lt;&gt;"",IFERROR(INDEX(PMtbl[[WKst]:[Unit of measure*]],MATCH($A$85&amp;$A103&amp;$E103&amp;$I103,INDEX(PMtbl[Sec]&amp;PMtbl[Category]&amp;PMtbl[INN]&amp;PMtbl[Specification],0,),0),7),""),"")</f>
        <v/>
      </c>
      <c r="AL103" s="949"/>
      <c r="AM103" s="1430" t="str">
        <f>IFERROR(INDEX(SETUP!$C$19:$G$62,MATCH((INDEX(PMtbl[[WKst]:[Unit of measure*]],MATCH($A103&amp;$E103&amp;$I103,INDEX(PMtbl[Category]&amp;PMtbl[INN]&amp;PMtbl[Specification],0,),0),3)),SETUP!$D$19:$D$62,0),5),"")</f>
        <v/>
      </c>
      <c r="AN103" s="1430" t="str">
        <f>IFERROR(IF((INDEX(SETUP!$C$19:$G$62,MATCH((INDEX(PMtbl[[WKst]:[Unit of measure*]],MATCH($A103&amp;$E103&amp;$I103,INDEX(PMtbl[Category]&amp;PMtbl[INN]&amp;PMtbl[Specification],0,),0),3)),SETUP!$D$19:$D$62,0),4))="Upfront",0,INDEX(SETUP!$C$19:$G$62,MATCH((INDEX(PMtbl[[WKst]:[Unit of measure*]],MATCH($A103&amp;$E103&amp;$I103,INDEX(PMtbl[Category]&amp;PMtbl[INN]&amp;PMtbl[Specification],0,),0),3)),SETUP!$D$19:$D$62,0),5)),"")</f>
        <v/>
      </c>
    </row>
    <row r="104" spans="1:40" s="198" customFormat="1">
      <c r="A104" s="2435"/>
      <c r="B104" s="2435"/>
      <c r="C104" s="2435"/>
      <c r="D104" s="2435"/>
      <c r="E104" s="2725"/>
      <c r="F104" s="2435"/>
      <c r="G104" s="2435"/>
      <c r="H104" s="2726"/>
      <c r="I104" s="2727"/>
      <c r="J104" s="2728"/>
      <c r="K104" s="2729"/>
      <c r="L104" s="176" t="str">
        <f>IF(A104&lt;&gt;"",IFERROR(INDEX(PMtbl[[WKst]:[Unit of measure*]],MATCH($A$85&amp;$A104&amp;$E104&amp;$I104,INDEX(PMtbl[Sec]&amp;PMtbl[Category]&amp;PMtbl[INN]&amp;PMtbl[Specification],0,),0),8),""),"")</f>
        <v/>
      </c>
      <c r="M104" s="177" t="str">
        <f>IF(L104="", "",SETUP!$E$5)</f>
        <v/>
      </c>
      <c r="N104" s="856"/>
      <c r="O104" s="12"/>
      <c r="P104" s="12"/>
      <c r="Q104" s="12"/>
      <c r="R104" s="12"/>
      <c r="S104" s="467">
        <f>SUM('TB-EQUIPMENT &amp; OTHER HPs'!$O104:$R104)</f>
        <v>0</v>
      </c>
      <c r="T104" s="832">
        <f>'TB-EQUIPMENT &amp; OTHER HPs'!$N104*'TB-EQUIPMENT &amp; OTHER HPs'!$S104</f>
        <v>0</v>
      </c>
      <c r="U104" s="856"/>
      <c r="V104" s="12"/>
      <c r="W104" s="12"/>
      <c r="X104" s="12"/>
      <c r="Y104" s="12"/>
      <c r="Z104" s="467">
        <f>SUM('TB-EQUIPMENT &amp; OTHER HPs'!$V104:$Y104)</f>
        <v>0</v>
      </c>
      <c r="AA104" s="832">
        <f>'TB-EQUIPMENT &amp; OTHER HPs'!$U104*'TB-EQUIPMENT &amp; OTHER HPs'!$Z104</f>
        <v>0</v>
      </c>
      <c r="AB104" s="856"/>
      <c r="AC104" s="12"/>
      <c r="AD104" s="12"/>
      <c r="AE104" s="12"/>
      <c r="AF104" s="12"/>
      <c r="AG104" s="467">
        <f>SUM('TB-EQUIPMENT &amp; OTHER HPs'!$AC104:$AF104)</f>
        <v>0</v>
      </c>
      <c r="AH104" s="832">
        <f>'TB-EQUIPMENT &amp; OTHER HPs'!$AB104*'TB-EQUIPMENT &amp; OTHER HPs'!$AG104</f>
        <v>0</v>
      </c>
      <c r="AI104" s="468">
        <f>'TB-EQUIPMENT &amp; OTHER HPs'!$S104+'TB-EQUIPMENT &amp; OTHER HPs'!$Z104+'TB-EQUIPMENT &amp; OTHER HPs'!$AG104</f>
        <v>0</v>
      </c>
      <c r="AJ104" s="832">
        <f>'TB-EQUIPMENT &amp; OTHER HPs'!$T104+'TB-EQUIPMENT &amp; OTHER HPs'!$AA104+'TB-EQUIPMENT &amp; OTHER HPs'!$AH104</f>
        <v>0</v>
      </c>
      <c r="AK104" s="402" t="str">
        <f>IF(A104&lt;&gt;"",IFERROR(INDEX(PMtbl[[WKst]:[Unit of measure*]],MATCH($A$85&amp;$A104&amp;$E104&amp;$I104,INDEX(PMtbl[Sec]&amp;PMtbl[Category]&amp;PMtbl[INN]&amp;PMtbl[Specification],0,),0),7),""),"")</f>
        <v/>
      </c>
      <c r="AL104" s="950"/>
      <c r="AM104" s="1429" t="str">
        <f>IFERROR(INDEX(SETUP!$C$19:$G$62,MATCH((INDEX(PMtbl[[WKst]:[Unit of measure*]],MATCH($A104&amp;$E104&amp;$I104,INDEX(PMtbl[Category]&amp;PMtbl[INN]&amp;PMtbl[Specification],0,),0),3)),SETUP!$D$19:$D$62,0),5),"")</f>
        <v/>
      </c>
      <c r="AN104" s="1429" t="str">
        <f>IFERROR(IF((INDEX(SETUP!$C$19:$G$62,MATCH((INDEX(PMtbl[[WKst]:[Unit of measure*]],MATCH($A104&amp;$E104&amp;$I104,INDEX(PMtbl[Category]&amp;PMtbl[INN]&amp;PMtbl[Specification],0,),0),3)),SETUP!$D$19:$D$62,0),4))="Upfront",0,INDEX(SETUP!$C$19:$G$62,MATCH((INDEX(PMtbl[[WKst]:[Unit of measure*]],MATCH($A104&amp;$E104&amp;$I104,INDEX(PMtbl[Category]&amp;PMtbl[INN]&amp;PMtbl[Specification],0,),0),3)),SETUP!$D$19:$D$62,0),5)),"")</f>
        <v/>
      </c>
    </row>
    <row r="105" spans="1:40" s="198" customFormat="1">
      <c r="A105" s="2611"/>
      <c r="B105" s="2611"/>
      <c r="C105" s="2611"/>
      <c r="D105" s="2611"/>
      <c r="E105" s="2610"/>
      <c r="F105" s="2611"/>
      <c r="G105" s="2611"/>
      <c r="H105" s="2612"/>
      <c r="I105" s="2722"/>
      <c r="J105" s="2734"/>
      <c r="K105" s="2724"/>
      <c r="L105" s="175" t="str">
        <f>IF(A105&lt;&gt;"",IFERROR(INDEX(PMtbl[[WKst]:[Unit of measure*]],MATCH($A$85&amp;$A105&amp;$E105&amp;$I105,INDEX(PMtbl[Sec]&amp;PMtbl[Category]&amp;PMtbl[INN]&amp;PMtbl[Specification],0,),0),8),""),"")</f>
        <v/>
      </c>
      <c r="M105" s="175" t="str">
        <f>IF(L105="", "",SETUP!$E$5)</f>
        <v/>
      </c>
      <c r="N105" s="857"/>
      <c r="O105" s="873"/>
      <c r="P105" s="873"/>
      <c r="Q105" s="873"/>
      <c r="R105" s="873"/>
      <c r="S105" s="469">
        <f>SUM('TB-EQUIPMENT &amp; OTHER HPs'!$O105:$R105)</f>
        <v>0</v>
      </c>
      <c r="T105" s="833">
        <f>'TB-EQUIPMENT &amp; OTHER HPs'!$N105*'TB-EQUIPMENT &amp; OTHER HPs'!$S105</f>
        <v>0</v>
      </c>
      <c r="U105" s="857"/>
      <c r="V105" s="873"/>
      <c r="W105" s="873"/>
      <c r="X105" s="873"/>
      <c r="Y105" s="873"/>
      <c r="Z105" s="469">
        <f>SUM('TB-EQUIPMENT &amp; OTHER HPs'!$V105:$Y105)</f>
        <v>0</v>
      </c>
      <c r="AA105" s="833">
        <f>'TB-EQUIPMENT &amp; OTHER HPs'!$U105*'TB-EQUIPMENT &amp; OTHER HPs'!$Z105</f>
        <v>0</v>
      </c>
      <c r="AB105" s="857"/>
      <c r="AC105" s="873"/>
      <c r="AD105" s="873"/>
      <c r="AE105" s="873"/>
      <c r="AF105" s="873"/>
      <c r="AG105" s="469">
        <f>SUM('TB-EQUIPMENT &amp; OTHER HPs'!$AC105:$AF105)</f>
        <v>0</v>
      </c>
      <c r="AH105" s="833">
        <f>'TB-EQUIPMENT &amp; OTHER HPs'!$AB105*'TB-EQUIPMENT &amp; OTHER HPs'!$AG105</f>
        <v>0</v>
      </c>
      <c r="AI105" s="470">
        <f>'TB-EQUIPMENT &amp; OTHER HPs'!$S105+'TB-EQUIPMENT &amp; OTHER HPs'!$Z105+'TB-EQUIPMENT &amp; OTHER HPs'!$AG105</f>
        <v>0</v>
      </c>
      <c r="AJ105" s="833">
        <f>'TB-EQUIPMENT &amp; OTHER HPs'!$T105+'TB-EQUIPMENT &amp; OTHER HPs'!$AA105+'TB-EQUIPMENT &amp; OTHER HPs'!$AH105</f>
        <v>0</v>
      </c>
      <c r="AK105" s="401" t="str">
        <f>IF(A105&lt;&gt;"",IFERROR(INDEX(PMtbl[[WKst]:[Unit of measure*]],MATCH($A$85&amp;$A105&amp;$E105&amp;$I105,INDEX(PMtbl[Sec]&amp;PMtbl[Category]&amp;PMtbl[INN]&amp;PMtbl[Specification],0,),0),7),""),"")</f>
        <v/>
      </c>
      <c r="AL105" s="949"/>
      <c r="AM105" s="1430" t="str">
        <f>IFERROR(INDEX(SETUP!$C$19:$G$62,MATCH((INDEX(PMtbl[[WKst]:[Unit of measure*]],MATCH($A105&amp;$E105&amp;$I105,INDEX(PMtbl[Category]&amp;PMtbl[INN]&amp;PMtbl[Specification],0,),0),3)),SETUP!$D$19:$D$62,0),5),"")</f>
        <v/>
      </c>
      <c r="AN105" s="1430" t="str">
        <f>IFERROR(IF((INDEX(SETUP!$C$19:$G$62,MATCH((INDEX(PMtbl[[WKst]:[Unit of measure*]],MATCH($A105&amp;$E105&amp;$I105,INDEX(PMtbl[Category]&amp;PMtbl[INN]&amp;PMtbl[Specification],0,),0),3)),SETUP!$D$19:$D$62,0),4))="Upfront",0,INDEX(SETUP!$C$19:$G$62,MATCH((INDEX(PMtbl[[WKst]:[Unit of measure*]],MATCH($A105&amp;$E105&amp;$I105,INDEX(PMtbl[Category]&amp;PMtbl[INN]&amp;PMtbl[Specification],0,),0),3)),SETUP!$D$19:$D$62,0),5)),"")</f>
        <v/>
      </c>
    </row>
    <row r="106" spans="1:40" s="198" customFormat="1">
      <c r="A106" s="2435"/>
      <c r="B106" s="2435"/>
      <c r="C106" s="2435"/>
      <c r="D106" s="2435"/>
      <c r="E106" s="2725"/>
      <c r="F106" s="2435"/>
      <c r="G106" s="2435"/>
      <c r="H106" s="2726"/>
      <c r="I106" s="2727"/>
      <c r="J106" s="2728"/>
      <c r="K106" s="2729"/>
      <c r="L106" s="176" t="str">
        <f>IF(A106&lt;&gt;"",IFERROR(INDEX(PMtbl[[WKst]:[Unit of measure*]],MATCH($A$85&amp;$A106&amp;$E106&amp;$I106,INDEX(PMtbl[Sec]&amp;PMtbl[Category]&amp;PMtbl[INN]&amp;PMtbl[Specification],0,),0),8),""),"")</f>
        <v/>
      </c>
      <c r="M106" s="177" t="str">
        <f>IF(L106="", "",SETUP!$E$5)</f>
        <v/>
      </c>
      <c r="N106" s="856"/>
      <c r="O106" s="12"/>
      <c r="P106" s="12"/>
      <c r="Q106" s="12"/>
      <c r="R106" s="12"/>
      <c r="S106" s="467">
        <f>SUM('TB-EQUIPMENT &amp; OTHER HPs'!$O106:$R106)</f>
        <v>0</v>
      </c>
      <c r="T106" s="832">
        <f>'TB-EQUIPMENT &amp; OTHER HPs'!$N106*'TB-EQUIPMENT &amp; OTHER HPs'!$S106</f>
        <v>0</v>
      </c>
      <c r="U106" s="856"/>
      <c r="V106" s="12"/>
      <c r="W106" s="12"/>
      <c r="X106" s="12"/>
      <c r="Y106" s="12"/>
      <c r="Z106" s="467">
        <f>SUM('TB-EQUIPMENT &amp; OTHER HPs'!$V106:$Y106)</f>
        <v>0</v>
      </c>
      <c r="AA106" s="832">
        <f>'TB-EQUIPMENT &amp; OTHER HPs'!$U106*'TB-EQUIPMENT &amp; OTHER HPs'!$Z106</f>
        <v>0</v>
      </c>
      <c r="AB106" s="856"/>
      <c r="AC106" s="12"/>
      <c r="AD106" s="12"/>
      <c r="AE106" s="12"/>
      <c r="AF106" s="12"/>
      <c r="AG106" s="467">
        <f>SUM('TB-EQUIPMENT &amp; OTHER HPs'!$AC106:$AF106)</f>
        <v>0</v>
      </c>
      <c r="AH106" s="832">
        <f>'TB-EQUIPMENT &amp; OTHER HPs'!$AB106*'TB-EQUIPMENT &amp; OTHER HPs'!$AG106</f>
        <v>0</v>
      </c>
      <c r="AI106" s="468">
        <f>'TB-EQUIPMENT &amp; OTHER HPs'!$S106+'TB-EQUIPMENT &amp; OTHER HPs'!$Z106+'TB-EQUIPMENT &amp; OTHER HPs'!$AG106</f>
        <v>0</v>
      </c>
      <c r="AJ106" s="832">
        <f>'TB-EQUIPMENT &amp; OTHER HPs'!$T106+'TB-EQUIPMENT &amp; OTHER HPs'!$AA106+'TB-EQUIPMENT &amp; OTHER HPs'!$AH106</f>
        <v>0</v>
      </c>
      <c r="AK106" s="402" t="str">
        <f>IF(A106&lt;&gt;"",IFERROR(INDEX(PMtbl[[WKst]:[Unit of measure*]],MATCH($A$85&amp;$A106&amp;$E106&amp;$I106,INDEX(PMtbl[Sec]&amp;PMtbl[Category]&amp;PMtbl[INN]&amp;PMtbl[Specification],0,),0),7),""),"")</f>
        <v/>
      </c>
      <c r="AL106" s="950"/>
      <c r="AM106" s="1429" t="str">
        <f>IFERROR(INDEX(SETUP!$C$19:$G$62,MATCH((INDEX(PMtbl[[WKst]:[Unit of measure*]],MATCH($A106&amp;$E106&amp;$I106,INDEX(PMtbl[Category]&amp;PMtbl[INN]&amp;PMtbl[Specification],0,),0),3)),SETUP!$D$19:$D$62,0),5),"")</f>
        <v/>
      </c>
      <c r="AN106" s="1429" t="str">
        <f>IFERROR(IF((INDEX(SETUP!$C$19:$G$62,MATCH((INDEX(PMtbl[[WKst]:[Unit of measure*]],MATCH($A106&amp;$E106&amp;$I106,INDEX(PMtbl[Category]&amp;PMtbl[INN]&amp;PMtbl[Specification],0,),0),3)),SETUP!$D$19:$D$62,0),4))="Upfront",0,INDEX(SETUP!$C$19:$G$62,MATCH((INDEX(PMtbl[[WKst]:[Unit of measure*]],MATCH($A106&amp;$E106&amp;$I106,INDEX(PMtbl[Category]&amp;PMtbl[INN]&amp;PMtbl[Specification],0,),0),3)),SETUP!$D$19:$D$62,0),5)),"")</f>
        <v/>
      </c>
    </row>
    <row r="107" spans="1:40" s="198" customFormat="1">
      <c r="A107" s="2611"/>
      <c r="B107" s="2611"/>
      <c r="C107" s="2611"/>
      <c r="D107" s="2611"/>
      <c r="E107" s="2610"/>
      <c r="F107" s="2611"/>
      <c r="G107" s="2611"/>
      <c r="H107" s="2612"/>
      <c r="I107" s="2722"/>
      <c r="J107" s="2734"/>
      <c r="K107" s="2724"/>
      <c r="L107" s="175" t="str">
        <f>IF(A107&lt;&gt;"",IFERROR(INDEX(PMtbl[[WKst]:[Unit of measure*]],MATCH($A$85&amp;$A107&amp;$E107&amp;$I107,INDEX(PMtbl[Sec]&amp;PMtbl[Category]&amp;PMtbl[INN]&amp;PMtbl[Specification],0,),0),8),""),"")</f>
        <v/>
      </c>
      <c r="M107" s="175" t="str">
        <f>IF(L107="", "",SETUP!$E$5)</f>
        <v/>
      </c>
      <c r="N107" s="857"/>
      <c r="O107" s="873"/>
      <c r="P107" s="873"/>
      <c r="Q107" s="873"/>
      <c r="R107" s="873"/>
      <c r="S107" s="469">
        <f>SUM('TB-EQUIPMENT &amp; OTHER HPs'!$O107:$R107)</f>
        <v>0</v>
      </c>
      <c r="T107" s="833">
        <f>'TB-EQUIPMENT &amp; OTHER HPs'!$N107*'TB-EQUIPMENT &amp; OTHER HPs'!$S107</f>
        <v>0</v>
      </c>
      <c r="U107" s="857"/>
      <c r="V107" s="873"/>
      <c r="W107" s="873"/>
      <c r="X107" s="873"/>
      <c r="Y107" s="873"/>
      <c r="Z107" s="469">
        <f>SUM('TB-EQUIPMENT &amp; OTHER HPs'!$V107:$Y107)</f>
        <v>0</v>
      </c>
      <c r="AA107" s="833">
        <f>'TB-EQUIPMENT &amp; OTHER HPs'!$U107*'TB-EQUIPMENT &amp; OTHER HPs'!$Z107</f>
        <v>0</v>
      </c>
      <c r="AB107" s="857"/>
      <c r="AC107" s="873"/>
      <c r="AD107" s="873"/>
      <c r="AE107" s="873"/>
      <c r="AF107" s="873"/>
      <c r="AG107" s="469">
        <f>SUM('TB-EQUIPMENT &amp; OTHER HPs'!$AC107:$AF107)</f>
        <v>0</v>
      </c>
      <c r="AH107" s="833">
        <f>'TB-EQUIPMENT &amp; OTHER HPs'!$AB107*'TB-EQUIPMENT &amp; OTHER HPs'!$AG107</f>
        <v>0</v>
      </c>
      <c r="AI107" s="470">
        <f>'TB-EQUIPMENT &amp; OTHER HPs'!$S107+'TB-EQUIPMENT &amp; OTHER HPs'!$Z107+'TB-EQUIPMENT &amp; OTHER HPs'!$AG107</f>
        <v>0</v>
      </c>
      <c r="AJ107" s="833">
        <f>'TB-EQUIPMENT &amp; OTHER HPs'!$T107+'TB-EQUIPMENT &amp; OTHER HPs'!$AA107+'TB-EQUIPMENT &amp; OTHER HPs'!$AH107</f>
        <v>0</v>
      </c>
      <c r="AK107" s="401" t="str">
        <f>IF(A107&lt;&gt;"",IFERROR(INDEX(PMtbl[[WKst]:[Unit of measure*]],MATCH($A$85&amp;$A107&amp;$E107&amp;$I107,INDEX(PMtbl[Sec]&amp;PMtbl[Category]&amp;PMtbl[INN]&amp;PMtbl[Specification],0,),0),7),""),"")</f>
        <v/>
      </c>
      <c r="AL107" s="949"/>
      <c r="AM107" s="1430" t="str">
        <f>IFERROR(INDEX(SETUP!$C$19:$G$62,MATCH((INDEX(PMtbl[[WKst]:[Unit of measure*]],MATCH($A107&amp;$E107&amp;$I107,INDEX(PMtbl[Category]&amp;PMtbl[INN]&amp;PMtbl[Specification],0,),0),3)),SETUP!$D$19:$D$62,0),5),"")</f>
        <v/>
      </c>
      <c r="AN107" s="1430" t="str">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
      </c>
    </row>
    <row r="108" spans="1:40" s="198" customFormat="1">
      <c r="A108" s="2435"/>
      <c r="B108" s="2435"/>
      <c r="C108" s="2435"/>
      <c r="D108" s="2435"/>
      <c r="E108" s="2725"/>
      <c r="F108" s="2435"/>
      <c r="G108" s="2435"/>
      <c r="H108" s="2726"/>
      <c r="I108" s="2727"/>
      <c r="J108" s="2728"/>
      <c r="K108" s="2729"/>
      <c r="L108" s="176" t="str">
        <f>IF(A108&lt;&gt;"",IFERROR(INDEX(PMtbl[[WKst]:[Unit of measure*]],MATCH($A$85&amp;$A108&amp;$E108&amp;$I108,INDEX(PMtbl[Sec]&amp;PMtbl[Category]&amp;PMtbl[INN]&amp;PMtbl[Specification],0,),0),8),""),"")</f>
        <v/>
      </c>
      <c r="M108" s="177" t="str">
        <f>IF(L108="", "",SETUP!$E$5)</f>
        <v/>
      </c>
      <c r="N108" s="856"/>
      <c r="O108" s="12"/>
      <c r="P108" s="12"/>
      <c r="Q108" s="12"/>
      <c r="R108" s="12"/>
      <c r="S108" s="467">
        <f>SUM('TB-EQUIPMENT &amp; OTHER HPs'!$O108:$R108)</f>
        <v>0</v>
      </c>
      <c r="T108" s="832">
        <f>'TB-EQUIPMENT &amp; OTHER HPs'!$N108*'TB-EQUIPMENT &amp; OTHER HPs'!$S108</f>
        <v>0</v>
      </c>
      <c r="U108" s="856"/>
      <c r="V108" s="12"/>
      <c r="W108" s="12"/>
      <c r="X108" s="12"/>
      <c r="Y108" s="12"/>
      <c r="Z108" s="467">
        <f>SUM('TB-EQUIPMENT &amp; OTHER HPs'!$V108:$Y108)</f>
        <v>0</v>
      </c>
      <c r="AA108" s="832">
        <f>'TB-EQUIPMENT &amp; OTHER HPs'!$U108*'TB-EQUIPMENT &amp; OTHER HPs'!$Z108</f>
        <v>0</v>
      </c>
      <c r="AB108" s="856"/>
      <c r="AC108" s="12"/>
      <c r="AD108" s="12"/>
      <c r="AE108" s="12"/>
      <c r="AF108" s="12"/>
      <c r="AG108" s="467">
        <f>SUM('TB-EQUIPMENT &amp; OTHER HPs'!$AC108:$AF108)</f>
        <v>0</v>
      </c>
      <c r="AH108" s="832">
        <f>'TB-EQUIPMENT &amp; OTHER HPs'!$AB108*'TB-EQUIPMENT &amp; OTHER HPs'!$AG108</f>
        <v>0</v>
      </c>
      <c r="AI108" s="468">
        <f>'TB-EQUIPMENT &amp; OTHER HPs'!$S108+'TB-EQUIPMENT &amp; OTHER HPs'!$Z108+'TB-EQUIPMENT &amp; OTHER HPs'!$AG108</f>
        <v>0</v>
      </c>
      <c r="AJ108" s="832">
        <f>'TB-EQUIPMENT &amp; OTHER HPs'!$T108+'TB-EQUIPMENT &amp; OTHER HPs'!$AA108+'TB-EQUIPMENT &amp; OTHER HPs'!$AH108</f>
        <v>0</v>
      </c>
      <c r="AK108" s="402" t="str">
        <f>IF(A108&lt;&gt;"",IFERROR(INDEX(PMtbl[[WKst]:[Unit of measure*]],MATCH($A$85&amp;$A108&amp;$E108&amp;$I108,INDEX(PMtbl[Sec]&amp;PMtbl[Category]&amp;PMtbl[INN]&amp;PMtbl[Specification],0,),0),7),""),"")</f>
        <v/>
      </c>
      <c r="AL108" s="950"/>
      <c r="AM108" s="1429" t="str">
        <f>IFERROR(INDEX(SETUP!$C$19:$G$62,MATCH((INDEX(PMtbl[[WKst]:[Unit of measure*]],MATCH($A108&amp;$E108&amp;$I108,INDEX(PMtbl[Category]&amp;PMtbl[INN]&amp;PMtbl[Specification],0,),0),3)),SETUP!$D$19:$D$62,0),5),"")</f>
        <v/>
      </c>
      <c r="AN108" s="1429" t="str">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
      </c>
    </row>
    <row r="109" spans="1:40" s="198" customFormat="1">
      <c r="A109" s="2611"/>
      <c r="B109" s="2611"/>
      <c r="C109" s="2611"/>
      <c r="D109" s="2611"/>
      <c r="E109" s="2610"/>
      <c r="F109" s="2611"/>
      <c r="G109" s="2611"/>
      <c r="H109" s="2612"/>
      <c r="I109" s="2722"/>
      <c r="J109" s="2734"/>
      <c r="K109" s="2724"/>
      <c r="L109" s="175" t="str">
        <f>IF(A109&lt;&gt;"",IFERROR(INDEX(PMtbl[[WKst]:[Unit of measure*]],MATCH($A$85&amp;$A109&amp;$E109&amp;$I109,INDEX(PMtbl[Sec]&amp;PMtbl[Category]&amp;PMtbl[INN]&amp;PMtbl[Specification],0,),0),8),""),"")</f>
        <v/>
      </c>
      <c r="M109" s="175" t="str">
        <f>IF(L109="", "",SETUP!$E$5)</f>
        <v/>
      </c>
      <c r="N109" s="857"/>
      <c r="O109" s="873"/>
      <c r="P109" s="873"/>
      <c r="Q109" s="873"/>
      <c r="R109" s="873"/>
      <c r="S109" s="469">
        <f>SUM('TB-EQUIPMENT &amp; OTHER HPs'!$O109:$R109)</f>
        <v>0</v>
      </c>
      <c r="T109" s="833">
        <f>'TB-EQUIPMENT &amp; OTHER HPs'!$N109*'TB-EQUIPMENT &amp; OTHER HPs'!$S109</f>
        <v>0</v>
      </c>
      <c r="U109" s="857"/>
      <c r="V109" s="873"/>
      <c r="W109" s="873"/>
      <c r="X109" s="873"/>
      <c r="Y109" s="873"/>
      <c r="Z109" s="469">
        <f>SUM('TB-EQUIPMENT &amp; OTHER HPs'!$V109:$Y109)</f>
        <v>0</v>
      </c>
      <c r="AA109" s="833">
        <f>'TB-EQUIPMENT &amp; OTHER HPs'!$U109*'TB-EQUIPMENT &amp; OTHER HPs'!$Z109</f>
        <v>0</v>
      </c>
      <c r="AB109" s="857"/>
      <c r="AC109" s="873"/>
      <c r="AD109" s="873"/>
      <c r="AE109" s="873"/>
      <c r="AF109" s="873"/>
      <c r="AG109" s="469">
        <f>SUM('TB-EQUIPMENT &amp; OTHER HPs'!$AC109:$AF109)</f>
        <v>0</v>
      </c>
      <c r="AH109" s="833">
        <f>'TB-EQUIPMENT &amp; OTHER HPs'!$AB109*'TB-EQUIPMENT &amp; OTHER HPs'!$AG109</f>
        <v>0</v>
      </c>
      <c r="AI109" s="470">
        <f>'TB-EQUIPMENT &amp; OTHER HPs'!$S109+'TB-EQUIPMENT &amp; OTHER HPs'!$Z109+'TB-EQUIPMENT &amp; OTHER HPs'!$AG109</f>
        <v>0</v>
      </c>
      <c r="AJ109" s="833">
        <f>'TB-EQUIPMENT &amp; OTHER HPs'!$T109+'TB-EQUIPMENT &amp; OTHER HPs'!$AA109+'TB-EQUIPMENT &amp; OTHER HPs'!$AH109</f>
        <v>0</v>
      </c>
      <c r="AK109" s="401" t="str">
        <f>IF(A109&lt;&gt;"",IFERROR(INDEX(PMtbl[[WKst]:[Unit of measure*]],MATCH($A$85&amp;$A109&amp;$E109&amp;$I109,INDEX(PMtbl[Sec]&amp;PMtbl[Category]&amp;PMtbl[INN]&amp;PMtbl[Specification],0,),0),7),""),"")</f>
        <v/>
      </c>
      <c r="AL109" s="949"/>
      <c r="AM109" s="1430" t="str">
        <f>IFERROR(INDEX(SETUP!$C$19:$G$62,MATCH((INDEX(PMtbl[[WKst]:[Unit of measure*]],MATCH($A109&amp;$E109&amp;$I109,INDEX(PMtbl[Category]&amp;PMtbl[INN]&amp;PMtbl[Specification],0,),0),3)),SETUP!$D$19:$D$62,0),5),"")</f>
        <v/>
      </c>
      <c r="AN109" s="1430" t="str">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
      </c>
    </row>
    <row r="110" spans="1:40" s="198" customFormat="1">
      <c r="A110" s="2435"/>
      <c r="B110" s="2435"/>
      <c r="C110" s="2435"/>
      <c r="D110" s="2435"/>
      <c r="E110" s="2725"/>
      <c r="F110" s="2435"/>
      <c r="G110" s="2435"/>
      <c r="H110" s="2726"/>
      <c r="I110" s="2727"/>
      <c r="J110" s="2728"/>
      <c r="K110" s="2729"/>
      <c r="L110" s="176" t="str">
        <f>IF(A110&lt;&gt;"",IFERROR(INDEX(PMtbl[[WKst]:[Unit of measure*]],MATCH($A$85&amp;$A110&amp;$E110&amp;$I110,INDEX(PMtbl[Sec]&amp;PMtbl[Category]&amp;PMtbl[INN]&amp;PMtbl[Specification],0,),0),8),""),"")</f>
        <v/>
      </c>
      <c r="M110" s="177" t="str">
        <f>IF(L110="", "",SETUP!$E$5)</f>
        <v/>
      </c>
      <c r="N110" s="856"/>
      <c r="O110" s="12"/>
      <c r="P110" s="12"/>
      <c r="Q110" s="12"/>
      <c r="R110" s="12"/>
      <c r="S110" s="467">
        <f>SUM('TB-EQUIPMENT &amp; OTHER HPs'!$O110:$R110)</f>
        <v>0</v>
      </c>
      <c r="T110" s="832">
        <f>'TB-EQUIPMENT &amp; OTHER HPs'!$N110*'TB-EQUIPMENT &amp; OTHER HPs'!$S110</f>
        <v>0</v>
      </c>
      <c r="U110" s="856"/>
      <c r="V110" s="12"/>
      <c r="W110" s="12"/>
      <c r="X110" s="12"/>
      <c r="Y110" s="12"/>
      <c r="Z110" s="467">
        <f>SUM('TB-EQUIPMENT &amp; OTHER HPs'!$V110:$Y110)</f>
        <v>0</v>
      </c>
      <c r="AA110" s="832">
        <f>'TB-EQUIPMENT &amp; OTHER HPs'!$U110*'TB-EQUIPMENT &amp; OTHER HPs'!$Z110</f>
        <v>0</v>
      </c>
      <c r="AB110" s="856"/>
      <c r="AC110" s="12"/>
      <c r="AD110" s="12"/>
      <c r="AE110" s="12"/>
      <c r="AF110" s="12"/>
      <c r="AG110" s="467">
        <f>SUM('TB-EQUIPMENT &amp; OTHER HPs'!$AC110:$AF110)</f>
        <v>0</v>
      </c>
      <c r="AH110" s="832">
        <f>'TB-EQUIPMENT &amp; OTHER HPs'!$AB110*'TB-EQUIPMENT &amp; OTHER HPs'!$AG110</f>
        <v>0</v>
      </c>
      <c r="AI110" s="468">
        <f>'TB-EQUIPMENT &amp; OTHER HPs'!$S110+'TB-EQUIPMENT &amp; OTHER HPs'!$Z110+'TB-EQUIPMENT &amp; OTHER HPs'!$AG110</f>
        <v>0</v>
      </c>
      <c r="AJ110" s="832">
        <f>'TB-EQUIPMENT &amp; OTHER HPs'!$T110+'TB-EQUIPMENT &amp; OTHER HPs'!$AA110+'TB-EQUIPMENT &amp; OTHER HPs'!$AH110</f>
        <v>0</v>
      </c>
      <c r="AK110" s="402" t="str">
        <f>IF(A110&lt;&gt;"",IFERROR(INDEX(PMtbl[[WKst]:[Unit of measure*]],MATCH($A$85&amp;$A110&amp;$E110&amp;$I110,INDEX(PMtbl[Sec]&amp;PMtbl[Category]&amp;PMtbl[INN]&amp;PMtbl[Specification],0,),0),7),""),"")</f>
        <v/>
      </c>
      <c r="AL110" s="950"/>
      <c r="AM110" s="1429" t="str">
        <f>IFERROR(INDEX(SETUP!$C$19:$G$62,MATCH((INDEX(PMtbl[[WKst]:[Unit of measure*]],MATCH($A110&amp;$E110&amp;$I110,INDEX(PMtbl[Category]&amp;PMtbl[INN]&amp;PMtbl[Specification],0,),0),3)),SETUP!$D$19:$D$62,0),5),"")</f>
        <v/>
      </c>
      <c r="AN110" s="1429" t="str">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
      </c>
    </row>
    <row r="111" spans="1:40" s="198" customFormat="1">
      <c r="A111" s="2611"/>
      <c r="B111" s="2611"/>
      <c r="C111" s="2611"/>
      <c r="D111" s="2611"/>
      <c r="E111" s="2610"/>
      <c r="F111" s="2611"/>
      <c r="G111" s="2611"/>
      <c r="H111" s="2612"/>
      <c r="I111" s="2722"/>
      <c r="J111" s="2734"/>
      <c r="K111" s="2724"/>
      <c r="L111" s="175" t="str">
        <f>IF(A111&lt;&gt;"",IFERROR(INDEX(PMtbl[[WKst]:[Unit of measure*]],MATCH($A$85&amp;$A111&amp;$E111&amp;$I111,INDEX(PMtbl[Sec]&amp;PMtbl[Category]&amp;PMtbl[INN]&amp;PMtbl[Specification],0,),0),8),""),"")</f>
        <v/>
      </c>
      <c r="M111" s="175" t="str">
        <f>IF(L111="", "",SETUP!$E$5)</f>
        <v/>
      </c>
      <c r="N111" s="857"/>
      <c r="O111" s="873"/>
      <c r="P111" s="873"/>
      <c r="Q111" s="873"/>
      <c r="R111" s="873"/>
      <c r="S111" s="469">
        <f>SUM('TB-EQUIPMENT &amp; OTHER HPs'!$O111:$R111)</f>
        <v>0</v>
      </c>
      <c r="T111" s="833">
        <f>'TB-EQUIPMENT &amp; OTHER HPs'!$N111*'TB-EQUIPMENT &amp; OTHER HPs'!$S111</f>
        <v>0</v>
      </c>
      <c r="U111" s="857"/>
      <c r="V111" s="873"/>
      <c r="W111" s="873"/>
      <c r="X111" s="873"/>
      <c r="Y111" s="873"/>
      <c r="Z111" s="469">
        <f>SUM('TB-EQUIPMENT &amp; OTHER HPs'!$V111:$Y111)</f>
        <v>0</v>
      </c>
      <c r="AA111" s="833">
        <f>'TB-EQUIPMENT &amp; OTHER HPs'!$U111*'TB-EQUIPMENT &amp; OTHER HPs'!$Z111</f>
        <v>0</v>
      </c>
      <c r="AB111" s="857"/>
      <c r="AC111" s="873"/>
      <c r="AD111" s="873"/>
      <c r="AE111" s="873"/>
      <c r="AF111" s="873"/>
      <c r="AG111" s="469">
        <f>SUM('TB-EQUIPMENT &amp; OTHER HPs'!$AC111:$AF111)</f>
        <v>0</v>
      </c>
      <c r="AH111" s="833">
        <f>'TB-EQUIPMENT &amp; OTHER HPs'!$AB111*'TB-EQUIPMENT &amp; OTHER HPs'!$AG111</f>
        <v>0</v>
      </c>
      <c r="AI111" s="470">
        <f>'TB-EQUIPMENT &amp; OTHER HPs'!$S111+'TB-EQUIPMENT &amp; OTHER HPs'!$Z111+'TB-EQUIPMENT &amp; OTHER HPs'!$AG111</f>
        <v>0</v>
      </c>
      <c r="AJ111" s="833">
        <f>'TB-EQUIPMENT &amp; OTHER HPs'!$T111+'TB-EQUIPMENT &amp; OTHER HPs'!$AA111+'TB-EQUIPMENT &amp; OTHER HPs'!$AH111</f>
        <v>0</v>
      </c>
      <c r="AK111" s="401" t="str">
        <f>IF(A111&lt;&gt;"",IFERROR(INDEX(PMtbl[[WKst]:[Unit of measure*]],MATCH($A$85&amp;$A111&amp;$E111&amp;$I111,INDEX(PMtbl[Sec]&amp;PMtbl[Category]&amp;PMtbl[INN]&amp;PMtbl[Specification],0,),0),7),""),"")</f>
        <v/>
      </c>
      <c r="AL111" s="949"/>
      <c r="AM111" s="1430" t="str">
        <f>IFERROR(INDEX(SETUP!$C$19:$G$62,MATCH((INDEX(PMtbl[[WKst]:[Unit of measure*]],MATCH($A111&amp;$E111&amp;$I111,INDEX(PMtbl[Category]&amp;PMtbl[INN]&amp;PMtbl[Specification],0,),0),3)),SETUP!$D$19:$D$62,0),5),"")</f>
        <v/>
      </c>
      <c r="AN111" s="1430" t="str">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
      </c>
    </row>
    <row r="112" spans="1:40" s="198" customFormat="1" hidden="1">
      <c r="A112" s="2435"/>
      <c r="B112" s="2435"/>
      <c r="C112" s="2435"/>
      <c r="D112" s="2435"/>
      <c r="E112" s="2725"/>
      <c r="F112" s="2435"/>
      <c r="G112" s="2435"/>
      <c r="H112" s="2726"/>
      <c r="I112" s="2727"/>
      <c r="J112" s="2728"/>
      <c r="K112" s="2729"/>
      <c r="L112" s="176" t="str">
        <f>IF(A112&lt;&gt;"",IFERROR(INDEX(PMtbl[[WKst]:[Unit of measure*]],MATCH($A$85&amp;$A112&amp;$E112&amp;$I112,INDEX(PMtbl[Sec]&amp;PMtbl[Category]&amp;PMtbl[INN]&amp;PMtbl[Specification],0,),0),8),""),"")</f>
        <v/>
      </c>
      <c r="M112" s="177" t="str">
        <f>IF(L112="", "",SETUP!$E$5)</f>
        <v/>
      </c>
      <c r="N112" s="856"/>
      <c r="O112" s="12"/>
      <c r="P112" s="12"/>
      <c r="Q112" s="12"/>
      <c r="R112" s="12"/>
      <c r="S112" s="467">
        <f>SUM('TB-EQUIPMENT &amp; OTHER HPs'!$O112:$R112)</f>
        <v>0</v>
      </c>
      <c r="T112" s="832">
        <f>'TB-EQUIPMENT &amp; OTHER HPs'!$N112*'TB-EQUIPMENT &amp; OTHER HPs'!$S112</f>
        <v>0</v>
      </c>
      <c r="U112" s="856"/>
      <c r="V112" s="12"/>
      <c r="W112" s="12"/>
      <c r="X112" s="12"/>
      <c r="Y112" s="12"/>
      <c r="Z112" s="467">
        <f>SUM('TB-EQUIPMENT &amp; OTHER HPs'!$V112:$Y112)</f>
        <v>0</v>
      </c>
      <c r="AA112" s="832">
        <f>'TB-EQUIPMENT &amp; OTHER HPs'!$U112*'TB-EQUIPMENT &amp; OTHER HPs'!$Z112</f>
        <v>0</v>
      </c>
      <c r="AB112" s="856"/>
      <c r="AC112" s="12"/>
      <c r="AD112" s="12"/>
      <c r="AE112" s="12"/>
      <c r="AF112" s="12"/>
      <c r="AG112" s="467">
        <f>SUM('TB-EQUIPMENT &amp; OTHER HPs'!$AC112:$AF112)</f>
        <v>0</v>
      </c>
      <c r="AH112" s="832">
        <f>'TB-EQUIPMENT &amp; OTHER HPs'!$AB112*'TB-EQUIPMENT &amp; OTHER HPs'!$AG112</f>
        <v>0</v>
      </c>
      <c r="AI112" s="468">
        <f>'TB-EQUIPMENT &amp; OTHER HPs'!$S112+'TB-EQUIPMENT &amp; OTHER HPs'!$Z112+'TB-EQUIPMENT &amp; OTHER HPs'!$AG112</f>
        <v>0</v>
      </c>
      <c r="AJ112" s="832">
        <f>'TB-EQUIPMENT &amp; OTHER HPs'!$T112+'TB-EQUIPMENT &amp; OTHER HPs'!$AA112+'TB-EQUIPMENT &amp; OTHER HPs'!$AH112</f>
        <v>0</v>
      </c>
      <c r="AK112" s="402" t="str">
        <f>IF(A112&lt;&gt;"",IFERROR(INDEX(PMtbl[[WKst]:[Unit of measure*]],MATCH($A$85&amp;$A112&amp;$E112&amp;$I112,INDEX(PMtbl[Sec]&amp;PMtbl[Category]&amp;PMtbl[INN]&amp;PMtbl[Specification],0,),0),7),""),"")</f>
        <v/>
      </c>
      <c r="AL112" s="950"/>
      <c r="AM112" s="1429" t="str">
        <f>IFERROR(INDEX(SETUP!$C$19:$G$62,MATCH((INDEX(PMtbl[[WKst]:[Unit of measure*]],MATCH($A112&amp;$E112&amp;$I112,INDEX(PMtbl[Category]&amp;PMtbl[INN]&amp;PMtbl[Specification],0,),0),3)),SETUP!$D$19:$D$62,0),5),"")</f>
        <v/>
      </c>
      <c r="AN112" s="1429" t="str">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
      </c>
    </row>
    <row r="113" spans="1:40" s="198" customFormat="1" hidden="1">
      <c r="A113" s="2611"/>
      <c r="B113" s="2611"/>
      <c r="C113" s="2611"/>
      <c r="D113" s="2611"/>
      <c r="E113" s="2610"/>
      <c r="F113" s="2611"/>
      <c r="G113" s="2611"/>
      <c r="H113" s="2612"/>
      <c r="I113" s="2722"/>
      <c r="J113" s="2734"/>
      <c r="K113" s="2724"/>
      <c r="L113" s="175" t="str">
        <f>IF(A113&lt;&gt;"",IFERROR(INDEX(PMtbl[[WKst]:[Unit of measure*]],MATCH($A$85&amp;$A113&amp;$E113&amp;$I113,INDEX(PMtbl[Sec]&amp;PMtbl[Category]&amp;PMtbl[INN]&amp;PMtbl[Specification],0,),0),8),""),"")</f>
        <v/>
      </c>
      <c r="M113" s="175" t="str">
        <f>IF(L113="", "",SETUP!$E$5)</f>
        <v/>
      </c>
      <c r="N113" s="857"/>
      <c r="O113" s="873"/>
      <c r="P113" s="873"/>
      <c r="Q113" s="873"/>
      <c r="R113" s="873"/>
      <c r="S113" s="469">
        <f>SUM('TB-EQUIPMENT &amp; OTHER HPs'!$O113:$R113)</f>
        <v>0</v>
      </c>
      <c r="T113" s="833">
        <f>'TB-EQUIPMENT &amp; OTHER HPs'!$N113*'TB-EQUIPMENT &amp; OTHER HPs'!$S113</f>
        <v>0</v>
      </c>
      <c r="U113" s="857"/>
      <c r="V113" s="873"/>
      <c r="W113" s="873"/>
      <c r="X113" s="873"/>
      <c r="Y113" s="873"/>
      <c r="Z113" s="469">
        <f>SUM('TB-EQUIPMENT &amp; OTHER HPs'!$V113:$Y113)</f>
        <v>0</v>
      </c>
      <c r="AA113" s="833">
        <f>'TB-EQUIPMENT &amp; OTHER HPs'!$U113*'TB-EQUIPMENT &amp; OTHER HPs'!$Z113</f>
        <v>0</v>
      </c>
      <c r="AB113" s="857"/>
      <c r="AC113" s="873"/>
      <c r="AD113" s="873"/>
      <c r="AE113" s="873"/>
      <c r="AF113" s="873"/>
      <c r="AG113" s="469">
        <f>SUM('TB-EQUIPMENT &amp; OTHER HPs'!$AC113:$AF113)</f>
        <v>0</v>
      </c>
      <c r="AH113" s="833">
        <f>'TB-EQUIPMENT &amp; OTHER HPs'!$AB113*'TB-EQUIPMENT &amp; OTHER HPs'!$AG113</f>
        <v>0</v>
      </c>
      <c r="AI113" s="470">
        <f>'TB-EQUIPMENT &amp; OTHER HPs'!$S113+'TB-EQUIPMENT &amp; OTHER HPs'!$Z113+'TB-EQUIPMENT &amp; OTHER HPs'!$AG113</f>
        <v>0</v>
      </c>
      <c r="AJ113" s="833">
        <f>'TB-EQUIPMENT &amp; OTHER HPs'!$T113+'TB-EQUIPMENT &amp; OTHER HPs'!$AA113+'TB-EQUIPMENT &amp; OTHER HPs'!$AH113</f>
        <v>0</v>
      </c>
      <c r="AK113" s="400" t="str">
        <f>IF(A113&lt;&gt;"",IFERROR(INDEX(PMtbl[[WKst]:[Unit of measure*]],MATCH($A$85&amp;$A113&amp;$E113&amp;$I113,INDEX(PMtbl[Sec]&amp;PMtbl[Category]&amp;PMtbl[INN]&amp;PMtbl[Specification],0,),0),7),""),"")</f>
        <v/>
      </c>
      <c r="AL113" s="946"/>
      <c r="AM113" s="1427" t="str">
        <f>IFERROR(INDEX(SETUP!$C$19:$G$62,MATCH((INDEX(PMtbl[[WKst]:[Unit of measure*]],MATCH($A113&amp;$E113&amp;$I113,INDEX(PMtbl[Category]&amp;PMtbl[INN]&amp;PMtbl[Specification],0,),0),3)),SETUP!$D$19:$D$62,0),5),"")</f>
        <v/>
      </c>
      <c r="AN113" s="1427"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s="198" customFormat="1" hidden="1">
      <c r="A114" s="2435"/>
      <c r="B114" s="2435"/>
      <c r="C114" s="2435"/>
      <c r="D114" s="2435"/>
      <c r="E114" s="2725"/>
      <c r="F114" s="2435"/>
      <c r="G114" s="2435"/>
      <c r="H114" s="2726"/>
      <c r="I114" s="2727"/>
      <c r="J114" s="2728"/>
      <c r="K114" s="2729"/>
      <c r="L114" s="176" t="str">
        <f>IF(A114&lt;&gt;"",IFERROR(INDEX(PMtbl[[WKst]:[Unit of measure*]],MATCH($A$85&amp;$A114&amp;$E114&amp;$I114,INDEX(PMtbl[Sec]&amp;PMtbl[Category]&amp;PMtbl[INN]&amp;PMtbl[Specification],0,),0),8),""),"")</f>
        <v/>
      </c>
      <c r="M114" s="177" t="str">
        <f>IF(L114="", "",SETUP!$E$5)</f>
        <v/>
      </c>
      <c r="N114" s="856"/>
      <c r="O114" s="12"/>
      <c r="P114" s="12"/>
      <c r="Q114" s="12"/>
      <c r="R114" s="12"/>
      <c r="S114" s="467">
        <f>SUM('TB-EQUIPMENT &amp; OTHER HPs'!$O114:$R114)</f>
        <v>0</v>
      </c>
      <c r="T114" s="832">
        <f>'TB-EQUIPMENT &amp; OTHER HPs'!$N114*'TB-EQUIPMENT &amp; OTHER HPs'!$S114</f>
        <v>0</v>
      </c>
      <c r="U114" s="856"/>
      <c r="V114" s="12"/>
      <c r="W114" s="12"/>
      <c r="X114" s="12"/>
      <c r="Y114" s="12"/>
      <c r="Z114" s="467">
        <f>SUM('TB-EQUIPMENT &amp; OTHER HPs'!$V114:$Y114)</f>
        <v>0</v>
      </c>
      <c r="AA114" s="832">
        <f>'TB-EQUIPMENT &amp; OTHER HPs'!$U114*'TB-EQUIPMENT &amp; OTHER HPs'!$Z114</f>
        <v>0</v>
      </c>
      <c r="AB114" s="856"/>
      <c r="AC114" s="12"/>
      <c r="AD114" s="12"/>
      <c r="AE114" s="12"/>
      <c r="AF114" s="12"/>
      <c r="AG114" s="467">
        <f>SUM('TB-EQUIPMENT &amp; OTHER HPs'!$AC114:$AF114)</f>
        <v>0</v>
      </c>
      <c r="AH114" s="832">
        <f>'TB-EQUIPMENT &amp; OTHER HPs'!$AB114*'TB-EQUIPMENT &amp; OTHER HPs'!$AG114</f>
        <v>0</v>
      </c>
      <c r="AI114" s="468">
        <f>'TB-EQUIPMENT &amp; OTHER HPs'!$S114+'TB-EQUIPMENT &amp; OTHER HPs'!$Z114+'TB-EQUIPMENT &amp; OTHER HPs'!$AG114</f>
        <v>0</v>
      </c>
      <c r="AJ114" s="832">
        <f>'TB-EQUIPMENT &amp; OTHER HPs'!$T114+'TB-EQUIPMENT &amp; OTHER HPs'!$AA114+'TB-EQUIPMENT &amp; OTHER HPs'!$AH114</f>
        <v>0</v>
      </c>
      <c r="AK114" s="397" t="str">
        <f>IF(A114&lt;&gt;"",IFERROR(INDEX(PMtbl[[WKst]:[Unit of measure*]],MATCH($A$85&amp;$A114&amp;$E114&amp;$I114,INDEX(PMtbl[Sec]&amp;PMtbl[Category]&amp;PMtbl[INN]&amp;PMtbl[Specification],0,),0),7),""),"")</f>
        <v/>
      </c>
      <c r="AL114" s="947"/>
      <c r="AM114" s="1428" t="str">
        <f>IFERROR(INDEX(SETUP!$C$19:$G$62,MATCH((INDEX(PMtbl[[WKst]:[Unit of measure*]],MATCH($A114&amp;$E114&amp;$I114,INDEX(PMtbl[Category]&amp;PMtbl[INN]&amp;PMtbl[Specification],0,),0),3)),SETUP!$D$19:$D$62,0),5),"")</f>
        <v/>
      </c>
      <c r="AN114" s="1428"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s="198" customFormat="1" hidden="1">
      <c r="A115" s="2611"/>
      <c r="B115" s="2611"/>
      <c r="C115" s="2611"/>
      <c r="D115" s="2611"/>
      <c r="E115" s="2610"/>
      <c r="F115" s="2611"/>
      <c r="G115" s="2611"/>
      <c r="H115" s="2612"/>
      <c r="I115" s="2722"/>
      <c r="J115" s="2734"/>
      <c r="K115" s="2724"/>
      <c r="L115" s="175" t="str">
        <f>IF(A115&lt;&gt;"",IFERROR(INDEX(PMtbl[[WKst]:[Unit of measure*]],MATCH($A$85&amp;$A115&amp;$E115&amp;$I115,INDEX(PMtbl[Sec]&amp;PMtbl[Category]&amp;PMtbl[INN]&amp;PMtbl[Specification],0,),0),8),""),"")</f>
        <v/>
      </c>
      <c r="M115" s="175" t="str">
        <f>IF(L115="", "",SETUP!$E$5)</f>
        <v/>
      </c>
      <c r="N115" s="857"/>
      <c r="O115" s="873"/>
      <c r="P115" s="873"/>
      <c r="Q115" s="873"/>
      <c r="R115" s="873"/>
      <c r="S115" s="469">
        <f>SUM('TB-EQUIPMENT &amp; OTHER HPs'!$O115:$R115)</f>
        <v>0</v>
      </c>
      <c r="T115" s="833">
        <f>'TB-EQUIPMENT &amp; OTHER HPs'!$N115*'TB-EQUIPMENT &amp; OTHER HPs'!$S115</f>
        <v>0</v>
      </c>
      <c r="U115" s="857"/>
      <c r="V115" s="873"/>
      <c r="W115" s="873"/>
      <c r="X115" s="873"/>
      <c r="Y115" s="873"/>
      <c r="Z115" s="469">
        <f>SUM('TB-EQUIPMENT &amp; OTHER HPs'!$V115:$Y115)</f>
        <v>0</v>
      </c>
      <c r="AA115" s="833">
        <f>'TB-EQUIPMENT &amp; OTHER HPs'!$U115*'TB-EQUIPMENT &amp; OTHER HPs'!$Z115</f>
        <v>0</v>
      </c>
      <c r="AB115" s="857"/>
      <c r="AC115" s="873"/>
      <c r="AD115" s="873"/>
      <c r="AE115" s="873"/>
      <c r="AF115" s="873"/>
      <c r="AG115" s="469">
        <f>SUM('TB-EQUIPMENT &amp; OTHER HPs'!$AC115:$AF115)</f>
        <v>0</v>
      </c>
      <c r="AH115" s="833">
        <f>'TB-EQUIPMENT &amp; OTHER HPs'!$AB115*'TB-EQUIPMENT &amp; OTHER HPs'!$AG115</f>
        <v>0</v>
      </c>
      <c r="AI115" s="470">
        <f>'TB-EQUIPMENT &amp; OTHER HPs'!$S115+'TB-EQUIPMENT &amp; OTHER HPs'!$Z115+'TB-EQUIPMENT &amp; OTHER HPs'!$AG115</f>
        <v>0</v>
      </c>
      <c r="AJ115" s="833">
        <f>'TB-EQUIPMENT &amp; OTHER HPs'!$T115+'TB-EQUIPMENT &amp; OTHER HPs'!$AA115+'TB-EQUIPMENT &amp; OTHER HPs'!$AH115</f>
        <v>0</v>
      </c>
      <c r="AK115" s="401" t="str">
        <f>IF(A115&lt;&gt;"",IFERROR(INDEX(PMtbl[[WKst]:[Unit of measure*]],MATCH($A$85&amp;$A115&amp;$E115&amp;$I115,INDEX(PMtbl[Sec]&amp;PMtbl[Category]&amp;PMtbl[INN]&amp;PMtbl[Specification],0,),0),7),""),"")</f>
        <v/>
      </c>
      <c r="AL115" s="949"/>
      <c r="AM115" s="1430" t="str">
        <f>IFERROR(INDEX(SETUP!$C$19:$G$62,MATCH((INDEX(PMtbl[[WKst]:[Unit of measure*]],MATCH($A115&amp;$E115&amp;$I115,INDEX(PMtbl[Category]&amp;PMtbl[INN]&amp;PMtbl[Specification],0,),0),3)),SETUP!$D$19:$D$62,0),5),"")</f>
        <v/>
      </c>
      <c r="AN115" s="1430"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s="198" customFormat="1" hidden="1">
      <c r="A116" s="2435"/>
      <c r="B116" s="2435"/>
      <c r="C116" s="2435"/>
      <c r="D116" s="2435"/>
      <c r="E116" s="2725"/>
      <c r="F116" s="2435"/>
      <c r="G116" s="2435"/>
      <c r="H116" s="2726"/>
      <c r="I116" s="2727"/>
      <c r="J116" s="2728"/>
      <c r="K116" s="2729"/>
      <c r="L116" s="176" t="str">
        <f>IF(A116&lt;&gt;"",IFERROR(INDEX(PMtbl[[WKst]:[Unit of measure*]],MATCH($A$85&amp;$A116&amp;$E116&amp;$I116,INDEX(PMtbl[Sec]&amp;PMtbl[Category]&amp;PMtbl[INN]&amp;PMtbl[Specification],0,),0),8),""),"")</f>
        <v/>
      </c>
      <c r="M116" s="177" t="str">
        <f>IF(L116="", "",SETUP!$E$5)</f>
        <v/>
      </c>
      <c r="N116" s="856"/>
      <c r="O116" s="12"/>
      <c r="P116" s="12"/>
      <c r="Q116" s="12"/>
      <c r="R116" s="12"/>
      <c r="S116" s="467">
        <f>SUM('TB-EQUIPMENT &amp; OTHER HPs'!$O116:$R116)</f>
        <v>0</v>
      </c>
      <c r="T116" s="832">
        <f>'TB-EQUIPMENT &amp; OTHER HPs'!$N116*'TB-EQUIPMENT &amp; OTHER HPs'!$S116</f>
        <v>0</v>
      </c>
      <c r="U116" s="856"/>
      <c r="V116" s="12"/>
      <c r="W116" s="12"/>
      <c r="X116" s="12"/>
      <c r="Y116" s="12"/>
      <c r="Z116" s="467">
        <f>SUM('TB-EQUIPMENT &amp; OTHER HPs'!$V116:$Y116)</f>
        <v>0</v>
      </c>
      <c r="AA116" s="832">
        <f>'TB-EQUIPMENT &amp; OTHER HPs'!$U116*'TB-EQUIPMENT &amp; OTHER HPs'!$Z116</f>
        <v>0</v>
      </c>
      <c r="AB116" s="856"/>
      <c r="AC116" s="12"/>
      <c r="AD116" s="12"/>
      <c r="AE116" s="12"/>
      <c r="AF116" s="12"/>
      <c r="AG116" s="467">
        <f>SUM('TB-EQUIPMENT &amp; OTHER HPs'!$AC116:$AF116)</f>
        <v>0</v>
      </c>
      <c r="AH116" s="832">
        <f>'TB-EQUIPMENT &amp; OTHER HPs'!$AB116*'TB-EQUIPMENT &amp; OTHER HPs'!$AG116</f>
        <v>0</v>
      </c>
      <c r="AI116" s="468">
        <f>'TB-EQUIPMENT &amp; OTHER HPs'!$S116+'TB-EQUIPMENT &amp; OTHER HPs'!$Z116+'TB-EQUIPMENT &amp; OTHER HPs'!$AG116</f>
        <v>0</v>
      </c>
      <c r="AJ116" s="832">
        <f>'TB-EQUIPMENT &amp; OTHER HPs'!$T116+'TB-EQUIPMENT &amp; OTHER HPs'!$AA116+'TB-EQUIPMENT &amp; OTHER HPs'!$AH116</f>
        <v>0</v>
      </c>
      <c r="AK116" s="402" t="str">
        <f>IF(A116&lt;&gt;"",IFERROR(INDEX(PMtbl[[WKst]:[Unit of measure*]],MATCH($A$85&amp;$A116&amp;$E116&amp;$I116,INDEX(PMtbl[Sec]&amp;PMtbl[Category]&amp;PMtbl[INN]&amp;PMtbl[Specification],0,),0),7),""),"")</f>
        <v/>
      </c>
      <c r="AL116" s="950"/>
      <c r="AM116" s="1429" t="str">
        <f>IFERROR(INDEX(SETUP!$C$19:$G$62,MATCH((INDEX(PMtbl[[WKst]:[Unit of measure*]],MATCH($A116&amp;$E116&amp;$I116,INDEX(PMtbl[Category]&amp;PMtbl[INN]&amp;PMtbl[Specification],0,),0),3)),SETUP!$D$19:$D$62,0),5),"")</f>
        <v/>
      </c>
      <c r="AN116" s="1429"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s="198" customFormat="1" hidden="1">
      <c r="A117" s="2611"/>
      <c r="B117" s="2611"/>
      <c r="C117" s="2611"/>
      <c r="D117" s="2611"/>
      <c r="E117" s="2610"/>
      <c r="F117" s="2611"/>
      <c r="G117" s="2611"/>
      <c r="H117" s="2612"/>
      <c r="I117" s="2722"/>
      <c r="J117" s="2734"/>
      <c r="K117" s="2724"/>
      <c r="L117" s="175" t="str">
        <f>IF(A117&lt;&gt;"",IFERROR(INDEX(PMtbl[[WKst]:[Unit of measure*]],MATCH($A$85&amp;$A117&amp;$E117&amp;$I117,INDEX(PMtbl[Sec]&amp;PMtbl[Category]&amp;PMtbl[INN]&amp;PMtbl[Specification],0,),0),8),""),"")</f>
        <v/>
      </c>
      <c r="M117" s="175" t="str">
        <f>IF(L117="", "",SETUP!$E$5)</f>
        <v/>
      </c>
      <c r="N117" s="857"/>
      <c r="O117" s="873"/>
      <c r="P117" s="873"/>
      <c r="Q117" s="873"/>
      <c r="R117" s="873"/>
      <c r="S117" s="469">
        <f>SUM('TB-EQUIPMENT &amp; OTHER HPs'!$O117:$R117)</f>
        <v>0</v>
      </c>
      <c r="T117" s="833">
        <f>'TB-EQUIPMENT &amp; OTHER HPs'!$N117*'TB-EQUIPMENT &amp; OTHER HPs'!$S117</f>
        <v>0</v>
      </c>
      <c r="U117" s="857"/>
      <c r="V117" s="873"/>
      <c r="W117" s="873"/>
      <c r="X117" s="873"/>
      <c r="Y117" s="873"/>
      <c r="Z117" s="469">
        <f>SUM('TB-EQUIPMENT &amp; OTHER HPs'!$V117:$Y117)</f>
        <v>0</v>
      </c>
      <c r="AA117" s="833">
        <f>'TB-EQUIPMENT &amp; OTHER HPs'!$U117*'TB-EQUIPMENT &amp; OTHER HPs'!$Z117</f>
        <v>0</v>
      </c>
      <c r="AB117" s="857"/>
      <c r="AC117" s="873"/>
      <c r="AD117" s="873"/>
      <c r="AE117" s="873"/>
      <c r="AF117" s="873"/>
      <c r="AG117" s="469">
        <f>SUM('TB-EQUIPMENT &amp; OTHER HPs'!$AC117:$AF117)</f>
        <v>0</v>
      </c>
      <c r="AH117" s="833">
        <f>'TB-EQUIPMENT &amp; OTHER HPs'!$AB117*'TB-EQUIPMENT &amp; OTHER HPs'!$AG117</f>
        <v>0</v>
      </c>
      <c r="AI117" s="470">
        <f>'TB-EQUIPMENT &amp; OTHER HPs'!$S117+'TB-EQUIPMENT &amp; OTHER HPs'!$Z117+'TB-EQUIPMENT &amp; OTHER HPs'!$AG117</f>
        <v>0</v>
      </c>
      <c r="AJ117" s="833">
        <f>'TB-EQUIPMENT &amp; OTHER HPs'!$T117+'TB-EQUIPMENT &amp; OTHER HPs'!$AA117+'TB-EQUIPMENT &amp; OTHER HPs'!$AH117</f>
        <v>0</v>
      </c>
      <c r="AK117" s="401" t="str">
        <f>IF(A117&lt;&gt;"",IFERROR(INDEX(PMtbl[[WKst]:[Unit of measure*]],MATCH($A$85&amp;$A117&amp;$E117&amp;$I117,INDEX(PMtbl[Sec]&amp;PMtbl[Category]&amp;PMtbl[INN]&amp;PMtbl[Specification],0,),0),7),""),"")</f>
        <v/>
      </c>
      <c r="AL117" s="949"/>
      <c r="AM117" s="1430" t="str">
        <f>IFERROR(INDEX(SETUP!$C$19:$G$62,MATCH((INDEX(PMtbl[[WKst]:[Unit of measure*]],MATCH($A117&amp;$E117&amp;$I117,INDEX(PMtbl[Category]&amp;PMtbl[INN]&amp;PMtbl[Specification],0,),0),3)),SETUP!$D$19:$D$62,0),5),"")</f>
        <v/>
      </c>
      <c r="AN117" s="1430"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s="198" customFormat="1" hidden="1">
      <c r="A118" s="2435"/>
      <c r="B118" s="2435"/>
      <c r="C118" s="2435"/>
      <c r="D118" s="2435"/>
      <c r="E118" s="2725"/>
      <c r="F118" s="2435"/>
      <c r="G118" s="2435"/>
      <c r="H118" s="2726"/>
      <c r="I118" s="2727"/>
      <c r="J118" s="2728"/>
      <c r="K118" s="2729"/>
      <c r="L118" s="176" t="str">
        <f>IF(A118&lt;&gt;"",IFERROR(INDEX(PMtbl[[WKst]:[Unit of measure*]],MATCH($A$85&amp;$A118&amp;$E118&amp;$I118,INDEX(PMtbl[Sec]&amp;PMtbl[Category]&amp;PMtbl[INN]&amp;PMtbl[Specification],0,),0),8),""),"")</f>
        <v/>
      </c>
      <c r="M118" s="177" t="str">
        <f>IF(L118="", "",SETUP!$E$5)</f>
        <v/>
      </c>
      <c r="N118" s="856"/>
      <c r="O118" s="12"/>
      <c r="P118" s="12"/>
      <c r="Q118" s="12"/>
      <c r="R118" s="12"/>
      <c r="S118" s="467">
        <f>SUM('TB-EQUIPMENT &amp; OTHER HPs'!$O118:$R118)</f>
        <v>0</v>
      </c>
      <c r="T118" s="832">
        <f>'TB-EQUIPMENT &amp; OTHER HPs'!$N118*'TB-EQUIPMENT &amp; OTHER HPs'!$S118</f>
        <v>0</v>
      </c>
      <c r="U118" s="856"/>
      <c r="V118" s="12"/>
      <c r="W118" s="12"/>
      <c r="X118" s="12"/>
      <c r="Y118" s="12"/>
      <c r="Z118" s="467">
        <f>SUM('TB-EQUIPMENT &amp; OTHER HPs'!$V118:$Y118)</f>
        <v>0</v>
      </c>
      <c r="AA118" s="832">
        <f>'TB-EQUIPMENT &amp; OTHER HPs'!$U118*'TB-EQUIPMENT &amp; OTHER HPs'!$Z118</f>
        <v>0</v>
      </c>
      <c r="AB118" s="856"/>
      <c r="AC118" s="12"/>
      <c r="AD118" s="12"/>
      <c r="AE118" s="12"/>
      <c r="AF118" s="12"/>
      <c r="AG118" s="467">
        <f>SUM('TB-EQUIPMENT &amp; OTHER HPs'!$AC118:$AF118)</f>
        <v>0</v>
      </c>
      <c r="AH118" s="832">
        <f>'TB-EQUIPMENT &amp; OTHER HPs'!$AB118*'TB-EQUIPMENT &amp; OTHER HPs'!$AG118</f>
        <v>0</v>
      </c>
      <c r="AI118" s="468">
        <f>'TB-EQUIPMENT &amp; OTHER HPs'!$S118+'TB-EQUIPMENT &amp; OTHER HPs'!$Z118+'TB-EQUIPMENT &amp; OTHER HPs'!$AG118</f>
        <v>0</v>
      </c>
      <c r="AJ118" s="832">
        <f>'TB-EQUIPMENT &amp; OTHER HPs'!$T118+'TB-EQUIPMENT &amp; OTHER HPs'!$AA118+'TB-EQUIPMENT &amp; OTHER HPs'!$AH118</f>
        <v>0</v>
      </c>
      <c r="AK118" s="402" t="str">
        <f>IF(A118&lt;&gt;"",IFERROR(INDEX(PMtbl[[WKst]:[Unit of measure*]],MATCH($A$85&amp;$A118&amp;$E118&amp;$I118,INDEX(PMtbl[Sec]&amp;PMtbl[Category]&amp;PMtbl[INN]&amp;PMtbl[Specification],0,),0),7),""),"")</f>
        <v/>
      </c>
      <c r="AL118" s="950"/>
      <c r="AM118" s="1429" t="str">
        <f>IFERROR(INDEX(SETUP!$C$19:$G$62,MATCH((INDEX(PMtbl[[WKst]:[Unit of measure*]],MATCH($A118&amp;$E118&amp;$I118,INDEX(PMtbl[Category]&amp;PMtbl[INN]&amp;PMtbl[Specification],0,),0),3)),SETUP!$D$19:$D$62,0),5),"")</f>
        <v/>
      </c>
      <c r="AN118" s="1429"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s="198" customFormat="1" hidden="1">
      <c r="A119" s="2611"/>
      <c r="B119" s="2611"/>
      <c r="C119" s="2611"/>
      <c r="D119" s="2611"/>
      <c r="E119" s="2610"/>
      <c r="F119" s="2611"/>
      <c r="G119" s="2611"/>
      <c r="H119" s="2612"/>
      <c r="I119" s="2722"/>
      <c r="J119" s="2734"/>
      <c r="K119" s="2724"/>
      <c r="L119" s="175" t="str">
        <f>IF(A119&lt;&gt;"",IFERROR(INDEX(PMtbl[[WKst]:[Unit of measure*]],MATCH($A$85&amp;$A119&amp;$E119&amp;$I119,INDEX(PMtbl[Sec]&amp;PMtbl[Category]&amp;PMtbl[INN]&amp;PMtbl[Specification],0,),0),8),""),"")</f>
        <v/>
      </c>
      <c r="M119" s="175" t="str">
        <f>IF(L119="", "",SETUP!$E$5)</f>
        <v/>
      </c>
      <c r="N119" s="857"/>
      <c r="O119" s="873"/>
      <c r="P119" s="873"/>
      <c r="Q119" s="873"/>
      <c r="R119" s="873"/>
      <c r="S119" s="469">
        <f>SUM('TB-EQUIPMENT &amp; OTHER HPs'!$O119:$R119)</f>
        <v>0</v>
      </c>
      <c r="T119" s="833">
        <f>'TB-EQUIPMENT &amp; OTHER HPs'!$N119*'TB-EQUIPMENT &amp; OTHER HPs'!$S119</f>
        <v>0</v>
      </c>
      <c r="U119" s="857"/>
      <c r="V119" s="873"/>
      <c r="W119" s="873"/>
      <c r="X119" s="873"/>
      <c r="Y119" s="873"/>
      <c r="Z119" s="469">
        <f>SUM('TB-EQUIPMENT &amp; OTHER HPs'!$V119:$Y119)</f>
        <v>0</v>
      </c>
      <c r="AA119" s="833">
        <f>'TB-EQUIPMENT &amp; OTHER HPs'!$U119*'TB-EQUIPMENT &amp; OTHER HPs'!$Z119</f>
        <v>0</v>
      </c>
      <c r="AB119" s="857"/>
      <c r="AC119" s="873"/>
      <c r="AD119" s="873"/>
      <c r="AE119" s="873"/>
      <c r="AF119" s="873"/>
      <c r="AG119" s="469">
        <f>SUM('TB-EQUIPMENT &amp; OTHER HPs'!$AC119:$AF119)</f>
        <v>0</v>
      </c>
      <c r="AH119" s="833">
        <f>'TB-EQUIPMENT &amp; OTHER HPs'!$AB119*'TB-EQUIPMENT &amp; OTHER HPs'!$AG119</f>
        <v>0</v>
      </c>
      <c r="AI119" s="470">
        <f>'TB-EQUIPMENT &amp; OTHER HPs'!$S119+'TB-EQUIPMENT &amp; OTHER HPs'!$Z119+'TB-EQUIPMENT &amp; OTHER HPs'!$AG119</f>
        <v>0</v>
      </c>
      <c r="AJ119" s="833">
        <f>'TB-EQUIPMENT &amp; OTHER HPs'!$T119+'TB-EQUIPMENT &amp; OTHER HPs'!$AA119+'TB-EQUIPMENT &amp; OTHER HPs'!$AH119</f>
        <v>0</v>
      </c>
      <c r="AK119" s="401" t="str">
        <f>IF(A119&lt;&gt;"",IFERROR(INDEX(PMtbl[[WKst]:[Unit of measure*]],MATCH($A$85&amp;$A119&amp;$E119&amp;$I119,INDEX(PMtbl[Sec]&amp;PMtbl[Category]&amp;PMtbl[INN]&amp;PMtbl[Specification],0,),0),7),""),"")</f>
        <v/>
      </c>
      <c r="AL119" s="949"/>
      <c r="AM119" s="1430" t="str">
        <f>IFERROR(INDEX(SETUP!$C$19:$G$62,MATCH((INDEX(PMtbl[[WKst]:[Unit of measure*]],MATCH($A119&amp;$E119&amp;$I119,INDEX(PMtbl[Category]&amp;PMtbl[INN]&amp;PMtbl[Specification],0,),0),3)),SETUP!$D$19:$D$62,0),5),"")</f>
        <v/>
      </c>
      <c r="AN119" s="1430"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s="198" customFormat="1" hidden="1">
      <c r="A120" s="2435"/>
      <c r="B120" s="2435"/>
      <c r="C120" s="2435"/>
      <c r="D120" s="2435"/>
      <c r="E120" s="2725"/>
      <c r="F120" s="2435"/>
      <c r="G120" s="2435"/>
      <c r="H120" s="2726"/>
      <c r="I120" s="2727"/>
      <c r="J120" s="2728"/>
      <c r="K120" s="2729"/>
      <c r="L120" s="176" t="str">
        <f>IF(A120&lt;&gt;"",IFERROR(INDEX(PMtbl[[WKst]:[Unit of measure*]],MATCH($A$85&amp;$A120&amp;$E120&amp;$I120,INDEX(PMtbl[Sec]&amp;PMtbl[Category]&amp;PMtbl[INN]&amp;PMtbl[Specification],0,),0),8),""),"")</f>
        <v/>
      </c>
      <c r="M120" s="177" t="str">
        <f>IF(L120="", "",SETUP!$E$5)</f>
        <v/>
      </c>
      <c r="N120" s="856"/>
      <c r="O120" s="12"/>
      <c r="P120" s="12"/>
      <c r="Q120" s="12"/>
      <c r="R120" s="12"/>
      <c r="S120" s="467">
        <f>SUM('TB-EQUIPMENT &amp; OTHER HPs'!$O120:$R120)</f>
        <v>0</v>
      </c>
      <c r="T120" s="832">
        <f>'TB-EQUIPMENT &amp; OTHER HPs'!$N120*'TB-EQUIPMENT &amp; OTHER HPs'!$S120</f>
        <v>0</v>
      </c>
      <c r="U120" s="856"/>
      <c r="V120" s="12"/>
      <c r="W120" s="12"/>
      <c r="X120" s="12"/>
      <c r="Y120" s="12"/>
      <c r="Z120" s="467">
        <f>SUM('TB-EQUIPMENT &amp; OTHER HPs'!$V120:$Y120)</f>
        <v>0</v>
      </c>
      <c r="AA120" s="832">
        <f>'TB-EQUIPMENT &amp; OTHER HPs'!$U120*'TB-EQUIPMENT &amp; OTHER HPs'!$Z120</f>
        <v>0</v>
      </c>
      <c r="AB120" s="856"/>
      <c r="AC120" s="12"/>
      <c r="AD120" s="12"/>
      <c r="AE120" s="12"/>
      <c r="AF120" s="12"/>
      <c r="AG120" s="467">
        <f>SUM('TB-EQUIPMENT &amp; OTHER HPs'!$AC120:$AF120)</f>
        <v>0</v>
      </c>
      <c r="AH120" s="832">
        <f>'TB-EQUIPMENT &amp; OTHER HPs'!$AB120*'TB-EQUIPMENT &amp; OTHER HPs'!$AG120</f>
        <v>0</v>
      </c>
      <c r="AI120" s="468">
        <f>'TB-EQUIPMENT &amp; OTHER HPs'!$S120+'TB-EQUIPMENT &amp; OTHER HPs'!$Z120+'TB-EQUIPMENT &amp; OTHER HPs'!$AG120</f>
        <v>0</v>
      </c>
      <c r="AJ120" s="832">
        <f>'TB-EQUIPMENT &amp; OTHER HPs'!$T120+'TB-EQUIPMENT &amp; OTHER HPs'!$AA120+'TB-EQUIPMENT &amp; OTHER HPs'!$AH120</f>
        <v>0</v>
      </c>
      <c r="AK120" s="402" t="str">
        <f>IF(A120&lt;&gt;"",IFERROR(INDEX(PMtbl[[WKst]:[Unit of measure*]],MATCH($A$85&amp;$A120&amp;$E120&amp;$I120,INDEX(PMtbl[Sec]&amp;PMtbl[Category]&amp;PMtbl[INN]&amp;PMtbl[Specification],0,),0),7),""),"")</f>
        <v/>
      </c>
      <c r="AL120" s="950"/>
      <c r="AM120" s="1429" t="str">
        <f>IFERROR(INDEX(SETUP!$C$19:$G$62,MATCH((INDEX(PMtbl[[WKst]:[Unit of measure*]],MATCH($A120&amp;$E120&amp;$I120,INDEX(PMtbl[Category]&amp;PMtbl[INN]&amp;PMtbl[Specification],0,),0),3)),SETUP!$D$19:$D$62,0),5),"")</f>
        <v/>
      </c>
      <c r="AN120" s="1429"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s="198" customFormat="1" hidden="1">
      <c r="A121" s="2611"/>
      <c r="B121" s="2611"/>
      <c r="C121" s="2611"/>
      <c r="D121" s="2611"/>
      <c r="E121" s="2610"/>
      <c r="F121" s="2611"/>
      <c r="G121" s="2611"/>
      <c r="H121" s="2612"/>
      <c r="I121" s="2722"/>
      <c r="J121" s="2734"/>
      <c r="K121" s="2724"/>
      <c r="L121" s="175" t="str">
        <f>IF(A121&lt;&gt;"",IFERROR(INDEX(PMtbl[[WKst]:[Unit of measure*]],MATCH($A$85&amp;$A121&amp;$E121&amp;$I121,INDEX(PMtbl[Sec]&amp;PMtbl[Category]&amp;PMtbl[INN]&amp;PMtbl[Specification],0,),0),8),""),"")</f>
        <v/>
      </c>
      <c r="M121" s="175" t="str">
        <f>IF(L121="", "",SETUP!$E$5)</f>
        <v/>
      </c>
      <c r="N121" s="857"/>
      <c r="O121" s="873"/>
      <c r="P121" s="873"/>
      <c r="Q121" s="873"/>
      <c r="R121" s="873"/>
      <c r="S121" s="469">
        <f>SUM('TB-EQUIPMENT &amp; OTHER HPs'!$O121:$R121)</f>
        <v>0</v>
      </c>
      <c r="T121" s="833">
        <f>'TB-EQUIPMENT &amp; OTHER HPs'!$N121*'TB-EQUIPMENT &amp; OTHER HPs'!$S121</f>
        <v>0</v>
      </c>
      <c r="U121" s="857"/>
      <c r="V121" s="873"/>
      <c r="W121" s="873"/>
      <c r="X121" s="873"/>
      <c r="Y121" s="873"/>
      <c r="Z121" s="469">
        <f>SUM('TB-EQUIPMENT &amp; OTHER HPs'!$V121:$Y121)</f>
        <v>0</v>
      </c>
      <c r="AA121" s="833">
        <f>'TB-EQUIPMENT &amp; OTHER HPs'!$U121*'TB-EQUIPMENT &amp; OTHER HPs'!$Z121</f>
        <v>0</v>
      </c>
      <c r="AB121" s="857"/>
      <c r="AC121" s="873"/>
      <c r="AD121" s="873"/>
      <c r="AE121" s="873"/>
      <c r="AF121" s="873"/>
      <c r="AG121" s="469">
        <f>SUM('TB-EQUIPMENT &amp; OTHER HPs'!$AC121:$AF121)</f>
        <v>0</v>
      </c>
      <c r="AH121" s="833">
        <f>'TB-EQUIPMENT &amp; OTHER HPs'!$AB121*'TB-EQUIPMENT &amp; OTHER HPs'!$AG121</f>
        <v>0</v>
      </c>
      <c r="AI121" s="470">
        <f>'TB-EQUIPMENT &amp; OTHER HPs'!$S121+'TB-EQUIPMENT &amp; OTHER HPs'!$Z121+'TB-EQUIPMENT &amp; OTHER HPs'!$AG121</f>
        <v>0</v>
      </c>
      <c r="AJ121" s="833">
        <f>'TB-EQUIPMENT &amp; OTHER HPs'!$T121+'TB-EQUIPMENT &amp; OTHER HPs'!$AA121+'TB-EQUIPMENT &amp; OTHER HPs'!$AH121</f>
        <v>0</v>
      </c>
      <c r="AK121" s="401" t="str">
        <f>IF(A121&lt;&gt;"",IFERROR(INDEX(PMtbl[[WKst]:[Unit of measure*]],MATCH($A$85&amp;$A121&amp;$E121&amp;$I121,INDEX(PMtbl[Sec]&amp;PMtbl[Category]&amp;PMtbl[INN]&amp;PMtbl[Specification],0,),0),7),""),"")</f>
        <v/>
      </c>
      <c r="AL121" s="949"/>
      <c r="AM121" s="1430" t="str">
        <f>IFERROR(INDEX(SETUP!$C$19:$G$62,MATCH((INDEX(PMtbl[[WKst]:[Unit of measure*]],MATCH($A121&amp;$E121&amp;$I121,INDEX(PMtbl[Category]&amp;PMtbl[INN]&amp;PMtbl[Specification],0,),0),3)),SETUP!$D$19:$D$62,0),5),"")</f>
        <v/>
      </c>
      <c r="AN121" s="1430"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s="198" customFormat="1" hidden="1">
      <c r="A122" s="2435"/>
      <c r="B122" s="2435"/>
      <c r="C122" s="2435"/>
      <c r="D122" s="2435"/>
      <c r="E122" s="2725"/>
      <c r="F122" s="2435"/>
      <c r="G122" s="2435"/>
      <c r="H122" s="2726"/>
      <c r="I122" s="2727"/>
      <c r="J122" s="2728"/>
      <c r="K122" s="2729"/>
      <c r="L122" s="176" t="str">
        <f>IF(A122&lt;&gt;"",IFERROR(INDEX(PMtbl[[WKst]:[Unit of measure*]],MATCH($A$85&amp;$A122&amp;$E122&amp;$I122,INDEX(PMtbl[Sec]&amp;PMtbl[Category]&amp;PMtbl[INN]&amp;PMtbl[Specification],0,),0),8),""),"")</f>
        <v/>
      </c>
      <c r="M122" s="177" t="str">
        <f>IF(L122="", "",SETUP!$E$5)</f>
        <v/>
      </c>
      <c r="N122" s="856"/>
      <c r="O122" s="12"/>
      <c r="P122" s="12"/>
      <c r="Q122" s="12"/>
      <c r="R122" s="12"/>
      <c r="S122" s="467">
        <f>SUM('TB-EQUIPMENT &amp; OTHER HPs'!$O122:$R122)</f>
        <v>0</v>
      </c>
      <c r="T122" s="832">
        <f>'TB-EQUIPMENT &amp; OTHER HPs'!$N122*'TB-EQUIPMENT &amp; OTHER HPs'!$S122</f>
        <v>0</v>
      </c>
      <c r="U122" s="856"/>
      <c r="V122" s="12"/>
      <c r="W122" s="12"/>
      <c r="X122" s="12"/>
      <c r="Y122" s="12"/>
      <c r="Z122" s="467">
        <f>SUM('TB-EQUIPMENT &amp; OTHER HPs'!$V122:$Y122)</f>
        <v>0</v>
      </c>
      <c r="AA122" s="832">
        <f>'TB-EQUIPMENT &amp; OTHER HPs'!$U122*'TB-EQUIPMENT &amp; OTHER HPs'!$Z122</f>
        <v>0</v>
      </c>
      <c r="AB122" s="856"/>
      <c r="AC122" s="12"/>
      <c r="AD122" s="12"/>
      <c r="AE122" s="12"/>
      <c r="AF122" s="12"/>
      <c r="AG122" s="467">
        <f>SUM('TB-EQUIPMENT &amp; OTHER HPs'!$AC122:$AF122)</f>
        <v>0</v>
      </c>
      <c r="AH122" s="832">
        <f>'TB-EQUIPMENT &amp; OTHER HPs'!$AB122*'TB-EQUIPMENT &amp; OTHER HPs'!$AG122</f>
        <v>0</v>
      </c>
      <c r="AI122" s="468">
        <f>'TB-EQUIPMENT &amp; OTHER HPs'!$S122+'TB-EQUIPMENT &amp; OTHER HPs'!$Z122+'TB-EQUIPMENT &amp; OTHER HPs'!$AG122</f>
        <v>0</v>
      </c>
      <c r="AJ122" s="832">
        <f>'TB-EQUIPMENT &amp; OTHER HPs'!$T122+'TB-EQUIPMENT &amp; OTHER HPs'!$AA122+'TB-EQUIPMENT &amp; OTHER HPs'!$AH122</f>
        <v>0</v>
      </c>
      <c r="AK122" s="402" t="str">
        <f>IF(A122&lt;&gt;"",IFERROR(INDEX(PMtbl[[WKst]:[Unit of measure*]],MATCH($A$85&amp;$A122&amp;$E122&amp;$I122,INDEX(PMtbl[Sec]&amp;PMtbl[Category]&amp;PMtbl[INN]&amp;PMtbl[Specification],0,),0),7),""),"")</f>
        <v/>
      </c>
      <c r="AL122" s="950"/>
      <c r="AM122" s="1429" t="str">
        <f>IFERROR(INDEX(SETUP!$C$19:$G$62,MATCH((INDEX(PMtbl[[WKst]:[Unit of measure*]],MATCH($A122&amp;$E122&amp;$I122,INDEX(PMtbl[Category]&amp;PMtbl[INN]&amp;PMtbl[Specification],0,),0),3)),SETUP!$D$19:$D$62,0),5),"")</f>
        <v/>
      </c>
      <c r="AN122" s="1429"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s="198" customFormat="1" hidden="1">
      <c r="A123" s="2611"/>
      <c r="B123" s="2611"/>
      <c r="C123" s="2611"/>
      <c r="D123" s="2611"/>
      <c r="E123" s="2610"/>
      <c r="F123" s="2611"/>
      <c r="G123" s="2611"/>
      <c r="H123" s="2612"/>
      <c r="I123" s="2722"/>
      <c r="J123" s="2734"/>
      <c r="K123" s="2724"/>
      <c r="L123" s="175" t="str">
        <f>IF(A123&lt;&gt;"",IFERROR(INDEX(PMtbl[[WKst]:[Unit of measure*]],MATCH($A$85&amp;$A123&amp;$E123&amp;$I123,INDEX(PMtbl[Sec]&amp;PMtbl[Category]&amp;PMtbl[INN]&amp;PMtbl[Specification],0,),0),8),""),"")</f>
        <v/>
      </c>
      <c r="M123" s="175" t="str">
        <f>IF(L123="", "",SETUP!$E$5)</f>
        <v/>
      </c>
      <c r="N123" s="857"/>
      <c r="O123" s="873"/>
      <c r="P123" s="873"/>
      <c r="Q123" s="873"/>
      <c r="R123" s="873"/>
      <c r="S123" s="469">
        <f>SUM('TB-EQUIPMENT &amp; OTHER HPs'!$O123:$R123)</f>
        <v>0</v>
      </c>
      <c r="T123" s="833">
        <f>'TB-EQUIPMENT &amp; OTHER HPs'!$N123*'TB-EQUIPMENT &amp; OTHER HPs'!$S123</f>
        <v>0</v>
      </c>
      <c r="U123" s="857"/>
      <c r="V123" s="873"/>
      <c r="W123" s="873"/>
      <c r="X123" s="873"/>
      <c r="Y123" s="873"/>
      <c r="Z123" s="469">
        <f>SUM('TB-EQUIPMENT &amp; OTHER HPs'!$V123:$Y123)</f>
        <v>0</v>
      </c>
      <c r="AA123" s="833">
        <f>'TB-EQUIPMENT &amp; OTHER HPs'!$U123*'TB-EQUIPMENT &amp; OTHER HPs'!$Z123</f>
        <v>0</v>
      </c>
      <c r="AB123" s="857"/>
      <c r="AC123" s="873"/>
      <c r="AD123" s="873"/>
      <c r="AE123" s="873"/>
      <c r="AF123" s="873"/>
      <c r="AG123" s="469">
        <f>SUM('TB-EQUIPMENT &amp; OTHER HPs'!$AC123:$AF123)</f>
        <v>0</v>
      </c>
      <c r="AH123" s="833">
        <f>'TB-EQUIPMENT &amp; OTHER HPs'!$AB123*'TB-EQUIPMENT &amp; OTHER HPs'!$AG123</f>
        <v>0</v>
      </c>
      <c r="AI123" s="470">
        <f>'TB-EQUIPMENT &amp; OTHER HPs'!$S123+'TB-EQUIPMENT &amp; OTHER HPs'!$Z123+'TB-EQUIPMENT &amp; OTHER HPs'!$AG123</f>
        <v>0</v>
      </c>
      <c r="AJ123" s="833">
        <f>'TB-EQUIPMENT &amp; OTHER HPs'!$T123+'TB-EQUIPMENT &amp; OTHER HPs'!$AA123+'TB-EQUIPMENT &amp; OTHER HPs'!$AH123</f>
        <v>0</v>
      </c>
      <c r="AK123" s="400" t="str">
        <f>IF(A123&lt;&gt;"",IFERROR(INDEX(PMtbl[[WKst]:[Unit of measure*]],MATCH($A$85&amp;$A123&amp;$E123&amp;$I123,INDEX(PMtbl[Sec]&amp;PMtbl[Category]&amp;PMtbl[INN]&amp;PMtbl[Specification],0,),0),7),""),"")</f>
        <v/>
      </c>
      <c r="AL123" s="946"/>
      <c r="AM123" s="1427" t="str">
        <f>IFERROR(INDEX(SETUP!$C$19:$G$62,MATCH((INDEX(PMtbl[[WKst]:[Unit of measure*]],MATCH($A123&amp;$E123&amp;$I123,INDEX(PMtbl[Category]&amp;PMtbl[INN]&amp;PMtbl[Specification],0,),0),3)),SETUP!$D$19:$D$62,0),5),"")</f>
        <v/>
      </c>
      <c r="AN123" s="1427" t="str">
        <f>IFERROR(IF((INDEX(SETUP!$C$19:$G$62,MATCH((INDEX(PMtbl[[WKst]:[Unit of measure*]],MATCH($A123&amp;$E123&amp;$I123,INDEX(PMtbl[Category]&amp;PMtbl[INN]&amp;PMtbl[Specification],0,),0),3)),SETUP!$D$19:$D$62,0),4))="Upfront",0,INDEX(SETUP!$C$19:$G$62,MATCH((INDEX(PMtbl[[WKst]:[Unit of measure*]],MATCH($A123&amp;$E123&amp;$I123,INDEX(PMtbl[Category]&amp;PMtbl[INN]&amp;PMtbl[Specification],0,),0),3)),SETUP!$D$19:$D$62,0),5)),"")</f>
        <v/>
      </c>
    </row>
    <row r="124" spans="1:40" s="198" customFormat="1" hidden="1">
      <c r="A124" s="2435"/>
      <c r="B124" s="2435"/>
      <c r="C124" s="2435"/>
      <c r="D124" s="2435"/>
      <c r="E124" s="2725"/>
      <c r="F124" s="2435"/>
      <c r="G124" s="2435"/>
      <c r="H124" s="2726"/>
      <c r="I124" s="2727"/>
      <c r="J124" s="2728"/>
      <c r="K124" s="2729"/>
      <c r="L124" s="176" t="str">
        <f>IF(A124&lt;&gt;"",IFERROR(INDEX(PMtbl[[WKst]:[Unit of measure*]],MATCH($A$85&amp;$A124&amp;$E124&amp;$I124,INDEX(PMtbl[Sec]&amp;PMtbl[Category]&amp;PMtbl[INN]&amp;PMtbl[Specification],0,),0),8),""),"")</f>
        <v/>
      </c>
      <c r="M124" s="177" t="str">
        <f>IF(L124="", "",SETUP!$E$5)</f>
        <v/>
      </c>
      <c r="N124" s="856"/>
      <c r="O124" s="12"/>
      <c r="P124" s="12"/>
      <c r="Q124" s="12"/>
      <c r="R124" s="12"/>
      <c r="S124" s="467">
        <f>SUM('TB-EQUIPMENT &amp; OTHER HPs'!$O124:$R124)</f>
        <v>0</v>
      </c>
      <c r="T124" s="832">
        <f>'TB-EQUIPMENT &amp; OTHER HPs'!$N124*'TB-EQUIPMENT &amp; OTHER HPs'!$S124</f>
        <v>0</v>
      </c>
      <c r="U124" s="856"/>
      <c r="V124" s="12"/>
      <c r="W124" s="12"/>
      <c r="X124" s="12"/>
      <c r="Y124" s="12"/>
      <c r="Z124" s="467">
        <f>SUM('TB-EQUIPMENT &amp; OTHER HPs'!$V124:$Y124)</f>
        <v>0</v>
      </c>
      <c r="AA124" s="832">
        <f>'TB-EQUIPMENT &amp; OTHER HPs'!$U124*'TB-EQUIPMENT &amp; OTHER HPs'!$Z124</f>
        <v>0</v>
      </c>
      <c r="AB124" s="856"/>
      <c r="AC124" s="12"/>
      <c r="AD124" s="12"/>
      <c r="AE124" s="12"/>
      <c r="AF124" s="12"/>
      <c r="AG124" s="467">
        <f>SUM('TB-EQUIPMENT &amp; OTHER HPs'!$AC124:$AF124)</f>
        <v>0</v>
      </c>
      <c r="AH124" s="832">
        <f>'TB-EQUIPMENT &amp; OTHER HPs'!$AB124*'TB-EQUIPMENT &amp; OTHER HPs'!$AG124</f>
        <v>0</v>
      </c>
      <c r="AI124" s="468">
        <f>'TB-EQUIPMENT &amp; OTHER HPs'!$S124+'TB-EQUIPMENT &amp; OTHER HPs'!$Z124+'TB-EQUIPMENT &amp; OTHER HPs'!$AG124</f>
        <v>0</v>
      </c>
      <c r="AJ124" s="832">
        <f>'TB-EQUIPMENT &amp; OTHER HPs'!$T124+'TB-EQUIPMENT &amp; OTHER HPs'!$AA124+'TB-EQUIPMENT &amp; OTHER HPs'!$AH124</f>
        <v>0</v>
      </c>
      <c r="AK124" s="397" t="str">
        <f>IF(A124&lt;&gt;"",IFERROR(INDEX(PMtbl[[WKst]:[Unit of measure*]],MATCH($A$85&amp;$A124&amp;$E124&amp;$I124,INDEX(PMtbl[Sec]&amp;PMtbl[Category]&amp;PMtbl[INN]&amp;PMtbl[Specification],0,),0),7),""),"")</f>
        <v/>
      </c>
      <c r="AL124" s="947"/>
      <c r="AM124" s="1428" t="str">
        <f>IFERROR(INDEX(SETUP!$C$19:$G$62,MATCH((INDEX(PMtbl[[WKst]:[Unit of measure*]],MATCH($A124&amp;$E124&amp;$I124,INDEX(PMtbl[Category]&amp;PMtbl[INN]&amp;PMtbl[Specification],0,),0),3)),SETUP!$D$19:$D$62,0),5),"")</f>
        <v/>
      </c>
      <c r="AN124" s="1428" t="str">
        <f>IFERROR(IF((INDEX(SETUP!$C$19:$G$62,MATCH((INDEX(PMtbl[[WKst]:[Unit of measure*]],MATCH($A124&amp;$E124&amp;$I124,INDEX(PMtbl[Category]&amp;PMtbl[INN]&amp;PMtbl[Specification],0,),0),3)),SETUP!$D$19:$D$62,0),4))="Upfront",0,INDEX(SETUP!$C$19:$G$62,MATCH((INDEX(PMtbl[[WKst]:[Unit of measure*]],MATCH($A124&amp;$E124&amp;$I124,INDEX(PMtbl[Category]&amp;PMtbl[INN]&amp;PMtbl[Specification],0,),0),3)),SETUP!$D$19:$D$62,0),5)),"")</f>
        <v/>
      </c>
    </row>
    <row r="125" spans="1:40" s="198" customFormat="1" hidden="1">
      <c r="A125" s="2611"/>
      <c r="B125" s="2611"/>
      <c r="C125" s="2611"/>
      <c r="D125" s="2611"/>
      <c r="E125" s="2610"/>
      <c r="F125" s="2611"/>
      <c r="G125" s="2611"/>
      <c r="H125" s="2612"/>
      <c r="I125" s="2722"/>
      <c r="J125" s="2734"/>
      <c r="K125" s="2724"/>
      <c r="L125" s="175" t="str">
        <f>IF(A125&lt;&gt;"",IFERROR(INDEX(PMtbl[[WKst]:[Unit of measure*]],MATCH($A$85&amp;$A125&amp;$E125&amp;$I125,INDEX(PMtbl[Sec]&amp;PMtbl[Category]&amp;PMtbl[INN]&amp;PMtbl[Specification],0,),0),8),""),"")</f>
        <v/>
      </c>
      <c r="M125" s="175" t="str">
        <f>IF(L125="", "",SETUP!$E$5)</f>
        <v/>
      </c>
      <c r="N125" s="857"/>
      <c r="O125" s="873"/>
      <c r="P125" s="873"/>
      <c r="Q125" s="873"/>
      <c r="R125" s="873"/>
      <c r="S125" s="469">
        <f>SUM('TB-EQUIPMENT &amp; OTHER HPs'!$O125:$R125)</f>
        <v>0</v>
      </c>
      <c r="T125" s="833">
        <f>'TB-EQUIPMENT &amp; OTHER HPs'!$N125*'TB-EQUIPMENT &amp; OTHER HPs'!$S125</f>
        <v>0</v>
      </c>
      <c r="U125" s="857"/>
      <c r="V125" s="873"/>
      <c r="W125" s="873"/>
      <c r="X125" s="873"/>
      <c r="Y125" s="873"/>
      <c r="Z125" s="469">
        <f>SUM('TB-EQUIPMENT &amp; OTHER HPs'!$V125:$Y125)</f>
        <v>0</v>
      </c>
      <c r="AA125" s="833">
        <f>'TB-EQUIPMENT &amp; OTHER HPs'!$U125*'TB-EQUIPMENT &amp; OTHER HPs'!$Z125</f>
        <v>0</v>
      </c>
      <c r="AB125" s="857"/>
      <c r="AC125" s="873"/>
      <c r="AD125" s="873"/>
      <c r="AE125" s="873"/>
      <c r="AF125" s="873"/>
      <c r="AG125" s="469">
        <f>SUM('TB-EQUIPMENT &amp; OTHER HPs'!$AC125:$AF125)</f>
        <v>0</v>
      </c>
      <c r="AH125" s="833">
        <f>'TB-EQUIPMENT &amp; OTHER HPs'!$AB125*'TB-EQUIPMENT &amp; OTHER HPs'!$AG125</f>
        <v>0</v>
      </c>
      <c r="AI125" s="470">
        <f>'TB-EQUIPMENT &amp; OTHER HPs'!$S125+'TB-EQUIPMENT &amp; OTHER HPs'!$Z125+'TB-EQUIPMENT &amp; OTHER HPs'!$AG125</f>
        <v>0</v>
      </c>
      <c r="AJ125" s="833">
        <f>'TB-EQUIPMENT &amp; OTHER HPs'!$T125+'TB-EQUIPMENT &amp; OTHER HPs'!$AA125+'TB-EQUIPMENT &amp; OTHER HPs'!$AH125</f>
        <v>0</v>
      </c>
      <c r="AK125" s="400" t="str">
        <f>IF(A125&lt;&gt;"",IFERROR(INDEX(PMtbl[[WKst]:[Unit of measure*]],MATCH($A$85&amp;$A125&amp;$E125&amp;$I125,INDEX(PMtbl[Sec]&amp;PMtbl[Category]&amp;PMtbl[INN]&amp;PMtbl[Specification],0,),0),7),""),"")</f>
        <v/>
      </c>
      <c r="AL125" s="946"/>
      <c r="AM125" s="1427" t="str">
        <f>IFERROR(INDEX(SETUP!$C$19:$G$62,MATCH((INDEX(PMtbl[[WKst]:[Unit of measure*]],MATCH($A125&amp;$E125&amp;$I125,INDEX(PMtbl[Category]&amp;PMtbl[INN]&amp;PMtbl[Specification],0,),0),3)),SETUP!$D$19:$D$62,0),5),"")</f>
        <v/>
      </c>
      <c r="AN125" s="1427" t="str">
        <f>IFERROR(IF((INDEX(SETUP!$C$19:$G$62,MATCH((INDEX(PMtbl[[WKst]:[Unit of measure*]],MATCH($A125&amp;$E125&amp;$I125,INDEX(PMtbl[Category]&amp;PMtbl[INN]&amp;PMtbl[Specification],0,),0),3)),SETUP!$D$19:$D$62,0),4))="Upfront",0,INDEX(SETUP!$C$19:$G$62,MATCH((INDEX(PMtbl[[WKst]:[Unit of measure*]],MATCH($A125&amp;$E125&amp;$I125,INDEX(PMtbl[Category]&amp;PMtbl[INN]&amp;PMtbl[Specification],0,),0),3)),SETUP!$D$19:$D$62,0),5)),"")</f>
        <v/>
      </c>
    </row>
    <row r="126" spans="1:40" s="198" customFormat="1" hidden="1">
      <c r="A126" s="2435"/>
      <c r="B126" s="2435"/>
      <c r="C126" s="2435"/>
      <c r="D126" s="2435"/>
      <c r="E126" s="2725"/>
      <c r="F126" s="2435"/>
      <c r="G126" s="2435"/>
      <c r="H126" s="2726"/>
      <c r="I126" s="2727"/>
      <c r="J126" s="2728"/>
      <c r="K126" s="2729"/>
      <c r="L126" s="176" t="str">
        <f>IF(A126&lt;&gt;"",IFERROR(INDEX(PMtbl[[WKst]:[Unit of measure*]],MATCH($A$85&amp;$A126&amp;$E126&amp;$I126,INDEX(PMtbl[Sec]&amp;PMtbl[Category]&amp;PMtbl[INN]&amp;PMtbl[Specification],0,),0),8),""),"")</f>
        <v/>
      </c>
      <c r="M126" s="177" t="str">
        <f>IF(L126="", "",SETUP!$E$5)</f>
        <v/>
      </c>
      <c r="N126" s="856"/>
      <c r="O126" s="12"/>
      <c r="P126" s="12"/>
      <c r="Q126" s="12"/>
      <c r="R126" s="12"/>
      <c r="S126" s="467">
        <f>SUM('TB-EQUIPMENT &amp; OTHER HPs'!$O126:$R126)</f>
        <v>0</v>
      </c>
      <c r="T126" s="832">
        <f>'TB-EQUIPMENT &amp; OTHER HPs'!$N126*'TB-EQUIPMENT &amp; OTHER HPs'!$S126</f>
        <v>0</v>
      </c>
      <c r="U126" s="856"/>
      <c r="V126" s="12"/>
      <c r="W126" s="12"/>
      <c r="X126" s="12"/>
      <c r="Y126" s="12"/>
      <c r="Z126" s="467">
        <f>SUM('TB-EQUIPMENT &amp; OTHER HPs'!$V126:$Y126)</f>
        <v>0</v>
      </c>
      <c r="AA126" s="832">
        <f>'TB-EQUIPMENT &amp; OTHER HPs'!$U126*'TB-EQUIPMENT &amp; OTHER HPs'!$Z126</f>
        <v>0</v>
      </c>
      <c r="AB126" s="856"/>
      <c r="AC126" s="12"/>
      <c r="AD126" s="12"/>
      <c r="AE126" s="12"/>
      <c r="AF126" s="12"/>
      <c r="AG126" s="467">
        <f>SUM('TB-EQUIPMENT &amp; OTHER HPs'!$AC126:$AF126)</f>
        <v>0</v>
      </c>
      <c r="AH126" s="832">
        <f>'TB-EQUIPMENT &amp; OTHER HPs'!$AB126*'TB-EQUIPMENT &amp; OTHER HPs'!$AG126</f>
        <v>0</v>
      </c>
      <c r="AI126" s="468">
        <f>'TB-EQUIPMENT &amp; OTHER HPs'!$S126+'TB-EQUIPMENT &amp; OTHER HPs'!$Z126+'TB-EQUIPMENT &amp; OTHER HPs'!$AG126</f>
        <v>0</v>
      </c>
      <c r="AJ126" s="832">
        <f>'TB-EQUIPMENT &amp; OTHER HPs'!$T126+'TB-EQUIPMENT &amp; OTHER HPs'!$AA126+'TB-EQUIPMENT &amp; OTHER HPs'!$AH126</f>
        <v>0</v>
      </c>
      <c r="AK126" s="397" t="str">
        <f>IF(A126&lt;&gt;"",IFERROR(INDEX(PMtbl[[WKst]:[Unit of measure*]],MATCH($A$85&amp;$A126&amp;$E126&amp;$I126,INDEX(PMtbl[Sec]&amp;PMtbl[Category]&amp;PMtbl[INN]&amp;PMtbl[Specification],0,),0),7),""),"")</f>
        <v/>
      </c>
      <c r="AL126" s="947"/>
      <c r="AM126" s="1428" t="str">
        <f>IFERROR(INDEX(SETUP!$C$19:$G$62,MATCH((INDEX(PMtbl[[WKst]:[Unit of measure*]],MATCH($A126&amp;$E126&amp;$I126,INDEX(PMtbl[Category]&amp;PMtbl[INN]&amp;PMtbl[Specification],0,),0),3)),SETUP!$D$19:$D$62,0),5),"")</f>
        <v/>
      </c>
      <c r="AN126" s="1428" t="str">
        <f>IFERROR(IF((INDEX(SETUP!$C$19:$G$62,MATCH((INDEX(PMtbl[[WKst]:[Unit of measure*]],MATCH($A126&amp;$E126&amp;$I126,INDEX(PMtbl[Category]&amp;PMtbl[INN]&amp;PMtbl[Specification],0,),0),3)),SETUP!$D$19:$D$62,0),4))="Upfront",0,INDEX(SETUP!$C$19:$G$62,MATCH((INDEX(PMtbl[[WKst]:[Unit of measure*]],MATCH($A126&amp;$E126&amp;$I126,INDEX(PMtbl[Category]&amp;PMtbl[INN]&amp;PMtbl[Specification],0,),0),3)),SETUP!$D$19:$D$62,0),5)),"")</f>
        <v/>
      </c>
    </row>
    <row r="127" spans="1:40" s="198" customFormat="1" hidden="1">
      <c r="A127" s="2611"/>
      <c r="B127" s="2611"/>
      <c r="C127" s="2611"/>
      <c r="D127" s="2611"/>
      <c r="E127" s="2610"/>
      <c r="F127" s="2611"/>
      <c r="G127" s="2611"/>
      <c r="H127" s="2612"/>
      <c r="I127" s="2722"/>
      <c r="J127" s="2734"/>
      <c r="K127" s="2724"/>
      <c r="L127" s="175" t="str">
        <f>IF(A127&lt;&gt;"",IFERROR(INDEX(PMtbl[[WKst]:[Unit of measure*]],MATCH($A$85&amp;$A127&amp;$E127&amp;$I127,INDEX(PMtbl[Sec]&amp;PMtbl[Category]&amp;PMtbl[INN]&amp;PMtbl[Specification],0,),0),8),""),"")</f>
        <v/>
      </c>
      <c r="M127" s="175" t="str">
        <f>IF(L127="", "",SETUP!$E$5)</f>
        <v/>
      </c>
      <c r="N127" s="857"/>
      <c r="O127" s="873"/>
      <c r="P127" s="873"/>
      <c r="Q127" s="873"/>
      <c r="R127" s="873"/>
      <c r="S127" s="469">
        <f>SUM('TB-EQUIPMENT &amp; OTHER HPs'!$O127:$R127)</f>
        <v>0</v>
      </c>
      <c r="T127" s="833">
        <f>'TB-EQUIPMENT &amp; OTHER HPs'!$N127*'TB-EQUIPMENT &amp; OTHER HPs'!$S127</f>
        <v>0</v>
      </c>
      <c r="U127" s="857"/>
      <c r="V127" s="873"/>
      <c r="W127" s="873"/>
      <c r="X127" s="873"/>
      <c r="Y127" s="873"/>
      <c r="Z127" s="469">
        <f>SUM('TB-EQUIPMENT &amp; OTHER HPs'!$V127:$Y127)</f>
        <v>0</v>
      </c>
      <c r="AA127" s="833">
        <f>'TB-EQUIPMENT &amp; OTHER HPs'!$U127*'TB-EQUIPMENT &amp; OTHER HPs'!$Z127</f>
        <v>0</v>
      </c>
      <c r="AB127" s="857"/>
      <c r="AC127" s="873"/>
      <c r="AD127" s="873"/>
      <c r="AE127" s="873"/>
      <c r="AF127" s="873"/>
      <c r="AG127" s="469">
        <f>SUM('TB-EQUIPMENT &amp; OTHER HPs'!$AC127:$AF127)</f>
        <v>0</v>
      </c>
      <c r="AH127" s="833">
        <f>'TB-EQUIPMENT &amp; OTHER HPs'!$AB127*'TB-EQUIPMENT &amp; OTHER HPs'!$AG127</f>
        <v>0</v>
      </c>
      <c r="AI127" s="470">
        <f>'TB-EQUIPMENT &amp; OTHER HPs'!$S127+'TB-EQUIPMENT &amp; OTHER HPs'!$Z127+'TB-EQUIPMENT &amp; OTHER HPs'!$AG127</f>
        <v>0</v>
      </c>
      <c r="AJ127" s="833">
        <f>'TB-EQUIPMENT &amp; OTHER HPs'!$T127+'TB-EQUIPMENT &amp; OTHER HPs'!$AA127+'TB-EQUIPMENT &amp; OTHER HPs'!$AH127</f>
        <v>0</v>
      </c>
      <c r="AK127" s="400" t="str">
        <f>IF(A127&lt;&gt;"",IFERROR(INDEX(PMtbl[[WKst]:[Unit of measure*]],MATCH($A$85&amp;$A127&amp;$E127&amp;$I127,INDEX(PMtbl[Sec]&amp;PMtbl[Category]&amp;PMtbl[INN]&amp;PMtbl[Specification],0,),0),7),""),"")</f>
        <v/>
      </c>
      <c r="AL127" s="946"/>
      <c r="AM127" s="1427" t="str">
        <f>IFERROR(INDEX(SETUP!$C$19:$G$62,MATCH((INDEX(PMtbl[[WKst]:[Unit of measure*]],MATCH($A127&amp;$E127&amp;$I127,INDEX(PMtbl[Category]&amp;PMtbl[INN]&amp;PMtbl[Specification],0,),0),3)),SETUP!$D$19:$D$62,0),5),"")</f>
        <v/>
      </c>
      <c r="AN127" s="1427" t="str">
        <f>IFERROR(IF((INDEX(SETUP!$C$19:$G$62,MATCH((INDEX(PMtbl[[WKst]:[Unit of measure*]],MATCH($A127&amp;$E127&amp;$I127,INDEX(PMtbl[Category]&amp;PMtbl[INN]&amp;PMtbl[Specification],0,),0),3)),SETUP!$D$19:$D$62,0),4))="Upfront",0,INDEX(SETUP!$C$19:$G$62,MATCH((INDEX(PMtbl[[WKst]:[Unit of measure*]],MATCH($A127&amp;$E127&amp;$I127,INDEX(PMtbl[Category]&amp;PMtbl[INN]&amp;PMtbl[Specification],0,),0),3)),SETUP!$D$19:$D$62,0),5)),"")</f>
        <v/>
      </c>
    </row>
    <row r="128" spans="1:40" s="198" customFormat="1" hidden="1">
      <c r="A128" s="2435"/>
      <c r="B128" s="2435"/>
      <c r="C128" s="2435"/>
      <c r="D128" s="2435"/>
      <c r="E128" s="2725"/>
      <c r="F128" s="2435"/>
      <c r="G128" s="2435"/>
      <c r="H128" s="2726"/>
      <c r="I128" s="2727"/>
      <c r="J128" s="2728"/>
      <c r="K128" s="2729"/>
      <c r="L128" s="176" t="str">
        <f>IF(A128&lt;&gt;"",IFERROR(INDEX(PMtbl[[WKst]:[Unit of measure*]],MATCH($A$85&amp;$A128&amp;$E128&amp;$I128,INDEX(PMtbl[Sec]&amp;PMtbl[Category]&amp;PMtbl[INN]&amp;PMtbl[Specification],0,),0),8),""),"")</f>
        <v/>
      </c>
      <c r="M128" s="177" t="str">
        <f>IF(L128="", "",SETUP!$E$5)</f>
        <v/>
      </c>
      <c r="N128" s="856"/>
      <c r="O128" s="12"/>
      <c r="P128" s="12"/>
      <c r="Q128" s="12"/>
      <c r="R128" s="12"/>
      <c r="S128" s="467">
        <f>SUM('TB-EQUIPMENT &amp; OTHER HPs'!$O128:$R128)</f>
        <v>0</v>
      </c>
      <c r="T128" s="832">
        <f>'TB-EQUIPMENT &amp; OTHER HPs'!$N128*'TB-EQUIPMENT &amp; OTHER HPs'!$S128</f>
        <v>0</v>
      </c>
      <c r="U128" s="856"/>
      <c r="V128" s="12"/>
      <c r="W128" s="12"/>
      <c r="X128" s="12"/>
      <c r="Y128" s="12"/>
      <c r="Z128" s="467">
        <f>SUM('TB-EQUIPMENT &amp; OTHER HPs'!$V128:$Y128)</f>
        <v>0</v>
      </c>
      <c r="AA128" s="832">
        <f>'TB-EQUIPMENT &amp; OTHER HPs'!$U128*'TB-EQUIPMENT &amp; OTHER HPs'!$Z128</f>
        <v>0</v>
      </c>
      <c r="AB128" s="856"/>
      <c r="AC128" s="12"/>
      <c r="AD128" s="12"/>
      <c r="AE128" s="12"/>
      <c r="AF128" s="12"/>
      <c r="AG128" s="467">
        <f>SUM('TB-EQUIPMENT &amp; OTHER HPs'!$AC128:$AF128)</f>
        <v>0</v>
      </c>
      <c r="AH128" s="832">
        <f>'TB-EQUIPMENT &amp; OTHER HPs'!$AB128*'TB-EQUIPMENT &amp; OTHER HPs'!$AG128</f>
        <v>0</v>
      </c>
      <c r="AI128" s="468">
        <f>'TB-EQUIPMENT &amp; OTHER HPs'!$S128+'TB-EQUIPMENT &amp; OTHER HPs'!$Z128+'TB-EQUIPMENT &amp; OTHER HPs'!$AG128</f>
        <v>0</v>
      </c>
      <c r="AJ128" s="832">
        <f>'TB-EQUIPMENT &amp; OTHER HPs'!$T128+'TB-EQUIPMENT &amp; OTHER HPs'!$AA128+'TB-EQUIPMENT &amp; OTHER HPs'!$AH128</f>
        <v>0</v>
      </c>
      <c r="AK128" s="397" t="str">
        <f>IF(A128&lt;&gt;"",IFERROR(INDEX(PMtbl[[WKst]:[Unit of measure*]],MATCH($A$85&amp;$A128&amp;$E128&amp;$I128,INDEX(PMtbl[Sec]&amp;PMtbl[Category]&amp;PMtbl[INN]&amp;PMtbl[Specification],0,),0),7),""),"")</f>
        <v/>
      </c>
      <c r="AL128" s="947"/>
      <c r="AM128" s="1428" t="str">
        <f>IFERROR(INDEX(SETUP!$C$19:$G$62,MATCH((INDEX(PMtbl[[WKst]:[Unit of measure*]],MATCH($A128&amp;$E128&amp;$I128,INDEX(PMtbl[Category]&amp;PMtbl[INN]&amp;PMtbl[Specification],0,),0),3)),SETUP!$D$19:$D$62,0),5),"")</f>
        <v/>
      </c>
      <c r="AN128" s="1428" t="str">
        <f>IFERROR(IF((INDEX(SETUP!$C$19:$G$62,MATCH((INDEX(PMtbl[[WKst]:[Unit of measure*]],MATCH($A128&amp;$E128&amp;$I128,INDEX(PMtbl[Category]&amp;PMtbl[INN]&amp;PMtbl[Specification],0,),0),3)),SETUP!$D$19:$D$62,0),4))="Upfront",0,INDEX(SETUP!$C$19:$G$62,MATCH((INDEX(PMtbl[[WKst]:[Unit of measure*]],MATCH($A128&amp;$E128&amp;$I128,INDEX(PMtbl[Category]&amp;PMtbl[INN]&amp;PMtbl[Specification],0,),0),3)),SETUP!$D$19:$D$62,0),5)),"")</f>
        <v/>
      </c>
    </row>
    <row r="129" spans="1:62" s="198" customFormat="1" hidden="1">
      <c r="A129" s="2611"/>
      <c r="B129" s="2611"/>
      <c r="C129" s="2611"/>
      <c r="D129" s="2611"/>
      <c r="E129" s="2610"/>
      <c r="F129" s="2611"/>
      <c r="G129" s="2611"/>
      <c r="H129" s="2612"/>
      <c r="I129" s="2722"/>
      <c r="J129" s="2734"/>
      <c r="K129" s="2724"/>
      <c r="L129" s="175" t="str">
        <f>IF(A129&lt;&gt;"",IFERROR(INDEX(PMtbl[[WKst]:[Unit of measure*]],MATCH($A$85&amp;$A129&amp;$E129&amp;$I129,INDEX(PMtbl[Sec]&amp;PMtbl[Category]&amp;PMtbl[INN]&amp;PMtbl[Specification],0,),0),8),""),"")</f>
        <v/>
      </c>
      <c r="M129" s="175" t="str">
        <f>IF(L129="", "",SETUP!$E$5)</f>
        <v/>
      </c>
      <c r="N129" s="857"/>
      <c r="O129" s="873"/>
      <c r="P129" s="873"/>
      <c r="Q129" s="873"/>
      <c r="R129" s="873"/>
      <c r="S129" s="469">
        <f>SUM('TB-EQUIPMENT &amp; OTHER HPs'!$O129:$R129)</f>
        <v>0</v>
      </c>
      <c r="T129" s="833">
        <f>'TB-EQUIPMENT &amp; OTHER HPs'!$N129*'TB-EQUIPMENT &amp; OTHER HPs'!$S129</f>
        <v>0</v>
      </c>
      <c r="U129" s="857"/>
      <c r="V129" s="873"/>
      <c r="W129" s="873"/>
      <c r="X129" s="873"/>
      <c r="Y129" s="873"/>
      <c r="Z129" s="469">
        <f>SUM('TB-EQUIPMENT &amp; OTHER HPs'!$V129:$Y129)</f>
        <v>0</v>
      </c>
      <c r="AA129" s="833">
        <f>'TB-EQUIPMENT &amp; OTHER HPs'!$U129*'TB-EQUIPMENT &amp; OTHER HPs'!$Z129</f>
        <v>0</v>
      </c>
      <c r="AB129" s="857"/>
      <c r="AC129" s="873"/>
      <c r="AD129" s="873"/>
      <c r="AE129" s="873"/>
      <c r="AF129" s="873"/>
      <c r="AG129" s="469">
        <f>SUM('TB-EQUIPMENT &amp; OTHER HPs'!$AC129:$AF129)</f>
        <v>0</v>
      </c>
      <c r="AH129" s="833">
        <f>'TB-EQUIPMENT &amp; OTHER HPs'!$AB129*'TB-EQUIPMENT &amp; OTHER HPs'!$AG129</f>
        <v>0</v>
      </c>
      <c r="AI129" s="470">
        <f>'TB-EQUIPMENT &amp; OTHER HPs'!$S129+'TB-EQUIPMENT &amp; OTHER HPs'!$Z129+'TB-EQUIPMENT &amp; OTHER HPs'!$AG129</f>
        <v>0</v>
      </c>
      <c r="AJ129" s="833">
        <f>'TB-EQUIPMENT &amp; OTHER HPs'!$T129+'TB-EQUIPMENT &amp; OTHER HPs'!$AA129+'TB-EQUIPMENT &amp; OTHER HPs'!$AH129</f>
        <v>0</v>
      </c>
      <c r="AK129" s="400" t="str">
        <f>IF(A129&lt;&gt;"",IFERROR(INDEX(PMtbl[[WKst]:[Unit of measure*]],MATCH($A$85&amp;$A129&amp;$E129&amp;$I129,INDEX(PMtbl[Sec]&amp;PMtbl[Category]&amp;PMtbl[INN]&amp;PMtbl[Specification],0,),0),7),""),"")</f>
        <v/>
      </c>
      <c r="AL129" s="946"/>
      <c r="AM129" s="1427" t="str">
        <f>IFERROR(INDEX(SETUP!$C$19:$G$62,MATCH((INDEX(PMtbl[[WKst]:[Unit of measure*]],MATCH($A129&amp;$E129&amp;$I129,INDEX(PMtbl[Category]&amp;PMtbl[INN]&amp;PMtbl[Specification],0,),0),3)),SETUP!$D$19:$D$62,0),5),"")</f>
        <v/>
      </c>
      <c r="AN129" s="1427" t="str">
        <f>IFERROR(IF((INDEX(SETUP!$C$19:$G$62,MATCH((INDEX(PMtbl[[WKst]:[Unit of measure*]],MATCH($A129&amp;$E129&amp;$I129,INDEX(PMtbl[Category]&amp;PMtbl[INN]&amp;PMtbl[Specification],0,),0),3)),SETUP!$D$19:$D$62,0),4))="Upfront",0,INDEX(SETUP!$C$19:$G$62,MATCH((INDEX(PMtbl[[WKst]:[Unit of measure*]],MATCH($A129&amp;$E129&amp;$I129,INDEX(PMtbl[Category]&amp;PMtbl[INN]&amp;PMtbl[Specification],0,),0),3)),SETUP!$D$19:$D$62,0),5)),"")</f>
        <v/>
      </c>
    </row>
    <row r="130" spans="1:62" s="198" customFormat="1" ht="15" thickBot="1">
      <c r="A130" s="2765"/>
      <c r="B130" s="2765"/>
      <c r="C130" s="2765"/>
      <c r="D130" s="2765"/>
      <c r="E130" s="2764"/>
      <c r="F130" s="2765"/>
      <c r="G130" s="2765"/>
      <c r="H130" s="2766"/>
      <c r="I130" s="2767"/>
      <c r="J130" s="2768"/>
      <c r="K130" s="2769"/>
      <c r="L130" s="178" t="str">
        <f>IF(A130&lt;&gt;"",IFERROR(INDEX(PMtbl[[WKst]:[Unit of measure*]],MATCH($A$85&amp;$A130&amp;$E130&amp;$I130,INDEX(PMtbl[Sec]&amp;PMtbl[Category]&amp;PMtbl[INN]&amp;PMtbl[Specification],0,),0),8),""),"")</f>
        <v/>
      </c>
      <c r="M130" s="178" t="str">
        <f>IF(L130="", "",SETUP!$E$5)</f>
        <v/>
      </c>
      <c r="N130" s="858"/>
      <c r="O130" s="874"/>
      <c r="P130" s="874"/>
      <c r="Q130" s="874"/>
      <c r="R130" s="874"/>
      <c r="S130" s="471">
        <f>SUM('TB-EQUIPMENT &amp; OTHER HPs'!$O130:$R130)</f>
        <v>0</v>
      </c>
      <c r="T130" s="834">
        <f>'TB-EQUIPMENT &amp; OTHER HPs'!$N130*'TB-EQUIPMENT &amp; OTHER HPs'!$S130</f>
        <v>0</v>
      </c>
      <c r="U130" s="858"/>
      <c r="V130" s="874"/>
      <c r="W130" s="874"/>
      <c r="X130" s="874"/>
      <c r="Y130" s="874"/>
      <c r="Z130" s="471">
        <f>SUM('TB-EQUIPMENT &amp; OTHER HPs'!$V130:$Y130)</f>
        <v>0</v>
      </c>
      <c r="AA130" s="834">
        <f>'TB-EQUIPMENT &amp; OTHER HPs'!$U130*'TB-EQUIPMENT &amp; OTHER HPs'!$Z130</f>
        <v>0</v>
      </c>
      <c r="AB130" s="858"/>
      <c r="AC130" s="874"/>
      <c r="AD130" s="874"/>
      <c r="AE130" s="874"/>
      <c r="AF130" s="874"/>
      <c r="AG130" s="471">
        <f>SUM('TB-EQUIPMENT &amp; OTHER HPs'!$AC130:$AF130)</f>
        <v>0</v>
      </c>
      <c r="AH130" s="834">
        <f>'TB-EQUIPMENT &amp; OTHER HPs'!$AB130*'TB-EQUIPMENT &amp; OTHER HPs'!$AG130</f>
        <v>0</v>
      </c>
      <c r="AI130" s="472">
        <f>'TB-EQUIPMENT &amp; OTHER HPs'!$S130+'TB-EQUIPMENT &amp; OTHER HPs'!$Z130+'TB-EQUIPMENT &amp; OTHER HPs'!$AG130</f>
        <v>0</v>
      </c>
      <c r="AJ130" s="834">
        <f>'TB-EQUIPMENT &amp; OTHER HPs'!$T130+'TB-EQUIPMENT &amp; OTHER HPs'!$AA130+'TB-EQUIPMENT &amp; OTHER HPs'!$AH130</f>
        <v>0</v>
      </c>
      <c r="AK130" s="473" t="str">
        <f>IF(A130&lt;&gt;"",IFERROR(INDEX(PMtbl[[WKst]:[Unit of measure*]],MATCH($A$85&amp;$A130&amp;$E130&amp;$I130,INDEX(PMtbl[Sec]&amp;PMtbl[Category]&amp;PMtbl[INN]&amp;PMtbl[Specification],0,),0),7),""),"")</f>
        <v/>
      </c>
      <c r="AL130" s="948"/>
      <c r="AM130" s="1433" t="str">
        <f>IFERROR(INDEX(SETUP!$C$19:$G$62,MATCH((INDEX(PMtbl[[WKst]:[Unit of measure*]],MATCH($A130&amp;$E130&amp;$I130,INDEX(PMtbl[Category]&amp;PMtbl[INN]&amp;PMtbl[Specification],0,),0),3)),SETUP!$D$19:$D$62,0),5),"")</f>
        <v/>
      </c>
      <c r="AN130" s="1433" t="str">
        <f>IFERROR(IF((INDEX(SETUP!$C$19:$G$62,MATCH((INDEX(PMtbl[[WKst]:[Unit of measure*]],MATCH($A130&amp;$E130&amp;$I130,INDEX(PMtbl[Category]&amp;PMtbl[INN]&amp;PMtbl[Specification],0,),0),3)),SETUP!$D$19:$D$62,0),4))="Upfront",0,INDEX(SETUP!$C$19:$G$62,MATCH((INDEX(PMtbl[[WKst]:[Unit of measure*]],MATCH($A130&amp;$E130&amp;$I130,INDEX(PMtbl[Category]&amp;PMtbl[INN]&amp;PMtbl[Specification],0,),0),3)),SETUP!$D$19:$D$62,0),5)),"")</f>
        <v/>
      </c>
    </row>
    <row r="131" spans="1:62" ht="15" thickBot="1">
      <c r="A131" s="154"/>
      <c r="B131" s="154"/>
      <c r="C131" s="154"/>
      <c r="D131" s="154"/>
      <c r="E131" s="154"/>
      <c r="F131" s="154"/>
      <c r="G131" s="154"/>
      <c r="H131" s="154"/>
      <c r="I131" s="154"/>
      <c r="J131" s="154"/>
      <c r="K131" s="154"/>
      <c r="L131" s="154"/>
      <c r="M131" s="154"/>
      <c r="N131" s="778"/>
      <c r="O131" s="878"/>
      <c r="P131" s="878"/>
      <c r="Q131" s="878"/>
      <c r="R131" s="878"/>
      <c r="S131" s="878"/>
      <c r="T131" s="778"/>
      <c r="U131" s="778"/>
      <c r="V131" s="878"/>
      <c r="W131" s="878"/>
      <c r="X131" s="878"/>
      <c r="Y131" s="878"/>
      <c r="Z131" s="878"/>
      <c r="AA131" s="778"/>
      <c r="AB131" s="778"/>
      <c r="AC131" s="878"/>
      <c r="AD131" s="878"/>
      <c r="AE131" s="878"/>
      <c r="AF131" s="878"/>
      <c r="AG131" s="878"/>
      <c r="AH131" s="848"/>
      <c r="AU131" s="198"/>
      <c r="AV131" s="198"/>
      <c r="AW131" s="198"/>
      <c r="AX131" s="198"/>
      <c r="AY131" s="198"/>
      <c r="AZ131" s="198"/>
      <c r="BA131" s="198"/>
      <c r="BB131" s="198"/>
      <c r="BC131" s="198"/>
      <c r="BD131" s="198"/>
      <c r="BE131" s="198"/>
      <c r="BF131" s="198"/>
      <c r="BG131" s="198"/>
      <c r="BH131" s="198"/>
      <c r="BI131" s="198"/>
      <c r="BJ131" s="198"/>
    </row>
    <row r="132" spans="1:62" ht="15" customHeight="1" thickBot="1">
      <c r="A132" s="2762">
        <v>4</v>
      </c>
      <c r="B132" s="2782" t="s">
        <v>301</v>
      </c>
      <c r="C132" s="2782"/>
      <c r="D132" s="2782"/>
      <c r="E132" s="2782"/>
      <c r="F132" s="190" t="s">
        <v>1866</v>
      </c>
      <c r="G132" s="190"/>
      <c r="H132" s="2592" t="s">
        <v>299</v>
      </c>
      <c r="I132" s="2602" t="s">
        <v>293</v>
      </c>
      <c r="J132" s="2592" t="s">
        <v>294</v>
      </c>
      <c r="K132"/>
      <c r="M132" s="143"/>
      <c r="N132" s="767"/>
      <c r="O132" s="868"/>
      <c r="P132" s="868"/>
      <c r="Q132" s="868"/>
      <c r="R132" s="868"/>
      <c r="S132" s="868"/>
      <c r="T132" s="767"/>
      <c r="U132" s="767"/>
      <c r="V132" s="868"/>
      <c r="W132" s="868"/>
      <c r="X132" s="868"/>
      <c r="Y132" s="868"/>
      <c r="Z132" s="868"/>
      <c r="AA132" s="767"/>
      <c r="AB132" s="767"/>
      <c r="AC132" s="868"/>
      <c r="AD132" s="868"/>
      <c r="AE132" s="868"/>
      <c r="AF132" s="868"/>
      <c r="AG132" s="868"/>
      <c r="AH132" s="849"/>
      <c r="AU132" s="198"/>
      <c r="AV132" s="198"/>
      <c r="AW132" s="198"/>
      <c r="AX132" s="198"/>
      <c r="AY132" s="198"/>
      <c r="AZ132" s="198"/>
      <c r="BA132" s="198"/>
      <c r="BB132" s="198"/>
      <c r="BC132" s="198"/>
      <c r="BD132" s="198"/>
      <c r="BE132" s="198"/>
      <c r="BF132" s="198"/>
      <c r="BG132" s="198"/>
      <c r="BH132" s="198"/>
      <c r="BI132" s="198"/>
      <c r="BJ132" s="198"/>
    </row>
    <row r="133" spans="1:62" ht="15" customHeight="1" thickBot="1">
      <c r="A133" s="2763"/>
      <c r="B133" s="2783"/>
      <c r="C133" s="2783"/>
      <c r="D133" s="2783"/>
      <c r="E133" s="2783"/>
      <c r="F133" s="191" t="s">
        <v>1867</v>
      </c>
      <c r="G133" s="191"/>
      <c r="H133" s="2593"/>
      <c r="I133" s="2653"/>
      <c r="J133" s="2593"/>
      <c r="K133"/>
      <c r="M133" s="78"/>
      <c r="N133" s="767"/>
      <c r="O133" s="868"/>
      <c r="P133" s="868"/>
      <c r="Q133" s="868"/>
      <c r="R133" s="868"/>
      <c r="S133" s="868"/>
      <c r="T133" s="767"/>
      <c r="U133" s="767"/>
      <c r="V133" s="868"/>
      <c r="W133" s="868"/>
      <c r="X133" s="868"/>
      <c r="Y133" s="868"/>
      <c r="Z133" s="868"/>
      <c r="AA133" s="767"/>
      <c r="AB133" s="767"/>
      <c r="AC133" s="868"/>
      <c r="AD133" s="868"/>
      <c r="AE133" s="868"/>
      <c r="AF133" s="868"/>
      <c r="AG133" s="868"/>
      <c r="AH133" s="849"/>
      <c r="AW133" s="198"/>
      <c r="AX133" s="198"/>
      <c r="AY133" s="198"/>
      <c r="AZ133" s="198"/>
      <c r="BA133" s="198"/>
      <c r="BB133" s="198"/>
      <c r="BC133" s="198"/>
      <c r="BD133" s="198"/>
      <c r="BE133" s="198"/>
      <c r="BF133" s="198"/>
      <c r="BG133" s="198"/>
      <c r="BH133" s="198"/>
      <c r="BI133" s="198"/>
    </row>
    <row r="134" spans="1:62" ht="102" customHeight="1" thickBot="1">
      <c r="A134" s="2348" t="str">
        <f>IF($L$1=2,Language!$E$540,IF($L$1=3,Language!$F$540,Language!$G$540))</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34" s="2349"/>
      <c r="C134" s="2349"/>
      <c r="D134" s="2349"/>
      <c r="E134" s="2349"/>
      <c r="F134" s="2349"/>
      <c r="G134" s="2349"/>
      <c r="H134" s="2349"/>
      <c r="I134" s="2349"/>
      <c r="J134" s="2349"/>
      <c r="K134" s="2349"/>
      <c r="L134" s="2349"/>
      <c r="M134" s="2350"/>
      <c r="N134" s="862"/>
      <c r="O134" s="879"/>
      <c r="P134" s="879"/>
      <c r="Q134" s="879"/>
      <c r="R134" s="879"/>
      <c r="S134" s="879"/>
      <c r="T134" s="862"/>
      <c r="U134" s="862"/>
      <c r="V134" s="879"/>
      <c r="W134" s="879"/>
      <c r="X134" s="879"/>
      <c r="Y134" s="879"/>
      <c r="Z134" s="879"/>
      <c r="AA134" s="862"/>
      <c r="AB134" s="862"/>
      <c r="AC134" s="879"/>
      <c r="AD134" s="879"/>
      <c r="AE134" s="879"/>
      <c r="AF134" s="879"/>
      <c r="AG134" s="879"/>
      <c r="AH134" s="849"/>
    </row>
    <row r="135" spans="1:62" ht="15" thickBot="1">
      <c r="A135" s="192"/>
      <c r="B135" s="192"/>
      <c r="C135" s="1506"/>
      <c r="D135" s="192"/>
      <c r="E135" s="192"/>
      <c r="F135" s="192"/>
      <c r="G135" s="116"/>
      <c r="H135" s="192"/>
      <c r="I135" s="79"/>
      <c r="J135" s="116"/>
      <c r="K135" s="79"/>
      <c r="L135" s="79"/>
      <c r="M135" s="79"/>
      <c r="N135" s="766"/>
      <c r="O135" s="880"/>
      <c r="P135" s="880"/>
      <c r="Q135" s="880"/>
      <c r="R135" s="880"/>
      <c r="S135" s="880"/>
      <c r="T135" s="766"/>
      <c r="U135" s="766"/>
      <c r="V135" s="880"/>
      <c r="W135" s="880"/>
      <c r="X135" s="880"/>
      <c r="Y135" s="880"/>
      <c r="Z135" s="880"/>
      <c r="AA135" s="766"/>
      <c r="AB135" s="766"/>
      <c r="AC135" s="880"/>
      <c r="AD135" s="880"/>
      <c r="AE135" s="880"/>
      <c r="AF135" s="880"/>
      <c r="AG135" s="880"/>
      <c r="AH135" s="849"/>
    </row>
    <row r="136" spans="1:62" ht="15.75" customHeight="1" thickBot="1">
      <c r="A136" s="2772" t="str">
        <f>A89</f>
        <v>Categoría</v>
      </c>
      <c r="B136" s="2718"/>
      <c r="C136" s="2718"/>
      <c r="D136" s="2718"/>
      <c r="E136" s="2772" t="str">
        <f>E89</f>
        <v>Tipo de producto</v>
      </c>
      <c r="F136" s="2718"/>
      <c r="G136" s="2718"/>
      <c r="H136" s="2718"/>
      <c r="I136" s="2748" t="str">
        <f t="shared" ref="I136:K136" si="78">I89</f>
        <v xml:space="preserve">Especificaciones (denominación, características técnicas, tamaño del empaque) </v>
      </c>
      <c r="J136" s="2721">
        <f t="shared" si="78"/>
        <v>0</v>
      </c>
      <c r="K136" s="2749">
        <f t="shared" si="78"/>
        <v>0</v>
      </c>
      <c r="L136" s="2718" t="str">
        <f t="shared" ref="L136:L137" si="79">L89</f>
        <v>Unidad de medida</v>
      </c>
      <c r="M136" s="2645" t="str">
        <f t="shared" ref="M136:M137" si="80">M89</f>
        <v>Moneda de pago</v>
      </c>
      <c r="N136" s="2784">
        <f>N89</f>
        <v>2022</v>
      </c>
      <c r="O136" s="2784"/>
      <c r="P136" s="2784"/>
      <c r="Q136" s="2784"/>
      <c r="R136" s="2784"/>
      <c r="S136" s="2784"/>
      <c r="T136" s="2784"/>
      <c r="U136" s="2784">
        <f>U89</f>
        <v>2023</v>
      </c>
      <c r="V136" s="2784"/>
      <c r="W136" s="2784"/>
      <c r="X136" s="2784"/>
      <c r="Y136" s="2784"/>
      <c r="Z136" s="2784"/>
      <c r="AA136" s="2784"/>
      <c r="AB136" s="2784">
        <f>AB89</f>
        <v>2024</v>
      </c>
      <c r="AC136" s="2784"/>
      <c r="AD136" s="2784"/>
      <c r="AE136" s="2784"/>
      <c r="AF136" s="2784"/>
      <c r="AG136" s="2784"/>
      <c r="AH136" s="2784"/>
      <c r="AI136" s="2718" t="str">
        <f t="shared" ref="AI136:AJ136" si="81">AI89</f>
        <v>Total del período de subvención</v>
      </c>
      <c r="AJ136" s="2719">
        <f t="shared" si="81"/>
        <v>0</v>
      </c>
      <c r="AK136" s="453" t="str">
        <f>AK89</f>
        <v>Finanzas</v>
      </c>
      <c r="AL136" s="2712" t="str">
        <f>AL89</f>
        <v>Comentarios</v>
      </c>
      <c r="AM136" s="2608" t="str">
        <f>AM89</f>
        <v>Plazo de entrega</v>
      </c>
      <c r="AN136" s="2608" t="s">
        <v>3054</v>
      </c>
    </row>
    <row r="137" spans="1:62" s="325" customFormat="1" ht="26.5" thickBot="1">
      <c r="A137" s="2773"/>
      <c r="B137" s="2771"/>
      <c r="C137" s="2771"/>
      <c r="D137" s="2771"/>
      <c r="E137" s="2773"/>
      <c r="F137" s="2771"/>
      <c r="G137" s="2771"/>
      <c r="H137" s="2771"/>
      <c r="I137" s="2774">
        <f t="shared" ref="I137:K137" si="82">I90</f>
        <v>0</v>
      </c>
      <c r="J137" s="2775">
        <f t="shared" si="82"/>
        <v>0</v>
      </c>
      <c r="K137" s="2776">
        <f t="shared" si="82"/>
        <v>0</v>
      </c>
      <c r="L137" s="2771">
        <f t="shared" si="79"/>
        <v>0</v>
      </c>
      <c r="M137" s="2770">
        <f t="shared" si="80"/>
        <v>0</v>
      </c>
      <c r="N137" s="1929" t="str">
        <f t="shared" ref="N137:AH137" si="83">N90</f>
        <v>Costo unitario del A1</v>
      </c>
      <c r="O137" s="1930" t="str">
        <f t="shared" si="83"/>
        <v>Cantidad del A1, T1</v>
      </c>
      <c r="P137" s="1930" t="str">
        <f t="shared" si="83"/>
        <v>Cantidad del A1, T2</v>
      </c>
      <c r="Q137" s="1930" t="str">
        <f t="shared" si="83"/>
        <v>Cantidad del A1, T3</v>
      </c>
      <c r="R137" s="1930" t="str">
        <f t="shared" si="83"/>
        <v>Cantidad del A1, T4</v>
      </c>
      <c r="S137" s="1930" t="str">
        <f t="shared" si="83"/>
        <v>Cantidad total del A1</v>
      </c>
      <c r="T137" s="1931" t="str">
        <f t="shared" si="83"/>
        <v>Costo total del A1</v>
      </c>
      <c r="U137" s="854" t="str">
        <f t="shared" si="83"/>
        <v>Costo unitario del A2</v>
      </c>
      <c r="V137" s="871" t="str">
        <f t="shared" si="83"/>
        <v>Cantidad del A2, T1</v>
      </c>
      <c r="W137" s="871" t="str">
        <f t="shared" si="83"/>
        <v>Cantidad del A2, T2</v>
      </c>
      <c r="X137" s="871" t="str">
        <f t="shared" si="83"/>
        <v>Cantidad del A2, T3</v>
      </c>
      <c r="Y137" s="871" t="str">
        <f t="shared" si="83"/>
        <v>Cantidad del A2, T4</v>
      </c>
      <c r="Z137" s="871" t="str">
        <f t="shared" si="83"/>
        <v>Cantidad total del A2</v>
      </c>
      <c r="AA137" s="830" t="str">
        <f t="shared" si="83"/>
        <v>Costo total del A2</v>
      </c>
      <c r="AB137" s="854" t="str">
        <f t="shared" si="83"/>
        <v>Costo unitario del A3</v>
      </c>
      <c r="AC137" s="871" t="str">
        <f t="shared" si="83"/>
        <v>Cantidad del A3, T1</v>
      </c>
      <c r="AD137" s="871" t="str">
        <f t="shared" si="83"/>
        <v>Cantidad del A3, T2</v>
      </c>
      <c r="AE137" s="871" t="str">
        <f t="shared" si="83"/>
        <v>Cantidad del A3, T3</v>
      </c>
      <c r="AF137" s="871" t="str">
        <f t="shared" si="83"/>
        <v>Cantidad del A3, T4</v>
      </c>
      <c r="AG137" s="871" t="str">
        <f t="shared" si="83"/>
        <v>Cantidad total del A3</v>
      </c>
      <c r="AH137" s="830" t="str">
        <f t="shared" si="83"/>
        <v>Costo total del A3</v>
      </c>
      <c r="AI137" s="887" t="str">
        <f>AI90</f>
        <v>Cantidad total</v>
      </c>
      <c r="AJ137" s="830" t="str">
        <f>AJ90</f>
        <v xml:space="preserve">Costo total </v>
      </c>
      <c r="AK137" s="389" t="str">
        <f>AK90</f>
        <v>Categoría de costos</v>
      </c>
      <c r="AL137" s="2713"/>
      <c r="AM137" s="2609"/>
      <c r="AN137" s="2609"/>
      <c r="AU137" s="62"/>
      <c r="AV137" s="62"/>
      <c r="AW137" s="62"/>
      <c r="AX137" s="62"/>
      <c r="AY137" s="62"/>
      <c r="AZ137" s="62"/>
      <c r="BA137" s="62"/>
      <c r="BB137" s="62"/>
      <c r="BC137" s="62"/>
      <c r="BD137" s="62"/>
      <c r="BE137" s="62"/>
      <c r="BF137" s="62"/>
      <c r="BG137" s="62"/>
      <c r="BH137" s="62"/>
      <c r="BI137" s="62"/>
      <c r="BJ137" s="62"/>
    </row>
    <row r="138" spans="1:62" s="1144" customFormat="1">
      <c r="A138" s="2656"/>
      <c r="B138" s="2657"/>
      <c r="C138" s="2657"/>
      <c r="D138" s="2657"/>
      <c r="E138" s="2656"/>
      <c r="F138" s="2657"/>
      <c r="G138" s="2657"/>
      <c r="H138" s="2657"/>
      <c r="I138" s="2754"/>
      <c r="J138" s="2755"/>
      <c r="K138" s="2756"/>
      <c r="L138" s="1130" t="str">
        <f>IF(A138&lt;&gt;"",IFERROR(INDEX(PMtbl[[WKst]:[Unit of measure*]],MATCH($A$132&amp;$A138&amp;$E138&amp;$I138,INDEX(PMtbl[Sec]&amp;PMtbl[Category]&amp;PMtbl[INN]&amp;PMtbl[Specification],0,),0),8),""),"")</f>
        <v/>
      </c>
      <c r="M138" s="1130" t="str">
        <f>IF(L138="", "",SETUP!$E$5)</f>
        <v/>
      </c>
      <c r="N138" s="863"/>
      <c r="O138" s="881"/>
      <c r="P138" s="881"/>
      <c r="Q138" s="881"/>
      <c r="R138" s="881"/>
      <c r="S138" s="484">
        <f>SUM('TB-EQUIPMENT &amp; OTHER HPs'!$O138:$R138)</f>
        <v>0</v>
      </c>
      <c r="T138" s="838">
        <f>'TB-EQUIPMENT &amp; OTHER HPs'!$N138*'TB-EQUIPMENT &amp; OTHER HPs'!$S138</f>
        <v>0</v>
      </c>
      <c r="U138" s="863"/>
      <c r="V138" s="881"/>
      <c r="W138" s="881"/>
      <c r="X138" s="881"/>
      <c r="Y138" s="881"/>
      <c r="Z138" s="484">
        <f>SUM('TB-EQUIPMENT &amp; OTHER HPs'!$V138:$Y138)</f>
        <v>0</v>
      </c>
      <c r="AA138" s="838">
        <f>'TB-EQUIPMENT &amp; OTHER HPs'!$U138*'TB-EQUIPMENT &amp; OTHER HPs'!$Z138</f>
        <v>0</v>
      </c>
      <c r="AB138" s="863"/>
      <c r="AC138" s="881"/>
      <c r="AD138" s="881"/>
      <c r="AE138" s="881"/>
      <c r="AF138" s="881"/>
      <c r="AG138" s="484">
        <f>SUM('TB-EQUIPMENT &amp; OTHER HPs'!$AC138:$AF138)</f>
        <v>0</v>
      </c>
      <c r="AH138" s="838">
        <f>'TB-EQUIPMENT &amp; OTHER HPs'!$AB138*'TB-EQUIPMENT &amp; OTHER HPs'!$AG138</f>
        <v>0</v>
      </c>
      <c r="AI138" s="485">
        <f>'TB-EQUIPMENT &amp; OTHER HPs'!$S138+'TB-EQUIPMENT &amp; OTHER HPs'!$Z138+'TB-EQUIPMENT &amp; OTHER HPs'!$AG138</f>
        <v>0</v>
      </c>
      <c r="AJ138" s="838">
        <f>'TB-EQUIPMENT &amp; OTHER HPs'!$T138+'TB-EQUIPMENT &amp; OTHER HPs'!$AA138+'TB-EQUIPMENT &amp; OTHER HPs'!$AH138</f>
        <v>0</v>
      </c>
      <c r="AK138" s="1142" t="str">
        <f>IF(A138&lt;&gt;"",IFERROR(INDEX(PMtbl[[WKst]:[Unit of measure*]],MATCH($A$132&amp;$A138&amp;$E138&amp;$I138,INDEX(PMtbl[Sec]&amp;PMtbl[Category]&amp;PMtbl[INN]&amp;PMtbl[Specification],0,),0),7),""),"")</f>
        <v/>
      </c>
      <c r="AL138" s="1143"/>
      <c r="AM138" s="1434" t="str">
        <f>IFERROR(INDEX(SETUP!$C$19:$G$62,MATCH((INDEX(PMtbl[[WKst]:[Unit of measure*]],MATCH($A138&amp;$E138&amp;$I138,INDEX(PMtbl[Category]&amp;PMtbl[INN]&amp;PMtbl[Specification],0,),0),3)),SETUP!$D$19:$D$62,0),5),"")</f>
        <v/>
      </c>
      <c r="AN138" s="1434" t="str">
        <f>IFERROR(IF((INDEX(SETUP!$C$19:$G$62,MATCH((INDEX(PMtbl[[WKst]:[Unit of measure*]],MATCH($A138&amp;$E138&amp;$I138,INDEX(PMtbl[Category]&amp;PMtbl[INN]&amp;PMtbl[Specification],0,),0),3)),SETUP!$D$19:$D$62,0),4))="Upfront",0,INDEX(SETUP!$C$19:$G$62,MATCH((INDEX(PMtbl[[WKst]:[Unit of measure*]],MATCH($A138&amp;$E138&amp;$I138,INDEX(PMtbl[Category]&amp;PMtbl[INN]&amp;PMtbl[Specification],0,),0),3)),SETUP!$D$19:$D$62,0),5)),"")</f>
        <v/>
      </c>
      <c r="AU138" s="62"/>
      <c r="AV138" s="62"/>
      <c r="AW138" s="62"/>
      <c r="AX138" s="62"/>
      <c r="AY138" s="62"/>
      <c r="AZ138" s="62"/>
      <c r="BA138" s="62"/>
      <c r="BB138" s="62"/>
      <c r="BC138" s="62"/>
      <c r="BD138" s="62"/>
      <c r="BE138" s="62"/>
      <c r="BF138" s="62"/>
      <c r="BG138" s="62"/>
      <c r="BH138" s="62"/>
      <c r="BI138" s="62"/>
      <c r="BJ138" s="62"/>
    </row>
    <row r="139" spans="1:62" s="1144" customFormat="1">
      <c r="A139" s="2725"/>
      <c r="B139" s="2435"/>
      <c r="C139" s="2435"/>
      <c r="D139" s="2435"/>
      <c r="E139" s="2725"/>
      <c r="F139" s="2476"/>
      <c r="G139" s="2476"/>
      <c r="H139" s="2476"/>
      <c r="I139" s="2727"/>
      <c r="J139" s="2730"/>
      <c r="K139" s="2729"/>
      <c r="L139" s="1133" t="str">
        <f>IF(A139&lt;&gt;"",IFERROR(INDEX(PMtbl[[WKst]:[Unit of measure*]],MATCH($A$132&amp;$A139&amp;$E139&amp;$I139,INDEX(PMtbl[Sec]&amp;PMtbl[Category]&amp;PMtbl[INN]&amp;PMtbl[Specification],0,),0),8),""),"")</f>
        <v/>
      </c>
      <c r="M139" s="1141" t="str">
        <f>IF(L139="", "",SETUP!$E$5)</f>
        <v/>
      </c>
      <c r="N139" s="864"/>
      <c r="O139" s="882"/>
      <c r="P139" s="882"/>
      <c r="Q139" s="882"/>
      <c r="R139" s="882"/>
      <c r="S139" s="486">
        <f>SUM('TB-EQUIPMENT &amp; OTHER HPs'!$O139:$R139)</f>
        <v>0</v>
      </c>
      <c r="T139" s="839">
        <f>'TB-EQUIPMENT &amp; OTHER HPs'!$N139*'TB-EQUIPMENT &amp; OTHER HPs'!$S139</f>
        <v>0</v>
      </c>
      <c r="U139" s="864"/>
      <c r="V139" s="882"/>
      <c r="W139" s="882"/>
      <c r="X139" s="882"/>
      <c r="Y139" s="882"/>
      <c r="Z139" s="486">
        <f>SUM('TB-EQUIPMENT &amp; OTHER HPs'!$V139:$Y139)</f>
        <v>0</v>
      </c>
      <c r="AA139" s="839">
        <f>'TB-EQUIPMENT &amp; OTHER HPs'!$U139*'TB-EQUIPMENT &amp; OTHER HPs'!$Z139</f>
        <v>0</v>
      </c>
      <c r="AB139" s="864"/>
      <c r="AC139" s="882"/>
      <c r="AD139" s="882"/>
      <c r="AE139" s="882"/>
      <c r="AF139" s="882"/>
      <c r="AG139" s="486">
        <f>SUM('TB-EQUIPMENT &amp; OTHER HPs'!$AC139:$AF139)</f>
        <v>0</v>
      </c>
      <c r="AH139" s="839">
        <f>'TB-EQUIPMENT &amp; OTHER HPs'!$AB139*'TB-EQUIPMENT &amp; OTHER HPs'!$AG139</f>
        <v>0</v>
      </c>
      <c r="AI139" s="487">
        <f>'TB-EQUIPMENT &amp; OTHER HPs'!$S139+'TB-EQUIPMENT &amp; OTHER HPs'!$Z139+'TB-EQUIPMENT &amp; OTHER HPs'!$AG139</f>
        <v>0</v>
      </c>
      <c r="AJ139" s="839">
        <f>'TB-EQUIPMENT &amp; OTHER HPs'!$T139+'TB-EQUIPMENT &amp; OTHER HPs'!$AA139+'TB-EQUIPMENT &amp; OTHER HPs'!$AH139</f>
        <v>0</v>
      </c>
      <c r="AK139" s="1139" t="str">
        <f>IF(A139&lt;&gt;"",IFERROR(INDEX(PMtbl[[WKst]:[Unit of measure*]],MATCH($A$132&amp;$A139&amp;$E139&amp;$I139,INDEX(PMtbl[Sec]&amp;PMtbl[Category]&amp;PMtbl[INN]&amp;PMtbl[Specification],0,),0),7),""),"")</f>
        <v/>
      </c>
      <c r="AL139" s="947"/>
      <c r="AM139" s="1428" t="str">
        <f>IFERROR(INDEX(SETUP!$C$19:$G$62,MATCH((INDEX(PMtbl[[WKst]:[Unit of measure*]],MATCH($A139&amp;$E139&amp;$I139,INDEX(PMtbl[Category]&amp;PMtbl[INN]&amp;PMtbl[Specification],0,),0),3)),SETUP!$D$19:$D$62,0),5),"")</f>
        <v/>
      </c>
      <c r="AN139" s="1428" t="str">
        <f>IFERROR(IF((INDEX(SETUP!$C$19:$G$62,MATCH((INDEX(PMtbl[[WKst]:[Unit of measure*]],MATCH($A139&amp;$E139&amp;$I139,INDEX(PMtbl[Category]&amp;PMtbl[INN]&amp;PMtbl[Specification],0,),0),3)),SETUP!$D$19:$D$62,0),4))="Upfront",0,INDEX(SETUP!$C$19:$G$62,MATCH((INDEX(PMtbl[[WKst]:[Unit of measure*]],MATCH($A139&amp;$E139&amp;$I139,INDEX(PMtbl[Category]&amp;PMtbl[INN]&amp;PMtbl[Specification],0,),0),3)),SETUP!$D$19:$D$62,0),5)),"")</f>
        <v/>
      </c>
      <c r="AU139" s="325"/>
      <c r="AV139" s="325"/>
      <c r="AW139" s="62"/>
      <c r="AX139" s="62"/>
      <c r="AY139" s="62"/>
      <c r="AZ139" s="62"/>
      <c r="BA139" s="62"/>
      <c r="BB139" s="62"/>
      <c r="BC139" s="62"/>
      <c r="BD139" s="62"/>
      <c r="BE139" s="62"/>
      <c r="BF139" s="62"/>
      <c r="BG139" s="62"/>
      <c r="BH139" s="62"/>
      <c r="BI139" s="62"/>
      <c r="BJ139" s="325"/>
    </row>
    <row r="140" spans="1:62" s="1144" customFormat="1">
      <c r="A140" s="2610"/>
      <c r="B140" s="2611"/>
      <c r="C140" s="2611"/>
      <c r="D140" s="2611"/>
      <c r="E140" s="2610"/>
      <c r="F140" s="2618"/>
      <c r="G140" s="2618"/>
      <c r="H140" s="2618"/>
      <c r="I140" s="2722"/>
      <c r="J140" s="2723"/>
      <c r="K140" s="2724"/>
      <c r="L140" s="1124" t="str">
        <f>IF(A140&lt;&gt;"",IFERROR(INDEX(PMtbl[[WKst]:[Unit of measure*]],MATCH($A$132&amp;$A140&amp;$E140&amp;$I140,INDEX(PMtbl[Sec]&amp;PMtbl[Category]&amp;PMtbl[INN]&amp;PMtbl[Specification],0,),0),8),""),"")</f>
        <v/>
      </c>
      <c r="M140" s="1124" t="str">
        <f>IF(L140="", "",SETUP!$E$5)</f>
        <v/>
      </c>
      <c r="N140" s="865"/>
      <c r="O140" s="883"/>
      <c r="P140" s="883"/>
      <c r="Q140" s="883"/>
      <c r="R140" s="883"/>
      <c r="S140" s="488">
        <f>SUM('TB-EQUIPMENT &amp; OTHER HPs'!$O140:$R140)</f>
        <v>0</v>
      </c>
      <c r="T140" s="840">
        <f>'TB-EQUIPMENT &amp; OTHER HPs'!$N140*'TB-EQUIPMENT &amp; OTHER HPs'!$S140</f>
        <v>0</v>
      </c>
      <c r="U140" s="865"/>
      <c r="V140" s="883"/>
      <c r="W140" s="883"/>
      <c r="X140" s="883"/>
      <c r="Y140" s="883"/>
      <c r="Z140" s="488">
        <f>SUM('TB-EQUIPMENT &amp; OTHER HPs'!$V140:$Y140)</f>
        <v>0</v>
      </c>
      <c r="AA140" s="840">
        <f>'TB-EQUIPMENT &amp; OTHER HPs'!$U140*'TB-EQUIPMENT &amp; OTHER HPs'!$Z140</f>
        <v>0</v>
      </c>
      <c r="AB140" s="865"/>
      <c r="AC140" s="883"/>
      <c r="AD140" s="883"/>
      <c r="AE140" s="883"/>
      <c r="AF140" s="883"/>
      <c r="AG140" s="488">
        <f>SUM('TB-EQUIPMENT &amp; OTHER HPs'!$AC140:$AF140)</f>
        <v>0</v>
      </c>
      <c r="AH140" s="840">
        <f>'TB-EQUIPMENT &amp; OTHER HPs'!$AB140*'TB-EQUIPMENT &amp; OTHER HPs'!$AG140</f>
        <v>0</v>
      </c>
      <c r="AI140" s="489">
        <f>'TB-EQUIPMENT &amp; OTHER HPs'!$S140+'TB-EQUIPMENT &amp; OTHER HPs'!$Z140+'TB-EQUIPMENT &amp; OTHER HPs'!$AG140</f>
        <v>0</v>
      </c>
      <c r="AJ140" s="840">
        <f>'TB-EQUIPMENT &amp; OTHER HPs'!$T140+'TB-EQUIPMENT &amp; OTHER HPs'!$AA140+'TB-EQUIPMENT &amp; OTHER HPs'!$AH140</f>
        <v>0</v>
      </c>
      <c r="AK140" s="1140" t="str">
        <f>IF(A140&lt;&gt;"",IFERROR(INDEX(PMtbl[[WKst]:[Unit of measure*]],MATCH($A$132&amp;$A140&amp;$E140&amp;$I140,INDEX(PMtbl[Sec]&amp;PMtbl[Category]&amp;PMtbl[INN]&amp;PMtbl[Specification],0,),0),7),""),"")</f>
        <v/>
      </c>
      <c r="AL140" s="946"/>
      <c r="AM140" s="1427" t="str">
        <f>IFERROR(INDEX(SETUP!$C$19:$G$62,MATCH((INDEX(PMtbl[[WKst]:[Unit of measure*]],MATCH($A140&amp;$E140&amp;$I140,INDEX(PMtbl[Category]&amp;PMtbl[INN]&amp;PMtbl[Specification],0,),0),3)),SETUP!$D$19:$D$62,0),5),"")</f>
        <v/>
      </c>
      <c r="AN140" s="1427" t="str">
        <f>IFERROR(IF((INDEX(SETUP!$C$19:$G$62,MATCH((INDEX(PMtbl[[WKst]:[Unit of measure*]],MATCH($A140&amp;$E140&amp;$I140,INDEX(PMtbl[Category]&amp;PMtbl[INN]&amp;PMtbl[Specification],0,),0),3)),SETUP!$D$19:$D$62,0),4))="Upfront",0,INDEX(SETUP!$C$19:$G$62,MATCH((INDEX(PMtbl[[WKst]:[Unit of measure*]],MATCH($A140&amp;$E140&amp;$I140,INDEX(PMtbl[Category]&amp;PMtbl[INN]&amp;PMtbl[Specification],0,),0),3)),SETUP!$D$19:$D$62,0),5)),"")</f>
        <v/>
      </c>
      <c r="AW140" s="1138"/>
      <c r="AX140" s="1138"/>
      <c r="AY140" s="1138"/>
      <c r="AZ140" s="1138"/>
      <c r="BA140" s="1138"/>
      <c r="BB140" s="1138"/>
      <c r="BC140" s="1138"/>
      <c r="BD140" s="1138"/>
      <c r="BE140" s="1138"/>
      <c r="BF140" s="1138"/>
      <c r="BG140" s="1138"/>
      <c r="BH140" s="1138"/>
      <c r="BI140" s="1138"/>
    </row>
    <row r="141" spans="1:62" s="1144" customFormat="1">
      <c r="A141" s="2725"/>
      <c r="B141" s="2435"/>
      <c r="C141" s="2435"/>
      <c r="D141" s="2435"/>
      <c r="E141" s="2725"/>
      <c r="F141" s="2476"/>
      <c r="G141" s="2476"/>
      <c r="H141" s="2476"/>
      <c r="I141" s="2727"/>
      <c r="J141" s="2730"/>
      <c r="K141" s="2729"/>
      <c r="L141" s="1133" t="str">
        <f>IF(A141&lt;&gt;"",IFERROR(INDEX(PMtbl[[WKst]:[Unit of measure*]],MATCH($A$132&amp;$A141&amp;$E141&amp;$I141,INDEX(PMtbl[Sec]&amp;PMtbl[Category]&amp;PMtbl[INN]&amp;PMtbl[Specification],0,),0),8),""),"")</f>
        <v/>
      </c>
      <c r="M141" s="1141" t="str">
        <f>IF(L141="", "",SETUP!$E$5)</f>
        <v/>
      </c>
      <c r="N141" s="864"/>
      <c r="O141" s="882"/>
      <c r="P141" s="882"/>
      <c r="Q141" s="882"/>
      <c r="R141" s="882"/>
      <c r="S141" s="486">
        <f>SUM('TB-EQUIPMENT &amp; OTHER HPs'!$O141:$R141)</f>
        <v>0</v>
      </c>
      <c r="T141" s="839">
        <f>'TB-EQUIPMENT &amp; OTHER HPs'!$N141*'TB-EQUIPMENT &amp; OTHER HPs'!$S141</f>
        <v>0</v>
      </c>
      <c r="U141" s="864"/>
      <c r="V141" s="882"/>
      <c r="W141" s="882"/>
      <c r="X141" s="882"/>
      <c r="Y141" s="882"/>
      <c r="Z141" s="486">
        <f>SUM('TB-EQUIPMENT &amp; OTHER HPs'!$V141:$Y141)</f>
        <v>0</v>
      </c>
      <c r="AA141" s="839">
        <f>'TB-EQUIPMENT &amp; OTHER HPs'!$U141*'TB-EQUIPMENT &amp; OTHER HPs'!$Z141</f>
        <v>0</v>
      </c>
      <c r="AB141" s="864"/>
      <c r="AC141" s="882"/>
      <c r="AD141" s="882"/>
      <c r="AE141" s="882"/>
      <c r="AF141" s="882"/>
      <c r="AG141" s="486">
        <f>SUM('TB-EQUIPMENT &amp; OTHER HPs'!$AC141:$AF141)</f>
        <v>0</v>
      </c>
      <c r="AH141" s="839">
        <f>'TB-EQUIPMENT &amp; OTHER HPs'!$AB141*'TB-EQUIPMENT &amp; OTHER HPs'!$AG141</f>
        <v>0</v>
      </c>
      <c r="AI141" s="487">
        <f>'TB-EQUIPMENT &amp; OTHER HPs'!$S141+'TB-EQUIPMENT &amp; OTHER HPs'!$Z141+'TB-EQUIPMENT &amp; OTHER HPs'!$AG141</f>
        <v>0</v>
      </c>
      <c r="AJ141" s="839">
        <f>'TB-EQUIPMENT &amp; OTHER HPs'!$T141+'TB-EQUIPMENT &amp; OTHER HPs'!$AA141+'TB-EQUIPMENT &amp; OTHER HPs'!$AH141</f>
        <v>0</v>
      </c>
      <c r="AK141" s="1139" t="str">
        <f>IF(A141&lt;&gt;"",IFERROR(INDEX(PMtbl[[WKst]:[Unit of measure*]],MATCH($A$132&amp;$A141&amp;$E141&amp;$I141,INDEX(PMtbl[Sec]&amp;PMtbl[Category]&amp;PMtbl[INN]&amp;PMtbl[Specification],0,),0),7),""),"")</f>
        <v/>
      </c>
      <c r="AL141" s="947"/>
      <c r="AM141" s="1428" t="str">
        <f>IFERROR(INDEX(SETUP!$C$19:$G$62,MATCH((INDEX(PMtbl[[WKst]:[Unit of measure*]],MATCH($A141&amp;$E141&amp;$I141,INDEX(PMtbl[Category]&amp;PMtbl[INN]&amp;PMtbl[Specification],0,),0),3)),SETUP!$D$19:$D$62,0),5),"")</f>
        <v/>
      </c>
      <c r="AN141" s="1428" t="str">
        <f>IFERROR(IF((INDEX(SETUP!$C$19:$G$62,MATCH((INDEX(PMtbl[[WKst]:[Unit of measure*]],MATCH($A141&amp;$E141&amp;$I141,INDEX(PMtbl[Category]&amp;PMtbl[INN]&amp;PMtbl[Specification],0,),0),3)),SETUP!$D$19:$D$62,0),4))="Upfront",0,INDEX(SETUP!$C$19:$G$62,MATCH((INDEX(PMtbl[[WKst]:[Unit of measure*]],MATCH($A141&amp;$E141&amp;$I141,INDEX(PMtbl[Category]&amp;PMtbl[INN]&amp;PMtbl[Specification],0,),0),3)),SETUP!$D$19:$D$62,0),5)),"")</f>
        <v/>
      </c>
    </row>
    <row r="142" spans="1:62" s="1144" customFormat="1">
      <c r="A142" s="2611"/>
      <c r="B142" s="2611"/>
      <c r="C142" s="2611"/>
      <c r="D142" s="2611"/>
      <c r="E142" s="2610"/>
      <c r="F142" s="2618"/>
      <c r="G142" s="2618"/>
      <c r="H142" s="2618"/>
      <c r="I142" s="2722"/>
      <c r="J142" s="2723"/>
      <c r="K142" s="2724"/>
      <c r="L142" s="1124" t="str">
        <f>IF(A142&lt;&gt;"",IFERROR(INDEX(PMtbl[[WKst]:[Unit of measure*]],MATCH($A$132&amp;$A142&amp;$E142&amp;$I142,INDEX(PMtbl[Sec]&amp;PMtbl[Category]&amp;PMtbl[INN]&amp;PMtbl[Specification],0,),0),8),""),"")</f>
        <v/>
      </c>
      <c r="M142" s="1124" t="str">
        <f>IF(L142="", "",SETUP!$E$5)</f>
        <v/>
      </c>
      <c r="N142" s="865"/>
      <c r="O142" s="883"/>
      <c r="P142" s="883"/>
      <c r="Q142" s="883"/>
      <c r="R142" s="883"/>
      <c r="S142" s="488">
        <f>SUM('TB-EQUIPMENT &amp; OTHER HPs'!$O142:$R142)</f>
        <v>0</v>
      </c>
      <c r="T142" s="840">
        <f>'TB-EQUIPMENT &amp; OTHER HPs'!$N142*'TB-EQUIPMENT &amp; OTHER HPs'!$S142</f>
        <v>0</v>
      </c>
      <c r="U142" s="865"/>
      <c r="V142" s="883"/>
      <c r="W142" s="883"/>
      <c r="X142" s="883"/>
      <c r="Y142" s="883"/>
      <c r="Z142" s="488">
        <f>SUM('TB-EQUIPMENT &amp; OTHER HPs'!$V142:$Y142)</f>
        <v>0</v>
      </c>
      <c r="AA142" s="840">
        <f>'TB-EQUIPMENT &amp; OTHER HPs'!$U142*'TB-EQUIPMENT &amp; OTHER HPs'!$Z142</f>
        <v>0</v>
      </c>
      <c r="AB142" s="865"/>
      <c r="AC142" s="883"/>
      <c r="AD142" s="883"/>
      <c r="AE142" s="883"/>
      <c r="AF142" s="883"/>
      <c r="AG142" s="488">
        <f>SUM('TB-EQUIPMENT &amp; OTHER HPs'!$AC142:$AF142)</f>
        <v>0</v>
      </c>
      <c r="AH142" s="840">
        <f>'TB-EQUIPMENT &amp; OTHER HPs'!$AB142*'TB-EQUIPMENT &amp; OTHER HPs'!$AG142</f>
        <v>0</v>
      </c>
      <c r="AI142" s="489">
        <f>'TB-EQUIPMENT &amp; OTHER HPs'!$S142+'TB-EQUIPMENT &amp; OTHER HPs'!$Z142+'TB-EQUIPMENT &amp; OTHER HPs'!$AG142</f>
        <v>0</v>
      </c>
      <c r="AJ142" s="840">
        <f>'TB-EQUIPMENT &amp; OTHER HPs'!$T142+'TB-EQUIPMENT &amp; OTHER HPs'!$AA142+'TB-EQUIPMENT &amp; OTHER HPs'!$AH142</f>
        <v>0</v>
      </c>
      <c r="AK142" s="1140" t="str">
        <f>IF(A142&lt;&gt;"",IFERROR(INDEX(PMtbl[[WKst]:[Unit of measure*]],MATCH($A$132&amp;$A142&amp;$E142&amp;$I142,INDEX(PMtbl[Sec]&amp;PMtbl[Category]&amp;PMtbl[INN]&amp;PMtbl[Specification],0,),0),7),""),"")</f>
        <v/>
      </c>
      <c r="AL142" s="946"/>
      <c r="AM142" s="1427" t="str">
        <f>IFERROR(INDEX(SETUP!$C$19:$G$62,MATCH((INDEX(PMtbl[[WKst]:[Unit of measure*]],MATCH($A142&amp;$E142&amp;$I142,INDEX(PMtbl[Category]&amp;PMtbl[INN]&amp;PMtbl[Specification],0,),0),3)),SETUP!$D$19:$D$62,0),5),"")</f>
        <v/>
      </c>
      <c r="AN142" s="1427" t="str">
        <f>IFERROR(IF((INDEX(SETUP!$C$19:$G$62,MATCH((INDEX(PMtbl[[WKst]:[Unit of measure*]],MATCH($A142&amp;$E142&amp;$I142,INDEX(PMtbl[Category]&amp;PMtbl[INN]&amp;PMtbl[Specification],0,),0),3)),SETUP!$D$19:$D$62,0),4))="Upfront",0,INDEX(SETUP!$C$19:$G$62,MATCH((INDEX(PMtbl[[WKst]:[Unit of measure*]],MATCH($A142&amp;$E142&amp;$I142,INDEX(PMtbl[Category]&amp;PMtbl[INN]&amp;PMtbl[Specification],0,),0),3)),SETUP!$D$19:$D$62,0),5)),"")</f>
        <v/>
      </c>
    </row>
    <row r="143" spans="1:62" s="268" customFormat="1">
      <c r="A143" s="2725"/>
      <c r="B143" s="2435"/>
      <c r="C143" s="2435"/>
      <c r="D143" s="2435"/>
      <c r="E143" s="2725"/>
      <c r="F143" s="2435"/>
      <c r="G143" s="2435"/>
      <c r="H143" s="2435"/>
      <c r="I143" s="2727"/>
      <c r="J143" s="2728"/>
      <c r="K143" s="2729"/>
      <c r="L143" s="176" t="str">
        <f>IF(A143&lt;&gt;"",IFERROR(INDEX(PMtbl[[WKst]:[Unit of measure*]],MATCH($A$132&amp;$A143&amp;$E143&amp;$I143,INDEX(PMtbl[Sec]&amp;PMtbl[Category]&amp;PMtbl[INN]&amp;PMtbl[Specification],0,),0),8),""),"")</f>
        <v/>
      </c>
      <c r="M143" s="177" t="str">
        <f>IF(L143="", "",SETUP!$E$5)</f>
        <v/>
      </c>
      <c r="N143" s="864"/>
      <c r="O143" s="882"/>
      <c r="P143" s="882"/>
      <c r="Q143" s="882"/>
      <c r="R143" s="882"/>
      <c r="S143" s="486">
        <f>SUM('TB-EQUIPMENT &amp; OTHER HPs'!$O143:$R143)</f>
        <v>0</v>
      </c>
      <c r="T143" s="839">
        <f>'TB-EQUIPMENT &amp; OTHER HPs'!$N143*'TB-EQUIPMENT &amp; OTHER HPs'!$S143</f>
        <v>0</v>
      </c>
      <c r="U143" s="864"/>
      <c r="V143" s="882"/>
      <c r="W143" s="882"/>
      <c r="X143" s="882"/>
      <c r="Y143" s="882"/>
      <c r="Z143" s="486">
        <f>SUM('TB-EQUIPMENT &amp; OTHER HPs'!$V143:$Y143)</f>
        <v>0</v>
      </c>
      <c r="AA143" s="839">
        <f>'TB-EQUIPMENT &amp; OTHER HPs'!$U143*'TB-EQUIPMENT &amp; OTHER HPs'!$Z143</f>
        <v>0</v>
      </c>
      <c r="AB143" s="864"/>
      <c r="AC143" s="882"/>
      <c r="AD143" s="882"/>
      <c r="AE143" s="882"/>
      <c r="AF143" s="882"/>
      <c r="AG143" s="486">
        <f>SUM('TB-EQUIPMENT &amp; OTHER HPs'!$AC143:$AF143)</f>
        <v>0</v>
      </c>
      <c r="AH143" s="839">
        <f>'TB-EQUIPMENT &amp; OTHER HPs'!$AB143*'TB-EQUIPMENT &amp; OTHER HPs'!$AG143</f>
        <v>0</v>
      </c>
      <c r="AI143" s="487">
        <f>'TB-EQUIPMENT &amp; OTHER HPs'!$S143+'TB-EQUIPMENT &amp; OTHER HPs'!$Z143+'TB-EQUIPMENT &amp; OTHER HPs'!$AG143</f>
        <v>0</v>
      </c>
      <c r="AJ143" s="839">
        <f>'TB-EQUIPMENT &amp; OTHER HPs'!$T143+'TB-EQUIPMENT &amp; OTHER HPs'!$AA143+'TB-EQUIPMENT &amp; OTHER HPs'!$AH143</f>
        <v>0</v>
      </c>
      <c r="AK143" s="402" t="str">
        <f>IF(A143&lt;&gt;"",IFERROR(INDEX(PMtbl[[WKst]:[Unit of measure*]],MATCH($A$132&amp;$A143&amp;$E143&amp;$I143,INDEX(PMtbl[Sec]&amp;PMtbl[Category]&amp;PMtbl[INN]&amp;PMtbl[Specification],0,),0),7),""),"")</f>
        <v/>
      </c>
      <c r="AL143" s="950"/>
      <c r="AM143" s="1429" t="str">
        <f>IFERROR(INDEX(SETUP!$C$19:$G$62,MATCH((INDEX(PMtbl[[WKst]:[Unit of measure*]],MATCH($A143&amp;$E143&amp;$I143,INDEX(PMtbl[Category]&amp;PMtbl[INN]&amp;PMtbl[Specification],0,),0),3)),SETUP!$D$19:$D$62,0),5),"")</f>
        <v/>
      </c>
      <c r="AN143" s="1429" t="str">
        <f>IFERROR(IF((INDEX(SETUP!$C$19:$G$62,MATCH((INDEX(PMtbl[[WKst]:[Unit of measure*]],MATCH($A143&amp;$E143&amp;$I143,INDEX(PMtbl[Category]&amp;PMtbl[INN]&amp;PMtbl[Specification],0,),0),3)),SETUP!$D$19:$D$62,0),4))="Upfront",0,INDEX(SETUP!$C$19:$G$62,MATCH((INDEX(PMtbl[[WKst]:[Unit of measure*]],MATCH($A143&amp;$E143&amp;$I143,INDEX(PMtbl[Category]&amp;PMtbl[INN]&amp;PMtbl[Specification],0,),0),3)),SETUP!$D$19:$D$62,0),5)),"")</f>
        <v/>
      </c>
      <c r="AU143" s="1144"/>
      <c r="AV143" s="1144"/>
      <c r="AW143" s="1144"/>
      <c r="AX143" s="1144"/>
      <c r="AY143" s="1144"/>
      <c r="AZ143" s="1144"/>
      <c r="BA143" s="1144"/>
      <c r="BB143" s="1144"/>
      <c r="BC143" s="1144"/>
      <c r="BD143" s="1144"/>
      <c r="BE143" s="1144"/>
      <c r="BF143" s="1144"/>
      <c r="BG143" s="1144"/>
      <c r="BH143" s="1144"/>
      <c r="BI143" s="1144"/>
      <c r="BJ143" s="1144"/>
    </row>
    <row r="144" spans="1:62" s="268" customFormat="1">
      <c r="A144" s="2610"/>
      <c r="B144" s="2611"/>
      <c r="C144" s="2611"/>
      <c r="D144" s="2611"/>
      <c r="E144" s="2610"/>
      <c r="F144" s="2611"/>
      <c r="G144" s="2611"/>
      <c r="H144" s="2611"/>
      <c r="I144" s="2722"/>
      <c r="J144" s="2734"/>
      <c r="K144" s="2724"/>
      <c r="L144" s="175" t="str">
        <f>IF(A144&lt;&gt;"",IFERROR(INDEX(PMtbl[[WKst]:[Unit of measure*]],MATCH($A$132&amp;$A144&amp;$E144&amp;$I144,INDEX(PMtbl[Sec]&amp;PMtbl[Category]&amp;PMtbl[INN]&amp;PMtbl[Specification],0,),0),8),""),"")</f>
        <v/>
      </c>
      <c r="M144" s="175" t="str">
        <f>IF(L144="", "",SETUP!$E$5)</f>
        <v/>
      </c>
      <c r="N144" s="865"/>
      <c r="O144" s="883"/>
      <c r="P144" s="883"/>
      <c r="Q144" s="883"/>
      <c r="R144" s="883"/>
      <c r="S144" s="488">
        <f>SUM('TB-EQUIPMENT &amp; OTHER HPs'!$O144:$R144)</f>
        <v>0</v>
      </c>
      <c r="T144" s="840">
        <f>'TB-EQUIPMENT &amp; OTHER HPs'!$N144*'TB-EQUIPMENT &amp; OTHER HPs'!$S144</f>
        <v>0</v>
      </c>
      <c r="U144" s="865"/>
      <c r="V144" s="883"/>
      <c r="W144" s="883"/>
      <c r="X144" s="883"/>
      <c r="Y144" s="883"/>
      <c r="Z144" s="488">
        <f>SUM('TB-EQUIPMENT &amp; OTHER HPs'!$V144:$Y144)</f>
        <v>0</v>
      </c>
      <c r="AA144" s="840">
        <f>'TB-EQUIPMENT &amp; OTHER HPs'!$U144*'TB-EQUIPMENT &amp; OTHER HPs'!$Z144</f>
        <v>0</v>
      </c>
      <c r="AB144" s="865"/>
      <c r="AC144" s="883"/>
      <c r="AD144" s="883"/>
      <c r="AE144" s="883"/>
      <c r="AF144" s="883"/>
      <c r="AG144" s="488">
        <f>SUM('TB-EQUIPMENT &amp; OTHER HPs'!$AC144:$AF144)</f>
        <v>0</v>
      </c>
      <c r="AH144" s="840">
        <f>'TB-EQUIPMENT &amp; OTHER HPs'!$AB144*'TB-EQUIPMENT &amp; OTHER HPs'!$AG144</f>
        <v>0</v>
      </c>
      <c r="AI144" s="489">
        <f>'TB-EQUIPMENT &amp; OTHER HPs'!$S144+'TB-EQUIPMENT &amp; OTHER HPs'!$Z144+'TB-EQUIPMENT &amp; OTHER HPs'!$AG144</f>
        <v>0</v>
      </c>
      <c r="AJ144" s="840">
        <f>'TB-EQUIPMENT &amp; OTHER HPs'!$T144+'TB-EQUIPMENT &amp; OTHER HPs'!$AA144+'TB-EQUIPMENT &amp; OTHER HPs'!$AH144</f>
        <v>0</v>
      </c>
      <c r="AK144" s="401" t="str">
        <f>IF(A144&lt;&gt;"",IFERROR(INDEX(PMtbl[[WKst]:[Unit of measure*]],MATCH($A$132&amp;$A144&amp;$E144&amp;$I144,INDEX(PMtbl[Sec]&amp;PMtbl[Category]&amp;PMtbl[INN]&amp;PMtbl[Specification],0,),0),7),""),"")</f>
        <v/>
      </c>
      <c r="AL144" s="949"/>
      <c r="AM144" s="1430" t="str">
        <f>IFERROR(INDEX(SETUP!$C$19:$G$62,MATCH((INDEX(PMtbl[[WKst]:[Unit of measure*]],MATCH($A144&amp;$E144&amp;$I144,INDEX(PMtbl[Category]&amp;PMtbl[INN]&amp;PMtbl[Specification],0,),0),3)),SETUP!$D$19:$D$62,0),5),"")</f>
        <v/>
      </c>
      <c r="AN144" s="1430" t="str">
        <f>IFERROR(IF((INDEX(SETUP!$C$19:$G$62,MATCH((INDEX(PMtbl[[WKst]:[Unit of measure*]],MATCH($A144&amp;$E144&amp;$I144,INDEX(PMtbl[Category]&amp;PMtbl[INN]&amp;PMtbl[Specification],0,),0),3)),SETUP!$D$19:$D$62,0),4))="Upfront",0,INDEX(SETUP!$C$19:$G$62,MATCH((INDEX(PMtbl[[WKst]:[Unit of measure*]],MATCH($A144&amp;$E144&amp;$I144,INDEX(PMtbl[Category]&amp;PMtbl[INN]&amp;PMtbl[Specification],0,),0),3)),SETUP!$D$19:$D$62,0),5)),"")</f>
        <v/>
      </c>
      <c r="AU144" s="1144"/>
      <c r="AV144" s="1144"/>
      <c r="AW144" s="1144"/>
      <c r="AX144" s="1144"/>
      <c r="AY144" s="1144"/>
      <c r="AZ144" s="1144"/>
      <c r="BA144" s="1144"/>
      <c r="BB144" s="1144"/>
      <c r="BC144" s="1144"/>
      <c r="BD144" s="1144"/>
      <c r="BE144" s="1144"/>
      <c r="BF144" s="1144"/>
      <c r="BG144" s="1144"/>
      <c r="BH144" s="1144"/>
      <c r="BI144" s="1144"/>
      <c r="BJ144" s="1144"/>
    </row>
    <row r="145" spans="1:40" s="268" customFormat="1">
      <c r="A145" s="2725"/>
      <c r="B145" s="2435"/>
      <c r="C145" s="2435"/>
      <c r="D145" s="2435"/>
      <c r="E145" s="2725"/>
      <c r="F145" s="2435"/>
      <c r="G145" s="2435"/>
      <c r="H145" s="2435"/>
      <c r="I145" s="2727"/>
      <c r="J145" s="2728"/>
      <c r="K145" s="2729"/>
      <c r="L145" s="176" t="str">
        <f>IF(A145&lt;&gt;"",IFERROR(INDEX(PMtbl[[WKst]:[Unit of measure*]],MATCH($A$132&amp;$A145&amp;$E145&amp;$I145,INDEX(PMtbl[Sec]&amp;PMtbl[Category]&amp;PMtbl[INN]&amp;PMtbl[Specification],0,),0),8),""),"")</f>
        <v/>
      </c>
      <c r="M145" s="177" t="str">
        <f>IF(L145="", "",SETUP!$E$5)</f>
        <v/>
      </c>
      <c r="N145" s="864"/>
      <c r="O145" s="882"/>
      <c r="P145" s="882"/>
      <c r="Q145" s="882"/>
      <c r="R145" s="882"/>
      <c r="S145" s="486">
        <f>SUM('TB-EQUIPMENT &amp; OTHER HPs'!$O145:$R145)</f>
        <v>0</v>
      </c>
      <c r="T145" s="839">
        <f>'TB-EQUIPMENT &amp; OTHER HPs'!$N145*'TB-EQUIPMENT &amp; OTHER HPs'!$S145</f>
        <v>0</v>
      </c>
      <c r="U145" s="864"/>
      <c r="V145" s="882"/>
      <c r="W145" s="882"/>
      <c r="X145" s="882"/>
      <c r="Y145" s="882"/>
      <c r="Z145" s="486">
        <f>SUM('TB-EQUIPMENT &amp; OTHER HPs'!$V145:$Y145)</f>
        <v>0</v>
      </c>
      <c r="AA145" s="839">
        <f>'TB-EQUIPMENT &amp; OTHER HPs'!$U145*'TB-EQUIPMENT &amp; OTHER HPs'!$Z145</f>
        <v>0</v>
      </c>
      <c r="AB145" s="864"/>
      <c r="AC145" s="882"/>
      <c r="AD145" s="882"/>
      <c r="AE145" s="882"/>
      <c r="AF145" s="882"/>
      <c r="AG145" s="486">
        <f>SUM('TB-EQUIPMENT &amp; OTHER HPs'!$AC145:$AF145)</f>
        <v>0</v>
      </c>
      <c r="AH145" s="839">
        <f>'TB-EQUIPMENT &amp; OTHER HPs'!$AB145*'TB-EQUIPMENT &amp; OTHER HPs'!$AG145</f>
        <v>0</v>
      </c>
      <c r="AI145" s="487">
        <f>'TB-EQUIPMENT &amp; OTHER HPs'!$S145+'TB-EQUIPMENT &amp; OTHER HPs'!$Z145+'TB-EQUIPMENT &amp; OTHER HPs'!$AG145</f>
        <v>0</v>
      </c>
      <c r="AJ145" s="839">
        <f>'TB-EQUIPMENT &amp; OTHER HPs'!$T145+'TB-EQUIPMENT &amp; OTHER HPs'!$AA145+'TB-EQUIPMENT &amp; OTHER HPs'!$AH145</f>
        <v>0</v>
      </c>
      <c r="AK145" s="402" t="str">
        <f>IF(A145&lt;&gt;"",IFERROR(INDEX(PMtbl[[WKst]:[Unit of measure*]],MATCH($A$132&amp;$A145&amp;$E145&amp;$I145,INDEX(PMtbl[Sec]&amp;PMtbl[Category]&amp;PMtbl[INN]&amp;PMtbl[Specification],0,),0),7),""),"")</f>
        <v/>
      </c>
      <c r="AL145" s="950"/>
      <c r="AM145" s="1429" t="str">
        <f>IFERROR(INDEX(SETUP!$C$19:$G$62,MATCH((INDEX(PMtbl[[WKst]:[Unit of measure*]],MATCH($A145&amp;$E145&amp;$I145,INDEX(PMtbl[Category]&amp;PMtbl[INN]&amp;PMtbl[Specification],0,),0),3)),SETUP!$D$19:$D$62,0),5),"")</f>
        <v/>
      </c>
      <c r="AN145" s="1429" t="str">
        <f>IFERROR(IF((INDEX(SETUP!$C$19:$G$62,MATCH((INDEX(PMtbl[[WKst]:[Unit of measure*]],MATCH($A145&amp;$E145&amp;$I145,INDEX(PMtbl[Category]&amp;PMtbl[INN]&amp;PMtbl[Specification],0,),0),3)),SETUP!$D$19:$D$62,0),4))="Upfront",0,INDEX(SETUP!$C$19:$G$62,MATCH((INDEX(PMtbl[[WKst]:[Unit of measure*]],MATCH($A145&amp;$E145&amp;$I145,INDEX(PMtbl[Category]&amp;PMtbl[INN]&amp;PMtbl[Specification],0,),0),3)),SETUP!$D$19:$D$62,0),5)),"")</f>
        <v/>
      </c>
    </row>
    <row r="146" spans="1:40" s="268" customFormat="1">
      <c r="A146" s="2610"/>
      <c r="B146" s="2611"/>
      <c r="C146" s="2611"/>
      <c r="D146" s="2611"/>
      <c r="E146" s="2610"/>
      <c r="F146" s="2611"/>
      <c r="G146" s="2611"/>
      <c r="H146" s="2611"/>
      <c r="I146" s="2722"/>
      <c r="J146" s="2734"/>
      <c r="K146" s="2724"/>
      <c r="L146" s="175" t="str">
        <f>IF(A146&lt;&gt;"",IFERROR(INDEX(PMtbl[[WKst]:[Unit of measure*]],MATCH($A$132&amp;$A146&amp;$E146&amp;$I146,INDEX(PMtbl[Sec]&amp;PMtbl[Category]&amp;PMtbl[INN]&amp;PMtbl[Specification],0,),0),8),""),"")</f>
        <v/>
      </c>
      <c r="M146" s="175" t="str">
        <f>IF(L146="", "",SETUP!$E$5)</f>
        <v/>
      </c>
      <c r="N146" s="865"/>
      <c r="O146" s="883"/>
      <c r="P146" s="883"/>
      <c r="Q146" s="883"/>
      <c r="R146" s="883"/>
      <c r="S146" s="488">
        <f>SUM('TB-EQUIPMENT &amp; OTHER HPs'!$O146:$R146)</f>
        <v>0</v>
      </c>
      <c r="T146" s="840">
        <f>'TB-EQUIPMENT &amp; OTHER HPs'!$N146*'TB-EQUIPMENT &amp; OTHER HPs'!$S146</f>
        <v>0</v>
      </c>
      <c r="U146" s="865"/>
      <c r="V146" s="883"/>
      <c r="W146" s="883"/>
      <c r="X146" s="883"/>
      <c r="Y146" s="883"/>
      <c r="Z146" s="488">
        <f>SUM('TB-EQUIPMENT &amp; OTHER HPs'!$V146:$Y146)</f>
        <v>0</v>
      </c>
      <c r="AA146" s="840">
        <f>'TB-EQUIPMENT &amp; OTHER HPs'!$U146*'TB-EQUIPMENT &amp; OTHER HPs'!$Z146</f>
        <v>0</v>
      </c>
      <c r="AB146" s="865"/>
      <c r="AC146" s="883"/>
      <c r="AD146" s="883"/>
      <c r="AE146" s="883"/>
      <c r="AF146" s="883"/>
      <c r="AG146" s="488">
        <f>SUM('TB-EQUIPMENT &amp; OTHER HPs'!$AC146:$AF146)</f>
        <v>0</v>
      </c>
      <c r="AH146" s="840">
        <f>'TB-EQUIPMENT &amp; OTHER HPs'!$AB146*'TB-EQUIPMENT &amp; OTHER HPs'!$AG146</f>
        <v>0</v>
      </c>
      <c r="AI146" s="489">
        <f>'TB-EQUIPMENT &amp; OTHER HPs'!$S146+'TB-EQUIPMENT &amp; OTHER HPs'!$Z146+'TB-EQUIPMENT &amp; OTHER HPs'!$AG146</f>
        <v>0</v>
      </c>
      <c r="AJ146" s="840">
        <f>'TB-EQUIPMENT &amp; OTHER HPs'!$T146+'TB-EQUIPMENT &amp; OTHER HPs'!$AA146+'TB-EQUIPMENT &amp; OTHER HPs'!$AH146</f>
        <v>0</v>
      </c>
      <c r="AK146" s="401" t="str">
        <f>IF(A146&lt;&gt;"",IFERROR(INDEX(PMtbl[[WKst]:[Unit of measure*]],MATCH($A$132&amp;$A146&amp;$E146&amp;$I146,INDEX(PMtbl[Sec]&amp;PMtbl[Category]&amp;PMtbl[INN]&amp;PMtbl[Specification],0,),0),7),""),"")</f>
        <v/>
      </c>
      <c r="AL146" s="949"/>
      <c r="AM146" s="1430" t="str">
        <f>IFERROR(INDEX(SETUP!$C$19:$G$62,MATCH((INDEX(PMtbl[[WKst]:[Unit of measure*]],MATCH($A146&amp;$E146&amp;$I146,INDEX(PMtbl[Category]&amp;PMtbl[INN]&amp;PMtbl[Specification],0,),0),3)),SETUP!$D$19:$D$62,0),5),"")</f>
        <v/>
      </c>
      <c r="AN146" s="1430" t="str">
        <f>IFERROR(IF((INDEX(SETUP!$C$19:$G$62,MATCH((INDEX(PMtbl[[WKst]:[Unit of measure*]],MATCH($A146&amp;$E146&amp;$I146,INDEX(PMtbl[Category]&amp;PMtbl[INN]&amp;PMtbl[Specification],0,),0),3)),SETUP!$D$19:$D$62,0),4))="Upfront",0,INDEX(SETUP!$C$19:$G$62,MATCH((INDEX(PMtbl[[WKst]:[Unit of measure*]],MATCH($A146&amp;$E146&amp;$I146,INDEX(PMtbl[Category]&amp;PMtbl[INN]&amp;PMtbl[Specification],0,),0),3)),SETUP!$D$19:$D$62,0),5)),"")</f>
        <v/>
      </c>
    </row>
    <row r="147" spans="1:40" s="268" customFormat="1">
      <c r="A147" s="2725"/>
      <c r="B147" s="2435"/>
      <c r="C147" s="2435"/>
      <c r="D147" s="2435"/>
      <c r="E147" s="2725"/>
      <c r="F147" s="2435"/>
      <c r="G147" s="2435"/>
      <c r="H147" s="2435"/>
      <c r="I147" s="2727"/>
      <c r="J147" s="2728"/>
      <c r="K147" s="2729"/>
      <c r="L147" s="176" t="str">
        <f>IF(A147&lt;&gt;"",IFERROR(INDEX(PMtbl[[WKst]:[Unit of measure*]],MATCH($A$132&amp;$A147&amp;$E147&amp;$I147,INDEX(PMtbl[Sec]&amp;PMtbl[Category]&amp;PMtbl[INN]&amp;PMtbl[Specification],0,),0),8),""),"")</f>
        <v/>
      </c>
      <c r="M147" s="177" t="str">
        <f>IF(L147="", "",SETUP!$E$5)</f>
        <v/>
      </c>
      <c r="N147" s="864"/>
      <c r="O147" s="882"/>
      <c r="P147" s="882"/>
      <c r="Q147" s="882"/>
      <c r="R147" s="882"/>
      <c r="S147" s="486">
        <f>SUM('TB-EQUIPMENT &amp; OTHER HPs'!$O147:$R147)</f>
        <v>0</v>
      </c>
      <c r="T147" s="839">
        <f>'TB-EQUIPMENT &amp; OTHER HPs'!$N147*'TB-EQUIPMENT &amp; OTHER HPs'!$S147</f>
        <v>0</v>
      </c>
      <c r="U147" s="864"/>
      <c r="V147" s="882"/>
      <c r="W147" s="882"/>
      <c r="X147" s="882"/>
      <c r="Y147" s="882"/>
      <c r="Z147" s="486">
        <f>SUM('TB-EQUIPMENT &amp; OTHER HPs'!$V147:$Y147)</f>
        <v>0</v>
      </c>
      <c r="AA147" s="839">
        <f>'TB-EQUIPMENT &amp; OTHER HPs'!$U147*'TB-EQUIPMENT &amp; OTHER HPs'!$Z147</f>
        <v>0</v>
      </c>
      <c r="AB147" s="864"/>
      <c r="AC147" s="882"/>
      <c r="AD147" s="882"/>
      <c r="AE147" s="882"/>
      <c r="AF147" s="882"/>
      <c r="AG147" s="486">
        <f>SUM('TB-EQUIPMENT &amp; OTHER HPs'!$AC147:$AF147)</f>
        <v>0</v>
      </c>
      <c r="AH147" s="839">
        <f>'TB-EQUIPMENT &amp; OTHER HPs'!$AB147*'TB-EQUIPMENT &amp; OTHER HPs'!$AG147</f>
        <v>0</v>
      </c>
      <c r="AI147" s="487">
        <f>'TB-EQUIPMENT &amp; OTHER HPs'!$S147+'TB-EQUIPMENT &amp; OTHER HPs'!$Z147+'TB-EQUIPMENT &amp; OTHER HPs'!$AG147</f>
        <v>0</v>
      </c>
      <c r="AJ147" s="839">
        <f>'TB-EQUIPMENT &amp; OTHER HPs'!$T147+'TB-EQUIPMENT &amp; OTHER HPs'!$AA147+'TB-EQUIPMENT &amp; OTHER HPs'!$AH147</f>
        <v>0</v>
      </c>
      <c r="AK147" s="402" t="str">
        <f>IF(A147&lt;&gt;"",IFERROR(INDEX(PMtbl[[WKst]:[Unit of measure*]],MATCH($A$132&amp;$A147&amp;$E147&amp;$I147,INDEX(PMtbl[Sec]&amp;PMtbl[Category]&amp;PMtbl[INN]&amp;PMtbl[Specification],0,),0),7),""),"")</f>
        <v/>
      </c>
      <c r="AL147" s="950"/>
      <c r="AM147" s="1429" t="str">
        <f>IFERROR(INDEX(SETUP!$C$19:$G$62,MATCH((INDEX(PMtbl[[WKst]:[Unit of measure*]],MATCH($A147&amp;$E147&amp;$I147,INDEX(PMtbl[Category]&amp;PMtbl[INN]&amp;PMtbl[Specification],0,),0),3)),SETUP!$D$19:$D$62,0),5),"")</f>
        <v/>
      </c>
      <c r="AN147" s="1429" t="str">
        <f>IFERROR(IF((INDEX(SETUP!$C$19:$G$62,MATCH((INDEX(PMtbl[[WKst]:[Unit of measure*]],MATCH($A147&amp;$E147&amp;$I147,INDEX(PMtbl[Category]&amp;PMtbl[INN]&amp;PMtbl[Specification],0,),0),3)),SETUP!$D$19:$D$62,0),4))="Upfront",0,INDEX(SETUP!$C$19:$G$62,MATCH((INDEX(PMtbl[[WKst]:[Unit of measure*]],MATCH($A147&amp;$E147&amp;$I147,INDEX(PMtbl[Category]&amp;PMtbl[INN]&amp;PMtbl[Specification],0,),0),3)),SETUP!$D$19:$D$62,0),5)),"")</f>
        <v/>
      </c>
    </row>
    <row r="148" spans="1:40" s="268" customFormat="1">
      <c r="A148" s="2610"/>
      <c r="B148" s="2611"/>
      <c r="C148" s="2611"/>
      <c r="D148" s="2611"/>
      <c r="E148" s="2610"/>
      <c r="F148" s="2611"/>
      <c r="G148" s="2611"/>
      <c r="H148" s="2611"/>
      <c r="I148" s="2722"/>
      <c r="J148" s="2734"/>
      <c r="K148" s="2724"/>
      <c r="L148" s="175" t="str">
        <f>IF(A148&lt;&gt;"",IFERROR(INDEX(PMtbl[[WKst]:[Unit of measure*]],MATCH($A$132&amp;$A148&amp;$E148&amp;$I148,INDEX(PMtbl[Sec]&amp;PMtbl[Category]&amp;PMtbl[INN]&amp;PMtbl[Specification],0,),0),8),""),"")</f>
        <v/>
      </c>
      <c r="M148" s="175" t="str">
        <f>IF(L148="", "",SETUP!$E$5)</f>
        <v/>
      </c>
      <c r="N148" s="865"/>
      <c r="O148" s="883"/>
      <c r="P148" s="883"/>
      <c r="Q148" s="883"/>
      <c r="R148" s="883"/>
      <c r="S148" s="488">
        <f>SUM('TB-EQUIPMENT &amp; OTHER HPs'!$O148:$R148)</f>
        <v>0</v>
      </c>
      <c r="T148" s="840">
        <f>'TB-EQUIPMENT &amp; OTHER HPs'!$N148*'TB-EQUIPMENT &amp; OTHER HPs'!$S148</f>
        <v>0</v>
      </c>
      <c r="U148" s="865"/>
      <c r="V148" s="883"/>
      <c r="W148" s="883"/>
      <c r="X148" s="883"/>
      <c r="Y148" s="883"/>
      <c r="Z148" s="488">
        <f>SUM('TB-EQUIPMENT &amp; OTHER HPs'!$V148:$Y148)</f>
        <v>0</v>
      </c>
      <c r="AA148" s="840">
        <f>'TB-EQUIPMENT &amp; OTHER HPs'!$U148*'TB-EQUIPMENT &amp; OTHER HPs'!$Z148</f>
        <v>0</v>
      </c>
      <c r="AB148" s="865"/>
      <c r="AC148" s="883"/>
      <c r="AD148" s="883"/>
      <c r="AE148" s="883"/>
      <c r="AF148" s="883"/>
      <c r="AG148" s="488">
        <f>SUM('TB-EQUIPMENT &amp; OTHER HPs'!$AC148:$AF148)</f>
        <v>0</v>
      </c>
      <c r="AH148" s="840">
        <f>'TB-EQUIPMENT &amp; OTHER HPs'!$AB148*'TB-EQUIPMENT &amp; OTHER HPs'!$AG148</f>
        <v>0</v>
      </c>
      <c r="AI148" s="489">
        <f>'TB-EQUIPMENT &amp; OTHER HPs'!$S148+'TB-EQUIPMENT &amp; OTHER HPs'!$Z148+'TB-EQUIPMENT &amp; OTHER HPs'!$AG148</f>
        <v>0</v>
      </c>
      <c r="AJ148" s="840">
        <f>'TB-EQUIPMENT &amp; OTHER HPs'!$T148+'TB-EQUIPMENT &amp; OTHER HPs'!$AA148+'TB-EQUIPMENT &amp; OTHER HPs'!$AH148</f>
        <v>0</v>
      </c>
      <c r="AK148" s="401" t="str">
        <f>IF(A148&lt;&gt;"",IFERROR(INDEX(PMtbl[[WKst]:[Unit of measure*]],MATCH($A$132&amp;$A148&amp;$E148&amp;$I148,INDEX(PMtbl[Sec]&amp;PMtbl[Category]&amp;PMtbl[INN]&amp;PMtbl[Specification],0,),0),7),""),"")</f>
        <v/>
      </c>
      <c r="AL148" s="949"/>
      <c r="AM148" s="1430" t="str">
        <f>IFERROR(INDEX(SETUP!$C$19:$G$62,MATCH((INDEX(PMtbl[[WKst]:[Unit of measure*]],MATCH($A148&amp;$E148&amp;$I148,INDEX(PMtbl[Category]&amp;PMtbl[INN]&amp;PMtbl[Specification],0,),0),3)),SETUP!$D$19:$D$62,0),5),"")</f>
        <v/>
      </c>
      <c r="AN148" s="1430" t="str">
        <f>IFERROR(IF((INDEX(SETUP!$C$19:$G$62,MATCH((INDEX(PMtbl[[WKst]:[Unit of measure*]],MATCH($A148&amp;$E148&amp;$I148,INDEX(PMtbl[Category]&amp;PMtbl[INN]&amp;PMtbl[Specification],0,),0),3)),SETUP!$D$19:$D$62,0),4))="Upfront",0,INDEX(SETUP!$C$19:$G$62,MATCH((INDEX(PMtbl[[WKst]:[Unit of measure*]],MATCH($A148&amp;$E148&amp;$I148,INDEX(PMtbl[Category]&amp;PMtbl[INN]&amp;PMtbl[Specification],0,),0),3)),SETUP!$D$19:$D$62,0),5)),"")</f>
        <v/>
      </c>
    </row>
    <row r="149" spans="1:40" s="268" customFormat="1">
      <c r="A149" s="2725"/>
      <c r="B149" s="2435"/>
      <c r="C149" s="2435"/>
      <c r="D149" s="2435"/>
      <c r="E149" s="2725"/>
      <c r="F149" s="2435"/>
      <c r="G149" s="2435"/>
      <c r="H149" s="2435"/>
      <c r="I149" s="2727"/>
      <c r="J149" s="2728"/>
      <c r="K149" s="2729"/>
      <c r="L149" s="176" t="str">
        <f>IF(A149&lt;&gt;"",IFERROR(INDEX(PMtbl[[WKst]:[Unit of measure*]],MATCH($A$132&amp;$A149&amp;$E149&amp;$I149,INDEX(PMtbl[Sec]&amp;PMtbl[Category]&amp;PMtbl[INN]&amp;PMtbl[Specification],0,),0),8),""),"")</f>
        <v/>
      </c>
      <c r="M149" s="177" t="str">
        <f>IF(L149="", "",SETUP!$E$5)</f>
        <v/>
      </c>
      <c r="N149" s="864"/>
      <c r="O149" s="882"/>
      <c r="P149" s="882"/>
      <c r="Q149" s="882"/>
      <c r="R149" s="882"/>
      <c r="S149" s="486">
        <f>SUM('TB-EQUIPMENT &amp; OTHER HPs'!$O149:$R149)</f>
        <v>0</v>
      </c>
      <c r="T149" s="839">
        <f>'TB-EQUIPMENT &amp; OTHER HPs'!$N149*'TB-EQUIPMENT &amp; OTHER HPs'!$S149</f>
        <v>0</v>
      </c>
      <c r="U149" s="864"/>
      <c r="V149" s="882"/>
      <c r="W149" s="882"/>
      <c r="X149" s="882"/>
      <c r="Y149" s="882"/>
      <c r="Z149" s="486">
        <f>SUM('TB-EQUIPMENT &amp; OTHER HPs'!$V149:$Y149)</f>
        <v>0</v>
      </c>
      <c r="AA149" s="839">
        <f>'TB-EQUIPMENT &amp; OTHER HPs'!$U149*'TB-EQUIPMENT &amp; OTHER HPs'!$Z149</f>
        <v>0</v>
      </c>
      <c r="AB149" s="864"/>
      <c r="AC149" s="882"/>
      <c r="AD149" s="882"/>
      <c r="AE149" s="882"/>
      <c r="AF149" s="882"/>
      <c r="AG149" s="486">
        <f>SUM('TB-EQUIPMENT &amp; OTHER HPs'!$AC149:$AF149)</f>
        <v>0</v>
      </c>
      <c r="AH149" s="839">
        <f>'TB-EQUIPMENT &amp; OTHER HPs'!$AB149*'TB-EQUIPMENT &amp; OTHER HPs'!$AG149</f>
        <v>0</v>
      </c>
      <c r="AI149" s="487">
        <f>'TB-EQUIPMENT &amp; OTHER HPs'!$S149+'TB-EQUIPMENT &amp; OTHER HPs'!$Z149+'TB-EQUIPMENT &amp; OTHER HPs'!$AG149</f>
        <v>0</v>
      </c>
      <c r="AJ149" s="839">
        <f>'TB-EQUIPMENT &amp; OTHER HPs'!$T149+'TB-EQUIPMENT &amp; OTHER HPs'!$AA149+'TB-EQUIPMENT &amp; OTHER HPs'!$AH149</f>
        <v>0</v>
      </c>
      <c r="AK149" s="402" t="str">
        <f>IF(A149&lt;&gt;"",IFERROR(INDEX(PMtbl[[WKst]:[Unit of measure*]],MATCH($A$132&amp;$A149&amp;$E149&amp;$I149,INDEX(PMtbl[Sec]&amp;PMtbl[Category]&amp;PMtbl[INN]&amp;PMtbl[Specification],0,),0),7),""),"")</f>
        <v/>
      </c>
      <c r="AL149" s="950"/>
      <c r="AM149" s="1429" t="str">
        <f>IFERROR(INDEX(SETUP!$C$19:$G$62,MATCH((INDEX(PMtbl[[WKst]:[Unit of measure*]],MATCH($A149&amp;$E149&amp;$I149,INDEX(PMtbl[Category]&amp;PMtbl[INN]&amp;PMtbl[Specification],0,),0),3)),SETUP!$D$19:$D$62,0),5),"")</f>
        <v/>
      </c>
      <c r="AN149" s="1429" t="str">
        <f>IFERROR(IF((INDEX(SETUP!$C$19:$G$62,MATCH((INDEX(PMtbl[[WKst]:[Unit of measure*]],MATCH($A149&amp;$E149&amp;$I149,INDEX(PMtbl[Category]&amp;PMtbl[INN]&amp;PMtbl[Specification],0,),0),3)),SETUP!$D$19:$D$62,0),4))="Upfront",0,INDEX(SETUP!$C$19:$G$62,MATCH((INDEX(PMtbl[[WKst]:[Unit of measure*]],MATCH($A149&amp;$E149&amp;$I149,INDEX(PMtbl[Category]&amp;PMtbl[INN]&amp;PMtbl[Specification],0,),0),3)),SETUP!$D$19:$D$62,0),5)),"")</f>
        <v/>
      </c>
    </row>
    <row r="150" spans="1:40" s="268" customFormat="1">
      <c r="A150" s="2610"/>
      <c r="B150" s="2611"/>
      <c r="C150" s="2611"/>
      <c r="D150" s="2611"/>
      <c r="E150" s="2610"/>
      <c r="F150" s="2611"/>
      <c r="G150" s="2611"/>
      <c r="H150" s="2611"/>
      <c r="I150" s="2722"/>
      <c r="J150" s="2734"/>
      <c r="K150" s="2724"/>
      <c r="L150" s="175" t="str">
        <f>IF(A150&lt;&gt;"",IFERROR(INDEX(PMtbl[[WKst]:[Unit of measure*]],MATCH($A$132&amp;$A150&amp;$E150&amp;$I150,INDEX(PMtbl[Sec]&amp;PMtbl[Category]&amp;PMtbl[INN]&amp;PMtbl[Specification],0,),0),8),""),"")</f>
        <v/>
      </c>
      <c r="M150" s="175" t="str">
        <f>IF(L150="", "",SETUP!$E$5)</f>
        <v/>
      </c>
      <c r="N150" s="865"/>
      <c r="O150" s="883"/>
      <c r="P150" s="883"/>
      <c r="Q150" s="883"/>
      <c r="R150" s="883"/>
      <c r="S150" s="488">
        <f>SUM('TB-EQUIPMENT &amp; OTHER HPs'!$O150:$R150)</f>
        <v>0</v>
      </c>
      <c r="T150" s="840">
        <f>'TB-EQUIPMENT &amp; OTHER HPs'!$N150*'TB-EQUIPMENT &amp; OTHER HPs'!$S150</f>
        <v>0</v>
      </c>
      <c r="U150" s="865"/>
      <c r="V150" s="883"/>
      <c r="W150" s="883"/>
      <c r="X150" s="883"/>
      <c r="Y150" s="883"/>
      <c r="Z150" s="488">
        <f>SUM('TB-EQUIPMENT &amp; OTHER HPs'!$V150:$Y150)</f>
        <v>0</v>
      </c>
      <c r="AA150" s="840">
        <f>'TB-EQUIPMENT &amp; OTHER HPs'!$U150*'TB-EQUIPMENT &amp; OTHER HPs'!$Z150</f>
        <v>0</v>
      </c>
      <c r="AB150" s="865"/>
      <c r="AC150" s="883"/>
      <c r="AD150" s="883"/>
      <c r="AE150" s="883"/>
      <c r="AF150" s="883"/>
      <c r="AG150" s="488">
        <f>SUM('TB-EQUIPMENT &amp; OTHER HPs'!$AC150:$AF150)</f>
        <v>0</v>
      </c>
      <c r="AH150" s="840">
        <f>'TB-EQUIPMENT &amp; OTHER HPs'!$AB150*'TB-EQUIPMENT &amp; OTHER HPs'!$AG150</f>
        <v>0</v>
      </c>
      <c r="AI150" s="489">
        <f>'TB-EQUIPMENT &amp; OTHER HPs'!$S150+'TB-EQUIPMENT &amp; OTHER HPs'!$Z150+'TB-EQUIPMENT &amp; OTHER HPs'!$AG150</f>
        <v>0</v>
      </c>
      <c r="AJ150" s="840">
        <f>'TB-EQUIPMENT &amp; OTHER HPs'!$T150+'TB-EQUIPMENT &amp; OTHER HPs'!$AA150+'TB-EQUIPMENT &amp; OTHER HPs'!$AH150</f>
        <v>0</v>
      </c>
      <c r="AK150" s="401" t="str">
        <f>IF(A150&lt;&gt;"",IFERROR(INDEX(PMtbl[[WKst]:[Unit of measure*]],MATCH($A$132&amp;$A150&amp;$E150&amp;$I150,INDEX(PMtbl[Sec]&amp;PMtbl[Category]&amp;PMtbl[INN]&amp;PMtbl[Specification],0,),0),7),""),"")</f>
        <v/>
      </c>
      <c r="AL150" s="949"/>
      <c r="AM150" s="1430" t="str">
        <f>IFERROR(INDEX(SETUP!$C$19:$G$62,MATCH((INDEX(PMtbl[[WKst]:[Unit of measure*]],MATCH($A150&amp;$E150&amp;$I150,INDEX(PMtbl[Category]&amp;PMtbl[INN]&amp;PMtbl[Specification],0,),0),3)),SETUP!$D$19:$D$62,0),5),"")</f>
        <v/>
      </c>
      <c r="AN150" s="1430" t="str">
        <f>IFERROR(IF((INDEX(SETUP!$C$19:$G$62,MATCH((INDEX(PMtbl[[WKst]:[Unit of measure*]],MATCH($A150&amp;$E150&amp;$I150,INDEX(PMtbl[Category]&amp;PMtbl[INN]&amp;PMtbl[Specification],0,),0),3)),SETUP!$D$19:$D$62,0),4))="Upfront",0,INDEX(SETUP!$C$19:$G$62,MATCH((INDEX(PMtbl[[WKst]:[Unit of measure*]],MATCH($A150&amp;$E150&amp;$I150,INDEX(PMtbl[Category]&amp;PMtbl[INN]&amp;PMtbl[Specification],0,),0),3)),SETUP!$D$19:$D$62,0),5)),"")</f>
        <v/>
      </c>
    </row>
    <row r="151" spans="1:40" s="268" customFormat="1">
      <c r="A151" s="2725"/>
      <c r="B151" s="2435"/>
      <c r="C151" s="2435"/>
      <c r="D151" s="2435"/>
      <c r="E151" s="2725"/>
      <c r="F151" s="2435"/>
      <c r="G151" s="2435"/>
      <c r="H151" s="2435"/>
      <c r="I151" s="2727"/>
      <c r="J151" s="2728"/>
      <c r="K151" s="2729"/>
      <c r="L151" s="176" t="str">
        <f>IF(A151&lt;&gt;"",IFERROR(INDEX(PMtbl[[WKst]:[Unit of measure*]],MATCH($A$132&amp;$A151&amp;$E151&amp;$I151,INDEX(PMtbl[Sec]&amp;PMtbl[Category]&amp;PMtbl[INN]&amp;PMtbl[Specification],0,),0),8),""),"")</f>
        <v/>
      </c>
      <c r="M151" s="177" t="str">
        <f>IF(L151="", "",SETUP!$E$5)</f>
        <v/>
      </c>
      <c r="N151" s="864"/>
      <c r="O151" s="882"/>
      <c r="P151" s="882"/>
      <c r="Q151" s="882"/>
      <c r="R151" s="882"/>
      <c r="S151" s="486">
        <f>SUM('TB-EQUIPMENT &amp; OTHER HPs'!$O151:$R151)</f>
        <v>0</v>
      </c>
      <c r="T151" s="839">
        <f>'TB-EQUIPMENT &amp; OTHER HPs'!$N151*'TB-EQUIPMENT &amp; OTHER HPs'!$S151</f>
        <v>0</v>
      </c>
      <c r="U151" s="864"/>
      <c r="V151" s="882"/>
      <c r="W151" s="882"/>
      <c r="X151" s="882"/>
      <c r="Y151" s="882"/>
      <c r="Z151" s="486">
        <f>SUM('TB-EQUIPMENT &amp; OTHER HPs'!$V151:$Y151)</f>
        <v>0</v>
      </c>
      <c r="AA151" s="839">
        <f>'TB-EQUIPMENT &amp; OTHER HPs'!$U151*'TB-EQUIPMENT &amp; OTHER HPs'!$Z151</f>
        <v>0</v>
      </c>
      <c r="AB151" s="864"/>
      <c r="AC151" s="882"/>
      <c r="AD151" s="882"/>
      <c r="AE151" s="882"/>
      <c r="AF151" s="882"/>
      <c r="AG151" s="486">
        <f>SUM('TB-EQUIPMENT &amp; OTHER HPs'!$AC151:$AF151)</f>
        <v>0</v>
      </c>
      <c r="AH151" s="839">
        <f>'TB-EQUIPMENT &amp; OTHER HPs'!$AB151*'TB-EQUIPMENT &amp; OTHER HPs'!$AG151</f>
        <v>0</v>
      </c>
      <c r="AI151" s="487">
        <f>'TB-EQUIPMENT &amp; OTHER HPs'!$S151+'TB-EQUIPMENT &amp; OTHER HPs'!$Z151+'TB-EQUIPMENT &amp; OTHER HPs'!$AG151</f>
        <v>0</v>
      </c>
      <c r="AJ151" s="839">
        <f>'TB-EQUIPMENT &amp; OTHER HPs'!$T151+'TB-EQUIPMENT &amp; OTHER HPs'!$AA151+'TB-EQUIPMENT &amp; OTHER HPs'!$AH151</f>
        <v>0</v>
      </c>
      <c r="AK151" s="402" t="str">
        <f>IF(A151&lt;&gt;"",IFERROR(INDEX(PMtbl[[WKst]:[Unit of measure*]],MATCH($A$132&amp;$A151&amp;$E151&amp;$I151,INDEX(PMtbl[Sec]&amp;PMtbl[Category]&amp;PMtbl[INN]&amp;PMtbl[Specification],0,),0),7),""),"")</f>
        <v/>
      </c>
      <c r="AL151" s="950"/>
      <c r="AM151" s="1429" t="str">
        <f>IFERROR(INDEX(SETUP!$C$19:$G$62,MATCH((INDEX(PMtbl[[WKst]:[Unit of measure*]],MATCH($A151&amp;$E151&amp;$I151,INDEX(PMtbl[Category]&amp;PMtbl[INN]&amp;PMtbl[Specification],0,),0),3)),SETUP!$D$19:$D$62,0),5),"")</f>
        <v/>
      </c>
      <c r="AN151" s="1429" t="str">
        <f>IFERROR(IF((INDEX(SETUP!$C$19:$G$62,MATCH((INDEX(PMtbl[[WKst]:[Unit of measure*]],MATCH($A151&amp;$E151&amp;$I151,INDEX(PMtbl[Category]&amp;PMtbl[INN]&amp;PMtbl[Specification],0,),0),3)),SETUP!$D$19:$D$62,0),4))="Upfront",0,INDEX(SETUP!$C$19:$G$62,MATCH((INDEX(PMtbl[[WKst]:[Unit of measure*]],MATCH($A151&amp;$E151&amp;$I151,INDEX(PMtbl[Category]&amp;PMtbl[INN]&amp;PMtbl[Specification],0,),0),3)),SETUP!$D$19:$D$62,0),5)),"")</f>
        <v/>
      </c>
    </row>
    <row r="152" spans="1:40" s="268" customFormat="1">
      <c r="A152" s="2610"/>
      <c r="B152" s="2611"/>
      <c r="C152" s="2611"/>
      <c r="D152" s="2611"/>
      <c r="E152" s="2610"/>
      <c r="F152" s="2611"/>
      <c r="G152" s="2611"/>
      <c r="H152" s="2611"/>
      <c r="I152" s="2722"/>
      <c r="J152" s="2734"/>
      <c r="K152" s="2724"/>
      <c r="L152" s="175" t="str">
        <f>IF(A152&lt;&gt;"",IFERROR(INDEX(PMtbl[[WKst]:[Unit of measure*]],MATCH($A$132&amp;$A152&amp;$E152&amp;$I152,INDEX(PMtbl[Sec]&amp;PMtbl[Category]&amp;PMtbl[INN]&amp;PMtbl[Specification],0,),0),8),""),"")</f>
        <v/>
      </c>
      <c r="M152" s="175" t="str">
        <f>IF(L152="", "",SETUP!$E$5)</f>
        <v/>
      </c>
      <c r="N152" s="865"/>
      <c r="O152" s="883"/>
      <c r="P152" s="883"/>
      <c r="Q152" s="883"/>
      <c r="R152" s="883"/>
      <c r="S152" s="488">
        <f>SUM('TB-EQUIPMENT &amp; OTHER HPs'!$O152:$R152)</f>
        <v>0</v>
      </c>
      <c r="T152" s="840">
        <f>'TB-EQUIPMENT &amp; OTHER HPs'!$N152*'TB-EQUIPMENT &amp; OTHER HPs'!$S152</f>
        <v>0</v>
      </c>
      <c r="U152" s="865"/>
      <c r="V152" s="883"/>
      <c r="W152" s="883"/>
      <c r="X152" s="883"/>
      <c r="Y152" s="883"/>
      <c r="Z152" s="488">
        <f>SUM('TB-EQUIPMENT &amp; OTHER HPs'!$V152:$Y152)</f>
        <v>0</v>
      </c>
      <c r="AA152" s="840">
        <f>'TB-EQUIPMENT &amp; OTHER HPs'!$U152*'TB-EQUIPMENT &amp; OTHER HPs'!$Z152</f>
        <v>0</v>
      </c>
      <c r="AB152" s="865"/>
      <c r="AC152" s="883"/>
      <c r="AD152" s="883"/>
      <c r="AE152" s="883"/>
      <c r="AF152" s="883"/>
      <c r="AG152" s="488">
        <f>SUM('TB-EQUIPMENT &amp; OTHER HPs'!$AC152:$AF152)</f>
        <v>0</v>
      </c>
      <c r="AH152" s="840">
        <f>'TB-EQUIPMENT &amp; OTHER HPs'!$AB152*'TB-EQUIPMENT &amp; OTHER HPs'!$AG152</f>
        <v>0</v>
      </c>
      <c r="AI152" s="489">
        <f>'TB-EQUIPMENT &amp; OTHER HPs'!$S152+'TB-EQUIPMENT &amp; OTHER HPs'!$Z152+'TB-EQUIPMENT &amp; OTHER HPs'!$AG152</f>
        <v>0</v>
      </c>
      <c r="AJ152" s="840">
        <f>'TB-EQUIPMENT &amp; OTHER HPs'!$T152+'TB-EQUIPMENT &amp; OTHER HPs'!$AA152+'TB-EQUIPMENT &amp; OTHER HPs'!$AH152</f>
        <v>0</v>
      </c>
      <c r="AK152" s="401" t="str">
        <f>IF(A152&lt;&gt;"",IFERROR(INDEX(PMtbl[[WKst]:[Unit of measure*]],MATCH($A$132&amp;$A152&amp;$E152&amp;$I152,INDEX(PMtbl[Sec]&amp;PMtbl[Category]&amp;PMtbl[INN]&amp;PMtbl[Specification],0,),0),7),""),"")</f>
        <v/>
      </c>
      <c r="AL152" s="949"/>
      <c r="AM152" s="1430" t="str">
        <f>IFERROR(INDEX(SETUP!$C$19:$G$62,MATCH((INDEX(PMtbl[[WKst]:[Unit of measure*]],MATCH($A152&amp;$E152&amp;$I152,INDEX(PMtbl[Category]&amp;PMtbl[INN]&amp;PMtbl[Specification],0,),0),3)),SETUP!$D$19:$D$62,0),5),"")</f>
        <v/>
      </c>
      <c r="AN152" s="1430" t="str">
        <f>IFERROR(IF((INDEX(SETUP!$C$19:$G$62,MATCH((INDEX(PMtbl[[WKst]:[Unit of measure*]],MATCH($A152&amp;$E152&amp;$I152,INDEX(PMtbl[Category]&amp;PMtbl[INN]&amp;PMtbl[Specification],0,),0),3)),SETUP!$D$19:$D$62,0),4))="Upfront",0,INDEX(SETUP!$C$19:$G$62,MATCH((INDEX(PMtbl[[WKst]:[Unit of measure*]],MATCH($A152&amp;$E152&amp;$I152,INDEX(PMtbl[Category]&amp;PMtbl[INN]&amp;PMtbl[Specification],0,),0),3)),SETUP!$D$19:$D$62,0),5)),"")</f>
        <v/>
      </c>
    </row>
    <row r="153" spans="1:40" s="268" customFormat="1">
      <c r="A153" s="2725"/>
      <c r="B153" s="2435"/>
      <c r="C153" s="2435"/>
      <c r="D153" s="2435"/>
      <c r="E153" s="2725"/>
      <c r="F153" s="2435"/>
      <c r="G153" s="2435"/>
      <c r="H153" s="2435"/>
      <c r="I153" s="2727"/>
      <c r="J153" s="2728"/>
      <c r="K153" s="2729"/>
      <c r="L153" s="176" t="str">
        <f>IF(A153&lt;&gt;"",IFERROR(INDEX(PMtbl[[WKst]:[Unit of measure*]],MATCH($A$132&amp;$A153&amp;$E153&amp;$I153,INDEX(PMtbl[Sec]&amp;PMtbl[Category]&amp;PMtbl[INN]&amp;PMtbl[Specification],0,),0),8),""),"")</f>
        <v/>
      </c>
      <c r="M153" s="177" t="str">
        <f>IF(L153="", "",SETUP!$E$5)</f>
        <v/>
      </c>
      <c r="N153" s="864"/>
      <c r="O153" s="882"/>
      <c r="P153" s="882"/>
      <c r="Q153" s="882"/>
      <c r="R153" s="882"/>
      <c r="S153" s="486">
        <f>SUM('TB-EQUIPMENT &amp; OTHER HPs'!$O153:$R153)</f>
        <v>0</v>
      </c>
      <c r="T153" s="839">
        <f>'TB-EQUIPMENT &amp; OTHER HPs'!$N153*'TB-EQUIPMENT &amp; OTHER HPs'!$S153</f>
        <v>0</v>
      </c>
      <c r="U153" s="864"/>
      <c r="V153" s="882"/>
      <c r="W153" s="882"/>
      <c r="X153" s="882"/>
      <c r="Y153" s="882"/>
      <c r="Z153" s="486">
        <f>SUM('TB-EQUIPMENT &amp; OTHER HPs'!$V153:$Y153)</f>
        <v>0</v>
      </c>
      <c r="AA153" s="839">
        <f>'TB-EQUIPMENT &amp; OTHER HPs'!$U153*'TB-EQUIPMENT &amp; OTHER HPs'!$Z153</f>
        <v>0</v>
      </c>
      <c r="AB153" s="864"/>
      <c r="AC153" s="882"/>
      <c r="AD153" s="882"/>
      <c r="AE153" s="882"/>
      <c r="AF153" s="882"/>
      <c r="AG153" s="486">
        <f>SUM('TB-EQUIPMENT &amp; OTHER HPs'!$AC153:$AF153)</f>
        <v>0</v>
      </c>
      <c r="AH153" s="839">
        <f>'TB-EQUIPMENT &amp; OTHER HPs'!$AB153*'TB-EQUIPMENT &amp; OTHER HPs'!$AG153</f>
        <v>0</v>
      </c>
      <c r="AI153" s="487">
        <f>'TB-EQUIPMENT &amp; OTHER HPs'!$S153+'TB-EQUIPMENT &amp; OTHER HPs'!$Z153+'TB-EQUIPMENT &amp; OTHER HPs'!$AG153</f>
        <v>0</v>
      </c>
      <c r="AJ153" s="839">
        <f>'TB-EQUIPMENT &amp; OTHER HPs'!$T153+'TB-EQUIPMENT &amp; OTHER HPs'!$AA153+'TB-EQUIPMENT &amp; OTHER HPs'!$AH153</f>
        <v>0</v>
      </c>
      <c r="AK153" s="402" t="str">
        <f>IF(A153&lt;&gt;"",IFERROR(INDEX(PMtbl[[WKst]:[Unit of measure*]],MATCH($A$132&amp;$A153&amp;$E153&amp;$I153,INDEX(PMtbl[Sec]&amp;PMtbl[Category]&amp;PMtbl[INN]&amp;PMtbl[Specification],0,),0),7),""),"")</f>
        <v/>
      </c>
      <c r="AL153" s="950"/>
      <c r="AM153" s="1429" t="str">
        <f>IFERROR(INDEX(SETUP!$C$19:$G$62,MATCH((INDEX(PMtbl[[WKst]:[Unit of measure*]],MATCH($A153&amp;$E153&amp;$I153,INDEX(PMtbl[Category]&amp;PMtbl[INN]&amp;PMtbl[Specification],0,),0),3)),SETUP!$D$19:$D$62,0),5),"")</f>
        <v/>
      </c>
      <c r="AN153" s="1429" t="str">
        <f>IFERROR(IF((INDEX(SETUP!$C$19:$G$62,MATCH((INDEX(PMtbl[[WKst]:[Unit of measure*]],MATCH($A153&amp;$E153&amp;$I153,INDEX(PMtbl[Category]&amp;PMtbl[INN]&amp;PMtbl[Specification],0,),0),3)),SETUP!$D$19:$D$62,0),4))="Upfront",0,INDEX(SETUP!$C$19:$G$62,MATCH((INDEX(PMtbl[[WKst]:[Unit of measure*]],MATCH($A153&amp;$E153&amp;$I153,INDEX(PMtbl[Category]&amp;PMtbl[INN]&amp;PMtbl[Specification],0,),0),3)),SETUP!$D$19:$D$62,0),5)),"")</f>
        <v/>
      </c>
    </row>
    <row r="154" spans="1:40" s="268" customFormat="1">
      <c r="A154" s="2610"/>
      <c r="B154" s="2611"/>
      <c r="C154" s="2611"/>
      <c r="D154" s="2611"/>
      <c r="E154" s="2610"/>
      <c r="F154" s="2611"/>
      <c r="G154" s="2611"/>
      <c r="H154" s="2611"/>
      <c r="I154" s="2722"/>
      <c r="J154" s="2734"/>
      <c r="K154" s="2724"/>
      <c r="L154" s="175" t="str">
        <f>IF(A154&lt;&gt;"",IFERROR(INDEX(PMtbl[[WKst]:[Unit of measure*]],MATCH($A$132&amp;$A154&amp;$E154&amp;$I154,INDEX(PMtbl[Sec]&amp;PMtbl[Category]&amp;PMtbl[INN]&amp;PMtbl[Specification],0,),0),8),""),"")</f>
        <v/>
      </c>
      <c r="M154" s="175" t="str">
        <f>IF(L154="", "",SETUP!$E$5)</f>
        <v/>
      </c>
      <c r="N154" s="865"/>
      <c r="O154" s="883"/>
      <c r="P154" s="883"/>
      <c r="Q154" s="883"/>
      <c r="R154" s="883"/>
      <c r="S154" s="488">
        <f>SUM('TB-EQUIPMENT &amp; OTHER HPs'!$O154:$R154)</f>
        <v>0</v>
      </c>
      <c r="T154" s="840">
        <f>'TB-EQUIPMENT &amp; OTHER HPs'!$N154*'TB-EQUIPMENT &amp; OTHER HPs'!$S154</f>
        <v>0</v>
      </c>
      <c r="U154" s="865"/>
      <c r="V154" s="883"/>
      <c r="W154" s="883"/>
      <c r="X154" s="883"/>
      <c r="Y154" s="883"/>
      <c r="Z154" s="488">
        <f>SUM('TB-EQUIPMENT &amp; OTHER HPs'!$V154:$Y154)</f>
        <v>0</v>
      </c>
      <c r="AA154" s="840">
        <f>'TB-EQUIPMENT &amp; OTHER HPs'!$U154*'TB-EQUIPMENT &amp; OTHER HPs'!$Z154</f>
        <v>0</v>
      </c>
      <c r="AB154" s="865"/>
      <c r="AC154" s="883"/>
      <c r="AD154" s="883"/>
      <c r="AE154" s="883"/>
      <c r="AF154" s="883"/>
      <c r="AG154" s="488">
        <f>SUM('TB-EQUIPMENT &amp; OTHER HPs'!$AC154:$AF154)</f>
        <v>0</v>
      </c>
      <c r="AH154" s="840">
        <f>'TB-EQUIPMENT &amp; OTHER HPs'!$AB154*'TB-EQUIPMENT &amp; OTHER HPs'!$AG154</f>
        <v>0</v>
      </c>
      <c r="AI154" s="489">
        <f>'TB-EQUIPMENT &amp; OTHER HPs'!$S154+'TB-EQUIPMENT &amp; OTHER HPs'!$Z154+'TB-EQUIPMENT &amp; OTHER HPs'!$AG154</f>
        <v>0</v>
      </c>
      <c r="AJ154" s="840">
        <f>'TB-EQUIPMENT &amp; OTHER HPs'!$T154+'TB-EQUIPMENT &amp; OTHER HPs'!$AA154+'TB-EQUIPMENT &amp; OTHER HPs'!$AH154</f>
        <v>0</v>
      </c>
      <c r="AK154" s="401" t="str">
        <f>IF(A154&lt;&gt;"",IFERROR(INDEX(PMtbl[[WKst]:[Unit of measure*]],MATCH($A$132&amp;$A154&amp;$E154&amp;$I154,INDEX(PMtbl[Sec]&amp;PMtbl[Category]&amp;PMtbl[INN]&amp;PMtbl[Specification],0,),0),7),""),"")</f>
        <v/>
      </c>
      <c r="AL154" s="949"/>
      <c r="AM154" s="1430" t="str">
        <f>IFERROR(INDEX(SETUP!$C$19:$G$62,MATCH((INDEX(PMtbl[[WKst]:[Unit of measure*]],MATCH($A154&amp;$E154&amp;$I154,INDEX(PMtbl[Category]&amp;PMtbl[INN]&amp;PMtbl[Specification],0,),0),3)),SETUP!$D$19:$D$62,0),5),"")</f>
        <v/>
      </c>
      <c r="AN154" s="1430" t="str">
        <f>IFERROR(IF((INDEX(SETUP!$C$19:$G$62,MATCH((INDEX(PMtbl[[WKst]:[Unit of measure*]],MATCH($A154&amp;$E154&amp;$I154,INDEX(PMtbl[Category]&amp;PMtbl[INN]&amp;PMtbl[Specification],0,),0),3)),SETUP!$D$19:$D$62,0),4))="Upfront",0,INDEX(SETUP!$C$19:$G$62,MATCH((INDEX(PMtbl[[WKst]:[Unit of measure*]],MATCH($A154&amp;$E154&amp;$I154,INDEX(PMtbl[Category]&amp;PMtbl[INN]&amp;PMtbl[Specification],0,),0),3)),SETUP!$D$19:$D$62,0),5)),"")</f>
        <v/>
      </c>
    </row>
    <row r="155" spans="1:40" s="268" customFormat="1">
      <c r="A155" s="2725"/>
      <c r="B155" s="2435"/>
      <c r="C155" s="2435"/>
      <c r="D155" s="2435"/>
      <c r="E155" s="2725"/>
      <c r="F155" s="2435"/>
      <c r="G155" s="2435"/>
      <c r="H155" s="2435"/>
      <c r="I155" s="2727"/>
      <c r="J155" s="2728"/>
      <c r="K155" s="2729"/>
      <c r="L155" s="176" t="str">
        <f>IF(A155&lt;&gt;"",IFERROR(INDEX(PMtbl[[WKst]:[Unit of measure*]],MATCH($A$132&amp;$A155&amp;$E155&amp;$I155,INDEX(PMtbl[Sec]&amp;PMtbl[Category]&amp;PMtbl[INN]&amp;PMtbl[Specification],0,),0),8),""),"")</f>
        <v/>
      </c>
      <c r="M155" s="177" t="str">
        <f>IF(L155="", "",SETUP!$E$5)</f>
        <v/>
      </c>
      <c r="N155" s="864"/>
      <c r="O155" s="882"/>
      <c r="P155" s="882"/>
      <c r="Q155" s="882"/>
      <c r="R155" s="882"/>
      <c r="S155" s="486">
        <f>SUM('TB-EQUIPMENT &amp; OTHER HPs'!$O155:$R155)</f>
        <v>0</v>
      </c>
      <c r="T155" s="839">
        <f>'TB-EQUIPMENT &amp; OTHER HPs'!$N155*'TB-EQUIPMENT &amp; OTHER HPs'!$S155</f>
        <v>0</v>
      </c>
      <c r="U155" s="864"/>
      <c r="V155" s="882"/>
      <c r="W155" s="882"/>
      <c r="X155" s="882"/>
      <c r="Y155" s="882"/>
      <c r="Z155" s="486">
        <f>SUM('TB-EQUIPMENT &amp; OTHER HPs'!$V155:$Y155)</f>
        <v>0</v>
      </c>
      <c r="AA155" s="839">
        <f>'TB-EQUIPMENT &amp; OTHER HPs'!$U155*'TB-EQUIPMENT &amp; OTHER HPs'!$Z155</f>
        <v>0</v>
      </c>
      <c r="AB155" s="864"/>
      <c r="AC155" s="882"/>
      <c r="AD155" s="882"/>
      <c r="AE155" s="882"/>
      <c r="AF155" s="882"/>
      <c r="AG155" s="486">
        <f>SUM('TB-EQUIPMENT &amp; OTHER HPs'!$AC155:$AF155)</f>
        <v>0</v>
      </c>
      <c r="AH155" s="839">
        <f>'TB-EQUIPMENT &amp; OTHER HPs'!$AB155*'TB-EQUIPMENT &amp; OTHER HPs'!$AG155</f>
        <v>0</v>
      </c>
      <c r="AI155" s="487">
        <f>'TB-EQUIPMENT &amp; OTHER HPs'!$S155+'TB-EQUIPMENT &amp; OTHER HPs'!$Z155+'TB-EQUIPMENT &amp; OTHER HPs'!$AG155</f>
        <v>0</v>
      </c>
      <c r="AJ155" s="839">
        <f>'TB-EQUIPMENT &amp; OTHER HPs'!$T155+'TB-EQUIPMENT &amp; OTHER HPs'!$AA155+'TB-EQUIPMENT &amp; OTHER HPs'!$AH155</f>
        <v>0</v>
      </c>
      <c r="AK155" s="402" t="str">
        <f>IF(A155&lt;&gt;"",IFERROR(INDEX(PMtbl[[WKst]:[Unit of measure*]],MATCH($A$132&amp;$A155&amp;$E155&amp;$I155,INDEX(PMtbl[Sec]&amp;PMtbl[Category]&amp;PMtbl[INN]&amp;PMtbl[Specification],0,),0),7),""),"")</f>
        <v/>
      </c>
      <c r="AL155" s="950"/>
      <c r="AM155" s="1429" t="str">
        <f>IFERROR(INDEX(SETUP!$C$19:$G$62,MATCH((INDEX(PMtbl[[WKst]:[Unit of measure*]],MATCH($A155&amp;$E155&amp;$I155,INDEX(PMtbl[Category]&amp;PMtbl[INN]&amp;PMtbl[Specification],0,),0),3)),SETUP!$D$19:$D$62,0),5),"")</f>
        <v/>
      </c>
      <c r="AN155" s="1429" t="str">
        <f>IFERROR(IF((INDEX(SETUP!$C$19:$G$62,MATCH((INDEX(PMtbl[[WKst]:[Unit of measure*]],MATCH($A155&amp;$E155&amp;$I155,INDEX(PMtbl[Category]&amp;PMtbl[INN]&amp;PMtbl[Specification],0,),0),3)),SETUP!$D$19:$D$62,0),4))="Upfront",0,INDEX(SETUP!$C$19:$G$62,MATCH((INDEX(PMtbl[[WKst]:[Unit of measure*]],MATCH($A155&amp;$E155&amp;$I155,INDEX(PMtbl[Category]&amp;PMtbl[INN]&amp;PMtbl[Specification],0,),0),3)),SETUP!$D$19:$D$62,0),5)),"")</f>
        <v/>
      </c>
    </row>
    <row r="156" spans="1:40" s="268" customFormat="1">
      <c r="A156" s="2610"/>
      <c r="B156" s="2611"/>
      <c r="C156" s="2611"/>
      <c r="D156" s="2611"/>
      <c r="E156" s="2610"/>
      <c r="F156" s="2611"/>
      <c r="G156" s="2611"/>
      <c r="H156" s="2611"/>
      <c r="I156" s="2722"/>
      <c r="J156" s="2734"/>
      <c r="K156" s="2724"/>
      <c r="L156" s="175" t="str">
        <f>IF(A156&lt;&gt;"",IFERROR(INDEX(PMtbl[[WKst]:[Unit of measure*]],MATCH($A$132&amp;$A156&amp;$E156&amp;$I156,INDEX(PMtbl[Sec]&amp;PMtbl[Category]&amp;PMtbl[INN]&amp;PMtbl[Specification],0,),0),8),""),"")</f>
        <v/>
      </c>
      <c r="M156" s="175" t="str">
        <f>IF(L156="", "",SETUP!$E$5)</f>
        <v/>
      </c>
      <c r="N156" s="865"/>
      <c r="O156" s="883"/>
      <c r="P156" s="883"/>
      <c r="Q156" s="883"/>
      <c r="R156" s="883"/>
      <c r="S156" s="488">
        <f>SUM('TB-EQUIPMENT &amp; OTHER HPs'!$O156:$R156)</f>
        <v>0</v>
      </c>
      <c r="T156" s="840">
        <f>'TB-EQUIPMENT &amp; OTHER HPs'!$N156*'TB-EQUIPMENT &amp; OTHER HPs'!$S156</f>
        <v>0</v>
      </c>
      <c r="U156" s="865"/>
      <c r="V156" s="883"/>
      <c r="W156" s="883"/>
      <c r="X156" s="883"/>
      <c r="Y156" s="883"/>
      <c r="Z156" s="488">
        <f>SUM('TB-EQUIPMENT &amp; OTHER HPs'!$V156:$Y156)</f>
        <v>0</v>
      </c>
      <c r="AA156" s="840">
        <f>'TB-EQUIPMENT &amp; OTHER HPs'!$U156*'TB-EQUIPMENT &amp; OTHER HPs'!$Z156</f>
        <v>0</v>
      </c>
      <c r="AB156" s="865"/>
      <c r="AC156" s="883"/>
      <c r="AD156" s="883"/>
      <c r="AE156" s="883"/>
      <c r="AF156" s="883"/>
      <c r="AG156" s="488">
        <f>SUM('TB-EQUIPMENT &amp; OTHER HPs'!$AC156:$AF156)</f>
        <v>0</v>
      </c>
      <c r="AH156" s="840">
        <f>'TB-EQUIPMENT &amp; OTHER HPs'!$AB156*'TB-EQUIPMENT &amp; OTHER HPs'!$AG156</f>
        <v>0</v>
      </c>
      <c r="AI156" s="489">
        <f>'TB-EQUIPMENT &amp; OTHER HPs'!$S156+'TB-EQUIPMENT &amp; OTHER HPs'!$Z156+'TB-EQUIPMENT &amp; OTHER HPs'!$AG156</f>
        <v>0</v>
      </c>
      <c r="AJ156" s="840">
        <f>'TB-EQUIPMENT &amp; OTHER HPs'!$T156+'TB-EQUIPMENT &amp; OTHER HPs'!$AA156+'TB-EQUIPMENT &amp; OTHER HPs'!$AH156</f>
        <v>0</v>
      </c>
      <c r="AK156" s="401" t="str">
        <f>IF(A156&lt;&gt;"",IFERROR(INDEX(PMtbl[[WKst]:[Unit of measure*]],MATCH($A$132&amp;$A156&amp;$E156&amp;$I156,INDEX(PMtbl[Sec]&amp;PMtbl[Category]&amp;PMtbl[INN]&amp;PMtbl[Specification],0,),0),7),""),"")</f>
        <v/>
      </c>
      <c r="AL156" s="949"/>
      <c r="AM156" s="1430" t="str">
        <f>IFERROR(INDEX(SETUP!$C$19:$G$62,MATCH((INDEX(PMtbl[[WKst]:[Unit of measure*]],MATCH($A156&amp;$E156&amp;$I156,INDEX(PMtbl[Category]&amp;PMtbl[INN]&amp;PMtbl[Specification],0,),0),3)),SETUP!$D$19:$D$62,0),5),"")</f>
        <v/>
      </c>
      <c r="AN156" s="1430" t="str">
        <f>IFERROR(IF((INDEX(SETUP!$C$19:$G$62,MATCH((INDEX(PMtbl[[WKst]:[Unit of measure*]],MATCH($A156&amp;$E156&amp;$I156,INDEX(PMtbl[Category]&amp;PMtbl[INN]&amp;PMtbl[Specification],0,),0),3)),SETUP!$D$19:$D$62,0),4))="Upfront",0,INDEX(SETUP!$C$19:$G$62,MATCH((INDEX(PMtbl[[WKst]:[Unit of measure*]],MATCH($A156&amp;$E156&amp;$I156,INDEX(PMtbl[Category]&amp;PMtbl[INN]&amp;PMtbl[Specification],0,),0),3)),SETUP!$D$19:$D$62,0),5)),"")</f>
        <v/>
      </c>
    </row>
    <row r="157" spans="1:40" s="268" customFormat="1">
      <c r="A157" s="2725"/>
      <c r="B157" s="2435"/>
      <c r="C157" s="2435"/>
      <c r="D157" s="2435"/>
      <c r="E157" s="2725"/>
      <c r="F157" s="2435"/>
      <c r="G157" s="2435"/>
      <c r="H157" s="2435"/>
      <c r="I157" s="2727"/>
      <c r="J157" s="2728"/>
      <c r="K157" s="2729"/>
      <c r="L157" s="176" t="str">
        <f>IF(A157&lt;&gt;"",IFERROR(INDEX(PMtbl[[WKst]:[Unit of measure*]],MATCH($A$132&amp;$A157&amp;$E157&amp;$I157,INDEX(PMtbl[Sec]&amp;PMtbl[Category]&amp;PMtbl[INN]&amp;PMtbl[Specification],0,),0),8),""),"")</f>
        <v/>
      </c>
      <c r="M157" s="177" t="str">
        <f>IF(L157="", "",SETUP!$E$5)</f>
        <v/>
      </c>
      <c r="N157" s="864"/>
      <c r="O157" s="882"/>
      <c r="P157" s="882"/>
      <c r="Q157" s="882"/>
      <c r="R157" s="882"/>
      <c r="S157" s="486">
        <f>SUM('TB-EQUIPMENT &amp; OTHER HPs'!$O157:$R157)</f>
        <v>0</v>
      </c>
      <c r="T157" s="839">
        <f>'TB-EQUIPMENT &amp; OTHER HPs'!$N157*'TB-EQUIPMENT &amp; OTHER HPs'!$S157</f>
        <v>0</v>
      </c>
      <c r="U157" s="864"/>
      <c r="V157" s="882"/>
      <c r="W157" s="882"/>
      <c r="X157" s="882"/>
      <c r="Y157" s="882"/>
      <c r="Z157" s="486">
        <f>SUM('TB-EQUIPMENT &amp; OTHER HPs'!$V157:$Y157)</f>
        <v>0</v>
      </c>
      <c r="AA157" s="839">
        <f>'TB-EQUIPMENT &amp; OTHER HPs'!$U157*'TB-EQUIPMENT &amp; OTHER HPs'!$Z157</f>
        <v>0</v>
      </c>
      <c r="AB157" s="864"/>
      <c r="AC157" s="882"/>
      <c r="AD157" s="882"/>
      <c r="AE157" s="882"/>
      <c r="AF157" s="882"/>
      <c r="AG157" s="486">
        <f>SUM('TB-EQUIPMENT &amp; OTHER HPs'!$AC157:$AF157)</f>
        <v>0</v>
      </c>
      <c r="AH157" s="839">
        <f>'TB-EQUIPMENT &amp; OTHER HPs'!$AB157*'TB-EQUIPMENT &amp; OTHER HPs'!$AG157</f>
        <v>0</v>
      </c>
      <c r="AI157" s="487">
        <f>'TB-EQUIPMENT &amp; OTHER HPs'!$S157+'TB-EQUIPMENT &amp; OTHER HPs'!$Z157+'TB-EQUIPMENT &amp; OTHER HPs'!$AG157</f>
        <v>0</v>
      </c>
      <c r="AJ157" s="839">
        <f>'TB-EQUIPMENT &amp; OTHER HPs'!$T157+'TB-EQUIPMENT &amp; OTHER HPs'!$AA157+'TB-EQUIPMENT &amp; OTHER HPs'!$AH157</f>
        <v>0</v>
      </c>
      <c r="AK157" s="402" t="str">
        <f>IF(A157&lt;&gt;"",IFERROR(INDEX(PMtbl[[WKst]:[Unit of measure*]],MATCH($A$132&amp;$A157&amp;$E157&amp;$I157,INDEX(PMtbl[Sec]&amp;PMtbl[Category]&amp;PMtbl[INN]&amp;PMtbl[Specification],0,),0),7),""),"")</f>
        <v/>
      </c>
      <c r="AL157" s="950"/>
      <c r="AM157" s="1429" t="str">
        <f>IFERROR(INDEX(SETUP!$C$19:$G$62,MATCH((INDEX(PMtbl[[WKst]:[Unit of measure*]],MATCH($A157&amp;$E157&amp;$I157,INDEX(PMtbl[Category]&amp;PMtbl[INN]&amp;PMtbl[Specification],0,),0),3)),SETUP!$D$19:$D$62,0),5),"")</f>
        <v/>
      </c>
      <c r="AN157" s="1429" t="str">
        <f>IFERROR(IF((INDEX(SETUP!$C$19:$G$62,MATCH((INDEX(PMtbl[[WKst]:[Unit of measure*]],MATCH($A157&amp;$E157&amp;$I157,INDEX(PMtbl[Category]&amp;PMtbl[INN]&amp;PMtbl[Specification],0,),0),3)),SETUP!$D$19:$D$62,0),4))="Upfront",0,INDEX(SETUP!$C$19:$G$62,MATCH((INDEX(PMtbl[[WKst]:[Unit of measure*]],MATCH($A157&amp;$E157&amp;$I157,INDEX(PMtbl[Category]&amp;PMtbl[INN]&amp;PMtbl[Specification],0,),0),3)),SETUP!$D$19:$D$62,0),5)),"")</f>
        <v/>
      </c>
    </row>
    <row r="158" spans="1:40" s="268" customFormat="1">
      <c r="A158" s="2610"/>
      <c r="B158" s="2611"/>
      <c r="C158" s="2611"/>
      <c r="D158" s="2611"/>
      <c r="E158" s="2610"/>
      <c r="F158" s="2611"/>
      <c r="G158" s="2611"/>
      <c r="H158" s="2611"/>
      <c r="I158" s="2722"/>
      <c r="J158" s="2734"/>
      <c r="K158" s="2724"/>
      <c r="L158" s="175" t="str">
        <f>IF(A158&lt;&gt;"",IFERROR(INDEX(PMtbl[[WKst]:[Unit of measure*]],MATCH($A$132&amp;$A158&amp;$E158&amp;$I158,INDEX(PMtbl[Sec]&amp;PMtbl[Category]&amp;PMtbl[INN]&amp;PMtbl[Specification],0,),0),8),""),"")</f>
        <v/>
      </c>
      <c r="M158" s="175" t="str">
        <f>IF(L158="", "",SETUP!$E$5)</f>
        <v/>
      </c>
      <c r="N158" s="865"/>
      <c r="O158" s="883"/>
      <c r="P158" s="883"/>
      <c r="Q158" s="883"/>
      <c r="R158" s="883"/>
      <c r="S158" s="488">
        <f>SUM('TB-EQUIPMENT &amp; OTHER HPs'!$O158:$R158)</f>
        <v>0</v>
      </c>
      <c r="T158" s="840">
        <f>'TB-EQUIPMENT &amp; OTHER HPs'!$N158*'TB-EQUIPMENT &amp; OTHER HPs'!$S158</f>
        <v>0</v>
      </c>
      <c r="U158" s="865"/>
      <c r="V158" s="883"/>
      <c r="W158" s="883"/>
      <c r="X158" s="883"/>
      <c r="Y158" s="883"/>
      <c r="Z158" s="488">
        <f>SUM('TB-EQUIPMENT &amp; OTHER HPs'!$V158:$Y158)</f>
        <v>0</v>
      </c>
      <c r="AA158" s="840">
        <f>'TB-EQUIPMENT &amp; OTHER HPs'!$U158*'TB-EQUIPMENT &amp; OTHER HPs'!$Z158</f>
        <v>0</v>
      </c>
      <c r="AB158" s="865"/>
      <c r="AC158" s="883"/>
      <c r="AD158" s="883"/>
      <c r="AE158" s="883"/>
      <c r="AF158" s="883"/>
      <c r="AG158" s="488">
        <f>SUM('TB-EQUIPMENT &amp; OTHER HPs'!$AC158:$AF158)</f>
        <v>0</v>
      </c>
      <c r="AH158" s="840">
        <f>'TB-EQUIPMENT &amp; OTHER HPs'!$AB158*'TB-EQUIPMENT &amp; OTHER HPs'!$AG158</f>
        <v>0</v>
      </c>
      <c r="AI158" s="489">
        <f>'TB-EQUIPMENT &amp; OTHER HPs'!$S158+'TB-EQUIPMENT &amp; OTHER HPs'!$Z158+'TB-EQUIPMENT &amp; OTHER HPs'!$AG158</f>
        <v>0</v>
      </c>
      <c r="AJ158" s="840">
        <f>'TB-EQUIPMENT &amp; OTHER HPs'!$T158+'TB-EQUIPMENT &amp; OTHER HPs'!$AA158+'TB-EQUIPMENT &amp; OTHER HPs'!$AH158</f>
        <v>0</v>
      </c>
      <c r="AK158" s="401" t="str">
        <f>IF(A158&lt;&gt;"",IFERROR(INDEX(PMtbl[[WKst]:[Unit of measure*]],MATCH($A$132&amp;$A158&amp;$E158&amp;$I158,INDEX(PMtbl[Sec]&amp;PMtbl[Category]&amp;PMtbl[INN]&amp;PMtbl[Specification],0,),0),7),""),"")</f>
        <v/>
      </c>
      <c r="AL158" s="949"/>
      <c r="AM158" s="1430" t="str">
        <f>IFERROR(INDEX(SETUP!$C$19:$G$62,MATCH((INDEX(PMtbl[[WKst]:[Unit of measure*]],MATCH($A158&amp;$E158&amp;$I158,INDEX(PMtbl[Category]&amp;PMtbl[INN]&amp;PMtbl[Specification],0,),0),3)),SETUP!$D$19:$D$62,0),5),"")</f>
        <v/>
      </c>
      <c r="AN158" s="1430" t="str">
        <f>IFERROR(IF((INDEX(SETUP!$C$19:$G$62,MATCH((INDEX(PMtbl[[WKst]:[Unit of measure*]],MATCH($A158&amp;$E158&amp;$I158,INDEX(PMtbl[Category]&amp;PMtbl[INN]&amp;PMtbl[Specification],0,),0),3)),SETUP!$D$19:$D$62,0),4))="Upfront",0,INDEX(SETUP!$C$19:$G$62,MATCH((INDEX(PMtbl[[WKst]:[Unit of measure*]],MATCH($A158&amp;$E158&amp;$I158,INDEX(PMtbl[Category]&amp;PMtbl[INN]&amp;PMtbl[Specification],0,),0),3)),SETUP!$D$19:$D$62,0),5)),"")</f>
        <v/>
      </c>
    </row>
    <row r="159" spans="1:40" s="268" customFormat="1">
      <c r="A159" s="2725"/>
      <c r="B159" s="2435"/>
      <c r="C159" s="2435"/>
      <c r="D159" s="2435"/>
      <c r="E159" s="2725"/>
      <c r="F159" s="2435"/>
      <c r="G159" s="2435"/>
      <c r="H159" s="2435"/>
      <c r="I159" s="2727"/>
      <c r="J159" s="2728"/>
      <c r="K159" s="2729"/>
      <c r="L159" s="176" t="str">
        <f>IF(A159&lt;&gt;"",IFERROR(INDEX(PMtbl[[WKst]:[Unit of measure*]],MATCH($A$132&amp;$A159&amp;$E159&amp;$I159,INDEX(PMtbl[Sec]&amp;PMtbl[Category]&amp;PMtbl[INN]&amp;PMtbl[Specification],0,),0),8),""),"")</f>
        <v/>
      </c>
      <c r="M159" s="177" t="str">
        <f>IF(L159="", "",SETUP!$E$5)</f>
        <v/>
      </c>
      <c r="N159" s="864"/>
      <c r="O159" s="882"/>
      <c r="P159" s="882"/>
      <c r="Q159" s="882"/>
      <c r="R159" s="882"/>
      <c r="S159" s="486">
        <f>SUM('TB-EQUIPMENT &amp; OTHER HPs'!$O159:$R159)</f>
        <v>0</v>
      </c>
      <c r="T159" s="839">
        <f>'TB-EQUIPMENT &amp; OTHER HPs'!$N159*'TB-EQUIPMENT &amp; OTHER HPs'!$S159</f>
        <v>0</v>
      </c>
      <c r="U159" s="864"/>
      <c r="V159" s="882"/>
      <c r="W159" s="882"/>
      <c r="X159" s="882"/>
      <c r="Y159" s="882"/>
      <c r="Z159" s="486">
        <f>SUM('TB-EQUIPMENT &amp; OTHER HPs'!$V159:$Y159)</f>
        <v>0</v>
      </c>
      <c r="AA159" s="839">
        <f>'TB-EQUIPMENT &amp; OTHER HPs'!$U159*'TB-EQUIPMENT &amp; OTHER HPs'!$Z159</f>
        <v>0</v>
      </c>
      <c r="AB159" s="864"/>
      <c r="AC159" s="882"/>
      <c r="AD159" s="882"/>
      <c r="AE159" s="882"/>
      <c r="AF159" s="882"/>
      <c r="AG159" s="486">
        <f>SUM('TB-EQUIPMENT &amp; OTHER HPs'!$AC159:$AF159)</f>
        <v>0</v>
      </c>
      <c r="AH159" s="839">
        <f>'TB-EQUIPMENT &amp; OTHER HPs'!$AB159*'TB-EQUIPMENT &amp; OTHER HPs'!$AG159</f>
        <v>0</v>
      </c>
      <c r="AI159" s="487">
        <f>'TB-EQUIPMENT &amp; OTHER HPs'!$S159+'TB-EQUIPMENT &amp; OTHER HPs'!$Z159+'TB-EQUIPMENT &amp; OTHER HPs'!$AG159</f>
        <v>0</v>
      </c>
      <c r="AJ159" s="839">
        <f>'TB-EQUIPMENT &amp; OTHER HPs'!$T159+'TB-EQUIPMENT &amp; OTHER HPs'!$AA159+'TB-EQUIPMENT &amp; OTHER HPs'!$AH159</f>
        <v>0</v>
      </c>
      <c r="AK159" s="402" t="str">
        <f>IF(A159&lt;&gt;"",IFERROR(INDEX(PMtbl[[WKst]:[Unit of measure*]],MATCH($A$132&amp;$A159&amp;$E159&amp;$I159,INDEX(PMtbl[Sec]&amp;PMtbl[Category]&amp;PMtbl[INN]&amp;PMtbl[Specification],0,),0),7),""),"")</f>
        <v/>
      </c>
      <c r="AL159" s="950"/>
      <c r="AM159" s="1429" t="str">
        <f>IFERROR(INDEX(SETUP!$C$19:$G$62,MATCH((INDEX(PMtbl[[WKst]:[Unit of measure*]],MATCH($A159&amp;$E159&amp;$I159,INDEX(PMtbl[Category]&amp;PMtbl[INN]&amp;PMtbl[Specification],0,),0),3)),SETUP!$D$19:$D$62,0),5),"")</f>
        <v/>
      </c>
      <c r="AN159" s="1429" t="str">
        <f>IFERROR(IF((INDEX(SETUP!$C$19:$G$62,MATCH((INDEX(PMtbl[[WKst]:[Unit of measure*]],MATCH($A159&amp;$E159&amp;$I159,INDEX(PMtbl[Category]&amp;PMtbl[INN]&amp;PMtbl[Specification],0,),0),3)),SETUP!$D$19:$D$62,0),4))="Upfront",0,INDEX(SETUP!$C$19:$G$62,MATCH((INDEX(PMtbl[[WKst]:[Unit of measure*]],MATCH($A159&amp;$E159&amp;$I159,INDEX(PMtbl[Category]&amp;PMtbl[INN]&amp;PMtbl[Specification],0,),0),3)),SETUP!$D$19:$D$62,0),5)),"")</f>
        <v/>
      </c>
    </row>
    <row r="160" spans="1:40" s="268" customFormat="1">
      <c r="A160" s="2610"/>
      <c r="B160" s="2611"/>
      <c r="C160" s="2611"/>
      <c r="D160" s="2611"/>
      <c r="E160" s="2610"/>
      <c r="F160" s="2611"/>
      <c r="G160" s="2611"/>
      <c r="H160" s="2611"/>
      <c r="I160" s="2722"/>
      <c r="J160" s="2734"/>
      <c r="K160" s="2724"/>
      <c r="L160" s="175" t="str">
        <f>IF(A160&lt;&gt;"",IFERROR(INDEX(PMtbl[[WKst]:[Unit of measure*]],MATCH($A$132&amp;$A160&amp;$E160&amp;$I160,INDEX(PMtbl[Sec]&amp;PMtbl[Category]&amp;PMtbl[INN]&amp;PMtbl[Specification],0,),0),8),""),"")</f>
        <v/>
      </c>
      <c r="M160" s="175" t="str">
        <f>IF(L160="", "",SETUP!$E$5)</f>
        <v/>
      </c>
      <c r="N160" s="865"/>
      <c r="O160" s="883"/>
      <c r="P160" s="883"/>
      <c r="Q160" s="883"/>
      <c r="R160" s="883"/>
      <c r="S160" s="488">
        <f>SUM('TB-EQUIPMENT &amp; OTHER HPs'!$O160:$R160)</f>
        <v>0</v>
      </c>
      <c r="T160" s="840">
        <f>'TB-EQUIPMENT &amp; OTHER HPs'!$N160*'TB-EQUIPMENT &amp; OTHER HPs'!$S160</f>
        <v>0</v>
      </c>
      <c r="U160" s="865"/>
      <c r="V160" s="883"/>
      <c r="W160" s="883"/>
      <c r="X160" s="883"/>
      <c r="Y160" s="883"/>
      <c r="Z160" s="488">
        <f>SUM('TB-EQUIPMENT &amp; OTHER HPs'!$V160:$Y160)</f>
        <v>0</v>
      </c>
      <c r="AA160" s="840">
        <f>'TB-EQUIPMENT &amp; OTHER HPs'!$U160*'TB-EQUIPMENT &amp; OTHER HPs'!$Z160</f>
        <v>0</v>
      </c>
      <c r="AB160" s="865"/>
      <c r="AC160" s="883"/>
      <c r="AD160" s="883"/>
      <c r="AE160" s="883"/>
      <c r="AF160" s="883"/>
      <c r="AG160" s="488">
        <f>SUM('TB-EQUIPMENT &amp; OTHER HPs'!$AC160:$AF160)</f>
        <v>0</v>
      </c>
      <c r="AH160" s="840">
        <f>'TB-EQUIPMENT &amp; OTHER HPs'!$AB160*'TB-EQUIPMENT &amp; OTHER HPs'!$AG160</f>
        <v>0</v>
      </c>
      <c r="AI160" s="489">
        <f>'TB-EQUIPMENT &amp; OTHER HPs'!$S160+'TB-EQUIPMENT &amp; OTHER HPs'!$Z160+'TB-EQUIPMENT &amp; OTHER HPs'!$AG160</f>
        <v>0</v>
      </c>
      <c r="AJ160" s="840">
        <f>'TB-EQUIPMENT &amp; OTHER HPs'!$T160+'TB-EQUIPMENT &amp; OTHER HPs'!$AA160+'TB-EQUIPMENT &amp; OTHER HPs'!$AH160</f>
        <v>0</v>
      </c>
      <c r="AK160" s="401" t="str">
        <f>IF(A160&lt;&gt;"",IFERROR(INDEX(PMtbl[[WKst]:[Unit of measure*]],MATCH($A$132&amp;$A160&amp;$E160&amp;$I160,INDEX(PMtbl[Sec]&amp;PMtbl[Category]&amp;PMtbl[INN]&amp;PMtbl[Specification],0,),0),7),""),"")</f>
        <v/>
      </c>
      <c r="AL160" s="949"/>
      <c r="AM160" s="1430" t="str">
        <f>IFERROR(INDEX(SETUP!$C$19:$G$62,MATCH((INDEX(PMtbl[[WKst]:[Unit of measure*]],MATCH($A160&amp;$E160&amp;$I160,INDEX(PMtbl[Category]&amp;PMtbl[INN]&amp;PMtbl[Specification],0,),0),3)),SETUP!$D$19:$D$62,0),5),"")</f>
        <v/>
      </c>
      <c r="AN160" s="1430" t="str">
        <f>IFERROR(IF((INDEX(SETUP!$C$19:$G$62,MATCH((INDEX(PMtbl[[WKst]:[Unit of measure*]],MATCH($A160&amp;$E160&amp;$I160,INDEX(PMtbl[Category]&amp;PMtbl[INN]&amp;PMtbl[Specification],0,),0),3)),SETUP!$D$19:$D$62,0),4))="Upfront",0,INDEX(SETUP!$C$19:$G$62,MATCH((INDEX(PMtbl[[WKst]:[Unit of measure*]],MATCH($A160&amp;$E160&amp;$I160,INDEX(PMtbl[Category]&amp;PMtbl[INN]&amp;PMtbl[Specification],0,),0),3)),SETUP!$D$19:$D$62,0),5)),"")</f>
        <v/>
      </c>
    </row>
    <row r="161" spans="1:62" s="268" customFormat="1">
      <c r="A161" s="2725"/>
      <c r="B161" s="2435"/>
      <c r="C161" s="2435"/>
      <c r="D161" s="2435"/>
      <c r="E161" s="2725"/>
      <c r="F161" s="2435"/>
      <c r="G161" s="2435"/>
      <c r="H161" s="2435"/>
      <c r="I161" s="2727"/>
      <c r="J161" s="2728"/>
      <c r="K161" s="2729"/>
      <c r="L161" s="176" t="str">
        <f>IF(A161&lt;&gt;"",IFERROR(INDEX(PMtbl[[WKst]:[Unit of measure*]],MATCH($A$132&amp;$A161&amp;$E161&amp;$I161,INDEX(PMtbl[Sec]&amp;PMtbl[Category]&amp;PMtbl[INN]&amp;PMtbl[Specification],0,),0),8),""),"")</f>
        <v/>
      </c>
      <c r="M161" s="177" t="str">
        <f>IF(L161="", "",SETUP!$E$5)</f>
        <v/>
      </c>
      <c r="N161" s="864"/>
      <c r="O161" s="882"/>
      <c r="P161" s="882"/>
      <c r="Q161" s="882"/>
      <c r="R161" s="882"/>
      <c r="S161" s="486">
        <f>SUM('TB-EQUIPMENT &amp; OTHER HPs'!$O161:$R161)</f>
        <v>0</v>
      </c>
      <c r="T161" s="839">
        <f>'TB-EQUIPMENT &amp; OTHER HPs'!$N161*'TB-EQUIPMENT &amp; OTHER HPs'!$S161</f>
        <v>0</v>
      </c>
      <c r="U161" s="864"/>
      <c r="V161" s="882"/>
      <c r="W161" s="882"/>
      <c r="X161" s="882"/>
      <c r="Y161" s="882"/>
      <c r="Z161" s="486">
        <f>SUM('TB-EQUIPMENT &amp; OTHER HPs'!$V161:$Y161)</f>
        <v>0</v>
      </c>
      <c r="AA161" s="839">
        <f>'TB-EQUIPMENT &amp; OTHER HPs'!$U161*'TB-EQUIPMENT &amp; OTHER HPs'!$Z161</f>
        <v>0</v>
      </c>
      <c r="AB161" s="864"/>
      <c r="AC161" s="882"/>
      <c r="AD161" s="882"/>
      <c r="AE161" s="882"/>
      <c r="AF161" s="882"/>
      <c r="AG161" s="486">
        <f>SUM('TB-EQUIPMENT &amp; OTHER HPs'!$AC161:$AF161)</f>
        <v>0</v>
      </c>
      <c r="AH161" s="839">
        <f>'TB-EQUIPMENT &amp; OTHER HPs'!$AB161*'TB-EQUIPMENT &amp; OTHER HPs'!$AG161</f>
        <v>0</v>
      </c>
      <c r="AI161" s="487">
        <f>'TB-EQUIPMENT &amp; OTHER HPs'!$S161+'TB-EQUIPMENT &amp; OTHER HPs'!$Z161+'TB-EQUIPMENT &amp; OTHER HPs'!$AG161</f>
        <v>0</v>
      </c>
      <c r="AJ161" s="839">
        <f>'TB-EQUIPMENT &amp; OTHER HPs'!$T161+'TB-EQUIPMENT &amp; OTHER HPs'!$AA161+'TB-EQUIPMENT &amp; OTHER HPs'!$AH161</f>
        <v>0</v>
      </c>
      <c r="AK161" s="402" t="str">
        <f>IF(A161&lt;&gt;"",IFERROR(INDEX(PMtbl[[WKst]:[Unit of measure*]],MATCH($A$132&amp;$A161&amp;$E161&amp;$I161,INDEX(PMtbl[Sec]&amp;PMtbl[Category]&amp;PMtbl[INN]&amp;PMtbl[Specification],0,),0),7),""),"")</f>
        <v/>
      </c>
      <c r="AL161" s="950"/>
      <c r="AM161" s="1429" t="str">
        <f>IFERROR(INDEX(SETUP!$C$19:$G$62,MATCH((INDEX(PMtbl[[WKst]:[Unit of measure*]],MATCH($A161&amp;$E161&amp;$I161,INDEX(PMtbl[Category]&amp;PMtbl[INN]&amp;PMtbl[Specification],0,),0),3)),SETUP!$D$19:$D$62,0),5),"")</f>
        <v/>
      </c>
      <c r="AN161" s="1429" t="str">
        <f>IFERROR(IF((INDEX(SETUP!$C$19:$G$62,MATCH((INDEX(PMtbl[[WKst]:[Unit of measure*]],MATCH($A161&amp;$E161&amp;$I161,INDEX(PMtbl[Category]&amp;PMtbl[INN]&amp;PMtbl[Specification],0,),0),3)),SETUP!$D$19:$D$62,0),4))="Upfront",0,INDEX(SETUP!$C$19:$G$62,MATCH((INDEX(PMtbl[[WKst]:[Unit of measure*]],MATCH($A161&amp;$E161&amp;$I161,INDEX(PMtbl[Category]&amp;PMtbl[INN]&amp;PMtbl[Specification],0,),0),3)),SETUP!$D$19:$D$62,0),5)),"")</f>
        <v/>
      </c>
    </row>
    <row r="162" spans="1:62" s="326" customFormat="1">
      <c r="A162" s="2610"/>
      <c r="B162" s="2611"/>
      <c r="C162" s="2611"/>
      <c r="D162" s="2611"/>
      <c r="E162" s="2610"/>
      <c r="F162" s="2611"/>
      <c r="G162" s="2611"/>
      <c r="H162" s="2611"/>
      <c r="I162" s="2722"/>
      <c r="J162" s="2734"/>
      <c r="K162" s="2724"/>
      <c r="L162" s="175" t="str">
        <f>IF(A162&lt;&gt;"",IFERROR(INDEX(PMtbl[[WKst]:[Unit of measure*]],MATCH($A$132&amp;$A162&amp;$E162&amp;$I162,INDEX(PMtbl[Sec]&amp;PMtbl[Category]&amp;PMtbl[INN]&amp;PMtbl[Specification],0,),0),8),""),"")</f>
        <v/>
      </c>
      <c r="M162" s="175" t="str">
        <f>IF(L162="", "",SETUP!$E$5)</f>
        <v/>
      </c>
      <c r="N162" s="857"/>
      <c r="O162" s="873"/>
      <c r="P162" s="873"/>
      <c r="Q162" s="873"/>
      <c r="R162" s="873"/>
      <c r="S162" s="469">
        <f>SUM('TB-EQUIPMENT &amp; OTHER HPs'!$O162:$R162)</f>
        <v>0</v>
      </c>
      <c r="T162" s="833">
        <f>'TB-EQUIPMENT &amp; OTHER HPs'!$N162*'TB-EQUIPMENT &amp; OTHER HPs'!$S162</f>
        <v>0</v>
      </c>
      <c r="U162" s="857"/>
      <c r="V162" s="873"/>
      <c r="W162" s="873"/>
      <c r="X162" s="873"/>
      <c r="Y162" s="873"/>
      <c r="Z162" s="469">
        <f>SUM('TB-EQUIPMENT &amp; OTHER HPs'!$V162:$Y162)</f>
        <v>0</v>
      </c>
      <c r="AA162" s="833">
        <f>'TB-EQUIPMENT &amp; OTHER HPs'!$U162*'TB-EQUIPMENT &amp; OTHER HPs'!$Z162</f>
        <v>0</v>
      </c>
      <c r="AB162" s="857"/>
      <c r="AC162" s="873"/>
      <c r="AD162" s="873"/>
      <c r="AE162" s="873"/>
      <c r="AF162" s="873"/>
      <c r="AG162" s="469">
        <f>SUM('TB-EQUIPMENT &amp; OTHER HPs'!$AC162:$AF162)</f>
        <v>0</v>
      </c>
      <c r="AH162" s="833">
        <f>'TB-EQUIPMENT &amp; OTHER HPs'!$AB162*'TB-EQUIPMENT &amp; OTHER HPs'!$AG162</f>
        <v>0</v>
      </c>
      <c r="AI162" s="470">
        <f>'TB-EQUIPMENT &amp; OTHER HPs'!$S162+'TB-EQUIPMENT &amp; OTHER HPs'!$Z162+'TB-EQUIPMENT &amp; OTHER HPs'!$AG162</f>
        <v>0</v>
      </c>
      <c r="AJ162" s="833">
        <f>'TB-EQUIPMENT &amp; OTHER HPs'!$T162+'TB-EQUIPMENT &amp; OTHER HPs'!$AA162+'TB-EQUIPMENT &amp; OTHER HPs'!$AH162</f>
        <v>0</v>
      </c>
      <c r="AK162" s="400" t="str">
        <f>IF(A162&lt;&gt;"",IFERROR(INDEX(PMtbl[[WKst]:[Unit of measure*]],MATCH($A$132&amp;$A162&amp;$E162&amp;$I162,INDEX(PMtbl[Sec]&amp;PMtbl[Category]&amp;PMtbl[INN]&amp;PMtbl[Specification],0,),0),7),""),"")</f>
        <v/>
      </c>
      <c r="AL162" s="946"/>
      <c r="AM162" s="1427" t="str">
        <f>IFERROR(INDEX(SETUP!$C$19:$G$62,MATCH((INDEX(PMtbl[[WKst]:[Unit of measure*]],MATCH($A162&amp;$E162&amp;$I162,INDEX(PMtbl[Category]&amp;PMtbl[INN]&amp;PMtbl[Specification],0,),0),3)),SETUP!$D$19:$D$62,0),5),"")</f>
        <v/>
      </c>
      <c r="AN162" s="1427" t="str">
        <f>IFERROR(IF((INDEX(SETUP!$C$19:$G$62,MATCH((INDEX(PMtbl[[WKst]:[Unit of measure*]],MATCH($A162&amp;$E162&amp;$I162,INDEX(PMtbl[Category]&amp;PMtbl[INN]&amp;PMtbl[Specification],0,),0),3)),SETUP!$D$19:$D$62,0),4))="Upfront",0,INDEX(SETUP!$C$19:$G$62,MATCH((INDEX(PMtbl[[WKst]:[Unit of measure*]],MATCH($A162&amp;$E162&amp;$I162,INDEX(PMtbl[Category]&amp;PMtbl[INN]&amp;PMtbl[Specification],0,),0),3)),SETUP!$D$19:$D$62,0),5)),"")</f>
        <v/>
      </c>
      <c r="AU162" s="268"/>
      <c r="AV162" s="268"/>
      <c r="AW162" s="268"/>
      <c r="AX162" s="268"/>
      <c r="AY162" s="268"/>
      <c r="AZ162" s="268"/>
      <c r="BA162" s="268"/>
      <c r="BB162" s="268"/>
      <c r="BC162" s="268"/>
      <c r="BD162" s="268"/>
      <c r="BE162" s="268"/>
      <c r="BF162" s="268"/>
      <c r="BG162" s="268"/>
      <c r="BH162" s="268"/>
      <c r="BI162" s="268"/>
      <c r="BJ162" s="268"/>
    </row>
    <row r="163" spans="1:62" s="198" customFormat="1">
      <c r="A163" s="2725"/>
      <c r="B163" s="2435"/>
      <c r="C163" s="2435"/>
      <c r="D163" s="2435"/>
      <c r="E163" s="2725"/>
      <c r="F163" s="2435"/>
      <c r="G163" s="2435"/>
      <c r="H163" s="2435"/>
      <c r="I163" s="2727"/>
      <c r="J163" s="2728"/>
      <c r="K163" s="2729"/>
      <c r="L163" s="176" t="str">
        <f>IF(A163&lt;&gt;"",IFERROR(INDEX(PMtbl[[WKst]:[Unit of measure*]],MATCH($A$132&amp;$A163&amp;$E163&amp;$I163,INDEX(PMtbl[Sec]&amp;PMtbl[Category]&amp;PMtbl[INN]&amp;PMtbl[Specification],0,),0),8),""),"")</f>
        <v/>
      </c>
      <c r="M163" s="177" t="str">
        <f>IF(L163="", "",SETUP!$E$5)</f>
        <v/>
      </c>
      <c r="N163" s="856"/>
      <c r="O163" s="12"/>
      <c r="P163" s="12"/>
      <c r="Q163" s="12"/>
      <c r="R163" s="12"/>
      <c r="S163" s="467">
        <f>SUM('TB-EQUIPMENT &amp; OTHER HPs'!$O163:$R163)</f>
        <v>0</v>
      </c>
      <c r="T163" s="832">
        <f>'TB-EQUIPMENT &amp; OTHER HPs'!$N163*'TB-EQUIPMENT &amp; OTHER HPs'!$S163</f>
        <v>0</v>
      </c>
      <c r="U163" s="856"/>
      <c r="V163" s="12"/>
      <c r="W163" s="12"/>
      <c r="X163" s="12"/>
      <c r="Y163" s="12"/>
      <c r="Z163" s="467">
        <f>SUM('TB-EQUIPMENT &amp; OTHER HPs'!$V163:$Y163)</f>
        <v>0</v>
      </c>
      <c r="AA163" s="832">
        <f>'TB-EQUIPMENT &amp; OTHER HPs'!$U163*'TB-EQUIPMENT &amp; OTHER HPs'!$Z163</f>
        <v>0</v>
      </c>
      <c r="AB163" s="856"/>
      <c r="AC163" s="12"/>
      <c r="AD163" s="12"/>
      <c r="AE163" s="12"/>
      <c r="AF163" s="12"/>
      <c r="AG163" s="467">
        <f>SUM('TB-EQUIPMENT &amp; OTHER HPs'!$AC163:$AF163)</f>
        <v>0</v>
      </c>
      <c r="AH163" s="832">
        <f>'TB-EQUIPMENT &amp; OTHER HPs'!$AB163*'TB-EQUIPMENT &amp; OTHER HPs'!$AG163</f>
        <v>0</v>
      </c>
      <c r="AI163" s="468">
        <f>'TB-EQUIPMENT &amp; OTHER HPs'!$S163+'TB-EQUIPMENT &amp; OTHER HPs'!$Z163+'TB-EQUIPMENT &amp; OTHER HPs'!$AG163</f>
        <v>0</v>
      </c>
      <c r="AJ163" s="832">
        <f>'TB-EQUIPMENT &amp; OTHER HPs'!$T163+'TB-EQUIPMENT &amp; OTHER HPs'!$AA163+'TB-EQUIPMENT &amp; OTHER HPs'!$AH163</f>
        <v>0</v>
      </c>
      <c r="AK163" s="397" t="str">
        <f>IF(A163&lt;&gt;"",IFERROR(INDEX(PMtbl[[WKst]:[Unit of measure*]],MATCH($A$132&amp;$A163&amp;$E163&amp;$I163,INDEX(PMtbl[Sec]&amp;PMtbl[Category]&amp;PMtbl[INN]&amp;PMtbl[Specification],0,),0),7),""),"")</f>
        <v/>
      </c>
      <c r="AL163" s="947"/>
      <c r="AM163" s="1428" t="str">
        <f>IFERROR(INDEX(SETUP!$C$19:$G$62,MATCH((INDEX(PMtbl[[WKst]:[Unit of measure*]],MATCH($A163&amp;$E163&amp;$I163,INDEX(PMtbl[Category]&amp;PMtbl[INN]&amp;PMtbl[Specification],0,),0),3)),SETUP!$D$19:$D$62,0),5),"")</f>
        <v/>
      </c>
      <c r="AN163" s="1428" t="str">
        <f>IFERROR(IF((INDEX(SETUP!$C$19:$G$62,MATCH((INDEX(PMtbl[[WKst]:[Unit of measure*]],MATCH($A163&amp;$E163&amp;$I163,INDEX(PMtbl[Category]&amp;PMtbl[INN]&amp;PMtbl[Specification],0,),0),3)),SETUP!$D$19:$D$62,0),4))="Upfront",0,INDEX(SETUP!$C$19:$G$62,MATCH((INDEX(PMtbl[[WKst]:[Unit of measure*]],MATCH($A163&amp;$E163&amp;$I163,INDEX(PMtbl[Category]&amp;PMtbl[INN]&amp;PMtbl[Specification],0,),0),3)),SETUP!$D$19:$D$62,0),5)),"")</f>
        <v/>
      </c>
      <c r="AU163" s="268"/>
      <c r="AV163" s="268"/>
      <c r="AW163" s="268"/>
      <c r="AX163" s="268"/>
      <c r="AY163" s="268"/>
      <c r="AZ163" s="268"/>
      <c r="BA163" s="268"/>
      <c r="BB163" s="268"/>
      <c r="BC163" s="268"/>
      <c r="BD163" s="268"/>
      <c r="BE163" s="268"/>
      <c r="BF163" s="268"/>
      <c r="BG163" s="268"/>
      <c r="BH163" s="268"/>
      <c r="BI163" s="268"/>
      <c r="BJ163" s="268"/>
    </row>
    <row r="164" spans="1:62" s="198" customFormat="1">
      <c r="A164" s="2610"/>
      <c r="B164" s="2611"/>
      <c r="C164" s="2611"/>
      <c r="D164" s="2611"/>
      <c r="E164" s="2610"/>
      <c r="F164" s="2611"/>
      <c r="G164" s="2611"/>
      <c r="H164" s="2611"/>
      <c r="I164" s="2722"/>
      <c r="J164" s="2734"/>
      <c r="K164" s="2724"/>
      <c r="L164" s="175" t="str">
        <f>IF(A164&lt;&gt;"",IFERROR(INDEX(PMtbl[[WKst]:[Unit of measure*]],MATCH($A$132&amp;$A164&amp;$E164&amp;$I164,INDEX(PMtbl[Sec]&amp;PMtbl[Category]&amp;PMtbl[INN]&amp;PMtbl[Specification],0,),0),8),""),"")</f>
        <v/>
      </c>
      <c r="M164" s="175" t="str">
        <f>IF(L164="", "",SETUP!$E$5)</f>
        <v/>
      </c>
      <c r="N164" s="857"/>
      <c r="O164" s="873"/>
      <c r="P164" s="873"/>
      <c r="Q164" s="873"/>
      <c r="R164" s="873"/>
      <c r="S164" s="469">
        <f>SUM('TB-EQUIPMENT &amp; OTHER HPs'!$O164:$R164)</f>
        <v>0</v>
      </c>
      <c r="T164" s="833">
        <f>'TB-EQUIPMENT &amp; OTHER HPs'!$N164*'TB-EQUIPMENT &amp; OTHER HPs'!$S164</f>
        <v>0</v>
      </c>
      <c r="U164" s="857"/>
      <c r="V164" s="873"/>
      <c r="W164" s="873"/>
      <c r="X164" s="873"/>
      <c r="Y164" s="873"/>
      <c r="Z164" s="469">
        <f>SUM('TB-EQUIPMENT &amp; OTHER HPs'!$V164:$Y164)</f>
        <v>0</v>
      </c>
      <c r="AA164" s="833">
        <f>'TB-EQUIPMENT &amp; OTHER HPs'!$U164*'TB-EQUIPMENT &amp; OTHER HPs'!$Z164</f>
        <v>0</v>
      </c>
      <c r="AB164" s="857"/>
      <c r="AC164" s="873"/>
      <c r="AD164" s="873"/>
      <c r="AE164" s="873"/>
      <c r="AF164" s="873"/>
      <c r="AG164" s="469">
        <f>SUM('TB-EQUIPMENT &amp; OTHER HPs'!$AC164:$AF164)</f>
        <v>0</v>
      </c>
      <c r="AH164" s="833">
        <f>'TB-EQUIPMENT &amp; OTHER HPs'!$AB164*'TB-EQUIPMENT &amp; OTHER HPs'!$AG164</f>
        <v>0</v>
      </c>
      <c r="AI164" s="470">
        <f>'TB-EQUIPMENT &amp; OTHER HPs'!$S164+'TB-EQUIPMENT &amp; OTHER HPs'!$Z164+'TB-EQUIPMENT &amp; OTHER HPs'!$AG164</f>
        <v>0</v>
      </c>
      <c r="AJ164" s="833">
        <f>'TB-EQUIPMENT &amp; OTHER HPs'!$T164+'TB-EQUIPMENT &amp; OTHER HPs'!$AA164+'TB-EQUIPMENT &amp; OTHER HPs'!$AH164</f>
        <v>0</v>
      </c>
      <c r="AK164" s="400" t="str">
        <f>IF(A164&lt;&gt;"",IFERROR(INDEX(PMtbl[[WKst]:[Unit of measure*]],MATCH($A$132&amp;$A164&amp;$E164&amp;$I164,INDEX(PMtbl[Sec]&amp;PMtbl[Category]&amp;PMtbl[INN]&amp;PMtbl[Specification],0,),0),7),""),"")</f>
        <v/>
      </c>
      <c r="AL164" s="946"/>
      <c r="AM164" s="1427" t="str">
        <f>IFERROR(INDEX(SETUP!$C$19:$G$62,MATCH((INDEX(PMtbl[[WKst]:[Unit of measure*]],MATCH($A164&amp;$E164&amp;$I164,INDEX(PMtbl[Category]&amp;PMtbl[INN]&amp;PMtbl[Specification],0,),0),3)),SETUP!$D$19:$D$62,0),5),"")</f>
        <v/>
      </c>
      <c r="AN164" s="1427" t="str">
        <f>IFERROR(IF((INDEX(SETUP!$C$19:$G$62,MATCH((INDEX(PMtbl[[WKst]:[Unit of measure*]],MATCH($A164&amp;$E164&amp;$I164,INDEX(PMtbl[Category]&amp;PMtbl[INN]&amp;PMtbl[Specification],0,),0),3)),SETUP!$D$19:$D$62,0),4))="Upfront",0,INDEX(SETUP!$C$19:$G$62,MATCH((INDEX(PMtbl[[WKst]:[Unit of measure*]],MATCH($A164&amp;$E164&amp;$I164,INDEX(PMtbl[Category]&amp;PMtbl[INN]&amp;PMtbl[Specification],0,),0),3)),SETUP!$D$19:$D$62,0),5)),"")</f>
        <v/>
      </c>
      <c r="AU164" s="326"/>
      <c r="AV164" s="326"/>
      <c r="AW164" s="268"/>
      <c r="AX164" s="268"/>
      <c r="AY164" s="268"/>
      <c r="AZ164" s="268"/>
      <c r="BA164" s="268"/>
      <c r="BB164" s="268"/>
      <c r="BC164" s="268"/>
      <c r="BD164" s="268"/>
      <c r="BE164" s="268"/>
      <c r="BF164" s="268"/>
      <c r="BG164" s="268"/>
      <c r="BH164" s="268"/>
      <c r="BI164" s="268"/>
      <c r="BJ164" s="326"/>
    </row>
    <row r="165" spans="1:62" s="198" customFormat="1">
      <c r="A165" s="2725"/>
      <c r="B165" s="2435"/>
      <c r="C165" s="2435"/>
      <c r="D165" s="2435"/>
      <c r="E165" s="2725"/>
      <c r="F165" s="2435"/>
      <c r="G165" s="2435"/>
      <c r="H165" s="2435"/>
      <c r="I165" s="2727"/>
      <c r="J165" s="2728"/>
      <c r="K165" s="2729"/>
      <c r="L165" s="176" t="str">
        <f>IF(A165&lt;&gt;"",IFERROR(INDEX(PMtbl[[WKst]:[Unit of measure*]],MATCH($A$132&amp;$A165&amp;$E165&amp;$I165,INDEX(PMtbl[Sec]&amp;PMtbl[Category]&amp;PMtbl[INN]&amp;PMtbl[Specification],0,),0),8),""),"")</f>
        <v/>
      </c>
      <c r="M165" s="177" t="str">
        <f>IF(L165="", "",SETUP!$E$5)</f>
        <v/>
      </c>
      <c r="N165" s="856"/>
      <c r="O165" s="12"/>
      <c r="P165" s="12"/>
      <c r="Q165" s="12"/>
      <c r="R165" s="12"/>
      <c r="S165" s="467">
        <f>SUM('TB-EQUIPMENT &amp; OTHER HPs'!$O165:$R165)</f>
        <v>0</v>
      </c>
      <c r="T165" s="832">
        <f>'TB-EQUIPMENT &amp; OTHER HPs'!$N165*'TB-EQUIPMENT &amp; OTHER HPs'!$S165</f>
        <v>0</v>
      </c>
      <c r="U165" s="856"/>
      <c r="V165" s="12"/>
      <c r="W165" s="12"/>
      <c r="X165" s="12"/>
      <c r="Y165" s="12"/>
      <c r="Z165" s="467">
        <f>SUM('TB-EQUIPMENT &amp; OTHER HPs'!$V165:$Y165)</f>
        <v>0</v>
      </c>
      <c r="AA165" s="832">
        <f>'TB-EQUIPMENT &amp; OTHER HPs'!$U165*'TB-EQUIPMENT &amp; OTHER HPs'!$Z165</f>
        <v>0</v>
      </c>
      <c r="AB165" s="856"/>
      <c r="AC165" s="12"/>
      <c r="AD165" s="12"/>
      <c r="AE165" s="12"/>
      <c r="AF165" s="12"/>
      <c r="AG165" s="467">
        <f>SUM('TB-EQUIPMENT &amp; OTHER HPs'!$AC165:$AF165)</f>
        <v>0</v>
      </c>
      <c r="AH165" s="832">
        <f>'TB-EQUIPMENT &amp; OTHER HPs'!$AB165*'TB-EQUIPMENT &amp; OTHER HPs'!$AG165</f>
        <v>0</v>
      </c>
      <c r="AI165" s="468">
        <f>'TB-EQUIPMENT &amp; OTHER HPs'!$S165+'TB-EQUIPMENT &amp; OTHER HPs'!$Z165+'TB-EQUIPMENT &amp; OTHER HPs'!$AG165</f>
        <v>0</v>
      </c>
      <c r="AJ165" s="832">
        <f>'TB-EQUIPMENT &amp; OTHER HPs'!$T165+'TB-EQUIPMENT &amp; OTHER HPs'!$AA165+'TB-EQUIPMENT &amp; OTHER HPs'!$AH165</f>
        <v>0</v>
      </c>
      <c r="AK165" s="397" t="str">
        <f>IF(A165&lt;&gt;"",IFERROR(INDEX(PMtbl[[WKst]:[Unit of measure*]],MATCH($A$132&amp;$A165&amp;$E165&amp;$I165,INDEX(PMtbl[Sec]&amp;PMtbl[Category]&amp;PMtbl[INN]&amp;PMtbl[Specification],0,),0),7),""),"")</f>
        <v/>
      </c>
      <c r="AL165" s="947"/>
      <c r="AM165" s="1428" t="str">
        <f>IFERROR(INDEX(SETUP!$C$19:$G$62,MATCH((INDEX(PMtbl[[WKst]:[Unit of measure*]],MATCH($A165&amp;$E165&amp;$I165,INDEX(PMtbl[Category]&amp;PMtbl[INN]&amp;PMtbl[Specification],0,),0),3)),SETUP!$D$19:$D$62,0),5),"")</f>
        <v/>
      </c>
      <c r="AN165" s="1428" t="str">
        <f>IFERROR(IF((INDEX(SETUP!$C$19:$G$62,MATCH((INDEX(PMtbl[[WKst]:[Unit of measure*]],MATCH($A165&amp;$E165&amp;$I165,INDEX(PMtbl[Category]&amp;PMtbl[INN]&amp;PMtbl[Specification],0,),0),3)),SETUP!$D$19:$D$62,0),4))="Upfront",0,INDEX(SETUP!$C$19:$G$62,MATCH((INDEX(PMtbl[[WKst]:[Unit of measure*]],MATCH($A165&amp;$E165&amp;$I165,INDEX(PMtbl[Category]&amp;PMtbl[INN]&amp;PMtbl[Specification],0,),0),3)),SETUP!$D$19:$D$62,0),5)),"")</f>
        <v/>
      </c>
      <c r="AW165" s="326"/>
      <c r="AX165" s="326"/>
      <c r="AY165" s="326"/>
      <c r="AZ165" s="326"/>
      <c r="BA165" s="326"/>
      <c r="BB165" s="326"/>
      <c r="BC165" s="326"/>
      <c r="BD165" s="326"/>
      <c r="BE165" s="326"/>
      <c r="BF165" s="326"/>
      <c r="BG165" s="326"/>
      <c r="BH165" s="326"/>
      <c r="BI165" s="326"/>
    </row>
    <row r="166" spans="1:62" s="198" customFormat="1">
      <c r="A166" s="2610"/>
      <c r="B166" s="2611"/>
      <c r="C166" s="2611"/>
      <c r="D166" s="2611"/>
      <c r="E166" s="2610"/>
      <c r="F166" s="2611"/>
      <c r="G166" s="2611"/>
      <c r="H166" s="2611"/>
      <c r="I166" s="2722"/>
      <c r="J166" s="2734"/>
      <c r="K166" s="2724"/>
      <c r="L166" s="175" t="str">
        <f>IF(A166&lt;&gt;"",IFERROR(INDEX(PMtbl[[WKst]:[Unit of measure*]],MATCH($A$132&amp;$A166&amp;$E166&amp;$I166,INDEX(PMtbl[Sec]&amp;PMtbl[Category]&amp;PMtbl[INN]&amp;PMtbl[Specification],0,),0),8),""),"")</f>
        <v/>
      </c>
      <c r="M166" s="175" t="str">
        <f>IF(L166="", "",SETUP!$E$5)</f>
        <v/>
      </c>
      <c r="N166" s="857"/>
      <c r="O166" s="873"/>
      <c r="P166" s="873"/>
      <c r="Q166" s="873"/>
      <c r="R166" s="873"/>
      <c r="S166" s="469">
        <f>SUM('TB-EQUIPMENT &amp; OTHER HPs'!$O166:$R166)</f>
        <v>0</v>
      </c>
      <c r="T166" s="833">
        <f>'TB-EQUIPMENT &amp; OTHER HPs'!$N166*'TB-EQUIPMENT &amp; OTHER HPs'!$S166</f>
        <v>0</v>
      </c>
      <c r="U166" s="857"/>
      <c r="V166" s="873"/>
      <c r="W166" s="873"/>
      <c r="X166" s="873"/>
      <c r="Y166" s="873"/>
      <c r="Z166" s="469">
        <f>SUM('TB-EQUIPMENT &amp; OTHER HPs'!$V166:$Y166)</f>
        <v>0</v>
      </c>
      <c r="AA166" s="833">
        <f>'TB-EQUIPMENT &amp; OTHER HPs'!$U166*'TB-EQUIPMENT &amp; OTHER HPs'!$Z166</f>
        <v>0</v>
      </c>
      <c r="AB166" s="857"/>
      <c r="AC166" s="873"/>
      <c r="AD166" s="873"/>
      <c r="AE166" s="873"/>
      <c r="AF166" s="873"/>
      <c r="AG166" s="469">
        <f>SUM('TB-EQUIPMENT &amp; OTHER HPs'!$AC166:$AF166)</f>
        <v>0</v>
      </c>
      <c r="AH166" s="833">
        <f>'TB-EQUIPMENT &amp; OTHER HPs'!$AB166*'TB-EQUIPMENT &amp; OTHER HPs'!$AG166</f>
        <v>0</v>
      </c>
      <c r="AI166" s="470">
        <f>'TB-EQUIPMENT &amp; OTHER HPs'!$S166+'TB-EQUIPMENT &amp; OTHER HPs'!$Z166+'TB-EQUIPMENT &amp; OTHER HPs'!$AG166</f>
        <v>0</v>
      </c>
      <c r="AJ166" s="833">
        <f>'TB-EQUIPMENT &amp; OTHER HPs'!$T166+'TB-EQUIPMENT &amp; OTHER HPs'!$AA166+'TB-EQUIPMENT &amp; OTHER HPs'!$AH166</f>
        <v>0</v>
      </c>
      <c r="AK166" s="400" t="str">
        <f>IF(A166&lt;&gt;"",IFERROR(INDEX(PMtbl[[WKst]:[Unit of measure*]],MATCH($A$132&amp;$A166&amp;$E166&amp;$I166,INDEX(PMtbl[Sec]&amp;PMtbl[Category]&amp;PMtbl[INN]&amp;PMtbl[Specification],0,),0),7),""),"")</f>
        <v/>
      </c>
      <c r="AL166" s="946"/>
      <c r="AM166" s="1427" t="str">
        <f>IFERROR(INDEX(SETUP!$C$19:$G$62,MATCH((INDEX(PMtbl[[WKst]:[Unit of measure*]],MATCH($A166&amp;$E166&amp;$I166,INDEX(PMtbl[Category]&amp;PMtbl[INN]&amp;PMtbl[Specification],0,),0),3)),SETUP!$D$19:$D$62,0),5),"")</f>
        <v/>
      </c>
      <c r="AN166" s="1427" t="str">
        <f>IFERROR(IF((INDEX(SETUP!$C$19:$G$62,MATCH((INDEX(PMtbl[[WKst]:[Unit of measure*]],MATCH($A166&amp;$E166&amp;$I166,INDEX(PMtbl[Category]&amp;PMtbl[INN]&amp;PMtbl[Specification],0,),0),3)),SETUP!$D$19:$D$62,0),4))="Upfront",0,INDEX(SETUP!$C$19:$G$62,MATCH((INDEX(PMtbl[[WKst]:[Unit of measure*]],MATCH($A166&amp;$E166&amp;$I166,INDEX(PMtbl[Category]&amp;PMtbl[INN]&amp;PMtbl[Specification],0,),0),3)),SETUP!$D$19:$D$62,0),5)),"")</f>
        <v/>
      </c>
    </row>
    <row r="167" spans="1:62" s="198" customFormat="1">
      <c r="A167" s="2725"/>
      <c r="B167" s="2435"/>
      <c r="C167" s="2435"/>
      <c r="D167" s="2435"/>
      <c r="E167" s="2725"/>
      <c r="F167" s="2435"/>
      <c r="G167" s="2435"/>
      <c r="H167" s="2435"/>
      <c r="I167" s="2727"/>
      <c r="J167" s="2728"/>
      <c r="K167" s="2729"/>
      <c r="L167" s="176" t="str">
        <f>IF(A167&lt;&gt;"",IFERROR(INDEX(PMtbl[[WKst]:[Unit of measure*]],MATCH($A$132&amp;$A167&amp;$E167&amp;$I167,INDEX(PMtbl[Sec]&amp;PMtbl[Category]&amp;PMtbl[INN]&amp;PMtbl[Specification],0,),0),8),""),"")</f>
        <v/>
      </c>
      <c r="M167" s="177" t="str">
        <f>IF(L167="", "",SETUP!$E$5)</f>
        <v/>
      </c>
      <c r="N167" s="856"/>
      <c r="O167" s="12"/>
      <c r="P167" s="12"/>
      <c r="Q167" s="12"/>
      <c r="R167" s="12"/>
      <c r="S167" s="467">
        <f>SUM('TB-EQUIPMENT &amp; OTHER HPs'!$O167:$R167)</f>
        <v>0</v>
      </c>
      <c r="T167" s="832">
        <f>'TB-EQUIPMENT &amp; OTHER HPs'!$N167*'TB-EQUIPMENT &amp; OTHER HPs'!$S167</f>
        <v>0</v>
      </c>
      <c r="U167" s="856"/>
      <c r="V167" s="12"/>
      <c r="W167" s="12"/>
      <c r="X167" s="12"/>
      <c r="Y167" s="12"/>
      <c r="Z167" s="467">
        <f>SUM('TB-EQUIPMENT &amp; OTHER HPs'!$V167:$Y167)</f>
        <v>0</v>
      </c>
      <c r="AA167" s="832">
        <f>'TB-EQUIPMENT &amp; OTHER HPs'!$U167*'TB-EQUIPMENT &amp; OTHER HPs'!$Z167</f>
        <v>0</v>
      </c>
      <c r="AB167" s="856"/>
      <c r="AC167" s="12"/>
      <c r="AD167" s="12"/>
      <c r="AE167" s="12"/>
      <c r="AF167" s="12"/>
      <c r="AG167" s="467">
        <f>SUM('TB-EQUIPMENT &amp; OTHER HPs'!$AC167:$AF167)</f>
        <v>0</v>
      </c>
      <c r="AH167" s="832">
        <f>'TB-EQUIPMENT &amp; OTHER HPs'!$AB167*'TB-EQUIPMENT &amp; OTHER HPs'!$AG167</f>
        <v>0</v>
      </c>
      <c r="AI167" s="468">
        <f>'TB-EQUIPMENT &amp; OTHER HPs'!$S167+'TB-EQUIPMENT &amp; OTHER HPs'!$Z167+'TB-EQUIPMENT &amp; OTHER HPs'!$AG167</f>
        <v>0</v>
      </c>
      <c r="AJ167" s="832">
        <f>'TB-EQUIPMENT &amp; OTHER HPs'!$T167+'TB-EQUIPMENT &amp; OTHER HPs'!$AA167+'TB-EQUIPMENT &amp; OTHER HPs'!$AH167</f>
        <v>0</v>
      </c>
      <c r="AK167" s="397" t="str">
        <f>IF(A167&lt;&gt;"",IFERROR(INDEX(PMtbl[[WKst]:[Unit of measure*]],MATCH($A$132&amp;$A167&amp;$E167&amp;$I167,INDEX(PMtbl[Sec]&amp;PMtbl[Category]&amp;PMtbl[INN]&amp;PMtbl[Specification],0,),0),7),""),"")</f>
        <v/>
      </c>
      <c r="AL167" s="947"/>
      <c r="AM167" s="1428" t="str">
        <f>IFERROR(INDEX(SETUP!$C$19:$G$62,MATCH((INDEX(PMtbl[[WKst]:[Unit of measure*]],MATCH($A167&amp;$E167&amp;$I167,INDEX(PMtbl[Category]&amp;PMtbl[INN]&amp;PMtbl[Specification],0,),0),3)),SETUP!$D$19:$D$62,0),5),"")</f>
        <v/>
      </c>
      <c r="AN167" s="1428" t="str">
        <f>IFERROR(IF((INDEX(SETUP!$C$19:$G$62,MATCH((INDEX(PMtbl[[WKst]:[Unit of measure*]],MATCH($A167&amp;$E167&amp;$I167,INDEX(PMtbl[Category]&amp;PMtbl[INN]&amp;PMtbl[Specification],0,),0),3)),SETUP!$D$19:$D$62,0),4))="Upfront",0,INDEX(SETUP!$C$19:$G$62,MATCH((INDEX(PMtbl[[WKst]:[Unit of measure*]],MATCH($A167&amp;$E167&amp;$I167,INDEX(PMtbl[Category]&amp;PMtbl[INN]&amp;PMtbl[Specification],0,),0),3)),SETUP!$D$19:$D$62,0),5)),"")</f>
        <v/>
      </c>
    </row>
    <row r="168" spans="1:62" s="198" customFormat="1">
      <c r="A168" s="2610"/>
      <c r="B168" s="2611"/>
      <c r="C168" s="2611"/>
      <c r="D168" s="2611"/>
      <c r="E168" s="2610"/>
      <c r="F168" s="2611"/>
      <c r="G168" s="2611"/>
      <c r="H168" s="2611"/>
      <c r="I168" s="2722"/>
      <c r="J168" s="2734"/>
      <c r="K168" s="2724"/>
      <c r="L168" s="175" t="str">
        <f>IF(A168&lt;&gt;"",IFERROR(INDEX(PMtbl[[WKst]:[Unit of measure*]],MATCH($A$132&amp;$A168&amp;$E168&amp;$I168,INDEX(PMtbl[Sec]&amp;PMtbl[Category]&amp;PMtbl[INN]&amp;PMtbl[Specification],0,),0),8),""),"")</f>
        <v/>
      </c>
      <c r="M168" s="175" t="str">
        <f>IF(L168="", "",SETUP!$E$5)</f>
        <v/>
      </c>
      <c r="N168" s="857"/>
      <c r="O168" s="873"/>
      <c r="P168" s="873"/>
      <c r="Q168" s="873"/>
      <c r="R168" s="873"/>
      <c r="S168" s="469">
        <f>SUM('TB-EQUIPMENT &amp; OTHER HPs'!$O168:$R168)</f>
        <v>0</v>
      </c>
      <c r="T168" s="833">
        <f>'TB-EQUIPMENT &amp; OTHER HPs'!$N168*'TB-EQUIPMENT &amp; OTHER HPs'!$S168</f>
        <v>0</v>
      </c>
      <c r="U168" s="857"/>
      <c r="V168" s="873"/>
      <c r="W168" s="873"/>
      <c r="X168" s="873"/>
      <c r="Y168" s="873"/>
      <c r="Z168" s="469">
        <f>SUM('TB-EQUIPMENT &amp; OTHER HPs'!$V168:$Y168)</f>
        <v>0</v>
      </c>
      <c r="AA168" s="833">
        <f>'TB-EQUIPMENT &amp; OTHER HPs'!$U168*'TB-EQUIPMENT &amp; OTHER HPs'!$Z168</f>
        <v>0</v>
      </c>
      <c r="AB168" s="857"/>
      <c r="AC168" s="873"/>
      <c r="AD168" s="873"/>
      <c r="AE168" s="873"/>
      <c r="AF168" s="873"/>
      <c r="AG168" s="469">
        <f>SUM('TB-EQUIPMENT &amp; OTHER HPs'!$AC168:$AF168)</f>
        <v>0</v>
      </c>
      <c r="AH168" s="833">
        <f>'TB-EQUIPMENT &amp; OTHER HPs'!$AB168*'TB-EQUIPMENT &amp; OTHER HPs'!$AG168</f>
        <v>0</v>
      </c>
      <c r="AI168" s="470">
        <f>'TB-EQUIPMENT &amp; OTHER HPs'!$S168+'TB-EQUIPMENT &amp; OTHER HPs'!$Z168+'TB-EQUIPMENT &amp; OTHER HPs'!$AG168</f>
        <v>0</v>
      </c>
      <c r="AJ168" s="833">
        <f>'TB-EQUIPMENT &amp; OTHER HPs'!$T168+'TB-EQUIPMENT &amp; OTHER HPs'!$AA168+'TB-EQUIPMENT &amp; OTHER HPs'!$AH168</f>
        <v>0</v>
      </c>
      <c r="AK168" s="400" t="str">
        <f>IF(A168&lt;&gt;"",IFERROR(INDEX(PMtbl[[WKst]:[Unit of measure*]],MATCH($A$132&amp;$A168&amp;$E168&amp;$I168,INDEX(PMtbl[Sec]&amp;PMtbl[Category]&amp;PMtbl[INN]&amp;PMtbl[Specification],0,),0),7),""),"")</f>
        <v/>
      </c>
      <c r="AL168" s="946"/>
      <c r="AM168" s="1427" t="str">
        <f>IFERROR(INDEX(SETUP!$C$19:$G$62,MATCH((INDEX(PMtbl[[WKst]:[Unit of measure*]],MATCH($A168&amp;$E168&amp;$I168,INDEX(PMtbl[Category]&amp;PMtbl[INN]&amp;PMtbl[Specification],0,),0),3)),SETUP!$D$19:$D$62,0),5),"")</f>
        <v/>
      </c>
      <c r="AN168" s="1427" t="str">
        <f>IFERROR(IF((INDEX(SETUP!$C$19:$G$62,MATCH((INDEX(PMtbl[[WKst]:[Unit of measure*]],MATCH($A168&amp;$E168&amp;$I168,INDEX(PMtbl[Category]&amp;PMtbl[INN]&amp;PMtbl[Specification],0,),0),3)),SETUP!$D$19:$D$62,0),4))="Upfront",0,INDEX(SETUP!$C$19:$G$62,MATCH((INDEX(PMtbl[[WKst]:[Unit of measure*]],MATCH($A168&amp;$E168&amp;$I168,INDEX(PMtbl[Category]&amp;PMtbl[INN]&amp;PMtbl[Specification],0,),0),3)),SETUP!$D$19:$D$62,0),5)),"")</f>
        <v/>
      </c>
    </row>
    <row r="169" spans="1:62" s="198" customFormat="1">
      <c r="A169" s="2725"/>
      <c r="B169" s="2435"/>
      <c r="C169" s="2435"/>
      <c r="D169" s="2435"/>
      <c r="E169" s="2725"/>
      <c r="F169" s="2435"/>
      <c r="G169" s="2435"/>
      <c r="H169" s="2435"/>
      <c r="I169" s="2727"/>
      <c r="J169" s="2728"/>
      <c r="K169" s="2729"/>
      <c r="L169" s="176" t="str">
        <f>IF(A169&lt;&gt;"",IFERROR(INDEX(PMtbl[[WKst]:[Unit of measure*]],MATCH($A$132&amp;$A169&amp;$E169&amp;$I169,INDEX(PMtbl[Sec]&amp;PMtbl[Category]&amp;PMtbl[INN]&amp;PMtbl[Specification],0,),0),8),""),"")</f>
        <v/>
      </c>
      <c r="M169" s="177" t="str">
        <f>IF(L169="", "",SETUP!$E$5)</f>
        <v/>
      </c>
      <c r="N169" s="856"/>
      <c r="O169" s="12"/>
      <c r="P169" s="12"/>
      <c r="Q169" s="12"/>
      <c r="R169" s="12"/>
      <c r="S169" s="467">
        <f>SUM('TB-EQUIPMENT &amp; OTHER HPs'!$O169:$R169)</f>
        <v>0</v>
      </c>
      <c r="T169" s="832">
        <f>'TB-EQUIPMENT &amp; OTHER HPs'!$N169*'TB-EQUIPMENT &amp; OTHER HPs'!$S169</f>
        <v>0</v>
      </c>
      <c r="U169" s="856"/>
      <c r="V169" s="12"/>
      <c r="W169" s="12"/>
      <c r="X169" s="12"/>
      <c r="Y169" s="12"/>
      <c r="Z169" s="467">
        <f>SUM('TB-EQUIPMENT &amp; OTHER HPs'!$V169:$Y169)</f>
        <v>0</v>
      </c>
      <c r="AA169" s="832">
        <f>'TB-EQUIPMENT &amp; OTHER HPs'!$U169*'TB-EQUIPMENT &amp; OTHER HPs'!$Z169</f>
        <v>0</v>
      </c>
      <c r="AB169" s="856"/>
      <c r="AC169" s="12"/>
      <c r="AD169" s="12"/>
      <c r="AE169" s="12"/>
      <c r="AF169" s="12"/>
      <c r="AG169" s="467">
        <f>SUM('TB-EQUIPMENT &amp; OTHER HPs'!$AC169:$AF169)</f>
        <v>0</v>
      </c>
      <c r="AH169" s="832">
        <f>'TB-EQUIPMENT &amp; OTHER HPs'!$AB169*'TB-EQUIPMENT &amp; OTHER HPs'!$AG169</f>
        <v>0</v>
      </c>
      <c r="AI169" s="468">
        <f>'TB-EQUIPMENT &amp; OTHER HPs'!$S169+'TB-EQUIPMENT &amp; OTHER HPs'!$Z169+'TB-EQUIPMENT &amp; OTHER HPs'!$AG169</f>
        <v>0</v>
      </c>
      <c r="AJ169" s="832">
        <f>'TB-EQUIPMENT &amp; OTHER HPs'!$T169+'TB-EQUIPMENT &amp; OTHER HPs'!$AA169+'TB-EQUIPMENT &amp; OTHER HPs'!$AH169</f>
        <v>0</v>
      </c>
      <c r="AK169" s="397" t="str">
        <f>IF(A169&lt;&gt;"",IFERROR(INDEX(PMtbl[[WKst]:[Unit of measure*]],MATCH($A$132&amp;$A169&amp;$E169&amp;$I169,INDEX(PMtbl[Sec]&amp;PMtbl[Category]&amp;PMtbl[INN]&amp;PMtbl[Specification],0,),0),7),""),"")</f>
        <v/>
      </c>
      <c r="AL169" s="947"/>
      <c r="AM169" s="1428" t="str">
        <f>IFERROR(INDEX(SETUP!$C$19:$G$62,MATCH((INDEX(PMtbl[[WKst]:[Unit of measure*]],MATCH($A169&amp;$E169&amp;$I169,INDEX(PMtbl[Category]&amp;PMtbl[INN]&amp;PMtbl[Specification],0,),0),3)),SETUP!$D$19:$D$62,0),5),"")</f>
        <v/>
      </c>
      <c r="AN169" s="1428" t="str">
        <f>IFERROR(IF((INDEX(SETUP!$C$19:$G$62,MATCH((INDEX(PMtbl[[WKst]:[Unit of measure*]],MATCH($A169&amp;$E169&amp;$I169,INDEX(PMtbl[Category]&amp;PMtbl[INN]&amp;PMtbl[Specification],0,),0),3)),SETUP!$D$19:$D$62,0),4))="Upfront",0,INDEX(SETUP!$C$19:$G$62,MATCH((INDEX(PMtbl[[WKst]:[Unit of measure*]],MATCH($A169&amp;$E169&amp;$I169,INDEX(PMtbl[Category]&amp;PMtbl[INN]&amp;PMtbl[Specification],0,),0),3)),SETUP!$D$19:$D$62,0),5)),"")</f>
        <v/>
      </c>
    </row>
    <row r="170" spans="1:62" s="198" customFormat="1">
      <c r="A170" s="2610"/>
      <c r="B170" s="2611"/>
      <c r="C170" s="2611"/>
      <c r="D170" s="2611"/>
      <c r="E170" s="2610"/>
      <c r="F170" s="2611"/>
      <c r="G170" s="2611"/>
      <c r="H170" s="2611"/>
      <c r="I170" s="2722"/>
      <c r="J170" s="2734"/>
      <c r="K170" s="2724"/>
      <c r="L170" s="175" t="str">
        <f>IF(A170&lt;&gt;"",IFERROR(INDEX(PMtbl[[WKst]:[Unit of measure*]],MATCH($A$132&amp;$A170&amp;$E170&amp;$I170,INDEX(PMtbl[Sec]&amp;PMtbl[Category]&amp;PMtbl[INN]&amp;PMtbl[Specification],0,),0),8),""),"")</f>
        <v/>
      </c>
      <c r="M170" s="175" t="str">
        <f>IF(L170="", "",SETUP!$E$5)</f>
        <v/>
      </c>
      <c r="N170" s="857"/>
      <c r="O170" s="873"/>
      <c r="P170" s="873"/>
      <c r="Q170" s="873"/>
      <c r="R170" s="873"/>
      <c r="S170" s="469">
        <f>SUM('TB-EQUIPMENT &amp; OTHER HPs'!$O170:$R170)</f>
        <v>0</v>
      </c>
      <c r="T170" s="833">
        <f>'TB-EQUIPMENT &amp; OTHER HPs'!$N170*'TB-EQUIPMENT &amp; OTHER HPs'!$S170</f>
        <v>0</v>
      </c>
      <c r="U170" s="857"/>
      <c r="V170" s="873"/>
      <c r="W170" s="873"/>
      <c r="X170" s="873"/>
      <c r="Y170" s="873"/>
      <c r="Z170" s="469">
        <f>SUM('TB-EQUIPMENT &amp; OTHER HPs'!$V170:$Y170)</f>
        <v>0</v>
      </c>
      <c r="AA170" s="833">
        <f>'TB-EQUIPMENT &amp; OTHER HPs'!$U170*'TB-EQUIPMENT &amp; OTHER HPs'!$Z170</f>
        <v>0</v>
      </c>
      <c r="AB170" s="857"/>
      <c r="AC170" s="873"/>
      <c r="AD170" s="873"/>
      <c r="AE170" s="873"/>
      <c r="AF170" s="873"/>
      <c r="AG170" s="469">
        <f>SUM('TB-EQUIPMENT &amp; OTHER HPs'!$AC170:$AF170)</f>
        <v>0</v>
      </c>
      <c r="AH170" s="833">
        <f>'TB-EQUIPMENT &amp; OTHER HPs'!$AB170*'TB-EQUIPMENT &amp; OTHER HPs'!$AG170</f>
        <v>0</v>
      </c>
      <c r="AI170" s="470">
        <f>'TB-EQUIPMENT &amp; OTHER HPs'!$S170+'TB-EQUIPMENT &amp; OTHER HPs'!$Z170+'TB-EQUIPMENT &amp; OTHER HPs'!$AG170</f>
        <v>0</v>
      </c>
      <c r="AJ170" s="833">
        <f>'TB-EQUIPMENT &amp; OTHER HPs'!$T170+'TB-EQUIPMENT &amp; OTHER HPs'!$AA170+'TB-EQUIPMENT &amp; OTHER HPs'!$AH170</f>
        <v>0</v>
      </c>
      <c r="AK170" s="400" t="str">
        <f>IF(A170&lt;&gt;"",IFERROR(INDEX(PMtbl[[WKst]:[Unit of measure*]],MATCH($A$132&amp;$A170&amp;$E170&amp;$I170,INDEX(PMtbl[Sec]&amp;PMtbl[Category]&amp;PMtbl[INN]&amp;PMtbl[Specification],0,),0),7),""),"")</f>
        <v/>
      </c>
      <c r="AL170" s="946"/>
      <c r="AM170" s="1427" t="str">
        <f>IFERROR(INDEX(SETUP!$C$19:$G$62,MATCH((INDEX(PMtbl[[WKst]:[Unit of measure*]],MATCH($A170&amp;$E170&amp;$I170,INDEX(PMtbl[Category]&amp;PMtbl[INN]&amp;PMtbl[Specification],0,),0),3)),SETUP!$D$19:$D$62,0),5),"")</f>
        <v/>
      </c>
      <c r="AN170" s="1427" t="str">
        <f>IFERROR(IF((INDEX(SETUP!$C$19:$G$62,MATCH((INDEX(PMtbl[[WKst]:[Unit of measure*]],MATCH($A170&amp;$E170&amp;$I170,INDEX(PMtbl[Category]&amp;PMtbl[INN]&amp;PMtbl[Specification],0,),0),3)),SETUP!$D$19:$D$62,0),4))="Upfront",0,INDEX(SETUP!$C$19:$G$62,MATCH((INDEX(PMtbl[[WKst]:[Unit of measure*]],MATCH($A170&amp;$E170&amp;$I170,INDEX(PMtbl[Category]&amp;PMtbl[INN]&amp;PMtbl[Specification],0,),0),3)),SETUP!$D$19:$D$62,0),5)),"")</f>
        <v/>
      </c>
    </row>
    <row r="171" spans="1:62" s="198" customFormat="1">
      <c r="A171" s="2725"/>
      <c r="B171" s="2435"/>
      <c r="C171" s="2435"/>
      <c r="D171" s="2435"/>
      <c r="E171" s="2725"/>
      <c r="F171" s="2435"/>
      <c r="G171" s="2435"/>
      <c r="H171" s="2435"/>
      <c r="I171" s="2727"/>
      <c r="J171" s="2728"/>
      <c r="K171" s="2729"/>
      <c r="L171" s="176" t="str">
        <f>IF(A171&lt;&gt;"",IFERROR(INDEX(PMtbl[[WKst]:[Unit of measure*]],MATCH($A$132&amp;$A171&amp;$E171&amp;$I171,INDEX(PMtbl[Sec]&amp;PMtbl[Category]&amp;PMtbl[INN]&amp;PMtbl[Specification],0,),0),8),""),"")</f>
        <v/>
      </c>
      <c r="M171" s="177" t="str">
        <f>IF(L171="", "",SETUP!$E$5)</f>
        <v/>
      </c>
      <c r="N171" s="856"/>
      <c r="O171" s="12"/>
      <c r="P171" s="12"/>
      <c r="Q171" s="12"/>
      <c r="R171" s="12"/>
      <c r="S171" s="467">
        <f>SUM('TB-EQUIPMENT &amp; OTHER HPs'!$O171:$R171)</f>
        <v>0</v>
      </c>
      <c r="T171" s="832">
        <f>'TB-EQUIPMENT &amp; OTHER HPs'!$N171*'TB-EQUIPMENT &amp; OTHER HPs'!$S171</f>
        <v>0</v>
      </c>
      <c r="U171" s="856"/>
      <c r="V171" s="12"/>
      <c r="W171" s="12"/>
      <c r="X171" s="12"/>
      <c r="Y171" s="12"/>
      <c r="Z171" s="467">
        <f>SUM('TB-EQUIPMENT &amp; OTHER HPs'!$V171:$Y171)</f>
        <v>0</v>
      </c>
      <c r="AA171" s="832">
        <f>'TB-EQUIPMENT &amp; OTHER HPs'!$U171*'TB-EQUIPMENT &amp; OTHER HPs'!$Z171</f>
        <v>0</v>
      </c>
      <c r="AB171" s="856"/>
      <c r="AC171" s="12"/>
      <c r="AD171" s="12"/>
      <c r="AE171" s="12"/>
      <c r="AF171" s="12"/>
      <c r="AG171" s="467">
        <f>SUM('TB-EQUIPMENT &amp; OTHER HPs'!$AC171:$AF171)</f>
        <v>0</v>
      </c>
      <c r="AH171" s="832">
        <f>'TB-EQUIPMENT &amp; OTHER HPs'!$AB171*'TB-EQUIPMENT &amp; OTHER HPs'!$AG171</f>
        <v>0</v>
      </c>
      <c r="AI171" s="468">
        <f>'TB-EQUIPMENT &amp; OTHER HPs'!$S171+'TB-EQUIPMENT &amp; OTHER HPs'!$Z171+'TB-EQUIPMENT &amp; OTHER HPs'!$AG171</f>
        <v>0</v>
      </c>
      <c r="AJ171" s="832">
        <f>'TB-EQUIPMENT &amp; OTHER HPs'!$T171+'TB-EQUIPMENT &amp; OTHER HPs'!$AA171+'TB-EQUIPMENT &amp; OTHER HPs'!$AH171</f>
        <v>0</v>
      </c>
      <c r="AK171" s="397" t="str">
        <f>IF(A171&lt;&gt;"",IFERROR(INDEX(PMtbl[[WKst]:[Unit of measure*]],MATCH($A$132&amp;$A171&amp;$E171&amp;$I171,INDEX(PMtbl[Sec]&amp;PMtbl[Category]&amp;PMtbl[INN]&amp;PMtbl[Specification],0,),0),7),""),"")</f>
        <v/>
      </c>
      <c r="AL171" s="947"/>
      <c r="AM171" s="1428" t="str">
        <f>IFERROR(INDEX(SETUP!$C$19:$G$62,MATCH((INDEX(PMtbl[[WKst]:[Unit of measure*]],MATCH($A171&amp;$E171&amp;$I171,INDEX(PMtbl[Category]&amp;PMtbl[INN]&amp;PMtbl[Specification],0,),0),3)),SETUP!$D$19:$D$62,0),5),"")</f>
        <v/>
      </c>
      <c r="AN171" s="1428" t="str">
        <f>IFERROR(IF((INDEX(SETUP!$C$19:$G$62,MATCH((INDEX(PMtbl[[WKst]:[Unit of measure*]],MATCH($A171&amp;$E171&amp;$I171,INDEX(PMtbl[Category]&amp;PMtbl[INN]&amp;PMtbl[Specification],0,),0),3)),SETUP!$D$19:$D$62,0),4))="Upfront",0,INDEX(SETUP!$C$19:$G$62,MATCH((INDEX(PMtbl[[WKst]:[Unit of measure*]],MATCH($A171&amp;$E171&amp;$I171,INDEX(PMtbl[Category]&amp;PMtbl[INN]&amp;PMtbl[Specification],0,),0),3)),SETUP!$D$19:$D$62,0),5)),"")</f>
        <v/>
      </c>
    </row>
    <row r="172" spans="1:62" s="198" customFormat="1">
      <c r="A172" s="2610"/>
      <c r="B172" s="2611"/>
      <c r="C172" s="2611"/>
      <c r="D172" s="2611"/>
      <c r="E172" s="2610"/>
      <c r="F172" s="2611"/>
      <c r="G172" s="2611"/>
      <c r="H172" s="2611"/>
      <c r="I172" s="2722"/>
      <c r="J172" s="2734"/>
      <c r="K172" s="2724"/>
      <c r="L172" s="175" t="str">
        <f>IF(A172&lt;&gt;"",IFERROR(INDEX(PMtbl[[WKst]:[Unit of measure*]],MATCH($A$132&amp;$A172&amp;$E172&amp;$I172,INDEX(PMtbl[Sec]&amp;PMtbl[Category]&amp;PMtbl[INN]&amp;PMtbl[Specification],0,),0),8),""),"")</f>
        <v/>
      </c>
      <c r="M172" s="175" t="str">
        <f>IF(L172="", "",SETUP!$E$5)</f>
        <v/>
      </c>
      <c r="N172" s="857"/>
      <c r="O172" s="873"/>
      <c r="P172" s="873"/>
      <c r="Q172" s="873"/>
      <c r="R172" s="873"/>
      <c r="S172" s="469">
        <f>SUM('TB-EQUIPMENT &amp; OTHER HPs'!$O172:$R172)</f>
        <v>0</v>
      </c>
      <c r="T172" s="833">
        <f>'TB-EQUIPMENT &amp; OTHER HPs'!$N172*'TB-EQUIPMENT &amp; OTHER HPs'!$S172</f>
        <v>0</v>
      </c>
      <c r="U172" s="857"/>
      <c r="V172" s="873"/>
      <c r="W172" s="873"/>
      <c r="X172" s="873"/>
      <c r="Y172" s="873"/>
      <c r="Z172" s="469">
        <f>SUM('TB-EQUIPMENT &amp; OTHER HPs'!$V172:$Y172)</f>
        <v>0</v>
      </c>
      <c r="AA172" s="833">
        <f>'TB-EQUIPMENT &amp; OTHER HPs'!$U172*'TB-EQUIPMENT &amp; OTHER HPs'!$Z172</f>
        <v>0</v>
      </c>
      <c r="AB172" s="857"/>
      <c r="AC172" s="873"/>
      <c r="AD172" s="873"/>
      <c r="AE172" s="873"/>
      <c r="AF172" s="873"/>
      <c r="AG172" s="469">
        <f>SUM('TB-EQUIPMENT &amp; OTHER HPs'!$AC172:$AF172)</f>
        <v>0</v>
      </c>
      <c r="AH172" s="833">
        <f>'TB-EQUIPMENT &amp; OTHER HPs'!$AB172*'TB-EQUIPMENT &amp; OTHER HPs'!$AG172</f>
        <v>0</v>
      </c>
      <c r="AI172" s="470">
        <f>'TB-EQUIPMENT &amp; OTHER HPs'!$S172+'TB-EQUIPMENT &amp; OTHER HPs'!$Z172+'TB-EQUIPMENT &amp; OTHER HPs'!$AG172</f>
        <v>0</v>
      </c>
      <c r="AJ172" s="833">
        <f>'TB-EQUIPMENT &amp; OTHER HPs'!$T172+'TB-EQUIPMENT &amp; OTHER HPs'!$AA172+'TB-EQUIPMENT &amp; OTHER HPs'!$AH172</f>
        <v>0</v>
      </c>
      <c r="AK172" s="400" t="str">
        <f>IF(A172&lt;&gt;"",IFERROR(INDEX(PMtbl[[WKst]:[Unit of measure*]],MATCH($A$132&amp;$A172&amp;$E172&amp;$I172,INDEX(PMtbl[Sec]&amp;PMtbl[Category]&amp;PMtbl[INN]&amp;PMtbl[Specification],0,),0),7),""),"")</f>
        <v/>
      </c>
      <c r="AL172" s="946"/>
      <c r="AM172" s="1427" t="str">
        <f>IFERROR(INDEX(SETUP!$C$19:$G$62,MATCH((INDEX(PMtbl[[WKst]:[Unit of measure*]],MATCH($A172&amp;$E172&amp;$I172,INDEX(PMtbl[Category]&amp;PMtbl[INN]&amp;PMtbl[Specification],0,),0),3)),SETUP!$D$19:$D$62,0),5),"")</f>
        <v/>
      </c>
      <c r="AN172" s="1427" t="str">
        <f>IFERROR(IF((INDEX(SETUP!$C$19:$G$62,MATCH((INDEX(PMtbl[[WKst]:[Unit of measure*]],MATCH($A172&amp;$E172&amp;$I172,INDEX(PMtbl[Category]&amp;PMtbl[INN]&amp;PMtbl[Specification],0,),0),3)),SETUP!$D$19:$D$62,0),4))="Upfront",0,INDEX(SETUP!$C$19:$G$62,MATCH((INDEX(PMtbl[[WKst]:[Unit of measure*]],MATCH($A172&amp;$E172&amp;$I172,INDEX(PMtbl[Category]&amp;PMtbl[INN]&amp;PMtbl[Specification],0,),0),3)),SETUP!$D$19:$D$62,0),5)),"")</f>
        <v/>
      </c>
    </row>
    <row r="173" spans="1:62" s="198" customFormat="1">
      <c r="A173" s="2725"/>
      <c r="B173" s="2435"/>
      <c r="C173" s="2435"/>
      <c r="D173" s="2435"/>
      <c r="E173" s="2725"/>
      <c r="F173" s="2435"/>
      <c r="G173" s="2435"/>
      <c r="H173" s="2435"/>
      <c r="I173" s="2727"/>
      <c r="J173" s="2728"/>
      <c r="K173" s="2729"/>
      <c r="L173" s="176" t="str">
        <f>IF(A173&lt;&gt;"",IFERROR(INDEX(PMtbl[[WKst]:[Unit of measure*]],MATCH($A$132&amp;$A173&amp;$E173&amp;$I173,INDEX(PMtbl[Sec]&amp;PMtbl[Category]&amp;PMtbl[INN]&amp;PMtbl[Specification],0,),0),8),""),"")</f>
        <v/>
      </c>
      <c r="M173" s="177" t="str">
        <f>IF(L173="", "",SETUP!$E$5)</f>
        <v/>
      </c>
      <c r="N173" s="856"/>
      <c r="O173" s="12"/>
      <c r="P173" s="12"/>
      <c r="Q173" s="12"/>
      <c r="R173" s="12"/>
      <c r="S173" s="467">
        <f>SUM('TB-EQUIPMENT &amp; OTHER HPs'!$O173:$R173)</f>
        <v>0</v>
      </c>
      <c r="T173" s="832">
        <f>'TB-EQUIPMENT &amp; OTHER HPs'!$N173*'TB-EQUIPMENT &amp; OTHER HPs'!$S173</f>
        <v>0</v>
      </c>
      <c r="U173" s="856"/>
      <c r="V173" s="12"/>
      <c r="W173" s="12"/>
      <c r="X173" s="12"/>
      <c r="Y173" s="12"/>
      <c r="Z173" s="467">
        <f>SUM('TB-EQUIPMENT &amp; OTHER HPs'!$V173:$Y173)</f>
        <v>0</v>
      </c>
      <c r="AA173" s="832">
        <f>'TB-EQUIPMENT &amp; OTHER HPs'!$U173*'TB-EQUIPMENT &amp; OTHER HPs'!$Z173</f>
        <v>0</v>
      </c>
      <c r="AB173" s="856"/>
      <c r="AC173" s="12"/>
      <c r="AD173" s="12"/>
      <c r="AE173" s="12"/>
      <c r="AF173" s="12"/>
      <c r="AG173" s="467">
        <f>SUM('TB-EQUIPMENT &amp; OTHER HPs'!$AC173:$AF173)</f>
        <v>0</v>
      </c>
      <c r="AH173" s="832">
        <f>'TB-EQUIPMENT &amp; OTHER HPs'!$AB173*'TB-EQUIPMENT &amp; OTHER HPs'!$AG173</f>
        <v>0</v>
      </c>
      <c r="AI173" s="468">
        <f>'TB-EQUIPMENT &amp; OTHER HPs'!$S173+'TB-EQUIPMENT &amp; OTHER HPs'!$Z173+'TB-EQUIPMENT &amp; OTHER HPs'!$AG173</f>
        <v>0</v>
      </c>
      <c r="AJ173" s="832">
        <f>'TB-EQUIPMENT &amp; OTHER HPs'!$T173+'TB-EQUIPMENT &amp; OTHER HPs'!$AA173+'TB-EQUIPMENT &amp; OTHER HPs'!$AH173</f>
        <v>0</v>
      </c>
      <c r="AK173" s="397" t="str">
        <f>IF(A173&lt;&gt;"",IFERROR(INDEX(PMtbl[[WKst]:[Unit of measure*]],MATCH($A$132&amp;$A173&amp;$E173&amp;$I173,INDEX(PMtbl[Sec]&amp;PMtbl[Category]&amp;PMtbl[INN]&amp;PMtbl[Specification],0,),0),7),""),"")</f>
        <v/>
      </c>
      <c r="AL173" s="947"/>
      <c r="AM173" s="1428" t="str">
        <f>IFERROR(INDEX(SETUP!$C$19:$G$62,MATCH((INDEX(PMtbl[[WKst]:[Unit of measure*]],MATCH($A173&amp;$E173&amp;$I173,INDEX(PMtbl[Category]&amp;PMtbl[INN]&amp;PMtbl[Specification],0,),0),3)),SETUP!$D$19:$D$62,0),5),"")</f>
        <v/>
      </c>
      <c r="AN173" s="1428" t="str">
        <f>IFERROR(IF((INDEX(SETUP!$C$19:$G$62,MATCH((INDEX(PMtbl[[WKst]:[Unit of measure*]],MATCH($A173&amp;$E173&amp;$I173,INDEX(PMtbl[Category]&amp;PMtbl[INN]&amp;PMtbl[Specification],0,),0),3)),SETUP!$D$19:$D$62,0),4))="Upfront",0,INDEX(SETUP!$C$19:$G$62,MATCH((INDEX(PMtbl[[WKst]:[Unit of measure*]],MATCH($A173&amp;$E173&amp;$I173,INDEX(PMtbl[Category]&amp;PMtbl[INN]&amp;PMtbl[Specification],0,),0),3)),SETUP!$D$19:$D$62,0),5)),"")</f>
        <v/>
      </c>
    </row>
    <row r="174" spans="1:62" s="198" customFormat="1">
      <c r="A174" s="2610"/>
      <c r="B174" s="2611"/>
      <c r="C174" s="2611"/>
      <c r="D174" s="2611"/>
      <c r="E174" s="2610"/>
      <c r="F174" s="2611"/>
      <c r="G174" s="2611"/>
      <c r="H174" s="2611"/>
      <c r="I174" s="2722"/>
      <c r="J174" s="2734"/>
      <c r="K174" s="2724"/>
      <c r="L174" s="175" t="str">
        <f>IF(A174&lt;&gt;"",IFERROR(INDEX(PMtbl[[WKst]:[Unit of measure*]],MATCH($A$132&amp;$A174&amp;$E174&amp;$I174,INDEX(PMtbl[Sec]&amp;PMtbl[Category]&amp;PMtbl[INN]&amp;PMtbl[Specification],0,),0),8),""),"")</f>
        <v/>
      </c>
      <c r="M174" s="175" t="str">
        <f>IF(L174="", "",SETUP!$E$5)</f>
        <v/>
      </c>
      <c r="N174" s="857"/>
      <c r="O174" s="873"/>
      <c r="P174" s="873"/>
      <c r="Q174" s="873"/>
      <c r="R174" s="873"/>
      <c r="S174" s="469">
        <f>SUM('TB-EQUIPMENT &amp; OTHER HPs'!$O174:$R174)</f>
        <v>0</v>
      </c>
      <c r="T174" s="833">
        <f>'TB-EQUIPMENT &amp; OTHER HPs'!$N174*'TB-EQUIPMENT &amp; OTHER HPs'!$S174</f>
        <v>0</v>
      </c>
      <c r="U174" s="857"/>
      <c r="V174" s="873"/>
      <c r="W174" s="873"/>
      <c r="X174" s="873"/>
      <c r="Y174" s="873"/>
      <c r="Z174" s="469">
        <f>SUM('TB-EQUIPMENT &amp; OTHER HPs'!$V174:$Y174)</f>
        <v>0</v>
      </c>
      <c r="AA174" s="833">
        <f>'TB-EQUIPMENT &amp; OTHER HPs'!$U174*'TB-EQUIPMENT &amp; OTHER HPs'!$Z174</f>
        <v>0</v>
      </c>
      <c r="AB174" s="857"/>
      <c r="AC174" s="873"/>
      <c r="AD174" s="873"/>
      <c r="AE174" s="873"/>
      <c r="AF174" s="873"/>
      <c r="AG174" s="469">
        <f>SUM('TB-EQUIPMENT &amp; OTHER HPs'!$AC174:$AF174)</f>
        <v>0</v>
      </c>
      <c r="AH174" s="833">
        <f>'TB-EQUIPMENT &amp; OTHER HPs'!$AB174*'TB-EQUIPMENT &amp; OTHER HPs'!$AG174</f>
        <v>0</v>
      </c>
      <c r="AI174" s="470">
        <f>'TB-EQUIPMENT &amp; OTHER HPs'!$S174+'TB-EQUIPMENT &amp; OTHER HPs'!$Z174+'TB-EQUIPMENT &amp; OTHER HPs'!$AG174</f>
        <v>0</v>
      </c>
      <c r="AJ174" s="833">
        <f>'TB-EQUIPMENT &amp; OTHER HPs'!$T174+'TB-EQUIPMENT &amp; OTHER HPs'!$AA174+'TB-EQUIPMENT &amp; OTHER HPs'!$AH174</f>
        <v>0</v>
      </c>
      <c r="AK174" s="400" t="str">
        <f>IF(A174&lt;&gt;"",IFERROR(INDEX(PMtbl[[WKst]:[Unit of measure*]],MATCH($A$132&amp;$A174&amp;$E174&amp;$I174,INDEX(PMtbl[Sec]&amp;PMtbl[Category]&amp;PMtbl[INN]&amp;PMtbl[Specification],0,),0),7),""),"")</f>
        <v/>
      </c>
      <c r="AL174" s="946"/>
      <c r="AM174" s="1427" t="str">
        <f>IFERROR(INDEX(SETUP!$C$19:$G$62,MATCH((INDEX(PMtbl[[WKst]:[Unit of measure*]],MATCH($A174&amp;$E174&amp;$I174,INDEX(PMtbl[Category]&amp;PMtbl[INN]&amp;PMtbl[Specification],0,),0),3)),SETUP!$D$19:$D$62,0),5),"")</f>
        <v/>
      </c>
      <c r="AN174" s="1427" t="str">
        <f>IFERROR(IF((INDEX(SETUP!$C$19:$G$62,MATCH((INDEX(PMtbl[[WKst]:[Unit of measure*]],MATCH($A174&amp;$E174&amp;$I174,INDEX(PMtbl[Category]&amp;PMtbl[INN]&amp;PMtbl[Specification],0,),0),3)),SETUP!$D$19:$D$62,0),4))="Upfront",0,INDEX(SETUP!$C$19:$G$62,MATCH((INDEX(PMtbl[[WKst]:[Unit of measure*]],MATCH($A174&amp;$E174&amp;$I174,INDEX(PMtbl[Category]&amp;PMtbl[INN]&amp;PMtbl[Specification],0,),0),3)),SETUP!$D$19:$D$62,0),5)),"")</f>
        <v/>
      </c>
    </row>
    <row r="175" spans="1:62" s="198" customFormat="1" ht="15" thickBot="1">
      <c r="A175" s="2764"/>
      <c r="B175" s="2765"/>
      <c r="C175" s="2765"/>
      <c r="D175" s="2765"/>
      <c r="E175" s="2764"/>
      <c r="F175" s="2765"/>
      <c r="G175" s="2765"/>
      <c r="H175" s="2765"/>
      <c r="I175" s="2767"/>
      <c r="J175" s="2768"/>
      <c r="K175" s="2769"/>
      <c r="L175" s="178" t="str">
        <f>IF(A175&lt;&gt;"",IFERROR(INDEX(PMtbl[[WKst]:[Unit of measure*]],MATCH($A$132&amp;$A175&amp;$E175&amp;$I175,INDEX(PMtbl[Sec]&amp;PMtbl[Category]&amp;PMtbl[INN]&amp;PMtbl[Specification],0,),0),8),""),"")</f>
        <v/>
      </c>
      <c r="M175" s="178" t="str">
        <f>IF(L175="", "",SETUP!$E$5)</f>
        <v/>
      </c>
      <c r="N175" s="858"/>
      <c r="O175" s="874"/>
      <c r="P175" s="874"/>
      <c r="Q175" s="874"/>
      <c r="R175" s="874"/>
      <c r="S175" s="471">
        <f>SUM('TB-EQUIPMENT &amp; OTHER HPs'!$O175:$R175)</f>
        <v>0</v>
      </c>
      <c r="T175" s="834">
        <f>'TB-EQUIPMENT &amp; OTHER HPs'!$N175*'TB-EQUIPMENT &amp; OTHER HPs'!$S175</f>
        <v>0</v>
      </c>
      <c r="U175" s="858"/>
      <c r="V175" s="874"/>
      <c r="W175" s="874"/>
      <c r="X175" s="874"/>
      <c r="Y175" s="874"/>
      <c r="Z175" s="471">
        <f>SUM('TB-EQUIPMENT &amp; OTHER HPs'!$V175:$Y175)</f>
        <v>0</v>
      </c>
      <c r="AA175" s="834">
        <f>'TB-EQUIPMENT &amp; OTHER HPs'!$U175*'TB-EQUIPMENT &amp; OTHER HPs'!$Z175</f>
        <v>0</v>
      </c>
      <c r="AB175" s="858"/>
      <c r="AC175" s="874"/>
      <c r="AD175" s="874"/>
      <c r="AE175" s="874"/>
      <c r="AF175" s="874"/>
      <c r="AG175" s="471">
        <f>SUM('TB-EQUIPMENT &amp; OTHER HPs'!$AC175:$AF175)</f>
        <v>0</v>
      </c>
      <c r="AH175" s="834">
        <f>'TB-EQUIPMENT &amp; OTHER HPs'!$AB175*'TB-EQUIPMENT &amp; OTHER HPs'!$AG175</f>
        <v>0</v>
      </c>
      <c r="AI175" s="472">
        <f>'TB-EQUIPMENT &amp; OTHER HPs'!$S175+'TB-EQUIPMENT &amp; OTHER HPs'!$Z175+'TB-EQUIPMENT &amp; OTHER HPs'!$AG175</f>
        <v>0</v>
      </c>
      <c r="AJ175" s="834">
        <f>'TB-EQUIPMENT &amp; OTHER HPs'!$T175+'TB-EQUIPMENT &amp; OTHER HPs'!$AA175+'TB-EQUIPMENT &amp; OTHER HPs'!$AH175</f>
        <v>0</v>
      </c>
      <c r="AK175" s="473" t="str">
        <f>IF(A175&lt;&gt;"",IFERROR(INDEX(PMtbl[[WKst]:[Unit of measure*]],MATCH($A$132&amp;$A175&amp;$E175&amp;$I175,INDEX(PMtbl[Sec]&amp;PMtbl[Category]&amp;PMtbl[INN]&amp;PMtbl[Specification],0,),0),7),""),"")</f>
        <v/>
      </c>
      <c r="AL175" s="948"/>
      <c r="AM175" s="1433" t="str">
        <f>IFERROR(INDEX(SETUP!$C$19:$G$62,MATCH((INDEX(PMtbl[[WKst]:[Unit of measure*]],MATCH($A175&amp;$E175&amp;$I175,INDEX(PMtbl[Category]&amp;PMtbl[INN]&amp;PMtbl[Specification],0,),0),3)),SETUP!$D$19:$D$62,0),5),"")</f>
        <v/>
      </c>
      <c r="AN175" s="1433" t="str">
        <f>IFERROR(IF((INDEX(SETUP!$C$19:$G$62,MATCH((INDEX(PMtbl[[WKst]:[Unit of measure*]],MATCH($A175&amp;$E175&amp;$I175,INDEX(PMtbl[Category]&amp;PMtbl[INN]&amp;PMtbl[Specification],0,),0),3)),SETUP!$D$19:$D$62,0),4))="Upfront",0,INDEX(SETUP!$C$19:$G$62,MATCH((INDEX(PMtbl[[WKst]:[Unit of measure*]],MATCH($A175&amp;$E175&amp;$I175,INDEX(PMtbl[Category]&amp;PMtbl[INN]&amp;PMtbl[Specification],0,),0),3)),SETUP!$D$19:$D$62,0),5)),"")</f>
        <v/>
      </c>
    </row>
    <row r="176" spans="1:62" s="198" customFormat="1">
      <c r="A176" s="193"/>
      <c r="B176" s="193"/>
      <c r="C176" s="193"/>
      <c r="D176" s="194"/>
      <c r="E176" s="194"/>
      <c r="F176" s="194"/>
      <c r="G176" s="194"/>
      <c r="H176" s="195"/>
      <c r="I176" s="195"/>
      <c r="J176" s="196"/>
      <c r="K176" s="196"/>
      <c r="L176" s="196"/>
      <c r="M176" s="196"/>
      <c r="N176" s="866"/>
      <c r="O176" s="197"/>
      <c r="P176" s="197"/>
      <c r="Q176" s="884"/>
      <c r="R176" s="884"/>
      <c r="S176" s="884"/>
      <c r="T176" s="866"/>
      <c r="U176" s="866"/>
      <c r="V176" s="197"/>
      <c r="W176" s="197"/>
      <c r="X176" s="884"/>
      <c r="Y176" s="884"/>
      <c r="Z176" s="884"/>
      <c r="AA176" s="866"/>
      <c r="AB176" s="866"/>
      <c r="AC176" s="197"/>
      <c r="AD176" s="197"/>
      <c r="AE176" s="197"/>
      <c r="AF176" s="197"/>
      <c r="AG176" s="886"/>
      <c r="AH176" s="851"/>
      <c r="AI176" s="459"/>
      <c r="AJ176" s="841"/>
      <c r="AL176" s="953"/>
      <c r="AM176" s="953"/>
    </row>
    <row r="177" spans="47:62">
      <c r="AU177" s="198"/>
      <c r="AV177" s="198"/>
      <c r="AW177" s="198"/>
      <c r="AX177" s="198"/>
      <c r="AY177" s="198"/>
      <c r="AZ177" s="198"/>
      <c r="BA177" s="198"/>
      <c r="BB177" s="198"/>
      <c r="BC177" s="198"/>
      <c r="BD177" s="198"/>
      <c r="BE177" s="198"/>
      <c r="BF177" s="198"/>
      <c r="BG177" s="198"/>
      <c r="BH177" s="198"/>
      <c r="BI177" s="198"/>
      <c r="BJ177" s="198"/>
    </row>
    <row r="178" spans="47:62">
      <c r="AU178" s="198"/>
      <c r="AV178" s="198"/>
      <c r="AW178" s="198"/>
      <c r="AX178" s="198"/>
      <c r="AY178" s="198"/>
      <c r="AZ178" s="198"/>
      <c r="BA178" s="198"/>
      <c r="BB178" s="198"/>
      <c r="BC178" s="198"/>
      <c r="BD178" s="198"/>
      <c r="BE178" s="198"/>
      <c r="BF178" s="198"/>
      <c r="BG178" s="198"/>
      <c r="BH178" s="198"/>
      <c r="BI178" s="198"/>
      <c r="BJ178" s="198"/>
    </row>
    <row r="179" spans="47:62">
      <c r="AW179" s="198"/>
      <c r="AX179" s="198"/>
      <c r="AY179" s="198"/>
      <c r="AZ179" s="198"/>
      <c r="BA179" s="198"/>
      <c r="BB179" s="198"/>
      <c r="BC179" s="198"/>
      <c r="BD179" s="198"/>
      <c r="BE179" s="198"/>
      <c r="BF179" s="198"/>
      <c r="BG179" s="198"/>
      <c r="BH179" s="198"/>
      <c r="BI179" s="198"/>
    </row>
  </sheetData>
  <sheetProtection algorithmName="SHA-512" hashValue="8NEsdzLLgpnUKmMpYTBP3WqX5xtOwQHaa/BqJDqIHgSNzKEYZGkFXZYszlwJcGt7pCENfF8umKkL6+JlUvWw8Q==" saltValue="YxHbEU2xThiq+lAlSBE47Q==" spinCount="100000" sheet="1" autoFilter="0"/>
  <mergeCells count="517">
    <mergeCell ref="AM89:AM90"/>
    <mergeCell ref="AM136:AM137"/>
    <mergeCell ref="A10:M10"/>
    <mergeCell ref="A65:M65"/>
    <mergeCell ref="A87:M87"/>
    <mergeCell ref="A134:M134"/>
    <mergeCell ref="AB89:AH89"/>
    <mergeCell ref="AL89:AL90"/>
    <mergeCell ref="AL136:AL137"/>
    <mergeCell ref="N136:T136"/>
    <mergeCell ref="U136:AA136"/>
    <mergeCell ref="AB136:AH136"/>
    <mergeCell ref="A136:D137"/>
    <mergeCell ref="A94:D94"/>
    <mergeCell ref="A95:D95"/>
    <mergeCell ref="A96:D96"/>
    <mergeCell ref="A85:A86"/>
    <mergeCell ref="B85:E86"/>
    <mergeCell ref="E95:H95"/>
    <mergeCell ref="E96:H96"/>
    <mergeCell ref="A115:D115"/>
    <mergeCell ref="A116:D116"/>
    <mergeCell ref="E108:H108"/>
    <mergeCell ref="E109:H109"/>
    <mergeCell ref="A157:D157"/>
    <mergeCell ref="A158:D158"/>
    <mergeCell ref="A159:D159"/>
    <mergeCell ref="A160:D160"/>
    <mergeCell ref="A161:D161"/>
    <mergeCell ref="A162:D162"/>
    <mergeCell ref="A172:D172"/>
    <mergeCell ref="A173:D173"/>
    <mergeCell ref="A146:D146"/>
    <mergeCell ref="A147:D147"/>
    <mergeCell ref="A148:D148"/>
    <mergeCell ref="A149:D149"/>
    <mergeCell ref="A150:D150"/>
    <mergeCell ref="A151:D151"/>
    <mergeCell ref="A152:D152"/>
    <mergeCell ref="A153:D153"/>
    <mergeCell ref="A154:D154"/>
    <mergeCell ref="A155:D155"/>
    <mergeCell ref="A156:D156"/>
    <mergeCell ref="A175:D175"/>
    <mergeCell ref="A163:D163"/>
    <mergeCell ref="A164:D164"/>
    <mergeCell ref="A165:D165"/>
    <mergeCell ref="A166:D166"/>
    <mergeCell ref="A167:D167"/>
    <mergeCell ref="A168:D168"/>
    <mergeCell ref="A169:D169"/>
    <mergeCell ref="A170:D170"/>
    <mergeCell ref="A171:D171"/>
    <mergeCell ref="A174:D174"/>
    <mergeCell ref="A138:D138"/>
    <mergeCell ref="A139:D139"/>
    <mergeCell ref="A140:D140"/>
    <mergeCell ref="A141:D141"/>
    <mergeCell ref="A142:D142"/>
    <mergeCell ref="A143:D143"/>
    <mergeCell ref="A144:D144"/>
    <mergeCell ref="A145:D145"/>
    <mergeCell ref="A122:D122"/>
    <mergeCell ref="A123:D123"/>
    <mergeCell ref="A124:D124"/>
    <mergeCell ref="A125:D125"/>
    <mergeCell ref="A126:D126"/>
    <mergeCell ref="A127:D127"/>
    <mergeCell ref="A128:D128"/>
    <mergeCell ref="A129:D129"/>
    <mergeCell ref="A130:D130"/>
    <mergeCell ref="A104:D104"/>
    <mergeCell ref="A105:D105"/>
    <mergeCell ref="A108:D108"/>
    <mergeCell ref="A109:D109"/>
    <mergeCell ref="A110:D110"/>
    <mergeCell ref="A79:D79"/>
    <mergeCell ref="A80:D80"/>
    <mergeCell ref="A81:D81"/>
    <mergeCell ref="A82:D82"/>
    <mergeCell ref="A83:D83"/>
    <mergeCell ref="A89:D90"/>
    <mergeCell ref="A91:D91"/>
    <mergeCell ref="A92:D92"/>
    <mergeCell ref="A93:D93"/>
    <mergeCell ref="A71:D71"/>
    <mergeCell ref="A72:D72"/>
    <mergeCell ref="A63:A64"/>
    <mergeCell ref="A73:D73"/>
    <mergeCell ref="A74:D74"/>
    <mergeCell ref="A75:D75"/>
    <mergeCell ref="A76:D76"/>
    <mergeCell ref="A77:D77"/>
    <mergeCell ref="A78:D78"/>
    <mergeCell ref="A54:D54"/>
    <mergeCell ref="A55:D55"/>
    <mergeCell ref="A56:D56"/>
    <mergeCell ref="A57:D57"/>
    <mergeCell ref="A58:D58"/>
    <mergeCell ref="A59:D59"/>
    <mergeCell ref="A60:D60"/>
    <mergeCell ref="A61:D61"/>
    <mergeCell ref="A67:D68"/>
    <mergeCell ref="A45:D45"/>
    <mergeCell ref="A46:D46"/>
    <mergeCell ref="A47:D47"/>
    <mergeCell ref="A48:D48"/>
    <mergeCell ref="A49:D49"/>
    <mergeCell ref="A50:D50"/>
    <mergeCell ref="A51:D51"/>
    <mergeCell ref="A52:D52"/>
    <mergeCell ref="A53:D53"/>
    <mergeCell ref="I156:K156"/>
    <mergeCell ref="E157:H157"/>
    <mergeCell ref="I157:K157"/>
    <mergeCell ref="A12: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41:D41"/>
    <mergeCell ref="A42:D42"/>
    <mergeCell ref="A43:D43"/>
    <mergeCell ref="A44:D44"/>
    <mergeCell ref="I153:K153"/>
    <mergeCell ref="E154:H154"/>
    <mergeCell ref="E173:H173"/>
    <mergeCell ref="I173:K173"/>
    <mergeCell ref="E164:H164"/>
    <mergeCell ref="I164:K164"/>
    <mergeCell ref="E165:H165"/>
    <mergeCell ref="I165:K165"/>
    <mergeCell ref="E166:H166"/>
    <mergeCell ref="I166:K166"/>
    <mergeCell ref="E167:H167"/>
    <mergeCell ref="I167:K167"/>
    <mergeCell ref="E168:H168"/>
    <mergeCell ref="I168:K168"/>
    <mergeCell ref="E169:H169"/>
    <mergeCell ref="I169:K169"/>
    <mergeCell ref="E170:H170"/>
    <mergeCell ref="I170:K170"/>
    <mergeCell ref="E171:H171"/>
    <mergeCell ref="I171:K171"/>
    <mergeCell ref="I154:K154"/>
    <mergeCell ref="E155:H155"/>
    <mergeCell ref="I155:K155"/>
    <mergeCell ref="E156:H156"/>
    <mergeCell ref="E144:H144"/>
    <mergeCell ref="I144:K144"/>
    <mergeCell ref="E145:H145"/>
    <mergeCell ref="I145:K145"/>
    <mergeCell ref="E123:H123"/>
    <mergeCell ref="E172:H172"/>
    <mergeCell ref="I172:K172"/>
    <mergeCell ref="E159:H159"/>
    <mergeCell ref="I159:K159"/>
    <mergeCell ref="E160:H160"/>
    <mergeCell ref="I160:K160"/>
    <mergeCell ref="E162:H162"/>
    <mergeCell ref="I162:K162"/>
    <mergeCell ref="E163:H163"/>
    <mergeCell ref="I163:K163"/>
    <mergeCell ref="E161:H161"/>
    <mergeCell ref="I161:K161"/>
    <mergeCell ref="E147:H147"/>
    <mergeCell ref="I147:K147"/>
    <mergeCell ref="E148:H148"/>
    <mergeCell ref="I148:K148"/>
    <mergeCell ref="E158:H158"/>
    <mergeCell ref="I158:K158"/>
    <mergeCell ref="E153:H153"/>
    <mergeCell ref="E140:H140"/>
    <mergeCell ref="I140:K140"/>
    <mergeCell ref="E141:H141"/>
    <mergeCell ref="I141:K141"/>
    <mergeCell ref="I142:K142"/>
    <mergeCell ref="E143:H143"/>
    <mergeCell ref="I143:K143"/>
    <mergeCell ref="H132:H133"/>
    <mergeCell ref="E110:H110"/>
    <mergeCell ref="E111:H111"/>
    <mergeCell ref="E112:H112"/>
    <mergeCell ref="E125:H125"/>
    <mergeCell ref="I125:K125"/>
    <mergeCell ref="E126:H126"/>
    <mergeCell ref="E117:H117"/>
    <mergeCell ref="I117:K117"/>
    <mergeCell ref="E115:H115"/>
    <mergeCell ref="I115:K115"/>
    <mergeCell ref="I132:I133"/>
    <mergeCell ref="J132:J133"/>
    <mergeCell ref="E118:H118"/>
    <mergeCell ref="B132:E133"/>
    <mergeCell ref="A117:D117"/>
    <mergeCell ref="A118:D118"/>
    <mergeCell ref="I126:K126"/>
    <mergeCell ref="H85:H86"/>
    <mergeCell ref="E78:H78"/>
    <mergeCell ref="I78:K78"/>
    <mergeCell ref="E79:H79"/>
    <mergeCell ref="I79:K79"/>
    <mergeCell ref="E80:H80"/>
    <mergeCell ref="I80:K80"/>
    <mergeCell ref="E83:H83"/>
    <mergeCell ref="E106:H106"/>
    <mergeCell ref="I106:K106"/>
    <mergeCell ref="E107:H107"/>
    <mergeCell ref="I107:K107"/>
    <mergeCell ref="F85:G85"/>
    <mergeCell ref="F86:G86"/>
    <mergeCell ref="E101:H101"/>
    <mergeCell ref="E102:H102"/>
    <mergeCell ref="I123:K123"/>
    <mergeCell ref="I101:K101"/>
    <mergeCell ref="I82:K82"/>
    <mergeCell ref="I110:K110"/>
    <mergeCell ref="I111:K111"/>
    <mergeCell ref="I95:K95"/>
    <mergeCell ref="I96:K96"/>
    <mergeCell ref="I97:K97"/>
    <mergeCell ref="I98:K98"/>
    <mergeCell ref="I99:K99"/>
    <mergeCell ref="I100:K100"/>
    <mergeCell ref="I102:K102"/>
    <mergeCell ref="I103:K103"/>
    <mergeCell ref="I104:K104"/>
    <mergeCell ref="E119:H119"/>
    <mergeCell ref="I119:K119"/>
    <mergeCell ref="E120:H120"/>
    <mergeCell ref="I120:K120"/>
    <mergeCell ref="E121:H121"/>
    <mergeCell ref="I121:K121"/>
    <mergeCell ref="I108:K108"/>
    <mergeCell ref="I109:K109"/>
    <mergeCell ref="A119:D119"/>
    <mergeCell ref="A120:D120"/>
    <mergeCell ref="A121:D121"/>
    <mergeCell ref="E122:H122"/>
    <mergeCell ref="I122:K122"/>
    <mergeCell ref="E103:H103"/>
    <mergeCell ref="A97:D97"/>
    <mergeCell ref="A98:D98"/>
    <mergeCell ref="A99:D99"/>
    <mergeCell ref="A100:D100"/>
    <mergeCell ref="A101:D101"/>
    <mergeCell ref="A102:D102"/>
    <mergeCell ref="A103:D103"/>
    <mergeCell ref="E113:H113"/>
    <mergeCell ref="I113:K113"/>
    <mergeCell ref="E114:H114"/>
    <mergeCell ref="I114:K114"/>
    <mergeCell ref="A107:D107"/>
    <mergeCell ref="A111:D111"/>
    <mergeCell ref="A106:D106"/>
    <mergeCell ref="A112:D112"/>
    <mergeCell ref="A113:D113"/>
    <mergeCell ref="A114:D114"/>
    <mergeCell ref="E116:H116"/>
    <mergeCell ref="I116:K116"/>
    <mergeCell ref="I112:K112"/>
    <mergeCell ref="I118:K118"/>
    <mergeCell ref="AI136:AJ136"/>
    <mergeCell ref="E174:H174"/>
    <mergeCell ref="I174:K174"/>
    <mergeCell ref="E175:H175"/>
    <mergeCell ref="I175:K175"/>
    <mergeCell ref="E149:H149"/>
    <mergeCell ref="I149:K149"/>
    <mergeCell ref="E150:H150"/>
    <mergeCell ref="I150:K150"/>
    <mergeCell ref="E151:H151"/>
    <mergeCell ref="I151:K151"/>
    <mergeCell ref="M136:M137"/>
    <mergeCell ref="E152:H152"/>
    <mergeCell ref="I152:K152"/>
    <mergeCell ref="L136:L137"/>
    <mergeCell ref="E142:H142"/>
    <mergeCell ref="E146:H146"/>
    <mergeCell ref="I146:K146"/>
    <mergeCell ref="E136:H137"/>
    <mergeCell ref="I136:K137"/>
    <mergeCell ref="E138:H138"/>
    <mergeCell ref="I138:K138"/>
    <mergeCell ref="E139:H139"/>
    <mergeCell ref="I139:K139"/>
    <mergeCell ref="L89:L90"/>
    <mergeCell ref="E89:H90"/>
    <mergeCell ref="I89:K90"/>
    <mergeCell ref="E91:H91"/>
    <mergeCell ref="I91:K91"/>
    <mergeCell ref="M89:M90"/>
    <mergeCell ref="A132:A133"/>
    <mergeCell ref="E127:H127"/>
    <mergeCell ref="I127:K127"/>
    <mergeCell ref="E128:H128"/>
    <mergeCell ref="I128:K128"/>
    <mergeCell ref="E129:H129"/>
    <mergeCell ref="I129:K129"/>
    <mergeCell ref="E130:H130"/>
    <mergeCell ref="I130:K130"/>
    <mergeCell ref="E124:H124"/>
    <mergeCell ref="I124:K124"/>
    <mergeCell ref="E104:H104"/>
    <mergeCell ref="E105:H105"/>
    <mergeCell ref="E97:H97"/>
    <mergeCell ref="E98:H98"/>
    <mergeCell ref="E99:H99"/>
    <mergeCell ref="E100:H100"/>
    <mergeCell ref="I105:K105"/>
    <mergeCell ref="E69:H69"/>
    <mergeCell ref="I69:K69"/>
    <mergeCell ref="E70:H70"/>
    <mergeCell ref="I70:K70"/>
    <mergeCell ref="E67:H68"/>
    <mergeCell ref="I67:K68"/>
    <mergeCell ref="L67:L68"/>
    <mergeCell ref="I63:I64"/>
    <mergeCell ref="J63:J64"/>
    <mergeCell ref="H63:H64"/>
    <mergeCell ref="B63:E64"/>
    <mergeCell ref="A70:D70"/>
    <mergeCell ref="A69:D69"/>
    <mergeCell ref="E57:H57"/>
    <mergeCell ref="I57:K57"/>
    <mergeCell ref="E58:H58"/>
    <mergeCell ref="I58:K58"/>
    <mergeCell ref="E59:H59"/>
    <mergeCell ref="I59:K59"/>
    <mergeCell ref="E60:H60"/>
    <mergeCell ref="I60:K60"/>
    <mergeCell ref="E61:H61"/>
    <mergeCell ref="I61:K61"/>
    <mergeCell ref="E12:H13"/>
    <mergeCell ref="I12:K13"/>
    <mergeCell ref="E14:H14"/>
    <mergeCell ref="I14:K14"/>
    <mergeCell ref="E15:H15"/>
    <mergeCell ref="I15:K15"/>
    <mergeCell ref="I45:K45"/>
    <mergeCell ref="E46:H46"/>
    <mergeCell ref="I46:K46"/>
    <mergeCell ref="E28:H28"/>
    <mergeCell ref="E29:H29"/>
    <mergeCell ref="E30:H30"/>
    <mergeCell ref="E31:H31"/>
    <mergeCell ref="E32:H32"/>
    <mergeCell ref="E33:H33"/>
    <mergeCell ref="E55:H55"/>
    <mergeCell ref="I55:K55"/>
    <mergeCell ref="E56:H56"/>
    <mergeCell ref="I56:K56"/>
    <mergeCell ref="E16:H16"/>
    <mergeCell ref="I16:K16"/>
    <mergeCell ref="E45:H45"/>
    <mergeCell ref="E53:H53"/>
    <mergeCell ref="I53:K53"/>
    <mergeCell ref="E36:H36"/>
    <mergeCell ref="E37:H37"/>
    <mergeCell ref="E38:H38"/>
    <mergeCell ref="E39:H39"/>
    <mergeCell ref="N1:N2"/>
    <mergeCell ref="G5:G6"/>
    <mergeCell ref="H5:K6"/>
    <mergeCell ref="O1:O2"/>
    <mergeCell ref="E54:H54"/>
    <mergeCell ref="I54:K54"/>
    <mergeCell ref="L12:L13"/>
    <mergeCell ref="I20:K20"/>
    <mergeCell ref="E21:H21"/>
    <mergeCell ref="I21:K21"/>
    <mergeCell ref="M1:M2"/>
    <mergeCell ref="E52:H52"/>
    <mergeCell ref="I52:K52"/>
    <mergeCell ref="E47:H47"/>
    <mergeCell ref="I47:K47"/>
    <mergeCell ref="E49:H49"/>
    <mergeCell ref="I49:K49"/>
    <mergeCell ref="E51:H51"/>
    <mergeCell ref="I51:K51"/>
    <mergeCell ref="E48:H48"/>
    <mergeCell ref="I48:K48"/>
    <mergeCell ref="E50:H50"/>
    <mergeCell ref="I50:K50"/>
    <mergeCell ref="I29:K29"/>
    <mergeCell ref="A8:A9"/>
    <mergeCell ref="A1:K1"/>
    <mergeCell ref="B3:B4"/>
    <mergeCell ref="C3:E4"/>
    <mergeCell ref="G3:G4"/>
    <mergeCell ref="H3:K4"/>
    <mergeCell ref="B5:B6"/>
    <mergeCell ref="C5:E6"/>
    <mergeCell ref="H8:H9"/>
    <mergeCell ref="I8:I9"/>
    <mergeCell ref="J8:J9"/>
    <mergeCell ref="B8:E9"/>
    <mergeCell ref="A30:D30"/>
    <mergeCell ref="A31:D31"/>
    <mergeCell ref="A32:D32"/>
    <mergeCell ref="A33:D33"/>
    <mergeCell ref="A34:D34"/>
    <mergeCell ref="A35:D35"/>
    <mergeCell ref="A36:D36"/>
    <mergeCell ref="I25:K25"/>
    <mergeCell ref="I40:K40"/>
    <mergeCell ref="I30:K30"/>
    <mergeCell ref="I31:K31"/>
    <mergeCell ref="I32:K32"/>
    <mergeCell ref="I33:K33"/>
    <mergeCell ref="I34:K34"/>
    <mergeCell ref="I35:K35"/>
    <mergeCell ref="I27:K27"/>
    <mergeCell ref="I28:K28"/>
    <mergeCell ref="E40:H40"/>
    <mergeCell ref="A37:D37"/>
    <mergeCell ref="A38:D38"/>
    <mergeCell ref="A39:D39"/>
    <mergeCell ref="A40:D40"/>
    <mergeCell ref="E26:H26"/>
    <mergeCell ref="E27:H27"/>
    <mergeCell ref="I73:K73"/>
    <mergeCell ref="E73:H73"/>
    <mergeCell ref="E74:H74"/>
    <mergeCell ref="I74:K74"/>
    <mergeCell ref="E75:H75"/>
    <mergeCell ref="I75:K75"/>
    <mergeCell ref="E81:H81"/>
    <mergeCell ref="I81:K81"/>
    <mergeCell ref="I22:K22"/>
    <mergeCell ref="E23:H23"/>
    <mergeCell ref="I23:K23"/>
    <mergeCell ref="E24:H24"/>
    <mergeCell ref="I24:K24"/>
    <mergeCell ref="E25:H25"/>
    <mergeCell ref="E44:H44"/>
    <mergeCell ref="I44:K44"/>
    <mergeCell ref="E41:H41"/>
    <mergeCell ref="E42:H42"/>
    <mergeCell ref="E43:H43"/>
    <mergeCell ref="I36:K36"/>
    <mergeCell ref="I37:K37"/>
    <mergeCell ref="I41:K41"/>
    <mergeCell ref="I42:K42"/>
    <mergeCell ref="I43:K43"/>
    <mergeCell ref="I94:K94"/>
    <mergeCell ref="I83:K83"/>
    <mergeCell ref="I85:I86"/>
    <mergeCell ref="J85:J86"/>
    <mergeCell ref="E76:H76"/>
    <mergeCell ref="I76:K76"/>
    <mergeCell ref="E77:H77"/>
    <mergeCell ref="I77:K77"/>
    <mergeCell ref="E82:H82"/>
    <mergeCell ref="I92:K92"/>
    <mergeCell ref="E93:H93"/>
    <mergeCell ref="I93:K93"/>
    <mergeCell ref="E92:H92"/>
    <mergeCell ref="E94:H94"/>
    <mergeCell ref="U89:AA89"/>
    <mergeCell ref="N89:T89"/>
    <mergeCell ref="AI12:AJ12"/>
    <mergeCell ref="M12:M13"/>
    <mergeCell ref="AI67:AJ67"/>
    <mergeCell ref="M67:M68"/>
    <mergeCell ref="AI89:AJ89"/>
    <mergeCell ref="E71:H71"/>
    <mergeCell ref="I71:K71"/>
    <mergeCell ref="E72:H72"/>
    <mergeCell ref="I72:K72"/>
    <mergeCell ref="E17:H17"/>
    <mergeCell ref="I17:K17"/>
    <mergeCell ref="E18:H18"/>
    <mergeCell ref="I18:K18"/>
    <mergeCell ref="E19:H19"/>
    <mergeCell ref="I19:K19"/>
    <mergeCell ref="E20:H20"/>
    <mergeCell ref="I38:K38"/>
    <mergeCell ref="I39:K39"/>
    <mergeCell ref="E34:H34"/>
    <mergeCell ref="E35:H35"/>
    <mergeCell ref="I26:K26"/>
    <mergeCell ref="E22:H22"/>
    <mergeCell ref="N12:T12"/>
    <mergeCell ref="U12:AA12"/>
    <mergeCell ref="AB12:AH12"/>
    <mergeCell ref="N67:T67"/>
    <mergeCell ref="U67:AA67"/>
    <mergeCell ref="AB67:AH67"/>
    <mergeCell ref="AL12:AL13"/>
    <mergeCell ref="AL67:AL68"/>
    <mergeCell ref="AN12:AN13"/>
    <mergeCell ref="AN67:AN68"/>
    <mergeCell ref="AM12:AM13"/>
    <mergeCell ref="AM67:AM68"/>
    <mergeCell ref="AN89:AN90"/>
    <mergeCell ref="AN136:AN137"/>
    <mergeCell ref="AX23:BI23"/>
    <mergeCell ref="AX24:BA24"/>
    <mergeCell ref="BB24:BE24"/>
    <mergeCell ref="BF24:BI24"/>
    <mergeCell ref="AX11:BI11"/>
    <mergeCell ref="AX12:BA12"/>
    <mergeCell ref="BB12:BE12"/>
    <mergeCell ref="BF12:BI12"/>
  </mergeCells>
  <conditionalFormatting sqref="A14:K21 A23:K61 E22:K22">
    <cfRule type="expression" dxfId="735" priority="10">
      <formula>AND($I14&lt;&gt;"",$L14="")</formula>
    </cfRule>
  </conditionalFormatting>
  <conditionalFormatting sqref="A69:K72 A74:K83">
    <cfRule type="expression" dxfId="734" priority="9">
      <formula>AND($I69&lt;&gt;"",$L69="")</formula>
    </cfRule>
  </conditionalFormatting>
  <conditionalFormatting sqref="A91:K96 A99:K130 E97:K98">
    <cfRule type="expression" dxfId="733" priority="8">
      <formula>AND($I91&lt;&gt;"",$L91="")</formula>
    </cfRule>
  </conditionalFormatting>
  <conditionalFormatting sqref="A138:K141 A143:K175 E142:K142">
    <cfRule type="expression" dxfId="732" priority="7">
      <formula>AND($I138&lt;&gt;"",$L138="")</formula>
    </cfRule>
  </conditionalFormatting>
  <conditionalFormatting sqref="A22:D22">
    <cfRule type="expression" dxfId="731" priority="6">
      <formula>AND($I22&lt;&gt;"",$L22="")</formula>
    </cfRule>
  </conditionalFormatting>
  <conditionalFormatting sqref="A98:D98">
    <cfRule type="expression" dxfId="730" priority="4">
      <formula>AND($I98&lt;&gt;"",$L98="")</formula>
    </cfRule>
  </conditionalFormatting>
  <conditionalFormatting sqref="A97:D97">
    <cfRule type="expression" dxfId="729" priority="3">
      <formula>AND($I97&lt;&gt;"",$L97="")</formula>
    </cfRule>
  </conditionalFormatting>
  <conditionalFormatting sqref="A73:K73">
    <cfRule type="expression" dxfId="728" priority="2">
      <formula>AND($I73&lt;&gt;"",$L73="")</formula>
    </cfRule>
  </conditionalFormatting>
  <conditionalFormatting sqref="A142:D142">
    <cfRule type="expression" dxfId="727" priority="1">
      <formula>AND($I142&lt;&gt;"",$L142="")</formula>
    </cfRule>
  </conditionalFormatting>
  <dataValidations count="14">
    <dataValidation type="decimal" allowBlank="1" showInputMessage="1" showErrorMessage="1" sqref="AG91:AH130 S69:U83 AG14:AH61 N14:N61 S14:U61 Z14:AB61 AG69:AH83 Z69:AB83 N69:N83 N91:N130 S91:U130 Z91:AB130 AG138:AH175 Z138:AB175 N138:N175 S138:U175" xr:uid="{00000000-0002-0000-0B00-000000000000}">
      <formula1>0</formula1>
      <formula2>1E+29</formula2>
    </dataValidation>
    <dataValidation type="list" allowBlank="1" showInputMessage="1" showErrorMessage="1" sqref="A14:D61" xr:uid="{00000000-0002-0000-0B00-000001000000}">
      <formula1>TB2S1T1C1</formula1>
    </dataValidation>
    <dataValidation type="list" allowBlank="1" showInputMessage="1" showErrorMessage="1" sqref="E14:H61" xr:uid="{00000000-0002-0000-0B00-000002000000}">
      <formula1>TB2S1T1C2</formula1>
    </dataValidation>
    <dataValidation type="list" allowBlank="1" showInputMessage="1" showErrorMessage="1" sqref="I14:K61" xr:uid="{00000000-0002-0000-0B00-000003000000}">
      <formula1>TB2S1T1C3</formula1>
    </dataValidation>
    <dataValidation type="list" allowBlank="1" showInputMessage="1" showErrorMessage="1" sqref="A69:D83" xr:uid="{00000000-0002-0000-0B00-000004000000}">
      <formula1>TB2S2T1C1</formula1>
    </dataValidation>
    <dataValidation type="list" allowBlank="1" showInputMessage="1" showErrorMessage="1" sqref="E69:H83" xr:uid="{00000000-0002-0000-0B00-000005000000}">
      <formula1>TB2S2T1C2</formula1>
    </dataValidation>
    <dataValidation type="list" allowBlank="1" showInputMessage="1" showErrorMessage="1" sqref="I69:K83" xr:uid="{00000000-0002-0000-0B00-000006000000}">
      <formula1>TB2S2T1C3</formula1>
    </dataValidation>
    <dataValidation type="list" allowBlank="1" showInputMessage="1" showErrorMessage="1" sqref="A91:D130" xr:uid="{00000000-0002-0000-0B00-000007000000}">
      <formula1>TB2S3T1C1</formula1>
    </dataValidation>
    <dataValidation type="list" allowBlank="1" showInputMessage="1" showErrorMessage="1" sqref="E91:H130" xr:uid="{00000000-0002-0000-0B00-000008000000}">
      <formula1>TB2S3T1C2</formula1>
    </dataValidation>
    <dataValidation type="list" allowBlank="1" showInputMessage="1" showErrorMessage="1" sqref="I91:K130" xr:uid="{00000000-0002-0000-0B00-000009000000}">
      <formula1>TB2S3T1C3</formula1>
    </dataValidation>
    <dataValidation type="list" allowBlank="1" showInputMessage="1" showErrorMessage="1" sqref="A138:D175" xr:uid="{00000000-0002-0000-0B00-00000A000000}">
      <formula1>TB2S4T1C1</formula1>
    </dataValidation>
    <dataValidation type="list" allowBlank="1" showInputMessage="1" showErrorMessage="1" sqref="E138:H175" xr:uid="{00000000-0002-0000-0B00-00000B000000}">
      <formula1>TB2S4T1C2</formula1>
    </dataValidation>
    <dataValidation type="list" allowBlank="1" showInputMessage="1" showErrorMessage="1" sqref="I138:K175" xr:uid="{00000000-0002-0000-0B00-00000C000000}">
      <formula1>TB2S4T1C3</formula1>
    </dataValidation>
    <dataValidation type="whole" operator="greaterThanOrEqual" allowBlank="1" showInputMessage="1" showErrorMessage="1" error="Do not Input values in Fractions" sqref="O14:R61 V14:Y61 AC14:AF61 AC69:AF83 V69:Y83 O69:R83 O91:R130 V91:Y130 AC91:AF130 AC138:AF175 V138:Y175 O138:R175" xr:uid="{00000000-0002-0000-0B00-00000D000000}">
      <formula1>0</formula1>
    </dataValidation>
  </dataValidations>
  <hyperlinks>
    <hyperlink ref="N1:N2" location="'TB-Key Info'!A1" display="Back to TB key info" xr:uid="{00000000-0004-0000-0B00-000000000000}"/>
    <hyperlink ref="H132:H133" location="'TB-EQUIPMENT &amp; OTHER HPs'!A14" display="Go to microscopy (Section 1)" xr:uid="{00000000-0004-0000-0B00-000001000000}"/>
    <hyperlink ref="O1:O2" location="'TB-Pharmaceuticals'!A1" display="Go to TB-Pharma" xr:uid="{00000000-0004-0000-0B00-000002000000}"/>
    <hyperlink ref="J8:J9" location="'TB-EQUIPMENT &amp; OTHER HPs'!A138" display="Go to LPA (Section 4)" xr:uid="{00000000-0004-0000-0B00-000003000000}"/>
    <hyperlink ref="I8:I9" location="'TB-EQUIPMENT &amp; OTHER HPs'!A91" display="Go Culture/DST (Section 3)" xr:uid="{00000000-0004-0000-0B00-000004000000}"/>
    <hyperlink ref="I85:I86" location="'TB-EQUIPMENT &amp; OTHER HPs'!A69" display="Go GeneXpert (Section 2)" xr:uid="{00000000-0004-0000-0B00-000005000000}"/>
    <hyperlink ref="H8:H9" location="'TB-EQUIPMENT &amp; OTHER HPs'!A69" display="Go GeneXpert (Section 2)" xr:uid="{00000000-0004-0000-0B00-000006000000}"/>
    <hyperlink ref="I132:I133" location="'TB-EQUIPMENT &amp; OTHER HPs'!A69" display="Go GeneXpert (Section 2)" xr:uid="{00000000-0004-0000-0B00-000007000000}"/>
    <hyperlink ref="I63:I64" location="'TB-EQUIPMENT &amp; OTHER HPs'!A91" display="Go Culture/DST (Section 3)" xr:uid="{00000000-0004-0000-0B00-000008000000}"/>
    <hyperlink ref="J132:J133" location="'TB-EQUIPMENT &amp; OTHER HPs'!A91" display="Go Culture/DST (Section 3)" xr:uid="{00000000-0004-0000-0B00-000009000000}"/>
    <hyperlink ref="J63:J64" location="'TB-EQUIPMENT &amp; OTHER HPs'!A138" display="Go to LPA (Section 4)" xr:uid="{00000000-0004-0000-0B00-00000A000000}"/>
    <hyperlink ref="J85:J86" location="'TB-EQUIPMENT &amp; OTHER HPs'!A138" display="Go to LPA (Section 4)" xr:uid="{00000000-0004-0000-0B00-00000B000000}"/>
    <hyperlink ref="H85:H86" location="'TB-EQUIPMENT &amp; OTHER HPs'!A14" display="Go to microscopy (Section 1)" xr:uid="{00000000-0004-0000-0B00-00000C000000}"/>
    <hyperlink ref="H63:H64" location="'TB-EQUIPMENT &amp; OTHER HPs'!A14" display="Go to microscopy (Section 1)" xr:uid="{00000000-0004-0000-0B00-00000D000000}"/>
  </hyperlinks>
  <pageMargins left="0.7" right="0.7" top="0.75" bottom="0.75" header="0.3" footer="0.3"/>
  <pageSetup paperSize="9" orientation="portrait" r:id="rId1"/>
  <ignoredErrors>
    <ignoredError sqref="AN69:AN72 AN73:AN83 AN91:AN130 AN138:AN175 AM69:AM83 AM91:AM130 AM138:AM175"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E000000}">
          <x14:formula1>
            <xm:f>SETUP!$C$28:$C$42</xm:f>
          </x14:formula1>
          <xm:sqref>M143:M175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CC00"/>
  </sheetPr>
  <dimension ref="A1:R78"/>
  <sheetViews>
    <sheetView showGridLines="0" zoomScale="98" zoomScaleNormal="98" workbookViewId="0">
      <selection activeCell="L16" sqref="L16"/>
    </sheetView>
  </sheetViews>
  <sheetFormatPr baseColWidth="10" defaultColWidth="9" defaultRowHeight="14.5"/>
  <cols>
    <col min="1" max="1" width="9" style="35"/>
    <col min="2" max="3" width="18.26953125" style="35" customWidth="1"/>
    <col min="4" max="4" width="25.26953125" style="35" customWidth="1"/>
    <col min="5" max="5" width="18.54296875" style="35" customWidth="1"/>
    <col min="6" max="6" width="15" style="35" customWidth="1"/>
    <col min="7" max="7" width="18.7265625" style="35" customWidth="1"/>
    <col min="8" max="8" width="16" style="35" customWidth="1"/>
    <col min="9" max="9" width="18.7265625" style="35" customWidth="1"/>
    <col min="10" max="10" width="14.26953125" style="35" customWidth="1"/>
    <col min="11" max="11" width="19" style="35" customWidth="1"/>
    <col min="12" max="15" width="9.26953125" style="35" customWidth="1"/>
    <col min="16" max="17" width="12.26953125" style="35" customWidth="1"/>
    <col min="18" max="16384" width="9" style="35"/>
  </cols>
  <sheetData>
    <row r="1" spans="1:18" ht="24" customHeight="1" thickBot="1">
      <c r="A1" s="2853" t="s">
        <v>2668</v>
      </c>
      <c r="B1" s="2854"/>
      <c r="C1" s="2854"/>
      <c r="D1" s="2854"/>
      <c r="E1" s="2854"/>
      <c r="F1" s="2854"/>
      <c r="G1" s="2854"/>
      <c r="H1" s="2854"/>
      <c r="I1" s="2854"/>
      <c r="J1" s="2854"/>
      <c r="K1" s="2855"/>
      <c r="L1" s="1265">
        <f>SETUP!A2</f>
        <v>3</v>
      </c>
      <c r="M1" s="2866"/>
      <c r="N1" s="2867"/>
      <c r="O1" s="2850" t="s">
        <v>303</v>
      </c>
      <c r="P1" s="2850"/>
      <c r="Q1" s="2864" t="s">
        <v>304</v>
      </c>
      <c r="R1" s="2864"/>
    </row>
    <row r="2" spans="1:18" ht="15" thickBot="1">
      <c r="A2" s="125"/>
      <c r="B2" s="125"/>
      <c r="C2" s="125"/>
      <c r="D2" s="125"/>
      <c r="E2" s="125"/>
      <c r="F2" s="125"/>
      <c r="G2" s="125"/>
      <c r="H2" s="125"/>
      <c r="I2" s="125"/>
      <c r="J2" s="216"/>
      <c r="K2" s="217"/>
      <c r="L2" s="1288"/>
      <c r="M2" s="2868"/>
      <c r="N2" s="2869"/>
      <c r="O2" s="2851"/>
      <c r="P2" s="2851"/>
      <c r="Q2" s="2865"/>
      <c r="R2" s="2865"/>
    </row>
    <row r="3" spans="1:18" ht="15" customHeight="1" thickBot="1">
      <c r="A3" s="218"/>
      <c r="B3" s="2874" t="s">
        <v>1</v>
      </c>
      <c r="C3" s="2884" t="str">
        <f>SETUP!$E$3</f>
        <v>El Salvador</v>
      </c>
      <c r="D3" s="2884"/>
      <c r="E3" s="2884"/>
      <c r="F3" s="219"/>
      <c r="G3" s="2860" t="s">
        <v>2</v>
      </c>
      <c r="H3" s="2861"/>
      <c r="I3" s="2856" t="str">
        <f>SETUP!$G$13</f>
        <v>SLV-H-MOH</v>
      </c>
      <c r="J3" s="2856"/>
      <c r="K3" s="2857"/>
      <c r="L3" s="138"/>
      <c r="M3" s="48"/>
      <c r="N3" s="48"/>
      <c r="O3" s="48"/>
      <c r="P3" s="48"/>
      <c r="Q3" s="48"/>
      <c r="R3" s="48"/>
    </row>
    <row r="4" spans="1:18" ht="15.75" customHeight="1">
      <c r="A4" s="220"/>
      <c r="B4" s="2875"/>
      <c r="C4" s="2885"/>
      <c r="D4" s="2885"/>
      <c r="E4" s="2885"/>
      <c r="F4" s="221"/>
      <c r="G4" s="2862"/>
      <c r="H4" s="2863"/>
      <c r="I4" s="2858"/>
      <c r="J4" s="2858"/>
      <c r="K4" s="2859"/>
      <c r="L4" s="136"/>
      <c r="M4" s="273"/>
      <c r="N4" s="136"/>
      <c r="O4" s="28"/>
      <c r="P4" s="28"/>
      <c r="Q4" s="28"/>
      <c r="R4" s="28"/>
    </row>
    <row r="5" spans="1:18">
      <c r="A5" s="220"/>
      <c r="B5" s="2870" t="s">
        <v>3</v>
      </c>
      <c r="C5" s="2872" t="str">
        <f>SETUP!$E$6</f>
        <v>HIV</v>
      </c>
      <c r="D5" s="2872"/>
      <c r="E5" s="2872"/>
      <c r="F5" s="222"/>
      <c r="G5" s="2880" t="s">
        <v>4</v>
      </c>
      <c r="H5" s="2881"/>
      <c r="I5" s="2876" t="str">
        <f>SETUP!E7</f>
        <v>Ministry of Health of the Republic of El Salvador</v>
      </c>
      <c r="J5" s="2876"/>
      <c r="K5" s="2877"/>
      <c r="L5" s="136"/>
      <c r="M5" s="28"/>
      <c r="N5" s="28"/>
      <c r="O5" s="28"/>
      <c r="P5" s="28"/>
      <c r="Q5" s="28"/>
      <c r="R5" s="28"/>
    </row>
    <row r="6" spans="1:18" ht="15.5" thickTop="1" thickBot="1">
      <c r="A6" s="223"/>
      <c r="B6" s="2871"/>
      <c r="C6" s="2873"/>
      <c r="D6" s="2873"/>
      <c r="E6" s="2873"/>
      <c r="F6" s="224"/>
      <c r="G6" s="2882"/>
      <c r="H6" s="2883"/>
      <c r="I6" s="2878"/>
      <c r="J6" s="2878"/>
      <c r="K6" s="2879"/>
      <c r="L6" s="136"/>
      <c r="M6" s="28"/>
      <c r="N6" s="28"/>
      <c r="O6" s="28"/>
      <c r="P6" s="28"/>
      <c r="Q6" s="28"/>
      <c r="R6" s="28"/>
    </row>
    <row r="7" spans="1:18" ht="105.75" customHeight="1">
      <c r="A7" s="2843" t="str">
        <f>IF($L$1=2,Language!$E$574,IF($L$1=3,Language!$F$574,Language!$G$574))</f>
        <v>1. FILA 24: ¿Qué porcentaje de los tratamientos antimaláricos —facilitados mediante recursos de la subvención— se utilizará para tratar casos en el establecimiento de salud? Indicar el porcentaje (%) en la celda F24. Se puede escribir cero (0), si corresponde._x000D_
2. FILA 25: ¿Qué porcentaje de los tratamientos antimaláricos —facilitados mediante recursos de la subvención— se utilizará para tratar casos en la comunidad? Indicar el porcentaje (%) en la celda F25. Se puede escribir cero (0), si corresponde._x000D_
3. FILA 26: ¿Qué porcentaje de los tratamientos antimaláricos —facilitados mediante recursos de la subvención— se utilizará para tratar casos en el sector privado o por parte de un proveedor de asistencia de salud privado? Indicar el porcentaje (%) en la celda F26. Se puede escribir cero (0), si corresponde._x000D_
_x000D_
La suma de F24, F25 y F26 debe ser igual a 100%.</v>
      </c>
      <c r="B7" s="2844"/>
      <c r="C7" s="2844"/>
      <c r="D7" s="2844"/>
      <c r="E7" s="2844"/>
      <c r="F7" s="2844"/>
      <c r="G7" s="2844"/>
      <c r="H7" s="2844"/>
      <c r="I7" s="2844"/>
      <c r="J7" s="2844"/>
      <c r="K7" s="2845"/>
      <c r="L7" s="36"/>
      <c r="M7" s="36"/>
      <c r="N7" s="136"/>
    </row>
    <row r="8" spans="1:18">
      <c r="A8" s="225"/>
      <c r="B8" s="225"/>
      <c r="C8" s="225"/>
      <c r="D8" s="225"/>
      <c r="E8" s="225"/>
      <c r="F8" s="225"/>
      <c r="G8" s="225"/>
      <c r="H8" s="225"/>
      <c r="I8" s="225"/>
      <c r="J8" s="226"/>
      <c r="K8" s="36"/>
      <c r="L8" s="135"/>
      <c r="M8" s="135"/>
      <c r="N8" s="135"/>
      <c r="O8" s="135"/>
      <c r="Q8" s="135"/>
      <c r="R8" s="494"/>
    </row>
    <row r="9" spans="1:18" s="531" customFormat="1">
      <c r="A9" s="384"/>
      <c r="B9" s="2827" t="s">
        <v>305</v>
      </c>
      <c r="C9" s="2827"/>
      <c r="D9" s="2827"/>
      <c r="E9" s="2827"/>
      <c r="F9" s="2827"/>
      <c r="G9" s="2827"/>
      <c r="H9" s="2827"/>
      <c r="I9" s="2827"/>
      <c r="J9" s="2827"/>
      <c r="K9" s="2827"/>
      <c r="L9" s="2827"/>
      <c r="M9" s="2827"/>
      <c r="N9" s="2827"/>
      <c r="O9" s="2827"/>
      <c r="P9" s="2827"/>
      <c r="Q9" s="2827"/>
    </row>
    <row r="10" spans="1:18" s="531" customFormat="1" ht="15" thickBot="1">
      <c r="A10" s="384"/>
      <c r="B10" s="2827"/>
      <c r="C10" s="2827"/>
      <c r="D10" s="2827"/>
      <c r="E10" s="2827"/>
      <c r="F10" s="2827"/>
      <c r="G10" s="2827"/>
      <c r="H10" s="2827"/>
      <c r="I10" s="2827"/>
      <c r="J10" s="2827"/>
      <c r="K10" s="2827"/>
      <c r="L10" s="2827"/>
      <c r="M10" s="2827"/>
      <c r="N10" s="2827"/>
      <c r="O10" s="2827"/>
      <c r="P10" s="2827"/>
      <c r="Q10" s="2827"/>
    </row>
    <row r="11" spans="1:18" s="531" customFormat="1" ht="15" customHeight="1">
      <c r="A11" s="384"/>
      <c r="B11" s="2886"/>
      <c r="C11" s="2887"/>
      <c r="D11" s="2887"/>
      <c r="E11" s="630"/>
      <c r="F11" s="2804" t="s">
        <v>68</v>
      </c>
      <c r="G11" s="2804"/>
      <c r="H11" s="2804" t="s">
        <v>69</v>
      </c>
      <c r="I11" s="2804"/>
      <c r="J11" s="2804" t="s">
        <v>70</v>
      </c>
      <c r="K11" s="2804"/>
      <c r="L11" s="2808" t="s">
        <v>306</v>
      </c>
      <c r="M11" s="2808" t="s">
        <v>307</v>
      </c>
      <c r="N11" s="2808" t="s">
        <v>308</v>
      </c>
      <c r="O11" s="2808" t="s">
        <v>309</v>
      </c>
      <c r="P11" s="2804" t="s">
        <v>71</v>
      </c>
      <c r="Q11" s="2805"/>
    </row>
    <row r="12" spans="1:18" s="531" customFormat="1">
      <c r="A12" s="384"/>
      <c r="B12" s="2888"/>
      <c r="C12" s="2245"/>
      <c r="D12" s="2245"/>
      <c r="E12" s="614"/>
      <c r="F12" s="2801">
        <f>IF(ISBLANK(IMP_ST_DATE),"Please fill setup",IF(MO_CHECK&gt;3,"Y1",YEAR(IMP_ST_DATE)))</f>
        <v>2022</v>
      </c>
      <c r="G12" s="2801"/>
      <c r="H12" s="2801">
        <f>IF(F12="Y1","Y2",IF(ISBLANK(IMP_ST_DATE),"Please fill setup",YEAR(IMP_ST_DATE)+1))</f>
        <v>2023</v>
      </c>
      <c r="I12" s="2801"/>
      <c r="J12" s="2801">
        <f>IF(F12="Y1","Y3",IF(ISBLANK(IMP_ST_DATE),"Please fill setup",YEAR(IMP_ST_DATE)+2))</f>
        <v>2024</v>
      </c>
      <c r="K12" s="2801"/>
      <c r="L12" s="2809"/>
      <c r="M12" s="2809"/>
      <c r="N12" s="2809"/>
      <c r="O12" s="2809"/>
      <c r="P12" s="2801"/>
      <c r="Q12" s="2802"/>
    </row>
    <row r="13" spans="1:18" s="531" customFormat="1" ht="29.5" thickBot="1">
      <c r="A13" s="384"/>
      <c r="B13" s="631"/>
      <c r="C13" s="632"/>
      <c r="D13" s="632"/>
      <c r="E13" s="633"/>
      <c r="F13" s="634" t="s">
        <v>2615</v>
      </c>
      <c r="G13" s="1257" t="s">
        <v>2616</v>
      </c>
      <c r="H13" s="634" t="s">
        <v>2615</v>
      </c>
      <c r="I13" s="1257" t="s">
        <v>2616</v>
      </c>
      <c r="J13" s="634" t="s">
        <v>2615</v>
      </c>
      <c r="K13" s="1257" t="s">
        <v>2616</v>
      </c>
      <c r="L13" s="2852"/>
      <c r="M13" s="2852"/>
      <c r="N13" s="2852"/>
      <c r="O13" s="2852"/>
      <c r="P13" s="635"/>
      <c r="Q13" s="636"/>
    </row>
    <row r="14" spans="1:18" s="531" customFormat="1">
      <c r="A14" s="384"/>
      <c r="B14" s="2830" t="s">
        <v>310</v>
      </c>
      <c r="C14" s="2831"/>
      <c r="D14" s="2831"/>
      <c r="E14" s="2831"/>
      <c r="F14" s="1117">
        <f>SUM(F15,F18)</f>
        <v>0</v>
      </c>
      <c r="G14" s="1117">
        <f t="shared" ref="G14:K14" si="0">SUM(G15,G18)</f>
        <v>0</v>
      </c>
      <c r="H14" s="1117">
        <f t="shared" si="0"/>
        <v>0</v>
      </c>
      <c r="I14" s="1117">
        <f t="shared" si="0"/>
        <v>0</v>
      </c>
      <c r="J14" s="1117">
        <f t="shared" si="0"/>
        <v>0</v>
      </c>
      <c r="K14" s="1117">
        <f t="shared" si="0"/>
        <v>0</v>
      </c>
      <c r="L14" s="691"/>
      <c r="M14" s="691"/>
      <c r="N14" s="691"/>
      <c r="O14" s="691"/>
      <c r="P14" s="2820"/>
      <c r="Q14" s="2821"/>
    </row>
    <row r="15" spans="1:18" s="531" customFormat="1">
      <c r="A15" s="384"/>
      <c r="B15" s="2889" t="s">
        <v>311</v>
      </c>
      <c r="C15" s="2890"/>
      <c r="D15" s="2890"/>
      <c r="E15" s="2890"/>
      <c r="F15" s="1118">
        <f>SUM(F16:F17)</f>
        <v>0</v>
      </c>
      <c r="G15" s="1118">
        <f>SUM(G16:G17)</f>
        <v>0</v>
      </c>
      <c r="H15" s="1118">
        <f t="shared" ref="H15:K15" si="1">SUM(H16:H17)</f>
        <v>0</v>
      </c>
      <c r="I15" s="1118">
        <f t="shared" si="1"/>
        <v>0</v>
      </c>
      <c r="J15" s="1118">
        <f t="shared" si="1"/>
        <v>0</v>
      </c>
      <c r="K15" s="1118">
        <f t="shared" si="1"/>
        <v>0</v>
      </c>
      <c r="L15" s="692"/>
      <c r="M15" s="692"/>
      <c r="N15" s="692"/>
      <c r="O15" s="692"/>
      <c r="P15" s="2230"/>
      <c r="Q15" s="2822"/>
    </row>
    <row r="16" spans="1:18" s="531" customFormat="1">
      <c r="A16" s="384"/>
      <c r="B16" s="2891" t="s">
        <v>312</v>
      </c>
      <c r="C16" s="2892"/>
      <c r="D16" s="2892"/>
      <c r="E16" s="2892"/>
      <c r="F16" s="693"/>
      <c r="G16" s="693"/>
      <c r="H16" s="693"/>
      <c r="I16" s="693"/>
      <c r="J16" s="693"/>
      <c r="K16" s="693"/>
      <c r="L16" s="2064"/>
      <c r="M16" s="2064"/>
      <c r="N16" s="2064"/>
      <c r="O16" s="2064"/>
      <c r="P16" s="2820"/>
      <c r="Q16" s="2821"/>
    </row>
    <row r="17" spans="1:17" s="531" customFormat="1">
      <c r="A17" s="384"/>
      <c r="B17" s="2847" t="s">
        <v>313</v>
      </c>
      <c r="C17" s="2848"/>
      <c r="D17" s="2848"/>
      <c r="E17" s="2848"/>
      <c r="F17" s="645"/>
      <c r="G17" s="645"/>
      <c r="H17" s="645"/>
      <c r="I17" s="645"/>
      <c r="J17" s="645"/>
      <c r="K17" s="645"/>
      <c r="L17" s="2064"/>
      <c r="M17" s="2064"/>
      <c r="N17" s="2064"/>
      <c r="O17" s="2064"/>
      <c r="P17" s="2230"/>
      <c r="Q17" s="2822"/>
    </row>
    <row r="18" spans="1:17" s="531" customFormat="1">
      <c r="A18" s="384"/>
      <c r="B18" s="2893" t="s">
        <v>314</v>
      </c>
      <c r="C18" s="2894"/>
      <c r="D18" s="2894"/>
      <c r="E18" s="2894"/>
      <c r="F18" s="1117">
        <f>SUM(F19,F23)</f>
        <v>0</v>
      </c>
      <c r="G18" s="1117">
        <f t="shared" ref="G18:K18" si="2">SUM(G19,G23)</f>
        <v>0</v>
      </c>
      <c r="H18" s="1117">
        <f t="shared" si="2"/>
        <v>0</v>
      </c>
      <c r="I18" s="1117">
        <f t="shared" si="2"/>
        <v>0</v>
      </c>
      <c r="J18" s="1117">
        <f t="shared" si="2"/>
        <v>0</v>
      </c>
      <c r="K18" s="1117">
        <f t="shared" si="2"/>
        <v>0</v>
      </c>
      <c r="L18" s="691"/>
      <c r="M18" s="691"/>
      <c r="N18" s="691"/>
      <c r="O18" s="691"/>
      <c r="P18" s="2820"/>
      <c r="Q18" s="2821"/>
    </row>
    <row r="19" spans="1:17" s="531" customFormat="1">
      <c r="A19" s="384"/>
      <c r="B19" s="2847" t="s">
        <v>315</v>
      </c>
      <c r="C19" s="2848"/>
      <c r="D19" s="2848"/>
      <c r="E19" s="2848"/>
      <c r="F19" s="1118">
        <f t="shared" ref="F19:K19" si="3">SUM(F20:F22)</f>
        <v>0</v>
      </c>
      <c r="G19" s="1118">
        <f t="shared" si="3"/>
        <v>0</v>
      </c>
      <c r="H19" s="1118">
        <f t="shared" si="3"/>
        <v>0</v>
      </c>
      <c r="I19" s="1118">
        <f t="shared" si="3"/>
        <v>0</v>
      </c>
      <c r="J19" s="1118">
        <f t="shared" si="3"/>
        <v>0</v>
      </c>
      <c r="K19" s="1118">
        <f t="shared" si="3"/>
        <v>0</v>
      </c>
      <c r="L19" s="692"/>
      <c r="M19" s="692"/>
      <c r="N19" s="692"/>
      <c r="O19" s="692"/>
      <c r="P19" s="2230"/>
      <c r="Q19" s="2822"/>
    </row>
    <row r="20" spans="1:17" s="531" customFormat="1">
      <c r="A20" s="384"/>
      <c r="B20" s="2825" t="s">
        <v>316</v>
      </c>
      <c r="C20" s="2826"/>
      <c r="D20" s="2826"/>
      <c r="E20" s="2826"/>
      <c r="F20" s="693"/>
      <c r="G20" s="693"/>
      <c r="H20" s="693"/>
      <c r="I20" s="693"/>
      <c r="J20" s="693"/>
      <c r="K20" s="693"/>
      <c r="L20" s="2064"/>
      <c r="M20" s="2064"/>
      <c r="N20" s="2064"/>
      <c r="O20" s="2064"/>
      <c r="P20" s="2820"/>
      <c r="Q20" s="2821"/>
    </row>
    <row r="21" spans="1:17" s="531" customFormat="1">
      <c r="A21" s="384"/>
      <c r="B21" s="2823" t="s">
        <v>317</v>
      </c>
      <c r="C21" s="2824"/>
      <c r="D21" s="2824"/>
      <c r="E21" s="2824"/>
      <c r="F21" s="645"/>
      <c r="G21" s="645"/>
      <c r="H21" s="645"/>
      <c r="I21" s="645"/>
      <c r="J21" s="645"/>
      <c r="K21" s="645"/>
      <c r="L21" s="2064"/>
      <c r="M21" s="2064"/>
      <c r="N21" s="2064"/>
      <c r="O21" s="2064"/>
      <c r="P21" s="2230"/>
      <c r="Q21" s="2822"/>
    </row>
    <row r="22" spans="1:17" s="531" customFormat="1">
      <c r="A22" s="384"/>
      <c r="B22" s="2825" t="s">
        <v>318</v>
      </c>
      <c r="C22" s="2826"/>
      <c r="D22" s="2826"/>
      <c r="E22" s="2826"/>
      <c r="F22" s="693"/>
      <c r="G22" s="693"/>
      <c r="H22" s="693"/>
      <c r="I22" s="693"/>
      <c r="J22" s="693"/>
      <c r="K22" s="693"/>
      <c r="L22" s="2064"/>
      <c r="M22" s="2064"/>
      <c r="N22" s="2064"/>
      <c r="O22" s="2064"/>
      <c r="P22" s="2820"/>
      <c r="Q22" s="2821"/>
    </row>
    <row r="23" spans="1:17" s="531" customFormat="1" ht="15" thickBot="1">
      <c r="A23" s="384"/>
      <c r="B23" s="2847" t="s">
        <v>319</v>
      </c>
      <c r="C23" s="2848"/>
      <c r="D23" s="2848"/>
      <c r="E23" s="2848"/>
      <c r="F23" s="645"/>
      <c r="G23" s="645"/>
      <c r="H23" s="645"/>
      <c r="I23" s="645"/>
      <c r="J23" s="645"/>
      <c r="K23" s="645"/>
      <c r="L23" s="2064"/>
      <c r="M23" s="2064"/>
      <c r="N23" s="2064"/>
      <c r="O23" s="2064"/>
      <c r="P23" s="2230"/>
      <c r="Q23" s="2822"/>
    </row>
    <row r="24" spans="1:17" s="531" customFormat="1">
      <c r="A24" s="384"/>
      <c r="B24" s="2830" t="s">
        <v>321</v>
      </c>
      <c r="C24" s="2831"/>
      <c r="D24" s="2831"/>
      <c r="E24" s="2831"/>
      <c r="F24" s="2895">
        <v>0</v>
      </c>
      <c r="G24" s="2896"/>
      <c r="H24" s="2896"/>
      <c r="I24" s="2896"/>
      <c r="J24" s="2896"/>
      <c r="K24" s="2897"/>
      <c r="L24" s="691"/>
      <c r="M24" s="691"/>
      <c r="N24" s="691"/>
      <c r="O24" s="691"/>
      <c r="P24" s="1234"/>
      <c r="Q24" s="1235"/>
    </row>
    <row r="25" spans="1:17" s="531" customFormat="1">
      <c r="A25" s="384"/>
      <c r="B25" s="2832" t="s">
        <v>320</v>
      </c>
      <c r="C25" s="2833"/>
      <c r="D25" s="2833"/>
      <c r="E25" s="2833"/>
      <c r="F25" s="2834">
        <v>0</v>
      </c>
      <c r="G25" s="2835"/>
      <c r="H25" s="2835"/>
      <c r="I25" s="2835"/>
      <c r="J25" s="2835"/>
      <c r="K25" s="2898"/>
      <c r="L25" s="692"/>
      <c r="M25" s="692"/>
      <c r="N25" s="692"/>
      <c r="O25" s="692"/>
      <c r="P25" s="1229"/>
      <c r="Q25" s="1236"/>
    </row>
    <row r="26" spans="1:17" s="531" customFormat="1" ht="15" thickBot="1">
      <c r="A26" s="384"/>
      <c r="B26" s="2828" t="s">
        <v>322</v>
      </c>
      <c r="C26" s="2829"/>
      <c r="D26" s="2829"/>
      <c r="E26" s="2829"/>
      <c r="F26" s="2840">
        <v>0</v>
      </c>
      <c r="G26" s="2841"/>
      <c r="H26" s="2841"/>
      <c r="I26" s="2841"/>
      <c r="J26" s="2841"/>
      <c r="K26" s="2903"/>
      <c r="L26" s="1233"/>
      <c r="M26" s="1233"/>
      <c r="N26" s="1233"/>
      <c r="O26" s="1233"/>
      <c r="P26" s="1237"/>
      <c r="Q26" s="1238"/>
    </row>
    <row r="27" spans="1:17" s="531" customFormat="1" ht="15" thickBot="1">
      <c r="A27" s="384"/>
      <c r="B27" s="384"/>
      <c r="C27" s="384"/>
      <c r="D27" s="384"/>
      <c r="E27" s="384"/>
      <c r="F27" s="384"/>
      <c r="G27" s="384"/>
      <c r="H27" s="384"/>
      <c r="I27" s="384"/>
      <c r="J27" s="384"/>
    </row>
    <row r="28" spans="1:17" ht="182.25" customHeight="1" thickBot="1">
      <c r="A28" s="2843" t="str">
        <f>IF($L$1=2,Language!$E$575,IF($L$1=3,Language!$F$575,Language!$G$575))</f>
        <v>1. FILA 35: ¿Qué porcentaje de los medicamentos antimaláricos utilizados para la prevención y adquiridos con recursos de la subvención, se utilizará para la quimioprevención en el embarazo? Indicar el porcentaje (%) en la celda F35. Se puede escribir cero (0), si corresponde._x000D_
2. FILA 36: ¿Qué porcentaje de los medicamentos antimaláricos utilizados para la prevención y adquiridos con recursos de la subvención, se utilizará para la quimioprevención en la primera infancia/niñez? Indicar el porcentaje (%) en la celda F36. Se puede escribir cero (0), si corresponde._x000D_
3. FILA 37: ¿Qué porcentaje de los medicamentos antimaláricos utilizados para la prevención y adquiridos con recursos de la subvención, se utilizará para la quimioprevención de la malaria estacional? Indicar el porcentaje (%) en la celda F37. Se puede escribir cero (0), si corresponde._x000D_
4. FILA 38: ¿Qué porcentaje de los medicamentos antimaláricos utilizados para la prevención y adquiridos con recursos de la subvención, se utilizará para la quimioprevención con la administración masiva de medicamentos? Indicar el porcentaje (%) en la celda F38. Se puede escribir cero (0), si corresponde._x000D_
La suma de F35, F36, F37 y F38 debe ser igual a 100%.</v>
      </c>
      <c r="B28" s="2844"/>
      <c r="C28" s="2844"/>
      <c r="D28" s="2844"/>
      <c r="E28" s="2844"/>
      <c r="F28" s="2844"/>
      <c r="G28" s="2844"/>
      <c r="H28" s="2844"/>
      <c r="I28" s="2844"/>
      <c r="J28" s="2844"/>
      <c r="K28" s="2904"/>
      <c r="L28" s="1231"/>
      <c r="M28" s="36"/>
      <c r="N28" s="136"/>
    </row>
    <row r="29" spans="1:17" s="531" customFormat="1">
      <c r="A29" s="384"/>
      <c r="B29" s="2899" t="s">
        <v>323</v>
      </c>
      <c r="C29" s="2899"/>
      <c r="D29" s="2899"/>
      <c r="E29" s="2899"/>
      <c r="F29" s="2899"/>
      <c r="G29" s="2899"/>
      <c r="H29" s="2899"/>
      <c r="I29" s="2899"/>
      <c r="J29" s="2899"/>
      <c r="K29" s="2900"/>
      <c r="L29"/>
      <c r="M29"/>
      <c r="N29"/>
      <c r="O29"/>
      <c r="P29"/>
    </row>
    <row r="30" spans="1:17" s="531" customFormat="1" ht="15" thickBot="1">
      <c r="A30" s="384"/>
      <c r="B30" s="2901"/>
      <c r="C30" s="2901"/>
      <c r="D30" s="2901"/>
      <c r="E30" s="2901"/>
      <c r="F30" s="2901"/>
      <c r="G30" s="2901"/>
      <c r="H30" s="2901"/>
      <c r="I30" s="2901"/>
      <c r="J30" s="2901"/>
      <c r="K30" s="2902"/>
      <c r="L30"/>
      <c r="M30"/>
      <c r="N30"/>
      <c r="O30"/>
      <c r="P30"/>
    </row>
    <row r="31" spans="1:17" s="531" customFormat="1" ht="15" customHeight="1">
      <c r="A31" s="384"/>
      <c r="B31" s="2886"/>
      <c r="C31" s="2887"/>
      <c r="D31" s="2887"/>
      <c r="E31" s="630"/>
      <c r="F31" s="2804" t="s">
        <v>68</v>
      </c>
      <c r="G31" s="2804"/>
      <c r="H31" s="2804" t="s">
        <v>69</v>
      </c>
      <c r="I31" s="2804"/>
      <c r="J31" s="2804" t="s">
        <v>70</v>
      </c>
      <c r="K31" s="2846"/>
      <c r="L31"/>
      <c r="M31"/>
      <c r="N31"/>
      <c r="O31"/>
      <c r="P31"/>
    </row>
    <row r="32" spans="1:17" s="531" customFormat="1">
      <c r="A32" s="384"/>
      <c r="B32" s="2888"/>
      <c r="C32" s="2245"/>
      <c r="D32" s="2245"/>
      <c r="E32" s="1230"/>
      <c r="F32" s="2801">
        <f>IF(ISBLANK(IMP_ST_DATE),"Please fill setup",YEAR(IMP_ST_DATE))</f>
        <v>2022</v>
      </c>
      <c r="G32" s="2801"/>
      <c r="H32" s="2801">
        <f>IF(ISBLANK(IMP_ST_DATE),"Please fill setup",YEAR(IMP_ST_DATE)+1)</f>
        <v>2023</v>
      </c>
      <c r="I32" s="2801"/>
      <c r="J32" s="2801">
        <f>IF(ISBLANK(IMP_ST_DATE),"Please fill setup",YEAR(IMP_ST_DATE)+2)</f>
        <v>2024</v>
      </c>
      <c r="K32" s="2849"/>
      <c r="L32"/>
      <c r="M32"/>
      <c r="N32"/>
      <c r="O32"/>
      <c r="P32"/>
    </row>
    <row r="33" spans="1:16" s="531" customFormat="1" ht="29.5" thickBot="1">
      <c r="A33" s="384"/>
      <c r="B33" s="631"/>
      <c r="C33" s="632"/>
      <c r="D33" s="632"/>
      <c r="E33" s="633"/>
      <c r="F33" s="629" t="s">
        <v>2615</v>
      </c>
      <c r="G33" s="1254" t="s">
        <v>2616</v>
      </c>
      <c r="H33" s="629" t="s">
        <v>2615</v>
      </c>
      <c r="I33" s="1254" t="s">
        <v>2616</v>
      </c>
      <c r="J33" s="629" t="s">
        <v>2615</v>
      </c>
      <c r="K33" s="1256" t="s">
        <v>2616</v>
      </c>
      <c r="L33"/>
      <c r="M33"/>
      <c r="N33"/>
      <c r="O33"/>
      <c r="P33"/>
    </row>
    <row r="34" spans="1:16" s="531" customFormat="1">
      <c r="A34" s="384"/>
      <c r="B34" s="2830" t="s">
        <v>324</v>
      </c>
      <c r="C34" s="2831"/>
      <c r="D34" s="2831"/>
      <c r="E34" s="2831"/>
      <c r="F34" s="1239"/>
      <c r="G34" s="1239"/>
      <c r="H34" s="1239"/>
      <c r="I34" s="1239"/>
      <c r="J34" s="1239"/>
      <c r="K34" s="1239"/>
      <c r="L34"/>
      <c r="M34"/>
      <c r="N34"/>
      <c r="O34"/>
      <c r="P34"/>
    </row>
    <row r="35" spans="1:16" s="531" customFormat="1">
      <c r="A35" s="384"/>
      <c r="B35" s="2832" t="s">
        <v>325</v>
      </c>
      <c r="C35" s="2833"/>
      <c r="D35" s="2833"/>
      <c r="E35" s="2833"/>
      <c r="F35" s="2834">
        <v>0</v>
      </c>
      <c r="G35" s="2835"/>
      <c r="H35" s="2835"/>
      <c r="I35" s="2835"/>
      <c r="J35" s="2835"/>
      <c r="K35" s="2836"/>
      <c r="L35"/>
      <c r="M35"/>
      <c r="N35"/>
      <c r="O35"/>
      <c r="P35"/>
    </row>
    <row r="36" spans="1:16" s="531" customFormat="1">
      <c r="A36" s="384"/>
      <c r="B36" s="2830" t="s">
        <v>326</v>
      </c>
      <c r="C36" s="2831"/>
      <c r="D36" s="2831"/>
      <c r="E36" s="2831"/>
      <c r="F36" s="2837">
        <v>0</v>
      </c>
      <c r="G36" s="2838"/>
      <c r="H36" s="2838"/>
      <c r="I36" s="2838"/>
      <c r="J36" s="2838"/>
      <c r="K36" s="2839"/>
      <c r="L36"/>
      <c r="M36"/>
      <c r="N36"/>
      <c r="O36"/>
      <c r="P36"/>
    </row>
    <row r="37" spans="1:16" s="531" customFormat="1">
      <c r="A37" s="384"/>
      <c r="B37" s="2832" t="s">
        <v>327</v>
      </c>
      <c r="C37" s="2833"/>
      <c r="D37" s="2833"/>
      <c r="E37" s="2833"/>
      <c r="F37" s="2834">
        <v>0</v>
      </c>
      <c r="G37" s="2835"/>
      <c r="H37" s="2835"/>
      <c r="I37" s="2835"/>
      <c r="J37" s="2835"/>
      <c r="K37" s="2836"/>
      <c r="L37"/>
      <c r="M37"/>
      <c r="N37"/>
      <c r="O37"/>
      <c r="P37"/>
    </row>
    <row r="38" spans="1:16" s="531" customFormat="1" ht="15" thickBot="1">
      <c r="A38" s="384"/>
      <c r="B38" s="2828" t="s">
        <v>328</v>
      </c>
      <c r="C38" s="2829"/>
      <c r="D38" s="2829"/>
      <c r="E38" s="2829"/>
      <c r="F38" s="2840">
        <v>0</v>
      </c>
      <c r="G38" s="2841"/>
      <c r="H38" s="2841"/>
      <c r="I38" s="2841"/>
      <c r="J38" s="2841"/>
      <c r="K38" s="2842"/>
      <c r="L38"/>
      <c r="M38"/>
      <c r="N38"/>
      <c r="O38"/>
      <c r="P38"/>
    </row>
    <row r="39" spans="1:16" s="531" customFormat="1" ht="15" thickBot="1">
      <c r="A39" s="384"/>
      <c r="B39" s="384"/>
      <c r="C39" s="384"/>
      <c r="D39" s="384"/>
      <c r="E39" s="384"/>
      <c r="F39" s="384"/>
      <c r="G39" s="384"/>
      <c r="H39" s="384"/>
      <c r="I39" s="384"/>
      <c r="J39" s="384"/>
      <c r="K39" s="1232"/>
    </row>
    <row r="40" spans="1:16" ht="119.25" customHeight="1">
      <c r="A40" s="2843" t="str">
        <f>IF($L$1=2,Language!$E$576,IF($L$1=3,Language!$F$576,Language!$G$576))</f>
        <v>1. COLUMNA G: ¿Qué porcentaje de las pruebas de diagnóstico rápido para la malaria adquiridas con recursos de la subvención— se utilizará para analizar casos sospechosos en el establecimiento de salud? Indicar el porcentaje (%) en la celda G50. Se puede escribir cero (0), si corresponde._x000D_
2. COLUMNA J: ¿Qué porcentaje de las pruebas de diagnóstico rápido para la malaria adquiridas con recursos de la subvención— se utilizará para analizar casos sospechosos en la comunidad? Indicar el porcentaje (%) en la celda J50. Se puede escribir cero (0), si corresponde._x000D_
3. COLUMNA N: ¿Qué porcentaje de las pruebas de diagnóstico rápido para la malaria adquiridas con recursos de la subvención— se utilizará para analizar casos sospechosos en el sector privado o por parte de un proveedor de asistencia de salud privado? Indicar el porcentaje (%) en la celda N50. Se puede escribir cero (0), si corresponde._x000D_
_x000D_
La suma de G50, J50 y N50 debe ser igual a 100%.</v>
      </c>
      <c r="B40" s="2844"/>
      <c r="C40" s="2844"/>
      <c r="D40" s="2844"/>
      <c r="E40" s="2844"/>
      <c r="F40" s="2844"/>
      <c r="G40" s="2844"/>
      <c r="H40" s="2844"/>
      <c r="I40" s="2844"/>
      <c r="J40" s="2844"/>
      <c r="K40" s="2845"/>
      <c r="L40" s="36"/>
      <c r="M40" s="36"/>
      <c r="N40" s="136"/>
    </row>
    <row r="41" spans="1:16" s="531" customFormat="1">
      <c r="A41" s="384"/>
      <c r="B41" s="2827" t="s">
        <v>329</v>
      </c>
      <c r="C41" s="2827"/>
      <c r="D41" s="2827"/>
      <c r="E41" s="2827"/>
      <c r="F41" s="2827"/>
      <c r="G41" s="2827"/>
      <c r="H41" s="2827"/>
      <c r="I41" s="2827"/>
      <c r="J41" s="2827"/>
      <c r="K41" s="2827"/>
      <c r="L41" s="2827"/>
      <c r="M41" s="2827"/>
      <c r="N41" s="2827"/>
      <c r="O41" s="2827"/>
    </row>
    <row r="42" spans="1:16" s="531" customFormat="1">
      <c r="A42" s="384"/>
      <c r="B42" s="2827"/>
      <c r="C42" s="2827"/>
      <c r="D42" s="2827"/>
      <c r="E42" s="2827"/>
      <c r="F42" s="2827"/>
      <c r="G42" s="2827"/>
      <c r="H42" s="2827"/>
      <c r="I42" s="2827"/>
      <c r="J42" s="2827"/>
      <c r="K42" s="2827"/>
      <c r="L42" s="2827"/>
      <c r="M42" s="2827"/>
      <c r="N42" s="2827"/>
      <c r="O42" s="2827"/>
    </row>
    <row r="43" spans="1:16" s="531" customFormat="1" ht="15" thickBot="1">
      <c r="A43" s="384"/>
      <c r="B43" s="626" t="s">
        <v>330</v>
      </c>
      <c r="C43" s="626"/>
      <c r="D43" s="626"/>
      <c r="E43" s="626"/>
      <c r="F43" s="626"/>
      <c r="G43" s="626"/>
      <c r="H43" s="626"/>
      <c r="I43" s="626"/>
    </row>
    <row r="44" spans="1:16" s="627" customFormat="1" ht="15" customHeight="1">
      <c r="A44" s="624"/>
      <c r="B44" s="2806" t="s">
        <v>331</v>
      </c>
      <c r="C44" s="2804"/>
      <c r="D44" s="2808" t="s">
        <v>254</v>
      </c>
      <c r="E44" s="2808" t="s">
        <v>332</v>
      </c>
      <c r="F44" s="2808" t="s">
        <v>333</v>
      </c>
      <c r="G44" s="2808" t="s">
        <v>334</v>
      </c>
      <c r="H44" s="2804" t="s">
        <v>335</v>
      </c>
      <c r="I44" s="2804"/>
      <c r="J44" s="2804"/>
      <c r="K44" s="2804"/>
      <c r="L44" s="2804"/>
      <c r="M44" s="2804"/>
      <c r="N44" s="2804"/>
      <c r="O44" s="2805"/>
    </row>
    <row r="45" spans="1:16" s="627" customFormat="1" ht="15" customHeight="1">
      <c r="A45" s="624"/>
      <c r="B45" s="2807"/>
      <c r="C45" s="2801"/>
      <c r="D45" s="2809"/>
      <c r="E45" s="2809"/>
      <c r="F45" s="2809"/>
      <c r="G45" s="2809"/>
      <c r="H45" s="2801" t="s">
        <v>68</v>
      </c>
      <c r="I45" s="2801"/>
      <c r="J45" s="2801" t="s">
        <v>69</v>
      </c>
      <c r="K45" s="2801"/>
      <c r="L45" s="2801" t="s">
        <v>70</v>
      </c>
      <c r="M45" s="2801"/>
      <c r="N45" s="2801"/>
      <c r="O45" s="2802"/>
    </row>
    <row r="46" spans="1:16" s="627" customFormat="1">
      <c r="A46" s="624"/>
      <c r="B46" s="2807"/>
      <c r="C46" s="2801"/>
      <c r="D46" s="2809"/>
      <c r="E46" s="2809"/>
      <c r="F46" s="2809"/>
      <c r="G46" s="2809"/>
      <c r="H46" s="2801">
        <f>IF(ISBLANK(IMP_ST_DATE),"Please fill setup",YEAR(IMP_ST_DATE))</f>
        <v>2022</v>
      </c>
      <c r="I46" s="2801"/>
      <c r="J46" s="2801">
        <f>IF(ISBLANK(IMP_ST_DATE),"Please fill setup",YEAR(IMP_ST_DATE)+1)</f>
        <v>2023</v>
      </c>
      <c r="K46" s="2801"/>
      <c r="L46" s="2801">
        <f>IF(ISBLANK(IMP_ST_DATE),"Please fill setup",YEAR(IMP_ST_DATE)+2)</f>
        <v>2024</v>
      </c>
      <c r="M46" s="2801"/>
      <c r="N46" s="2801"/>
      <c r="O46" s="2802"/>
    </row>
    <row r="47" spans="1:16" s="627" customFormat="1" ht="29">
      <c r="A47" s="624"/>
      <c r="B47" s="2807"/>
      <c r="C47" s="2801"/>
      <c r="D47" s="2809"/>
      <c r="E47" s="2809"/>
      <c r="F47" s="2809"/>
      <c r="G47" s="2809"/>
      <c r="H47" s="629" t="s">
        <v>2615</v>
      </c>
      <c r="I47" s="1254" t="s">
        <v>2616</v>
      </c>
      <c r="J47" s="629" t="s">
        <v>2615</v>
      </c>
      <c r="K47" s="1254" t="s">
        <v>2616</v>
      </c>
      <c r="L47" s="2812" t="s">
        <v>2615</v>
      </c>
      <c r="M47" s="2812"/>
      <c r="N47" s="2810" t="s">
        <v>2616</v>
      </c>
      <c r="O47" s="2811"/>
    </row>
    <row r="48" spans="1:16" s="531" customFormat="1">
      <c r="A48" s="384"/>
      <c r="B48" s="2817" t="s">
        <v>336</v>
      </c>
      <c r="C48" s="2817"/>
      <c r="D48" s="1244" t="s">
        <v>93</v>
      </c>
      <c r="E48" s="1240"/>
      <c r="F48" s="1239"/>
      <c r="G48" s="1239"/>
      <c r="H48" s="1239"/>
      <c r="I48" s="1239"/>
      <c r="J48" s="1239"/>
      <c r="K48" s="1239"/>
      <c r="L48" s="2916"/>
      <c r="M48" s="2916"/>
      <c r="N48" s="2916"/>
      <c r="O48" s="2916"/>
    </row>
    <row r="49" spans="1:15" s="531" customFormat="1" ht="7.5" customHeight="1">
      <c r="A49" s="384"/>
      <c r="B49" s="2813" t="s">
        <v>337</v>
      </c>
      <c r="C49" s="2814"/>
      <c r="D49" s="2920" t="s">
        <v>93</v>
      </c>
      <c r="E49" s="694"/>
      <c r="F49" s="694"/>
      <c r="G49" s="694"/>
      <c r="H49" s="645"/>
      <c r="I49" s="645"/>
      <c r="J49" s="645"/>
      <c r="K49" s="645"/>
      <c r="L49" s="2284"/>
      <c r="M49" s="2284"/>
      <c r="N49" s="2284"/>
      <c r="O49" s="2917"/>
    </row>
    <row r="50" spans="1:15" s="638" customFormat="1" ht="33.75" customHeight="1" thickBot="1">
      <c r="A50" s="637"/>
      <c r="B50" s="2815"/>
      <c r="C50" s="2816"/>
      <c r="D50" s="2920"/>
      <c r="E50" s="2803" t="s">
        <v>338</v>
      </c>
      <c r="F50" s="2803"/>
      <c r="G50" s="1241">
        <v>0</v>
      </c>
      <c r="H50" s="2803" t="s">
        <v>339</v>
      </c>
      <c r="I50" s="2803"/>
      <c r="J50" s="1241">
        <v>0</v>
      </c>
      <c r="K50" s="2803" t="s">
        <v>340</v>
      </c>
      <c r="L50" s="2803"/>
      <c r="M50" s="2803"/>
      <c r="N50" s="2919">
        <v>0</v>
      </c>
      <c r="O50" s="2919"/>
    </row>
    <row r="51" spans="1:15" s="531" customFormat="1">
      <c r="A51" s="384"/>
      <c r="B51" s="384"/>
      <c r="C51" s="384"/>
      <c r="D51" s="384"/>
      <c r="E51" s="384"/>
      <c r="F51" s="384"/>
      <c r="G51" s="384"/>
      <c r="H51" s="384"/>
      <c r="I51" s="384"/>
      <c r="J51" s="384"/>
    </row>
    <row r="52" spans="1:15" ht="226.15" customHeight="1">
      <c r="A52" s="2790" t="str">
        <f>IF($L$1=2,Language!$E$577,IF($L$1=3,Language!$F$577,Language!$G$577))</f>
        <v>Fila 55: indicar (SÍ/NO) si el país está utilizando MILD como medida de control de vectores._x000D_
_x000D_
Las FILAS 56-59 hacen referencia a la distribución rutinaria de MILD_x000D_
1. COLUMNA F, FILAS 56-59: Indicar (SÍ/NO) si los MILD se distribuyen de forma rutinaria en las 4 intervenciones descritas._x000D_
2. COLUMNA G, FILAS 56-59: Indicar el porcentaje (%) de MILD —facilitados mediante recursos de la subvención PARA LA DISTRIBUCIÓN RUTINARIA— que se distribuye en estas 4 intervenciones._x000D_
_x000D_
La suma de G56, G57, G58 y G59 debe ser igual a 100%._x000D_
_x000D_
Las FILAS 60 y 61 hacen referencia a la distribución de MILD mediante campañas masivas_x000D_
1. COLUMNA F, FILAS 60 y 61: Indicar (SÍ/NO) si los MILD se están distribuyendo mediante campañas de distribución masivas específicas o universales._x000D_
2. COLUMNA G, FILAS 60 y 61: Indicar el porcentaje (%) de MILD —facilitados mediante recursos de la subvención PARA LA DISTRIBUCIÓN MASIVA— que se distribuye mediante campañas de distribución masivas específicas o universales._x000D_
_x000D_
La suma de G60 y G61 debe ser igual a 100%.</v>
      </c>
      <c r="B52" s="2791"/>
      <c r="C52" s="2791"/>
      <c r="D52" s="2791"/>
      <c r="E52" s="2791"/>
      <c r="F52" s="2791"/>
      <c r="G52" s="2791"/>
      <c r="H52" s="2791"/>
      <c r="I52" s="2791"/>
      <c r="J52" s="2791"/>
      <c r="K52" s="2792"/>
      <c r="L52" s="36"/>
      <c r="M52" s="36"/>
      <c r="N52" s="136"/>
    </row>
    <row r="53" spans="1:15" s="531" customFormat="1">
      <c r="A53" s="384"/>
      <c r="B53" s="2827" t="s">
        <v>341</v>
      </c>
      <c r="C53" s="2827"/>
      <c r="D53" s="2827"/>
      <c r="E53" s="2827"/>
      <c r="F53" s="628"/>
      <c r="G53" s="628"/>
      <c r="H53" s="628"/>
      <c r="I53" s="628"/>
    </row>
    <row r="54" spans="1:15" s="531" customFormat="1" ht="15" thickBot="1">
      <c r="A54" s="384"/>
      <c r="B54" s="2827"/>
      <c r="C54" s="2827"/>
      <c r="D54" s="2827"/>
      <c r="E54" s="2827"/>
      <c r="F54" s="628"/>
      <c r="G54" s="628"/>
      <c r="H54" s="628"/>
      <c r="I54" s="628"/>
    </row>
    <row r="55" spans="1:15" s="531" customFormat="1">
      <c r="A55" s="384"/>
      <c r="B55" s="2931" t="s">
        <v>342</v>
      </c>
      <c r="C55" s="2932"/>
      <c r="D55" s="2932"/>
      <c r="E55" s="2921" t="s">
        <v>90</v>
      </c>
      <c r="F55" s="2921"/>
      <c r="G55" s="2818" t="s">
        <v>1347</v>
      </c>
      <c r="H55" s="2818"/>
      <c r="I55" s="2819"/>
    </row>
    <row r="56" spans="1:15" s="531" customFormat="1" ht="15" customHeight="1">
      <c r="A56" s="384"/>
      <c r="B56" s="2793" t="s">
        <v>343</v>
      </c>
      <c r="C56" s="2796" t="s">
        <v>2540</v>
      </c>
      <c r="D56" s="2922" t="s">
        <v>344</v>
      </c>
      <c r="E56" s="2923"/>
      <c r="F56" s="964" t="str">
        <f t="shared" ref="F56:F61" si="4">$E$55</f>
        <v>Yes</v>
      </c>
      <c r="G56" s="2933">
        <v>0</v>
      </c>
      <c r="H56" s="2934"/>
      <c r="I56" s="2935"/>
    </row>
    <row r="57" spans="1:15" s="531" customFormat="1">
      <c r="A57" s="384"/>
      <c r="B57" s="2794"/>
      <c r="C57" s="2797"/>
      <c r="D57" s="2924" t="s">
        <v>345</v>
      </c>
      <c r="E57" s="2924"/>
      <c r="F57" s="963" t="str">
        <f t="shared" si="4"/>
        <v>Yes</v>
      </c>
      <c r="G57" s="2936">
        <v>0</v>
      </c>
      <c r="H57" s="2937"/>
      <c r="I57" s="2938"/>
    </row>
    <row r="58" spans="1:15" s="531" customFormat="1">
      <c r="A58" s="384"/>
      <c r="B58" s="2794"/>
      <c r="C58" s="2797"/>
      <c r="D58" s="2923" t="s">
        <v>346</v>
      </c>
      <c r="E58" s="2923"/>
      <c r="F58" s="964" t="str">
        <f t="shared" si="4"/>
        <v>Yes</v>
      </c>
      <c r="G58" s="2939">
        <v>0</v>
      </c>
      <c r="H58" s="2940"/>
      <c r="I58" s="2941"/>
    </row>
    <row r="59" spans="1:15" s="531" customFormat="1" ht="15" thickBot="1">
      <c r="A59" s="384"/>
      <c r="B59" s="2794"/>
      <c r="C59" s="2798"/>
      <c r="D59" s="2788" t="s">
        <v>347</v>
      </c>
      <c r="E59" s="2789"/>
      <c r="F59" s="1099" t="str">
        <f t="shared" si="4"/>
        <v>Yes</v>
      </c>
      <c r="G59" s="2942">
        <v>0</v>
      </c>
      <c r="H59" s="2943"/>
      <c r="I59" s="2944"/>
    </row>
    <row r="60" spans="1:15" s="531" customFormat="1" ht="15" thickTop="1">
      <c r="A60" s="384"/>
      <c r="B60" s="2794"/>
      <c r="C60" s="2799" t="s">
        <v>2541</v>
      </c>
      <c r="D60" s="2923" t="s">
        <v>348</v>
      </c>
      <c r="E60" s="2923"/>
      <c r="F60" s="964" t="str">
        <f t="shared" si="4"/>
        <v>Yes</v>
      </c>
      <c r="G60" s="2939">
        <v>0</v>
      </c>
      <c r="H60" s="2940"/>
      <c r="I60" s="2941"/>
    </row>
    <row r="61" spans="1:15" s="531" customFormat="1">
      <c r="A61" s="384"/>
      <c r="B61" s="2795"/>
      <c r="C61" s="2800"/>
      <c r="D61" s="2925" t="s">
        <v>349</v>
      </c>
      <c r="E61" s="2925"/>
      <c r="F61" s="965" t="str">
        <f t="shared" si="4"/>
        <v>Yes</v>
      </c>
      <c r="G61" s="2945">
        <v>0</v>
      </c>
      <c r="H61" s="2946"/>
      <c r="I61" s="2947"/>
    </row>
    <row r="62" spans="1:15" s="627" customFormat="1">
      <c r="A62" s="624"/>
      <c r="B62" s="2907" t="s">
        <v>350</v>
      </c>
      <c r="C62" s="2908"/>
      <c r="D62" s="2911" t="s">
        <v>68</v>
      </c>
      <c r="E62" s="2912"/>
      <c r="F62" s="2912" t="s">
        <v>69</v>
      </c>
      <c r="G62" s="2912"/>
      <c r="H62" s="2912" t="s">
        <v>70</v>
      </c>
      <c r="I62" s="2913"/>
    </row>
    <row r="63" spans="1:15" s="627" customFormat="1">
      <c r="A63" s="624"/>
      <c r="B63" s="2907"/>
      <c r="C63" s="2908"/>
      <c r="D63" s="2914">
        <f>IF(ISBLANK(IMP_ST_DATE),"Please fill setup",YEAR(IMP_ST_DATE))</f>
        <v>2022</v>
      </c>
      <c r="E63" s="2801"/>
      <c r="F63" s="2801">
        <f>IF(ISBLANK(IMP_ST_DATE),"Please fill setup",YEAR(IMP_ST_DATE)+1)</f>
        <v>2023</v>
      </c>
      <c r="G63" s="2801"/>
      <c r="H63" s="2801">
        <f>IF(ISBLANK(IMP_ST_DATE),"Please fill setup",YEAR(IMP_ST_DATE)+2)</f>
        <v>2024</v>
      </c>
      <c r="I63" s="2915"/>
    </row>
    <row r="64" spans="1:15" s="627" customFormat="1" ht="29">
      <c r="A64" s="624"/>
      <c r="B64" s="2907"/>
      <c r="C64" s="2908"/>
      <c r="D64" s="643" t="s">
        <v>2615</v>
      </c>
      <c r="E64" s="1254" t="s">
        <v>2616</v>
      </c>
      <c r="F64" s="629" t="s">
        <v>2615</v>
      </c>
      <c r="G64" s="1254" t="s">
        <v>2616</v>
      </c>
      <c r="H64" s="629" t="s">
        <v>2615</v>
      </c>
      <c r="I64" s="1255" t="s">
        <v>2616</v>
      </c>
    </row>
    <row r="65" spans="1:9" s="531" customFormat="1">
      <c r="A65" s="384"/>
      <c r="B65" s="2907"/>
      <c r="C65" s="2918"/>
      <c r="D65" s="1242"/>
      <c r="E65" s="1242"/>
      <c r="F65" s="1242"/>
      <c r="G65" s="1242"/>
      <c r="H65" s="1242"/>
      <c r="I65" s="1242"/>
    </row>
    <row r="66" spans="1:9" s="627" customFormat="1">
      <c r="A66" s="624"/>
      <c r="B66" s="2907" t="s">
        <v>351</v>
      </c>
      <c r="C66" s="2908"/>
      <c r="D66" s="2914" t="s">
        <v>68</v>
      </c>
      <c r="E66" s="2801"/>
      <c r="F66" s="2801" t="s">
        <v>69</v>
      </c>
      <c r="G66" s="2801"/>
      <c r="H66" s="2801" t="s">
        <v>70</v>
      </c>
      <c r="I66" s="2915"/>
    </row>
    <row r="67" spans="1:9" s="627" customFormat="1">
      <c r="A67" s="624"/>
      <c r="B67" s="2907"/>
      <c r="C67" s="2908"/>
      <c r="D67" s="2914">
        <f>IF(ISBLANK(IMP_ST_DATE),"Please fill setup",YEAR(IMP_ST_DATE))</f>
        <v>2022</v>
      </c>
      <c r="E67" s="2801"/>
      <c r="F67" s="2801">
        <f>IF(ISBLANK(IMP_ST_DATE),"Please fill setup",YEAR(IMP_ST_DATE)+1)</f>
        <v>2023</v>
      </c>
      <c r="G67" s="2801"/>
      <c r="H67" s="2801">
        <f>IF(ISBLANK(IMP_ST_DATE),"Please fill setup",YEAR(IMP_ST_DATE)+2)</f>
        <v>2024</v>
      </c>
      <c r="I67" s="2915"/>
    </row>
    <row r="68" spans="1:9" s="627" customFormat="1" ht="29">
      <c r="A68" s="624"/>
      <c r="B68" s="2907"/>
      <c r="C68" s="2908"/>
      <c r="D68" s="643" t="s">
        <v>2615</v>
      </c>
      <c r="E68" s="1254" t="s">
        <v>2616</v>
      </c>
      <c r="F68" s="629" t="s">
        <v>2615</v>
      </c>
      <c r="G68" s="1254" t="s">
        <v>2616</v>
      </c>
      <c r="H68" s="629" t="s">
        <v>2615</v>
      </c>
      <c r="I68" s="1255" t="s">
        <v>2616</v>
      </c>
    </row>
    <row r="69" spans="1:9" s="531" customFormat="1">
      <c r="A69" s="384"/>
      <c r="B69" s="2907"/>
      <c r="C69" s="2918"/>
      <c r="D69" s="1242"/>
      <c r="E69" s="1242"/>
      <c r="F69" s="1242"/>
      <c r="G69" s="1242"/>
      <c r="H69" s="1242"/>
      <c r="I69" s="1242"/>
    </row>
    <row r="70" spans="1:9" s="531" customFormat="1">
      <c r="A70" s="384"/>
      <c r="B70" s="641"/>
      <c r="C70" s="639"/>
      <c r="D70" s="640"/>
      <c r="E70" s="1243"/>
      <c r="F70" s="640"/>
      <c r="G70" s="640"/>
      <c r="H70" s="640"/>
      <c r="I70" s="642"/>
    </row>
    <row r="71" spans="1:9" s="531" customFormat="1">
      <c r="A71" s="384"/>
      <c r="B71" s="2926" t="s">
        <v>352</v>
      </c>
      <c r="C71" s="2927"/>
      <c r="D71" s="2928"/>
      <c r="E71" s="2047" t="s">
        <v>90</v>
      </c>
      <c r="F71" s="2929"/>
      <c r="G71" s="2929"/>
      <c r="H71" s="2929"/>
      <c r="I71" s="2930"/>
    </row>
    <row r="72" spans="1:9" s="627" customFormat="1">
      <c r="A72" s="624"/>
      <c r="B72" s="2905" t="s">
        <v>353</v>
      </c>
      <c r="C72" s="2906"/>
      <c r="D72" s="2911" t="s">
        <v>68</v>
      </c>
      <c r="E72" s="2801"/>
      <c r="F72" s="2912" t="s">
        <v>69</v>
      </c>
      <c r="G72" s="2912"/>
      <c r="H72" s="2912" t="s">
        <v>70</v>
      </c>
      <c r="I72" s="2913"/>
    </row>
    <row r="73" spans="1:9" s="627" customFormat="1">
      <c r="A73" s="624"/>
      <c r="B73" s="2907"/>
      <c r="C73" s="2908"/>
      <c r="D73" s="2914">
        <f>IF(ISBLANK(IMP_ST_DATE),"Please fill setup",YEAR(IMP_ST_DATE))</f>
        <v>2022</v>
      </c>
      <c r="E73" s="2801"/>
      <c r="F73" s="2801">
        <f>IF(ISBLANK(IMP_ST_DATE),"Please fill setup",YEAR(IMP_ST_DATE)+1)</f>
        <v>2023</v>
      </c>
      <c r="G73" s="2801"/>
      <c r="H73" s="2801">
        <f>IF(ISBLANK(IMP_ST_DATE),"Please fill setup",YEAR(IMP_ST_DATE)+2)</f>
        <v>2024</v>
      </c>
      <c r="I73" s="2915"/>
    </row>
    <row r="74" spans="1:9" s="627" customFormat="1" ht="29">
      <c r="A74" s="624"/>
      <c r="B74" s="2907"/>
      <c r="C74" s="2908"/>
      <c r="D74" s="643" t="s">
        <v>2615</v>
      </c>
      <c r="E74" s="1254" t="s">
        <v>2616</v>
      </c>
      <c r="F74" s="629" t="s">
        <v>2615</v>
      </c>
      <c r="G74" s="1254" t="s">
        <v>2616</v>
      </c>
      <c r="H74" s="629" t="s">
        <v>2615</v>
      </c>
      <c r="I74" s="1255" t="s">
        <v>2616</v>
      </c>
    </row>
    <row r="75" spans="1:9" s="531" customFormat="1" ht="15" thickBot="1">
      <c r="A75" s="384"/>
      <c r="B75" s="2909"/>
      <c r="C75" s="2910"/>
      <c r="D75" s="1242"/>
      <c r="E75" s="1242"/>
      <c r="F75" s="1242"/>
      <c r="G75" s="1242"/>
      <c r="H75" s="1242"/>
      <c r="I75" s="1242"/>
    </row>
    <row r="76" spans="1:9" s="531" customFormat="1"/>
    <row r="77" spans="1:9" s="531" customFormat="1"/>
    <row r="78" spans="1:9" s="531" customFormat="1"/>
  </sheetData>
  <sheetProtection algorithmName="SHA-512" hashValue="B3a8ic2MYgY5yhBU7Uu9q0gA5ZF/84Xm4rSOi9yqoU2IawLESn+pmj2EH+w07sQUndwwChsAT5u3qL3FeyHKMg==" saltValue="sRLkRZCI8/4HiW/W5+ymhA==" spinCount="100000" sheet="1" formatColumns="0" formatRows="0" autoFilter="0"/>
  <mergeCells count="140">
    <mergeCell ref="E55:F55"/>
    <mergeCell ref="H62:I62"/>
    <mergeCell ref="D56:E56"/>
    <mergeCell ref="D57:E57"/>
    <mergeCell ref="D58:E58"/>
    <mergeCell ref="D61:E61"/>
    <mergeCell ref="B53:E54"/>
    <mergeCell ref="B71:D71"/>
    <mergeCell ref="F71:I71"/>
    <mergeCell ref="B66:C69"/>
    <mergeCell ref="D66:E66"/>
    <mergeCell ref="F66:G66"/>
    <mergeCell ref="H66:I66"/>
    <mergeCell ref="D67:E67"/>
    <mergeCell ref="F67:G67"/>
    <mergeCell ref="H67:I67"/>
    <mergeCell ref="D60:E60"/>
    <mergeCell ref="B55:D55"/>
    <mergeCell ref="G56:I56"/>
    <mergeCell ref="G57:I57"/>
    <mergeCell ref="G58:I58"/>
    <mergeCell ref="G59:I59"/>
    <mergeCell ref="G60:I60"/>
    <mergeCell ref="G61:I61"/>
    <mergeCell ref="P15:Q15"/>
    <mergeCell ref="P16:Q16"/>
    <mergeCell ref="P17:Q17"/>
    <mergeCell ref="P14:Q14"/>
    <mergeCell ref="B72:C75"/>
    <mergeCell ref="D72:E72"/>
    <mergeCell ref="F72:G72"/>
    <mergeCell ref="H72:I72"/>
    <mergeCell ref="D73:E73"/>
    <mergeCell ref="F73:G73"/>
    <mergeCell ref="H73:I73"/>
    <mergeCell ref="N48:O48"/>
    <mergeCell ref="N49:O49"/>
    <mergeCell ref="L48:M48"/>
    <mergeCell ref="B62:C65"/>
    <mergeCell ref="D62:E62"/>
    <mergeCell ref="D63:E63"/>
    <mergeCell ref="F62:G62"/>
    <mergeCell ref="F63:G63"/>
    <mergeCell ref="H63:I63"/>
    <mergeCell ref="K50:M50"/>
    <mergeCell ref="N50:O50"/>
    <mergeCell ref="D49:D50"/>
    <mergeCell ref="L49:M49"/>
    <mergeCell ref="B15:E15"/>
    <mergeCell ref="B14:E14"/>
    <mergeCell ref="B16:E16"/>
    <mergeCell ref="B17:E17"/>
    <mergeCell ref="B18:E18"/>
    <mergeCell ref="H31:I31"/>
    <mergeCell ref="F11:G11"/>
    <mergeCell ref="F12:G12"/>
    <mergeCell ref="B19:E19"/>
    <mergeCell ref="B20:E20"/>
    <mergeCell ref="B24:E24"/>
    <mergeCell ref="B25:E25"/>
    <mergeCell ref="B31:D32"/>
    <mergeCell ref="F31:G31"/>
    <mergeCell ref="F24:K24"/>
    <mergeCell ref="F25:K25"/>
    <mergeCell ref="B29:K30"/>
    <mergeCell ref="B26:E26"/>
    <mergeCell ref="F32:G32"/>
    <mergeCell ref="H32:I32"/>
    <mergeCell ref="F26:K26"/>
    <mergeCell ref="A28:K28"/>
    <mergeCell ref="O1:P2"/>
    <mergeCell ref="B9:Q10"/>
    <mergeCell ref="L11:L13"/>
    <mergeCell ref="M11:M13"/>
    <mergeCell ref="N11:N13"/>
    <mergeCell ref="O11:O13"/>
    <mergeCell ref="P11:Q12"/>
    <mergeCell ref="A1:K1"/>
    <mergeCell ref="I3:K4"/>
    <mergeCell ref="G3:H4"/>
    <mergeCell ref="H11:I11"/>
    <mergeCell ref="Q1:R2"/>
    <mergeCell ref="M1:N2"/>
    <mergeCell ref="J12:K12"/>
    <mergeCell ref="B5:B6"/>
    <mergeCell ref="C5:E6"/>
    <mergeCell ref="B3:B4"/>
    <mergeCell ref="I5:K6"/>
    <mergeCell ref="G5:H6"/>
    <mergeCell ref="C3:E4"/>
    <mergeCell ref="B11:D12"/>
    <mergeCell ref="H12:I12"/>
    <mergeCell ref="J11:K11"/>
    <mergeCell ref="A7:K7"/>
    <mergeCell ref="P18:Q18"/>
    <mergeCell ref="P19:Q19"/>
    <mergeCell ref="P20:Q20"/>
    <mergeCell ref="P21:Q21"/>
    <mergeCell ref="P22:Q22"/>
    <mergeCell ref="B21:E21"/>
    <mergeCell ref="B22:E22"/>
    <mergeCell ref="B41:O42"/>
    <mergeCell ref="P23:Q23"/>
    <mergeCell ref="B38:E38"/>
    <mergeCell ref="B36:E36"/>
    <mergeCell ref="B34:E34"/>
    <mergeCell ref="B35:E35"/>
    <mergeCell ref="F35:K35"/>
    <mergeCell ref="F36:K36"/>
    <mergeCell ref="F37:K37"/>
    <mergeCell ref="F38:K38"/>
    <mergeCell ref="B37:E37"/>
    <mergeCell ref="A40:K40"/>
    <mergeCell ref="J31:K31"/>
    <mergeCell ref="B23:E23"/>
    <mergeCell ref="J32:K32"/>
    <mergeCell ref="D59:E59"/>
    <mergeCell ref="A52:K52"/>
    <mergeCell ref="B56:B61"/>
    <mergeCell ref="C56:C59"/>
    <mergeCell ref="C60:C61"/>
    <mergeCell ref="L45:O45"/>
    <mergeCell ref="H50:I50"/>
    <mergeCell ref="E50:F50"/>
    <mergeCell ref="H44:O44"/>
    <mergeCell ref="B44:C47"/>
    <mergeCell ref="D44:D47"/>
    <mergeCell ref="E44:E47"/>
    <mergeCell ref="J45:K45"/>
    <mergeCell ref="L46:O46"/>
    <mergeCell ref="N47:O47"/>
    <mergeCell ref="J46:K46"/>
    <mergeCell ref="L47:M47"/>
    <mergeCell ref="F44:F47"/>
    <mergeCell ref="G44:G47"/>
    <mergeCell ref="B49:C50"/>
    <mergeCell ref="B48:C48"/>
    <mergeCell ref="H45:I45"/>
    <mergeCell ref="H46:I46"/>
    <mergeCell ref="G55:I55"/>
  </mergeCells>
  <conditionalFormatting sqref="F24:K26">
    <cfRule type="expression" dxfId="726" priority="15">
      <formula>$F$24+$F$25+$F$26&lt;&gt;1</formula>
    </cfRule>
  </conditionalFormatting>
  <conditionalFormatting sqref="F35:K38">
    <cfRule type="expression" dxfId="725" priority="14">
      <formula>$F$35+$F$36+$F$37+$F$38&lt;&gt;1</formula>
    </cfRule>
  </conditionalFormatting>
  <conditionalFormatting sqref="G50 J50 N50:O50">
    <cfRule type="expression" dxfId="724" priority="13">
      <formula>$G$50+$J$50+$N$50&lt;&gt;1</formula>
    </cfRule>
  </conditionalFormatting>
  <conditionalFormatting sqref="G60:I61">
    <cfRule type="expression" dxfId="723" priority="11">
      <formula>AND($E$55="No",$G$60+$G$61&lt;&gt;0)</formula>
    </cfRule>
    <cfRule type="expression" dxfId="722" priority="12">
      <formula>AND($G$60+$G$61&lt;&gt;1,$E$55="Yes")</formula>
    </cfRule>
  </conditionalFormatting>
  <conditionalFormatting sqref="G56:I59">
    <cfRule type="expression" dxfId="721" priority="9">
      <formula>AND($G$56+$G$57+$G$58+$G$59&lt;&gt;1,$E$55="Yes")</formula>
    </cfRule>
    <cfRule type="expression" dxfId="720" priority="10">
      <formula>AND($E$55="No",$G$56+$G$57+$G$58+$G$59&lt;&gt;0)</formula>
    </cfRule>
  </conditionalFormatting>
  <conditionalFormatting sqref="F20:K23">
    <cfRule type="containsBlanks" dxfId="719" priority="22">
      <formula>LEN(TRIM(F20))=0</formula>
    </cfRule>
  </conditionalFormatting>
  <conditionalFormatting sqref="F16:K17">
    <cfRule type="containsBlanks" dxfId="718" priority="23">
      <formula>LEN(TRIM(F16))=0</formula>
    </cfRule>
  </conditionalFormatting>
  <conditionalFormatting sqref="E55">
    <cfRule type="containsBlanks" dxfId="717" priority="25">
      <formula>LEN(TRIM(E55))=0</formula>
    </cfRule>
  </conditionalFormatting>
  <conditionalFormatting sqref="E71">
    <cfRule type="containsBlanks" dxfId="716" priority="24">
      <formula>LEN(TRIM(E71))=0</formula>
    </cfRule>
  </conditionalFormatting>
  <dataValidations count="3">
    <dataValidation type="list" allowBlank="1" showInputMessage="1" showErrorMessage="1" sqref="E55 E71 D48:D49 F56:F61" xr:uid="{00000000-0002-0000-0C00-000000000000}">
      <formula1>YesNo</formula1>
    </dataValidation>
    <dataValidation type="whole" allowBlank="1" showInputMessage="1" showErrorMessage="1" sqref="F14:K23 F34:K34 H48 E48:G48 I48:O48 D65:F65 H65:I65 G65 D69:I69 D75:I75" xr:uid="{00000000-0002-0000-0C00-000001000000}">
      <formula1>0</formula1>
      <formula2>1E+29</formula2>
    </dataValidation>
    <dataValidation type="decimal" allowBlank="1" showInputMessage="1" showErrorMessage="1" sqref="F24:K26 F35:K38 G50 J50 N50:O50 G56:I61 L14:O26" xr:uid="{00000000-0002-0000-0C00-000002000000}">
      <formula1>0</formula1>
      <formula2>1</formula2>
    </dataValidation>
  </dataValidations>
  <hyperlinks>
    <hyperlink ref="O1:P2" location="'Malaria-Pharmaceuticals'!A1" display="Go to Malaria-Pharmaceuticals" xr:uid="{00000000-0004-0000-0C00-000000000000}"/>
    <hyperlink ref="Q1:R2" location="'Malaria-Equipment &amp; Other HPs'!A1" display="Go to Malaria Other HPs &amp; Equipment"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FFCC00"/>
    <pageSetUpPr autoPageBreaks="0"/>
  </sheetPr>
  <dimension ref="A1:BJ87"/>
  <sheetViews>
    <sheetView showGridLines="0" zoomScale="85" zoomScaleNormal="85" workbookViewId="0">
      <selection sqref="A1:K1"/>
    </sheetView>
  </sheetViews>
  <sheetFormatPr baseColWidth="10" defaultColWidth="8.7265625" defaultRowHeight="14.5"/>
  <cols>
    <col min="1" max="1" width="8.7265625" style="62"/>
    <col min="2" max="6" width="15.26953125" style="62" customWidth="1"/>
    <col min="7" max="7" width="17" style="62" customWidth="1"/>
    <col min="8" max="9" width="15.26953125" style="62" customWidth="1"/>
    <col min="10" max="10" width="12.26953125" style="62" customWidth="1"/>
    <col min="11" max="11" width="15.26953125" style="62" customWidth="1"/>
    <col min="12" max="13" width="17" style="62" customWidth="1"/>
    <col min="14" max="14" width="15.26953125" style="62" customWidth="1"/>
    <col min="15" max="15" width="14" style="62" customWidth="1"/>
    <col min="16" max="16" width="17" style="62" customWidth="1"/>
    <col min="17" max="17" width="15.26953125" style="62" customWidth="1"/>
    <col min="18" max="18" width="15.7265625" style="62" customWidth="1"/>
    <col min="19" max="19" width="16.7265625" style="62" customWidth="1"/>
    <col min="20" max="20" width="14.26953125" style="62" customWidth="1"/>
    <col min="21" max="21" width="17" style="62" customWidth="1"/>
    <col min="22" max="22" width="17.26953125" style="62" customWidth="1"/>
    <col min="23" max="24" width="17" style="62" customWidth="1"/>
    <col min="25" max="26" width="13.26953125" style="62" customWidth="1"/>
    <col min="27" max="27" width="12.26953125" style="62" customWidth="1"/>
    <col min="28" max="28" width="11.26953125" style="62" customWidth="1"/>
    <col min="29" max="30" width="12.26953125" style="62" customWidth="1"/>
    <col min="31" max="31" width="11.26953125" style="62" customWidth="1"/>
    <col min="32" max="32" width="16.26953125" style="62" customWidth="1"/>
    <col min="33" max="33" width="11" style="447" customWidth="1"/>
    <col min="34" max="34" width="14.26953125" style="62" bestFit="1" customWidth="1"/>
    <col min="35" max="35" width="11.26953125" style="62" bestFit="1" customWidth="1"/>
    <col min="36" max="36" width="15.7265625" style="62" customWidth="1"/>
    <col min="37" max="37" width="17.453125" style="62" customWidth="1"/>
    <col min="38" max="38" width="85.26953125" style="62" customWidth="1"/>
    <col min="39" max="39" width="10.7265625" style="62" customWidth="1"/>
    <col min="40" max="40" width="0" style="504" hidden="1" customWidth="1"/>
    <col min="41" max="46" width="8.7265625" style="62"/>
    <col min="47" max="47" width="8.7265625" style="62" hidden="1" customWidth="1"/>
    <col min="48" max="48" width="16" style="62" hidden="1" customWidth="1"/>
    <col min="49" max="49" width="34.7265625" style="62" hidden="1" customWidth="1"/>
    <col min="50" max="62" width="10" style="62" hidden="1" customWidth="1"/>
    <col min="63" max="16384" width="8.7265625" style="62"/>
  </cols>
  <sheetData>
    <row r="1" spans="1:61" ht="24" customHeight="1" thickBot="1">
      <c r="A1" s="2853" t="str">
        <f>VLOOKUP("Health Product Management Template - Malaria - List of pharmaceuticals",Language!$D$579:$G$651,$L$1,FALSE)</f>
        <v>Plantilla para la gestión de productos sanitarios - Malaria - lista de productos farmacéuticos</v>
      </c>
      <c r="B1" s="2854"/>
      <c r="C1" s="2854"/>
      <c r="D1" s="2854"/>
      <c r="E1" s="2854"/>
      <c r="F1" s="2854"/>
      <c r="G1" s="2854"/>
      <c r="H1" s="2854"/>
      <c r="I1" s="2854"/>
      <c r="J1" s="2854"/>
      <c r="K1" s="2855"/>
      <c r="L1" s="1857">
        <f>SETUP!$A$2</f>
        <v>3</v>
      </c>
      <c r="M1" s="2867"/>
      <c r="N1" s="2864" t="s">
        <v>354</v>
      </c>
      <c r="O1" s="2864" t="s">
        <v>304</v>
      </c>
      <c r="P1" s="2864"/>
      <c r="Q1" s="59"/>
      <c r="R1" s="60"/>
      <c r="S1" s="60"/>
      <c r="T1" s="60"/>
      <c r="U1" s="60"/>
      <c r="V1" s="60"/>
      <c r="W1" s="60"/>
      <c r="X1" s="60"/>
      <c r="Y1" s="60"/>
      <c r="Z1" s="60"/>
      <c r="AA1" s="60"/>
      <c r="AB1" s="60"/>
      <c r="AC1" s="145"/>
      <c r="AD1" s="78"/>
      <c r="AG1" s="62"/>
    </row>
    <row r="2" spans="1:61" ht="15" thickBot="1">
      <c r="A2" s="163"/>
      <c r="B2" s="163"/>
      <c r="C2" s="163"/>
      <c r="D2" s="163"/>
      <c r="E2" s="163"/>
      <c r="F2" s="163"/>
      <c r="G2" s="163"/>
      <c r="H2" s="163"/>
      <c r="I2" s="163"/>
      <c r="J2" s="163"/>
      <c r="K2" s="230"/>
      <c r="L2" s="229"/>
      <c r="M2" s="2869"/>
      <c r="N2" s="2865"/>
      <c r="O2" s="2865"/>
      <c r="P2" s="2865"/>
      <c r="Q2" s="59"/>
      <c r="R2" s="60"/>
      <c r="S2" s="60"/>
      <c r="T2" s="60"/>
      <c r="U2" s="60"/>
      <c r="V2" s="60"/>
      <c r="W2" s="60"/>
      <c r="X2" s="60"/>
      <c r="Y2" s="60"/>
      <c r="Z2" s="60"/>
      <c r="AA2" s="60"/>
      <c r="AB2" s="60"/>
      <c r="AC2" s="145"/>
      <c r="AD2" s="78"/>
      <c r="AG2" s="62"/>
    </row>
    <row r="3" spans="1:61" ht="15" customHeight="1" thickBot="1">
      <c r="A3" s="231"/>
      <c r="B3" s="3000" t="str">
        <f>VLOOKUP("COUNTRY:",Language!$D$579:$G$651,$L$1,FALSE)</f>
        <v>PAÍS:</v>
      </c>
      <c r="C3" s="2856" t="str">
        <f>SETUP!$E$3</f>
        <v>El Salvador</v>
      </c>
      <c r="D3" s="2856"/>
      <c r="E3" s="2856"/>
      <c r="F3" s="232"/>
      <c r="G3" s="2994" t="str">
        <f>VLOOKUP("GRANT NUMBER:",Language!$D$579:$G$651,$L$1,FALSE)</f>
        <v>NÚMERO DE LA SUBVENCIÓN:</v>
      </c>
      <c r="H3" s="2856" t="str">
        <f>GRAN_NO</f>
        <v>SLV-H-MOH</v>
      </c>
      <c r="I3" s="2856"/>
      <c r="J3" s="2856"/>
      <c r="K3" s="2857"/>
      <c r="L3" s="229"/>
      <c r="M3" s="68"/>
      <c r="N3" s="69"/>
      <c r="O3" s="69"/>
      <c r="P3" s="69"/>
      <c r="Q3" s="69"/>
      <c r="R3" s="60"/>
      <c r="S3" s="60"/>
      <c r="T3" s="60"/>
      <c r="U3" s="60"/>
      <c r="V3" s="60"/>
      <c r="W3" s="60"/>
      <c r="X3" s="60"/>
      <c r="Y3" s="60"/>
      <c r="Z3" s="60"/>
      <c r="AA3" s="60"/>
      <c r="AB3" s="60"/>
      <c r="AC3" s="60"/>
      <c r="AD3" s="60"/>
      <c r="AE3" s="233"/>
      <c r="AF3" s="233"/>
      <c r="AG3" s="234"/>
      <c r="AH3" s="82"/>
    </row>
    <row r="4" spans="1:61" ht="15.75" customHeight="1" thickTop="1" thickBot="1">
      <c r="A4" s="235"/>
      <c r="B4" s="3001"/>
      <c r="C4" s="3002"/>
      <c r="D4" s="3002"/>
      <c r="E4" s="3002"/>
      <c r="F4" s="236"/>
      <c r="G4" s="2995"/>
      <c r="H4" s="2996"/>
      <c r="I4" s="2996"/>
      <c r="J4" s="2996"/>
      <c r="K4" s="2997"/>
      <c r="L4" s="59"/>
      <c r="M4" s="59"/>
      <c r="N4" s="60"/>
      <c r="O4" s="60"/>
      <c r="P4" s="60"/>
      <c r="Q4" s="60"/>
      <c r="R4" s="60"/>
      <c r="S4" s="60"/>
      <c r="T4" s="60"/>
      <c r="U4" s="60"/>
      <c r="V4" s="60"/>
      <c r="W4" s="60"/>
      <c r="X4" s="60"/>
      <c r="Y4" s="60"/>
      <c r="Z4" s="60"/>
      <c r="AA4" s="60"/>
      <c r="AB4" s="60"/>
      <c r="AC4" s="60"/>
      <c r="AD4" s="60"/>
      <c r="AE4" s="233"/>
      <c r="AF4" s="233"/>
      <c r="AG4" s="234"/>
      <c r="AH4" s="82"/>
    </row>
    <row r="5" spans="1:61" ht="15.5" thickTop="1" thickBot="1">
      <c r="A5" s="235"/>
      <c r="B5" s="2998" t="str">
        <f>VLOOKUP("COMPONENT:",Language!$D$579:$G$651,$L$1,FALSE)</f>
        <v>COMPONENTE:</v>
      </c>
      <c r="C5" s="2996" t="str">
        <f>SETUP!$E$6</f>
        <v>HIV</v>
      </c>
      <c r="D5" s="2996"/>
      <c r="E5" s="2996"/>
      <c r="F5" s="237"/>
      <c r="G5" s="2992" t="str">
        <f>VLOOKUP("PR: ",Language!$D$579:$G$651,$L$1,FALSE)</f>
        <v xml:space="preserve">RP: </v>
      </c>
      <c r="H5" s="2876" t="str">
        <f>SETUP!E7</f>
        <v>Ministry of Health of the Republic of El Salvador</v>
      </c>
      <c r="I5" s="2876"/>
      <c r="J5" s="2876"/>
      <c r="K5" s="2877"/>
      <c r="L5" s="59"/>
      <c r="M5" s="59"/>
      <c r="N5" s="60"/>
      <c r="O5" s="60"/>
      <c r="P5" s="60"/>
      <c r="Q5" s="60"/>
      <c r="R5" s="60"/>
      <c r="S5" s="60"/>
      <c r="T5" s="60"/>
      <c r="U5" s="60"/>
      <c r="V5" s="60"/>
      <c r="W5" s="60"/>
      <c r="X5" s="60"/>
      <c r="Y5" s="60"/>
      <c r="Z5" s="60"/>
      <c r="AA5" s="60"/>
      <c r="AB5" s="60"/>
      <c r="AC5" s="60"/>
      <c r="AD5" s="60"/>
      <c r="AE5" s="233"/>
      <c r="AF5" s="233"/>
      <c r="AG5" s="234"/>
      <c r="AH5" s="82"/>
    </row>
    <row r="6" spans="1:61" ht="15.5" thickTop="1" thickBot="1">
      <c r="A6" s="238"/>
      <c r="B6" s="2999"/>
      <c r="C6" s="2878"/>
      <c r="D6" s="2878"/>
      <c r="E6" s="2878"/>
      <c r="F6" s="239"/>
      <c r="G6" s="2993"/>
      <c r="H6" s="2878"/>
      <c r="I6" s="2878"/>
      <c r="J6" s="2878"/>
      <c r="K6" s="2879"/>
      <c r="L6" s="59"/>
      <c r="M6" s="59"/>
      <c r="N6" s="60"/>
      <c r="O6" s="60"/>
      <c r="P6" s="60"/>
      <c r="Q6" s="60"/>
      <c r="R6" s="60"/>
      <c r="S6" s="60"/>
      <c r="T6" s="60"/>
      <c r="U6" s="60"/>
      <c r="V6" s="60"/>
      <c r="W6" s="60"/>
      <c r="X6" s="60"/>
      <c r="Y6" s="60"/>
      <c r="Z6" s="60"/>
      <c r="AA6" s="60"/>
      <c r="AB6" s="60"/>
      <c r="AC6" s="60"/>
      <c r="AD6" s="60"/>
      <c r="AE6" s="233"/>
      <c r="AF6" s="233"/>
      <c r="AG6" s="234"/>
      <c r="AH6" s="82"/>
    </row>
    <row r="7" spans="1:61" ht="15" thickBot="1">
      <c r="A7" s="1513" t="str">
        <f ca="1">MID(CELL("filename",A1),FIND("]",CELL("filename",A1))+1,255)</f>
        <v>Malaria-Pharmaceuticals</v>
      </c>
      <c r="B7" s="76"/>
      <c r="C7" s="76"/>
      <c r="D7" s="76"/>
      <c r="E7" s="76"/>
      <c r="F7" s="76"/>
      <c r="G7" s="76"/>
      <c r="H7" s="76"/>
      <c r="I7" s="76"/>
      <c r="J7" s="76"/>
      <c r="K7" s="77"/>
      <c r="L7" s="60"/>
      <c r="M7" s="59"/>
      <c r="N7" s="60"/>
      <c r="O7" s="60"/>
      <c r="P7" s="60"/>
      <c r="Q7" s="60"/>
      <c r="R7" s="60"/>
      <c r="S7" s="60"/>
      <c r="T7" s="60"/>
      <c r="U7" s="60"/>
      <c r="V7" s="60"/>
      <c r="W7" s="60"/>
      <c r="X7" s="60"/>
      <c r="Y7" s="60"/>
      <c r="Z7" s="60"/>
      <c r="AA7" s="60"/>
      <c r="AB7" s="60"/>
      <c r="AC7" s="60"/>
      <c r="AD7" s="60"/>
      <c r="AE7" s="233"/>
      <c r="AF7" s="233"/>
      <c r="AG7" s="234"/>
      <c r="AH7" s="82"/>
    </row>
    <row r="8" spans="1:61" ht="22.5" customHeight="1" thickBot="1">
      <c r="A8" s="2960">
        <v>1</v>
      </c>
      <c r="B8" s="2986" t="s">
        <v>355</v>
      </c>
      <c r="C8" s="2986"/>
      <c r="D8" s="2986"/>
      <c r="E8" s="2988" t="s">
        <v>35</v>
      </c>
      <c r="F8" s="2988"/>
      <c r="G8" s="2989"/>
      <c r="H8" s="2867" t="s">
        <v>2587</v>
      </c>
      <c r="I8" s="143"/>
      <c r="J8" s="143"/>
      <c r="K8" s="60"/>
      <c r="L8" s="60"/>
      <c r="M8" s="60"/>
      <c r="N8" s="60"/>
      <c r="P8" s="60"/>
      <c r="Q8" s="60"/>
      <c r="R8" s="60"/>
      <c r="S8" s="60"/>
      <c r="T8" s="60"/>
      <c r="U8" s="60"/>
      <c r="W8" s="60"/>
      <c r="X8" s="60"/>
      <c r="Y8" s="60"/>
      <c r="Z8" s="60"/>
      <c r="AA8" s="60"/>
      <c r="AB8" s="60"/>
      <c r="AC8" s="60"/>
      <c r="AD8" s="60"/>
      <c r="AE8" s="233"/>
      <c r="AF8" s="233"/>
      <c r="AG8" s="234"/>
      <c r="AH8" s="82"/>
    </row>
    <row r="9" spans="1:61" ht="29.25" customHeight="1" thickBot="1">
      <c r="A9" s="2961"/>
      <c r="B9" s="2987"/>
      <c r="C9" s="2987"/>
      <c r="D9" s="2987"/>
      <c r="E9" s="2990" t="s">
        <v>356</v>
      </c>
      <c r="F9" s="2990"/>
      <c r="G9" s="2991"/>
      <c r="H9" s="2959"/>
      <c r="I9" s="146"/>
      <c r="J9" s="146"/>
      <c r="K9" s="79"/>
      <c r="L9" s="79"/>
      <c r="M9" s="79"/>
      <c r="N9" s="79"/>
      <c r="O9" s="79"/>
      <c r="P9" s="79"/>
      <c r="Q9" s="79"/>
      <c r="R9" s="79"/>
      <c r="S9" s="79"/>
      <c r="T9" s="79"/>
      <c r="U9" s="79"/>
      <c r="V9" s="79"/>
      <c r="W9" s="79"/>
      <c r="X9" s="79"/>
      <c r="Y9" s="79"/>
      <c r="Z9" s="79"/>
      <c r="AA9" s="79"/>
      <c r="AB9" s="79"/>
      <c r="AC9" s="79"/>
      <c r="AD9" s="79"/>
      <c r="AE9" s="240"/>
      <c r="AF9" s="240"/>
      <c r="AG9" s="241"/>
      <c r="AH9" s="82"/>
    </row>
    <row r="10" spans="1:61" ht="121.15" customHeight="1">
      <c r="A10" s="2348" t="str">
        <f>IF($L$1=2,Language!$E$584,IF($L$1=3,Language!$F$584,Language!$G$584))</f>
        <v>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49"/>
      <c r="C10" s="2349"/>
      <c r="D10" s="2349"/>
      <c r="E10" s="2349"/>
      <c r="F10" s="2349"/>
      <c r="G10" s="2349"/>
      <c r="H10" s="2349"/>
      <c r="I10" s="2349"/>
      <c r="J10" s="2349"/>
      <c r="K10" s="2349"/>
      <c r="L10" s="2349"/>
      <c r="M10" s="2350"/>
      <c r="N10" s="78"/>
      <c r="O10" s="78"/>
      <c r="P10" s="78"/>
      <c r="Q10" s="78"/>
      <c r="R10" s="78"/>
      <c r="S10" s="78"/>
      <c r="T10" s="78"/>
      <c r="U10" s="78"/>
      <c r="V10" s="78"/>
      <c r="W10" s="78"/>
      <c r="X10" s="78"/>
      <c r="Y10" s="78"/>
      <c r="Z10" s="78"/>
      <c r="AA10" s="78"/>
      <c r="AB10" s="78"/>
      <c r="AC10" s="78"/>
      <c r="AD10" s="78"/>
      <c r="AE10" s="82"/>
      <c r="AF10" s="82"/>
      <c r="AG10" s="242"/>
      <c r="AH10" s="82"/>
    </row>
    <row r="11" spans="1:61" ht="16" thickBot="1">
      <c r="A11" s="83"/>
      <c r="B11" s="84"/>
      <c r="C11" s="660"/>
      <c r="D11" s="1405"/>
      <c r="E11" s="1405"/>
      <c r="F11" s="86"/>
      <c r="G11" s="86"/>
      <c r="H11" s="86"/>
      <c r="I11" s="86"/>
      <c r="J11" s="86"/>
      <c r="K11" s="86"/>
      <c r="L11" s="87"/>
      <c r="M11" s="86"/>
      <c r="N11" s="86"/>
      <c r="O11" s="86"/>
      <c r="P11" s="86"/>
      <c r="Q11" s="86"/>
      <c r="R11" s="86"/>
      <c r="S11" s="86"/>
      <c r="T11" s="86"/>
      <c r="U11" s="86"/>
      <c r="V11" s="86"/>
      <c r="W11" s="86"/>
      <c r="X11" s="86"/>
      <c r="Y11" s="86"/>
      <c r="Z11" s="86"/>
      <c r="AA11" s="86"/>
      <c r="AB11" s="86"/>
      <c r="AC11" s="86"/>
      <c r="AD11" s="86"/>
      <c r="AE11" s="243"/>
      <c r="AF11" s="243"/>
      <c r="AG11" s="244"/>
      <c r="AH11" s="82"/>
      <c r="AX11" s="3025" t="s">
        <v>1225</v>
      </c>
      <c r="AY11" s="3025"/>
      <c r="AZ11" s="3025"/>
      <c r="BA11" s="3025"/>
      <c r="BB11" s="3025"/>
      <c r="BC11" s="3025"/>
      <c r="BD11" s="3025"/>
      <c r="BE11" s="3025"/>
      <c r="BF11" s="3025"/>
      <c r="BG11" s="3025"/>
      <c r="BH11" s="3025"/>
      <c r="BI11" s="3025"/>
    </row>
    <row r="12" spans="1:61" s="268" customFormat="1" ht="15" thickBot="1">
      <c r="A12" s="2968" t="str">
        <f>VLOOKUP("Category",Language!$D$579:$G$651,$L$1,FALSE)</f>
        <v>Categoría de productos</v>
      </c>
      <c r="B12" s="2966"/>
      <c r="C12" s="2966"/>
      <c r="D12" s="2966"/>
      <c r="E12" s="2968" t="str">
        <f>VLOOKUP("Product INN",Language!$D$579:$G$651,$L$1,FALSE)</f>
        <v>DCI del producto</v>
      </c>
      <c r="F12" s="2966"/>
      <c r="G12" s="2966"/>
      <c r="H12" s="2969"/>
      <c r="I12" s="2972" t="str">
        <f>VLOOKUP("Specification (dosage, form, packaging, pack size)",Language!$D$579:$G$651,$L$1,FALSE)</f>
        <v>Especificaciones (dosificación, forma farmacéutica, empaque, tamaño del empaque)</v>
      </c>
      <c r="J12" s="2973"/>
      <c r="K12" s="2974"/>
      <c r="L12" s="2966" t="str">
        <f>VLOOKUP("Unit of measure",Language!$D$579:$G$651,$L$1,FALSE)</f>
        <v>Unidad de medida</v>
      </c>
      <c r="M12" s="2978" t="str">
        <f>VLOOKUP("Payment Currency",Language!$D$579:$G$651,$L$1,FALSE)</f>
        <v>Moneda de pago</v>
      </c>
      <c r="N12" s="2980">
        <f>IF(ISBLANK(IMP_ST_DATE),SETUP!$A$3,IF(MO_CHECK&gt;3,"Y1",YEAR(IMP_ST_DATE)))</f>
        <v>2022</v>
      </c>
      <c r="O12" s="2981"/>
      <c r="P12" s="2981"/>
      <c r="Q12" s="2981"/>
      <c r="R12" s="2981"/>
      <c r="S12" s="2981"/>
      <c r="T12" s="2982"/>
      <c r="U12" s="2980">
        <f>IF(N12="Y1","Y2",IF(ISBLANK(IMP_ST_DATE),SETUP!$A$3,YEAR(IMP_ST_DATE)+1))</f>
        <v>2023</v>
      </c>
      <c r="V12" s="2981"/>
      <c r="W12" s="2981"/>
      <c r="X12" s="2981"/>
      <c r="Y12" s="2981"/>
      <c r="Z12" s="2981"/>
      <c r="AA12" s="2982"/>
      <c r="AB12" s="2980">
        <f>IF(N12="Y1","Y3",IF(ISBLANK(IMP_ST_DATE),SETUP!$A$3,YEAR(IMP_ST_DATE)+2))</f>
        <v>2024</v>
      </c>
      <c r="AC12" s="2981"/>
      <c r="AD12" s="2981"/>
      <c r="AE12" s="2981"/>
      <c r="AF12" s="2981"/>
      <c r="AG12" s="2981"/>
      <c r="AH12" s="2982"/>
      <c r="AI12" s="2964" t="str">
        <f>VLOOKUP("Total grant period",Language!$D$579:$G$651,$L$1,FALSE)</f>
        <v>Total del período de subvención</v>
      </c>
      <c r="AJ12" s="2965"/>
      <c r="AK12" s="245" t="str">
        <f>VLOOKUP("Finance",Language!$D$579:$G$651,$L$1,FALSE)</f>
        <v>Finanzas</v>
      </c>
      <c r="AL12" s="3028" t="str">
        <f>VLOOKUP("Comment",Language!$D$579:$G$651,$L$1,FALSE)</f>
        <v>Comentarios</v>
      </c>
      <c r="AM12" s="3026" t="str">
        <f>VLOOKUP("Delivery Lead Time",Language!$D$579:$G$651,$L$1,FALSE)</f>
        <v>Plazo de entrega</v>
      </c>
      <c r="AN12" s="3026" t="s">
        <v>3054</v>
      </c>
      <c r="AX12" s="3024">
        <f>YEAR(IMP_ST_DATE)</f>
        <v>2022</v>
      </c>
      <c r="AY12" s="3024"/>
      <c r="AZ12" s="3024"/>
      <c r="BA12" s="3024"/>
      <c r="BB12" s="3024">
        <f>YEAR(IMP_ST_DATE)+1</f>
        <v>2023</v>
      </c>
      <c r="BC12" s="3024"/>
      <c r="BD12" s="3024"/>
      <c r="BE12" s="3024"/>
      <c r="BF12" s="3024">
        <f>YEAR(IMP_ST_DATE)+2</f>
        <v>2024</v>
      </c>
      <c r="BG12" s="3024"/>
      <c r="BH12" s="3024"/>
      <c r="BI12" s="3024"/>
    </row>
    <row r="13" spans="1:61" s="323" customFormat="1" ht="39.5" thickBot="1">
      <c r="A13" s="2970"/>
      <c r="B13" s="2967"/>
      <c r="C13" s="2967"/>
      <c r="D13" s="2967"/>
      <c r="E13" s="2970"/>
      <c r="F13" s="2967"/>
      <c r="G13" s="2967"/>
      <c r="H13" s="2971"/>
      <c r="I13" s="2975"/>
      <c r="J13" s="2976"/>
      <c r="K13" s="2977"/>
      <c r="L13" s="2967"/>
      <c r="M13" s="2979"/>
      <c r="N13" s="1858" t="str">
        <f>VLOOKUP("Y1 Unit cost",Language!$D$579:$G$651,$L$1,FALSE)</f>
        <v>Costo unitario del A1</v>
      </c>
      <c r="O13" s="1859" t="str">
        <f>VLOOKUP("Y1 Q1 quantity",Language!$D$579:$G$651,$L$1,FALSE)</f>
        <v>Cantidad del A1, T1</v>
      </c>
      <c r="P13" s="1859" t="str">
        <f>VLOOKUP("Y1 Q2 quantity",Language!$D$579:$G$651,$L$1,FALSE)</f>
        <v>Cantidad del A1, T2</v>
      </c>
      <c r="Q13" s="1859" t="str">
        <f>VLOOKUP("Y1 Q3 quantity",Language!$D$579:$G$651,$L$1,FALSE)</f>
        <v>Cantidad del A1, T3</v>
      </c>
      <c r="R13" s="1859" t="str">
        <f>VLOOKUP("Y1 Q4 quantity",Language!$D$579:$G$651,$L$1,FALSE)</f>
        <v>Cantidad del A1, T4</v>
      </c>
      <c r="S13" s="1859" t="str">
        <f>VLOOKUP("Y1 Total quantity",Language!$D$579:$G$651,$L$1,FALSE)</f>
        <v>Cantidad total del A1</v>
      </c>
      <c r="T13" s="1859" t="str">
        <f>VLOOKUP("Y1 Total cost",Language!$D$579:$G$651,$L$1,FALSE)</f>
        <v>Costo total del A1</v>
      </c>
      <c r="U13" s="1858" t="str">
        <f>VLOOKUP("Y2 Unit cost",Language!$D$579:$G$651,$L$1,FALSE)</f>
        <v>Costo unitario del A2</v>
      </c>
      <c r="V13" s="1859" t="str">
        <f>VLOOKUP("Y2 Q1 quantity",Language!$D$579:$G$651,$L$1,FALSE)</f>
        <v>Cantidad del A2, T1</v>
      </c>
      <c r="W13" s="1859" t="str">
        <f>VLOOKUP("Y2 Q2 quantity",Language!$D$579:$G$651,$L$1,FALSE)</f>
        <v>Cantidad del A2, T2</v>
      </c>
      <c r="X13" s="1859" t="str">
        <f>VLOOKUP("Y2 Q3 quantity",Language!$D$579:$G$651,$L$1,FALSE)</f>
        <v>Cantidad del A2, T3</v>
      </c>
      <c r="Y13" s="1859" t="str">
        <f>VLOOKUP("Y2 Q4 quantity",Language!$D$579:$G$651,$L$1,FALSE)</f>
        <v>Cantidad del A2, T4</v>
      </c>
      <c r="Z13" s="1859" t="str">
        <f>VLOOKUP("Y2 Total quantity",Language!$D$579:$G$651,$L$1,FALSE)</f>
        <v>Cantidad total del A2</v>
      </c>
      <c r="AA13" s="1859" t="str">
        <f>VLOOKUP("Y2 Total cost",Language!$D$579:$G$651,$L$1,FALSE)</f>
        <v>Costo total del A2</v>
      </c>
      <c r="AB13" s="1858" t="str">
        <f>VLOOKUP("Y3 Unit cost",Language!$D$579:$G$651,$L$1,FALSE)</f>
        <v>Costo unitario del A3</v>
      </c>
      <c r="AC13" s="1859" t="str">
        <f>VLOOKUP("Y3 Q1 quantity",Language!$D$579:$G$651,$L$1,FALSE)</f>
        <v>Cantidad del A3, T1</v>
      </c>
      <c r="AD13" s="1859" t="str">
        <f>VLOOKUP("Y3 Q2 quantity",Language!$D$579:$G$651,$L$1,FALSE)</f>
        <v>Cantidad del A3, T2</v>
      </c>
      <c r="AE13" s="1859" t="str">
        <f>VLOOKUP("Y3 Q3 quantity",Language!$D$579:$G$651,$L$1,FALSE)</f>
        <v>Cantidad del A3, T3</v>
      </c>
      <c r="AF13" s="1859" t="str">
        <f>VLOOKUP("Y3 Q4 quantity",Language!$D$579:$G$651,$L$1,FALSE)</f>
        <v>Cantidad del A3, T4</v>
      </c>
      <c r="AG13" s="1859" t="str">
        <f>VLOOKUP("Y3 Total quantity",Language!$D$579:$G$651,$L$1,FALSE)</f>
        <v>Cantidad total del A3</v>
      </c>
      <c r="AH13" s="1859" t="str">
        <f>VLOOKUP("Y3 Total cost",Language!$D$579:$G$651,$L$1,FALSE)</f>
        <v>Costo total del A3</v>
      </c>
      <c r="AI13" s="1858" t="str">
        <f>VLOOKUP("Total quantity",Language!$D$579:$G$651,$L$1,FALSE)</f>
        <v>Cantidad total</v>
      </c>
      <c r="AJ13" s="1859" t="str">
        <f>VLOOKUP("Total cost ",Language!$D$579:$G$651,$L$1,FALSE)</f>
        <v xml:space="preserve">Costo total </v>
      </c>
      <c r="AK13" s="1860" t="str">
        <f>VLOOKUP("Cost Input",Language!$D$579:$G$651,$L$1,FALSE)</f>
        <v>Categoría de costos</v>
      </c>
      <c r="AL13" s="3029"/>
      <c r="AM13" s="3027"/>
      <c r="AN13" s="3027"/>
      <c r="AX13" s="495" t="s">
        <v>1213</v>
      </c>
      <c r="AY13" s="495" t="s">
        <v>1214</v>
      </c>
      <c r="AZ13" s="495" t="s">
        <v>1215</v>
      </c>
      <c r="BA13" s="495" t="s">
        <v>1216</v>
      </c>
      <c r="BB13" s="495" t="s">
        <v>1217</v>
      </c>
      <c r="BC13" s="495" t="s">
        <v>1218</v>
      </c>
      <c r="BD13" s="495" t="s">
        <v>1220</v>
      </c>
      <c r="BE13" s="495" t="s">
        <v>1221</v>
      </c>
      <c r="BF13" s="495" t="s">
        <v>1222</v>
      </c>
      <c r="BG13" s="495" t="s">
        <v>1223</v>
      </c>
      <c r="BH13" s="495" t="s">
        <v>1219</v>
      </c>
      <c r="BI13" s="495" t="s">
        <v>1224</v>
      </c>
    </row>
    <row r="14" spans="1:61">
      <c r="A14" s="3016"/>
      <c r="B14" s="3017"/>
      <c r="C14" s="3017"/>
      <c r="D14" s="3017"/>
      <c r="E14" s="2983"/>
      <c r="F14" s="2984"/>
      <c r="G14" s="2984"/>
      <c r="H14" s="2985"/>
      <c r="I14" s="2983"/>
      <c r="J14" s="2984"/>
      <c r="K14" s="2985"/>
      <c r="L14" s="246" t="str">
        <f>IF(A14&lt;&gt;"",IFERROR(INDEX(PMtbl[[WKst]:[Unit of measure*]],MATCH($A$8&amp;$A14&amp;$E14&amp;$I14,INDEX(PMtbl[Sec]&amp;PMtbl[Category]&amp;PMtbl[INN]&amp;PMtbl[Specification],0,),0),8),""),"")</f>
        <v/>
      </c>
      <c r="M14" s="246" t="str">
        <f>IF(L14="", "",SETUP!$E$5)</f>
        <v/>
      </c>
      <c r="N14" s="1966"/>
      <c r="O14" s="1967"/>
      <c r="P14" s="1967"/>
      <c r="Q14" s="1967"/>
      <c r="R14" s="1967"/>
      <c r="S14" s="1861">
        <f>SUM('Malaria-Pharmaceuticals'!$O14:$R14)</f>
        <v>0</v>
      </c>
      <c r="T14" s="1861">
        <f>'Malaria-Pharmaceuticals'!$N14*'Malaria-Pharmaceuticals'!$S14</f>
        <v>0</v>
      </c>
      <c r="U14" s="1966"/>
      <c r="V14" s="1967"/>
      <c r="W14" s="1967"/>
      <c r="X14" s="1967"/>
      <c r="Y14" s="1967"/>
      <c r="Z14" s="1861">
        <f>SUM('Malaria-Pharmaceuticals'!$V14:$Y14)</f>
        <v>0</v>
      </c>
      <c r="AA14" s="1861">
        <f>'Malaria-Pharmaceuticals'!$U14*'Malaria-Pharmaceuticals'!$Z14</f>
        <v>0</v>
      </c>
      <c r="AB14" s="1966"/>
      <c r="AC14" s="1967"/>
      <c r="AD14" s="1967"/>
      <c r="AE14" s="1967"/>
      <c r="AF14" s="1967"/>
      <c r="AG14" s="1861">
        <f>SUM('Malaria-Pharmaceuticals'!$AC14:$AF14)</f>
        <v>0</v>
      </c>
      <c r="AH14" s="1861">
        <f>'Malaria-Pharmaceuticals'!$AB14*'Malaria-Pharmaceuticals'!$AG14</f>
        <v>0</v>
      </c>
      <c r="AI14" s="1862">
        <f>'Malaria-Pharmaceuticals'!$S14+'Malaria-Pharmaceuticals'!$Z14+'Malaria-Pharmaceuticals'!$AG14</f>
        <v>0</v>
      </c>
      <c r="AJ14" s="1861">
        <f>'Malaria-Pharmaceuticals'!$T14+'Malaria-Pharmaceuticals'!$AA14+'Malaria-Pharmaceuticals'!$AH14</f>
        <v>0</v>
      </c>
      <c r="AK14" s="1511" t="str">
        <f>IF(A14&lt;&gt;"",IFERROR(INDEX(PMtbl[[WKst]:[Unit of measure*]],MATCH($A$8&amp;$A14&amp;$E14&amp;$I14,INDEX(PMtbl[Sec]&amp;PMtbl[Category]&amp;PMtbl[INN]&amp;PMtbl[Specification],0,),0),7),""),"")</f>
        <v/>
      </c>
      <c r="AL14" s="956"/>
      <c r="AM14" s="1511" t="str">
        <f>IFERROR(INDEX(SETUP!$C$19:$G$62,MATCH((INDEX(PMtbl[[WKst]:[Unit of measure*]],MATCH($A14&amp;$E14&amp;$I14,INDEX(PMtbl[Category]&amp;PMtbl[INN]&amp;PMtbl[Specification],0,),0),3)),SETUP!$D$19:$D$62,0),5),"")</f>
        <v/>
      </c>
      <c r="AN14" s="1511"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O14" s="504" t="s">
        <v>358</v>
      </c>
      <c r="AW14" s="496" t="s">
        <v>451</v>
      </c>
      <c r="AX14" s="496">
        <f>SUMPRODUCT(($A$14:$D$60="Antimalaria medicines - treatment")*($N$14:$N$60)*((O14:O60)))</f>
        <v>0</v>
      </c>
      <c r="AY14" s="496">
        <f>SUMPRODUCT(($A$14:$D$60="Antimalaria medicines - treatment")*($N$14:$N$60)*((P14:P60)))</f>
        <v>0</v>
      </c>
      <c r="AZ14" s="496">
        <f>SUMPRODUCT(($A$14:$D$60="Antimalaria medicines - treatment")*($N$14:$N$60)*((Q14:Q60)))</f>
        <v>0</v>
      </c>
      <c r="BA14" s="496">
        <f>SUMPRODUCT(($A$14:$D$60="Antimalaria medicines - treatment")*($N$14:$N$60)*((R14:R60)))</f>
        <v>0</v>
      </c>
      <c r="BB14" s="496">
        <f>SUMPRODUCT(($A$14:$D$60="Antimalaria medicines - treatment")*($U$14:$U$60)*((V14:V60)))</f>
        <v>0</v>
      </c>
      <c r="BC14" s="496">
        <f>SUMPRODUCT(($A$14:$D$60="Antimalaria medicines - treatment")*($U$14:$U$60)*((W14:W60)))</f>
        <v>0</v>
      </c>
      <c r="BD14" s="496">
        <f>SUMPRODUCT(($A$14:$D$60="Antimalaria medicines - treatment")*($U$14:$U$60)*((X14:X60)))</f>
        <v>0</v>
      </c>
      <c r="BE14" s="496">
        <f>SUMPRODUCT(($A$14:$D$60="Antimalaria medicines - treatment")*($U$14:$U$60)*((Y14:Y60)))</f>
        <v>0</v>
      </c>
      <c r="BF14" s="496">
        <f>SUMPRODUCT(($A$14:$D$60="Antimalaria medicines - treatment")*($AB$14:$AB$60)*((AC14:AC60)))</f>
        <v>0</v>
      </c>
      <c r="BG14" s="496">
        <f>SUMPRODUCT(($A$14:$D$60="Antimalaria medicines - treatment")*($AB$14:$AB$60)*((AD14:AD60)))</f>
        <v>0</v>
      </c>
      <c r="BH14" s="496">
        <f>SUMPRODUCT(($A$14:$D$60="Antimalaria medicines - treatment")*($AB$14:$AB$60)*((AE14:AE60)))</f>
        <v>0</v>
      </c>
      <c r="BI14" s="496">
        <f>SUMPRODUCT(($A$14:$D$60="Antimalaria medicines - treatment")*($AB$14:$AB$60)*((AF14:AF60)))</f>
        <v>0</v>
      </c>
    </row>
    <row r="15" spans="1:61" ht="14.65" customHeight="1">
      <c r="A15" s="2955"/>
      <c r="B15" s="2955"/>
      <c r="C15" s="2955"/>
      <c r="D15" s="2956"/>
      <c r="E15" s="2953"/>
      <c r="F15" s="2304"/>
      <c r="G15" s="2304"/>
      <c r="H15" s="2954"/>
      <c r="I15" s="2953"/>
      <c r="J15" s="2304"/>
      <c r="K15" s="2954"/>
      <c r="L15" s="247" t="str">
        <f>IF(A15&lt;&gt;"",IFERROR(INDEX(PMtbl[[WKst]:[Unit of measure*]],MATCH($A$8&amp;$A15&amp;$E15&amp;$I15,INDEX(PMtbl[Sec]&amp;PMtbl[Category]&amp;PMtbl[INN]&amp;PMtbl[Specification],0,),0),8),""),"")</f>
        <v/>
      </c>
      <c r="M15" s="248" t="str">
        <f>IF(L15="", "",SETUP!$E$5)</f>
        <v/>
      </c>
      <c r="N15" s="1968"/>
      <c r="O15" s="808"/>
      <c r="P15" s="808"/>
      <c r="Q15" s="808"/>
      <c r="R15" s="808"/>
      <c r="S15" s="1863">
        <f>SUM('Malaria-Pharmaceuticals'!$O15:$R15)</f>
        <v>0</v>
      </c>
      <c r="T15" s="1863">
        <f>'Malaria-Pharmaceuticals'!$N15*'Malaria-Pharmaceuticals'!$S15</f>
        <v>0</v>
      </c>
      <c r="U15" s="1968"/>
      <c r="V15" s="808"/>
      <c r="W15" s="808"/>
      <c r="X15" s="808"/>
      <c r="Y15" s="808"/>
      <c r="Z15" s="1863">
        <f>SUM('Malaria-Pharmaceuticals'!$V15:$Y15)</f>
        <v>0</v>
      </c>
      <c r="AA15" s="1863">
        <f>'Malaria-Pharmaceuticals'!$U15*'Malaria-Pharmaceuticals'!$Z15</f>
        <v>0</v>
      </c>
      <c r="AB15" s="1968"/>
      <c r="AC15" s="808"/>
      <c r="AD15" s="808"/>
      <c r="AE15" s="808"/>
      <c r="AF15" s="808"/>
      <c r="AG15" s="1863">
        <f>SUM('Malaria-Pharmaceuticals'!$AC15:$AF15)</f>
        <v>0</v>
      </c>
      <c r="AH15" s="1863">
        <f>'Malaria-Pharmaceuticals'!$AB15*'Malaria-Pharmaceuticals'!$AG15</f>
        <v>0</v>
      </c>
      <c r="AI15" s="1864">
        <f>'Malaria-Pharmaceuticals'!$S15+'Malaria-Pharmaceuticals'!$Z15+'Malaria-Pharmaceuticals'!$AG15</f>
        <v>0</v>
      </c>
      <c r="AJ15" s="1863">
        <f>'Malaria-Pharmaceuticals'!$T15+'Malaria-Pharmaceuticals'!$AA15+'Malaria-Pharmaceuticals'!$AH15</f>
        <v>0</v>
      </c>
      <c r="AK15" s="1865" t="str">
        <f>IF(A15&lt;&gt;"",IFERROR(INDEX(PMtbl[[WKst]:[Unit of measure*]],MATCH($A$8&amp;$A15&amp;$E15&amp;$I15,INDEX(PMtbl[Sec]&amp;PMtbl[Category]&amp;PMtbl[INN]&amp;PMtbl[Specification],0,),0),7),""),"")</f>
        <v/>
      </c>
      <c r="AL15" s="957"/>
      <c r="AM15" s="1517" t="str">
        <f>IFERROR(INDEX(SETUP!$C$19:$G$62,MATCH((INDEX(PMtbl[[WKst]:[Unit of measure*]],MATCH($A15&amp;$E15&amp;$I15,INDEX(PMtbl[Category]&amp;PMtbl[INN]&amp;PMtbl[Specification],0,),0),3)),SETUP!$D$19:$D$62,0),5),"")</f>
        <v/>
      </c>
      <c r="AN15" s="1517"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O15" s="504"/>
      <c r="AW15" s="496" t="s">
        <v>1029</v>
      </c>
      <c r="AX15" s="496">
        <f>SUMPRODUCT(($A$68:$D$87="Antimalaria medicines - prevention")*($N$68:$N$87)*((O68:O87)))</f>
        <v>0</v>
      </c>
      <c r="AY15" s="496">
        <f>SUMPRODUCT(($A$68:$D$87="Antimalaria medicines - prevention")*($N$68:$N$87)*((P68:P87)))</f>
        <v>0</v>
      </c>
      <c r="AZ15" s="496">
        <f>SUMPRODUCT(($A$68:$D$87="Antimalaria medicines - prevention")*($N$68:$N$87)*((Q68:Q87)))</f>
        <v>0</v>
      </c>
      <c r="BA15" s="496">
        <f>SUMPRODUCT(($A$68:$D$87="Antimalaria medicines - prevention")*($N$68:$N$87)*((R68:R87)))</f>
        <v>0</v>
      </c>
      <c r="BB15" s="496">
        <f>SUMPRODUCT(($A$68:$D$87="Antimalaria medicines - prevention")*($U$68:$U$87)*((V68:V87)))</f>
        <v>0</v>
      </c>
      <c r="BC15" s="496">
        <f>SUMPRODUCT(($A$68:$D$87="Antimalaria medicines - prevention")*($U$68:$U$87)*((W68:W87)))</f>
        <v>0</v>
      </c>
      <c r="BD15" s="496">
        <f>SUMPRODUCT(($A$68:$D$87="Antimalaria medicines - prevention")*($U$68:$U$87)*((X68:X87)))</f>
        <v>0</v>
      </c>
      <c r="BE15" s="496">
        <f>SUMPRODUCT(($A$68:$D$87="Antimalaria medicines - prevention")*($U$68:$U$87)*((Y68:Y87)))</f>
        <v>0</v>
      </c>
      <c r="BF15" s="496">
        <f>SUMPRODUCT(($A$68:$D$87="Antimalaria medicines - prevention")*($AB$68:$AB$87)*((AC68:AC87)))</f>
        <v>0</v>
      </c>
      <c r="BG15" s="496">
        <f>SUMPRODUCT(($A$68:$D$87="Antimalaria medicines - prevention")*($AB$68:$AB$87)*((AD68:AD87)))</f>
        <v>0</v>
      </c>
      <c r="BH15" s="496">
        <f>SUMPRODUCT(($A$68:$D$87="Antimalaria medicines - prevention")*($AB$68:$AB$87)*((AE68:AE87)))</f>
        <v>0</v>
      </c>
      <c r="BI15" s="496">
        <f>SUMPRODUCT(($A$68:$D$87="Antimalaria medicines - prevention")*($AB$68:$AB$87)*((AF68:AF87)))</f>
        <v>0</v>
      </c>
    </row>
    <row r="16" spans="1:61" ht="14.65" customHeight="1">
      <c r="A16" s="2957"/>
      <c r="B16" s="2957"/>
      <c r="C16" s="2957"/>
      <c r="D16" s="2958"/>
      <c r="E16" s="2950"/>
      <c r="F16" s="2951"/>
      <c r="G16" s="2951"/>
      <c r="H16" s="2952"/>
      <c r="I16" s="2950"/>
      <c r="J16" s="2951"/>
      <c r="K16" s="2952"/>
      <c r="L16" s="249" t="str">
        <f>IF(A16&lt;&gt;"",IFERROR(INDEX(PMtbl[[WKst]:[Unit of measure*]],MATCH($A$8&amp;$A16&amp;$E16&amp;$I16,INDEX(PMtbl[Sec]&amp;PMtbl[Category]&amp;PMtbl[INN]&amp;PMtbl[Specification],0,),0),8),""),"")</f>
        <v/>
      </c>
      <c r="M16" s="249" t="str">
        <f>IF(L16="", "",SETUP!$E$5)</f>
        <v/>
      </c>
      <c r="N16" s="1969"/>
      <c r="O16" s="1970"/>
      <c r="P16" s="1970"/>
      <c r="Q16" s="1970"/>
      <c r="R16" s="1970"/>
      <c r="S16" s="1866">
        <f>SUM('Malaria-Pharmaceuticals'!$O16:$R16)</f>
        <v>0</v>
      </c>
      <c r="T16" s="1866">
        <f>'Malaria-Pharmaceuticals'!$N16*'Malaria-Pharmaceuticals'!$S16</f>
        <v>0</v>
      </c>
      <c r="U16" s="1969"/>
      <c r="V16" s="1970"/>
      <c r="W16" s="1970"/>
      <c r="X16" s="1970"/>
      <c r="Y16" s="1970"/>
      <c r="Z16" s="1866">
        <f>SUM('Malaria-Pharmaceuticals'!$V16:$Y16)</f>
        <v>0</v>
      </c>
      <c r="AA16" s="1866">
        <f>'Malaria-Pharmaceuticals'!$U16*'Malaria-Pharmaceuticals'!$Z16</f>
        <v>0</v>
      </c>
      <c r="AB16" s="1969"/>
      <c r="AC16" s="1970"/>
      <c r="AD16" s="1970"/>
      <c r="AE16" s="1970"/>
      <c r="AF16" s="1970"/>
      <c r="AG16" s="1866">
        <f>SUM('Malaria-Pharmaceuticals'!$AC16:$AF16)</f>
        <v>0</v>
      </c>
      <c r="AH16" s="1866">
        <f>'Malaria-Pharmaceuticals'!$AB16*'Malaria-Pharmaceuticals'!$AG16</f>
        <v>0</v>
      </c>
      <c r="AI16" s="1867">
        <f>'Malaria-Pharmaceuticals'!$S16+'Malaria-Pharmaceuticals'!$Z16+'Malaria-Pharmaceuticals'!$AG16</f>
        <v>0</v>
      </c>
      <c r="AJ16" s="1866">
        <f>'Malaria-Pharmaceuticals'!$T16+'Malaria-Pharmaceuticals'!$AA16+'Malaria-Pharmaceuticals'!$AH16</f>
        <v>0</v>
      </c>
      <c r="AK16" s="1868" t="str">
        <f>IF(A16&lt;&gt;"",IFERROR(INDEX(PMtbl[[WKst]:[Unit of measure*]],MATCH($A$8&amp;$A16&amp;$E16&amp;$I16,INDEX(PMtbl[Sec]&amp;PMtbl[Category]&amp;PMtbl[INN]&amp;PMtbl[Specification],0,),0),7),""),"")</f>
        <v/>
      </c>
      <c r="AL16" s="956"/>
      <c r="AM16" s="1518" t="str">
        <f>IFERROR(INDEX(SETUP!$C$19:$G$62,MATCH((INDEX(PMtbl[[WKst]:[Unit of measure*]],MATCH($A16&amp;$E16&amp;$I16,INDEX(PMtbl[Category]&amp;PMtbl[INN]&amp;PMtbl[Specification],0,),0),3)),SETUP!$D$19:$D$62,0),5),"")</f>
        <v/>
      </c>
      <c r="AN16" s="1518"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O16" s="504"/>
      <c r="AX16" s="1477">
        <f>SUM(AX14:AX15)</f>
        <v>0</v>
      </c>
      <c r="AY16" s="1477">
        <f t="shared" ref="AY16:BI16" si="0">SUM(AY14:AY15)</f>
        <v>0</v>
      </c>
      <c r="AZ16" s="1477">
        <f t="shared" si="0"/>
        <v>0</v>
      </c>
      <c r="BA16" s="1477">
        <f t="shared" si="0"/>
        <v>0</v>
      </c>
      <c r="BB16" s="1477">
        <f t="shared" si="0"/>
        <v>0</v>
      </c>
      <c r="BC16" s="1477">
        <f t="shared" si="0"/>
        <v>0</v>
      </c>
      <c r="BD16" s="1477">
        <f t="shared" si="0"/>
        <v>0</v>
      </c>
      <c r="BE16" s="1477">
        <f t="shared" si="0"/>
        <v>0</v>
      </c>
      <c r="BF16" s="1477">
        <f t="shared" si="0"/>
        <v>0</v>
      </c>
      <c r="BG16" s="1477">
        <f t="shared" si="0"/>
        <v>0</v>
      </c>
      <c r="BH16" s="1477">
        <f t="shared" si="0"/>
        <v>0</v>
      </c>
      <c r="BI16" s="1477">
        <f t="shared" si="0"/>
        <v>0</v>
      </c>
    </row>
    <row r="17" spans="1:62" ht="14.65" customHeight="1">
      <c r="A17" s="2955"/>
      <c r="B17" s="2955"/>
      <c r="C17" s="2955"/>
      <c r="D17" s="2956"/>
      <c r="E17" s="2953"/>
      <c r="F17" s="2304"/>
      <c r="G17" s="2304"/>
      <c r="H17" s="2954"/>
      <c r="I17" s="2953"/>
      <c r="J17" s="2304"/>
      <c r="K17" s="2954"/>
      <c r="L17" s="247" t="str">
        <f>IF(A17&lt;&gt;"",IFERROR(INDEX(PMtbl[[WKst]:[Unit of measure*]],MATCH($A$8&amp;$A17&amp;$E17&amp;$I17,INDEX(PMtbl[Sec]&amp;PMtbl[Category]&amp;PMtbl[INN]&amp;PMtbl[Specification],0,),0),8),""),"")</f>
        <v/>
      </c>
      <c r="M17" s="248" t="str">
        <f>IF(L17="", "",SETUP!$E$5)</f>
        <v/>
      </c>
      <c r="N17" s="1968"/>
      <c r="O17" s="808"/>
      <c r="P17" s="808"/>
      <c r="Q17" s="808"/>
      <c r="R17" s="808"/>
      <c r="S17" s="1863">
        <f>SUM('Malaria-Pharmaceuticals'!$O17:$R17)</f>
        <v>0</v>
      </c>
      <c r="T17" s="1863">
        <f>'Malaria-Pharmaceuticals'!$N17*'Malaria-Pharmaceuticals'!$S17</f>
        <v>0</v>
      </c>
      <c r="U17" s="1968"/>
      <c r="V17" s="808"/>
      <c r="W17" s="808"/>
      <c r="X17" s="808"/>
      <c r="Y17" s="808"/>
      <c r="Z17" s="1863">
        <f>SUM('Malaria-Pharmaceuticals'!$V17:$Y17)</f>
        <v>0</v>
      </c>
      <c r="AA17" s="1863">
        <f>'Malaria-Pharmaceuticals'!$U17*'Malaria-Pharmaceuticals'!$Z17</f>
        <v>0</v>
      </c>
      <c r="AB17" s="1968"/>
      <c r="AC17" s="808"/>
      <c r="AD17" s="808"/>
      <c r="AE17" s="808"/>
      <c r="AF17" s="808"/>
      <c r="AG17" s="1863">
        <f>SUM('Malaria-Pharmaceuticals'!$AC17:$AF17)</f>
        <v>0</v>
      </c>
      <c r="AH17" s="1863">
        <f>'Malaria-Pharmaceuticals'!$AB17*'Malaria-Pharmaceuticals'!$AG17</f>
        <v>0</v>
      </c>
      <c r="AI17" s="1864">
        <f>'Malaria-Pharmaceuticals'!$S17+'Malaria-Pharmaceuticals'!$Z17+'Malaria-Pharmaceuticals'!$AG17</f>
        <v>0</v>
      </c>
      <c r="AJ17" s="1863">
        <f>'Malaria-Pharmaceuticals'!$T17+'Malaria-Pharmaceuticals'!$AA17+'Malaria-Pharmaceuticals'!$AH17</f>
        <v>0</v>
      </c>
      <c r="AK17" s="1865" t="str">
        <f>IF(A17&lt;&gt;"",IFERROR(INDEX(PMtbl[[WKst]:[Unit of measure*]],MATCH($A$8&amp;$A17&amp;$E17&amp;$I17,INDEX(PMtbl[Sec]&amp;PMtbl[Category]&amp;PMtbl[INN]&amp;PMtbl[Specification],0,),0),7),""),"")</f>
        <v/>
      </c>
      <c r="AL17" s="957"/>
      <c r="AM17" s="1517" t="str">
        <f>IFERROR(INDEX(SETUP!$C$19:$G$62,MATCH((INDEX(PMtbl[[WKst]:[Unit of measure*]],MATCH($A17&amp;$E17&amp;$I17,INDEX(PMtbl[Category]&amp;PMtbl[INN]&amp;PMtbl[Specification],0,),0),3)),SETUP!$D$19:$D$62,0),5),"")</f>
        <v/>
      </c>
      <c r="AN17" s="1517"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O17" s="504"/>
    </row>
    <row r="18" spans="1:62">
      <c r="A18" s="2957"/>
      <c r="B18" s="2957"/>
      <c r="C18" s="2957"/>
      <c r="D18" s="2958"/>
      <c r="E18" s="2950"/>
      <c r="F18" s="2951"/>
      <c r="G18" s="2951"/>
      <c r="H18" s="2952"/>
      <c r="I18" s="2950"/>
      <c r="J18" s="2951"/>
      <c r="K18" s="2952"/>
      <c r="L18" s="249" t="str">
        <f>IF(A18&lt;&gt;"",IFERROR(INDEX(PMtbl[[WKst]:[Unit of measure*]],MATCH($A$8&amp;$A18&amp;$E18&amp;$I18,INDEX(PMtbl[Sec]&amp;PMtbl[Category]&amp;PMtbl[INN]&amp;PMtbl[Specification],0,),0),8),""),"")</f>
        <v/>
      </c>
      <c r="M18" s="249" t="str">
        <f>IF(L18="", "",SETUP!$E$5)</f>
        <v/>
      </c>
      <c r="N18" s="1969"/>
      <c r="O18" s="1970"/>
      <c r="P18" s="1970"/>
      <c r="Q18" s="1970"/>
      <c r="R18" s="1970"/>
      <c r="S18" s="1866">
        <f>SUM('Malaria-Pharmaceuticals'!$O18:$R18)</f>
        <v>0</v>
      </c>
      <c r="T18" s="1866">
        <f>'Malaria-Pharmaceuticals'!$N18*'Malaria-Pharmaceuticals'!$S18</f>
        <v>0</v>
      </c>
      <c r="U18" s="1969"/>
      <c r="V18" s="1970"/>
      <c r="W18" s="1970"/>
      <c r="X18" s="1970"/>
      <c r="Y18" s="1970"/>
      <c r="Z18" s="1866">
        <f>SUM('Malaria-Pharmaceuticals'!$V18:$Y18)</f>
        <v>0</v>
      </c>
      <c r="AA18" s="1866">
        <f>'Malaria-Pharmaceuticals'!$U18*'Malaria-Pharmaceuticals'!$Z18</f>
        <v>0</v>
      </c>
      <c r="AB18" s="1969"/>
      <c r="AC18" s="1970"/>
      <c r="AD18" s="1970"/>
      <c r="AE18" s="1970"/>
      <c r="AF18" s="1970"/>
      <c r="AG18" s="1866">
        <f>SUM('Malaria-Pharmaceuticals'!$AC18:$AF18)</f>
        <v>0</v>
      </c>
      <c r="AH18" s="1866">
        <f>'Malaria-Pharmaceuticals'!$AB18*'Malaria-Pharmaceuticals'!$AG18</f>
        <v>0</v>
      </c>
      <c r="AI18" s="1867">
        <f>'Malaria-Pharmaceuticals'!$S18+'Malaria-Pharmaceuticals'!$Z18+'Malaria-Pharmaceuticals'!$AG18</f>
        <v>0</v>
      </c>
      <c r="AJ18" s="1866">
        <f>'Malaria-Pharmaceuticals'!$T18+'Malaria-Pharmaceuticals'!$AA18+'Malaria-Pharmaceuticals'!$AH18</f>
        <v>0</v>
      </c>
      <c r="AK18" s="1868" t="str">
        <f>IF(A18&lt;&gt;"",IFERROR(INDEX(PMtbl[[WKst]:[Unit of measure*]],MATCH($A$8&amp;$A18&amp;$E18&amp;$I18,INDEX(PMtbl[Sec]&amp;PMtbl[Category]&amp;PMtbl[INN]&amp;PMtbl[Specification],0,),0),7),""),"")</f>
        <v/>
      </c>
      <c r="AL18" s="956"/>
      <c r="AM18" s="1518" t="str">
        <f>IFERROR(INDEX(SETUP!$C$19:$G$62,MATCH((INDEX(PMtbl[[WKst]:[Unit of measure*]],MATCH($A18&amp;$E18&amp;$I18,INDEX(PMtbl[Category]&amp;PMtbl[INN]&amp;PMtbl[Specification],0,),0),3)),SETUP!$D$19:$D$62,0),5),"")</f>
        <v/>
      </c>
      <c r="AN18" s="1518"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O18" s="504" t="s">
        <v>360</v>
      </c>
    </row>
    <row r="19" spans="1:62">
      <c r="A19" s="2955"/>
      <c r="B19" s="2955"/>
      <c r="C19" s="2955"/>
      <c r="D19" s="2956"/>
      <c r="E19" s="2953"/>
      <c r="F19" s="2304"/>
      <c r="G19" s="2304"/>
      <c r="H19" s="2954"/>
      <c r="I19" s="2953"/>
      <c r="J19" s="2304"/>
      <c r="K19" s="2954"/>
      <c r="L19" s="247" t="str">
        <f>IF(A19&lt;&gt;"",IFERROR(INDEX(PMtbl[[WKst]:[Unit of measure*]],MATCH($A$8&amp;$A19&amp;$E19&amp;$I19,INDEX(PMtbl[Sec]&amp;PMtbl[Category]&amp;PMtbl[INN]&amp;PMtbl[Specification],0,),0),8),""),"")</f>
        <v/>
      </c>
      <c r="M19" s="248" t="str">
        <f>IF(L19="", "",SETUP!$E$5)</f>
        <v/>
      </c>
      <c r="N19" s="1968"/>
      <c r="O19" s="808"/>
      <c r="P19" s="808"/>
      <c r="Q19" s="808"/>
      <c r="R19" s="808"/>
      <c r="S19" s="1863">
        <f>SUM('Malaria-Pharmaceuticals'!$O19:$R19)</f>
        <v>0</v>
      </c>
      <c r="T19" s="1863">
        <f>'Malaria-Pharmaceuticals'!$N19*'Malaria-Pharmaceuticals'!$S19</f>
        <v>0</v>
      </c>
      <c r="U19" s="1968"/>
      <c r="V19" s="808"/>
      <c r="W19" s="808"/>
      <c r="X19" s="808"/>
      <c r="Y19" s="808"/>
      <c r="Z19" s="1863">
        <f>SUM('Malaria-Pharmaceuticals'!$V19:$Y19)</f>
        <v>0</v>
      </c>
      <c r="AA19" s="1863">
        <f>'Malaria-Pharmaceuticals'!$U19*'Malaria-Pharmaceuticals'!$Z19</f>
        <v>0</v>
      </c>
      <c r="AB19" s="1968"/>
      <c r="AC19" s="808"/>
      <c r="AD19" s="808"/>
      <c r="AE19" s="808"/>
      <c r="AF19" s="808"/>
      <c r="AG19" s="1863">
        <f>SUM('Malaria-Pharmaceuticals'!$AC19:$AF19)</f>
        <v>0</v>
      </c>
      <c r="AH19" s="1863">
        <f>'Malaria-Pharmaceuticals'!$AB19*'Malaria-Pharmaceuticals'!$AG19</f>
        <v>0</v>
      </c>
      <c r="AI19" s="1864">
        <f>'Malaria-Pharmaceuticals'!$S19+'Malaria-Pharmaceuticals'!$Z19+'Malaria-Pharmaceuticals'!$AG19</f>
        <v>0</v>
      </c>
      <c r="AJ19" s="1863">
        <f>'Malaria-Pharmaceuticals'!$T19+'Malaria-Pharmaceuticals'!$AA19+'Malaria-Pharmaceuticals'!$AH19</f>
        <v>0</v>
      </c>
      <c r="AK19" s="1865" t="str">
        <f>IF(A19&lt;&gt;"",IFERROR(INDEX(PMtbl[[WKst]:[Unit of measure*]],MATCH($A$8&amp;$A19&amp;$E19&amp;$I19,INDEX(PMtbl[Sec]&amp;PMtbl[Category]&amp;PMtbl[INN]&amp;PMtbl[Specification],0,),0),7),""),"")</f>
        <v/>
      </c>
      <c r="AL19" s="957"/>
      <c r="AM19" s="1517" t="str">
        <f>IFERROR(INDEX(SETUP!$C$19:$G$62,MATCH((INDEX(PMtbl[[WKst]:[Unit of measure*]],MATCH($A19&amp;$E19&amp;$I19,INDEX(PMtbl[Category]&amp;PMtbl[INN]&amp;PMtbl[Specification],0,),0),3)),SETUP!$D$19:$D$62,0),5),"")</f>
        <v/>
      </c>
      <c r="AN19" s="1517"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O19" s="504" t="s">
        <v>362</v>
      </c>
      <c r="AU19" s="1409"/>
      <c r="AV19" s="1409"/>
      <c r="AW19" s="1409"/>
      <c r="AX19" s="2948" t="s">
        <v>1225</v>
      </c>
      <c r="AY19" s="2948"/>
      <c r="AZ19" s="2948"/>
      <c r="BA19" s="2948"/>
      <c r="BB19" s="2948"/>
      <c r="BC19" s="2948"/>
      <c r="BD19" s="2948"/>
      <c r="BE19" s="2948"/>
      <c r="BF19" s="2948"/>
      <c r="BG19" s="2948"/>
      <c r="BH19" s="2948"/>
      <c r="BI19" s="2948"/>
    </row>
    <row r="20" spans="1:62">
      <c r="A20" s="2957"/>
      <c r="B20" s="2957"/>
      <c r="C20" s="2957"/>
      <c r="D20" s="2958"/>
      <c r="E20" s="2950"/>
      <c r="F20" s="2951"/>
      <c r="G20" s="2951"/>
      <c r="H20" s="2952"/>
      <c r="I20" s="2950"/>
      <c r="J20" s="2951"/>
      <c r="K20" s="2952"/>
      <c r="L20" s="249" t="str">
        <f>IF(A20&lt;&gt;"",IFERROR(INDEX(PMtbl[[WKst]:[Unit of measure*]],MATCH($A$8&amp;$A20&amp;$E20&amp;$I20,INDEX(PMtbl[Sec]&amp;PMtbl[Category]&amp;PMtbl[INN]&amp;PMtbl[Specification],0,),0),8),""),"")</f>
        <v/>
      </c>
      <c r="M20" s="249" t="str">
        <f>IF(L20="", "",SETUP!$E$5)</f>
        <v/>
      </c>
      <c r="N20" s="1969"/>
      <c r="O20" s="1970"/>
      <c r="P20" s="1970"/>
      <c r="Q20" s="1970"/>
      <c r="R20" s="1970"/>
      <c r="S20" s="1866">
        <f>SUM('Malaria-Pharmaceuticals'!$O20:$R20)</f>
        <v>0</v>
      </c>
      <c r="T20" s="1866">
        <f>'Malaria-Pharmaceuticals'!$N20*'Malaria-Pharmaceuticals'!$S20</f>
        <v>0</v>
      </c>
      <c r="U20" s="1969"/>
      <c r="V20" s="1970"/>
      <c r="W20" s="1970"/>
      <c r="X20" s="1970"/>
      <c r="Y20" s="1970"/>
      <c r="Z20" s="1866">
        <f>SUM('Malaria-Pharmaceuticals'!$V20:$Y20)</f>
        <v>0</v>
      </c>
      <c r="AA20" s="1866">
        <f>'Malaria-Pharmaceuticals'!$U20*'Malaria-Pharmaceuticals'!$Z20</f>
        <v>0</v>
      </c>
      <c r="AB20" s="1969"/>
      <c r="AC20" s="1970"/>
      <c r="AD20" s="1970"/>
      <c r="AE20" s="1970"/>
      <c r="AF20" s="1970"/>
      <c r="AG20" s="1866">
        <f>SUM('Malaria-Pharmaceuticals'!$AC20:$AF20)</f>
        <v>0</v>
      </c>
      <c r="AH20" s="1866">
        <f>'Malaria-Pharmaceuticals'!$AB20*'Malaria-Pharmaceuticals'!$AG20</f>
        <v>0</v>
      </c>
      <c r="AI20" s="1867">
        <f>'Malaria-Pharmaceuticals'!$S20+'Malaria-Pharmaceuticals'!$Z20+'Malaria-Pharmaceuticals'!$AG20</f>
        <v>0</v>
      </c>
      <c r="AJ20" s="1866">
        <f>'Malaria-Pharmaceuticals'!$T20+'Malaria-Pharmaceuticals'!$AA20+'Malaria-Pharmaceuticals'!$AH20</f>
        <v>0</v>
      </c>
      <c r="AK20" s="1868" t="str">
        <f>IF(A20&lt;&gt;"",IFERROR(INDEX(PMtbl[[WKst]:[Unit of measure*]],MATCH($A$8&amp;$A20&amp;$E20&amp;$I20,INDEX(PMtbl[Sec]&amp;PMtbl[Category]&amp;PMtbl[INN]&amp;PMtbl[Specification],0,),0),7),""),"")</f>
        <v/>
      </c>
      <c r="AL20" s="956"/>
      <c r="AM20" s="1518" t="str">
        <f>IFERROR(INDEX(SETUP!$C$19:$G$62,MATCH((INDEX(PMtbl[[WKst]:[Unit of measure*]],MATCH($A20&amp;$E20&amp;$I20,INDEX(PMtbl[Category]&amp;PMtbl[INN]&amp;PMtbl[Specification],0,),0),3)),SETUP!$D$19:$D$62,0),5),"")</f>
        <v/>
      </c>
      <c r="AN20" s="1518"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O20" s="504" t="s">
        <v>364</v>
      </c>
      <c r="AU20" s="1409"/>
      <c r="AV20" s="1409"/>
      <c r="AW20" s="1409"/>
      <c r="AX20" s="2949">
        <f>YEAR(IMP_ST_DATE)</f>
        <v>2022</v>
      </c>
      <c r="AY20" s="2949"/>
      <c r="AZ20" s="2949"/>
      <c r="BA20" s="2949"/>
      <c r="BB20" s="2949">
        <f>YEAR(IMP_ST_DATE)+1</f>
        <v>2023</v>
      </c>
      <c r="BC20" s="2949"/>
      <c r="BD20" s="2949"/>
      <c r="BE20" s="2949"/>
      <c r="BF20" s="2949">
        <f>YEAR(IMP_ST_DATE)+2</f>
        <v>2024</v>
      </c>
      <c r="BG20" s="2949"/>
      <c r="BH20" s="2949"/>
      <c r="BI20" s="2949"/>
    </row>
    <row r="21" spans="1:62">
      <c r="A21" s="2955"/>
      <c r="B21" s="2955"/>
      <c r="C21" s="2955"/>
      <c r="D21" s="2956"/>
      <c r="E21" s="2953"/>
      <c r="F21" s="2304"/>
      <c r="G21" s="2304"/>
      <c r="H21" s="2954"/>
      <c r="I21" s="2953"/>
      <c r="J21" s="2304"/>
      <c r="K21" s="2954"/>
      <c r="L21" s="247" t="str">
        <f>IF(A21&lt;&gt;"",IFERROR(INDEX(PMtbl[[WKst]:[Unit of measure*]],MATCH($A$8&amp;$A21&amp;$E21&amp;$I21,INDEX(PMtbl[Sec]&amp;PMtbl[Category]&amp;PMtbl[INN]&amp;PMtbl[Specification],0,),0),8),""),"")</f>
        <v/>
      </c>
      <c r="M21" s="248" t="str">
        <f>IF(L21="", "",SETUP!$E$5)</f>
        <v/>
      </c>
      <c r="N21" s="1968"/>
      <c r="O21" s="808"/>
      <c r="P21" s="808"/>
      <c r="Q21" s="808"/>
      <c r="R21" s="808"/>
      <c r="S21" s="1863">
        <f>SUM('Malaria-Pharmaceuticals'!$O21:$R21)</f>
        <v>0</v>
      </c>
      <c r="T21" s="1863">
        <f>'Malaria-Pharmaceuticals'!$N21*'Malaria-Pharmaceuticals'!$S21</f>
        <v>0</v>
      </c>
      <c r="U21" s="1968"/>
      <c r="V21" s="808"/>
      <c r="W21" s="808"/>
      <c r="X21" s="808"/>
      <c r="Y21" s="808"/>
      <c r="Z21" s="1863">
        <f>SUM('Malaria-Pharmaceuticals'!$V21:$Y21)</f>
        <v>0</v>
      </c>
      <c r="AA21" s="1863">
        <f>'Malaria-Pharmaceuticals'!$U21*'Malaria-Pharmaceuticals'!$Z21</f>
        <v>0</v>
      </c>
      <c r="AB21" s="1968"/>
      <c r="AC21" s="808"/>
      <c r="AD21" s="808"/>
      <c r="AE21" s="808"/>
      <c r="AF21" s="808"/>
      <c r="AG21" s="1863">
        <f>SUM('Malaria-Pharmaceuticals'!$AC21:$AF21)</f>
        <v>0</v>
      </c>
      <c r="AH21" s="1863">
        <f>'Malaria-Pharmaceuticals'!$AB21*'Malaria-Pharmaceuticals'!$AG21</f>
        <v>0</v>
      </c>
      <c r="AI21" s="1864">
        <f>'Malaria-Pharmaceuticals'!$S21+'Malaria-Pharmaceuticals'!$Z21+'Malaria-Pharmaceuticals'!$AG21</f>
        <v>0</v>
      </c>
      <c r="AJ21" s="1863">
        <f>'Malaria-Pharmaceuticals'!$T21+'Malaria-Pharmaceuticals'!$AA21+'Malaria-Pharmaceuticals'!$AH21</f>
        <v>0</v>
      </c>
      <c r="AK21" s="1865" t="str">
        <f>IF(A21&lt;&gt;"",IFERROR(INDEX(PMtbl[[WKst]:[Unit of measure*]],MATCH($A$8&amp;$A21&amp;$E21&amp;$I21,INDEX(PMtbl[Sec]&amp;PMtbl[Category]&amp;PMtbl[INN]&amp;PMtbl[Specification],0,),0),7),""),"")</f>
        <v/>
      </c>
      <c r="AL21" s="957"/>
      <c r="AM21" s="1517" t="str">
        <f>IFERROR(INDEX(SETUP!$C$19:$G$62,MATCH((INDEX(PMtbl[[WKst]:[Unit of measure*]],MATCH($A21&amp;$E21&amp;$I21,INDEX(PMtbl[Category]&amp;PMtbl[INN]&amp;PMtbl[Specification],0,),0),3)),SETUP!$D$19:$D$62,0),5),"")</f>
        <v/>
      </c>
      <c r="AN21" s="1517"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O21" s="504" t="s">
        <v>366</v>
      </c>
      <c r="AU21" s="1410" t="s">
        <v>2586</v>
      </c>
      <c r="AV21" s="1410" t="s">
        <v>2671</v>
      </c>
      <c r="AW21" s="1410" t="s">
        <v>416</v>
      </c>
      <c r="AX21" s="1410" t="s">
        <v>1213</v>
      </c>
      <c r="AY21" s="1410" t="s">
        <v>1214</v>
      </c>
      <c r="AZ21" s="1410" t="s">
        <v>1215</v>
      </c>
      <c r="BA21" s="1410" t="s">
        <v>1216</v>
      </c>
      <c r="BB21" s="1410" t="s">
        <v>1217</v>
      </c>
      <c r="BC21" s="1410" t="s">
        <v>1218</v>
      </c>
      <c r="BD21" s="1410" t="s">
        <v>1220</v>
      </c>
      <c r="BE21" s="1410" t="s">
        <v>1221</v>
      </c>
      <c r="BF21" s="1410" t="s">
        <v>1222</v>
      </c>
      <c r="BG21" s="1410" t="s">
        <v>1223</v>
      </c>
      <c r="BH21" s="1410" t="s">
        <v>1219</v>
      </c>
      <c r="BI21" s="1410" t="s">
        <v>1224</v>
      </c>
      <c r="BJ21" s="1410" t="s">
        <v>2498</v>
      </c>
    </row>
    <row r="22" spans="1:62">
      <c r="A22" s="2957"/>
      <c r="B22" s="2957"/>
      <c r="C22" s="2957"/>
      <c r="D22" s="2958"/>
      <c r="E22" s="2950"/>
      <c r="F22" s="2951"/>
      <c r="G22" s="2951"/>
      <c r="H22" s="2952"/>
      <c r="I22" s="2950"/>
      <c r="J22" s="2951"/>
      <c r="K22" s="2952"/>
      <c r="L22" s="249" t="str">
        <f>IF(A22&lt;&gt;"",IFERROR(INDEX(PMtbl[[WKst]:[Unit of measure*]],MATCH($A$8&amp;$A22&amp;$E22&amp;$I22,INDEX(PMtbl[Sec]&amp;PMtbl[Category]&amp;PMtbl[INN]&amp;PMtbl[Specification],0,),0),8),""),"")</f>
        <v/>
      </c>
      <c r="M22" s="249" t="str">
        <f>IF(L22="", "",SETUP!$E$5)</f>
        <v/>
      </c>
      <c r="N22" s="1969"/>
      <c r="O22" s="1970"/>
      <c r="P22" s="1970"/>
      <c r="Q22" s="1970"/>
      <c r="R22" s="1970"/>
      <c r="S22" s="1866">
        <f>SUM('Malaria-Pharmaceuticals'!$O22:$R22)</f>
        <v>0</v>
      </c>
      <c r="T22" s="1866">
        <f>'Malaria-Pharmaceuticals'!$N22*'Malaria-Pharmaceuticals'!$S22</f>
        <v>0</v>
      </c>
      <c r="U22" s="1969"/>
      <c r="V22" s="1970"/>
      <c r="W22" s="1970"/>
      <c r="X22" s="1970"/>
      <c r="Y22" s="1970"/>
      <c r="Z22" s="1866">
        <f>SUM('Malaria-Pharmaceuticals'!$V22:$Y22)</f>
        <v>0</v>
      </c>
      <c r="AA22" s="1866">
        <f>'Malaria-Pharmaceuticals'!$U22*'Malaria-Pharmaceuticals'!$Z22</f>
        <v>0</v>
      </c>
      <c r="AB22" s="1969"/>
      <c r="AC22" s="1970"/>
      <c r="AD22" s="1970"/>
      <c r="AE22" s="1970"/>
      <c r="AF22" s="1970"/>
      <c r="AG22" s="1866">
        <f>SUM('Malaria-Pharmaceuticals'!$AC22:$AF22)</f>
        <v>0</v>
      </c>
      <c r="AH22" s="1866">
        <f>'Malaria-Pharmaceuticals'!$AB22*'Malaria-Pharmaceuticals'!$AG22</f>
        <v>0</v>
      </c>
      <c r="AI22" s="1867">
        <f>'Malaria-Pharmaceuticals'!$S22+'Malaria-Pharmaceuticals'!$Z22+'Malaria-Pharmaceuticals'!$AG22</f>
        <v>0</v>
      </c>
      <c r="AJ22" s="1866">
        <f>'Malaria-Pharmaceuticals'!$T22+'Malaria-Pharmaceuticals'!$AA22+'Malaria-Pharmaceuticals'!$AH22</f>
        <v>0</v>
      </c>
      <c r="AK22" s="1868" t="str">
        <f>IF(A22&lt;&gt;"",IFERROR(INDEX(PMtbl[[WKst]:[Unit of measure*]],MATCH($A$8&amp;$A22&amp;$E22&amp;$I22,INDEX(PMtbl[Sec]&amp;PMtbl[Category]&amp;PMtbl[INN]&amp;PMtbl[Specification],0,),0),7),""),"")</f>
        <v/>
      </c>
      <c r="AL22" s="956"/>
      <c r="AM22" s="1518" t="str">
        <f>IFERROR(INDEX(SETUP!$C$19:$G$62,MATCH((INDEX(PMtbl[[WKst]:[Unit of measure*]],MATCH($A22&amp;$E22&amp;$I22,INDEX(PMtbl[Category]&amp;PMtbl[INN]&amp;PMtbl[Specification],0,),0),3)),SETUP!$D$19:$D$62,0),5),"")</f>
        <v/>
      </c>
      <c r="AN22" s="1518"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U22" s="1410">
        <v>1</v>
      </c>
      <c r="AV22" s="1410">
        <f>IFERROR(VLOOKUP($AW22,$AK$12:$AN$60,4,FALSE),0)</f>
        <v>0</v>
      </c>
      <c r="AW22" s="1410">
        <v>4.3</v>
      </c>
      <c r="AX22" s="1410">
        <f>SUMPRODUCT(($AK$14:$AK$60=$AW22)*($N$14:$N$60)*((O$14:O$60)))</f>
        <v>0</v>
      </c>
      <c r="AY22" s="1410">
        <f>SUMPRODUCT(($AK$14:$AK$60=$AW22)*($N$14:$N$60)*((P$14:P$60)))</f>
        <v>0</v>
      </c>
      <c r="AZ22" s="1410">
        <f>SUMPRODUCT(($AK$14:$AK$60=$AW22)*($N$14:$N$60)*((Q$14:Q$60)))</f>
        <v>0</v>
      </c>
      <c r="BA22" s="1410">
        <f>SUMPRODUCT(($AK$14:$AK$60=$AW22)*($N$14:$N$60)*((R$14:R$60)))</f>
        <v>0</v>
      </c>
      <c r="BB22" s="1410">
        <f>SUMPRODUCT(($AK$14:$AK$60=$AW22)*($U$14:$U$60)*((V$14:V$60)))</f>
        <v>0</v>
      </c>
      <c r="BC22" s="1410">
        <f>SUMPRODUCT(($AK$14:$AK$60=$AW22)*($U$14:$U$60)*((W$14:W$60)))</f>
        <v>0</v>
      </c>
      <c r="BD22" s="1410">
        <f>SUMPRODUCT(($AK$14:$AK$60=$AW22)*($U$14:$U$60)*((X$14:X$60)))</f>
        <v>0</v>
      </c>
      <c r="BE22" s="1410">
        <f>SUMPRODUCT(($AK$14:$AK$60=$AW22)*($U$14:$U$60)*((Y$14:Y$60)))</f>
        <v>0</v>
      </c>
      <c r="BF22" s="1410">
        <f>SUMPRODUCT(($AK$14:$AK$60=$AW22)*($AB$14:$AB$60)*((AC$14:AC$60)))</f>
        <v>0</v>
      </c>
      <c r="BG22" s="1410">
        <f>SUMPRODUCT(($AK$14:$AK$60=$AW22)*($AB$14:$AB$60)*((AD$14:AD$60)))</f>
        <v>0</v>
      </c>
      <c r="BH22" s="1410">
        <f>SUMPRODUCT(($AK$14:$AK$60=$AW22)*($AB$14:$AB$60)*((AE$14:AE$60)))</f>
        <v>0</v>
      </c>
      <c r="BI22" s="1410">
        <f>SUMPRODUCT(($AK$14:$AK$60=$AW22)*($AB$14:$AB$60)*((AF$14:AF$60)))</f>
        <v>0</v>
      </c>
      <c r="BJ22" s="1410">
        <f>SUM(AX22:BI22)</f>
        <v>0</v>
      </c>
    </row>
    <row r="23" spans="1:62">
      <c r="A23" s="2955"/>
      <c r="B23" s="2955"/>
      <c r="C23" s="2955"/>
      <c r="D23" s="2956"/>
      <c r="E23" s="2953"/>
      <c r="F23" s="2304"/>
      <c r="G23" s="2304"/>
      <c r="H23" s="2954"/>
      <c r="I23" s="2953"/>
      <c r="J23" s="2304"/>
      <c r="K23" s="2954"/>
      <c r="L23" s="247" t="str">
        <f>IF(A23&lt;&gt;"",IFERROR(INDEX(PMtbl[[WKst]:[Unit of measure*]],MATCH($A$8&amp;$A23&amp;$E23&amp;$I23,INDEX(PMtbl[Sec]&amp;PMtbl[Category]&amp;PMtbl[INN]&amp;PMtbl[Specification],0,),0),8),""),"")</f>
        <v/>
      </c>
      <c r="M23" s="248" t="str">
        <f>IF(L23="", "",SETUP!$E$5)</f>
        <v/>
      </c>
      <c r="N23" s="1968"/>
      <c r="O23" s="808"/>
      <c r="P23" s="808"/>
      <c r="Q23" s="808"/>
      <c r="R23" s="808"/>
      <c r="S23" s="1863">
        <f>SUM('Malaria-Pharmaceuticals'!$O23:$R23)</f>
        <v>0</v>
      </c>
      <c r="T23" s="1863">
        <f>'Malaria-Pharmaceuticals'!$N23*'Malaria-Pharmaceuticals'!$S23</f>
        <v>0</v>
      </c>
      <c r="U23" s="1968"/>
      <c r="V23" s="808"/>
      <c r="W23" s="808"/>
      <c r="X23" s="808"/>
      <c r="Y23" s="808"/>
      <c r="Z23" s="1863">
        <f>SUM('Malaria-Pharmaceuticals'!$V23:$Y23)</f>
        <v>0</v>
      </c>
      <c r="AA23" s="1863">
        <f>'Malaria-Pharmaceuticals'!$U23*'Malaria-Pharmaceuticals'!$Z23</f>
        <v>0</v>
      </c>
      <c r="AB23" s="1968"/>
      <c r="AC23" s="808"/>
      <c r="AD23" s="808"/>
      <c r="AE23" s="808"/>
      <c r="AF23" s="808"/>
      <c r="AG23" s="1863">
        <f>SUM('Malaria-Pharmaceuticals'!$AC23:$AF23)</f>
        <v>0</v>
      </c>
      <c r="AH23" s="1863">
        <f>'Malaria-Pharmaceuticals'!$AB23*'Malaria-Pharmaceuticals'!$AG23</f>
        <v>0</v>
      </c>
      <c r="AI23" s="1864">
        <f>'Malaria-Pharmaceuticals'!$S23+'Malaria-Pharmaceuticals'!$Z23+'Malaria-Pharmaceuticals'!$AG23</f>
        <v>0</v>
      </c>
      <c r="AJ23" s="1863">
        <f>'Malaria-Pharmaceuticals'!$T23+'Malaria-Pharmaceuticals'!$AA23+'Malaria-Pharmaceuticals'!$AH23</f>
        <v>0</v>
      </c>
      <c r="AK23" s="1865" t="str">
        <f>IF(A23&lt;&gt;"",IFERROR(INDEX(PMtbl[[WKst]:[Unit of measure*]],MATCH($A$8&amp;$A23&amp;$E23&amp;$I23,INDEX(PMtbl[Sec]&amp;PMtbl[Category]&amp;PMtbl[INN]&amp;PMtbl[Specification],0,),0),7),""),"")</f>
        <v/>
      </c>
      <c r="AL23" s="957"/>
      <c r="AM23" s="1517" t="str">
        <f>IFERROR(INDEX(SETUP!$C$19:$G$62,MATCH((INDEX(PMtbl[[WKst]:[Unit of measure*]],MATCH($A23&amp;$E23&amp;$I23,INDEX(PMtbl[Category]&amp;PMtbl[INN]&amp;PMtbl[Specification],0,),0),3)),SETUP!$D$19:$D$62,0),5),"")</f>
        <v/>
      </c>
      <c r="AN23" s="1517"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U23" s="1411">
        <v>2</v>
      </c>
      <c r="AV23" s="1411">
        <f>IFERROR(VLOOKUP($AW23,$AK$66:$AN$87,4,FALSE),0)</f>
        <v>0</v>
      </c>
      <c r="AW23" s="1411">
        <v>4.3</v>
      </c>
      <c r="AX23" s="1411">
        <f>SUMPRODUCT(($AK$68:$AK$87=$AW23)*($N$68:$N$87)*((O$68:O$87)))</f>
        <v>0</v>
      </c>
      <c r="AY23" s="1411">
        <f>SUMPRODUCT(($AK$68:$AK$87=$AW23)*($N$68:$N$87)*((P$68:P$87)))</f>
        <v>0</v>
      </c>
      <c r="AZ23" s="1411">
        <f>SUMPRODUCT(($AK$68:$AK$87=$AW23)*($N$68:$N$87)*((Q$68:Q$87)))</f>
        <v>0</v>
      </c>
      <c r="BA23" s="1411">
        <f>SUMPRODUCT(($AK$68:$AK$87=$AW23)*($N$68:$N$87)*((R$68:R$87)))</f>
        <v>0</v>
      </c>
      <c r="BB23" s="1411">
        <f>SUMPRODUCT(($AK$68:$AK$87=$AW23)*($U$68:$U$87)*((V$68:V$87)))</f>
        <v>0</v>
      </c>
      <c r="BC23" s="1411">
        <f>SUMPRODUCT(($AK$68:$AK$87=$AW23)*($U$68:$U$87)*((W$68:W$87)))</f>
        <v>0</v>
      </c>
      <c r="BD23" s="1411">
        <f>SUMPRODUCT(($AK$68:$AK$87=$AW23)*($U$68:$U$87)*((X$68:X$87)))</f>
        <v>0</v>
      </c>
      <c r="BE23" s="1411">
        <f>SUMPRODUCT(($AK$68:$AK$87=$AW23)*($U$68:$U$87)*((Y$68:Y$87)))</f>
        <v>0</v>
      </c>
      <c r="BF23" s="1411">
        <f>SUMPRODUCT(($AK$68:$AK$87=$AW23)*($AB$68:$AB$87)*((AC$68:AC$87)))</f>
        <v>0</v>
      </c>
      <c r="BG23" s="1411">
        <f>SUMPRODUCT(($AK$68:$AK$87=$AW23)*($AB$68:$AB$87)*((AD$68:AD$87)))</f>
        <v>0</v>
      </c>
      <c r="BH23" s="1411">
        <f>SUMPRODUCT(($AK$68:$AK$87=$AW23)*($AB$68:$AB$87)*((AE$68:AE$87)))</f>
        <v>0</v>
      </c>
      <c r="BI23" s="1411">
        <f>SUMPRODUCT(($AK$68:$AK$87=$AW23)*($AB$68:$AB$87)*((AF$68:AF$87)))</f>
        <v>0</v>
      </c>
      <c r="BJ23" s="1411">
        <f t="shared" ref="BJ23" si="1">SUM(AX23:BI23)</f>
        <v>0</v>
      </c>
    </row>
    <row r="24" spans="1:62">
      <c r="A24" s="2957"/>
      <c r="B24" s="2957"/>
      <c r="C24" s="2957"/>
      <c r="D24" s="2958"/>
      <c r="E24" s="2950"/>
      <c r="F24" s="2951"/>
      <c r="G24" s="2951"/>
      <c r="H24" s="2952"/>
      <c r="I24" s="2950"/>
      <c r="J24" s="2951"/>
      <c r="K24" s="2952"/>
      <c r="L24" s="249" t="str">
        <f>IF(A24&lt;&gt;"",IFERROR(INDEX(PMtbl[[WKst]:[Unit of measure*]],MATCH($A$8&amp;$A24&amp;$E24&amp;$I24,INDEX(PMtbl[Sec]&amp;PMtbl[Category]&amp;PMtbl[INN]&amp;PMtbl[Specification],0,),0),8),""),"")</f>
        <v/>
      </c>
      <c r="M24" s="249" t="str">
        <f>IF(L24="", "",SETUP!$E$5)</f>
        <v/>
      </c>
      <c r="N24" s="1969"/>
      <c r="O24" s="1970"/>
      <c r="P24" s="1970"/>
      <c r="Q24" s="1970"/>
      <c r="R24" s="1970"/>
      <c r="S24" s="1866">
        <f>SUM('Malaria-Pharmaceuticals'!$O24:$R24)</f>
        <v>0</v>
      </c>
      <c r="T24" s="1866">
        <f>'Malaria-Pharmaceuticals'!$N24*'Malaria-Pharmaceuticals'!$S24</f>
        <v>0</v>
      </c>
      <c r="U24" s="1969"/>
      <c r="V24" s="1970"/>
      <c r="W24" s="1970"/>
      <c r="X24" s="1970"/>
      <c r="Y24" s="1970"/>
      <c r="Z24" s="1866">
        <f>SUM('Malaria-Pharmaceuticals'!$V24:$Y24)</f>
        <v>0</v>
      </c>
      <c r="AA24" s="1866">
        <f>'Malaria-Pharmaceuticals'!$U24*'Malaria-Pharmaceuticals'!$Z24</f>
        <v>0</v>
      </c>
      <c r="AB24" s="1969"/>
      <c r="AC24" s="1970"/>
      <c r="AD24" s="1970"/>
      <c r="AE24" s="1970"/>
      <c r="AF24" s="1970"/>
      <c r="AG24" s="1866">
        <f>SUM('Malaria-Pharmaceuticals'!$AC24:$AF24)</f>
        <v>0</v>
      </c>
      <c r="AH24" s="1866">
        <f>'Malaria-Pharmaceuticals'!$AB24*'Malaria-Pharmaceuticals'!$AG24</f>
        <v>0</v>
      </c>
      <c r="AI24" s="1867">
        <f>'Malaria-Pharmaceuticals'!$S24+'Malaria-Pharmaceuticals'!$Z24+'Malaria-Pharmaceuticals'!$AG24</f>
        <v>0</v>
      </c>
      <c r="AJ24" s="1866">
        <f>'Malaria-Pharmaceuticals'!$T24+'Malaria-Pharmaceuticals'!$AA24+'Malaria-Pharmaceuticals'!$AH24</f>
        <v>0</v>
      </c>
      <c r="AK24" s="1868" t="str">
        <f>IF(A24&lt;&gt;"",IFERROR(INDEX(PMtbl[[WKst]:[Unit of measure*]],MATCH($A$8&amp;$A24&amp;$E24&amp;$I24,INDEX(PMtbl[Sec]&amp;PMtbl[Category]&amp;PMtbl[INN]&amp;PMtbl[Specification],0,),0),7),""),"")</f>
        <v/>
      </c>
      <c r="AL24" s="956"/>
      <c r="AM24" s="1518" t="str">
        <f>IFERROR(INDEX(SETUP!$C$19:$G$62,MATCH((INDEX(PMtbl[[WKst]:[Unit of measure*]],MATCH($A24&amp;$E24&amp;$I24,INDEX(PMtbl[Category]&amp;PMtbl[INN]&amp;PMtbl[Specification],0,),0),3)),SETUP!$D$19:$D$62,0),5),"")</f>
        <v/>
      </c>
      <c r="AN24" s="1518"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U24" s="1409"/>
      <c r="AV24" s="1409"/>
      <c r="AW24" s="1409"/>
      <c r="AX24" s="1477">
        <f>SUM(AX22:AX23)</f>
        <v>0</v>
      </c>
      <c r="AY24" s="1477">
        <f t="shared" ref="AY24:BJ24" si="2">SUM(AY22:AY23)</f>
        <v>0</v>
      </c>
      <c r="AZ24" s="1477">
        <f t="shared" si="2"/>
        <v>0</v>
      </c>
      <c r="BA24" s="1477">
        <f t="shared" si="2"/>
        <v>0</v>
      </c>
      <c r="BB24" s="1477">
        <f t="shared" si="2"/>
        <v>0</v>
      </c>
      <c r="BC24" s="1477">
        <f t="shared" si="2"/>
        <v>0</v>
      </c>
      <c r="BD24" s="1477">
        <f t="shared" si="2"/>
        <v>0</v>
      </c>
      <c r="BE24" s="1477">
        <f t="shared" si="2"/>
        <v>0</v>
      </c>
      <c r="BF24" s="1477">
        <f t="shared" si="2"/>
        <v>0</v>
      </c>
      <c r="BG24" s="1477">
        <f t="shared" si="2"/>
        <v>0</v>
      </c>
      <c r="BH24" s="1477">
        <f t="shared" si="2"/>
        <v>0</v>
      </c>
      <c r="BI24" s="1477">
        <f t="shared" si="2"/>
        <v>0</v>
      </c>
      <c r="BJ24" s="1477">
        <f t="shared" si="2"/>
        <v>0</v>
      </c>
    </row>
    <row r="25" spans="1:62">
      <c r="A25" s="2955"/>
      <c r="B25" s="2955"/>
      <c r="C25" s="2955"/>
      <c r="D25" s="2956"/>
      <c r="E25" s="2953"/>
      <c r="F25" s="2304"/>
      <c r="G25" s="2304"/>
      <c r="H25" s="2954"/>
      <c r="I25" s="2953"/>
      <c r="J25" s="2304"/>
      <c r="K25" s="2954"/>
      <c r="L25" s="247" t="str">
        <f>IF(A25&lt;&gt;"",IFERROR(INDEX(PMtbl[[WKst]:[Unit of measure*]],MATCH($A$8&amp;$A25&amp;$E25&amp;$I25,INDEX(PMtbl[Sec]&amp;PMtbl[Category]&amp;PMtbl[INN]&amp;PMtbl[Specification],0,),0),8),""),"")</f>
        <v/>
      </c>
      <c r="M25" s="248" t="str">
        <f>IF(L25="", "",SETUP!$E$5)</f>
        <v/>
      </c>
      <c r="N25" s="1968"/>
      <c r="O25" s="808"/>
      <c r="P25" s="808"/>
      <c r="Q25" s="808"/>
      <c r="R25" s="808"/>
      <c r="S25" s="1863">
        <f>SUM('Malaria-Pharmaceuticals'!$O25:$R25)</f>
        <v>0</v>
      </c>
      <c r="T25" s="1863">
        <f>'Malaria-Pharmaceuticals'!$N25*'Malaria-Pharmaceuticals'!$S25</f>
        <v>0</v>
      </c>
      <c r="U25" s="1968"/>
      <c r="V25" s="808"/>
      <c r="W25" s="808"/>
      <c r="X25" s="808"/>
      <c r="Y25" s="808"/>
      <c r="Z25" s="1863">
        <f>SUM('Malaria-Pharmaceuticals'!$V25:$Y25)</f>
        <v>0</v>
      </c>
      <c r="AA25" s="1863">
        <f>'Malaria-Pharmaceuticals'!$U25*'Malaria-Pharmaceuticals'!$Z25</f>
        <v>0</v>
      </c>
      <c r="AB25" s="1968"/>
      <c r="AC25" s="808"/>
      <c r="AD25" s="808"/>
      <c r="AE25" s="808"/>
      <c r="AF25" s="808"/>
      <c r="AG25" s="1863">
        <f>SUM('Malaria-Pharmaceuticals'!$AC25:$AF25)</f>
        <v>0</v>
      </c>
      <c r="AH25" s="1863">
        <f>'Malaria-Pharmaceuticals'!$AB25*'Malaria-Pharmaceuticals'!$AG25</f>
        <v>0</v>
      </c>
      <c r="AI25" s="1864">
        <f>'Malaria-Pharmaceuticals'!$S25+'Malaria-Pharmaceuticals'!$Z25+'Malaria-Pharmaceuticals'!$AG25</f>
        <v>0</v>
      </c>
      <c r="AJ25" s="1863">
        <f>'Malaria-Pharmaceuticals'!$T25+'Malaria-Pharmaceuticals'!$AA25+'Malaria-Pharmaceuticals'!$AH25</f>
        <v>0</v>
      </c>
      <c r="AK25" s="1865" t="str">
        <f>IF(A25&lt;&gt;"",IFERROR(INDEX(PMtbl[[WKst]:[Unit of measure*]],MATCH($A$8&amp;$A25&amp;$E25&amp;$I25,INDEX(PMtbl[Sec]&amp;PMtbl[Category]&amp;PMtbl[INN]&amp;PMtbl[Specification],0,),0),7),""),"")</f>
        <v/>
      </c>
      <c r="AL25" s="957"/>
      <c r="AM25" s="1517" t="str">
        <f>IFERROR(INDEX(SETUP!$C$19:$G$62,MATCH((INDEX(PMtbl[[WKst]:[Unit of measure*]],MATCH($A25&amp;$E25&amp;$I25,INDEX(PMtbl[Category]&amp;PMtbl[INN]&amp;PMtbl[Specification],0,),0),3)),SETUP!$D$19:$D$62,0),5),"")</f>
        <v/>
      </c>
      <c r="AN25" s="1517"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1409"/>
      <c r="AV25" s="1409"/>
      <c r="AW25" s="1409"/>
      <c r="AX25" s="1409"/>
      <c r="AY25" s="1409"/>
      <c r="AZ25" s="1409"/>
      <c r="BA25" s="1409"/>
      <c r="BB25" s="1409"/>
      <c r="BC25" s="1409"/>
      <c r="BD25" s="1409"/>
      <c r="BE25" s="1409"/>
      <c r="BF25" s="1409"/>
      <c r="BG25" s="1409"/>
      <c r="BH25" s="1409"/>
      <c r="BI25" s="1409"/>
    </row>
    <row r="26" spans="1:62">
      <c r="A26" s="2957"/>
      <c r="B26" s="2957"/>
      <c r="C26" s="2957"/>
      <c r="D26" s="2958"/>
      <c r="E26" s="2950"/>
      <c r="F26" s="2951"/>
      <c r="G26" s="2951"/>
      <c r="H26" s="2952"/>
      <c r="I26" s="2950"/>
      <c r="J26" s="2951"/>
      <c r="K26" s="2952"/>
      <c r="L26" s="249" t="str">
        <f>IF(A26&lt;&gt;"",IFERROR(INDEX(PMtbl[[WKst]:[Unit of measure*]],MATCH($A$8&amp;$A26&amp;$E26&amp;$I26,INDEX(PMtbl[Sec]&amp;PMtbl[Category]&amp;PMtbl[INN]&amp;PMtbl[Specification],0,),0),8),""),"")</f>
        <v/>
      </c>
      <c r="M26" s="249" t="str">
        <f>IF(L26="", "",SETUP!$E$5)</f>
        <v/>
      </c>
      <c r="N26" s="1969"/>
      <c r="O26" s="1970"/>
      <c r="P26" s="1970"/>
      <c r="Q26" s="1970"/>
      <c r="R26" s="1970"/>
      <c r="S26" s="1866">
        <f>SUM('Malaria-Pharmaceuticals'!$O26:$R26)</f>
        <v>0</v>
      </c>
      <c r="T26" s="1866">
        <f>'Malaria-Pharmaceuticals'!$N26*'Malaria-Pharmaceuticals'!$S26</f>
        <v>0</v>
      </c>
      <c r="U26" s="1969"/>
      <c r="V26" s="1970"/>
      <c r="W26" s="1970"/>
      <c r="X26" s="1970"/>
      <c r="Y26" s="1970"/>
      <c r="Z26" s="1866">
        <f>SUM('Malaria-Pharmaceuticals'!$V26:$Y26)</f>
        <v>0</v>
      </c>
      <c r="AA26" s="1866">
        <f>'Malaria-Pharmaceuticals'!$U26*'Malaria-Pharmaceuticals'!$Z26</f>
        <v>0</v>
      </c>
      <c r="AB26" s="1969"/>
      <c r="AC26" s="1970"/>
      <c r="AD26" s="1970"/>
      <c r="AE26" s="1970"/>
      <c r="AF26" s="1970"/>
      <c r="AG26" s="1866">
        <f>SUM('Malaria-Pharmaceuticals'!$AC26:$AF26)</f>
        <v>0</v>
      </c>
      <c r="AH26" s="1866">
        <f>'Malaria-Pharmaceuticals'!$AB26*'Malaria-Pharmaceuticals'!$AG26</f>
        <v>0</v>
      </c>
      <c r="AI26" s="1867">
        <f>'Malaria-Pharmaceuticals'!$S26+'Malaria-Pharmaceuticals'!$Z26+'Malaria-Pharmaceuticals'!$AG26</f>
        <v>0</v>
      </c>
      <c r="AJ26" s="1866">
        <f>'Malaria-Pharmaceuticals'!$T26+'Malaria-Pharmaceuticals'!$AA26+'Malaria-Pharmaceuticals'!$AH26</f>
        <v>0</v>
      </c>
      <c r="AK26" s="1868" t="str">
        <f>IF(A26&lt;&gt;"",IFERROR(INDEX(PMtbl[[WKst]:[Unit of measure*]],MATCH($A$8&amp;$A26&amp;$E26&amp;$I26,INDEX(PMtbl[Sec]&amp;PMtbl[Category]&amp;PMtbl[INN]&amp;PMtbl[Specification],0,),0),7),""),"")</f>
        <v/>
      </c>
      <c r="AL26" s="956"/>
      <c r="AM26" s="1518" t="str">
        <f>IFERROR(INDEX(SETUP!$C$19:$G$62,MATCH((INDEX(PMtbl[[WKst]:[Unit of measure*]],MATCH($A26&amp;$E26&amp;$I26,INDEX(PMtbl[Category]&amp;PMtbl[INN]&amp;PMtbl[Specification],0,),0),3)),SETUP!$D$19:$D$62,0),5),"")</f>
        <v/>
      </c>
      <c r="AN26" s="1518"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row>
    <row r="27" spans="1:62">
      <c r="A27" s="2955"/>
      <c r="B27" s="2955"/>
      <c r="C27" s="2955"/>
      <c r="D27" s="2956"/>
      <c r="E27" s="2953"/>
      <c r="F27" s="2304"/>
      <c r="G27" s="2304"/>
      <c r="H27" s="2954"/>
      <c r="I27" s="2953"/>
      <c r="J27" s="2304"/>
      <c r="K27" s="2954"/>
      <c r="L27" s="247" t="str">
        <f>IF(A27&lt;&gt;"",IFERROR(INDEX(PMtbl[[WKst]:[Unit of measure*]],MATCH($A$8&amp;$A27&amp;$E27&amp;$I27,INDEX(PMtbl[Sec]&amp;PMtbl[Category]&amp;PMtbl[INN]&amp;PMtbl[Specification],0,),0),8),""),"")</f>
        <v/>
      </c>
      <c r="M27" s="248" t="str">
        <f>IF(L27="", "",SETUP!$E$5)</f>
        <v/>
      </c>
      <c r="N27" s="1968"/>
      <c r="O27" s="808"/>
      <c r="P27" s="808"/>
      <c r="Q27" s="808"/>
      <c r="R27" s="808"/>
      <c r="S27" s="1863">
        <f>SUM('Malaria-Pharmaceuticals'!$O27:$R27)</f>
        <v>0</v>
      </c>
      <c r="T27" s="1863">
        <f>'Malaria-Pharmaceuticals'!$N27*'Malaria-Pharmaceuticals'!$S27</f>
        <v>0</v>
      </c>
      <c r="U27" s="1968"/>
      <c r="V27" s="808"/>
      <c r="W27" s="808"/>
      <c r="X27" s="808"/>
      <c r="Y27" s="808"/>
      <c r="Z27" s="1863">
        <f>SUM('Malaria-Pharmaceuticals'!$V27:$Y27)</f>
        <v>0</v>
      </c>
      <c r="AA27" s="1863">
        <f>'Malaria-Pharmaceuticals'!$U27*'Malaria-Pharmaceuticals'!$Z27</f>
        <v>0</v>
      </c>
      <c r="AB27" s="1968"/>
      <c r="AC27" s="808"/>
      <c r="AD27" s="808"/>
      <c r="AE27" s="808"/>
      <c r="AF27" s="808"/>
      <c r="AG27" s="1863">
        <f>SUM('Malaria-Pharmaceuticals'!$AC27:$AF27)</f>
        <v>0</v>
      </c>
      <c r="AH27" s="1863">
        <f>'Malaria-Pharmaceuticals'!$AB27*'Malaria-Pharmaceuticals'!$AG27</f>
        <v>0</v>
      </c>
      <c r="AI27" s="1864">
        <f>'Malaria-Pharmaceuticals'!$S27+'Malaria-Pharmaceuticals'!$Z27+'Malaria-Pharmaceuticals'!$AG27</f>
        <v>0</v>
      </c>
      <c r="AJ27" s="1863">
        <f>'Malaria-Pharmaceuticals'!$T27+'Malaria-Pharmaceuticals'!$AA27+'Malaria-Pharmaceuticals'!$AH27</f>
        <v>0</v>
      </c>
      <c r="AK27" s="1865" t="str">
        <f>IF(A27&lt;&gt;"",IFERROR(INDEX(PMtbl[[WKst]:[Unit of measure*]],MATCH($A$8&amp;$A27&amp;$E27&amp;$I27,INDEX(PMtbl[Sec]&amp;PMtbl[Category]&amp;PMtbl[INN]&amp;PMtbl[Specification],0,),0),7),""),"")</f>
        <v/>
      </c>
      <c r="AL27" s="957"/>
      <c r="AM27" s="1517" t="str">
        <f>IFERROR(INDEX(SETUP!$C$19:$G$62,MATCH((INDEX(PMtbl[[WKst]:[Unit of measure*]],MATCH($A27&amp;$E27&amp;$I27,INDEX(PMtbl[Category]&amp;PMtbl[INN]&amp;PMtbl[Specification],0,),0),3)),SETUP!$D$19:$D$62,0),5),"")</f>
        <v/>
      </c>
      <c r="AN27" s="1517"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row>
    <row r="28" spans="1:62">
      <c r="A28" s="2957"/>
      <c r="B28" s="2957"/>
      <c r="C28" s="2957"/>
      <c r="D28" s="2958"/>
      <c r="E28" s="2950"/>
      <c r="F28" s="2951"/>
      <c r="G28" s="2951"/>
      <c r="H28" s="2952"/>
      <c r="I28" s="2950"/>
      <c r="J28" s="2951"/>
      <c r="K28" s="2952"/>
      <c r="L28" s="249" t="str">
        <f>IF(A28&lt;&gt;"",IFERROR(INDEX(PMtbl[[WKst]:[Unit of measure*]],MATCH($A$8&amp;$A28&amp;$E28&amp;$I28,INDEX(PMtbl[Sec]&amp;PMtbl[Category]&amp;PMtbl[INN]&amp;PMtbl[Specification],0,),0),8),""),"")</f>
        <v/>
      </c>
      <c r="M28" s="249" t="str">
        <f>IF(L28="", "",SETUP!$E$5)</f>
        <v/>
      </c>
      <c r="N28" s="1969"/>
      <c r="O28" s="1970"/>
      <c r="P28" s="1970"/>
      <c r="Q28" s="1970"/>
      <c r="R28" s="1970"/>
      <c r="S28" s="1866">
        <f>SUM('Malaria-Pharmaceuticals'!$O28:$R28)</f>
        <v>0</v>
      </c>
      <c r="T28" s="1866">
        <f>'Malaria-Pharmaceuticals'!$N28*'Malaria-Pharmaceuticals'!$S28</f>
        <v>0</v>
      </c>
      <c r="U28" s="1969"/>
      <c r="V28" s="1970"/>
      <c r="W28" s="1970"/>
      <c r="X28" s="1970"/>
      <c r="Y28" s="1970"/>
      <c r="Z28" s="1866">
        <f>SUM('Malaria-Pharmaceuticals'!$V28:$Y28)</f>
        <v>0</v>
      </c>
      <c r="AA28" s="1866">
        <f>'Malaria-Pharmaceuticals'!$U28*'Malaria-Pharmaceuticals'!$Z28</f>
        <v>0</v>
      </c>
      <c r="AB28" s="1969"/>
      <c r="AC28" s="1970"/>
      <c r="AD28" s="1970"/>
      <c r="AE28" s="1970"/>
      <c r="AF28" s="1970"/>
      <c r="AG28" s="1866">
        <f>SUM('Malaria-Pharmaceuticals'!$AC28:$AF28)</f>
        <v>0</v>
      </c>
      <c r="AH28" s="1866">
        <f>'Malaria-Pharmaceuticals'!$AB28*'Malaria-Pharmaceuticals'!$AG28</f>
        <v>0</v>
      </c>
      <c r="AI28" s="1867">
        <f>'Malaria-Pharmaceuticals'!$S28+'Malaria-Pharmaceuticals'!$Z28+'Malaria-Pharmaceuticals'!$AG28</f>
        <v>0</v>
      </c>
      <c r="AJ28" s="1866">
        <f>'Malaria-Pharmaceuticals'!$T28+'Malaria-Pharmaceuticals'!$AA28+'Malaria-Pharmaceuticals'!$AH28</f>
        <v>0</v>
      </c>
      <c r="AK28" s="1868" t="str">
        <f>IF(A28&lt;&gt;"",IFERROR(INDEX(PMtbl[[WKst]:[Unit of measure*]],MATCH($A$8&amp;$A28&amp;$E28&amp;$I28,INDEX(PMtbl[Sec]&amp;PMtbl[Category]&amp;PMtbl[INN]&amp;PMtbl[Specification],0,),0),7),""),"")</f>
        <v/>
      </c>
      <c r="AL28" s="956"/>
      <c r="AM28" s="1518" t="str">
        <f>IFERROR(INDEX(SETUP!$C$19:$G$62,MATCH((INDEX(PMtbl[[WKst]:[Unit of measure*]],MATCH($A28&amp;$E28&amp;$I28,INDEX(PMtbl[Category]&amp;PMtbl[INN]&amp;PMtbl[Specification],0,),0),3)),SETUP!$D$19:$D$62,0),5),"")</f>
        <v/>
      </c>
      <c r="AN28" s="1518"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row>
    <row r="29" spans="1:62">
      <c r="A29" s="2955"/>
      <c r="B29" s="2955"/>
      <c r="C29" s="2955"/>
      <c r="D29" s="2956"/>
      <c r="E29" s="2953"/>
      <c r="F29" s="2304"/>
      <c r="G29" s="2304"/>
      <c r="H29" s="2954"/>
      <c r="I29" s="2953"/>
      <c r="J29" s="2304"/>
      <c r="K29" s="2954"/>
      <c r="L29" s="247" t="str">
        <f>IF(A29&lt;&gt;"",IFERROR(INDEX(PMtbl[[WKst]:[Unit of measure*]],MATCH($A$8&amp;$A29&amp;$E29&amp;$I29,INDEX(PMtbl[Sec]&amp;PMtbl[Category]&amp;PMtbl[INN]&amp;PMtbl[Specification],0,),0),8),""),"")</f>
        <v/>
      </c>
      <c r="M29" s="248" t="str">
        <f>IF(L29="", "",SETUP!$E$5)</f>
        <v/>
      </c>
      <c r="N29" s="1968"/>
      <c r="O29" s="808"/>
      <c r="P29" s="808"/>
      <c r="Q29" s="808"/>
      <c r="R29" s="808"/>
      <c r="S29" s="1863">
        <f>SUM('Malaria-Pharmaceuticals'!$O29:$R29)</f>
        <v>0</v>
      </c>
      <c r="T29" s="1863">
        <f>'Malaria-Pharmaceuticals'!$N29*'Malaria-Pharmaceuticals'!$S29</f>
        <v>0</v>
      </c>
      <c r="U29" s="1968"/>
      <c r="V29" s="808"/>
      <c r="W29" s="808"/>
      <c r="X29" s="808"/>
      <c r="Y29" s="808"/>
      <c r="Z29" s="1863">
        <f>SUM('Malaria-Pharmaceuticals'!$V29:$Y29)</f>
        <v>0</v>
      </c>
      <c r="AA29" s="1863">
        <f>'Malaria-Pharmaceuticals'!$U29*'Malaria-Pharmaceuticals'!$Z29</f>
        <v>0</v>
      </c>
      <c r="AB29" s="1968"/>
      <c r="AC29" s="808"/>
      <c r="AD29" s="808"/>
      <c r="AE29" s="808"/>
      <c r="AF29" s="808"/>
      <c r="AG29" s="1863">
        <f>SUM('Malaria-Pharmaceuticals'!$AC29:$AF29)</f>
        <v>0</v>
      </c>
      <c r="AH29" s="1863">
        <f>'Malaria-Pharmaceuticals'!$AB29*'Malaria-Pharmaceuticals'!$AG29</f>
        <v>0</v>
      </c>
      <c r="AI29" s="1864">
        <f>'Malaria-Pharmaceuticals'!$S29+'Malaria-Pharmaceuticals'!$Z29+'Malaria-Pharmaceuticals'!$AG29</f>
        <v>0</v>
      </c>
      <c r="AJ29" s="1863">
        <f>'Malaria-Pharmaceuticals'!$T29+'Malaria-Pharmaceuticals'!$AA29+'Malaria-Pharmaceuticals'!$AH29</f>
        <v>0</v>
      </c>
      <c r="AK29" s="1865" t="str">
        <f>IF(A29&lt;&gt;"",IFERROR(INDEX(PMtbl[[WKst]:[Unit of measure*]],MATCH($A$8&amp;$A29&amp;$E29&amp;$I29,INDEX(PMtbl[Sec]&amp;PMtbl[Category]&amp;PMtbl[INN]&amp;PMtbl[Specification],0,),0),7),""),"")</f>
        <v/>
      </c>
      <c r="AL29" s="957"/>
      <c r="AM29" s="1517" t="str">
        <f>IFERROR(INDEX(SETUP!$C$19:$G$62,MATCH((INDEX(PMtbl[[WKst]:[Unit of measure*]],MATCH($A29&amp;$E29&amp;$I29,INDEX(PMtbl[Category]&amp;PMtbl[INN]&amp;PMtbl[Specification],0,),0),3)),SETUP!$D$19:$D$62,0),5),"")</f>
        <v/>
      </c>
      <c r="AN29" s="1517"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row>
    <row r="30" spans="1:62">
      <c r="A30" s="2957"/>
      <c r="B30" s="2957"/>
      <c r="C30" s="2957"/>
      <c r="D30" s="2958"/>
      <c r="E30" s="2950"/>
      <c r="F30" s="2951"/>
      <c r="G30" s="2951"/>
      <c r="H30" s="2952"/>
      <c r="I30" s="2950"/>
      <c r="J30" s="2951"/>
      <c r="K30" s="2952"/>
      <c r="L30" s="249" t="str">
        <f>IF(A30&lt;&gt;"",IFERROR(INDEX(PMtbl[[WKst]:[Unit of measure*]],MATCH($A$8&amp;$A30&amp;$E30&amp;$I30,INDEX(PMtbl[Sec]&amp;PMtbl[Category]&amp;PMtbl[INN]&amp;PMtbl[Specification],0,),0),8),""),"")</f>
        <v/>
      </c>
      <c r="M30" s="249" t="str">
        <f>IF(L30="", "",SETUP!$E$5)</f>
        <v/>
      </c>
      <c r="N30" s="1969"/>
      <c r="O30" s="1970"/>
      <c r="P30" s="1970"/>
      <c r="Q30" s="1970"/>
      <c r="R30" s="1970"/>
      <c r="S30" s="1866">
        <f>SUM('Malaria-Pharmaceuticals'!$O30:$R30)</f>
        <v>0</v>
      </c>
      <c r="T30" s="1866">
        <f>'Malaria-Pharmaceuticals'!$N30*'Malaria-Pharmaceuticals'!$S30</f>
        <v>0</v>
      </c>
      <c r="U30" s="1969"/>
      <c r="V30" s="1970"/>
      <c r="W30" s="1970"/>
      <c r="X30" s="1970"/>
      <c r="Y30" s="1970"/>
      <c r="Z30" s="1866">
        <f>SUM('Malaria-Pharmaceuticals'!$V30:$Y30)</f>
        <v>0</v>
      </c>
      <c r="AA30" s="1866">
        <f>'Malaria-Pharmaceuticals'!$U30*'Malaria-Pharmaceuticals'!$Z30</f>
        <v>0</v>
      </c>
      <c r="AB30" s="1969"/>
      <c r="AC30" s="1970"/>
      <c r="AD30" s="1970"/>
      <c r="AE30" s="1970"/>
      <c r="AF30" s="1970"/>
      <c r="AG30" s="1866">
        <f>SUM('Malaria-Pharmaceuticals'!$AC30:$AF30)</f>
        <v>0</v>
      </c>
      <c r="AH30" s="1866">
        <f>'Malaria-Pharmaceuticals'!$AB30*'Malaria-Pharmaceuticals'!$AG30</f>
        <v>0</v>
      </c>
      <c r="AI30" s="1867">
        <f>'Malaria-Pharmaceuticals'!$S30+'Malaria-Pharmaceuticals'!$Z30+'Malaria-Pharmaceuticals'!$AG30</f>
        <v>0</v>
      </c>
      <c r="AJ30" s="1866">
        <f>'Malaria-Pharmaceuticals'!$T30+'Malaria-Pharmaceuticals'!$AA30+'Malaria-Pharmaceuticals'!$AH30</f>
        <v>0</v>
      </c>
      <c r="AK30" s="1868" t="str">
        <f>IF(A30&lt;&gt;"",IFERROR(INDEX(PMtbl[[WKst]:[Unit of measure*]],MATCH($A$8&amp;$A30&amp;$E30&amp;$I30,INDEX(PMtbl[Sec]&amp;PMtbl[Category]&amp;PMtbl[INN]&amp;PMtbl[Specification],0,),0),7),""),"")</f>
        <v/>
      </c>
      <c r="AL30" s="956"/>
      <c r="AM30" s="1518" t="str">
        <f>IFERROR(INDEX(SETUP!$C$19:$G$62,MATCH((INDEX(PMtbl[[WKst]:[Unit of measure*]],MATCH($A30&amp;$E30&amp;$I30,INDEX(PMtbl[Category]&amp;PMtbl[INN]&amp;PMtbl[Specification],0,),0),3)),SETUP!$D$19:$D$62,0),5),"")</f>
        <v/>
      </c>
      <c r="AN30" s="1518"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2">
      <c r="A31" s="2955"/>
      <c r="B31" s="2955"/>
      <c r="C31" s="2955"/>
      <c r="D31" s="2956"/>
      <c r="E31" s="2953"/>
      <c r="F31" s="2304"/>
      <c r="G31" s="2304"/>
      <c r="H31" s="2954"/>
      <c r="I31" s="2953"/>
      <c r="J31" s="2304"/>
      <c r="K31" s="2954"/>
      <c r="L31" s="247" t="str">
        <f>IF(A31&lt;&gt;"",IFERROR(INDEX(PMtbl[[WKst]:[Unit of measure*]],MATCH($A$8&amp;$A31&amp;$E31&amp;$I31,INDEX(PMtbl[Sec]&amp;PMtbl[Category]&amp;PMtbl[INN]&amp;PMtbl[Specification],0,),0),8),""),"")</f>
        <v/>
      </c>
      <c r="M31" s="248" t="str">
        <f>IF(L31="", "",SETUP!$E$5)</f>
        <v/>
      </c>
      <c r="N31" s="1968"/>
      <c r="O31" s="808"/>
      <c r="P31" s="808"/>
      <c r="Q31" s="808"/>
      <c r="R31" s="808"/>
      <c r="S31" s="1863">
        <f>SUM('Malaria-Pharmaceuticals'!$O31:$R31)</f>
        <v>0</v>
      </c>
      <c r="T31" s="1863">
        <f>'Malaria-Pharmaceuticals'!$N31*'Malaria-Pharmaceuticals'!$S31</f>
        <v>0</v>
      </c>
      <c r="U31" s="1968"/>
      <c r="V31" s="808"/>
      <c r="W31" s="808"/>
      <c r="X31" s="808"/>
      <c r="Y31" s="808"/>
      <c r="Z31" s="1863">
        <f>SUM('Malaria-Pharmaceuticals'!$V31:$Y31)</f>
        <v>0</v>
      </c>
      <c r="AA31" s="1863">
        <f>'Malaria-Pharmaceuticals'!$U31*'Malaria-Pharmaceuticals'!$Z31</f>
        <v>0</v>
      </c>
      <c r="AB31" s="1968"/>
      <c r="AC31" s="808"/>
      <c r="AD31" s="808"/>
      <c r="AE31" s="808"/>
      <c r="AF31" s="808"/>
      <c r="AG31" s="1863">
        <f>SUM('Malaria-Pharmaceuticals'!$AC31:$AF31)</f>
        <v>0</v>
      </c>
      <c r="AH31" s="1863">
        <f>'Malaria-Pharmaceuticals'!$AB31*'Malaria-Pharmaceuticals'!$AG31</f>
        <v>0</v>
      </c>
      <c r="AI31" s="1864">
        <f>'Malaria-Pharmaceuticals'!$S31+'Malaria-Pharmaceuticals'!$Z31+'Malaria-Pharmaceuticals'!$AG31</f>
        <v>0</v>
      </c>
      <c r="AJ31" s="1863">
        <f>'Malaria-Pharmaceuticals'!$T31+'Malaria-Pharmaceuticals'!$AA31+'Malaria-Pharmaceuticals'!$AH31</f>
        <v>0</v>
      </c>
      <c r="AK31" s="1865" t="str">
        <f>IF(A31&lt;&gt;"",IFERROR(INDEX(PMtbl[[WKst]:[Unit of measure*]],MATCH($A$8&amp;$A31&amp;$E31&amp;$I31,INDEX(PMtbl[Sec]&amp;PMtbl[Category]&amp;PMtbl[INN]&amp;PMtbl[Specification],0,),0),7),""),"")</f>
        <v/>
      </c>
      <c r="AL31" s="957"/>
      <c r="AM31" s="1517" t="str">
        <f>IFERROR(INDEX(SETUP!$C$19:$G$62,MATCH((INDEX(PMtbl[[WKst]:[Unit of measure*]],MATCH($A31&amp;$E31&amp;$I31,INDEX(PMtbl[Category]&amp;PMtbl[INN]&amp;PMtbl[Specification],0,),0),3)),SETUP!$D$19:$D$62,0),5),"")</f>
        <v/>
      </c>
      <c r="AN31" s="1517"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2">
      <c r="A32" s="2957"/>
      <c r="B32" s="2957"/>
      <c r="C32" s="2957"/>
      <c r="D32" s="2958"/>
      <c r="E32" s="2950"/>
      <c r="F32" s="2951"/>
      <c r="G32" s="2951"/>
      <c r="H32" s="2952"/>
      <c r="I32" s="2950"/>
      <c r="J32" s="2951"/>
      <c r="K32" s="2952"/>
      <c r="L32" s="249" t="str">
        <f>IF(A32&lt;&gt;"",IFERROR(INDEX(PMtbl[[WKst]:[Unit of measure*]],MATCH($A$8&amp;$A32&amp;$E32&amp;$I32,INDEX(PMtbl[Sec]&amp;PMtbl[Category]&amp;PMtbl[INN]&amp;PMtbl[Specification],0,),0),8),""),"")</f>
        <v/>
      </c>
      <c r="M32" s="249" t="str">
        <f>IF(L32="", "",SETUP!$E$5)</f>
        <v/>
      </c>
      <c r="N32" s="1969"/>
      <c r="O32" s="1970"/>
      <c r="P32" s="1970"/>
      <c r="Q32" s="1970"/>
      <c r="R32" s="1970"/>
      <c r="S32" s="1866">
        <f>SUM('Malaria-Pharmaceuticals'!$O32:$R32)</f>
        <v>0</v>
      </c>
      <c r="T32" s="1866">
        <f>'Malaria-Pharmaceuticals'!$N32*'Malaria-Pharmaceuticals'!$S32</f>
        <v>0</v>
      </c>
      <c r="U32" s="1969"/>
      <c r="V32" s="1970"/>
      <c r="W32" s="1970"/>
      <c r="X32" s="1970"/>
      <c r="Y32" s="1970"/>
      <c r="Z32" s="1866">
        <f>SUM('Malaria-Pharmaceuticals'!$V32:$Y32)</f>
        <v>0</v>
      </c>
      <c r="AA32" s="1866">
        <f>'Malaria-Pharmaceuticals'!$U32*'Malaria-Pharmaceuticals'!$Z32</f>
        <v>0</v>
      </c>
      <c r="AB32" s="1969"/>
      <c r="AC32" s="1970"/>
      <c r="AD32" s="1970"/>
      <c r="AE32" s="1970"/>
      <c r="AF32" s="1970"/>
      <c r="AG32" s="1866">
        <f>SUM('Malaria-Pharmaceuticals'!$AC32:$AF32)</f>
        <v>0</v>
      </c>
      <c r="AH32" s="1866">
        <f>'Malaria-Pharmaceuticals'!$AB32*'Malaria-Pharmaceuticals'!$AG32</f>
        <v>0</v>
      </c>
      <c r="AI32" s="1867">
        <f>'Malaria-Pharmaceuticals'!$S32+'Malaria-Pharmaceuticals'!$Z32+'Malaria-Pharmaceuticals'!$AG32</f>
        <v>0</v>
      </c>
      <c r="AJ32" s="1866">
        <f>'Malaria-Pharmaceuticals'!$T32+'Malaria-Pharmaceuticals'!$AA32+'Malaria-Pharmaceuticals'!$AH32</f>
        <v>0</v>
      </c>
      <c r="AK32" s="1868" t="str">
        <f>IF(A32&lt;&gt;"",IFERROR(INDEX(PMtbl[[WKst]:[Unit of measure*]],MATCH($A$8&amp;$A32&amp;$E32&amp;$I32,INDEX(PMtbl[Sec]&amp;PMtbl[Category]&amp;PMtbl[INN]&amp;PMtbl[Specification],0,),0),7),""),"")</f>
        <v/>
      </c>
      <c r="AL32" s="956"/>
      <c r="AM32" s="1518" t="str">
        <f>IFERROR(INDEX(SETUP!$C$19:$G$62,MATCH((INDEX(PMtbl[[WKst]:[Unit of measure*]],MATCH($A32&amp;$E32&amp;$I32,INDEX(PMtbl[Category]&amp;PMtbl[INN]&amp;PMtbl[Specification],0,),0),3)),SETUP!$D$19:$D$62,0),5),"")</f>
        <v/>
      </c>
      <c r="AN32" s="1518"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40">
      <c r="A33" s="2955"/>
      <c r="B33" s="2955"/>
      <c r="C33" s="2955"/>
      <c r="D33" s="2956"/>
      <c r="E33" s="2953"/>
      <c r="F33" s="2304"/>
      <c r="G33" s="2304"/>
      <c r="H33" s="2954"/>
      <c r="I33" s="2953"/>
      <c r="J33" s="2304"/>
      <c r="K33" s="2954"/>
      <c r="L33" s="247" t="str">
        <f>IF(A33&lt;&gt;"",IFERROR(INDEX(PMtbl[[WKst]:[Unit of measure*]],MATCH($A$8&amp;$A33&amp;$E33&amp;$I33,INDEX(PMtbl[Sec]&amp;PMtbl[Category]&amp;PMtbl[INN]&amp;PMtbl[Specification],0,),0),8),""),"")</f>
        <v/>
      </c>
      <c r="M33" s="248" t="str">
        <f>IF(L33="", "",SETUP!$E$5)</f>
        <v/>
      </c>
      <c r="N33" s="1968"/>
      <c r="O33" s="808"/>
      <c r="P33" s="808"/>
      <c r="Q33" s="808"/>
      <c r="R33" s="808"/>
      <c r="S33" s="1863">
        <f>SUM('Malaria-Pharmaceuticals'!$O33:$R33)</f>
        <v>0</v>
      </c>
      <c r="T33" s="1863">
        <f>'Malaria-Pharmaceuticals'!$N33*'Malaria-Pharmaceuticals'!$S33</f>
        <v>0</v>
      </c>
      <c r="U33" s="1968"/>
      <c r="V33" s="808"/>
      <c r="W33" s="808"/>
      <c r="X33" s="808"/>
      <c r="Y33" s="808"/>
      <c r="Z33" s="1863">
        <f>SUM('Malaria-Pharmaceuticals'!$V33:$Y33)</f>
        <v>0</v>
      </c>
      <c r="AA33" s="1863">
        <f>'Malaria-Pharmaceuticals'!$U33*'Malaria-Pharmaceuticals'!$Z33</f>
        <v>0</v>
      </c>
      <c r="AB33" s="1968"/>
      <c r="AC33" s="808"/>
      <c r="AD33" s="808"/>
      <c r="AE33" s="808"/>
      <c r="AF33" s="808"/>
      <c r="AG33" s="1863">
        <f>SUM('Malaria-Pharmaceuticals'!$AC33:$AF33)</f>
        <v>0</v>
      </c>
      <c r="AH33" s="1863">
        <f>'Malaria-Pharmaceuticals'!$AB33*'Malaria-Pharmaceuticals'!$AG33</f>
        <v>0</v>
      </c>
      <c r="AI33" s="1864">
        <f>'Malaria-Pharmaceuticals'!$S33+'Malaria-Pharmaceuticals'!$Z33+'Malaria-Pharmaceuticals'!$AG33</f>
        <v>0</v>
      </c>
      <c r="AJ33" s="1863">
        <f>'Malaria-Pharmaceuticals'!$T33+'Malaria-Pharmaceuticals'!$AA33+'Malaria-Pharmaceuticals'!$AH33</f>
        <v>0</v>
      </c>
      <c r="AK33" s="1865" t="str">
        <f>IF(A33&lt;&gt;"",IFERROR(INDEX(PMtbl[[WKst]:[Unit of measure*]],MATCH($A$8&amp;$A33&amp;$E33&amp;$I33,INDEX(PMtbl[Sec]&amp;PMtbl[Category]&amp;PMtbl[INN]&amp;PMtbl[Specification],0,),0),7),""),"")</f>
        <v/>
      </c>
      <c r="AL33" s="957"/>
      <c r="AM33" s="1517" t="str">
        <f>IFERROR(INDEX(SETUP!$C$19:$G$62,MATCH((INDEX(PMtbl[[WKst]:[Unit of measure*]],MATCH($A33&amp;$E33&amp;$I33,INDEX(PMtbl[Category]&amp;PMtbl[INN]&amp;PMtbl[Specification],0,),0),3)),SETUP!$D$19:$D$62,0),5),"")</f>
        <v/>
      </c>
      <c r="AN33" s="1517"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40" hidden="1">
      <c r="A34" s="2957"/>
      <c r="B34" s="2957"/>
      <c r="C34" s="2957"/>
      <c r="D34" s="2958"/>
      <c r="E34" s="2950"/>
      <c r="F34" s="2951"/>
      <c r="G34" s="2951"/>
      <c r="H34" s="2952"/>
      <c r="I34" s="2950"/>
      <c r="J34" s="2951"/>
      <c r="K34" s="2952"/>
      <c r="L34" s="249" t="str">
        <f>IF(A34&lt;&gt;"",IFERROR(INDEX(PMtbl[[WKst]:[Unit of measure*]],MATCH($A$8&amp;$A34&amp;$E34&amp;$I34,INDEX(PMtbl[Sec]&amp;PMtbl[Category]&amp;PMtbl[INN]&amp;PMtbl[Specification],0,),0),8),""),"")</f>
        <v/>
      </c>
      <c r="M34" s="249" t="str">
        <f>IF(L34="", "",SETUP!$E$5)</f>
        <v/>
      </c>
      <c r="N34" s="1968"/>
      <c r="O34" s="808"/>
      <c r="P34" s="808"/>
      <c r="Q34" s="808"/>
      <c r="R34" s="808"/>
      <c r="S34" s="1863">
        <f>SUM('Malaria-Pharmaceuticals'!$O34:$R34)</f>
        <v>0</v>
      </c>
      <c r="T34" s="1863">
        <f>'Malaria-Pharmaceuticals'!$N34*'Malaria-Pharmaceuticals'!$S34</f>
        <v>0</v>
      </c>
      <c r="U34" s="1968"/>
      <c r="V34" s="808"/>
      <c r="W34" s="808"/>
      <c r="X34" s="808"/>
      <c r="Y34" s="808"/>
      <c r="Z34" s="1863">
        <f>SUM('Malaria-Pharmaceuticals'!$V34:$Y34)</f>
        <v>0</v>
      </c>
      <c r="AA34" s="1863">
        <f>'Malaria-Pharmaceuticals'!$U34*'Malaria-Pharmaceuticals'!$Z34</f>
        <v>0</v>
      </c>
      <c r="AB34" s="1968"/>
      <c r="AC34" s="808"/>
      <c r="AD34" s="808"/>
      <c r="AE34" s="808"/>
      <c r="AF34" s="808"/>
      <c r="AG34" s="1863">
        <f>SUM('Malaria-Pharmaceuticals'!$AC34:$AF34)</f>
        <v>0</v>
      </c>
      <c r="AH34" s="1863">
        <f>'Malaria-Pharmaceuticals'!$AB34*'Malaria-Pharmaceuticals'!$AG34</f>
        <v>0</v>
      </c>
      <c r="AI34" s="1864">
        <f>'Malaria-Pharmaceuticals'!$S34+'Malaria-Pharmaceuticals'!$Z34+'Malaria-Pharmaceuticals'!$AG34</f>
        <v>0</v>
      </c>
      <c r="AJ34" s="1863">
        <f>'Malaria-Pharmaceuticals'!$T34+'Malaria-Pharmaceuticals'!$AA34+'Malaria-Pharmaceuticals'!$AH34</f>
        <v>0</v>
      </c>
      <c r="AK34" s="1865" t="str">
        <f>IF(A34&lt;&gt;"",IFERROR(INDEX(PMtbl[[WKst]:[Unit of measure*]],MATCH($A$8&amp;$A34&amp;$E34&amp;$I34,INDEX(PMtbl[Sec]&amp;PMtbl[Category]&amp;PMtbl[INN]&amp;PMtbl[Specification],0,),0),7),""),"")</f>
        <v/>
      </c>
      <c r="AL34" s="956"/>
      <c r="AM34" s="1518" t="str">
        <f>IFERROR(INDEX(SETUP!$C$19:$G$62,MATCH((INDEX(PMtbl[[WKst]:[Unit of measure*]],MATCH($A34&amp;$E34&amp;$I34,INDEX(PMtbl[Category]&amp;PMtbl[INN]&amp;PMtbl[Specification],0,),0),3)),SETUP!$D$19:$D$62,0),5),"")</f>
        <v/>
      </c>
      <c r="AN34" s="1518"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40" hidden="1">
      <c r="A35" s="2955"/>
      <c r="B35" s="2955"/>
      <c r="C35" s="2955"/>
      <c r="D35" s="2956"/>
      <c r="E35" s="2953"/>
      <c r="F35" s="2304"/>
      <c r="G35" s="2304"/>
      <c r="H35" s="2954"/>
      <c r="I35" s="2953"/>
      <c r="J35" s="2304"/>
      <c r="K35" s="2954"/>
      <c r="L35" s="247" t="str">
        <f>IF(A35&lt;&gt;"",IFERROR(INDEX(PMtbl[[WKst]:[Unit of measure*]],MATCH($A$8&amp;$A35&amp;$E35&amp;$I35,INDEX(PMtbl[Sec]&amp;PMtbl[Category]&amp;PMtbl[INN]&amp;PMtbl[Specification],0,),0),8),""),"")</f>
        <v/>
      </c>
      <c r="M35" s="248" t="str">
        <f>IF(L35="", "",SETUP!$E$5)</f>
        <v/>
      </c>
      <c r="N35" s="1968"/>
      <c r="O35" s="808"/>
      <c r="P35" s="808"/>
      <c r="Q35" s="808"/>
      <c r="R35" s="808"/>
      <c r="S35" s="1863">
        <f>SUM('Malaria-Pharmaceuticals'!$O35:$R35)</f>
        <v>0</v>
      </c>
      <c r="T35" s="1863">
        <f>'Malaria-Pharmaceuticals'!$N35*'Malaria-Pharmaceuticals'!$S35</f>
        <v>0</v>
      </c>
      <c r="U35" s="1968"/>
      <c r="V35" s="808"/>
      <c r="W35" s="808"/>
      <c r="X35" s="808"/>
      <c r="Y35" s="808"/>
      <c r="Z35" s="1863">
        <f>SUM('Malaria-Pharmaceuticals'!$V35:$Y35)</f>
        <v>0</v>
      </c>
      <c r="AA35" s="1863">
        <f>'Malaria-Pharmaceuticals'!$U35*'Malaria-Pharmaceuticals'!$Z35</f>
        <v>0</v>
      </c>
      <c r="AB35" s="1968"/>
      <c r="AC35" s="808"/>
      <c r="AD35" s="808"/>
      <c r="AE35" s="808"/>
      <c r="AF35" s="808"/>
      <c r="AG35" s="1863">
        <f>SUM('Malaria-Pharmaceuticals'!$AC35:$AF35)</f>
        <v>0</v>
      </c>
      <c r="AH35" s="1863">
        <f>'Malaria-Pharmaceuticals'!$AB35*'Malaria-Pharmaceuticals'!$AG35</f>
        <v>0</v>
      </c>
      <c r="AI35" s="1864">
        <f>'Malaria-Pharmaceuticals'!$S35+'Malaria-Pharmaceuticals'!$Z35+'Malaria-Pharmaceuticals'!$AG35</f>
        <v>0</v>
      </c>
      <c r="AJ35" s="1863">
        <f>'Malaria-Pharmaceuticals'!$T35+'Malaria-Pharmaceuticals'!$AA35+'Malaria-Pharmaceuticals'!$AH35</f>
        <v>0</v>
      </c>
      <c r="AK35" s="1865" t="str">
        <f>IF(A35&lt;&gt;"",IFERROR(INDEX(PMtbl[[WKst]:[Unit of measure*]],MATCH($A$8&amp;$A35&amp;$E35&amp;$I35,INDEX(PMtbl[Sec]&amp;PMtbl[Category]&amp;PMtbl[INN]&amp;PMtbl[Specification],0,),0),7),""),"")</f>
        <v/>
      </c>
      <c r="AL35" s="957"/>
      <c r="AM35" s="1517" t="str">
        <f>IFERROR(INDEX(SETUP!$C$19:$G$62,MATCH((INDEX(PMtbl[[WKst]:[Unit of measure*]],MATCH($A35&amp;$E35&amp;$I35,INDEX(PMtbl[Category]&amp;PMtbl[INN]&amp;PMtbl[Specification],0,),0),3)),SETUP!$D$19:$D$62,0),5),"")</f>
        <v/>
      </c>
      <c r="AN35" s="1517"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40" hidden="1">
      <c r="A36" s="2957"/>
      <c r="B36" s="2957"/>
      <c r="C36" s="2957"/>
      <c r="D36" s="2958"/>
      <c r="E36" s="2950"/>
      <c r="F36" s="2951"/>
      <c r="G36" s="2951"/>
      <c r="H36" s="2952"/>
      <c r="I36" s="2950"/>
      <c r="J36" s="2951"/>
      <c r="K36" s="2952"/>
      <c r="L36" s="249" t="str">
        <f>IF(A36&lt;&gt;"",IFERROR(INDEX(PMtbl[[WKst]:[Unit of measure*]],MATCH($A$8&amp;$A36&amp;$E36&amp;$I36,INDEX(PMtbl[Sec]&amp;PMtbl[Category]&amp;PMtbl[INN]&amp;PMtbl[Specification],0,),0),8),""),"")</f>
        <v/>
      </c>
      <c r="M36" s="249" t="str">
        <f>IF(L36="", "",SETUP!$E$5)</f>
        <v/>
      </c>
      <c r="N36" s="1968"/>
      <c r="O36" s="808"/>
      <c r="P36" s="808"/>
      <c r="Q36" s="808"/>
      <c r="R36" s="808"/>
      <c r="S36" s="1863">
        <f>SUM('Malaria-Pharmaceuticals'!$O36:$R36)</f>
        <v>0</v>
      </c>
      <c r="T36" s="1863">
        <f>'Malaria-Pharmaceuticals'!$N36*'Malaria-Pharmaceuticals'!$S36</f>
        <v>0</v>
      </c>
      <c r="U36" s="1968"/>
      <c r="V36" s="808"/>
      <c r="W36" s="808"/>
      <c r="X36" s="808"/>
      <c r="Y36" s="808"/>
      <c r="Z36" s="1863">
        <f>SUM('Malaria-Pharmaceuticals'!$V36:$Y36)</f>
        <v>0</v>
      </c>
      <c r="AA36" s="1863">
        <f>'Malaria-Pharmaceuticals'!$U36*'Malaria-Pharmaceuticals'!$Z36</f>
        <v>0</v>
      </c>
      <c r="AB36" s="1968"/>
      <c r="AC36" s="808"/>
      <c r="AD36" s="808"/>
      <c r="AE36" s="808"/>
      <c r="AF36" s="808"/>
      <c r="AG36" s="1863">
        <f>SUM('Malaria-Pharmaceuticals'!$AC36:$AF36)</f>
        <v>0</v>
      </c>
      <c r="AH36" s="1863">
        <f>'Malaria-Pharmaceuticals'!$AB36*'Malaria-Pharmaceuticals'!$AG36</f>
        <v>0</v>
      </c>
      <c r="AI36" s="1864">
        <f>'Malaria-Pharmaceuticals'!$S36+'Malaria-Pharmaceuticals'!$Z36+'Malaria-Pharmaceuticals'!$AG36</f>
        <v>0</v>
      </c>
      <c r="AJ36" s="1863">
        <f>'Malaria-Pharmaceuticals'!$T36+'Malaria-Pharmaceuticals'!$AA36+'Malaria-Pharmaceuticals'!$AH36</f>
        <v>0</v>
      </c>
      <c r="AK36" s="1865" t="str">
        <f>IF(A36&lt;&gt;"",IFERROR(INDEX(PMtbl[[WKst]:[Unit of measure*]],MATCH($A$8&amp;$A36&amp;$E36&amp;$I36,INDEX(PMtbl[Sec]&amp;PMtbl[Category]&amp;PMtbl[INN]&amp;PMtbl[Specification],0,),0),7),""),"")</f>
        <v/>
      </c>
      <c r="AL36" s="956"/>
      <c r="AM36" s="1518" t="str">
        <f>IFERROR(INDEX(SETUP!$C$19:$G$62,MATCH((INDEX(PMtbl[[WKst]:[Unit of measure*]],MATCH($A36&amp;$E36&amp;$I36,INDEX(PMtbl[Category]&amp;PMtbl[INN]&amp;PMtbl[Specification],0,),0),3)),SETUP!$D$19:$D$62,0),5),"")</f>
        <v/>
      </c>
      <c r="AN36" s="1518"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40" hidden="1">
      <c r="A37" s="2955"/>
      <c r="B37" s="2955"/>
      <c r="C37" s="2955"/>
      <c r="D37" s="2956"/>
      <c r="E37" s="2953"/>
      <c r="F37" s="2304"/>
      <c r="G37" s="2304"/>
      <c r="H37" s="2954"/>
      <c r="I37" s="2953"/>
      <c r="J37" s="2304"/>
      <c r="K37" s="2954"/>
      <c r="L37" s="247" t="str">
        <f>IF(A37&lt;&gt;"",IFERROR(INDEX(PMtbl[[WKst]:[Unit of measure*]],MATCH($A$8&amp;$A37&amp;$E37&amp;$I37,INDEX(PMtbl[Sec]&amp;PMtbl[Category]&amp;PMtbl[INN]&amp;PMtbl[Specification],0,),0),8),""),"")</f>
        <v/>
      </c>
      <c r="M37" s="248" t="str">
        <f>IF(L37="", "",SETUP!$E$5)</f>
        <v/>
      </c>
      <c r="N37" s="1968"/>
      <c r="O37" s="808"/>
      <c r="P37" s="808"/>
      <c r="Q37" s="808"/>
      <c r="R37" s="808"/>
      <c r="S37" s="1863">
        <f>SUM('Malaria-Pharmaceuticals'!$O37:$R37)</f>
        <v>0</v>
      </c>
      <c r="T37" s="1863">
        <f>'Malaria-Pharmaceuticals'!$N37*'Malaria-Pharmaceuticals'!$S37</f>
        <v>0</v>
      </c>
      <c r="U37" s="1968"/>
      <c r="V37" s="808"/>
      <c r="W37" s="808"/>
      <c r="X37" s="808"/>
      <c r="Y37" s="808"/>
      <c r="Z37" s="1863">
        <f>SUM('Malaria-Pharmaceuticals'!$V37:$Y37)</f>
        <v>0</v>
      </c>
      <c r="AA37" s="1863">
        <f>'Malaria-Pharmaceuticals'!$U37*'Malaria-Pharmaceuticals'!$Z37</f>
        <v>0</v>
      </c>
      <c r="AB37" s="1968"/>
      <c r="AC37" s="808"/>
      <c r="AD37" s="808"/>
      <c r="AE37" s="808"/>
      <c r="AF37" s="808"/>
      <c r="AG37" s="1863">
        <f>SUM('Malaria-Pharmaceuticals'!$AC37:$AF37)</f>
        <v>0</v>
      </c>
      <c r="AH37" s="1863">
        <f>'Malaria-Pharmaceuticals'!$AB37*'Malaria-Pharmaceuticals'!$AG37</f>
        <v>0</v>
      </c>
      <c r="AI37" s="1864">
        <f>'Malaria-Pharmaceuticals'!$S37+'Malaria-Pharmaceuticals'!$Z37+'Malaria-Pharmaceuticals'!$AG37</f>
        <v>0</v>
      </c>
      <c r="AJ37" s="1863">
        <f>'Malaria-Pharmaceuticals'!$T37+'Malaria-Pharmaceuticals'!$AA37+'Malaria-Pharmaceuticals'!$AH37</f>
        <v>0</v>
      </c>
      <c r="AK37" s="1865" t="str">
        <f>IF(A37&lt;&gt;"",IFERROR(INDEX(PMtbl[[WKst]:[Unit of measure*]],MATCH($A$8&amp;$A37&amp;$E37&amp;$I37,INDEX(PMtbl[Sec]&amp;PMtbl[Category]&amp;PMtbl[INN]&amp;PMtbl[Specification],0,),0),7),""),"")</f>
        <v/>
      </c>
      <c r="AL37" s="957"/>
      <c r="AM37" s="1517" t="str">
        <f>IFERROR(INDEX(SETUP!$C$19:$G$62,MATCH((INDEX(PMtbl[[WKst]:[Unit of measure*]],MATCH($A37&amp;$E37&amp;$I37,INDEX(PMtbl[Category]&amp;PMtbl[INN]&amp;PMtbl[Specification],0,),0),3)),SETUP!$D$19:$D$62,0),5),"")</f>
        <v/>
      </c>
      <c r="AN37" s="1517"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40" hidden="1">
      <c r="A38" s="2957"/>
      <c r="B38" s="2957"/>
      <c r="C38" s="2957"/>
      <c r="D38" s="2958"/>
      <c r="E38" s="2950"/>
      <c r="F38" s="2951"/>
      <c r="G38" s="2951"/>
      <c r="H38" s="2952"/>
      <c r="I38" s="2950"/>
      <c r="J38" s="2951"/>
      <c r="K38" s="2952"/>
      <c r="L38" s="249" t="str">
        <f>IF(A38&lt;&gt;"",IFERROR(INDEX(PMtbl[[WKst]:[Unit of measure*]],MATCH($A$8&amp;$A38&amp;$E38&amp;$I38,INDEX(PMtbl[Sec]&amp;PMtbl[Category]&amp;PMtbl[INN]&amp;PMtbl[Specification],0,),0),8),""),"")</f>
        <v/>
      </c>
      <c r="M38" s="249" t="str">
        <f>IF(L38="", "",SETUP!$E$5)</f>
        <v/>
      </c>
      <c r="N38" s="1968"/>
      <c r="O38" s="808"/>
      <c r="P38" s="808"/>
      <c r="Q38" s="808"/>
      <c r="R38" s="808"/>
      <c r="S38" s="1863">
        <f>SUM('Malaria-Pharmaceuticals'!$O38:$R38)</f>
        <v>0</v>
      </c>
      <c r="T38" s="1863">
        <f>'Malaria-Pharmaceuticals'!$N38*'Malaria-Pharmaceuticals'!$S38</f>
        <v>0</v>
      </c>
      <c r="U38" s="1968"/>
      <c r="V38" s="808"/>
      <c r="W38" s="808"/>
      <c r="X38" s="808"/>
      <c r="Y38" s="808"/>
      <c r="Z38" s="1863">
        <f>SUM('Malaria-Pharmaceuticals'!$V38:$Y38)</f>
        <v>0</v>
      </c>
      <c r="AA38" s="1863">
        <f>'Malaria-Pharmaceuticals'!$U38*'Malaria-Pharmaceuticals'!$Z38</f>
        <v>0</v>
      </c>
      <c r="AB38" s="1968"/>
      <c r="AC38" s="808"/>
      <c r="AD38" s="808"/>
      <c r="AE38" s="808"/>
      <c r="AF38" s="808"/>
      <c r="AG38" s="1863">
        <f>SUM('Malaria-Pharmaceuticals'!$AC38:$AF38)</f>
        <v>0</v>
      </c>
      <c r="AH38" s="1863">
        <f>'Malaria-Pharmaceuticals'!$AB38*'Malaria-Pharmaceuticals'!$AG38</f>
        <v>0</v>
      </c>
      <c r="AI38" s="1864">
        <f>'Malaria-Pharmaceuticals'!$S38+'Malaria-Pharmaceuticals'!$Z38+'Malaria-Pharmaceuticals'!$AG38</f>
        <v>0</v>
      </c>
      <c r="AJ38" s="1863">
        <f>'Malaria-Pharmaceuticals'!$T38+'Malaria-Pharmaceuticals'!$AA38+'Malaria-Pharmaceuticals'!$AH38</f>
        <v>0</v>
      </c>
      <c r="AK38" s="1865" t="str">
        <f>IF(A38&lt;&gt;"",IFERROR(INDEX(PMtbl[[WKst]:[Unit of measure*]],MATCH($A$8&amp;$A38&amp;$E38&amp;$I38,INDEX(PMtbl[Sec]&amp;PMtbl[Category]&amp;PMtbl[INN]&amp;PMtbl[Specification],0,),0),7),""),"")</f>
        <v/>
      </c>
      <c r="AL38" s="956"/>
      <c r="AM38" s="1518" t="str">
        <f>IFERROR(INDEX(SETUP!$C$19:$G$62,MATCH((INDEX(PMtbl[[WKst]:[Unit of measure*]],MATCH($A38&amp;$E38&amp;$I38,INDEX(PMtbl[Category]&amp;PMtbl[INN]&amp;PMtbl[Specification],0,),0),3)),SETUP!$D$19:$D$62,0),5),"")</f>
        <v/>
      </c>
      <c r="AN38" s="1518"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row>
    <row r="39" spans="1:40" hidden="1">
      <c r="A39" s="2955"/>
      <c r="B39" s="2955"/>
      <c r="C39" s="2955"/>
      <c r="D39" s="2956"/>
      <c r="E39" s="2953"/>
      <c r="F39" s="2304"/>
      <c r="G39" s="2304"/>
      <c r="H39" s="2954"/>
      <c r="I39" s="2953"/>
      <c r="J39" s="2304"/>
      <c r="K39" s="2954"/>
      <c r="L39" s="247" t="str">
        <f>IF(A39&lt;&gt;"",IFERROR(INDEX(PMtbl[[WKst]:[Unit of measure*]],MATCH($A$8&amp;$A39&amp;$E39&amp;$I39,INDEX(PMtbl[Sec]&amp;PMtbl[Category]&amp;PMtbl[INN]&amp;PMtbl[Specification],0,),0),8),""),"")</f>
        <v/>
      </c>
      <c r="M39" s="248" t="str">
        <f>IF(L39="", "",SETUP!$E$5)</f>
        <v/>
      </c>
      <c r="N39" s="1968"/>
      <c r="O39" s="808"/>
      <c r="P39" s="808"/>
      <c r="Q39" s="808"/>
      <c r="R39" s="808"/>
      <c r="S39" s="1863">
        <f>SUM('Malaria-Pharmaceuticals'!$O39:$R39)</f>
        <v>0</v>
      </c>
      <c r="T39" s="1863">
        <f>'Malaria-Pharmaceuticals'!$N39*'Malaria-Pharmaceuticals'!$S39</f>
        <v>0</v>
      </c>
      <c r="U39" s="1968"/>
      <c r="V39" s="808"/>
      <c r="W39" s="808"/>
      <c r="X39" s="808"/>
      <c r="Y39" s="808"/>
      <c r="Z39" s="1863">
        <f>SUM('Malaria-Pharmaceuticals'!$V39:$Y39)</f>
        <v>0</v>
      </c>
      <c r="AA39" s="1863">
        <f>'Malaria-Pharmaceuticals'!$U39*'Malaria-Pharmaceuticals'!$Z39</f>
        <v>0</v>
      </c>
      <c r="AB39" s="1968"/>
      <c r="AC39" s="808"/>
      <c r="AD39" s="808"/>
      <c r="AE39" s="808"/>
      <c r="AF39" s="808"/>
      <c r="AG39" s="1863">
        <f>SUM('Malaria-Pharmaceuticals'!$AC39:$AF39)</f>
        <v>0</v>
      </c>
      <c r="AH39" s="1863">
        <f>'Malaria-Pharmaceuticals'!$AB39*'Malaria-Pharmaceuticals'!$AG39</f>
        <v>0</v>
      </c>
      <c r="AI39" s="1864">
        <f>'Malaria-Pharmaceuticals'!$S39+'Malaria-Pharmaceuticals'!$Z39+'Malaria-Pharmaceuticals'!$AG39</f>
        <v>0</v>
      </c>
      <c r="AJ39" s="1863">
        <f>'Malaria-Pharmaceuticals'!$T39+'Malaria-Pharmaceuticals'!$AA39+'Malaria-Pharmaceuticals'!$AH39</f>
        <v>0</v>
      </c>
      <c r="AK39" s="1865" t="str">
        <f>IF(A39&lt;&gt;"",IFERROR(INDEX(PMtbl[[WKst]:[Unit of measure*]],MATCH($A$8&amp;$A39&amp;$E39&amp;$I39,INDEX(PMtbl[Sec]&amp;PMtbl[Category]&amp;PMtbl[INN]&amp;PMtbl[Specification],0,),0),7),""),"")</f>
        <v/>
      </c>
      <c r="AL39" s="957"/>
      <c r="AM39" s="1517" t="str">
        <f>IFERROR(INDEX(SETUP!$C$19:$G$62,MATCH((INDEX(PMtbl[[WKst]:[Unit of measure*]],MATCH($A39&amp;$E39&amp;$I39,INDEX(PMtbl[Category]&amp;PMtbl[INN]&amp;PMtbl[Specification],0,),0),3)),SETUP!$D$19:$D$62,0),5),"")</f>
        <v/>
      </c>
      <c r="AN39" s="1517"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row>
    <row r="40" spans="1:40" hidden="1">
      <c r="A40" s="2957"/>
      <c r="B40" s="2957"/>
      <c r="C40" s="2957"/>
      <c r="D40" s="2958"/>
      <c r="E40" s="2950"/>
      <c r="F40" s="2951"/>
      <c r="G40" s="2951"/>
      <c r="H40" s="2952"/>
      <c r="I40" s="2950"/>
      <c r="J40" s="2951"/>
      <c r="K40" s="2952"/>
      <c r="L40" s="249" t="str">
        <f>IF(A40&lt;&gt;"",IFERROR(INDEX(PMtbl[[WKst]:[Unit of measure*]],MATCH($A$8&amp;$A40&amp;$E40&amp;$I40,INDEX(PMtbl[Sec]&amp;PMtbl[Category]&amp;PMtbl[INN]&amp;PMtbl[Specification],0,),0),8),""),"")</f>
        <v/>
      </c>
      <c r="M40" s="249" t="str">
        <f>IF(L40="", "",SETUP!$E$5)</f>
        <v/>
      </c>
      <c r="N40" s="1968"/>
      <c r="O40" s="808"/>
      <c r="P40" s="808"/>
      <c r="Q40" s="808"/>
      <c r="R40" s="808"/>
      <c r="S40" s="1863">
        <f>SUM('Malaria-Pharmaceuticals'!$O40:$R40)</f>
        <v>0</v>
      </c>
      <c r="T40" s="1863">
        <f>'Malaria-Pharmaceuticals'!$N40*'Malaria-Pharmaceuticals'!$S40</f>
        <v>0</v>
      </c>
      <c r="U40" s="1968"/>
      <c r="V40" s="808"/>
      <c r="W40" s="808"/>
      <c r="X40" s="808"/>
      <c r="Y40" s="808"/>
      <c r="Z40" s="1863">
        <f>SUM('Malaria-Pharmaceuticals'!$V40:$Y40)</f>
        <v>0</v>
      </c>
      <c r="AA40" s="1863">
        <f>'Malaria-Pharmaceuticals'!$U40*'Malaria-Pharmaceuticals'!$Z40</f>
        <v>0</v>
      </c>
      <c r="AB40" s="1968"/>
      <c r="AC40" s="808"/>
      <c r="AD40" s="808"/>
      <c r="AE40" s="808"/>
      <c r="AF40" s="808"/>
      <c r="AG40" s="1863">
        <f>SUM('Malaria-Pharmaceuticals'!$AC40:$AF40)</f>
        <v>0</v>
      </c>
      <c r="AH40" s="1863">
        <f>'Malaria-Pharmaceuticals'!$AB40*'Malaria-Pharmaceuticals'!$AG40</f>
        <v>0</v>
      </c>
      <c r="AI40" s="1864">
        <f>'Malaria-Pharmaceuticals'!$S40+'Malaria-Pharmaceuticals'!$Z40+'Malaria-Pharmaceuticals'!$AG40</f>
        <v>0</v>
      </c>
      <c r="AJ40" s="1863">
        <f>'Malaria-Pharmaceuticals'!$T40+'Malaria-Pharmaceuticals'!$AA40+'Malaria-Pharmaceuticals'!$AH40</f>
        <v>0</v>
      </c>
      <c r="AK40" s="1865" t="str">
        <f>IF(A40&lt;&gt;"",IFERROR(INDEX(PMtbl[[WKst]:[Unit of measure*]],MATCH($A$8&amp;$A40&amp;$E40&amp;$I40,INDEX(PMtbl[Sec]&amp;PMtbl[Category]&amp;PMtbl[INN]&amp;PMtbl[Specification],0,),0),7),""),"")</f>
        <v/>
      </c>
      <c r="AL40" s="956"/>
      <c r="AM40" s="1518" t="str">
        <f>IFERROR(INDEX(SETUP!$C$19:$G$62,MATCH((INDEX(PMtbl[[WKst]:[Unit of measure*]],MATCH($A40&amp;$E40&amp;$I40,INDEX(PMtbl[Category]&amp;PMtbl[INN]&amp;PMtbl[Specification],0,),0),3)),SETUP!$D$19:$D$62,0),5),"")</f>
        <v/>
      </c>
      <c r="AN40" s="1518"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row>
    <row r="41" spans="1:40" hidden="1">
      <c r="A41" s="2955"/>
      <c r="B41" s="2955"/>
      <c r="C41" s="2955"/>
      <c r="D41" s="2956"/>
      <c r="E41" s="2953"/>
      <c r="F41" s="2304"/>
      <c r="G41" s="2304"/>
      <c r="H41" s="2954"/>
      <c r="I41" s="2953"/>
      <c r="J41" s="2304"/>
      <c r="K41" s="2954"/>
      <c r="L41" s="247" t="str">
        <f>IF(A41&lt;&gt;"",IFERROR(INDEX(PMtbl[[WKst]:[Unit of measure*]],MATCH($A$8&amp;$A41&amp;$E41&amp;$I41,INDEX(PMtbl[Sec]&amp;PMtbl[Category]&amp;PMtbl[INN]&amp;PMtbl[Specification],0,),0),8),""),"")</f>
        <v/>
      </c>
      <c r="M41" s="248" t="str">
        <f>IF(L41="", "",SETUP!$E$5)</f>
        <v/>
      </c>
      <c r="N41" s="1968"/>
      <c r="O41" s="808"/>
      <c r="P41" s="808"/>
      <c r="Q41" s="808"/>
      <c r="R41" s="808"/>
      <c r="S41" s="1863">
        <f>SUM('Malaria-Pharmaceuticals'!$O41:$R41)</f>
        <v>0</v>
      </c>
      <c r="T41" s="1863">
        <f>'Malaria-Pharmaceuticals'!$N41*'Malaria-Pharmaceuticals'!$S41</f>
        <v>0</v>
      </c>
      <c r="U41" s="1968"/>
      <c r="V41" s="808"/>
      <c r="W41" s="808"/>
      <c r="X41" s="808"/>
      <c r="Y41" s="808"/>
      <c r="Z41" s="1863">
        <f>SUM('Malaria-Pharmaceuticals'!$V41:$Y41)</f>
        <v>0</v>
      </c>
      <c r="AA41" s="1863">
        <f>'Malaria-Pharmaceuticals'!$U41*'Malaria-Pharmaceuticals'!$Z41</f>
        <v>0</v>
      </c>
      <c r="AB41" s="1968"/>
      <c r="AC41" s="808"/>
      <c r="AD41" s="808"/>
      <c r="AE41" s="808"/>
      <c r="AF41" s="808"/>
      <c r="AG41" s="1863">
        <f>SUM('Malaria-Pharmaceuticals'!$AC41:$AF41)</f>
        <v>0</v>
      </c>
      <c r="AH41" s="1863">
        <f>'Malaria-Pharmaceuticals'!$AB41*'Malaria-Pharmaceuticals'!$AG41</f>
        <v>0</v>
      </c>
      <c r="AI41" s="1864">
        <f>'Malaria-Pharmaceuticals'!$S41+'Malaria-Pharmaceuticals'!$Z41+'Malaria-Pharmaceuticals'!$AG41</f>
        <v>0</v>
      </c>
      <c r="AJ41" s="1863">
        <f>'Malaria-Pharmaceuticals'!$T41+'Malaria-Pharmaceuticals'!$AA41+'Malaria-Pharmaceuticals'!$AH41</f>
        <v>0</v>
      </c>
      <c r="AK41" s="1865" t="str">
        <f>IF(A41&lt;&gt;"",IFERROR(INDEX(PMtbl[[WKst]:[Unit of measure*]],MATCH($A$8&amp;$A41&amp;$E41&amp;$I41,INDEX(PMtbl[Sec]&amp;PMtbl[Category]&amp;PMtbl[INN]&amp;PMtbl[Specification],0,),0),7),""),"")</f>
        <v/>
      </c>
      <c r="AL41" s="957"/>
      <c r="AM41" s="1517" t="str">
        <f>IFERROR(INDEX(SETUP!$C$19:$G$62,MATCH((INDEX(PMtbl[[WKst]:[Unit of measure*]],MATCH($A41&amp;$E41&amp;$I41,INDEX(PMtbl[Category]&amp;PMtbl[INN]&amp;PMtbl[Specification],0,),0),3)),SETUP!$D$19:$D$62,0),5),"")</f>
        <v/>
      </c>
      <c r="AN41" s="1517"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row>
    <row r="42" spans="1:40" hidden="1">
      <c r="A42" s="2957"/>
      <c r="B42" s="2957"/>
      <c r="C42" s="2957"/>
      <c r="D42" s="2958"/>
      <c r="E42" s="2950"/>
      <c r="F42" s="2951"/>
      <c r="G42" s="2951"/>
      <c r="H42" s="2952"/>
      <c r="I42" s="2950"/>
      <c r="J42" s="2951"/>
      <c r="K42" s="2952"/>
      <c r="L42" s="249" t="str">
        <f>IF(A42&lt;&gt;"",IFERROR(INDEX(PMtbl[[WKst]:[Unit of measure*]],MATCH($A$8&amp;$A42&amp;$E42&amp;$I42,INDEX(PMtbl[Sec]&amp;PMtbl[Category]&amp;PMtbl[INN]&amp;PMtbl[Specification],0,),0),8),""),"")</f>
        <v/>
      </c>
      <c r="M42" s="249" t="str">
        <f>IF(L42="", "",SETUP!$E$5)</f>
        <v/>
      </c>
      <c r="N42" s="1968"/>
      <c r="O42" s="808"/>
      <c r="P42" s="808"/>
      <c r="Q42" s="808"/>
      <c r="R42" s="808"/>
      <c r="S42" s="1863">
        <f>SUM('Malaria-Pharmaceuticals'!$O42:$R42)</f>
        <v>0</v>
      </c>
      <c r="T42" s="1863">
        <f>'Malaria-Pharmaceuticals'!$N42*'Malaria-Pharmaceuticals'!$S42</f>
        <v>0</v>
      </c>
      <c r="U42" s="1968"/>
      <c r="V42" s="808"/>
      <c r="W42" s="808"/>
      <c r="X42" s="808"/>
      <c r="Y42" s="808"/>
      <c r="Z42" s="1863">
        <f>SUM('Malaria-Pharmaceuticals'!$V42:$Y42)</f>
        <v>0</v>
      </c>
      <c r="AA42" s="1863">
        <f>'Malaria-Pharmaceuticals'!$U42*'Malaria-Pharmaceuticals'!$Z42</f>
        <v>0</v>
      </c>
      <c r="AB42" s="1968"/>
      <c r="AC42" s="808"/>
      <c r="AD42" s="808"/>
      <c r="AE42" s="808"/>
      <c r="AF42" s="808"/>
      <c r="AG42" s="1863">
        <f>SUM('Malaria-Pharmaceuticals'!$AC42:$AF42)</f>
        <v>0</v>
      </c>
      <c r="AH42" s="1863">
        <f>'Malaria-Pharmaceuticals'!$AB42*'Malaria-Pharmaceuticals'!$AG42</f>
        <v>0</v>
      </c>
      <c r="AI42" s="1864">
        <f>'Malaria-Pharmaceuticals'!$S42+'Malaria-Pharmaceuticals'!$Z42+'Malaria-Pharmaceuticals'!$AG42</f>
        <v>0</v>
      </c>
      <c r="AJ42" s="1863">
        <f>'Malaria-Pharmaceuticals'!$T42+'Malaria-Pharmaceuticals'!$AA42+'Malaria-Pharmaceuticals'!$AH42</f>
        <v>0</v>
      </c>
      <c r="AK42" s="1865" t="str">
        <f>IF(A42&lt;&gt;"",IFERROR(INDEX(PMtbl[[WKst]:[Unit of measure*]],MATCH($A$8&amp;$A42&amp;$E42&amp;$I42,INDEX(PMtbl[Sec]&amp;PMtbl[Category]&amp;PMtbl[INN]&amp;PMtbl[Specification],0,),0),7),""),"")</f>
        <v/>
      </c>
      <c r="AL42" s="956"/>
      <c r="AM42" s="1518" t="str">
        <f>IFERROR(INDEX(SETUP!$C$19:$G$62,MATCH((INDEX(PMtbl[[WKst]:[Unit of measure*]],MATCH($A42&amp;$E42&amp;$I42,INDEX(PMtbl[Category]&amp;PMtbl[INN]&amp;PMtbl[Specification],0,),0),3)),SETUP!$D$19:$D$62,0),5),"")</f>
        <v/>
      </c>
      <c r="AN42" s="1518"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row>
    <row r="43" spans="1:40" hidden="1">
      <c r="A43" s="2955"/>
      <c r="B43" s="2955"/>
      <c r="C43" s="2955"/>
      <c r="D43" s="2956"/>
      <c r="E43" s="2953"/>
      <c r="F43" s="2304"/>
      <c r="G43" s="2304"/>
      <c r="H43" s="2954"/>
      <c r="I43" s="2953"/>
      <c r="J43" s="2304"/>
      <c r="K43" s="2954"/>
      <c r="L43" s="247" t="str">
        <f>IF(A43&lt;&gt;"",IFERROR(INDEX(PMtbl[[WKst]:[Unit of measure*]],MATCH($A$8&amp;$A43&amp;$E43&amp;$I43,INDEX(PMtbl[Sec]&amp;PMtbl[Category]&amp;PMtbl[INN]&amp;PMtbl[Specification],0,),0),8),""),"")</f>
        <v/>
      </c>
      <c r="M43" s="248" t="str">
        <f>IF(L43="", "",SETUP!$E$5)</f>
        <v/>
      </c>
      <c r="N43" s="1968"/>
      <c r="O43" s="808"/>
      <c r="P43" s="808"/>
      <c r="Q43" s="808"/>
      <c r="R43" s="808"/>
      <c r="S43" s="1863">
        <f>SUM('Malaria-Pharmaceuticals'!$O43:$R43)</f>
        <v>0</v>
      </c>
      <c r="T43" s="1863">
        <f>'Malaria-Pharmaceuticals'!$N43*'Malaria-Pharmaceuticals'!$S43</f>
        <v>0</v>
      </c>
      <c r="U43" s="1968"/>
      <c r="V43" s="808"/>
      <c r="W43" s="808"/>
      <c r="X43" s="808"/>
      <c r="Y43" s="808"/>
      <c r="Z43" s="1863">
        <f>SUM('Malaria-Pharmaceuticals'!$V43:$Y43)</f>
        <v>0</v>
      </c>
      <c r="AA43" s="1863">
        <f>'Malaria-Pharmaceuticals'!$U43*'Malaria-Pharmaceuticals'!$Z43</f>
        <v>0</v>
      </c>
      <c r="AB43" s="1968"/>
      <c r="AC43" s="808"/>
      <c r="AD43" s="808"/>
      <c r="AE43" s="808"/>
      <c r="AF43" s="808"/>
      <c r="AG43" s="1863">
        <f>SUM('Malaria-Pharmaceuticals'!$AC43:$AF43)</f>
        <v>0</v>
      </c>
      <c r="AH43" s="1863">
        <f>'Malaria-Pharmaceuticals'!$AB43*'Malaria-Pharmaceuticals'!$AG43</f>
        <v>0</v>
      </c>
      <c r="AI43" s="1864">
        <f>'Malaria-Pharmaceuticals'!$S43+'Malaria-Pharmaceuticals'!$Z43+'Malaria-Pharmaceuticals'!$AG43</f>
        <v>0</v>
      </c>
      <c r="AJ43" s="1863">
        <f>'Malaria-Pharmaceuticals'!$T43+'Malaria-Pharmaceuticals'!$AA43+'Malaria-Pharmaceuticals'!$AH43</f>
        <v>0</v>
      </c>
      <c r="AK43" s="1865" t="str">
        <f>IF(A43&lt;&gt;"",IFERROR(INDEX(PMtbl[[WKst]:[Unit of measure*]],MATCH($A$8&amp;$A43&amp;$E43&amp;$I43,INDEX(PMtbl[Sec]&amp;PMtbl[Category]&amp;PMtbl[INN]&amp;PMtbl[Specification],0,),0),7),""),"")</f>
        <v/>
      </c>
      <c r="AL43" s="957"/>
      <c r="AM43" s="1517" t="str">
        <f>IFERROR(INDEX(SETUP!$C$19:$G$62,MATCH((INDEX(PMtbl[[WKst]:[Unit of measure*]],MATCH($A43&amp;$E43&amp;$I43,INDEX(PMtbl[Category]&amp;PMtbl[INN]&amp;PMtbl[Specification],0,),0),3)),SETUP!$D$19:$D$62,0),5),"")</f>
        <v/>
      </c>
      <c r="AN43" s="1517"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row>
    <row r="44" spans="1:40" hidden="1">
      <c r="A44" s="2957"/>
      <c r="B44" s="2957"/>
      <c r="C44" s="2957"/>
      <c r="D44" s="2958"/>
      <c r="E44" s="2950"/>
      <c r="F44" s="2951"/>
      <c r="G44" s="2951"/>
      <c r="H44" s="2952"/>
      <c r="I44" s="2950"/>
      <c r="J44" s="2951"/>
      <c r="K44" s="2952"/>
      <c r="L44" s="249" t="str">
        <f>IF(A44&lt;&gt;"",IFERROR(INDEX(PMtbl[[WKst]:[Unit of measure*]],MATCH($A$8&amp;$A44&amp;$E44&amp;$I44,INDEX(PMtbl[Sec]&amp;PMtbl[Category]&amp;PMtbl[INN]&amp;PMtbl[Specification],0,),0),8),""),"")</f>
        <v/>
      </c>
      <c r="M44" s="249" t="str">
        <f>IF(L44="", "",SETUP!$E$5)</f>
        <v/>
      </c>
      <c r="N44" s="1968"/>
      <c r="O44" s="808"/>
      <c r="P44" s="808"/>
      <c r="Q44" s="808"/>
      <c r="R44" s="808"/>
      <c r="S44" s="1863">
        <f>SUM('Malaria-Pharmaceuticals'!$O44:$R44)</f>
        <v>0</v>
      </c>
      <c r="T44" s="1863">
        <f>'Malaria-Pharmaceuticals'!$N44*'Malaria-Pharmaceuticals'!$S44</f>
        <v>0</v>
      </c>
      <c r="U44" s="1968"/>
      <c r="V44" s="808"/>
      <c r="W44" s="808"/>
      <c r="X44" s="808"/>
      <c r="Y44" s="808"/>
      <c r="Z44" s="1863">
        <f>SUM('Malaria-Pharmaceuticals'!$V44:$Y44)</f>
        <v>0</v>
      </c>
      <c r="AA44" s="1863">
        <f>'Malaria-Pharmaceuticals'!$U44*'Malaria-Pharmaceuticals'!$Z44</f>
        <v>0</v>
      </c>
      <c r="AB44" s="1968"/>
      <c r="AC44" s="808"/>
      <c r="AD44" s="808"/>
      <c r="AE44" s="808"/>
      <c r="AF44" s="808"/>
      <c r="AG44" s="1863">
        <f>SUM('Malaria-Pharmaceuticals'!$AC44:$AF44)</f>
        <v>0</v>
      </c>
      <c r="AH44" s="1863">
        <f>'Malaria-Pharmaceuticals'!$AB44*'Malaria-Pharmaceuticals'!$AG44</f>
        <v>0</v>
      </c>
      <c r="AI44" s="1864">
        <f>'Malaria-Pharmaceuticals'!$S44+'Malaria-Pharmaceuticals'!$Z44+'Malaria-Pharmaceuticals'!$AG44</f>
        <v>0</v>
      </c>
      <c r="AJ44" s="1863">
        <f>'Malaria-Pharmaceuticals'!$T44+'Malaria-Pharmaceuticals'!$AA44+'Malaria-Pharmaceuticals'!$AH44</f>
        <v>0</v>
      </c>
      <c r="AK44" s="1865" t="str">
        <f>IF(A44&lt;&gt;"",IFERROR(INDEX(PMtbl[[WKst]:[Unit of measure*]],MATCH($A$8&amp;$A44&amp;$E44&amp;$I44,INDEX(PMtbl[Sec]&amp;PMtbl[Category]&amp;PMtbl[INN]&amp;PMtbl[Specification],0,),0),7),""),"")</f>
        <v/>
      </c>
      <c r="AL44" s="956"/>
      <c r="AM44" s="1518" t="str">
        <f>IFERROR(INDEX(SETUP!$C$19:$G$62,MATCH((INDEX(PMtbl[[WKst]:[Unit of measure*]],MATCH($A44&amp;$E44&amp;$I44,INDEX(PMtbl[Category]&amp;PMtbl[INN]&amp;PMtbl[Specification],0,),0),3)),SETUP!$D$19:$D$62,0),5),"")</f>
        <v/>
      </c>
      <c r="AN44" s="1518"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row>
    <row r="45" spans="1:40" hidden="1">
      <c r="A45" s="2955"/>
      <c r="B45" s="2955"/>
      <c r="C45" s="2955"/>
      <c r="D45" s="2956"/>
      <c r="E45" s="2953"/>
      <c r="F45" s="2304"/>
      <c r="G45" s="2304"/>
      <c r="H45" s="2954"/>
      <c r="I45" s="2953"/>
      <c r="J45" s="2304"/>
      <c r="K45" s="2954"/>
      <c r="L45" s="247" t="str">
        <f>IF(A45&lt;&gt;"",IFERROR(INDEX(PMtbl[[WKst]:[Unit of measure*]],MATCH($A$8&amp;$A45&amp;$E45&amp;$I45,INDEX(PMtbl[Sec]&amp;PMtbl[Category]&amp;PMtbl[INN]&amp;PMtbl[Specification],0,),0),8),""),"")</f>
        <v/>
      </c>
      <c r="M45" s="248" t="str">
        <f>IF(L45="", "",SETUP!$E$5)</f>
        <v/>
      </c>
      <c r="N45" s="1968"/>
      <c r="O45" s="808"/>
      <c r="P45" s="808"/>
      <c r="Q45" s="808"/>
      <c r="R45" s="808"/>
      <c r="S45" s="1863">
        <f>SUM('Malaria-Pharmaceuticals'!$O45:$R45)</f>
        <v>0</v>
      </c>
      <c r="T45" s="1863">
        <f>'Malaria-Pharmaceuticals'!$N45*'Malaria-Pharmaceuticals'!$S45</f>
        <v>0</v>
      </c>
      <c r="U45" s="1968"/>
      <c r="V45" s="808"/>
      <c r="W45" s="808"/>
      <c r="X45" s="808"/>
      <c r="Y45" s="808"/>
      <c r="Z45" s="1863">
        <f>SUM('Malaria-Pharmaceuticals'!$V45:$Y45)</f>
        <v>0</v>
      </c>
      <c r="AA45" s="1863">
        <f>'Malaria-Pharmaceuticals'!$U45*'Malaria-Pharmaceuticals'!$Z45</f>
        <v>0</v>
      </c>
      <c r="AB45" s="1968"/>
      <c r="AC45" s="808"/>
      <c r="AD45" s="808"/>
      <c r="AE45" s="808"/>
      <c r="AF45" s="808"/>
      <c r="AG45" s="1863">
        <f>SUM('Malaria-Pharmaceuticals'!$AC45:$AF45)</f>
        <v>0</v>
      </c>
      <c r="AH45" s="1863">
        <f>'Malaria-Pharmaceuticals'!$AB45*'Malaria-Pharmaceuticals'!$AG45</f>
        <v>0</v>
      </c>
      <c r="AI45" s="1864">
        <f>'Malaria-Pharmaceuticals'!$S45+'Malaria-Pharmaceuticals'!$Z45+'Malaria-Pharmaceuticals'!$AG45</f>
        <v>0</v>
      </c>
      <c r="AJ45" s="1863">
        <f>'Malaria-Pharmaceuticals'!$T45+'Malaria-Pharmaceuticals'!$AA45+'Malaria-Pharmaceuticals'!$AH45</f>
        <v>0</v>
      </c>
      <c r="AK45" s="1865" t="str">
        <f>IF(A45&lt;&gt;"",IFERROR(INDEX(PMtbl[[WKst]:[Unit of measure*]],MATCH($A$8&amp;$A45&amp;$E45&amp;$I45,INDEX(PMtbl[Sec]&amp;PMtbl[Category]&amp;PMtbl[INN]&amp;PMtbl[Specification],0,),0),7),""),"")</f>
        <v/>
      </c>
      <c r="AL45" s="957"/>
      <c r="AM45" s="1517" t="str">
        <f>IFERROR(INDEX(SETUP!$C$19:$G$62,MATCH((INDEX(PMtbl[[WKst]:[Unit of measure*]],MATCH($A45&amp;$E45&amp;$I45,INDEX(PMtbl[Category]&amp;PMtbl[INN]&amp;PMtbl[Specification],0,),0),3)),SETUP!$D$19:$D$62,0),5),"")</f>
        <v/>
      </c>
      <c r="AN45" s="1517"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40" hidden="1">
      <c r="A46" s="2957"/>
      <c r="B46" s="2957"/>
      <c r="C46" s="2957"/>
      <c r="D46" s="2958"/>
      <c r="E46" s="2950"/>
      <c r="F46" s="2951"/>
      <c r="G46" s="2951"/>
      <c r="H46" s="2952"/>
      <c r="I46" s="2950"/>
      <c r="J46" s="2951"/>
      <c r="K46" s="2952"/>
      <c r="L46" s="249" t="str">
        <f>IF(A46&lt;&gt;"",IFERROR(INDEX(PMtbl[[WKst]:[Unit of measure*]],MATCH($A$8&amp;$A46&amp;$E46&amp;$I46,INDEX(PMtbl[Sec]&amp;PMtbl[Category]&amp;PMtbl[INN]&amp;PMtbl[Specification],0,),0),8),""),"")</f>
        <v/>
      </c>
      <c r="M46" s="249" t="str">
        <f>IF(L46="", "",SETUP!$E$5)</f>
        <v/>
      </c>
      <c r="N46" s="1968"/>
      <c r="O46" s="808"/>
      <c r="P46" s="808"/>
      <c r="Q46" s="808"/>
      <c r="R46" s="808"/>
      <c r="S46" s="1863">
        <f>SUM('Malaria-Pharmaceuticals'!$O46:$R46)</f>
        <v>0</v>
      </c>
      <c r="T46" s="1863">
        <f>'Malaria-Pharmaceuticals'!$N46*'Malaria-Pharmaceuticals'!$S46</f>
        <v>0</v>
      </c>
      <c r="U46" s="1968"/>
      <c r="V46" s="808"/>
      <c r="W46" s="808"/>
      <c r="X46" s="808"/>
      <c r="Y46" s="808"/>
      <c r="Z46" s="1863">
        <f>SUM('Malaria-Pharmaceuticals'!$V46:$Y46)</f>
        <v>0</v>
      </c>
      <c r="AA46" s="1863">
        <f>'Malaria-Pharmaceuticals'!$U46*'Malaria-Pharmaceuticals'!$Z46</f>
        <v>0</v>
      </c>
      <c r="AB46" s="1968"/>
      <c r="AC46" s="808"/>
      <c r="AD46" s="808"/>
      <c r="AE46" s="808"/>
      <c r="AF46" s="808"/>
      <c r="AG46" s="1863">
        <f>SUM('Malaria-Pharmaceuticals'!$AC46:$AF46)</f>
        <v>0</v>
      </c>
      <c r="AH46" s="1863">
        <f>'Malaria-Pharmaceuticals'!$AB46*'Malaria-Pharmaceuticals'!$AG46</f>
        <v>0</v>
      </c>
      <c r="AI46" s="1864">
        <f>'Malaria-Pharmaceuticals'!$S46+'Malaria-Pharmaceuticals'!$Z46+'Malaria-Pharmaceuticals'!$AG46</f>
        <v>0</v>
      </c>
      <c r="AJ46" s="1863">
        <f>'Malaria-Pharmaceuticals'!$T46+'Malaria-Pharmaceuticals'!$AA46+'Malaria-Pharmaceuticals'!$AH46</f>
        <v>0</v>
      </c>
      <c r="AK46" s="1865" t="str">
        <f>IF(A46&lt;&gt;"",IFERROR(INDEX(PMtbl[[WKst]:[Unit of measure*]],MATCH($A$8&amp;$A46&amp;$E46&amp;$I46,INDEX(PMtbl[Sec]&amp;PMtbl[Category]&amp;PMtbl[INN]&amp;PMtbl[Specification],0,),0),7),""),"")</f>
        <v/>
      </c>
      <c r="AL46" s="956"/>
      <c r="AM46" s="1518" t="str">
        <f>IFERROR(INDEX(SETUP!$C$19:$G$62,MATCH((INDEX(PMtbl[[WKst]:[Unit of measure*]],MATCH($A46&amp;$E46&amp;$I46,INDEX(PMtbl[Category]&amp;PMtbl[INN]&amp;PMtbl[Specification],0,),0),3)),SETUP!$D$19:$D$62,0),5),"")</f>
        <v/>
      </c>
      <c r="AN46" s="1518"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40" hidden="1">
      <c r="A47" s="2955"/>
      <c r="B47" s="2955"/>
      <c r="C47" s="2955"/>
      <c r="D47" s="2956"/>
      <c r="E47" s="2953"/>
      <c r="F47" s="2304"/>
      <c r="G47" s="2304"/>
      <c r="H47" s="2954"/>
      <c r="I47" s="2953"/>
      <c r="J47" s="2304"/>
      <c r="K47" s="2954"/>
      <c r="L47" s="247" t="str">
        <f>IF(A47&lt;&gt;"",IFERROR(INDEX(PMtbl[[WKst]:[Unit of measure*]],MATCH($A$8&amp;$A47&amp;$E47&amp;$I47,INDEX(PMtbl[Sec]&amp;PMtbl[Category]&amp;PMtbl[INN]&amp;PMtbl[Specification],0,),0),8),""),"")</f>
        <v/>
      </c>
      <c r="M47" s="248" t="str">
        <f>IF(L47="", "",SETUP!$E$5)</f>
        <v/>
      </c>
      <c r="N47" s="1968"/>
      <c r="O47" s="808"/>
      <c r="P47" s="808"/>
      <c r="Q47" s="808"/>
      <c r="R47" s="808"/>
      <c r="S47" s="1863">
        <f>SUM('Malaria-Pharmaceuticals'!$O47:$R47)</f>
        <v>0</v>
      </c>
      <c r="T47" s="1863">
        <f>'Malaria-Pharmaceuticals'!$N47*'Malaria-Pharmaceuticals'!$S47</f>
        <v>0</v>
      </c>
      <c r="U47" s="1968"/>
      <c r="V47" s="808"/>
      <c r="W47" s="808"/>
      <c r="X47" s="808"/>
      <c r="Y47" s="808"/>
      <c r="Z47" s="1863">
        <f>SUM('Malaria-Pharmaceuticals'!$V47:$Y47)</f>
        <v>0</v>
      </c>
      <c r="AA47" s="1863">
        <f>'Malaria-Pharmaceuticals'!$U47*'Malaria-Pharmaceuticals'!$Z47</f>
        <v>0</v>
      </c>
      <c r="AB47" s="1968"/>
      <c r="AC47" s="808"/>
      <c r="AD47" s="808"/>
      <c r="AE47" s="808"/>
      <c r="AF47" s="808"/>
      <c r="AG47" s="1863">
        <f>SUM('Malaria-Pharmaceuticals'!$AC47:$AF47)</f>
        <v>0</v>
      </c>
      <c r="AH47" s="1863">
        <f>'Malaria-Pharmaceuticals'!$AB47*'Malaria-Pharmaceuticals'!$AG47</f>
        <v>0</v>
      </c>
      <c r="AI47" s="1864">
        <f>'Malaria-Pharmaceuticals'!$S47+'Malaria-Pharmaceuticals'!$Z47+'Malaria-Pharmaceuticals'!$AG47</f>
        <v>0</v>
      </c>
      <c r="AJ47" s="1863">
        <f>'Malaria-Pharmaceuticals'!$T47+'Malaria-Pharmaceuticals'!$AA47+'Malaria-Pharmaceuticals'!$AH47</f>
        <v>0</v>
      </c>
      <c r="AK47" s="1865" t="str">
        <f>IF(A47&lt;&gt;"",IFERROR(INDEX(PMtbl[[WKst]:[Unit of measure*]],MATCH($A$8&amp;$A47&amp;$E47&amp;$I47,INDEX(PMtbl[Sec]&amp;PMtbl[Category]&amp;PMtbl[INN]&amp;PMtbl[Specification],0,),0),7),""),"")</f>
        <v/>
      </c>
      <c r="AL47" s="957"/>
      <c r="AM47" s="1517" t="str">
        <f>IFERROR(INDEX(SETUP!$C$19:$G$62,MATCH((INDEX(PMtbl[[WKst]:[Unit of measure*]],MATCH($A47&amp;$E47&amp;$I47,INDEX(PMtbl[Category]&amp;PMtbl[INN]&amp;PMtbl[Specification],0,),0),3)),SETUP!$D$19:$D$62,0),5),"")</f>
        <v/>
      </c>
      <c r="AN47" s="1517"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40" hidden="1">
      <c r="A48" s="2957"/>
      <c r="B48" s="2957"/>
      <c r="C48" s="2957"/>
      <c r="D48" s="2958"/>
      <c r="E48" s="2950"/>
      <c r="F48" s="2951"/>
      <c r="G48" s="2951"/>
      <c r="H48" s="2952"/>
      <c r="I48" s="2950"/>
      <c r="J48" s="2951"/>
      <c r="K48" s="2952"/>
      <c r="L48" s="249" t="str">
        <f>IF(A48&lt;&gt;"",IFERROR(INDEX(PMtbl[[WKst]:[Unit of measure*]],MATCH($A$8&amp;$A48&amp;$E48&amp;$I48,INDEX(PMtbl[Sec]&amp;PMtbl[Category]&amp;PMtbl[INN]&amp;PMtbl[Specification],0,),0),8),""),"")</f>
        <v/>
      </c>
      <c r="M48" s="249" t="str">
        <f>IF(L48="", "",SETUP!$E$5)</f>
        <v/>
      </c>
      <c r="N48" s="1968"/>
      <c r="O48" s="808"/>
      <c r="P48" s="808"/>
      <c r="Q48" s="808"/>
      <c r="R48" s="808"/>
      <c r="S48" s="1863">
        <f>SUM('Malaria-Pharmaceuticals'!$O48:$R48)</f>
        <v>0</v>
      </c>
      <c r="T48" s="1863">
        <f>'Malaria-Pharmaceuticals'!$N48*'Malaria-Pharmaceuticals'!$S48</f>
        <v>0</v>
      </c>
      <c r="U48" s="1968"/>
      <c r="V48" s="808"/>
      <c r="W48" s="808"/>
      <c r="X48" s="808"/>
      <c r="Y48" s="808"/>
      <c r="Z48" s="1863">
        <f>SUM('Malaria-Pharmaceuticals'!$V48:$Y48)</f>
        <v>0</v>
      </c>
      <c r="AA48" s="1863">
        <f>'Malaria-Pharmaceuticals'!$U48*'Malaria-Pharmaceuticals'!$Z48</f>
        <v>0</v>
      </c>
      <c r="AB48" s="1968"/>
      <c r="AC48" s="808"/>
      <c r="AD48" s="808"/>
      <c r="AE48" s="808"/>
      <c r="AF48" s="808"/>
      <c r="AG48" s="1863">
        <f>SUM('Malaria-Pharmaceuticals'!$AC48:$AF48)</f>
        <v>0</v>
      </c>
      <c r="AH48" s="1863">
        <f>'Malaria-Pharmaceuticals'!$AB48*'Malaria-Pharmaceuticals'!$AG48</f>
        <v>0</v>
      </c>
      <c r="AI48" s="1864">
        <f>'Malaria-Pharmaceuticals'!$S48+'Malaria-Pharmaceuticals'!$Z48+'Malaria-Pharmaceuticals'!$AG48</f>
        <v>0</v>
      </c>
      <c r="AJ48" s="1863">
        <f>'Malaria-Pharmaceuticals'!$T48+'Malaria-Pharmaceuticals'!$AA48+'Malaria-Pharmaceuticals'!$AH48</f>
        <v>0</v>
      </c>
      <c r="AK48" s="1865" t="str">
        <f>IF(A48&lt;&gt;"",IFERROR(INDEX(PMtbl[[WKst]:[Unit of measure*]],MATCH($A$8&amp;$A48&amp;$E48&amp;$I48,INDEX(PMtbl[Sec]&amp;PMtbl[Category]&amp;PMtbl[INN]&amp;PMtbl[Specification],0,),0),7),""),"")</f>
        <v/>
      </c>
      <c r="AL48" s="956"/>
      <c r="AM48" s="1518" t="str">
        <f>IFERROR(INDEX(SETUP!$C$19:$G$62,MATCH((INDEX(PMtbl[[WKst]:[Unit of measure*]],MATCH($A48&amp;$E48&amp;$I48,INDEX(PMtbl[Category]&amp;PMtbl[INN]&amp;PMtbl[Specification],0,),0),3)),SETUP!$D$19:$D$62,0),5),"")</f>
        <v/>
      </c>
      <c r="AN48" s="1518"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40" hidden="1">
      <c r="A49" s="2955"/>
      <c r="B49" s="2955"/>
      <c r="C49" s="2955"/>
      <c r="D49" s="2956"/>
      <c r="E49" s="2953"/>
      <c r="F49" s="2304"/>
      <c r="G49" s="2304"/>
      <c r="H49" s="2954"/>
      <c r="I49" s="2953"/>
      <c r="J49" s="2304"/>
      <c r="K49" s="2954"/>
      <c r="L49" s="247" t="str">
        <f>IF(A49&lt;&gt;"",IFERROR(INDEX(PMtbl[[WKst]:[Unit of measure*]],MATCH($A$8&amp;$A49&amp;$E49&amp;$I49,INDEX(PMtbl[Sec]&amp;PMtbl[Category]&amp;PMtbl[INN]&amp;PMtbl[Specification],0,),0),8),""),"")</f>
        <v/>
      </c>
      <c r="M49" s="248" t="str">
        <f>IF(L49="", "",SETUP!$E$5)</f>
        <v/>
      </c>
      <c r="N49" s="1968"/>
      <c r="O49" s="808"/>
      <c r="P49" s="808"/>
      <c r="Q49" s="808"/>
      <c r="R49" s="808"/>
      <c r="S49" s="1863">
        <f>SUM('Malaria-Pharmaceuticals'!$O49:$R49)</f>
        <v>0</v>
      </c>
      <c r="T49" s="1863">
        <f>'Malaria-Pharmaceuticals'!$N49*'Malaria-Pharmaceuticals'!$S49</f>
        <v>0</v>
      </c>
      <c r="U49" s="1968"/>
      <c r="V49" s="808"/>
      <c r="W49" s="808"/>
      <c r="X49" s="808"/>
      <c r="Y49" s="808"/>
      <c r="Z49" s="1863">
        <f>SUM('Malaria-Pharmaceuticals'!$V49:$Y49)</f>
        <v>0</v>
      </c>
      <c r="AA49" s="1863">
        <f>'Malaria-Pharmaceuticals'!$U49*'Malaria-Pharmaceuticals'!$Z49</f>
        <v>0</v>
      </c>
      <c r="AB49" s="1968"/>
      <c r="AC49" s="808"/>
      <c r="AD49" s="808"/>
      <c r="AE49" s="808"/>
      <c r="AF49" s="808"/>
      <c r="AG49" s="1863">
        <f>SUM('Malaria-Pharmaceuticals'!$AC49:$AF49)</f>
        <v>0</v>
      </c>
      <c r="AH49" s="1863">
        <f>'Malaria-Pharmaceuticals'!$AB49*'Malaria-Pharmaceuticals'!$AG49</f>
        <v>0</v>
      </c>
      <c r="AI49" s="1864">
        <f>'Malaria-Pharmaceuticals'!$S49+'Malaria-Pharmaceuticals'!$Z49+'Malaria-Pharmaceuticals'!$AG49</f>
        <v>0</v>
      </c>
      <c r="AJ49" s="1863">
        <f>'Malaria-Pharmaceuticals'!$T49+'Malaria-Pharmaceuticals'!$AA49+'Malaria-Pharmaceuticals'!$AH49</f>
        <v>0</v>
      </c>
      <c r="AK49" s="1865" t="str">
        <f>IF(A49&lt;&gt;"",IFERROR(INDEX(PMtbl[[WKst]:[Unit of measure*]],MATCH($A$8&amp;$A49&amp;$E49&amp;$I49,INDEX(PMtbl[Sec]&amp;PMtbl[Category]&amp;PMtbl[INN]&amp;PMtbl[Specification],0,),0),7),""),"")</f>
        <v/>
      </c>
      <c r="AL49" s="957"/>
      <c r="AM49" s="1517" t="str">
        <f>IFERROR(INDEX(SETUP!$C$19:$G$62,MATCH((INDEX(PMtbl[[WKst]:[Unit of measure*]],MATCH($A49&amp;$E49&amp;$I49,INDEX(PMtbl[Category]&amp;PMtbl[INN]&amp;PMtbl[Specification],0,),0),3)),SETUP!$D$19:$D$62,0),5),"")</f>
        <v/>
      </c>
      <c r="AN49" s="1517"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40" hidden="1">
      <c r="A50" s="2957"/>
      <c r="B50" s="2957"/>
      <c r="C50" s="2957"/>
      <c r="D50" s="2958"/>
      <c r="E50" s="2950"/>
      <c r="F50" s="2951"/>
      <c r="G50" s="2951"/>
      <c r="H50" s="2952"/>
      <c r="I50" s="2950"/>
      <c r="J50" s="2951"/>
      <c r="K50" s="2952"/>
      <c r="L50" s="249" t="str">
        <f>IF(A50&lt;&gt;"",IFERROR(INDEX(PMtbl[[WKst]:[Unit of measure*]],MATCH($A$8&amp;$A50&amp;$E50&amp;$I50,INDEX(PMtbl[Sec]&amp;PMtbl[Category]&amp;PMtbl[INN]&amp;PMtbl[Specification],0,),0),8),""),"")</f>
        <v/>
      </c>
      <c r="M50" s="249" t="str">
        <f>IF(L50="", "",SETUP!$E$5)</f>
        <v/>
      </c>
      <c r="N50" s="1968"/>
      <c r="O50" s="808"/>
      <c r="P50" s="808"/>
      <c r="Q50" s="808"/>
      <c r="R50" s="808"/>
      <c r="S50" s="1863">
        <f>SUM('Malaria-Pharmaceuticals'!$O50:$R50)</f>
        <v>0</v>
      </c>
      <c r="T50" s="1863">
        <f>'Malaria-Pharmaceuticals'!$N50*'Malaria-Pharmaceuticals'!$S50</f>
        <v>0</v>
      </c>
      <c r="U50" s="1968"/>
      <c r="V50" s="808"/>
      <c r="W50" s="808"/>
      <c r="X50" s="808"/>
      <c r="Y50" s="808"/>
      <c r="Z50" s="1863">
        <f>SUM('Malaria-Pharmaceuticals'!$V50:$Y50)</f>
        <v>0</v>
      </c>
      <c r="AA50" s="1863">
        <f>'Malaria-Pharmaceuticals'!$U50*'Malaria-Pharmaceuticals'!$Z50</f>
        <v>0</v>
      </c>
      <c r="AB50" s="1968"/>
      <c r="AC50" s="808"/>
      <c r="AD50" s="808"/>
      <c r="AE50" s="808"/>
      <c r="AF50" s="808"/>
      <c r="AG50" s="1863">
        <f>SUM('Malaria-Pharmaceuticals'!$AC50:$AF50)</f>
        <v>0</v>
      </c>
      <c r="AH50" s="1863">
        <f>'Malaria-Pharmaceuticals'!$AB50*'Malaria-Pharmaceuticals'!$AG50</f>
        <v>0</v>
      </c>
      <c r="AI50" s="1864">
        <f>'Malaria-Pharmaceuticals'!$S50+'Malaria-Pharmaceuticals'!$Z50+'Malaria-Pharmaceuticals'!$AG50</f>
        <v>0</v>
      </c>
      <c r="AJ50" s="1863">
        <f>'Malaria-Pharmaceuticals'!$T50+'Malaria-Pharmaceuticals'!$AA50+'Malaria-Pharmaceuticals'!$AH50</f>
        <v>0</v>
      </c>
      <c r="AK50" s="1865" t="str">
        <f>IF(A50&lt;&gt;"",IFERROR(INDEX(PMtbl[[WKst]:[Unit of measure*]],MATCH($A$8&amp;$A50&amp;$E50&amp;$I50,INDEX(PMtbl[Sec]&amp;PMtbl[Category]&amp;PMtbl[INN]&amp;PMtbl[Specification],0,),0),7),""),"")</f>
        <v/>
      </c>
      <c r="AL50" s="956"/>
      <c r="AM50" s="1518" t="str">
        <f>IFERROR(INDEX(SETUP!$C$19:$G$62,MATCH((INDEX(PMtbl[[WKst]:[Unit of measure*]],MATCH($A50&amp;$E50&amp;$I50,INDEX(PMtbl[Category]&amp;PMtbl[INN]&amp;PMtbl[Specification],0,),0),3)),SETUP!$D$19:$D$62,0),5),"")</f>
        <v/>
      </c>
      <c r="AN50" s="1518"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40" hidden="1">
      <c r="A51" s="2955"/>
      <c r="B51" s="2955"/>
      <c r="C51" s="2955"/>
      <c r="D51" s="2956"/>
      <c r="E51" s="2953"/>
      <c r="F51" s="2304"/>
      <c r="G51" s="2304"/>
      <c r="H51" s="2954"/>
      <c r="I51" s="2953"/>
      <c r="J51" s="2304"/>
      <c r="K51" s="2954"/>
      <c r="L51" s="247" t="str">
        <f>IF(A51&lt;&gt;"",IFERROR(INDEX(PMtbl[[WKst]:[Unit of measure*]],MATCH($A$8&amp;$A51&amp;$E51&amp;$I51,INDEX(PMtbl[Sec]&amp;PMtbl[Category]&amp;PMtbl[INN]&amp;PMtbl[Specification],0,),0),8),""),"")</f>
        <v/>
      </c>
      <c r="M51" s="248" t="str">
        <f>IF(L51="", "",SETUP!$E$5)</f>
        <v/>
      </c>
      <c r="N51" s="1968"/>
      <c r="O51" s="808"/>
      <c r="P51" s="808"/>
      <c r="Q51" s="808"/>
      <c r="R51" s="808"/>
      <c r="S51" s="1863">
        <f>SUM('Malaria-Pharmaceuticals'!$O51:$R51)</f>
        <v>0</v>
      </c>
      <c r="T51" s="1863">
        <f>'Malaria-Pharmaceuticals'!$N51*'Malaria-Pharmaceuticals'!$S51</f>
        <v>0</v>
      </c>
      <c r="U51" s="1968"/>
      <c r="V51" s="808"/>
      <c r="W51" s="808"/>
      <c r="X51" s="808"/>
      <c r="Y51" s="808"/>
      <c r="Z51" s="1863">
        <f>SUM('Malaria-Pharmaceuticals'!$V51:$Y51)</f>
        <v>0</v>
      </c>
      <c r="AA51" s="1863">
        <f>'Malaria-Pharmaceuticals'!$U51*'Malaria-Pharmaceuticals'!$Z51</f>
        <v>0</v>
      </c>
      <c r="AB51" s="1968"/>
      <c r="AC51" s="808"/>
      <c r="AD51" s="808"/>
      <c r="AE51" s="808"/>
      <c r="AF51" s="808"/>
      <c r="AG51" s="1863">
        <f>SUM('Malaria-Pharmaceuticals'!$AC51:$AF51)</f>
        <v>0</v>
      </c>
      <c r="AH51" s="1863">
        <f>'Malaria-Pharmaceuticals'!$AB51*'Malaria-Pharmaceuticals'!$AG51</f>
        <v>0</v>
      </c>
      <c r="AI51" s="1864">
        <f>'Malaria-Pharmaceuticals'!$S51+'Malaria-Pharmaceuticals'!$Z51+'Malaria-Pharmaceuticals'!$AG51</f>
        <v>0</v>
      </c>
      <c r="AJ51" s="1863">
        <f>'Malaria-Pharmaceuticals'!$T51+'Malaria-Pharmaceuticals'!$AA51+'Malaria-Pharmaceuticals'!$AH51</f>
        <v>0</v>
      </c>
      <c r="AK51" s="1865" t="str">
        <f>IF(A51&lt;&gt;"",IFERROR(INDEX(PMtbl[[WKst]:[Unit of measure*]],MATCH($A$8&amp;$A51&amp;$E51&amp;$I51,INDEX(PMtbl[Sec]&amp;PMtbl[Category]&amp;PMtbl[INN]&amp;PMtbl[Specification],0,),0),7),""),"")</f>
        <v/>
      </c>
      <c r="AL51" s="957"/>
      <c r="AM51" s="1517" t="str">
        <f>IFERROR(INDEX(SETUP!$C$19:$G$62,MATCH((INDEX(PMtbl[[WKst]:[Unit of measure*]],MATCH($A51&amp;$E51&amp;$I51,INDEX(PMtbl[Category]&amp;PMtbl[INN]&amp;PMtbl[Specification],0,),0),3)),SETUP!$D$19:$D$62,0),5),"")</f>
        <v/>
      </c>
      <c r="AN51" s="1517"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40" hidden="1">
      <c r="A52" s="2957"/>
      <c r="B52" s="2957"/>
      <c r="C52" s="2957"/>
      <c r="D52" s="2958"/>
      <c r="E52" s="2950"/>
      <c r="F52" s="2951"/>
      <c r="G52" s="2951"/>
      <c r="H52" s="2952"/>
      <c r="I52" s="2950"/>
      <c r="J52" s="2951"/>
      <c r="K52" s="2952"/>
      <c r="L52" s="249" t="str">
        <f>IF(A52&lt;&gt;"",IFERROR(INDEX(PMtbl[[WKst]:[Unit of measure*]],MATCH($A$8&amp;$A52&amp;$E52&amp;$I52,INDEX(PMtbl[Sec]&amp;PMtbl[Category]&amp;PMtbl[INN]&amp;PMtbl[Specification],0,),0),8),""),"")</f>
        <v/>
      </c>
      <c r="M52" s="249" t="str">
        <f>IF(L52="", "",SETUP!$E$5)</f>
        <v/>
      </c>
      <c r="N52" s="1968"/>
      <c r="O52" s="808"/>
      <c r="P52" s="808"/>
      <c r="Q52" s="808"/>
      <c r="R52" s="808"/>
      <c r="S52" s="1863">
        <f>SUM('Malaria-Pharmaceuticals'!$O52:$R52)</f>
        <v>0</v>
      </c>
      <c r="T52" s="1863">
        <f>'Malaria-Pharmaceuticals'!$N52*'Malaria-Pharmaceuticals'!$S52</f>
        <v>0</v>
      </c>
      <c r="U52" s="1968"/>
      <c r="V52" s="808"/>
      <c r="W52" s="808"/>
      <c r="X52" s="808"/>
      <c r="Y52" s="808"/>
      <c r="Z52" s="1863">
        <f>SUM('Malaria-Pharmaceuticals'!$V52:$Y52)</f>
        <v>0</v>
      </c>
      <c r="AA52" s="1863">
        <f>'Malaria-Pharmaceuticals'!$U52*'Malaria-Pharmaceuticals'!$Z52</f>
        <v>0</v>
      </c>
      <c r="AB52" s="1968"/>
      <c r="AC52" s="808"/>
      <c r="AD52" s="808"/>
      <c r="AE52" s="808"/>
      <c r="AF52" s="808"/>
      <c r="AG52" s="1863">
        <f>SUM('Malaria-Pharmaceuticals'!$AC52:$AF52)</f>
        <v>0</v>
      </c>
      <c r="AH52" s="1863">
        <f>'Malaria-Pharmaceuticals'!$AB52*'Malaria-Pharmaceuticals'!$AG52</f>
        <v>0</v>
      </c>
      <c r="AI52" s="1864">
        <f>'Malaria-Pharmaceuticals'!$S52+'Malaria-Pharmaceuticals'!$Z52+'Malaria-Pharmaceuticals'!$AG52</f>
        <v>0</v>
      </c>
      <c r="AJ52" s="1863">
        <f>'Malaria-Pharmaceuticals'!$T52+'Malaria-Pharmaceuticals'!$AA52+'Malaria-Pharmaceuticals'!$AH52</f>
        <v>0</v>
      </c>
      <c r="AK52" s="1865" t="str">
        <f>IF(A52&lt;&gt;"",IFERROR(INDEX(PMtbl[[WKst]:[Unit of measure*]],MATCH($A$8&amp;$A52&amp;$E52&amp;$I52,INDEX(PMtbl[Sec]&amp;PMtbl[Category]&amp;PMtbl[INN]&amp;PMtbl[Specification],0,),0),7),""),"")</f>
        <v/>
      </c>
      <c r="AL52" s="956"/>
      <c r="AM52" s="1518" t="str">
        <f>IFERROR(INDEX(SETUP!$C$19:$G$62,MATCH((INDEX(PMtbl[[WKst]:[Unit of measure*]],MATCH($A52&amp;$E52&amp;$I52,INDEX(PMtbl[Category]&amp;PMtbl[INN]&amp;PMtbl[Specification],0,),0),3)),SETUP!$D$19:$D$62,0),5),"")</f>
        <v/>
      </c>
      <c r="AN52" s="1518"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40" hidden="1">
      <c r="A53" s="2955"/>
      <c r="B53" s="2955"/>
      <c r="C53" s="2955"/>
      <c r="D53" s="2956"/>
      <c r="E53" s="2953"/>
      <c r="F53" s="2304"/>
      <c r="G53" s="2304"/>
      <c r="H53" s="2954"/>
      <c r="I53" s="2953"/>
      <c r="J53" s="2304"/>
      <c r="K53" s="2954"/>
      <c r="L53" s="247" t="str">
        <f>IF(A53&lt;&gt;"",IFERROR(INDEX(PMtbl[[WKst]:[Unit of measure*]],MATCH($A$8&amp;$A53&amp;$E53&amp;$I53,INDEX(PMtbl[Sec]&amp;PMtbl[Category]&amp;PMtbl[INN]&amp;PMtbl[Specification],0,),0),8),""),"")</f>
        <v/>
      </c>
      <c r="M53" s="248" t="str">
        <f>IF(L53="", "",SETUP!$E$5)</f>
        <v/>
      </c>
      <c r="N53" s="1968"/>
      <c r="O53" s="808"/>
      <c r="P53" s="808"/>
      <c r="Q53" s="808"/>
      <c r="R53" s="808"/>
      <c r="S53" s="1863">
        <f>SUM('Malaria-Pharmaceuticals'!$O53:$R53)</f>
        <v>0</v>
      </c>
      <c r="T53" s="1863">
        <f>'Malaria-Pharmaceuticals'!$N53*'Malaria-Pharmaceuticals'!$S53</f>
        <v>0</v>
      </c>
      <c r="U53" s="1968"/>
      <c r="V53" s="808"/>
      <c r="W53" s="808"/>
      <c r="X53" s="808"/>
      <c r="Y53" s="808"/>
      <c r="Z53" s="1863">
        <f>SUM('Malaria-Pharmaceuticals'!$V53:$Y53)</f>
        <v>0</v>
      </c>
      <c r="AA53" s="1863">
        <f>'Malaria-Pharmaceuticals'!$U53*'Malaria-Pharmaceuticals'!$Z53</f>
        <v>0</v>
      </c>
      <c r="AB53" s="1968"/>
      <c r="AC53" s="808"/>
      <c r="AD53" s="808"/>
      <c r="AE53" s="808"/>
      <c r="AF53" s="808"/>
      <c r="AG53" s="1863">
        <f>SUM('Malaria-Pharmaceuticals'!$AC53:$AF53)</f>
        <v>0</v>
      </c>
      <c r="AH53" s="1863">
        <f>'Malaria-Pharmaceuticals'!$AB53*'Malaria-Pharmaceuticals'!$AG53</f>
        <v>0</v>
      </c>
      <c r="AI53" s="1864">
        <f>'Malaria-Pharmaceuticals'!$S53+'Malaria-Pharmaceuticals'!$Z53+'Malaria-Pharmaceuticals'!$AG53</f>
        <v>0</v>
      </c>
      <c r="AJ53" s="1863">
        <f>'Malaria-Pharmaceuticals'!$T53+'Malaria-Pharmaceuticals'!$AA53+'Malaria-Pharmaceuticals'!$AH53</f>
        <v>0</v>
      </c>
      <c r="AK53" s="1865" t="str">
        <f>IF(A53&lt;&gt;"",IFERROR(INDEX(PMtbl[[WKst]:[Unit of measure*]],MATCH($A$8&amp;$A53&amp;$E53&amp;$I53,INDEX(PMtbl[Sec]&amp;PMtbl[Category]&amp;PMtbl[INN]&amp;PMtbl[Specification],0,),0),7),""),"")</f>
        <v/>
      </c>
      <c r="AL53" s="957"/>
      <c r="AM53" s="1517" t="str">
        <f>IFERROR(INDEX(SETUP!$C$19:$G$62,MATCH((INDEX(PMtbl[[WKst]:[Unit of measure*]],MATCH($A53&amp;$E53&amp;$I53,INDEX(PMtbl[Category]&amp;PMtbl[INN]&amp;PMtbl[Specification],0,),0),3)),SETUP!$D$19:$D$62,0),5),"")</f>
        <v/>
      </c>
      <c r="AN53" s="1517"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40" hidden="1">
      <c r="A54" s="3020"/>
      <c r="B54" s="3021"/>
      <c r="C54" s="3021"/>
      <c r="D54" s="3021"/>
      <c r="E54" s="2950"/>
      <c r="F54" s="2951"/>
      <c r="G54" s="2951"/>
      <c r="H54" s="2952"/>
      <c r="I54" s="2950"/>
      <c r="J54" s="2951"/>
      <c r="K54" s="2952"/>
      <c r="L54" s="249" t="str">
        <f>IF(A54&lt;&gt;"",IFERROR(INDEX(PMtbl[[WKst]:[Unit of measure*]],MATCH($A$8&amp;$A54&amp;$E54&amp;$I54,INDEX(PMtbl[Sec]&amp;PMtbl[Category]&amp;PMtbl[INN]&amp;PMtbl[Specification],0,),0),8),""),"")</f>
        <v/>
      </c>
      <c r="M54" s="249" t="str">
        <f>IF(L54="", "",SETUP!$E$5)</f>
        <v/>
      </c>
      <c r="N54" s="1968"/>
      <c r="O54" s="808"/>
      <c r="P54" s="808"/>
      <c r="Q54" s="808"/>
      <c r="R54" s="808"/>
      <c r="S54" s="1863">
        <f>SUM('Malaria-Pharmaceuticals'!$O54:$R54)</f>
        <v>0</v>
      </c>
      <c r="T54" s="1863">
        <f>'Malaria-Pharmaceuticals'!$N54*'Malaria-Pharmaceuticals'!$S54</f>
        <v>0</v>
      </c>
      <c r="U54" s="1968"/>
      <c r="V54" s="808"/>
      <c r="W54" s="808"/>
      <c r="X54" s="808"/>
      <c r="Y54" s="808"/>
      <c r="Z54" s="1863">
        <f>SUM('Malaria-Pharmaceuticals'!$V54:$Y54)</f>
        <v>0</v>
      </c>
      <c r="AA54" s="1863">
        <f>'Malaria-Pharmaceuticals'!$U54*'Malaria-Pharmaceuticals'!$Z54</f>
        <v>0</v>
      </c>
      <c r="AB54" s="1968"/>
      <c r="AC54" s="808"/>
      <c r="AD54" s="808"/>
      <c r="AE54" s="808"/>
      <c r="AF54" s="808"/>
      <c r="AG54" s="1863">
        <f>SUM('Malaria-Pharmaceuticals'!$AC54:$AF54)</f>
        <v>0</v>
      </c>
      <c r="AH54" s="1863">
        <f>'Malaria-Pharmaceuticals'!$AB54*'Malaria-Pharmaceuticals'!$AG54</f>
        <v>0</v>
      </c>
      <c r="AI54" s="1864">
        <f>'Malaria-Pharmaceuticals'!$S54+'Malaria-Pharmaceuticals'!$Z54+'Malaria-Pharmaceuticals'!$AG54</f>
        <v>0</v>
      </c>
      <c r="AJ54" s="1863">
        <f>'Malaria-Pharmaceuticals'!$T54+'Malaria-Pharmaceuticals'!$AA54+'Malaria-Pharmaceuticals'!$AH54</f>
        <v>0</v>
      </c>
      <c r="AK54" s="1865" t="str">
        <f>IF(A54&lt;&gt;"",IFERROR(INDEX(PMtbl[[WKst]:[Unit of measure*]],MATCH($A$8&amp;$A54&amp;$E54&amp;$I54,INDEX(PMtbl[Sec]&amp;PMtbl[Category]&amp;PMtbl[INN]&amp;PMtbl[Specification],0,),0),7),""),"")</f>
        <v/>
      </c>
      <c r="AL54" s="956"/>
      <c r="AM54" s="1518" t="str">
        <f>IFERROR(INDEX(SETUP!$C$19:$G$62,MATCH((INDEX(PMtbl[[WKst]:[Unit of measure*]],MATCH($A54&amp;$E54&amp;$I54,INDEX(PMtbl[Category]&amp;PMtbl[INN]&amp;PMtbl[Specification],0,),0),3)),SETUP!$D$19:$D$62,0),5),"")</f>
        <v/>
      </c>
      <c r="AN54" s="1518"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40" hidden="1">
      <c r="A55" s="2955"/>
      <c r="B55" s="2955"/>
      <c r="C55" s="2955"/>
      <c r="D55" s="2956"/>
      <c r="E55" s="2953"/>
      <c r="F55" s="2304"/>
      <c r="G55" s="2304"/>
      <c r="H55" s="2954"/>
      <c r="I55" s="2953"/>
      <c r="J55" s="2304"/>
      <c r="K55" s="2954"/>
      <c r="L55" s="247" t="str">
        <f>IF(A55&lt;&gt;"",IFERROR(INDEX(PMtbl[[WKst]:[Unit of measure*]],MATCH($A$8&amp;$A55&amp;$E55&amp;$I55,INDEX(PMtbl[Sec]&amp;PMtbl[Category]&amp;PMtbl[INN]&amp;PMtbl[Specification],0,),0),8),""),"")</f>
        <v/>
      </c>
      <c r="M55" s="248" t="str">
        <f>IF(L55="", "",SETUP!$E$5)</f>
        <v/>
      </c>
      <c r="N55" s="1968"/>
      <c r="O55" s="808"/>
      <c r="P55" s="808"/>
      <c r="Q55" s="808"/>
      <c r="R55" s="808"/>
      <c r="S55" s="1863">
        <f>SUM('Malaria-Pharmaceuticals'!$O55:$R55)</f>
        <v>0</v>
      </c>
      <c r="T55" s="1863">
        <f>'Malaria-Pharmaceuticals'!$N55*'Malaria-Pharmaceuticals'!$S55</f>
        <v>0</v>
      </c>
      <c r="U55" s="1968"/>
      <c r="V55" s="808"/>
      <c r="W55" s="808"/>
      <c r="X55" s="808"/>
      <c r="Y55" s="808"/>
      <c r="Z55" s="1863">
        <f>SUM('Malaria-Pharmaceuticals'!$V55:$Y55)</f>
        <v>0</v>
      </c>
      <c r="AA55" s="1863">
        <f>'Malaria-Pharmaceuticals'!$U55*'Malaria-Pharmaceuticals'!$Z55</f>
        <v>0</v>
      </c>
      <c r="AB55" s="1968"/>
      <c r="AC55" s="808"/>
      <c r="AD55" s="808"/>
      <c r="AE55" s="808"/>
      <c r="AF55" s="808"/>
      <c r="AG55" s="1863">
        <f>SUM('Malaria-Pharmaceuticals'!$AC55:$AF55)</f>
        <v>0</v>
      </c>
      <c r="AH55" s="1863">
        <f>'Malaria-Pharmaceuticals'!$AB55*'Malaria-Pharmaceuticals'!$AG55</f>
        <v>0</v>
      </c>
      <c r="AI55" s="1864">
        <f>'Malaria-Pharmaceuticals'!$S55+'Malaria-Pharmaceuticals'!$Z55+'Malaria-Pharmaceuticals'!$AG55</f>
        <v>0</v>
      </c>
      <c r="AJ55" s="1863">
        <f>'Malaria-Pharmaceuticals'!$T55+'Malaria-Pharmaceuticals'!$AA55+'Malaria-Pharmaceuticals'!$AH55</f>
        <v>0</v>
      </c>
      <c r="AK55" s="1865" t="str">
        <f>IF(A55&lt;&gt;"",IFERROR(INDEX(PMtbl[[WKst]:[Unit of measure*]],MATCH($A$8&amp;$A55&amp;$E55&amp;$I55,INDEX(PMtbl[Sec]&amp;PMtbl[Category]&amp;PMtbl[INN]&amp;PMtbl[Specification],0,),0),7),""),"")</f>
        <v/>
      </c>
      <c r="AL55" s="957"/>
      <c r="AM55" s="1517" t="str">
        <f>IFERROR(INDEX(SETUP!$C$19:$G$62,MATCH((INDEX(PMtbl[[WKst]:[Unit of measure*]],MATCH($A55&amp;$E55&amp;$I55,INDEX(PMtbl[Category]&amp;PMtbl[INN]&amp;PMtbl[Specification],0,),0),3)),SETUP!$D$19:$D$62,0),5),"")</f>
        <v/>
      </c>
      <c r="AN55" s="1517"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40" hidden="1">
      <c r="A56" s="3020"/>
      <c r="B56" s="3021"/>
      <c r="C56" s="3021"/>
      <c r="D56" s="3021"/>
      <c r="E56" s="2950"/>
      <c r="F56" s="2951"/>
      <c r="G56" s="2951"/>
      <c r="H56" s="2952"/>
      <c r="I56" s="2950"/>
      <c r="J56" s="2951"/>
      <c r="K56" s="2952"/>
      <c r="L56" s="249" t="str">
        <f>IF(A56&lt;&gt;"",IFERROR(INDEX(PMtbl[[WKst]:[Unit of measure*]],MATCH($A$8&amp;$A56&amp;$E56&amp;$I56,INDEX(PMtbl[Sec]&amp;PMtbl[Category]&amp;PMtbl[INN]&amp;PMtbl[Specification],0,),0),8),""),"")</f>
        <v/>
      </c>
      <c r="M56" s="249" t="str">
        <f>IF(L56="", "",SETUP!$E$5)</f>
        <v/>
      </c>
      <c r="N56" s="1968"/>
      <c r="O56" s="808"/>
      <c r="P56" s="808"/>
      <c r="Q56" s="808"/>
      <c r="R56" s="808"/>
      <c r="S56" s="1863">
        <f>SUM('Malaria-Pharmaceuticals'!$O56:$R56)</f>
        <v>0</v>
      </c>
      <c r="T56" s="1863">
        <f>'Malaria-Pharmaceuticals'!$N56*'Malaria-Pharmaceuticals'!$S56</f>
        <v>0</v>
      </c>
      <c r="U56" s="1968"/>
      <c r="V56" s="808"/>
      <c r="W56" s="808"/>
      <c r="X56" s="808"/>
      <c r="Y56" s="808"/>
      <c r="Z56" s="1863">
        <f>SUM('Malaria-Pharmaceuticals'!$V56:$Y56)</f>
        <v>0</v>
      </c>
      <c r="AA56" s="1863">
        <f>'Malaria-Pharmaceuticals'!$U56*'Malaria-Pharmaceuticals'!$Z56</f>
        <v>0</v>
      </c>
      <c r="AB56" s="1968"/>
      <c r="AC56" s="808"/>
      <c r="AD56" s="808"/>
      <c r="AE56" s="808"/>
      <c r="AF56" s="808"/>
      <c r="AG56" s="1863">
        <f>SUM('Malaria-Pharmaceuticals'!$AC56:$AF56)</f>
        <v>0</v>
      </c>
      <c r="AH56" s="1863">
        <f>'Malaria-Pharmaceuticals'!$AB56*'Malaria-Pharmaceuticals'!$AG56</f>
        <v>0</v>
      </c>
      <c r="AI56" s="1864">
        <f>'Malaria-Pharmaceuticals'!$S56+'Malaria-Pharmaceuticals'!$Z56+'Malaria-Pharmaceuticals'!$AG56</f>
        <v>0</v>
      </c>
      <c r="AJ56" s="1863">
        <f>'Malaria-Pharmaceuticals'!$T56+'Malaria-Pharmaceuticals'!$AA56+'Malaria-Pharmaceuticals'!$AH56</f>
        <v>0</v>
      </c>
      <c r="AK56" s="1865" t="str">
        <f>IF(A56&lt;&gt;"",IFERROR(INDEX(PMtbl[[WKst]:[Unit of measure*]],MATCH($A$8&amp;$A56&amp;$E56&amp;$I56,INDEX(PMtbl[Sec]&amp;PMtbl[Category]&amp;PMtbl[INN]&amp;PMtbl[Specification],0,),0),7),""),"")</f>
        <v/>
      </c>
      <c r="AL56" s="956"/>
      <c r="AM56" s="1518" t="str">
        <f>IFERROR(INDEX(SETUP!$C$19:$G$62,MATCH((INDEX(PMtbl[[WKst]:[Unit of measure*]],MATCH($A56&amp;$E56&amp;$I56,INDEX(PMtbl[Category]&amp;PMtbl[INN]&amp;PMtbl[Specification],0,),0),3)),SETUP!$D$19:$D$62,0),5),"")</f>
        <v/>
      </c>
      <c r="AN56" s="1518"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40" hidden="1">
      <c r="A57" s="2955"/>
      <c r="B57" s="2955"/>
      <c r="C57" s="2955"/>
      <c r="D57" s="2956"/>
      <c r="E57" s="2953"/>
      <c r="F57" s="2304"/>
      <c r="G57" s="2304"/>
      <c r="H57" s="2954"/>
      <c r="I57" s="2953"/>
      <c r="J57" s="2304"/>
      <c r="K57" s="2954"/>
      <c r="L57" s="247" t="str">
        <f>IF(A57&lt;&gt;"",IFERROR(INDEX(PMtbl[[WKst]:[Unit of measure*]],MATCH($A$8&amp;$A57&amp;$E57&amp;$I57,INDEX(PMtbl[Sec]&amp;PMtbl[Category]&amp;PMtbl[INN]&amp;PMtbl[Specification],0,),0),8),""),"")</f>
        <v/>
      </c>
      <c r="M57" s="248" t="str">
        <f>IF(L57="", "",SETUP!$E$5)</f>
        <v/>
      </c>
      <c r="N57" s="1968"/>
      <c r="O57" s="808"/>
      <c r="P57" s="808"/>
      <c r="Q57" s="808"/>
      <c r="R57" s="808"/>
      <c r="S57" s="1863">
        <f>SUM('Malaria-Pharmaceuticals'!$O57:$R57)</f>
        <v>0</v>
      </c>
      <c r="T57" s="1863">
        <f>'Malaria-Pharmaceuticals'!$N57*'Malaria-Pharmaceuticals'!$S57</f>
        <v>0</v>
      </c>
      <c r="U57" s="1968"/>
      <c r="V57" s="808"/>
      <c r="W57" s="808"/>
      <c r="X57" s="808"/>
      <c r="Y57" s="808"/>
      <c r="Z57" s="1863">
        <f>SUM('Malaria-Pharmaceuticals'!$V57:$Y57)</f>
        <v>0</v>
      </c>
      <c r="AA57" s="1863">
        <f>'Malaria-Pharmaceuticals'!$U57*'Malaria-Pharmaceuticals'!$Z57</f>
        <v>0</v>
      </c>
      <c r="AB57" s="1968"/>
      <c r="AC57" s="808"/>
      <c r="AD57" s="808"/>
      <c r="AE57" s="808"/>
      <c r="AF57" s="808"/>
      <c r="AG57" s="1863">
        <f>SUM('Malaria-Pharmaceuticals'!$AC57:$AF57)</f>
        <v>0</v>
      </c>
      <c r="AH57" s="1863">
        <f>'Malaria-Pharmaceuticals'!$AB57*'Malaria-Pharmaceuticals'!$AG57</f>
        <v>0</v>
      </c>
      <c r="AI57" s="1864">
        <f>'Malaria-Pharmaceuticals'!$S57+'Malaria-Pharmaceuticals'!$Z57+'Malaria-Pharmaceuticals'!$AG57</f>
        <v>0</v>
      </c>
      <c r="AJ57" s="1863">
        <f>'Malaria-Pharmaceuticals'!$T57+'Malaria-Pharmaceuticals'!$AA57+'Malaria-Pharmaceuticals'!$AH57</f>
        <v>0</v>
      </c>
      <c r="AK57" s="1865" t="str">
        <f>IF(A57&lt;&gt;"",IFERROR(INDEX(PMtbl[[WKst]:[Unit of measure*]],MATCH($A$8&amp;$A57&amp;$E57&amp;$I57,INDEX(PMtbl[Sec]&amp;PMtbl[Category]&amp;PMtbl[INN]&amp;PMtbl[Specification],0,),0),7),""),"")</f>
        <v/>
      </c>
      <c r="AL57" s="957"/>
      <c r="AM57" s="1517" t="str">
        <f>IFERROR(INDEX(SETUP!$C$19:$G$62,MATCH((INDEX(PMtbl[[WKst]:[Unit of measure*]],MATCH($A57&amp;$E57&amp;$I57,INDEX(PMtbl[Category]&amp;PMtbl[INN]&amp;PMtbl[Specification],0,),0),3)),SETUP!$D$19:$D$62,0),5),"")</f>
        <v/>
      </c>
      <c r="AN57" s="1517"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40" hidden="1">
      <c r="A58" s="3020"/>
      <c r="B58" s="3021"/>
      <c r="C58" s="3021"/>
      <c r="D58" s="3021"/>
      <c r="E58" s="2950"/>
      <c r="F58" s="2951"/>
      <c r="G58" s="2951"/>
      <c r="H58" s="2952"/>
      <c r="I58" s="2950"/>
      <c r="J58" s="2951"/>
      <c r="K58" s="2952"/>
      <c r="L58" s="249" t="str">
        <f>IF(A58&lt;&gt;"",IFERROR(INDEX(PMtbl[[WKst]:[Unit of measure*]],MATCH($A$8&amp;$A58&amp;$E58&amp;$I58,INDEX(PMtbl[Sec]&amp;PMtbl[Category]&amp;PMtbl[INN]&amp;PMtbl[Specification],0,),0),8),""),"")</f>
        <v/>
      </c>
      <c r="M58" s="249" t="str">
        <f>IF(L58="", "",SETUP!$E$5)</f>
        <v/>
      </c>
      <c r="N58" s="1968"/>
      <c r="O58" s="808"/>
      <c r="P58" s="808"/>
      <c r="Q58" s="808"/>
      <c r="R58" s="808"/>
      <c r="S58" s="1863">
        <f>SUM('Malaria-Pharmaceuticals'!$O58:$R58)</f>
        <v>0</v>
      </c>
      <c r="T58" s="1863">
        <f>'Malaria-Pharmaceuticals'!$N58*'Malaria-Pharmaceuticals'!$S58</f>
        <v>0</v>
      </c>
      <c r="U58" s="1968"/>
      <c r="V58" s="808"/>
      <c r="W58" s="808"/>
      <c r="X58" s="808"/>
      <c r="Y58" s="808"/>
      <c r="Z58" s="1863">
        <f>SUM('Malaria-Pharmaceuticals'!$V58:$Y58)</f>
        <v>0</v>
      </c>
      <c r="AA58" s="1863">
        <f>'Malaria-Pharmaceuticals'!$U58*'Malaria-Pharmaceuticals'!$Z58</f>
        <v>0</v>
      </c>
      <c r="AB58" s="1968"/>
      <c r="AC58" s="808"/>
      <c r="AD58" s="808"/>
      <c r="AE58" s="808"/>
      <c r="AF58" s="808"/>
      <c r="AG58" s="1863">
        <f>SUM('Malaria-Pharmaceuticals'!$AC58:$AF58)</f>
        <v>0</v>
      </c>
      <c r="AH58" s="1863">
        <f>'Malaria-Pharmaceuticals'!$AB58*'Malaria-Pharmaceuticals'!$AG58</f>
        <v>0</v>
      </c>
      <c r="AI58" s="1864">
        <f>'Malaria-Pharmaceuticals'!$S58+'Malaria-Pharmaceuticals'!$Z58+'Malaria-Pharmaceuticals'!$AG58</f>
        <v>0</v>
      </c>
      <c r="AJ58" s="1863">
        <f>'Malaria-Pharmaceuticals'!$T58+'Malaria-Pharmaceuticals'!$AA58+'Malaria-Pharmaceuticals'!$AH58</f>
        <v>0</v>
      </c>
      <c r="AK58" s="1865" t="str">
        <f>IF(A58&lt;&gt;"",IFERROR(INDEX(PMtbl[[WKst]:[Unit of measure*]],MATCH($A$8&amp;$A58&amp;$E58&amp;$I58,INDEX(PMtbl[Sec]&amp;PMtbl[Category]&amp;PMtbl[INN]&amp;PMtbl[Specification],0,),0),7),""),"")</f>
        <v/>
      </c>
      <c r="AL58" s="956"/>
      <c r="AM58" s="1518" t="str">
        <f>IFERROR(INDEX(SETUP!$C$19:$G$62,MATCH((INDEX(PMtbl[[WKst]:[Unit of measure*]],MATCH($A58&amp;$E58&amp;$I58,INDEX(PMtbl[Category]&amp;PMtbl[INN]&amp;PMtbl[Specification],0,),0),3)),SETUP!$D$19:$D$62,0),5),"")</f>
        <v/>
      </c>
      <c r="AN58" s="1518"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40" hidden="1">
      <c r="A59" s="2955"/>
      <c r="B59" s="2955"/>
      <c r="C59" s="2955"/>
      <c r="D59" s="2956"/>
      <c r="E59" s="2953"/>
      <c r="F59" s="2304"/>
      <c r="G59" s="2304"/>
      <c r="H59" s="2954"/>
      <c r="I59" s="2953"/>
      <c r="J59" s="2304"/>
      <c r="K59" s="2954"/>
      <c r="L59" s="248" t="str">
        <f>IF(A59&lt;&gt;"",IFERROR(INDEX(PMtbl[[WKst]:[Unit of measure*]],MATCH($A$8&amp;$A59&amp;$E59&amp;$I59,INDEX(PMtbl[Sec]&amp;PMtbl[Category]&amp;PMtbl[INN]&amp;PMtbl[Specification],0,),0),8),""),"")</f>
        <v/>
      </c>
      <c r="M59" s="248" t="str">
        <f>IF(L59="", "",SETUP!$E$5)</f>
        <v/>
      </c>
      <c r="N59" s="1968"/>
      <c r="O59" s="808"/>
      <c r="P59" s="808"/>
      <c r="Q59" s="808"/>
      <c r="R59" s="808"/>
      <c r="S59" s="1863">
        <f>SUM('Malaria-Pharmaceuticals'!$O59:$R59)</f>
        <v>0</v>
      </c>
      <c r="T59" s="1863">
        <f>'Malaria-Pharmaceuticals'!$N59*'Malaria-Pharmaceuticals'!$S59</f>
        <v>0</v>
      </c>
      <c r="U59" s="1968"/>
      <c r="V59" s="808"/>
      <c r="W59" s="808"/>
      <c r="X59" s="808"/>
      <c r="Y59" s="808"/>
      <c r="Z59" s="1863">
        <f>SUM('Malaria-Pharmaceuticals'!$V59:$Y59)</f>
        <v>0</v>
      </c>
      <c r="AA59" s="1863">
        <f>'Malaria-Pharmaceuticals'!$U59*'Malaria-Pharmaceuticals'!$Z59</f>
        <v>0</v>
      </c>
      <c r="AB59" s="1968"/>
      <c r="AC59" s="808"/>
      <c r="AD59" s="808"/>
      <c r="AE59" s="808"/>
      <c r="AF59" s="808"/>
      <c r="AG59" s="1863">
        <f>SUM('Malaria-Pharmaceuticals'!$AC59:$AF59)</f>
        <v>0</v>
      </c>
      <c r="AH59" s="1863">
        <f>'Malaria-Pharmaceuticals'!$AB59*'Malaria-Pharmaceuticals'!$AG59</f>
        <v>0</v>
      </c>
      <c r="AI59" s="1864">
        <f>'Malaria-Pharmaceuticals'!$S59+'Malaria-Pharmaceuticals'!$Z59+'Malaria-Pharmaceuticals'!$AG59</f>
        <v>0</v>
      </c>
      <c r="AJ59" s="1863">
        <f>'Malaria-Pharmaceuticals'!$T59+'Malaria-Pharmaceuticals'!$AA59+'Malaria-Pharmaceuticals'!$AH59</f>
        <v>0</v>
      </c>
      <c r="AK59" s="1865" t="str">
        <f>IF(A59&lt;&gt;"",IFERROR(INDEX(PMtbl[[WKst]:[Unit of measure*]],MATCH($A$8&amp;$A59&amp;$E59&amp;$I59,INDEX(PMtbl[Sec]&amp;PMtbl[Category]&amp;PMtbl[INN]&amp;PMtbl[Specification],0,),0),7),""),"")</f>
        <v/>
      </c>
      <c r="AL59" s="957"/>
      <c r="AM59" s="1517" t="str">
        <f>IFERROR(INDEX(SETUP!$C$19:$G$62,MATCH((INDEX(PMtbl[[WKst]:[Unit of measure*]],MATCH($A59&amp;$E59&amp;$I59,INDEX(PMtbl[Category]&amp;PMtbl[INN]&amp;PMtbl[Specification],0,),0),3)),SETUP!$D$19:$D$62,0),5),"")</f>
        <v/>
      </c>
      <c r="AN59" s="1517"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40" ht="15" thickBot="1">
      <c r="A60" s="3022"/>
      <c r="B60" s="3023"/>
      <c r="C60" s="3023"/>
      <c r="D60" s="3023"/>
      <c r="E60" s="3009"/>
      <c r="F60" s="3010"/>
      <c r="G60" s="3010"/>
      <c r="H60" s="3011"/>
      <c r="I60" s="3009"/>
      <c r="J60" s="3010"/>
      <c r="K60" s="3011"/>
      <c r="L60" s="755" t="str">
        <f>IF(A60&lt;&gt;"",IFERROR(INDEX(PMtbl[[WKst]:[Unit of measure*]],MATCH($A$8&amp;$A60&amp;$E60&amp;$I60,INDEX(PMtbl[Sec]&amp;PMtbl[Category]&amp;PMtbl[INN]&amp;PMtbl[Specification],0,),0),8),""),"")</f>
        <v/>
      </c>
      <c r="M60" s="756" t="str">
        <f>IF(L60="", "",SETUP!$E$5)</f>
        <v/>
      </c>
      <c r="N60" s="1971"/>
      <c r="O60" s="1972"/>
      <c r="P60" s="1972"/>
      <c r="Q60" s="1972"/>
      <c r="R60" s="1972"/>
      <c r="S60" s="1869">
        <f>SUM('Malaria-Pharmaceuticals'!$O60:$R60)</f>
        <v>0</v>
      </c>
      <c r="T60" s="1869">
        <f>'Malaria-Pharmaceuticals'!$N60*'Malaria-Pharmaceuticals'!$S60</f>
        <v>0</v>
      </c>
      <c r="U60" s="1971"/>
      <c r="V60" s="1972"/>
      <c r="W60" s="1972"/>
      <c r="X60" s="1972"/>
      <c r="Y60" s="1972"/>
      <c r="Z60" s="1869">
        <f>SUM('Malaria-Pharmaceuticals'!$V60:$Y60)</f>
        <v>0</v>
      </c>
      <c r="AA60" s="1869">
        <f>'Malaria-Pharmaceuticals'!$U60*'Malaria-Pharmaceuticals'!$Z60</f>
        <v>0</v>
      </c>
      <c r="AB60" s="1971"/>
      <c r="AC60" s="1972"/>
      <c r="AD60" s="1972"/>
      <c r="AE60" s="1972"/>
      <c r="AF60" s="1972"/>
      <c r="AG60" s="1869">
        <f>SUM('Malaria-Pharmaceuticals'!$AC60:$AF60)</f>
        <v>0</v>
      </c>
      <c r="AH60" s="1869">
        <f>'Malaria-Pharmaceuticals'!$AB60*'Malaria-Pharmaceuticals'!$AG60</f>
        <v>0</v>
      </c>
      <c r="AI60" s="1870">
        <f>'Malaria-Pharmaceuticals'!$S60+'Malaria-Pharmaceuticals'!$Z60+'Malaria-Pharmaceuticals'!$AG60</f>
        <v>0</v>
      </c>
      <c r="AJ60" s="1869">
        <f>'Malaria-Pharmaceuticals'!$T60+'Malaria-Pharmaceuticals'!$AA60+'Malaria-Pharmaceuticals'!$AH60</f>
        <v>0</v>
      </c>
      <c r="AK60" s="1871" t="str">
        <f>IF(A60&lt;&gt;"",IFERROR(INDEX(PMtbl[[WKst]:[Unit of measure*]],MATCH($A$8&amp;$A60&amp;$E60&amp;$I60,INDEX(PMtbl[Sec]&amp;PMtbl[Category]&amp;PMtbl[INN]&amp;PMtbl[Specification],0,),0),7),""),"")</f>
        <v/>
      </c>
      <c r="AL60" s="955"/>
      <c r="AM60" s="1519" t="str">
        <f>IFERROR(INDEX(SETUP!$C$19:$G$62,MATCH((INDEX(PMtbl[[WKst]:[Unit of measure*]],MATCH($A60&amp;$E60&amp;$I60,INDEX(PMtbl[Category]&amp;PMtbl[INN]&amp;PMtbl[Specification],0,),0),3)),SETUP!$D$19:$D$62,0),5),"")</f>
        <v/>
      </c>
      <c r="AN60" s="1519"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40" ht="15" thickBo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497"/>
      <c r="AH61" s="498"/>
      <c r="AN61" s="62"/>
    </row>
    <row r="62" spans="1:40" ht="15" customHeight="1" thickBot="1">
      <c r="A62" s="2960">
        <v>2</v>
      </c>
      <c r="B62" s="2986" t="s">
        <v>367</v>
      </c>
      <c r="C62" s="2986"/>
      <c r="D62" s="2986"/>
      <c r="E62" s="3012" t="s">
        <v>35</v>
      </c>
      <c r="F62" s="3012"/>
      <c r="G62" s="3013"/>
      <c r="H62" s="2867" t="s">
        <v>368</v>
      </c>
      <c r="I62" s="143"/>
      <c r="J62" s="78"/>
      <c r="K62" s="78"/>
      <c r="L62" s="78"/>
      <c r="M62" s="78"/>
      <c r="N62" s="78"/>
      <c r="O62" s="78"/>
      <c r="P62" s="78"/>
      <c r="Q62" s="78"/>
      <c r="R62" s="78"/>
      <c r="S62" s="78"/>
      <c r="T62" s="78"/>
      <c r="U62" s="78"/>
      <c r="V62" s="78"/>
      <c r="W62" s="78"/>
      <c r="X62" s="78"/>
      <c r="Y62" s="78"/>
      <c r="Z62" s="78"/>
      <c r="AA62" s="78"/>
      <c r="AB62" s="78"/>
      <c r="AC62" s="78"/>
      <c r="AD62" s="78"/>
      <c r="AE62" s="78"/>
      <c r="AF62" s="78"/>
      <c r="AG62" s="499"/>
      <c r="AH62" s="267"/>
      <c r="AN62" s="62"/>
    </row>
    <row r="63" spans="1:40" ht="15" customHeight="1" thickBot="1">
      <c r="A63" s="2961"/>
      <c r="B63" s="2987"/>
      <c r="C63" s="2987"/>
      <c r="D63" s="2987"/>
      <c r="E63" s="2990" t="s">
        <v>369</v>
      </c>
      <c r="F63" s="2990"/>
      <c r="G63" s="2991"/>
      <c r="H63" s="2959"/>
      <c r="I63" s="92"/>
      <c r="J63" s="78"/>
      <c r="K63" s="78"/>
      <c r="L63" s="78"/>
      <c r="M63" s="78"/>
      <c r="N63" s="78"/>
      <c r="O63" s="78"/>
      <c r="P63" s="78"/>
      <c r="Q63" s="78"/>
      <c r="R63" s="78"/>
      <c r="S63" s="78"/>
      <c r="T63" s="78"/>
      <c r="U63" s="78"/>
      <c r="V63" s="78"/>
      <c r="W63" s="78"/>
      <c r="X63" s="78"/>
      <c r="Y63" s="78"/>
      <c r="Z63" s="78"/>
      <c r="AA63" s="78"/>
      <c r="AB63" s="78"/>
      <c r="AC63" s="78"/>
      <c r="AD63" s="78"/>
      <c r="AE63" s="78"/>
      <c r="AF63" s="78"/>
      <c r="AG63" s="499"/>
      <c r="AH63" s="267"/>
      <c r="AN63" s="62"/>
    </row>
    <row r="64" spans="1:40" ht="114.75" customHeight="1">
      <c r="A64" s="2348" t="str">
        <f>IF($L$1=2,Language!$E$618,IF($L$1=3,Language!$F$618,Language!$G$618))</f>
        <v>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4" s="2349"/>
      <c r="C64" s="2349"/>
      <c r="D64" s="2349"/>
      <c r="E64" s="2349"/>
      <c r="F64" s="2349"/>
      <c r="G64" s="2349"/>
      <c r="H64" s="2349"/>
      <c r="I64" s="2349"/>
      <c r="J64" s="2349"/>
      <c r="K64" s="2349"/>
      <c r="L64" s="2349"/>
      <c r="M64" s="2350"/>
      <c r="N64" s="78"/>
      <c r="O64" s="78"/>
      <c r="P64" s="78"/>
      <c r="Q64" s="78"/>
      <c r="R64" s="78"/>
      <c r="S64" s="78"/>
      <c r="T64" s="78"/>
      <c r="U64" s="78"/>
      <c r="V64" s="78"/>
      <c r="W64" s="78"/>
      <c r="X64" s="78"/>
      <c r="Y64" s="78"/>
      <c r="Z64" s="78"/>
      <c r="AA64" s="78"/>
      <c r="AB64" s="78"/>
      <c r="AC64" s="78"/>
      <c r="AD64" s="78"/>
      <c r="AE64" s="82"/>
      <c r="AF64" s="82"/>
      <c r="AG64" s="242"/>
      <c r="AH64" s="82"/>
      <c r="AN64" s="62"/>
    </row>
    <row r="65" spans="1:40" ht="16" thickBot="1">
      <c r="A65" s="83"/>
      <c r="B65" s="84"/>
      <c r="C65" s="660"/>
      <c r="D65" s="85"/>
      <c r="E65" s="85"/>
      <c r="F65" s="86"/>
      <c r="G65" s="86"/>
      <c r="H65" s="86"/>
      <c r="I65" s="86"/>
      <c r="J65" s="86"/>
      <c r="K65" s="86"/>
      <c r="L65" s="87"/>
      <c r="M65" s="86"/>
      <c r="N65" s="86"/>
      <c r="O65" s="86"/>
      <c r="P65" s="86"/>
      <c r="Q65" s="86"/>
      <c r="R65" s="86"/>
      <c r="S65" s="86"/>
      <c r="T65" s="86"/>
      <c r="U65" s="86"/>
      <c r="V65" s="86"/>
      <c r="W65" s="86"/>
      <c r="X65" s="86"/>
      <c r="Y65" s="86"/>
      <c r="Z65" s="86"/>
      <c r="AA65" s="86"/>
      <c r="AB65" s="86"/>
      <c r="AC65" s="86"/>
      <c r="AD65" s="86"/>
      <c r="AE65" s="243"/>
      <c r="AF65" s="243"/>
      <c r="AG65" s="244"/>
      <c r="AH65" s="82"/>
    </row>
    <row r="66" spans="1:40" s="268" customFormat="1" ht="15.75" customHeight="1" thickBot="1">
      <c r="A66" s="2968" t="str">
        <f>A12</f>
        <v>Categoría de productos</v>
      </c>
      <c r="B66" s="2966"/>
      <c r="C66" s="2966"/>
      <c r="D66" s="2966"/>
      <c r="E66" s="2968" t="str">
        <f>E12</f>
        <v>DCI del producto</v>
      </c>
      <c r="F66" s="2966"/>
      <c r="G66" s="2966"/>
      <c r="H66" s="2969"/>
      <c r="I66" s="2972" t="str">
        <f>I12</f>
        <v>Especificaciones (dosificación, forma farmacéutica, empaque, tamaño del empaque)</v>
      </c>
      <c r="J66" s="2973"/>
      <c r="K66" s="2974"/>
      <c r="L66" s="2966" t="str">
        <f>L12</f>
        <v>Unidad de medida</v>
      </c>
      <c r="M66" s="2978" t="str">
        <f>M12</f>
        <v>Moneda de pago</v>
      </c>
      <c r="N66" s="3007">
        <f>N12</f>
        <v>2022</v>
      </c>
      <c r="O66" s="3007"/>
      <c r="P66" s="3007"/>
      <c r="Q66" s="3007"/>
      <c r="R66" s="3007"/>
      <c r="S66" s="3007"/>
      <c r="T66" s="3008"/>
      <c r="U66" s="3006">
        <f>U12</f>
        <v>2023</v>
      </c>
      <c r="V66" s="3007"/>
      <c r="W66" s="3007"/>
      <c r="X66" s="3007"/>
      <c r="Y66" s="3007"/>
      <c r="Z66" s="3007"/>
      <c r="AA66" s="3008"/>
      <c r="AB66" s="3006">
        <f>AB12</f>
        <v>2024</v>
      </c>
      <c r="AC66" s="3007"/>
      <c r="AD66" s="3007"/>
      <c r="AE66" s="3007"/>
      <c r="AF66" s="3007"/>
      <c r="AG66" s="3007"/>
      <c r="AH66" s="3008"/>
      <c r="AI66" s="2964" t="str">
        <f t="shared" ref="AI66:AL67" si="3">AI12</f>
        <v>Total del período de subvención</v>
      </c>
      <c r="AJ66" s="2965">
        <f t="shared" si="3"/>
        <v>0</v>
      </c>
      <c r="AK66" s="245" t="str">
        <f t="shared" si="3"/>
        <v>Finanzas</v>
      </c>
      <c r="AL66" s="3028" t="str">
        <f t="shared" si="3"/>
        <v>Comentarios</v>
      </c>
      <c r="AM66" s="3026" t="str">
        <f>AM12</f>
        <v>Plazo de entrega</v>
      </c>
      <c r="AN66" s="3026" t="s">
        <v>3054</v>
      </c>
    </row>
    <row r="67" spans="1:40" s="323" customFormat="1" ht="39.5" thickBot="1">
      <c r="A67" s="2970"/>
      <c r="B67" s="2967"/>
      <c r="C67" s="2967"/>
      <c r="D67" s="2967"/>
      <c r="E67" s="3030"/>
      <c r="F67" s="3014"/>
      <c r="G67" s="3014"/>
      <c r="H67" s="3031"/>
      <c r="I67" s="2975"/>
      <c r="J67" s="2976"/>
      <c r="K67" s="2977"/>
      <c r="L67" s="3014"/>
      <c r="M67" s="3015"/>
      <c r="N67" s="749" t="str">
        <f t="shared" ref="N67:AG67" si="4">N13</f>
        <v>Costo unitario del A1</v>
      </c>
      <c r="O67" s="749" t="str">
        <f t="shared" si="4"/>
        <v>Cantidad del A1, T1</v>
      </c>
      <c r="P67" s="749" t="str">
        <f t="shared" si="4"/>
        <v>Cantidad del A1, T2</v>
      </c>
      <c r="Q67" s="749" t="str">
        <f t="shared" si="4"/>
        <v>Cantidad del A1, T3</v>
      </c>
      <c r="R67" s="749" t="str">
        <f t="shared" si="4"/>
        <v>Cantidad del A1, T4</v>
      </c>
      <c r="S67" s="749" t="str">
        <f t="shared" si="4"/>
        <v>Cantidad total del A1</v>
      </c>
      <c r="T67" s="750" t="str">
        <f t="shared" si="4"/>
        <v>Costo total del A1</v>
      </c>
      <c r="U67" s="749" t="str">
        <f t="shared" si="4"/>
        <v>Costo unitario del A2</v>
      </c>
      <c r="V67" s="749" t="str">
        <f t="shared" si="4"/>
        <v>Cantidad del A2, T1</v>
      </c>
      <c r="W67" s="749" t="str">
        <f t="shared" si="4"/>
        <v>Cantidad del A2, T2</v>
      </c>
      <c r="X67" s="749" t="str">
        <f t="shared" si="4"/>
        <v>Cantidad del A2, T3</v>
      </c>
      <c r="Y67" s="749" t="str">
        <f t="shared" si="4"/>
        <v>Cantidad del A2, T4</v>
      </c>
      <c r="Z67" s="749" t="str">
        <f t="shared" si="4"/>
        <v>Cantidad total del A2</v>
      </c>
      <c r="AA67" s="750" t="str">
        <f t="shared" si="4"/>
        <v>Costo total del A2</v>
      </c>
      <c r="AB67" s="749" t="str">
        <f t="shared" si="4"/>
        <v>Costo unitario del A3</v>
      </c>
      <c r="AC67" s="749" t="str">
        <f t="shared" si="4"/>
        <v>Cantidad del A3, T1</v>
      </c>
      <c r="AD67" s="749" t="str">
        <f t="shared" si="4"/>
        <v>Cantidad del A3, T2</v>
      </c>
      <c r="AE67" s="749" t="str">
        <f t="shared" si="4"/>
        <v>Cantidad del A3, T3</v>
      </c>
      <c r="AF67" s="749" t="str">
        <f t="shared" si="4"/>
        <v>Cantidad del A3, T4</v>
      </c>
      <c r="AG67" s="749" t="str">
        <f t="shared" si="4"/>
        <v>Cantidad total del A3</v>
      </c>
      <c r="AH67" s="750" t="str">
        <f>AH13</f>
        <v>Costo total del A3</v>
      </c>
      <c r="AI67" s="3032" t="str">
        <f t="shared" si="3"/>
        <v>Cantidad total</v>
      </c>
      <c r="AJ67" s="3033" t="str">
        <f t="shared" si="3"/>
        <v xml:space="preserve">Costo total </v>
      </c>
      <c r="AK67" s="1872" t="str">
        <f t="shared" si="3"/>
        <v>Categoría de costos</v>
      </c>
      <c r="AL67" s="3029"/>
      <c r="AM67" s="3027"/>
      <c r="AN67" s="3027"/>
    </row>
    <row r="68" spans="1:40">
      <c r="A68" s="3016"/>
      <c r="B68" s="3017"/>
      <c r="C68" s="3017"/>
      <c r="D68" s="3017"/>
      <c r="E68" s="2950"/>
      <c r="F68" s="2951"/>
      <c r="G68" s="2951"/>
      <c r="H68" s="2952"/>
      <c r="I68" s="2950"/>
      <c r="J68" s="2951"/>
      <c r="K68" s="2952"/>
      <c r="L68" s="249" t="str">
        <f>IF(A68&lt;&gt;"",IFERROR(INDEX(PMtbl[[WKst]:[Unit of measure*]],MATCH($A$62&amp;$A68&amp;$E68&amp;$I68,INDEX(PMtbl[Sec]&amp;PMtbl[Category]&amp;PMtbl[INN]&amp;PMtbl[Specification],0,),0),8),""),"")</f>
        <v/>
      </c>
      <c r="M68" s="249" t="str">
        <f>IF(L68="", "",SETUP!$E$5)</f>
        <v/>
      </c>
      <c r="N68" s="1105"/>
      <c r="O68" s="751"/>
      <c r="P68" s="751"/>
      <c r="Q68" s="751"/>
      <c r="R68" s="751"/>
      <c r="S68" s="752">
        <f>O68+P68+Q68+R68</f>
        <v>0</v>
      </c>
      <c r="T68" s="753">
        <f>N68*S68</f>
        <v>0</v>
      </c>
      <c r="U68" s="1105"/>
      <c r="V68" s="751"/>
      <c r="W68" s="751"/>
      <c r="X68" s="751"/>
      <c r="Y68" s="751"/>
      <c r="Z68" s="752">
        <f>V68+W68+X68+Y68</f>
        <v>0</v>
      </c>
      <c r="AA68" s="754">
        <f>U68*Z68</f>
        <v>0</v>
      </c>
      <c r="AB68" s="1105"/>
      <c r="AC68" s="751"/>
      <c r="AD68" s="751"/>
      <c r="AE68" s="751"/>
      <c r="AF68" s="751"/>
      <c r="AG68" s="752">
        <f>AC68+AD68+AE68+AF68</f>
        <v>0</v>
      </c>
      <c r="AH68" s="754">
        <f>AB68*AG68</f>
        <v>0</v>
      </c>
      <c r="AI68" s="752">
        <f>S68+Z68+AG68</f>
        <v>0</v>
      </c>
      <c r="AJ68" s="754">
        <f>T68+AA68+AH68</f>
        <v>0</v>
      </c>
      <c r="AK68" s="1408" t="str">
        <f>IF(A68&lt;&gt;"",IFERROR(INDEX(PMtbl[[WKst]:[Unit of measure*]],MATCH($A$62&amp;$A68&amp;$E68&amp;$I68,INDEX(PMtbl[Sec]&amp;PMtbl[Category]&amp;PMtbl[INN]&amp;PMtbl[Specification],0,),0),7),""),"")</f>
        <v/>
      </c>
      <c r="AL68" s="956"/>
      <c r="AM68" s="1408" t="str">
        <f>IFERROR(INDEX(SETUP!$C$19:$G$62,MATCH((INDEX(PMtbl[[WKst]:[Unit of measure*]],MATCH($A68&amp;$E68&amp;$I68,INDEX(PMtbl[Category]&amp;PMtbl[INN]&amp;PMtbl[Specification],0,),0),3)),SETUP!$D$19:$D$62,0),5),"")</f>
        <v/>
      </c>
      <c r="AN68" s="1408"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40">
      <c r="A69" s="3018"/>
      <c r="B69" s="3018"/>
      <c r="C69" s="3018"/>
      <c r="D69" s="3019"/>
      <c r="E69" s="2953"/>
      <c r="F69" s="2304"/>
      <c r="G69" s="2304"/>
      <c r="H69" s="2954"/>
      <c r="I69" s="2953"/>
      <c r="J69" s="2304"/>
      <c r="K69" s="2954"/>
      <c r="L69" s="247" t="str">
        <f>IF(A69&lt;&gt;"",IFERROR(INDEX(PMtbl[[WKst]:[Unit of measure*]],MATCH($A$62&amp;$A69&amp;$E69&amp;$I69,INDEX(PMtbl[Sec]&amp;PMtbl[Category]&amp;PMtbl[INN]&amp;PMtbl[Specification],0,),0),8),""),"")</f>
        <v/>
      </c>
      <c r="M69" s="248" t="str">
        <f>IF(L69="", "",SETUP!$E$5)</f>
        <v/>
      </c>
      <c r="N69" s="1095"/>
      <c r="O69" s="16"/>
      <c r="P69" s="16"/>
      <c r="Q69" s="16"/>
      <c r="R69" s="16"/>
      <c r="S69" s="18">
        <f t="shared" ref="S69:S81" si="5">O69+P69+Q69+R69</f>
        <v>0</v>
      </c>
      <c r="T69" s="19">
        <f t="shared" ref="T69:T81" si="6">N69*S69</f>
        <v>0</v>
      </c>
      <c r="U69" s="1095"/>
      <c r="V69" s="16"/>
      <c r="W69" s="16"/>
      <c r="X69" s="16"/>
      <c r="Y69" s="16"/>
      <c r="Z69" s="18">
        <f t="shared" ref="Z69:Z81" si="7">V69+W69+X69+Y69</f>
        <v>0</v>
      </c>
      <c r="AA69" s="22">
        <f t="shared" ref="AA69:AA81" si="8">U69*Z69</f>
        <v>0</v>
      </c>
      <c r="AB69" s="1095"/>
      <c r="AC69" s="16"/>
      <c r="AD69" s="16"/>
      <c r="AE69" s="16"/>
      <c r="AF69" s="16"/>
      <c r="AG69" s="18">
        <f t="shared" ref="AG69:AG81" si="9">AC69+AD69+AE69+AF69</f>
        <v>0</v>
      </c>
      <c r="AH69" s="22">
        <f t="shared" ref="AH69:AH81" si="10">AB69*AG69</f>
        <v>0</v>
      </c>
      <c r="AI69" s="18">
        <f t="shared" ref="AI69:AI81" si="11">S69+Z69+AG69</f>
        <v>0</v>
      </c>
      <c r="AJ69" s="22">
        <f t="shared" ref="AJ69:AJ81" si="12">T69+AA69+AH69</f>
        <v>0</v>
      </c>
      <c r="AK69" s="1406" t="str">
        <f>IF(A69&lt;&gt;"",IFERROR(INDEX(PMtbl[[WKst]:[Unit of measure*]],MATCH($A$62&amp;$A69&amp;$E69&amp;$I69,INDEX(PMtbl[Sec]&amp;PMtbl[Category]&amp;PMtbl[INN]&amp;PMtbl[Specification],0,),0),7),""),"")</f>
        <v/>
      </c>
      <c r="AL69" s="957"/>
      <c r="AM69" s="1517" t="str">
        <f>IFERROR(INDEX(SETUP!$C$19:$G$62,MATCH((INDEX(PMtbl[[WKst]:[Unit of measure*]],MATCH($A69&amp;$E69&amp;$I69,INDEX(PMtbl[Category]&amp;PMtbl[INN]&amp;PMtbl[Specification],0,),0),3)),SETUP!$D$19:$D$62,0),5),"")</f>
        <v/>
      </c>
      <c r="AN69" s="1517"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40">
      <c r="A70" s="2950"/>
      <c r="B70" s="2951"/>
      <c r="C70" s="2951"/>
      <c r="D70" s="2952"/>
      <c r="E70" s="2950"/>
      <c r="F70" s="2951"/>
      <c r="G70" s="2951"/>
      <c r="H70" s="2952"/>
      <c r="I70" s="2950"/>
      <c r="J70" s="2951"/>
      <c r="K70" s="2952"/>
      <c r="L70" s="249" t="str">
        <f>IF(A70&lt;&gt;"",IFERROR(INDEX(PMtbl[[WKst]:[Unit of measure*]],MATCH($A$62&amp;$A70&amp;$E70&amp;$I70,INDEX(PMtbl[Sec]&amp;PMtbl[Category]&amp;PMtbl[INN]&amp;PMtbl[Specification],0,),0),8),""),"")</f>
        <v/>
      </c>
      <c r="M70" s="249" t="str">
        <f>IF(L70="", "",SETUP!$E$5)</f>
        <v/>
      </c>
      <c r="N70" s="1105"/>
      <c r="O70" s="751"/>
      <c r="P70" s="751"/>
      <c r="Q70" s="751"/>
      <c r="R70" s="751"/>
      <c r="S70" s="752">
        <f t="shared" si="5"/>
        <v>0</v>
      </c>
      <c r="T70" s="753">
        <f t="shared" si="6"/>
        <v>0</v>
      </c>
      <c r="U70" s="1105"/>
      <c r="V70" s="751"/>
      <c r="W70" s="751"/>
      <c r="X70" s="751"/>
      <c r="Y70" s="751"/>
      <c r="Z70" s="752">
        <f t="shared" si="7"/>
        <v>0</v>
      </c>
      <c r="AA70" s="754">
        <f t="shared" si="8"/>
        <v>0</v>
      </c>
      <c r="AB70" s="1105"/>
      <c r="AC70" s="751"/>
      <c r="AD70" s="751"/>
      <c r="AE70" s="751"/>
      <c r="AF70" s="751"/>
      <c r="AG70" s="752">
        <f t="shared" si="9"/>
        <v>0</v>
      </c>
      <c r="AH70" s="754">
        <f t="shared" si="10"/>
        <v>0</v>
      </c>
      <c r="AI70" s="752">
        <f t="shared" si="11"/>
        <v>0</v>
      </c>
      <c r="AJ70" s="754">
        <f t="shared" si="12"/>
        <v>0</v>
      </c>
      <c r="AK70" s="1408" t="str">
        <f>IF(A70&lt;&gt;"",IFERROR(INDEX(PMtbl[[WKst]:[Unit of measure*]],MATCH($A$62&amp;$A70&amp;$E70&amp;$I70,INDEX(PMtbl[Sec]&amp;PMtbl[Category]&amp;PMtbl[INN]&amp;PMtbl[Specification],0,),0),7),""),"")</f>
        <v/>
      </c>
      <c r="AL70" s="956"/>
      <c r="AM70" s="1516" t="str">
        <f>IFERROR(INDEX(SETUP!$C$19:$G$62,MATCH((INDEX(PMtbl[[WKst]:[Unit of measure*]],MATCH($A70&amp;$E70&amp;$I70,INDEX(PMtbl[Category]&amp;PMtbl[INN]&amp;PMtbl[Specification],0,),0),3)),SETUP!$D$19:$D$62,0),5),"")</f>
        <v/>
      </c>
      <c r="AN70" s="1516"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40">
      <c r="A71" s="3018"/>
      <c r="B71" s="3018"/>
      <c r="C71" s="3018"/>
      <c r="D71" s="3019"/>
      <c r="E71" s="2953"/>
      <c r="F71" s="2304"/>
      <c r="G71" s="2304"/>
      <c r="H71" s="2954"/>
      <c r="I71" s="2953"/>
      <c r="J71" s="2304"/>
      <c r="K71" s="2954"/>
      <c r="L71" s="247" t="str">
        <f>IF(A71&lt;&gt;"",IFERROR(INDEX(PMtbl[[WKst]:[Unit of measure*]],MATCH($A$62&amp;$A71&amp;$E71&amp;$I71,INDEX(PMtbl[Sec]&amp;PMtbl[Category]&amp;PMtbl[INN]&amp;PMtbl[Specification],0,),0),8),""),"")</f>
        <v/>
      </c>
      <c r="M71" s="248" t="str">
        <f>IF(L71="", "",SETUP!$E$5)</f>
        <v/>
      </c>
      <c r="N71" s="1095"/>
      <c r="O71" s="16"/>
      <c r="P71" s="16"/>
      <c r="Q71" s="16"/>
      <c r="R71" s="16"/>
      <c r="S71" s="18">
        <f t="shared" si="5"/>
        <v>0</v>
      </c>
      <c r="T71" s="19">
        <f t="shared" si="6"/>
        <v>0</v>
      </c>
      <c r="U71" s="1095"/>
      <c r="V71" s="16"/>
      <c r="W71" s="16"/>
      <c r="X71" s="16"/>
      <c r="Y71" s="16"/>
      <c r="Z71" s="18">
        <f t="shared" si="7"/>
        <v>0</v>
      </c>
      <c r="AA71" s="22">
        <f t="shared" si="8"/>
        <v>0</v>
      </c>
      <c r="AB71" s="1095"/>
      <c r="AC71" s="16"/>
      <c r="AD71" s="16"/>
      <c r="AE71" s="16"/>
      <c r="AF71" s="16"/>
      <c r="AG71" s="18">
        <f t="shared" si="9"/>
        <v>0</v>
      </c>
      <c r="AH71" s="22">
        <f t="shared" si="10"/>
        <v>0</v>
      </c>
      <c r="AI71" s="18">
        <f t="shared" si="11"/>
        <v>0</v>
      </c>
      <c r="AJ71" s="22">
        <f t="shared" si="12"/>
        <v>0</v>
      </c>
      <c r="AK71" s="1406" t="str">
        <f>IF(A71&lt;&gt;"",IFERROR(INDEX(PMtbl[[WKst]:[Unit of measure*]],MATCH($A$62&amp;$A71&amp;$E71&amp;$I71,INDEX(PMtbl[Sec]&amp;PMtbl[Category]&amp;PMtbl[INN]&amp;PMtbl[Specification],0,),0),7),""),"")</f>
        <v/>
      </c>
      <c r="AL71" s="957"/>
      <c r="AM71" s="1517" t="str">
        <f>IFERROR(INDEX(SETUP!$C$19:$G$62,MATCH((INDEX(PMtbl[[WKst]:[Unit of measure*]],MATCH($A71&amp;$E71&amp;$I71,INDEX(PMtbl[Category]&amp;PMtbl[INN]&amp;PMtbl[Specification],0,),0),3)),SETUP!$D$19:$D$62,0),5),"")</f>
        <v/>
      </c>
      <c r="AN71" s="1517"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40">
      <c r="A72" s="2950"/>
      <c r="B72" s="2951"/>
      <c r="C72" s="2951"/>
      <c r="D72" s="2952"/>
      <c r="E72" s="2950"/>
      <c r="F72" s="2951"/>
      <c r="G72" s="2951"/>
      <c r="H72" s="2952"/>
      <c r="I72" s="2950"/>
      <c r="J72" s="2951"/>
      <c r="K72" s="2952"/>
      <c r="L72" s="249" t="str">
        <f>IF(A72&lt;&gt;"",IFERROR(INDEX(PMtbl[[WKst]:[Unit of measure*]],MATCH($A$62&amp;$A72&amp;$E72&amp;$I72,INDEX(PMtbl[Sec]&amp;PMtbl[Category]&amp;PMtbl[INN]&amp;PMtbl[Specification],0,),0),8),""),"")</f>
        <v/>
      </c>
      <c r="M72" s="249" t="str">
        <f>IF(L72="", "",SETUP!$E$5)</f>
        <v/>
      </c>
      <c r="N72" s="1105"/>
      <c r="O72" s="751"/>
      <c r="P72" s="751"/>
      <c r="Q72" s="751"/>
      <c r="R72" s="751"/>
      <c r="S72" s="752">
        <f t="shared" si="5"/>
        <v>0</v>
      </c>
      <c r="T72" s="753">
        <f t="shared" si="6"/>
        <v>0</v>
      </c>
      <c r="U72" s="1105"/>
      <c r="V72" s="751"/>
      <c r="W72" s="751"/>
      <c r="X72" s="751"/>
      <c r="Y72" s="751"/>
      <c r="Z72" s="752">
        <f t="shared" si="7"/>
        <v>0</v>
      </c>
      <c r="AA72" s="754">
        <f t="shared" si="8"/>
        <v>0</v>
      </c>
      <c r="AB72" s="1105"/>
      <c r="AC72" s="751"/>
      <c r="AD72" s="751"/>
      <c r="AE72" s="751"/>
      <c r="AF72" s="751"/>
      <c r="AG72" s="752">
        <f t="shared" si="9"/>
        <v>0</v>
      </c>
      <c r="AH72" s="754">
        <f t="shared" si="10"/>
        <v>0</v>
      </c>
      <c r="AI72" s="752">
        <f t="shared" si="11"/>
        <v>0</v>
      </c>
      <c r="AJ72" s="754">
        <f t="shared" si="12"/>
        <v>0</v>
      </c>
      <c r="AK72" s="1408" t="str">
        <f>IF(A72&lt;&gt;"",IFERROR(INDEX(PMtbl[[WKst]:[Unit of measure*]],MATCH($A$62&amp;$A72&amp;$E72&amp;$I72,INDEX(PMtbl[Sec]&amp;PMtbl[Category]&amp;PMtbl[INN]&amp;PMtbl[Specification],0,),0),7),""),"")</f>
        <v/>
      </c>
      <c r="AL72" s="956"/>
      <c r="AM72" s="1516" t="str">
        <f>IFERROR(INDEX(SETUP!$C$19:$G$62,MATCH((INDEX(PMtbl[[WKst]:[Unit of measure*]],MATCH($A72&amp;$E72&amp;$I72,INDEX(PMtbl[Category]&amp;PMtbl[INN]&amp;PMtbl[Specification],0,),0),3)),SETUP!$D$19:$D$62,0),5),"")</f>
        <v/>
      </c>
      <c r="AN72" s="1516"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40">
      <c r="A73" s="3018"/>
      <c r="B73" s="3018"/>
      <c r="C73" s="3018"/>
      <c r="D73" s="3019"/>
      <c r="E73" s="2953"/>
      <c r="F73" s="2304"/>
      <c r="G73" s="2304"/>
      <c r="H73" s="2954"/>
      <c r="I73" s="2953"/>
      <c r="J73" s="2304"/>
      <c r="K73" s="2954"/>
      <c r="L73" s="247" t="str">
        <f>IF(A73&lt;&gt;"",IFERROR(INDEX(PMtbl[[WKst]:[Unit of measure*]],MATCH($A$62&amp;$A73&amp;$E73&amp;$I73,INDEX(PMtbl[Sec]&amp;PMtbl[Category]&amp;PMtbl[INN]&amp;PMtbl[Specification],0,),0),8),""),"")</f>
        <v/>
      </c>
      <c r="M73" s="248" t="str">
        <f>IF(L73="", "",SETUP!$E$5)</f>
        <v/>
      </c>
      <c r="N73" s="1095"/>
      <c r="O73" s="16"/>
      <c r="P73" s="16"/>
      <c r="Q73" s="16"/>
      <c r="R73" s="16"/>
      <c r="S73" s="18">
        <f t="shared" si="5"/>
        <v>0</v>
      </c>
      <c r="T73" s="19">
        <f t="shared" si="6"/>
        <v>0</v>
      </c>
      <c r="U73" s="1095"/>
      <c r="V73" s="16"/>
      <c r="W73" s="16"/>
      <c r="X73" s="16"/>
      <c r="Y73" s="16"/>
      <c r="Z73" s="18">
        <f t="shared" si="7"/>
        <v>0</v>
      </c>
      <c r="AA73" s="22">
        <f t="shared" si="8"/>
        <v>0</v>
      </c>
      <c r="AB73" s="1095"/>
      <c r="AC73" s="16"/>
      <c r="AD73" s="16"/>
      <c r="AE73" s="16"/>
      <c r="AF73" s="16"/>
      <c r="AG73" s="18">
        <f t="shared" si="9"/>
        <v>0</v>
      </c>
      <c r="AH73" s="22">
        <f t="shared" si="10"/>
        <v>0</v>
      </c>
      <c r="AI73" s="18">
        <f t="shared" si="11"/>
        <v>0</v>
      </c>
      <c r="AJ73" s="22">
        <f t="shared" si="12"/>
        <v>0</v>
      </c>
      <c r="AK73" s="1406" t="str">
        <f>IF(A73&lt;&gt;"",IFERROR(INDEX(PMtbl[[WKst]:[Unit of measure*]],MATCH($A$62&amp;$A73&amp;$E73&amp;$I73,INDEX(PMtbl[Sec]&amp;PMtbl[Category]&amp;PMtbl[INN]&amp;PMtbl[Specification],0,),0),7),""),"")</f>
        <v/>
      </c>
      <c r="AL73" s="957"/>
      <c r="AM73" s="1517" t="str">
        <f>IFERROR(INDEX(SETUP!$C$19:$G$62,MATCH((INDEX(PMtbl[[WKst]:[Unit of measure*]],MATCH($A73&amp;$E73&amp;$I73,INDEX(PMtbl[Category]&amp;PMtbl[INN]&amp;PMtbl[Specification],0,),0),3)),SETUP!$D$19:$D$62,0),5),"")</f>
        <v/>
      </c>
      <c r="AN73" s="1517"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40">
      <c r="A74" s="2950"/>
      <c r="B74" s="2951"/>
      <c r="C74" s="2951"/>
      <c r="D74" s="2952"/>
      <c r="E74" s="2950"/>
      <c r="F74" s="2951"/>
      <c r="G74" s="2951"/>
      <c r="H74" s="2952"/>
      <c r="I74" s="2950"/>
      <c r="J74" s="2951"/>
      <c r="K74" s="2952"/>
      <c r="L74" s="249" t="str">
        <f>IF(A74&lt;&gt;"",IFERROR(INDEX(PMtbl[[WKst]:[Unit of measure*]],MATCH($A$62&amp;$A74&amp;$E74&amp;$I74,INDEX(PMtbl[Sec]&amp;PMtbl[Category]&amp;PMtbl[INN]&amp;PMtbl[Specification],0,),0),8),""),"")</f>
        <v/>
      </c>
      <c r="M74" s="249" t="str">
        <f>IF(L74="", "",SETUP!$E$5)</f>
        <v/>
      </c>
      <c r="N74" s="1105"/>
      <c r="O74" s="751"/>
      <c r="P74" s="751"/>
      <c r="Q74" s="751"/>
      <c r="R74" s="751"/>
      <c r="S74" s="752">
        <f t="shared" si="5"/>
        <v>0</v>
      </c>
      <c r="T74" s="753">
        <f t="shared" si="6"/>
        <v>0</v>
      </c>
      <c r="U74" s="1105"/>
      <c r="V74" s="751"/>
      <c r="W74" s="751"/>
      <c r="X74" s="751"/>
      <c r="Y74" s="751"/>
      <c r="Z74" s="752">
        <f t="shared" si="7"/>
        <v>0</v>
      </c>
      <c r="AA74" s="754">
        <f t="shared" si="8"/>
        <v>0</v>
      </c>
      <c r="AB74" s="1105"/>
      <c r="AC74" s="751"/>
      <c r="AD74" s="751"/>
      <c r="AE74" s="751"/>
      <c r="AF74" s="751"/>
      <c r="AG74" s="752">
        <f t="shared" si="9"/>
        <v>0</v>
      </c>
      <c r="AH74" s="754">
        <f t="shared" si="10"/>
        <v>0</v>
      </c>
      <c r="AI74" s="752">
        <f t="shared" si="11"/>
        <v>0</v>
      </c>
      <c r="AJ74" s="754">
        <f t="shared" si="12"/>
        <v>0</v>
      </c>
      <c r="AK74" s="1408" t="str">
        <f>IF(A74&lt;&gt;"",IFERROR(INDEX(PMtbl[[WKst]:[Unit of measure*]],MATCH($A$62&amp;$A74&amp;$E74&amp;$I74,INDEX(PMtbl[Sec]&amp;PMtbl[Category]&amp;PMtbl[INN]&amp;PMtbl[Specification],0,),0),7),""),"")</f>
        <v/>
      </c>
      <c r="AL74" s="956"/>
      <c r="AM74" s="1516" t="str">
        <f>IFERROR(INDEX(SETUP!$C$19:$G$62,MATCH((INDEX(PMtbl[[WKst]:[Unit of measure*]],MATCH($A74&amp;$E74&amp;$I74,INDEX(PMtbl[Category]&amp;PMtbl[INN]&amp;PMtbl[Specification],0,),0),3)),SETUP!$D$19:$D$62,0),5),"")</f>
        <v/>
      </c>
      <c r="AN74" s="1516"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40">
      <c r="A75" s="3018"/>
      <c r="B75" s="3018"/>
      <c r="C75" s="3018"/>
      <c r="D75" s="3019"/>
      <c r="E75" s="2953"/>
      <c r="F75" s="2304"/>
      <c r="G75" s="2304"/>
      <c r="H75" s="2954"/>
      <c r="I75" s="2953"/>
      <c r="J75" s="2304"/>
      <c r="K75" s="2954"/>
      <c r="L75" s="247" t="str">
        <f>IF(A75&lt;&gt;"",IFERROR(INDEX(PMtbl[[WKst]:[Unit of measure*]],MATCH($A$62&amp;$A75&amp;$E75&amp;$I75,INDEX(PMtbl[Sec]&amp;PMtbl[Category]&amp;PMtbl[INN]&amp;PMtbl[Specification],0,),0),8),""),"")</f>
        <v/>
      </c>
      <c r="M75" s="248" t="str">
        <f>IF(L75="", "",SETUP!$E$5)</f>
        <v/>
      </c>
      <c r="N75" s="1095"/>
      <c r="O75" s="16"/>
      <c r="P75" s="16"/>
      <c r="Q75" s="16"/>
      <c r="R75" s="16"/>
      <c r="S75" s="18">
        <f t="shared" si="5"/>
        <v>0</v>
      </c>
      <c r="T75" s="19">
        <f t="shared" si="6"/>
        <v>0</v>
      </c>
      <c r="U75" s="1095"/>
      <c r="V75" s="16"/>
      <c r="W75" s="16"/>
      <c r="X75" s="16"/>
      <c r="Y75" s="16"/>
      <c r="Z75" s="18">
        <f t="shared" si="7"/>
        <v>0</v>
      </c>
      <c r="AA75" s="22">
        <f t="shared" si="8"/>
        <v>0</v>
      </c>
      <c r="AB75" s="1095"/>
      <c r="AC75" s="16"/>
      <c r="AD75" s="16"/>
      <c r="AE75" s="16"/>
      <c r="AF75" s="16"/>
      <c r="AG75" s="18">
        <f t="shared" si="9"/>
        <v>0</v>
      </c>
      <c r="AH75" s="22">
        <f t="shared" si="10"/>
        <v>0</v>
      </c>
      <c r="AI75" s="18">
        <f t="shared" si="11"/>
        <v>0</v>
      </c>
      <c r="AJ75" s="22">
        <f t="shared" si="12"/>
        <v>0</v>
      </c>
      <c r="AK75" s="1406" t="str">
        <f>IF(A75&lt;&gt;"",IFERROR(INDEX(PMtbl[[WKst]:[Unit of measure*]],MATCH($A$62&amp;$A75&amp;$E75&amp;$I75,INDEX(PMtbl[Sec]&amp;PMtbl[Category]&amp;PMtbl[INN]&amp;PMtbl[Specification],0,),0),7),""),"")</f>
        <v/>
      </c>
      <c r="AL75" s="957"/>
      <c r="AM75" s="1517" t="str">
        <f>IFERROR(INDEX(SETUP!$C$19:$G$62,MATCH((INDEX(PMtbl[[WKst]:[Unit of measure*]],MATCH($A75&amp;$E75&amp;$I75,INDEX(PMtbl[Category]&amp;PMtbl[INN]&amp;PMtbl[Specification],0,),0),3)),SETUP!$D$19:$D$62,0),5),"")</f>
        <v/>
      </c>
      <c r="AN75" s="1517"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40">
      <c r="A76" s="2950"/>
      <c r="B76" s="2951"/>
      <c r="C76" s="2951"/>
      <c r="D76" s="2952"/>
      <c r="E76" s="2950"/>
      <c r="F76" s="2951"/>
      <c r="G76" s="2951"/>
      <c r="H76" s="2952"/>
      <c r="I76" s="2950"/>
      <c r="J76" s="2951"/>
      <c r="K76" s="2952"/>
      <c r="L76" s="249" t="str">
        <f>IF(A76&lt;&gt;"",IFERROR(INDEX(PMtbl[[WKst]:[Unit of measure*]],MATCH($A$62&amp;$A76&amp;$E76&amp;$I76,INDEX(PMtbl[Sec]&amp;PMtbl[Category]&amp;PMtbl[INN]&amp;PMtbl[Specification],0,),0),8),""),"")</f>
        <v/>
      </c>
      <c r="M76" s="249" t="str">
        <f>IF(L76="", "",SETUP!$E$5)</f>
        <v/>
      </c>
      <c r="N76" s="1105"/>
      <c r="O76" s="751"/>
      <c r="P76" s="751"/>
      <c r="Q76" s="751"/>
      <c r="R76" s="751"/>
      <c r="S76" s="752">
        <f t="shared" si="5"/>
        <v>0</v>
      </c>
      <c r="T76" s="753">
        <f t="shared" si="6"/>
        <v>0</v>
      </c>
      <c r="U76" s="1105"/>
      <c r="V76" s="751"/>
      <c r="W76" s="751"/>
      <c r="X76" s="751"/>
      <c r="Y76" s="751"/>
      <c r="Z76" s="752">
        <f t="shared" si="7"/>
        <v>0</v>
      </c>
      <c r="AA76" s="754">
        <f t="shared" si="8"/>
        <v>0</v>
      </c>
      <c r="AB76" s="1105"/>
      <c r="AC76" s="751"/>
      <c r="AD76" s="751"/>
      <c r="AE76" s="751"/>
      <c r="AF76" s="751"/>
      <c r="AG76" s="752">
        <f t="shared" si="9"/>
        <v>0</v>
      </c>
      <c r="AH76" s="754">
        <f t="shared" si="10"/>
        <v>0</v>
      </c>
      <c r="AI76" s="752">
        <f t="shared" si="11"/>
        <v>0</v>
      </c>
      <c r="AJ76" s="754">
        <f t="shared" si="12"/>
        <v>0</v>
      </c>
      <c r="AK76" s="1408" t="str">
        <f>IF(A76&lt;&gt;"",IFERROR(INDEX(PMtbl[[WKst]:[Unit of measure*]],MATCH($A$62&amp;$A76&amp;$E76&amp;$I76,INDEX(PMtbl[Sec]&amp;PMtbl[Category]&amp;PMtbl[INN]&amp;PMtbl[Specification],0,),0),7),""),"")</f>
        <v/>
      </c>
      <c r="AL76" s="956"/>
      <c r="AM76" s="1516" t="str">
        <f>IFERROR(INDEX(SETUP!$C$19:$G$62,MATCH((INDEX(PMtbl[[WKst]:[Unit of measure*]],MATCH($A76&amp;$E76&amp;$I76,INDEX(PMtbl[Category]&amp;PMtbl[INN]&amp;PMtbl[Specification],0,),0),3)),SETUP!$D$19:$D$62,0),5),"")</f>
        <v/>
      </c>
      <c r="AN76" s="1516"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40">
      <c r="A77" s="2955"/>
      <c r="B77" s="2955"/>
      <c r="C77" s="2955"/>
      <c r="D77" s="2956"/>
      <c r="E77" s="2953"/>
      <c r="F77" s="2304"/>
      <c r="G77" s="2304"/>
      <c r="H77" s="2954"/>
      <c r="I77" s="2953"/>
      <c r="J77" s="2304"/>
      <c r="K77" s="2954"/>
      <c r="L77" s="247" t="str">
        <f>IF(A77&lt;&gt;"",IFERROR(INDEX(PMtbl[[WKst]:[Unit of measure*]],MATCH($A$62&amp;$A77&amp;$E77&amp;$I77,INDEX(PMtbl[Sec]&amp;PMtbl[Category]&amp;PMtbl[INN]&amp;PMtbl[Specification],0,),0),8),""),"")</f>
        <v/>
      </c>
      <c r="M77" s="248" t="str">
        <f>IF(L77="", "",SETUP!$E$5)</f>
        <v/>
      </c>
      <c r="N77" s="1095"/>
      <c r="O77" s="16"/>
      <c r="P77" s="16"/>
      <c r="Q77" s="16"/>
      <c r="R77" s="16"/>
      <c r="S77" s="18">
        <f t="shared" si="5"/>
        <v>0</v>
      </c>
      <c r="T77" s="19">
        <f t="shared" si="6"/>
        <v>0</v>
      </c>
      <c r="U77" s="1095"/>
      <c r="V77" s="16"/>
      <c r="W77" s="16"/>
      <c r="X77" s="16"/>
      <c r="Y77" s="16"/>
      <c r="Z77" s="18">
        <f t="shared" si="7"/>
        <v>0</v>
      </c>
      <c r="AA77" s="22">
        <f t="shared" si="8"/>
        <v>0</v>
      </c>
      <c r="AB77" s="1095"/>
      <c r="AC77" s="16"/>
      <c r="AD77" s="16"/>
      <c r="AE77" s="16"/>
      <c r="AF77" s="16"/>
      <c r="AG77" s="18">
        <f t="shared" si="9"/>
        <v>0</v>
      </c>
      <c r="AH77" s="22">
        <f t="shared" si="10"/>
        <v>0</v>
      </c>
      <c r="AI77" s="18">
        <f t="shared" si="11"/>
        <v>0</v>
      </c>
      <c r="AJ77" s="22">
        <f t="shared" si="12"/>
        <v>0</v>
      </c>
      <c r="AK77" s="1406" t="str">
        <f>IF(A77&lt;&gt;"",IFERROR(INDEX(PMtbl[[WKst]:[Unit of measure*]],MATCH($A$62&amp;$A77&amp;$E77&amp;$I77,INDEX(PMtbl[Sec]&amp;PMtbl[Category]&amp;PMtbl[INN]&amp;PMtbl[Specification],0,),0),7),""),"")</f>
        <v/>
      </c>
      <c r="AL77" s="957"/>
      <c r="AM77" s="957" t="str">
        <f>IFERROR(INDEX(SETUP!$C$19:$G$62,MATCH((INDEX(PMtbl[[WKst]:[Unit of measure*]],MATCH($A77&amp;$E77&amp;$I77,INDEX(PMtbl[Category]&amp;PMtbl[INN]&amp;PMtbl[Specification],0,),0),3)),SETUP!$D$19:$D$62,0),5),"")</f>
        <v/>
      </c>
      <c r="AN77" s="957"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40">
      <c r="A78" s="2950"/>
      <c r="B78" s="2951"/>
      <c r="C78" s="2951"/>
      <c r="D78" s="2952"/>
      <c r="E78" s="2950"/>
      <c r="F78" s="2951"/>
      <c r="G78" s="2951"/>
      <c r="H78" s="2952"/>
      <c r="I78" s="2950"/>
      <c r="J78" s="2951"/>
      <c r="K78" s="2952"/>
      <c r="L78" s="249" t="str">
        <f>IF(A78&lt;&gt;"",IFERROR(INDEX(PMtbl[[WKst]:[Unit of measure*]],MATCH($A$62&amp;$A78&amp;$E78&amp;$I78,INDEX(PMtbl[Sec]&amp;PMtbl[Category]&amp;PMtbl[INN]&amp;PMtbl[Specification],0,),0),8),""),"")</f>
        <v/>
      </c>
      <c r="M78" s="249" t="str">
        <f>IF(L78="", "",SETUP!$E$5)</f>
        <v/>
      </c>
      <c r="N78" s="1105"/>
      <c r="O78" s="751"/>
      <c r="P78" s="751"/>
      <c r="Q78" s="751"/>
      <c r="R78" s="751"/>
      <c r="S78" s="752">
        <f t="shared" si="5"/>
        <v>0</v>
      </c>
      <c r="T78" s="753">
        <f t="shared" si="6"/>
        <v>0</v>
      </c>
      <c r="U78" s="1105"/>
      <c r="V78" s="751"/>
      <c r="W78" s="751"/>
      <c r="X78" s="751"/>
      <c r="Y78" s="751"/>
      <c r="Z78" s="752">
        <f t="shared" si="7"/>
        <v>0</v>
      </c>
      <c r="AA78" s="754">
        <f t="shared" si="8"/>
        <v>0</v>
      </c>
      <c r="AB78" s="1105"/>
      <c r="AC78" s="751"/>
      <c r="AD78" s="751"/>
      <c r="AE78" s="751"/>
      <c r="AF78" s="751"/>
      <c r="AG78" s="752">
        <f t="shared" si="9"/>
        <v>0</v>
      </c>
      <c r="AH78" s="754">
        <f t="shared" si="10"/>
        <v>0</v>
      </c>
      <c r="AI78" s="752">
        <f t="shared" si="11"/>
        <v>0</v>
      </c>
      <c r="AJ78" s="754">
        <f t="shared" si="12"/>
        <v>0</v>
      </c>
      <c r="AK78" s="1408" t="str">
        <f>IF(A78&lt;&gt;"",IFERROR(INDEX(PMtbl[[WKst]:[Unit of measure*]],MATCH($A$62&amp;$A78&amp;$E78&amp;$I78,INDEX(PMtbl[Sec]&amp;PMtbl[Category]&amp;PMtbl[INN]&amp;PMtbl[Specification],0,),0),7),""),"")</f>
        <v/>
      </c>
      <c r="AL78" s="956"/>
      <c r="AM78" s="1408" t="str">
        <f>IFERROR(INDEX(SETUP!$C$19:$G$62,MATCH((INDEX(PMtbl[[WKst]:[Unit of measure*]],MATCH($A78&amp;$E78&amp;$I78,INDEX(PMtbl[Category]&amp;PMtbl[INN]&amp;PMtbl[Specification],0,),0),3)),SETUP!$D$19:$D$62,0),5),"")</f>
        <v/>
      </c>
      <c r="AN78" s="1408"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40">
      <c r="A79" s="2955"/>
      <c r="B79" s="2955"/>
      <c r="C79" s="2955"/>
      <c r="D79" s="2956"/>
      <c r="E79" s="2953"/>
      <c r="F79" s="2304"/>
      <c r="G79" s="2304"/>
      <c r="H79" s="2954"/>
      <c r="I79" s="2953"/>
      <c r="J79" s="2304"/>
      <c r="K79" s="2954"/>
      <c r="L79" s="247" t="str">
        <f>IF(A79&lt;&gt;"",IFERROR(INDEX(PMtbl[[WKst]:[Unit of measure*]],MATCH($A$62&amp;$A79&amp;$E79&amp;$I79,INDEX(PMtbl[Sec]&amp;PMtbl[Category]&amp;PMtbl[INN]&amp;PMtbl[Specification],0,),0),8),""),"")</f>
        <v/>
      </c>
      <c r="M79" s="248" t="str">
        <f>IF(L79="", "",SETUP!$E$5)</f>
        <v/>
      </c>
      <c r="N79" s="1095"/>
      <c r="O79" s="16"/>
      <c r="P79" s="16"/>
      <c r="Q79" s="16"/>
      <c r="R79" s="16"/>
      <c r="S79" s="18">
        <f t="shared" si="5"/>
        <v>0</v>
      </c>
      <c r="T79" s="19">
        <f t="shared" si="6"/>
        <v>0</v>
      </c>
      <c r="U79" s="1095"/>
      <c r="V79" s="16"/>
      <c r="W79" s="16"/>
      <c r="X79" s="16"/>
      <c r="Y79" s="16"/>
      <c r="Z79" s="18">
        <f t="shared" si="7"/>
        <v>0</v>
      </c>
      <c r="AA79" s="22">
        <f t="shared" si="8"/>
        <v>0</v>
      </c>
      <c r="AB79" s="1095"/>
      <c r="AC79" s="16"/>
      <c r="AD79" s="16"/>
      <c r="AE79" s="16"/>
      <c r="AF79" s="16"/>
      <c r="AG79" s="18">
        <f t="shared" si="9"/>
        <v>0</v>
      </c>
      <c r="AH79" s="22">
        <f t="shared" si="10"/>
        <v>0</v>
      </c>
      <c r="AI79" s="18">
        <f t="shared" si="11"/>
        <v>0</v>
      </c>
      <c r="AJ79" s="22">
        <f t="shared" si="12"/>
        <v>0</v>
      </c>
      <c r="AK79" s="1406" t="str">
        <f>IF(A79&lt;&gt;"",IFERROR(INDEX(PMtbl[[WKst]:[Unit of measure*]],MATCH($A$62&amp;$A79&amp;$E79&amp;$I79,INDEX(PMtbl[Sec]&amp;PMtbl[Category]&amp;PMtbl[INN]&amp;PMtbl[Specification],0,),0),7),""),"")</f>
        <v/>
      </c>
      <c r="AL79" s="957"/>
      <c r="AM79" s="957" t="str">
        <f>IFERROR(INDEX(SETUP!$C$19:$G$62,MATCH((INDEX(PMtbl[[WKst]:[Unit of measure*]],MATCH($A79&amp;$E79&amp;$I79,INDEX(PMtbl[Category]&amp;PMtbl[INN]&amp;PMtbl[Specification],0,),0),3)),SETUP!$D$19:$D$62,0),5),"")</f>
        <v/>
      </c>
      <c r="AN79" s="957"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40">
      <c r="A80" s="2950"/>
      <c r="B80" s="2951"/>
      <c r="C80" s="2951"/>
      <c r="D80" s="2952"/>
      <c r="E80" s="2950"/>
      <c r="F80" s="2951"/>
      <c r="G80" s="2951"/>
      <c r="H80" s="2952"/>
      <c r="I80" s="2950"/>
      <c r="J80" s="2951"/>
      <c r="K80" s="2952"/>
      <c r="L80" s="249" t="str">
        <f>IF(A80&lt;&gt;"",IFERROR(INDEX(PMtbl[[WKst]:[Unit of measure*]],MATCH($A$62&amp;$A80&amp;$E80&amp;$I80,INDEX(PMtbl[Sec]&amp;PMtbl[Category]&amp;PMtbl[INN]&amp;PMtbl[Specification],0,),0),8),""),"")</f>
        <v/>
      </c>
      <c r="M80" s="249" t="str">
        <f>IF(L80="", "",SETUP!$E$5)</f>
        <v/>
      </c>
      <c r="N80" s="1105"/>
      <c r="O80" s="751"/>
      <c r="P80" s="751"/>
      <c r="Q80" s="751"/>
      <c r="R80" s="751"/>
      <c r="S80" s="752">
        <f t="shared" si="5"/>
        <v>0</v>
      </c>
      <c r="T80" s="753">
        <f t="shared" si="6"/>
        <v>0</v>
      </c>
      <c r="U80" s="1105"/>
      <c r="V80" s="751"/>
      <c r="W80" s="751"/>
      <c r="X80" s="751"/>
      <c r="Y80" s="751"/>
      <c r="Z80" s="752">
        <f t="shared" si="7"/>
        <v>0</v>
      </c>
      <c r="AA80" s="754">
        <f t="shared" si="8"/>
        <v>0</v>
      </c>
      <c r="AB80" s="1105"/>
      <c r="AC80" s="751"/>
      <c r="AD80" s="751"/>
      <c r="AE80" s="751"/>
      <c r="AF80" s="751"/>
      <c r="AG80" s="752">
        <f t="shared" si="9"/>
        <v>0</v>
      </c>
      <c r="AH80" s="754">
        <f t="shared" si="10"/>
        <v>0</v>
      </c>
      <c r="AI80" s="752">
        <f t="shared" si="11"/>
        <v>0</v>
      </c>
      <c r="AJ80" s="754">
        <f t="shared" si="12"/>
        <v>0</v>
      </c>
      <c r="AK80" s="1408" t="str">
        <f>IF(A80&lt;&gt;"",IFERROR(INDEX(PMtbl[[WKst]:[Unit of measure*]],MATCH($A$62&amp;$A80&amp;$E80&amp;$I80,INDEX(PMtbl[Sec]&amp;PMtbl[Category]&amp;PMtbl[INN]&amp;PMtbl[Specification],0,),0),7),""),"")</f>
        <v/>
      </c>
      <c r="AL80" s="956"/>
      <c r="AM80" s="1408" t="str">
        <f>IFERROR(INDEX(SETUP!$C$19:$G$62,MATCH((INDEX(PMtbl[[WKst]:[Unit of measure*]],MATCH($A80&amp;$E80&amp;$I80,INDEX(PMtbl[Category]&amp;PMtbl[INN]&amp;PMtbl[Specification],0,),0),3)),SETUP!$D$19:$D$62,0),5),"")</f>
        <v/>
      </c>
      <c r="AN80" s="1408"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40">
      <c r="A81" s="2955"/>
      <c r="B81" s="2955"/>
      <c r="C81" s="2955"/>
      <c r="D81" s="2956"/>
      <c r="E81" s="2953"/>
      <c r="F81" s="2304"/>
      <c r="G81" s="2304"/>
      <c r="H81" s="2954"/>
      <c r="I81" s="2953"/>
      <c r="J81" s="2304"/>
      <c r="K81" s="2954"/>
      <c r="L81" s="247" t="str">
        <f>IF(A81&lt;&gt;"",IFERROR(INDEX(PMtbl[[WKst]:[Unit of measure*]],MATCH($A$62&amp;$A81&amp;$E81&amp;$I81,INDEX(PMtbl[Sec]&amp;PMtbl[Category]&amp;PMtbl[INN]&amp;PMtbl[Specification],0,),0),8),""),"")</f>
        <v/>
      </c>
      <c r="M81" s="248" t="str">
        <f>IF(L81="", "",SETUP!$E$5)</f>
        <v/>
      </c>
      <c r="N81" s="1095"/>
      <c r="O81" s="16"/>
      <c r="P81" s="16"/>
      <c r="Q81" s="16"/>
      <c r="R81" s="16"/>
      <c r="S81" s="18">
        <f t="shared" si="5"/>
        <v>0</v>
      </c>
      <c r="T81" s="19">
        <f t="shared" si="6"/>
        <v>0</v>
      </c>
      <c r="U81" s="1095"/>
      <c r="V81" s="16"/>
      <c r="W81" s="16"/>
      <c r="X81" s="16"/>
      <c r="Y81" s="16"/>
      <c r="Z81" s="18">
        <f t="shared" si="7"/>
        <v>0</v>
      </c>
      <c r="AA81" s="22">
        <f t="shared" si="8"/>
        <v>0</v>
      </c>
      <c r="AB81" s="1095"/>
      <c r="AC81" s="16"/>
      <c r="AD81" s="16"/>
      <c r="AE81" s="16"/>
      <c r="AF81" s="16"/>
      <c r="AG81" s="18">
        <f t="shared" si="9"/>
        <v>0</v>
      </c>
      <c r="AH81" s="22">
        <f t="shared" si="10"/>
        <v>0</v>
      </c>
      <c r="AI81" s="18">
        <f t="shared" si="11"/>
        <v>0</v>
      </c>
      <c r="AJ81" s="22">
        <f t="shared" si="12"/>
        <v>0</v>
      </c>
      <c r="AK81" s="1406" t="str">
        <f>IF(A81&lt;&gt;"",IFERROR(INDEX(PMtbl[[WKst]:[Unit of measure*]],MATCH($A$62&amp;$A81&amp;$E81&amp;$I81,INDEX(PMtbl[Sec]&amp;PMtbl[Category]&amp;PMtbl[INN]&amp;PMtbl[Specification],0,),0),7),""),"")</f>
        <v/>
      </c>
      <c r="AL81" s="957"/>
      <c r="AM81" s="957" t="str">
        <f>IFERROR(INDEX(SETUP!$C$19:$G$62,MATCH((INDEX(PMtbl[[WKst]:[Unit of measure*]],MATCH($A81&amp;$E81&amp;$I81,INDEX(PMtbl[Category]&amp;PMtbl[INN]&amp;PMtbl[Specification],0,),0),3)),SETUP!$D$19:$D$62,0),5),"")</f>
        <v/>
      </c>
      <c r="AN81" s="957"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40">
      <c r="A82" s="2950"/>
      <c r="B82" s="2951"/>
      <c r="C82" s="2951"/>
      <c r="D82" s="2952"/>
      <c r="E82" s="2950"/>
      <c r="F82" s="2951"/>
      <c r="G82" s="2951"/>
      <c r="H82" s="2952"/>
      <c r="I82" s="2950"/>
      <c r="J82" s="2951"/>
      <c r="K82" s="2952"/>
      <c r="L82" s="249" t="str">
        <f>IF(A82&lt;&gt;"",IFERROR(INDEX(PMtbl[[WKst]:[Unit of measure*]],MATCH($A$62&amp;$A82&amp;$E82&amp;$I82,INDEX(PMtbl[Sec]&amp;PMtbl[Category]&amp;PMtbl[INN]&amp;PMtbl[Specification],0,),0),8),""),"")</f>
        <v/>
      </c>
      <c r="M82" s="249" t="str">
        <f>IF(L82="", "",SETUP!$E$5)</f>
        <v/>
      </c>
      <c r="N82" s="1105"/>
      <c r="O82" s="751"/>
      <c r="P82" s="751"/>
      <c r="Q82" s="751"/>
      <c r="R82" s="751"/>
      <c r="S82" s="752">
        <f t="shared" ref="S82:S87" si="13">O82+P82+Q82+R82</f>
        <v>0</v>
      </c>
      <c r="T82" s="753">
        <f t="shared" ref="T82:T87" si="14">N82*S82</f>
        <v>0</v>
      </c>
      <c r="U82" s="1105"/>
      <c r="V82" s="751"/>
      <c r="W82" s="751"/>
      <c r="X82" s="751"/>
      <c r="Y82" s="751"/>
      <c r="Z82" s="752">
        <f t="shared" ref="Z82:Z87" si="15">V82+W82+X82+Y82</f>
        <v>0</v>
      </c>
      <c r="AA82" s="754">
        <f t="shared" ref="AA82:AA87" si="16">U82*Z82</f>
        <v>0</v>
      </c>
      <c r="AB82" s="1105"/>
      <c r="AC82" s="751"/>
      <c r="AD82" s="751"/>
      <c r="AE82" s="751"/>
      <c r="AF82" s="751"/>
      <c r="AG82" s="752">
        <f t="shared" ref="AG82:AG87" si="17">AC82+AD82+AE82+AF82</f>
        <v>0</v>
      </c>
      <c r="AH82" s="754">
        <f t="shared" ref="AH82:AH87" si="18">AB82*AG82</f>
        <v>0</v>
      </c>
      <c r="AI82" s="752">
        <f t="shared" ref="AI82:AI87" si="19">S82+Z82+AG82</f>
        <v>0</v>
      </c>
      <c r="AJ82" s="754">
        <f t="shared" ref="AJ82:AJ87" si="20">T82+AA82+AH82</f>
        <v>0</v>
      </c>
      <c r="AK82" s="1408" t="str">
        <f>IF(A82&lt;&gt;"",IFERROR(INDEX(PMtbl[[WKst]:[Unit of measure*]],MATCH($A$62&amp;$A82&amp;$E82&amp;$I82,INDEX(PMtbl[Sec]&amp;PMtbl[Category]&amp;PMtbl[INN]&amp;PMtbl[Specification],0,),0),7),""),"")</f>
        <v/>
      </c>
      <c r="AL82" s="956"/>
      <c r="AM82" s="956" t="str">
        <f>IFERROR(INDEX(SETUP!$C$19:$G$62,MATCH((INDEX(PMtbl[[WKst]:[Unit of measure*]],MATCH($A82&amp;$E82&amp;$I82,INDEX(PMtbl[Category]&amp;PMtbl[INN]&amp;PMtbl[Specification],0,),0),3)),SETUP!$D$19:$D$62,0),5),"")</f>
        <v/>
      </c>
      <c r="AN82" s="956"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40">
      <c r="A83" s="2955"/>
      <c r="B83" s="2955"/>
      <c r="C83" s="2955"/>
      <c r="D83" s="2956"/>
      <c r="E83" s="2953"/>
      <c r="F83" s="2304"/>
      <c r="G83" s="2304"/>
      <c r="H83" s="2954"/>
      <c r="I83" s="2953"/>
      <c r="J83" s="2304"/>
      <c r="K83" s="2954"/>
      <c r="L83" s="247" t="str">
        <f>IF(A83&lt;&gt;"",IFERROR(INDEX(PMtbl[[WKst]:[Unit of measure*]],MATCH($A$62&amp;$A83&amp;$E83&amp;$I83,INDEX(PMtbl[Sec]&amp;PMtbl[Category]&amp;PMtbl[INN]&amp;PMtbl[Specification],0,),0),8),""),"")</f>
        <v/>
      </c>
      <c r="M83" s="248" t="str">
        <f>IF(L83="", "",SETUP!$E$5)</f>
        <v/>
      </c>
      <c r="N83" s="1095"/>
      <c r="O83" s="16"/>
      <c r="P83" s="16"/>
      <c r="Q83" s="16"/>
      <c r="R83" s="16"/>
      <c r="S83" s="18">
        <f t="shared" si="13"/>
        <v>0</v>
      </c>
      <c r="T83" s="19">
        <f t="shared" si="14"/>
        <v>0</v>
      </c>
      <c r="U83" s="1095"/>
      <c r="V83" s="16"/>
      <c r="W83" s="16"/>
      <c r="X83" s="16"/>
      <c r="Y83" s="16"/>
      <c r="Z83" s="18">
        <f t="shared" si="15"/>
        <v>0</v>
      </c>
      <c r="AA83" s="22">
        <f t="shared" si="16"/>
        <v>0</v>
      </c>
      <c r="AB83" s="1095"/>
      <c r="AC83" s="16"/>
      <c r="AD83" s="16"/>
      <c r="AE83" s="16"/>
      <c r="AF83" s="16"/>
      <c r="AG83" s="18">
        <f t="shared" si="17"/>
        <v>0</v>
      </c>
      <c r="AH83" s="22">
        <f t="shared" si="18"/>
        <v>0</v>
      </c>
      <c r="AI83" s="18">
        <f t="shared" si="19"/>
        <v>0</v>
      </c>
      <c r="AJ83" s="22">
        <f t="shared" si="20"/>
        <v>0</v>
      </c>
      <c r="AK83" s="1406" t="str">
        <f>IF(A83&lt;&gt;"",IFERROR(INDEX(PMtbl[[WKst]:[Unit of measure*]],MATCH($A$62&amp;$A83&amp;$E83&amp;$I83,INDEX(PMtbl[Sec]&amp;PMtbl[Category]&amp;PMtbl[INN]&amp;PMtbl[Specification],0,),0),7),""),"")</f>
        <v/>
      </c>
      <c r="AL83" s="957"/>
      <c r="AM83" s="957" t="str">
        <f>IFERROR(INDEX(SETUP!$C$19:$G$62,MATCH((INDEX(PMtbl[[WKst]:[Unit of measure*]],MATCH($A83&amp;$E83&amp;$I83,INDEX(PMtbl[Category]&amp;PMtbl[INN]&amp;PMtbl[Specification],0,),0),3)),SETUP!$D$19:$D$62,0),5),"")</f>
        <v/>
      </c>
      <c r="AN83" s="957"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40">
      <c r="A84" s="2957"/>
      <c r="B84" s="2957"/>
      <c r="C84" s="2957"/>
      <c r="D84" s="2958"/>
      <c r="E84" s="2950"/>
      <c r="F84" s="2951"/>
      <c r="G84" s="2951"/>
      <c r="H84" s="2952"/>
      <c r="I84" s="2950"/>
      <c r="J84" s="2951"/>
      <c r="K84" s="2952"/>
      <c r="L84" s="249" t="str">
        <f>IF(A84&lt;&gt;"",IFERROR(INDEX(PMtbl[[WKst]:[Unit of measure*]],MATCH($A$62&amp;$A84&amp;$E84&amp;$I84,INDEX(PMtbl[Sec]&amp;PMtbl[Category]&amp;PMtbl[INN]&amp;PMtbl[Specification],0,),0),8),""),"")</f>
        <v/>
      </c>
      <c r="M84" s="249" t="str">
        <f>IF(L84="", "",SETUP!$E$5)</f>
        <v/>
      </c>
      <c r="N84" s="1105"/>
      <c r="O84" s="751"/>
      <c r="P84" s="751"/>
      <c r="Q84" s="751"/>
      <c r="R84" s="751"/>
      <c r="S84" s="752">
        <f t="shared" si="13"/>
        <v>0</v>
      </c>
      <c r="T84" s="753">
        <f t="shared" si="14"/>
        <v>0</v>
      </c>
      <c r="U84" s="1105"/>
      <c r="V84" s="751"/>
      <c r="W84" s="751"/>
      <c r="X84" s="751"/>
      <c r="Y84" s="751"/>
      <c r="Z84" s="752">
        <f t="shared" si="15"/>
        <v>0</v>
      </c>
      <c r="AA84" s="754">
        <f t="shared" si="16"/>
        <v>0</v>
      </c>
      <c r="AB84" s="1105"/>
      <c r="AC84" s="751"/>
      <c r="AD84" s="751"/>
      <c r="AE84" s="751"/>
      <c r="AF84" s="751"/>
      <c r="AG84" s="752">
        <f t="shared" si="17"/>
        <v>0</v>
      </c>
      <c r="AH84" s="754">
        <f t="shared" si="18"/>
        <v>0</v>
      </c>
      <c r="AI84" s="752">
        <f t="shared" si="19"/>
        <v>0</v>
      </c>
      <c r="AJ84" s="754">
        <f t="shared" si="20"/>
        <v>0</v>
      </c>
      <c r="AK84" s="1408" t="str">
        <f>IF(A84&lt;&gt;"",IFERROR(INDEX(PMtbl[[WKst]:[Unit of measure*]],MATCH($A$62&amp;$A84&amp;$E84&amp;$I84,INDEX(PMtbl[Sec]&amp;PMtbl[Category]&amp;PMtbl[INN]&amp;PMtbl[Specification],0,),0),7),""),"")</f>
        <v/>
      </c>
      <c r="AL84" s="956"/>
      <c r="AM84" s="956" t="str">
        <f>IFERROR(INDEX(SETUP!$C$19:$G$62,MATCH((INDEX(PMtbl[[WKst]:[Unit of measure*]],MATCH($A84&amp;$E84&amp;$I84,INDEX(PMtbl[Category]&amp;PMtbl[INN]&amp;PMtbl[Specification],0,),0),3)),SETUP!$D$19:$D$62,0),5),"")</f>
        <v/>
      </c>
      <c r="AN84" s="956"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40">
      <c r="A85" s="2955"/>
      <c r="B85" s="2955"/>
      <c r="C85" s="2955"/>
      <c r="D85" s="2956"/>
      <c r="E85" s="2953"/>
      <c r="F85" s="2304"/>
      <c r="G85" s="2304"/>
      <c r="H85" s="2954"/>
      <c r="I85" s="2953"/>
      <c r="J85" s="2304"/>
      <c r="K85" s="2954"/>
      <c r="L85" s="247" t="str">
        <f>IF(A85&lt;&gt;"",IFERROR(INDEX(PMtbl[[WKst]:[Unit of measure*]],MATCH($A$62&amp;$A85&amp;$E85&amp;$I85,INDEX(PMtbl[Sec]&amp;PMtbl[Category]&amp;PMtbl[INN]&amp;PMtbl[Specification],0,),0),8),""),"")</f>
        <v/>
      </c>
      <c r="M85" s="248" t="str">
        <f>IF(L85="", "",SETUP!$E$5)</f>
        <v/>
      </c>
      <c r="N85" s="1095"/>
      <c r="O85" s="16"/>
      <c r="P85" s="16"/>
      <c r="Q85" s="16"/>
      <c r="R85" s="16"/>
      <c r="S85" s="18">
        <f t="shared" si="13"/>
        <v>0</v>
      </c>
      <c r="T85" s="19">
        <f t="shared" si="14"/>
        <v>0</v>
      </c>
      <c r="U85" s="1095"/>
      <c r="V85" s="16"/>
      <c r="W85" s="16"/>
      <c r="X85" s="16"/>
      <c r="Y85" s="16"/>
      <c r="Z85" s="18">
        <f t="shared" si="15"/>
        <v>0</v>
      </c>
      <c r="AA85" s="22">
        <f t="shared" si="16"/>
        <v>0</v>
      </c>
      <c r="AB85" s="1095"/>
      <c r="AC85" s="16"/>
      <c r="AD85" s="16"/>
      <c r="AE85" s="16"/>
      <c r="AF85" s="16"/>
      <c r="AG85" s="18">
        <f t="shared" si="17"/>
        <v>0</v>
      </c>
      <c r="AH85" s="22">
        <f t="shared" si="18"/>
        <v>0</v>
      </c>
      <c r="AI85" s="18">
        <f t="shared" si="19"/>
        <v>0</v>
      </c>
      <c r="AJ85" s="22">
        <f t="shared" si="20"/>
        <v>0</v>
      </c>
      <c r="AK85" s="1406" t="str">
        <f>IF(A85&lt;&gt;"",IFERROR(INDEX(PMtbl[[WKst]:[Unit of measure*]],MATCH($A$62&amp;$A85&amp;$E85&amp;$I85,INDEX(PMtbl[Sec]&amp;PMtbl[Category]&amp;PMtbl[INN]&amp;PMtbl[Specification],0,),0),7),""),"")</f>
        <v/>
      </c>
      <c r="AL85" s="957"/>
      <c r="AM85" s="957" t="str">
        <f>IFERROR(INDEX(SETUP!$C$19:$G$62,MATCH((INDEX(PMtbl[[WKst]:[Unit of measure*]],MATCH($A85&amp;$E85&amp;$I85,INDEX(PMtbl[Category]&amp;PMtbl[INN]&amp;PMtbl[Specification],0,),0),3)),SETUP!$D$19:$D$62,0),5),"")</f>
        <v/>
      </c>
      <c r="AN85" s="957"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40">
      <c r="A86" s="2957"/>
      <c r="B86" s="2957"/>
      <c r="C86" s="2957"/>
      <c r="D86" s="2958"/>
      <c r="E86" s="2950"/>
      <c r="F86" s="2951"/>
      <c r="G86" s="2951"/>
      <c r="H86" s="2952"/>
      <c r="I86" s="2950"/>
      <c r="J86" s="2951"/>
      <c r="K86" s="2952"/>
      <c r="L86" s="249" t="str">
        <f>IF(A86&lt;&gt;"",IFERROR(INDEX(PMtbl[[WKst]:[Unit of measure*]],MATCH($A$62&amp;$A86&amp;$E86&amp;$I86,INDEX(PMtbl[Sec]&amp;PMtbl[Category]&amp;PMtbl[INN]&amp;PMtbl[Specification],0,),0),8),""),"")</f>
        <v/>
      </c>
      <c r="M86" s="249" t="str">
        <f>IF(L86="", "",SETUP!$E$5)</f>
        <v/>
      </c>
      <c r="N86" s="1105"/>
      <c r="O86" s="751"/>
      <c r="P86" s="751"/>
      <c r="Q86" s="751"/>
      <c r="R86" s="751"/>
      <c r="S86" s="752">
        <f t="shared" si="13"/>
        <v>0</v>
      </c>
      <c r="T86" s="753">
        <f t="shared" si="14"/>
        <v>0</v>
      </c>
      <c r="U86" s="1105"/>
      <c r="V86" s="751"/>
      <c r="W86" s="751"/>
      <c r="X86" s="751"/>
      <c r="Y86" s="751"/>
      <c r="Z86" s="752">
        <f t="shared" si="15"/>
        <v>0</v>
      </c>
      <c r="AA86" s="754">
        <f t="shared" si="16"/>
        <v>0</v>
      </c>
      <c r="AB86" s="1105"/>
      <c r="AC86" s="751"/>
      <c r="AD86" s="751"/>
      <c r="AE86" s="751"/>
      <c r="AF86" s="751"/>
      <c r="AG86" s="752">
        <f t="shared" si="17"/>
        <v>0</v>
      </c>
      <c r="AH86" s="754">
        <f t="shared" si="18"/>
        <v>0</v>
      </c>
      <c r="AI86" s="752">
        <f t="shared" si="19"/>
        <v>0</v>
      </c>
      <c r="AJ86" s="754">
        <f t="shared" si="20"/>
        <v>0</v>
      </c>
      <c r="AK86" s="1408" t="str">
        <f>IF(A86&lt;&gt;"",IFERROR(INDEX(PMtbl[[WKst]:[Unit of measure*]],MATCH($A$62&amp;$A86&amp;$E86&amp;$I86,INDEX(PMtbl[Sec]&amp;PMtbl[Category]&amp;PMtbl[INN]&amp;PMtbl[Specification],0,),0),7),""),"")</f>
        <v/>
      </c>
      <c r="AL86" s="956"/>
      <c r="AM86" s="956" t="str">
        <f>IFERROR(INDEX(SETUP!$C$19:$G$62,MATCH((INDEX(PMtbl[[WKst]:[Unit of measure*]],MATCH($A86&amp;$E86&amp;$I86,INDEX(PMtbl[Category]&amp;PMtbl[INN]&amp;PMtbl[Specification],0,),0),3)),SETUP!$D$19:$D$62,0),5),"")</f>
        <v/>
      </c>
      <c r="AN86" s="956"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row>
    <row r="87" spans="1:40" ht="15" thickBot="1">
      <c r="A87" s="2962"/>
      <c r="B87" s="2962"/>
      <c r="C87" s="2962"/>
      <c r="D87" s="2963"/>
      <c r="E87" s="3003"/>
      <c r="F87" s="3004"/>
      <c r="G87" s="3004"/>
      <c r="H87" s="3005"/>
      <c r="I87" s="3003"/>
      <c r="J87" s="3004"/>
      <c r="K87" s="3005"/>
      <c r="L87" s="250" t="str">
        <f>IF(A87&lt;&gt;"",IFERROR(INDEX(PMtbl[[WKst]:[Unit of measure*]],MATCH($A$62&amp;$A87&amp;$E87&amp;$I87,INDEX(PMtbl[Sec]&amp;PMtbl[Category]&amp;PMtbl[INN]&amp;PMtbl[Specification],0,),0),8),""),"")</f>
        <v/>
      </c>
      <c r="M87" s="313" t="str">
        <f>IF(L87="", "",SETUP!$E$5)</f>
        <v/>
      </c>
      <c r="N87" s="1096"/>
      <c r="O87" s="17"/>
      <c r="P87" s="17"/>
      <c r="Q87" s="17"/>
      <c r="R87" s="17"/>
      <c r="S87" s="20">
        <f t="shared" si="13"/>
        <v>0</v>
      </c>
      <c r="T87" s="21">
        <f t="shared" si="14"/>
        <v>0</v>
      </c>
      <c r="U87" s="1096"/>
      <c r="V87" s="17"/>
      <c r="W87" s="17"/>
      <c r="X87" s="17"/>
      <c r="Y87" s="17"/>
      <c r="Z87" s="20">
        <f t="shared" si="15"/>
        <v>0</v>
      </c>
      <c r="AA87" s="23">
        <f t="shared" si="16"/>
        <v>0</v>
      </c>
      <c r="AB87" s="1096"/>
      <c r="AC87" s="17"/>
      <c r="AD87" s="17"/>
      <c r="AE87" s="17"/>
      <c r="AF87" s="17"/>
      <c r="AG87" s="20">
        <f t="shared" si="17"/>
        <v>0</v>
      </c>
      <c r="AH87" s="23">
        <f t="shared" si="18"/>
        <v>0</v>
      </c>
      <c r="AI87" s="20">
        <f t="shared" si="19"/>
        <v>0</v>
      </c>
      <c r="AJ87" s="23">
        <f t="shared" si="20"/>
        <v>0</v>
      </c>
      <c r="AK87" s="1407" t="str">
        <f>IF(A87&lt;&gt;"",IFERROR(INDEX(PMtbl[[WKst]:[Unit of measure*]],MATCH($A$62&amp;$A87&amp;$E87&amp;$I87,INDEX(PMtbl[Sec]&amp;PMtbl[Category]&amp;PMtbl[INN]&amp;PMtbl[Specification],0,),0),7),""),"")</f>
        <v/>
      </c>
      <c r="AL87" s="958"/>
      <c r="AM87" s="958" t="str">
        <f>IFERROR(INDEX(SETUP!$C$19:$G$62,MATCH((INDEX(PMtbl[[WKst]:[Unit of measure*]],MATCH($A87&amp;$E87&amp;$I87,INDEX(PMtbl[Category]&amp;PMtbl[INN]&amp;PMtbl[Specification],0,),0),3)),SETUP!$D$19:$D$62,0),5),"")</f>
        <v/>
      </c>
      <c r="AN87" s="958"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sheetData>
  <sheetProtection algorithmName="SHA-512" hashValue="45tYOHr2yK0xHIUgXWMObRdt3k/4ZUEgMiH3vrte83455huI1VQLeb73nFStO/oAUCTzyYnqeRBMtuncxibUbA==" saltValue="03zILFowz7h/SA4l1qQPQg==" spinCount="100000" sheet="1" autoFilter="0"/>
  <dataConsolidate/>
  <mergeCells count="258">
    <mergeCell ref="AI67:AJ67"/>
    <mergeCell ref="I69:K69"/>
    <mergeCell ref="I70:K70"/>
    <mergeCell ref="A76:D76"/>
    <mergeCell ref="A78:D78"/>
    <mergeCell ref="A80:D80"/>
    <mergeCell ref="A77:D77"/>
    <mergeCell ref="E77:H77"/>
    <mergeCell ref="I77:K77"/>
    <mergeCell ref="A79:D79"/>
    <mergeCell ref="E79:H79"/>
    <mergeCell ref="I79:K79"/>
    <mergeCell ref="I76:K76"/>
    <mergeCell ref="I78:K78"/>
    <mergeCell ref="I80:K80"/>
    <mergeCell ref="I71:K71"/>
    <mergeCell ref="A73:D73"/>
    <mergeCell ref="E73:H73"/>
    <mergeCell ref="I73:K73"/>
    <mergeCell ref="A75:D75"/>
    <mergeCell ref="E75:H75"/>
    <mergeCell ref="I75:K75"/>
    <mergeCell ref="I72:K72"/>
    <mergeCell ref="I74:K74"/>
    <mergeCell ref="I68:K68"/>
    <mergeCell ref="AB66:AH66"/>
    <mergeCell ref="I51:K51"/>
    <mergeCell ref="I41:K41"/>
    <mergeCell ref="I43:K43"/>
    <mergeCell ref="I38:K38"/>
    <mergeCell ref="I44:K44"/>
    <mergeCell ref="I50:K50"/>
    <mergeCell ref="E48:H48"/>
    <mergeCell ref="I48:K48"/>
    <mergeCell ref="E49:H49"/>
    <mergeCell ref="I49:K49"/>
    <mergeCell ref="E66:H67"/>
    <mergeCell ref="I66:K67"/>
    <mergeCell ref="E68:H68"/>
    <mergeCell ref="AM12:AM13"/>
    <mergeCell ref="AM66:AM67"/>
    <mergeCell ref="AN12:AN13"/>
    <mergeCell ref="AN66:AN67"/>
    <mergeCell ref="A10:M10"/>
    <mergeCell ref="A64:M64"/>
    <mergeCell ref="AL12:AL13"/>
    <mergeCell ref="AL66:AL67"/>
    <mergeCell ref="AI66:AJ66"/>
    <mergeCell ref="E35:H35"/>
    <mergeCell ref="E60:H60"/>
    <mergeCell ref="E39:H39"/>
    <mergeCell ref="I17:K17"/>
    <mergeCell ref="I16:K16"/>
    <mergeCell ref="I15:K15"/>
    <mergeCell ref="I14:K14"/>
    <mergeCell ref="E29:H29"/>
    <mergeCell ref="I29:K29"/>
    <mergeCell ref="E20:H20"/>
    <mergeCell ref="E19:H19"/>
    <mergeCell ref="E18:H18"/>
    <mergeCell ref="I19:K19"/>
    <mergeCell ref="I18:K18"/>
    <mergeCell ref="E21:H21"/>
    <mergeCell ref="AX12:BA12"/>
    <mergeCell ref="A54:D54"/>
    <mergeCell ref="A55:D55"/>
    <mergeCell ref="A56:D56"/>
    <mergeCell ref="A29:D29"/>
    <mergeCell ref="A30:D30"/>
    <mergeCell ref="A40:D40"/>
    <mergeCell ref="A41:D41"/>
    <mergeCell ref="A42:D42"/>
    <mergeCell ref="A43:D43"/>
    <mergeCell ref="A44:D44"/>
    <mergeCell ref="A45:D45"/>
    <mergeCell ref="A46:D46"/>
    <mergeCell ref="A47:D47"/>
    <mergeCell ref="A48:D48"/>
    <mergeCell ref="A12:D13"/>
    <mergeCell ref="A14:D14"/>
    <mergeCell ref="A15:D15"/>
    <mergeCell ref="A16:D16"/>
    <mergeCell ref="A17:D17"/>
    <mergeCell ref="A18:D18"/>
    <mergeCell ref="A19:D19"/>
    <mergeCell ref="A20:D20"/>
    <mergeCell ref="A21:D21"/>
    <mergeCell ref="BB12:BE12"/>
    <mergeCell ref="BF12:BI12"/>
    <mergeCell ref="AX11:BI11"/>
    <mergeCell ref="A49:D49"/>
    <mergeCell ref="A50:D50"/>
    <mergeCell ref="A51:D51"/>
    <mergeCell ref="A52:D52"/>
    <mergeCell ref="A53:D53"/>
    <mergeCell ref="A31:D31"/>
    <mergeCell ref="A32:D32"/>
    <mergeCell ref="A33:D33"/>
    <mergeCell ref="A34:D34"/>
    <mergeCell ref="A35:D35"/>
    <mergeCell ref="A36:D36"/>
    <mergeCell ref="A37:D37"/>
    <mergeCell ref="A38:D38"/>
    <mergeCell ref="A39:D39"/>
    <mergeCell ref="A22:D22"/>
    <mergeCell ref="A23:D23"/>
    <mergeCell ref="A24:D24"/>
    <mergeCell ref="A25:D25"/>
    <mergeCell ref="A26:D26"/>
    <mergeCell ref="A27:D27"/>
    <mergeCell ref="A28:D28"/>
    <mergeCell ref="E82:H82"/>
    <mergeCell ref="E51:H51"/>
    <mergeCell ref="E52:H52"/>
    <mergeCell ref="E41:H41"/>
    <mergeCell ref="E50:H50"/>
    <mergeCell ref="A68:D68"/>
    <mergeCell ref="A81:D81"/>
    <mergeCell ref="E42:H42"/>
    <mergeCell ref="A70:D70"/>
    <mergeCell ref="A72:D72"/>
    <mergeCell ref="A74:D74"/>
    <mergeCell ref="A71:D71"/>
    <mergeCell ref="E71:H71"/>
    <mergeCell ref="B62:D63"/>
    <mergeCell ref="E45:H45"/>
    <mergeCell ref="A58:D58"/>
    <mergeCell ref="A59:D59"/>
    <mergeCell ref="A60:D60"/>
    <mergeCell ref="A66:D67"/>
    <mergeCell ref="A57:D57"/>
    <mergeCell ref="E63:G63"/>
    <mergeCell ref="A82:D82"/>
    <mergeCell ref="A69:D69"/>
    <mergeCell ref="E69:H69"/>
    <mergeCell ref="E86:H86"/>
    <mergeCell ref="I86:K86"/>
    <mergeCell ref="E87:H87"/>
    <mergeCell ref="I87:K87"/>
    <mergeCell ref="U66:AA66"/>
    <mergeCell ref="I59:K59"/>
    <mergeCell ref="I60:K60"/>
    <mergeCell ref="E62:G62"/>
    <mergeCell ref="E70:H70"/>
    <mergeCell ref="E72:H72"/>
    <mergeCell ref="E74:H74"/>
    <mergeCell ref="E76:H76"/>
    <mergeCell ref="E78:H78"/>
    <mergeCell ref="E80:H80"/>
    <mergeCell ref="I84:K84"/>
    <mergeCell ref="E85:H85"/>
    <mergeCell ref="I85:K85"/>
    <mergeCell ref="I82:K82"/>
    <mergeCell ref="E83:H83"/>
    <mergeCell ref="I83:K83"/>
    <mergeCell ref="L66:L67"/>
    <mergeCell ref="M66:M67"/>
    <mergeCell ref="N66:T66"/>
    <mergeCell ref="I81:K81"/>
    <mergeCell ref="I21:K21"/>
    <mergeCell ref="I25:K25"/>
    <mergeCell ref="E26:H26"/>
    <mergeCell ref="E27:H27"/>
    <mergeCell ref="I27:K27"/>
    <mergeCell ref="E28:H28"/>
    <mergeCell ref="I28:K28"/>
    <mergeCell ref="I26:K26"/>
    <mergeCell ref="E15:H15"/>
    <mergeCell ref="E14:H14"/>
    <mergeCell ref="M1:M2"/>
    <mergeCell ref="A8:A9"/>
    <mergeCell ref="B8:D9"/>
    <mergeCell ref="E8:G8"/>
    <mergeCell ref="E9:G9"/>
    <mergeCell ref="H8:H9"/>
    <mergeCell ref="O1:P2"/>
    <mergeCell ref="G5:G6"/>
    <mergeCell ref="H5:K6"/>
    <mergeCell ref="N1:N2"/>
    <mergeCell ref="G3:G4"/>
    <mergeCell ref="H3:K4"/>
    <mergeCell ref="B5:B6"/>
    <mergeCell ref="C5:E6"/>
    <mergeCell ref="A1:K1"/>
    <mergeCell ref="B3:B4"/>
    <mergeCell ref="C3:E4"/>
    <mergeCell ref="A85:D85"/>
    <mergeCell ref="A86:D86"/>
    <mergeCell ref="A87:D87"/>
    <mergeCell ref="AI12:AJ12"/>
    <mergeCell ref="L12:L13"/>
    <mergeCell ref="E12:H13"/>
    <mergeCell ref="I12:K13"/>
    <mergeCell ref="M12:M13"/>
    <mergeCell ref="N12:T12"/>
    <mergeCell ref="U12:AA12"/>
    <mergeCell ref="E24:H24"/>
    <mergeCell ref="I24:K24"/>
    <mergeCell ref="E25:H25"/>
    <mergeCell ref="E22:H22"/>
    <mergeCell ref="I22:K22"/>
    <mergeCell ref="E23:H23"/>
    <mergeCell ref="I23:K23"/>
    <mergeCell ref="I20:K20"/>
    <mergeCell ref="AB12:AH12"/>
    <mergeCell ref="E37:H37"/>
    <mergeCell ref="I37:K37"/>
    <mergeCell ref="E38:H38"/>
    <mergeCell ref="E17:H17"/>
    <mergeCell ref="E16:H16"/>
    <mergeCell ref="A83:D83"/>
    <mergeCell ref="A84:D84"/>
    <mergeCell ref="E32:H32"/>
    <mergeCell ref="E33:H33"/>
    <mergeCell ref="I33:K33"/>
    <mergeCell ref="E34:H34"/>
    <mergeCell ref="I34:K34"/>
    <mergeCell ref="I32:K32"/>
    <mergeCell ref="E43:H43"/>
    <mergeCell ref="I39:K39"/>
    <mergeCell ref="E40:H40"/>
    <mergeCell ref="H62:H63"/>
    <mergeCell ref="E54:H54"/>
    <mergeCell ref="I42:K42"/>
    <mergeCell ref="E44:H44"/>
    <mergeCell ref="I45:K45"/>
    <mergeCell ref="E46:H46"/>
    <mergeCell ref="I46:K46"/>
    <mergeCell ref="E47:H47"/>
    <mergeCell ref="I47:K47"/>
    <mergeCell ref="I52:K52"/>
    <mergeCell ref="E84:H84"/>
    <mergeCell ref="A62:A63"/>
    <mergeCell ref="E81:H81"/>
    <mergeCell ref="AX19:BI19"/>
    <mergeCell ref="AX20:BA20"/>
    <mergeCell ref="BB20:BE20"/>
    <mergeCell ref="BF20:BI20"/>
    <mergeCell ref="E30:H30"/>
    <mergeCell ref="I30:K30"/>
    <mergeCell ref="E31:H31"/>
    <mergeCell ref="I31:K31"/>
    <mergeCell ref="E59:H59"/>
    <mergeCell ref="I54:K54"/>
    <mergeCell ref="E55:H55"/>
    <mergeCell ref="I55:K55"/>
    <mergeCell ref="E56:H56"/>
    <mergeCell ref="E57:H57"/>
    <mergeCell ref="I57:K57"/>
    <mergeCell ref="E58:H58"/>
    <mergeCell ref="I58:K58"/>
    <mergeCell ref="I56:K56"/>
    <mergeCell ref="I35:K35"/>
    <mergeCell ref="E36:H36"/>
    <mergeCell ref="I36:K36"/>
    <mergeCell ref="I40:K40"/>
    <mergeCell ref="E53:H53"/>
    <mergeCell ref="I53:K53"/>
  </mergeCells>
  <conditionalFormatting sqref="E14:H60">
    <cfRule type="expression" dxfId="715" priority="176">
      <formula>AND(ISTEXT(I14),ISBLANK(E14))</formula>
    </cfRule>
  </conditionalFormatting>
  <conditionalFormatting sqref="E68:H68 E70:H70 E72:H72 E74:H74 E76:H76 E78:H78 E80:H87">
    <cfRule type="expression" dxfId="714" priority="55">
      <formula>AND(ISTEXT(I68),ISBLANK(E68))</formula>
    </cfRule>
  </conditionalFormatting>
  <conditionalFormatting sqref="I14:K14 I20:K20 I16:K16 I18:K18 I22:K22 I24:K24 I26:K26 I28:K28 I30:K30 I32:K32 I34:K34 I36:K36 I38:K38 I40:K40 I42:K42 I44:K44 I46:K46 I48:K48 I50:K50 I52:K52 I54:K54 I56:K56 I58:K58 I68:K68 I82:K82 I84:K84 I86:K86 I60:K60 I70:K70 I72:K72 I74:K74 I76:K76 I78:K78 I80:K80">
    <cfRule type="expression" dxfId="713" priority="636">
      <formula>NOT(ISERROR(AS14))</formula>
    </cfRule>
    <cfRule type="expression" dxfId="712" priority="637">
      <formula>ISTEXT(E14)</formula>
    </cfRule>
  </conditionalFormatting>
  <conditionalFormatting sqref="I15:K15 I19:K19 I17:K17 I21:K21 I23:K23 I25:K25 I27:K27 I29:K29 I31:K31 I33:K33 I35:K35 I37:K37 I39:K39 I41:K41 I43:K43 I45:K45 I47:K47 I49:K49 I51:K51 I53:K53 I55:K55 I57:K57 I81:K81 I83:K83 I85:K85 I87:K87 I59:K59">
    <cfRule type="expression" dxfId="711" priority="640">
      <formula>NOT(ISERROR(AS15))</formula>
    </cfRule>
    <cfRule type="expression" dxfId="710" priority="641">
      <formula>ISTEXT(E15)</formula>
    </cfRule>
  </conditionalFormatting>
  <conditionalFormatting sqref="E69:H69">
    <cfRule type="expression" dxfId="709" priority="27">
      <formula>AND(ISTEXT(I69),ISBLANK(E69))</formula>
    </cfRule>
  </conditionalFormatting>
  <conditionalFormatting sqref="I69:K69">
    <cfRule type="expression" dxfId="708" priority="28">
      <formula>NOT(ISERROR(AS69))</formula>
    </cfRule>
    <cfRule type="expression" dxfId="707" priority="29">
      <formula>ISTEXT(E69)</formula>
    </cfRule>
  </conditionalFormatting>
  <conditionalFormatting sqref="E71:H71">
    <cfRule type="expression" dxfId="706" priority="24">
      <formula>AND(ISTEXT(I71),ISBLANK(E71))</formula>
    </cfRule>
  </conditionalFormatting>
  <conditionalFormatting sqref="I71:K71">
    <cfRule type="expression" dxfId="705" priority="25">
      <formula>NOT(ISERROR(AS71))</formula>
    </cfRule>
    <cfRule type="expression" dxfId="704" priority="26">
      <formula>ISTEXT(E71)</formula>
    </cfRule>
  </conditionalFormatting>
  <conditionalFormatting sqref="E73:H73">
    <cfRule type="expression" dxfId="703" priority="21">
      <formula>AND(ISTEXT(I73),ISBLANK(E73))</formula>
    </cfRule>
  </conditionalFormatting>
  <conditionalFormatting sqref="I73:K73">
    <cfRule type="expression" dxfId="702" priority="22">
      <formula>NOT(ISERROR(AS73))</formula>
    </cfRule>
    <cfRule type="expression" dxfId="701" priority="23">
      <formula>ISTEXT(E73)</formula>
    </cfRule>
  </conditionalFormatting>
  <conditionalFormatting sqref="E75:H75">
    <cfRule type="expression" dxfId="700" priority="18">
      <formula>AND(ISTEXT(I75),ISBLANK(E75))</formula>
    </cfRule>
  </conditionalFormatting>
  <conditionalFormatting sqref="I75:K75">
    <cfRule type="expression" dxfId="699" priority="19">
      <formula>NOT(ISERROR(AS75))</formula>
    </cfRule>
    <cfRule type="expression" dxfId="698" priority="20">
      <formula>ISTEXT(E75)</formula>
    </cfRule>
  </conditionalFormatting>
  <conditionalFormatting sqref="E77:H77">
    <cfRule type="expression" dxfId="697" priority="15">
      <formula>AND(ISTEXT(I77),ISBLANK(E77))</formula>
    </cfRule>
  </conditionalFormatting>
  <conditionalFormatting sqref="I77:K77">
    <cfRule type="expression" dxfId="696" priority="16">
      <formula>NOT(ISERROR(AS77))</formula>
    </cfRule>
    <cfRule type="expression" dxfId="695" priority="17">
      <formula>ISTEXT(E77)</formula>
    </cfRule>
  </conditionalFormatting>
  <conditionalFormatting sqref="E79:H79">
    <cfRule type="expression" dxfId="694" priority="12">
      <formula>AND(ISTEXT(I79),ISBLANK(E79))</formula>
    </cfRule>
  </conditionalFormatting>
  <conditionalFormatting sqref="I79:K79">
    <cfRule type="expression" dxfId="693" priority="13">
      <formula>NOT(ISERROR(AS79))</formula>
    </cfRule>
    <cfRule type="expression" dxfId="692" priority="14">
      <formula>ISTEXT(E79)</formula>
    </cfRule>
  </conditionalFormatting>
  <conditionalFormatting sqref="A14:K60">
    <cfRule type="expression" dxfId="691" priority="11">
      <formula>AND($I14&lt;&gt;"",$L14="")</formula>
    </cfRule>
  </conditionalFormatting>
  <conditionalFormatting sqref="A68:K78 A80:K87 E79:K79">
    <cfRule type="expression" dxfId="690" priority="10">
      <formula>AND($I68&lt;&gt;"",$L68="")</formula>
    </cfRule>
  </conditionalFormatting>
  <conditionalFormatting sqref="A70:D70">
    <cfRule type="expression" dxfId="689" priority="9">
      <formula>AND(ISTEXT(E70),ISBLANK(A70))</formula>
    </cfRule>
  </conditionalFormatting>
  <conditionalFormatting sqref="A72:D72">
    <cfRule type="expression" dxfId="688" priority="8">
      <formula>AND(ISTEXT(E72),ISBLANK(A72))</formula>
    </cfRule>
  </conditionalFormatting>
  <conditionalFormatting sqref="A74:D74">
    <cfRule type="expression" dxfId="687" priority="7">
      <formula>AND(ISTEXT(E74),ISBLANK(A74))</formula>
    </cfRule>
  </conditionalFormatting>
  <conditionalFormatting sqref="A76:D76">
    <cfRule type="expression" dxfId="686" priority="6">
      <formula>AND(ISTEXT(E76),ISBLANK(A76))</formula>
    </cfRule>
  </conditionalFormatting>
  <conditionalFormatting sqref="A78:D78">
    <cfRule type="expression" dxfId="685" priority="5">
      <formula>AND(ISTEXT(E78),ISBLANK(A78))</formula>
    </cfRule>
  </conditionalFormatting>
  <conditionalFormatting sqref="A80:D80">
    <cfRule type="expression" dxfId="684" priority="4">
      <formula>AND(ISTEXT(E80),ISBLANK(A80))</formula>
    </cfRule>
  </conditionalFormatting>
  <conditionalFormatting sqref="A82:D82">
    <cfRule type="expression" dxfId="683" priority="3">
      <formula>AND(ISTEXT(E82),ISBLANK(A82))</formula>
    </cfRule>
  </conditionalFormatting>
  <conditionalFormatting sqref="A79:D79">
    <cfRule type="expression" dxfId="682" priority="1">
      <formula>AND($I79&lt;&gt;"",$L79="")</formula>
    </cfRule>
  </conditionalFormatting>
  <dataValidations count="8">
    <dataValidation type="decimal" allowBlank="1" showInputMessage="1" showErrorMessage="1" sqref="AG14:AH60 N14:N60 S14:U60 Z14:AB60 AG68:AH87 Z68:AB87 N68:N87 S68:U87" xr:uid="{00000000-0002-0000-0D00-000000000000}">
      <formula1>0</formula1>
      <formula2>1E+29</formula2>
    </dataValidation>
    <dataValidation type="list" allowBlank="1" showInputMessage="1" showErrorMessage="1" sqref="A14:D60" xr:uid="{00000000-0002-0000-0D00-000001000000}">
      <formula1>ML1S1T1C1</formula1>
    </dataValidation>
    <dataValidation type="list" allowBlank="1" showInputMessage="1" showErrorMessage="1" sqref="E14:H60" xr:uid="{00000000-0002-0000-0D00-000002000000}">
      <formula1>ML1S1T1C2</formula1>
    </dataValidation>
    <dataValidation type="list" allowBlank="1" showInputMessage="1" showErrorMessage="1" sqref="I14:K60" xr:uid="{00000000-0002-0000-0D00-000003000000}">
      <formula1>ML1S1T1C3</formula1>
    </dataValidation>
    <dataValidation type="list" allowBlank="1" showInputMessage="1" showErrorMessage="1" sqref="A68:D69 A71:D71 A73:D73 A75:D75 A77:D77 A79:D79 A81:D81 A83:D87" xr:uid="{00000000-0002-0000-0D00-000004000000}">
      <formula1>ML1S2T1C1</formula1>
    </dataValidation>
    <dataValidation type="list" allowBlank="1" showInputMessage="1" showErrorMessage="1" sqref="E68:H87 A70:D70 A72:D72 A74:D74 A76:D76 A78:D78 A80:D80 A82:D82" xr:uid="{00000000-0002-0000-0D00-000005000000}">
      <formula1>ML1S2T1C2</formula1>
    </dataValidation>
    <dataValidation type="list" allowBlank="1" showInputMessage="1" showErrorMessage="1" sqref="I68:K87" xr:uid="{00000000-0002-0000-0D00-000006000000}">
      <formula1>ML1S2T1C3</formula1>
    </dataValidation>
    <dataValidation type="whole" operator="greaterThanOrEqual" allowBlank="1" showInputMessage="1" showErrorMessage="1" error="Do not input value in Fractions" sqref="O14:R60 V14:Y60 AC14:AF60 AC68:AF87 V68:Y87 O68:R87" xr:uid="{00000000-0002-0000-0D00-000007000000}">
      <formula1>0</formula1>
    </dataValidation>
  </dataValidations>
  <hyperlinks>
    <hyperlink ref="H8:H9" location="'Malaria-Pharmaceuticals'!A68" display="Go to Antimalaria medicines for Prevention" xr:uid="{00000000-0004-0000-0D00-000000000000}"/>
    <hyperlink ref="H62:H63" location="'Malaria-Pharmaceuticals'!A14" display="Back to antimalaria" xr:uid="{00000000-0004-0000-0D00-000001000000}"/>
    <hyperlink ref="N1:N2" location="'Malaria-Key Info'!A1" display="Back to Malaria key info" xr:uid="{00000000-0004-0000-0D00-000002000000}"/>
    <hyperlink ref="O1:P2" location="'Malaria-Equipment &amp; Other HPs'!A1" display="Go to Malaria Other HPs &amp; Equipment" xr:uid="{00000000-0004-0000-0D00-000003000000}"/>
  </hyperlinks>
  <pageMargins left="0.7" right="0.7" top="0.75" bottom="0.75" header="0.3" footer="0.3"/>
  <pageSetup paperSize="9" orientation="portrait" r:id="rId1"/>
  <ignoredErrors>
    <ignoredError sqref="AM14:AM60 AM68:AM87 AN15:AN60 AN69:AN8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FFCC00"/>
  </sheetPr>
  <dimension ref="A1:BJ231"/>
  <sheetViews>
    <sheetView showGridLines="0" zoomScale="85" zoomScaleNormal="85" workbookViewId="0">
      <selection sqref="A1:K1"/>
    </sheetView>
  </sheetViews>
  <sheetFormatPr baseColWidth="10" defaultColWidth="8.7265625" defaultRowHeight="14.5"/>
  <cols>
    <col min="1" max="1" width="8.7265625" style="62"/>
    <col min="2" max="3" width="20" style="62" customWidth="1"/>
    <col min="4" max="6" width="15.26953125" style="62" customWidth="1"/>
    <col min="7" max="7" width="27.453125" style="62" customWidth="1"/>
    <col min="8" max="8" width="17.26953125" style="62" customWidth="1"/>
    <col min="9" max="9" width="15.26953125" style="62" customWidth="1"/>
    <col min="10" max="10" width="16.26953125" style="62" customWidth="1"/>
    <col min="11" max="13" width="14.26953125" style="62" customWidth="1"/>
    <col min="14" max="14" width="14.26953125" style="758" customWidth="1"/>
    <col min="15" max="19" width="14.26953125" style="509" customWidth="1"/>
    <col min="20" max="21" width="14.26953125" style="758" customWidth="1"/>
    <col min="22" max="26" width="14.26953125" style="509" customWidth="1"/>
    <col min="27" max="28" width="14.26953125" style="758" customWidth="1"/>
    <col min="29" max="33" width="14.26953125" style="509" customWidth="1"/>
    <col min="34" max="34" width="14.7265625" style="758" bestFit="1" customWidth="1"/>
    <col min="35" max="35" width="14.26953125" style="509" customWidth="1"/>
    <col min="36" max="36" width="19" style="758" bestFit="1" customWidth="1"/>
    <col min="37" max="37" width="8.7265625" style="62"/>
    <col min="38" max="38" width="41" style="62" customWidth="1"/>
    <col min="39" max="39" width="9.54296875" style="62" customWidth="1"/>
    <col min="40" max="40" width="0" style="62" hidden="1" customWidth="1"/>
    <col min="41" max="45" width="8.7265625" style="62"/>
    <col min="46" max="46" width="14.26953125" style="62" customWidth="1"/>
    <col min="47" max="47" width="8.7265625" style="62" hidden="1" customWidth="1"/>
    <col min="48" max="48" width="20.26953125" style="62" hidden="1" customWidth="1"/>
    <col min="49" max="49" width="27" style="62" hidden="1" customWidth="1"/>
    <col min="50" max="61" width="17.26953125" style="62" hidden="1" customWidth="1"/>
    <col min="62" max="62" width="12.7265625" style="62" hidden="1" customWidth="1"/>
    <col min="63" max="16384" width="8.7265625" style="62"/>
  </cols>
  <sheetData>
    <row r="1" spans="1:62" ht="24" customHeight="1" thickBot="1">
      <c r="A1" s="3104" t="str">
        <f>VLOOKUP("Health Product Management Template - Malaria - List of equipment and other health products",Language!$D$652:$G$792,$L$1,FALSE)</f>
        <v>Plantilla para la gestión de productos sanitarios: Malaria, lista de equipamiento y otros productos sanitarios</v>
      </c>
      <c r="B1" s="3105"/>
      <c r="C1" s="3105"/>
      <c r="D1" s="3105"/>
      <c r="E1" s="3105"/>
      <c r="F1" s="3105"/>
      <c r="G1" s="3105"/>
      <c r="H1" s="3105"/>
      <c r="I1" s="3105"/>
      <c r="J1" s="3105"/>
      <c r="K1" s="3106"/>
      <c r="L1" s="1873">
        <f>SETUP!$A$2</f>
        <v>3</v>
      </c>
      <c r="M1" s="2867"/>
      <c r="N1" s="2864" t="s">
        <v>354</v>
      </c>
      <c r="O1" s="2864"/>
      <c r="P1" s="3102" t="s">
        <v>417</v>
      </c>
      <c r="Q1" s="3102"/>
      <c r="R1" s="902"/>
      <c r="S1" s="868"/>
      <c r="T1" s="767"/>
      <c r="U1" s="767"/>
      <c r="V1" s="868"/>
      <c r="W1" s="868"/>
      <c r="X1" s="868"/>
      <c r="Y1" s="868"/>
      <c r="Z1" s="868"/>
      <c r="AA1" s="767"/>
      <c r="AB1" s="767"/>
      <c r="AC1" s="868"/>
      <c r="AD1" s="868"/>
      <c r="AE1" s="868"/>
      <c r="AF1" s="868"/>
      <c r="AG1" s="868"/>
      <c r="AH1" s="767"/>
      <c r="AI1" s="868"/>
    </row>
    <row r="2" spans="1:62" ht="15" thickBot="1">
      <c r="A2" s="63"/>
      <c r="B2" s="63"/>
      <c r="C2" s="63"/>
      <c r="D2" s="63"/>
      <c r="E2" s="63"/>
      <c r="F2" s="63"/>
      <c r="G2" s="63"/>
      <c r="H2" s="63"/>
      <c r="I2" s="63"/>
      <c r="J2" s="63"/>
      <c r="K2" s="63"/>
      <c r="L2" s="99"/>
      <c r="M2" s="2869"/>
      <c r="N2" s="2865"/>
      <c r="O2" s="2865"/>
      <c r="P2" s="3103"/>
      <c r="Q2" s="3103"/>
      <c r="R2" s="902"/>
      <c r="S2" s="868"/>
      <c r="T2" s="767"/>
      <c r="U2" s="767"/>
      <c r="V2" s="868"/>
      <c r="W2" s="868"/>
      <c r="X2" s="868"/>
      <c r="Y2" s="868"/>
      <c r="Z2" s="868"/>
      <c r="AA2" s="767"/>
      <c r="AB2" s="767"/>
      <c r="AC2" s="868"/>
      <c r="AD2" s="868"/>
      <c r="AE2" s="868"/>
      <c r="AF2" s="868"/>
      <c r="AG2" s="868"/>
      <c r="AH2" s="767"/>
      <c r="AI2" s="868"/>
    </row>
    <row r="3" spans="1:62" ht="15" customHeight="1" thickBot="1">
      <c r="A3" s="231"/>
      <c r="B3" s="3000" t="str">
        <f>VLOOKUP("COUNTRY:",Language!$D$652:$G$792,$L$1,FALSE)</f>
        <v>PAÍS:</v>
      </c>
      <c r="C3" s="2856" t="str">
        <f>SETUP!$E$3</f>
        <v>El Salvador</v>
      </c>
      <c r="D3" s="2856"/>
      <c r="E3" s="2856"/>
      <c r="F3" s="232"/>
      <c r="G3" s="2994" t="str">
        <f>VLOOKUP("GRANT NUMBER:",Language!$D$652:$G$792,$L$1,FALSE)</f>
        <v>NÚMERO DE LA SUBVENCIÓN:</v>
      </c>
      <c r="H3" s="2856" t="str">
        <f>GRAN_NO</f>
        <v>SLV-H-MOH</v>
      </c>
      <c r="I3" s="2856"/>
      <c r="J3" s="2856"/>
      <c r="K3" s="2857"/>
      <c r="L3" s="98"/>
      <c r="M3" s="81"/>
      <c r="N3" s="888"/>
      <c r="O3" s="875"/>
      <c r="P3" s="875"/>
      <c r="Q3" s="875"/>
      <c r="R3" s="868"/>
      <c r="S3" s="868"/>
      <c r="T3" s="767"/>
      <c r="U3" s="767"/>
      <c r="V3" s="868"/>
      <c r="W3" s="868"/>
      <c r="X3" s="868"/>
      <c r="Y3" s="868"/>
      <c r="Z3" s="868"/>
      <c r="AA3" s="767"/>
      <c r="AB3" s="767"/>
      <c r="AC3" s="868"/>
      <c r="AD3" s="868"/>
      <c r="AE3" s="868"/>
      <c r="AF3" s="868"/>
      <c r="AG3" s="868"/>
      <c r="AH3" s="767"/>
      <c r="AI3" s="868"/>
    </row>
    <row r="4" spans="1:62" ht="15.75" customHeight="1" thickTop="1" thickBot="1">
      <c r="A4" s="235"/>
      <c r="B4" s="3001"/>
      <c r="C4" s="3002"/>
      <c r="D4" s="3002"/>
      <c r="E4" s="3002"/>
      <c r="F4" s="236"/>
      <c r="G4" s="2995"/>
      <c r="H4" s="2996"/>
      <c r="I4" s="2996"/>
      <c r="J4" s="2996"/>
      <c r="K4" s="2997"/>
      <c r="L4" s="98"/>
      <c r="M4" s="78"/>
      <c r="N4" s="767"/>
      <c r="O4" s="868"/>
      <c r="P4" s="868"/>
      <c r="Q4" s="868"/>
      <c r="R4" s="868"/>
      <c r="S4" s="868"/>
      <c r="T4" s="767"/>
      <c r="U4" s="767"/>
      <c r="V4" s="868"/>
      <c r="W4" s="868"/>
      <c r="X4" s="868"/>
      <c r="Y4" s="868"/>
      <c r="Z4" s="868"/>
      <c r="AA4" s="767"/>
      <c r="AB4" s="767"/>
      <c r="AC4" s="868"/>
      <c r="AD4" s="868"/>
      <c r="AE4" s="868"/>
      <c r="AF4" s="868"/>
      <c r="AG4" s="868"/>
      <c r="AH4" s="767"/>
      <c r="AI4" s="868"/>
    </row>
    <row r="5" spans="1:62" ht="15.5" thickTop="1" thickBot="1">
      <c r="A5" s="235"/>
      <c r="B5" s="2998" t="str">
        <f>VLOOKUP("COMPONENT:",Language!$D$652:$G$792,$L$1,FALSE)</f>
        <v>COMPONENTE:</v>
      </c>
      <c r="C5" s="2996" t="str">
        <f>SETUP!$E$6</f>
        <v>HIV</v>
      </c>
      <c r="D5" s="2996"/>
      <c r="E5" s="2996"/>
      <c r="F5" s="237"/>
      <c r="G5" s="2992" t="str">
        <f>VLOOKUP("PR: ",Language!$D$652:$G$792,$L$1,FALSE)</f>
        <v xml:space="preserve">RP: </v>
      </c>
      <c r="H5" s="2876" t="str">
        <f>SETUP!E7</f>
        <v>Ministry of Health of the Republic of El Salvador</v>
      </c>
      <c r="I5" s="2876"/>
      <c r="J5" s="2876"/>
      <c r="K5" s="2877"/>
      <c r="L5" s="98"/>
      <c r="M5" s="78"/>
      <c r="N5" s="767"/>
      <c r="O5" s="868"/>
      <c r="P5" s="868"/>
      <c r="Q5" s="868"/>
      <c r="R5" s="868"/>
      <c r="S5" s="868"/>
      <c r="T5" s="767"/>
      <c r="U5" s="767"/>
      <c r="V5" s="868"/>
      <c r="W5" s="868"/>
      <c r="X5" s="868"/>
      <c r="Y5" s="868"/>
      <c r="Z5" s="868"/>
      <c r="AA5" s="767"/>
      <c r="AB5" s="767"/>
      <c r="AC5" s="868"/>
      <c r="AD5" s="868"/>
      <c r="AE5" s="868"/>
      <c r="AF5" s="868"/>
      <c r="AG5" s="868"/>
      <c r="AH5" s="767"/>
      <c r="AI5" s="868"/>
    </row>
    <row r="6" spans="1:62" ht="15.5" thickTop="1" thickBot="1">
      <c r="A6" s="238"/>
      <c r="B6" s="2999"/>
      <c r="C6" s="2878"/>
      <c r="D6" s="2878"/>
      <c r="E6" s="2878"/>
      <c r="F6" s="239"/>
      <c r="G6" s="2993"/>
      <c r="H6" s="2878"/>
      <c r="I6" s="2878"/>
      <c r="J6" s="2878"/>
      <c r="K6" s="2879"/>
      <c r="L6" s="98"/>
      <c r="M6" s="78"/>
      <c r="N6" s="767"/>
      <c r="O6" s="868"/>
      <c r="P6" s="868"/>
      <c r="Q6" s="868"/>
      <c r="R6" s="868"/>
      <c r="S6" s="868"/>
      <c r="T6" s="767"/>
      <c r="U6" s="767"/>
      <c r="V6" s="868"/>
      <c r="W6" s="868"/>
      <c r="X6" s="868"/>
      <c r="Y6" s="868"/>
      <c r="Z6" s="868"/>
      <c r="AA6" s="767"/>
      <c r="AB6" s="767"/>
      <c r="AC6" s="868"/>
      <c r="AD6" s="868"/>
      <c r="AE6" s="868"/>
      <c r="AF6" s="868"/>
      <c r="AG6" s="868"/>
      <c r="AH6" s="767"/>
      <c r="AI6" s="868"/>
    </row>
    <row r="7" spans="1:62" ht="15" thickBot="1">
      <c r="A7" s="1515" t="str">
        <f ca="1">MID(CELL("filename",A1),FIND("]",CELL("filename",A1))+1,255)</f>
        <v>Malaria-Equipment &amp; Other HPs</v>
      </c>
      <c r="B7" s="154"/>
      <c r="C7" s="154"/>
      <c r="D7" s="154"/>
      <c r="E7" s="154"/>
      <c r="F7" s="154"/>
      <c r="G7" s="154"/>
      <c r="H7" s="154"/>
      <c r="I7" s="154"/>
      <c r="J7" s="154"/>
      <c r="K7" s="154"/>
      <c r="L7" s="154"/>
      <c r="M7" s="92"/>
      <c r="N7" s="767"/>
      <c r="O7" s="868"/>
      <c r="P7" s="868"/>
      <c r="Q7" s="868"/>
      <c r="R7" s="868"/>
      <c r="S7" s="868"/>
      <c r="T7" s="767"/>
      <c r="U7" s="767"/>
      <c r="V7" s="868"/>
      <c r="W7" s="868"/>
      <c r="X7" s="868"/>
      <c r="Y7" s="868"/>
      <c r="Z7" s="868"/>
      <c r="AA7" s="767"/>
      <c r="AB7" s="767"/>
      <c r="AC7" s="868"/>
      <c r="AD7" s="868"/>
      <c r="AE7" s="868"/>
      <c r="AF7" s="868"/>
      <c r="AG7" s="868"/>
      <c r="AH7" s="767"/>
      <c r="AI7" s="868"/>
    </row>
    <row r="8" spans="1:62" ht="15" customHeight="1" thickBot="1">
      <c r="A8" s="2960">
        <v>1</v>
      </c>
      <c r="B8" s="2986" t="s">
        <v>418</v>
      </c>
      <c r="C8" s="2986"/>
      <c r="D8" s="2986"/>
      <c r="E8" s="2986"/>
      <c r="F8" s="302" t="s">
        <v>292</v>
      </c>
      <c r="G8" s="303"/>
      <c r="H8" s="2867" t="s">
        <v>419</v>
      </c>
      <c r="I8" s="2864" t="s">
        <v>420</v>
      </c>
      <c r="J8" s="2864" t="s">
        <v>2532</v>
      </c>
      <c r="K8"/>
      <c r="L8"/>
      <c r="M8" s="78"/>
      <c r="N8" s="767"/>
      <c r="O8" s="868"/>
      <c r="P8" s="868"/>
      <c r="Q8" s="868"/>
      <c r="R8" s="868"/>
      <c r="S8" s="868"/>
      <c r="T8" s="767"/>
      <c r="U8" s="767"/>
      <c r="V8" s="868"/>
      <c r="W8" s="868"/>
      <c r="X8" s="868"/>
      <c r="Y8" s="868"/>
      <c r="Z8" s="868"/>
      <c r="AA8" s="767"/>
      <c r="AB8" s="767"/>
      <c r="AC8" s="868"/>
      <c r="AD8" s="868"/>
      <c r="AE8" s="868"/>
      <c r="AF8" s="868"/>
      <c r="AG8" s="868"/>
      <c r="AH8" s="767"/>
      <c r="AI8" s="868"/>
    </row>
    <row r="9" spans="1:62" ht="26.65" customHeight="1" thickBot="1">
      <c r="A9" s="2961"/>
      <c r="B9" s="2987"/>
      <c r="C9" s="2987"/>
      <c r="D9" s="2987"/>
      <c r="E9" s="2987"/>
      <c r="F9" s="304"/>
      <c r="G9" s="305"/>
      <c r="H9" s="3044"/>
      <c r="I9" s="2865"/>
      <c r="J9" s="3043"/>
      <c r="K9"/>
      <c r="L9"/>
      <c r="M9" s="78"/>
      <c r="O9" s="868"/>
      <c r="P9" s="868"/>
      <c r="Q9" s="868"/>
      <c r="R9" s="868"/>
      <c r="S9" s="868"/>
      <c r="T9" s="767"/>
      <c r="U9" s="767"/>
      <c r="V9" s="868"/>
      <c r="W9" s="868"/>
      <c r="Y9" s="868"/>
      <c r="Z9" s="868"/>
      <c r="AA9" s="767"/>
      <c r="AB9" s="767"/>
      <c r="AC9" s="868"/>
      <c r="AD9" s="868"/>
      <c r="AE9" s="868"/>
      <c r="AF9" s="868"/>
      <c r="AG9" s="868"/>
      <c r="AH9" s="767"/>
      <c r="AI9" s="868"/>
      <c r="AL9" s="60"/>
    </row>
    <row r="10" spans="1:62" ht="120" customHeight="1">
      <c r="A10" s="2348" t="str">
        <f>IF($L$1=2,Language!$E$657,IF($L$1=3,Language!$F$657,Language!$G$657))</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49"/>
      <c r="C10" s="2349"/>
      <c r="D10" s="2349"/>
      <c r="E10" s="2349"/>
      <c r="F10" s="2349"/>
      <c r="G10" s="2349"/>
      <c r="H10" s="2349"/>
      <c r="I10" s="2349"/>
      <c r="J10" s="2349"/>
      <c r="K10" s="2349"/>
      <c r="L10" s="2349"/>
      <c r="M10" s="2350"/>
      <c r="N10" s="846"/>
      <c r="O10" s="895"/>
      <c r="P10" s="895"/>
      <c r="Q10" s="895"/>
      <c r="R10" s="895"/>
      <c r="S10" s="895"/>
      <c r="T10" s="846"/>
      <c r="U10" s="846"/>
      <c r="V10" s="895"/>
      <c r="W10" s="895"/>
      <c r="X10" s="895"/>
      <c r="Y10" s="895"/>
      <c r="Z10" s="895"/>
      <c r="AA10" s="846"/>
      <c r="AB10" s="846"/>
      <c r="AC10" s="895"/>
      <c r="AD10" s="895"/>
      <c r="AE10" s="895"/>
      <c r="AF10" s="895"/>
      <c r="AG10" s="895"/>
      <c r="AH10" s="846"/>
      <c r="AI10" s="895"/>
    </row>
    <row r="11" spans="1:62" ht="16" thickBot="1">
      <c r="A11" s="96"/>
      <c r="B11" s="114"/>
      <c r="C11" s="1506"/>
      <c r="D11" s="115"/>
      <c r="E11" s="115"/>
      <c r="F11" s="116"/>
      <c r="G11" s="116"/>
      <c r="H11" s="116"/>
      <c r="I11" s="266"/>
      <c r="J11" s="266"/>
      <c r="K11" s="266"/>
      <c r="L11" s="266"/>
      <c r="M11" s="266"/>
      <c r="N11" s="889"/>
      <c r="O11" s="901"/>
      <c r="P11" s="901"/>
      <c r="Q11" s="901"/>
      <c r="R11" s="901"/>
      <c r="S11" s="901"/>
      <c r="T11" s="889"/>
      <c r="U11" s="889"/>
      <c r="V11" s="901"/>
      <c r="W11" s="901"/>
      <c r="X11" s="901"/>
      <c r="Y11" s="901"/>
      <c r="Z11" s="901"/>
      <c r="AA11" s="889"/>
      <c r="AB11" s="889"/>
      <c r="AC11" s="901"/>
      <c r="AD11" s="901"/>
      <c r="AE11" s="901"/>
      <c r="AF11" s="901"/>
      <c r="AG11" s="901"/>
      <c r="AH11" s="846"/>
      <c r="AI11" s="870"/>
      <c r="AX11" s="3025" t="s">
        <v>1225</v>
      </c>
      <c r="AY11" s="3025"/>
      <c r="AZ11" s="3025"/>
      <c r="BA11" s="3025"/>
      <c r="BB11" s="3025"/>
      <c r="BC11" s="3025"/>
      <c r="BD11" s="3025"/>
      <c r="BE11" s="3025"/>
      <c r="BF11" s="3025"/>
      <c r="BG11" s="3025"/>
      <c r="BH11" s="3025"/>
      <c r="BI11" s="3025"/>
    </row>
    <row r="12" spans="1:62" s="268" customFormat="1" ht="15.75" customHeight="1" thickBot="1">
      <c r="A12" s="2968" t="str">
        <f>VLOOKUP("Category",Language!$D$652:$G$792,$L$1,FALSE)</f>
        <v>Categoría</v>
      </c>
      <c r="B12" s="2966"/>
      <c r="C12" s="2966"/>
      <c r="D12" s="2966"/>
      <c r="E12" s="2968" t="str">
        <f>VLOOKUP("Type of product",Language!$D$652:$G$792,$L$1,FALSE)</f>
        <v>Tipo de producto</v>
      </c>
      <c r="F12" s="2966"/>
      <c r="G12" s="2966"/>
      <c r="H12" s="2969"/>
      <c r="I12" s="3091" t="str">
        <f>VLOOKUP("Specifications (Denomination, technical features, pack size)",Language!$D$652:$G$792,$L$1,FALSE)</f>
        <v xml:space="preserve">Especificaciones (denominación, características técnicas, tamaño del empaque) </v>
      </c>
      <c r="J12" s="3092"/>
      <c r="K12" s="3093"/>
      <c r="L12" s="3092" t="str">
        <f>VLOOKUP("Unit of measure",Language!$D$652:$G$792,$L$1,FALSE)</f>
        <v>Unidad de medida</v>
      </c>
      <c r="M12" s="2974" t="str">
        <f>VLOOKUP("Payment Currency",Language!$D$652:$G$792,$L$1,FALSE)</f>
        <v>Moneda de pago</v>
      </c>
      <c r="N12" s="2980">
        <f>IF(ISBLANK(IMP_ST_DATE),SETUP!$A$3,IF(MO_CHECK&gt;3,"Y1",YEAR(IMP_ST_DATE)))</f>
        <v>2022</v>
      </c>
      <c r="O12" s="2981"/>
      <c r="P12" s="2981"/>
      <c r="Q12" s="2981"/>
      <c r="R12" s="2981"/>
      <c r="S12" s="2981"/>
      <c r="T12" s="2982"/>
      <c r="U12" s="2980">
        <f>IF(N12="Y1","Y2",IF(ISBLANK(IMP_ST_DATE),SETUP!$A$3,YEAR(IMP_ST_DATE)+1))</f>
        <v>2023</v>
      </c>
      <c r="V12" s="2981"/>
      <c r="W12" s="2981"/>
      <c r="X12" s="2981"/>
      <c r="Y12" s="2981"/>
      <c r="Z12" s="2981"/>
      <c r="AA12" s="2982"/>
      <c r="AB12" s="2980">
        <f>IF(N12="Y1","Y3",IF(ISBLANK(IMP_ST_DATE),SETUP!$A$3,YEAR(IMP_ST_DATE)+2))</f>
        <v>2024</v>
      </c>
      <c r="AC12" s="2981"/>
      <c r="AD12" s="2981"/>
      <c r="AE12" s="2981"/>
      <c r="AF12" s="2981"/>
      <c r="AG12" s="2981"/>
      <c r="AH12" s="2982"/>
      <c r="AI12" s="2964" t="str">
        <f>VLOOKUP("Total grant period",Language!$D$652:$G$792,$L$1,FALSE)</f>
        <v>Total del período de subvención</v>
      </c>
      <c r="AJ12" s="2965"/>
      <c r="AK12" s="1827" t="str">
        <f>VLOOKUP("Finance",Language!$D$652:$G$792,$L$1,FALSE)</f>
        <v>Finanzas</v>
      </c>
      <c r="AL12" s="3109" t="str">
        <f>VLOOKUP("Comment",Language!$D$652:$G$792,$L$1,FALSE)</f>
        <v>Comentarios</v>
      </c>
      <c r="AM12" s="3026" t="str">
        <f>VLOOKUP("Delivery Lead Time",Language!$D$652:$G$792,$L$1,FALSE)</f>
        <v>Plazo de entrega</v>
      </c>
      <c r="AN12" s="3026" t="s">
        <v>3054</v>
      </c>
      <c r="AX12" s="3024">
        <f>YEAR(IMP_ST_DATE)</f>
        <v>2022</v>
      </c>
      <c r="AY12" s="3024"/>
      <c r="AZ12" s="3024"/>
      <c r="BA12" s="3024"/>
      <c r="BB12" s="3024">
        <f>YEAR(IMP_ST_DATE)+1</f>
        <v>2023</v>
      </c>
      <c r="BC12" s="3024"/>
      <c r="BD12" s="3024"/>
      <c r="BE12" s="3024"/>
      <c r="BF12" s="3024">
        <f>YEAR(IMP_ST_DATE)+2</f>
        <v>2024</v>
      </c>
      <c r="BG12" s="3024"/>
      <c r="BH12" s="3024"/>
      <c r="BI12" s="3024"/>
    </row>
    <row r="13" spans="1:62" s="323" customFormat="1" ht="26.5" thickBot="1">
      <c r="A13" s="2970"/>
      <c r="B13" s="2967"/>
      <c r="C13" s="2967"/>
      <c r="D13" s="2967"/>
      <c r="E13" s="3030"/>
      <c r="F13" s="3014"/>
      <c r="G13" s="3014"/>
      <c r="H13" s="3031"/>
      <c r="I13" s="2975"/>
      <c r="J13" s="2976"/>
      <c r="K13" s="2977"/>
      <c r="L13" s="2976"/>
      <c r="M13" s="3095"/>
      <c r="N13" s="1874" t="str">
        <f>VLOOKUP("Y1 Unit cost",Language!$D$652:$G$792,$L$1,FALSE)</f>
        <v>Costo unitario del A1</v>
      </c>
      <c r="O13" s="1875" t="str">
        <f>VLOOKUP("Y1 Q1 quantity",Language!$D$652:$G$792,$L$1,FALSE)</f>
        <v>Cantidad del A1, T1</v>
      </c>
      <c r="P13" s="1875" t="str">
        <f>VLOOKUP("Y1 Q2 quantity",Language!$D$652:$G$792,$L$1,FALSE)</f>
        <v>Cantidad del A1, T2</v>
      </c>
      <c r="Q13" s="1875" t="str">
        <f>VLOOKUP("Y1 Q3 quantity",Language!$D$652:$G$792,$L$1,FALSE)</f>
        <v>Cantidad del A1, T3</v>
      </c>
      <c r="R13" s="1875" t="str">
        <f>VLOOKUP("Y1 Q4 quantity",Language!$D$652:$G$792,$L$1,FALSE)</f>
        <v>Cantidad del A1, T4</v>
      </c>
      <c r="S13" s="1875" t="str">
        <f>VLOOKUP("Y1 Total quantity",Language!$D$652:$G$792,$L$1,FALSE)</f>
        <v>Cantidad total del A1</v>
      </c>
      <c r="T13" s="1876" t="str">
        <f>VLOOKUP("Y1 Total cost",Language!$D$652:$G$792,$L$1,FALSE)</f>
        <v>Costo total del A1</v>
      </c>
      <c r="U13" s="1877" t="str">
        <f>VLOOKUP("Y2 Unit cost",Language!$D$652:$G$792,$L$1,FALSE)</f>
        <v>Costo unitario del A2</v>
      </c>
      <c r="V13" s="1875" t="str">
        <f>VLOOKUP("Y2 Q1 quantity",Language!$D$652:$G$792,$L$1,FALSE)</f>
        <v>Cantidad del A2, T1</v>
      </c>
      <c r="W13" s="1875" t="str">
        <f>VLOOKUP("Y2 Q2 quantity",Language!$D$652:$G$792,$L$1,FALSE)</f>
        <v>Cantidad del A2, T2</v>
      </c>
      <c r="X13" s="1875" t="str">
        <f>VLOOKUP("Y2 Q3 quantity",Language!$D$652:$G$792,$L$1,FALSE)</f>
        <v>Cantidad del A2, T3</v>
      </c>
      <c r="Y13" s="1875" t="str">
        <f>VLOOKUP("Y2 Q4 quantity",Language!$D$652:$G$792,$L$1,FALSE)</f>
        <v>Cantidad del A2, T4</v>
      </c>
      <c r="Z13" s="1875" t="str">
        <f>VLOOKUP("Y2 Total quantity",Language!$D$652:$G$792,$L$1,FALSE)</f>
        <v>Cantidad total del A2</v>
      </c>
      <c r="AA13" s="1876" t="str">
        <f>VLOOKUP("Y2 Total cost",Language!$D$652:$G$792,$L$1,FALSE)</f>
        <v>Costo total del A2</v>
      </c>
      <c r="AB13" s="1874" t="str">
        <f>VLOOKUP("Y3 Unit cost",Language!$D$652:$G$792,$L$1,FALSE)</f>
        <v>Costo unitario del A3</v>
      </c>
      <c r="AC13" s="1875" t="str">
        <f>VLOOKUP("Y3 Q1 quantity",Language!$D$652:$G$792,$L$1,FALSE)</f>
        <v>Cantidad del A3, T1</v>
      </c>
      <c r="AD13" s="1875" t="str">
        <f>VLOOKUP("Y3 Q2 quantity",Language!$D$652:$G$792,$L$1,FALSE)</f>
        <v>Cantidad del A3, T2</v>
      </c>
      <c r="AE13" s="1875" t="str">
        <f>VLOOKUP("Y3 Q3 quantity",Language!$D$652:$G$792,$L$1,FALSE)</f>
        <v>Cantidad del A3, T3</v>
      </c>
      <c r="AF13" s="1875" t="str">
        <f>VLOOKUP("Y3 Q4 quantity",Language!$D$652:$G$792,$L$1,FALSE)</f>
        <v>Cantidad del A3, T4</v>
      </c>
      <c r="AG13" s="1875" t="str">
        <f>VLOOKUP("Y3 Total quantity",Language!$D$652:$G$792,$L$1,FALSE)</f>
        <v>Cantidad total del A3</v>
      </c>
      <c r="AH13" s="1876" t="str">
        <f>VLOOKUP("Y3 Total cost",Language!$D$652:$G$792,$L$1,FALSE)</f>
        <v>Costo total del A3</v>
      </c>
      <c r="AI13" s="1878" t="str">
        <f>VLOOKUP("Total quantity",Language!$D$652:$G$792,$L$1,FALSE)</f>
        <v>Cantidad total</v>
      </c>
      <c r="AJ13" s="1876" t="str">
        <f>VLOOKUP("Total cost ",Language!$D$652:$G$792,$L$1,FALSE)</f>
        <v xml:space="preserve">Costo total </v>
      </c>
      <c r="AK13" s="1860" t="str">
        <f>VLOOKUP("Cost Input",Language!$D$652:$G$792,$L$1,FALSE)</f>
        <v>Categoría de costos</v>
      </c>
      <c r="AL13" s="3110"/>
      <c r="AM13" s="3027"/>
      <c r="AN13" s="3027"/>
      <c r="AX13" s="495" t="s">
        <v>1213</v>
      </c>
      <c r="AY13" s="495" t="s">
        <v>1214</v>
      </c>
      <c r="AZ13" s="495" t="s">
        <v>1215</v>
      </c>
      <c r="BA13" s="495" t="s">
        <v>1216</v>
      </c>
      <c r="BB13" s="495" t="s">
        <v>1217</v>
      </c>
      <c r="BC13" s="495" t="s">
        <v>1218</v>
      </c>
      <c r="BD13" s="495" t="s">
        <v>1220</v>
      </c>
      <c r="BE13" s="495" t="s">
        <v>1221</v>
      </c>
      <c r="BF13" s="495" t="s">
        <v>1222</v>
      </c>
      <c r="BG13" s="495" t="s">
        <v>1223</v>
      </c>
      <c r="BH13" s="495" t="s">
        <v>1219</v>
      </c>
      <c r="BI13" s="495" t="s">
        <v>1224</v>
      </c>
    </row>
    <row r="14" spans="1:62" s="198" customFormat="1">
      <c r="A14" s="3089"/>
      <c r="B14" s="3090"/>
      <c r="C14" s="3090"/>
      <c r="D14" s="3090"/>
      <c r="E14" s="2983"/>
      <c r="F14" s="2984"/>
      <c r="G14" s="2984"/>
      <c r="H14" s="2984"/>
      <c r="I14" s="3069"/>
      <c r="J14" s="3070"/>
      <c r="K14" s="3071"/>
      <c r="L14" s="252" t="str">
        <f>IF(A14&lt;&gt;"",IFERROR(INDEX(PMtbl[[WKst]:[Unit of measure*]],MATCH($A$8&amp;$A14&amp;$E14&amp;$I14,INDEX(PMtbl[Sec]&amp;PMtbl[Category]&amp;PMtbl[INN]&amp;PMtbl[Specification],0,),0),8),""),"")</f>
        <v/>
      </c>
      <c r="M14" s="252" t="str">
        <f>IF(L14="", "",SETUP!$E$5)</f>
        <v/>
      </c>
      <c r="N14" s="1973"/>
      <c r="O14" s="1974"/>
      <c r="P14" s="1974"/>
      <c r="Q14" s="1974"/>
      <c r="R14" s="1974"/>
      <c r="S14" s="1879">
        <f>SUM('Malaria-Equipment &amp; Other HPs'!$O14:$R14)</f>
        <v>0</v>
      </c>
      <c r="T14" s="1880">
        <f>'Malaria-Equipment &amp; Other HPs'!$N14*'Malaria-Equipment &amp; Other HPs'!$S14</f>
        <v>0</v>
      </c>
      <c r="U14" s="1980"/>
      <c r="V14" s="1974"/>
      <c r="W14" s="1974"/>
      <c r="X14" s="1974"/>
      <c r="Y14" s="1974"/>
      <c r="Z14" s="1879">
        <f>SUM('Malaria-Equipment &amp; Other HPs'!$V14:$Y14)</f>
        <v>0</v>
      </c>
      <c r="AA14" s="1880">
        <f>'Malaria-Equipment &amp; Other HPs'!$U14*'Malaria-Equipment &amp; Other HPs'!$Z14</f>
        <v>0</v>
      </c>
      <c r="AB14" s="1973"/>
      <c r="AC14" s="1974"/>
      <c r="AD14" s="1974"/>
      <c r="AE14" s="1974"/>
      <c r="AF14" s="1974"/>
      <c r="AG14" s="1879">
        <f>SUM('Malaria-Equipment &amp; Other HPs'!$AC14:$AF14)</f>
        <v>0</v>
      </c>
      <c r="AH14" s="1880">
        <f>'Malaria-Equipment &amp; Other HPs'!$AB14*'Malaria-Equipment &amp; Other HPs'!$AG14</f>
        <v>0</v>
      </c>
      <c r="AI14" s="1881">
        <f>'Malaria-Equipment &amp; Other HPs'!$S14+'Malaria-Equipment &amp; Other HPs'!$Z14+'Malaria-Equipment &amp; Other HPs'!$AG14</f>
        <v>0</v>
      </c>
      <c r="AJ14" s="1880">
        <f>'Malaria-Equipment &amp; Other HPs'!$T14+'Malaria-Equipment &amp; Other HPs'!$AA14+'Malaria-Equipment &amp; Other HPs'!$AH14</f>
        <v>0</v>
      </c>
      <c r="AK14" s="1882" t="str">
        <f>IF(A14&lt;&gt;"",IFERROR(INDEX(PMtbl[[WKst]:[Unit of measure*]],MATCH($A$8&amp;$A14&amp;$E14&amp;$I14,INDEX(PMtbl[Sec]&amp;PMtbl[Category]&amp;PMtbl[INN]&amp;PMtbl[Specification],0,),0),7),""),"")</f>
        <v/>
      </c>
      <c r="AL14" s="956"/>
      <c r="AM14" s="1525" t="str">
        <f>IFERROR(INDEX(SETUP!$C$19:$G$62,MATCH((INDEX(PMtbl[[WKst]:[Unit of measure*]],MATCH($A14&amp;$E14&amp;$I14,INDEX(PMtbl[Category]&amp;PMtbl[INN]&amp;PMtbl[Specification],0,),0),3)),SETUP!$D$19:$D$62,0),5),"")</f>
        <v/>
      </c>
      <c r="AN14" s="1493"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V14" s="463">
        <f>SUM(AX14:BI14)</f>
        <v>0</v>
      </c>
      <c r="AW14" s="500" t="s">
        <v>1227</v>
      </c>
      <c r="AX14" s="1582">
        <f>SUMPRODUCT(($A$14:$D$33="Malaria Microscopy - Equipment &amp; reagents")*($N$14:$N$33)*((O14:O33)))-SUMPRODUCT(($AK$14:$AK$33=6.5)*($N$14:$N$33)*((O14:O33)))</f>
        <v>0</v>
      </c>
      <c r="AY14" s="501">
        <f>SUMPRODUCT(($A$14:$D$33="Malaria Microscopy - Equipment &amp; reagents")*($N$14:$N$33)*((P14:P33)))-SUMPRODUCT(($AK$14:$AK$33=6.5)*($N$14:$N$33)*((P14:P33)))</f>
        <v>0</v>
      </c>
      <c r="AZ14" s="1582">
        <f>SUMPRODUCT(($A$14:$D$33="Malaria Microscopy - Equipment &amp; reagents")*($N$14:$N$33)*((Q14:Q33)))-SUMPRODUCT(($AK$14:$AK$33=6.5)*($N$14:$N$33)*((Q14:Q33)))</f>
        <v>0</v>
      </c>
      <c r="BA14" s="501">
        <f>SUMPRODUCT(($A$14:$D$33="Malaria Microscopy - Equipment &amp; reagents")*($N$14:$N$33)*((R14:R33)))-SUMPRODUCT(($AK$14:$AK$33=6.5)*($N$14:$N$33)*((R14:R33)))</f>
        <v>0</v>
      </c>
      <c r="BB14" s="1582">
        <f>SUMPRODUCT(($A$14:$D$33="Malaria Microscopy - Equipment &amp; reagents")*($U$14:$U$33)*((V14:V33)))-SUMPRODUCT(($AK$14:$AK$33=6.5)*($U$14:$U$33)*((V14:V33)))</f>
        <v>0</v>
      </c>
      <c r="BC14" s="1582">
        <f>SUMPRODUCT(($A$14:$D$33="Malaria Microscopy - Equipment &amp; reagents")*($U$14:$U$33)*((W14:W33)))-SUMPRODUCT(($AK$14:$AK$33=6.5)*($U$14:$U$33)*((W14:W33)))</f>
        <v>0</v>
      </c>
      <c r="BD14" s="501">
        <f>SUMPRODUCT(($A$14:$D$33="Malaria Microscopy - Equipment &amp; reagents")*($U$14:$U$33)*((X14:X33)))-SUMPRODUCT(($AK$14:$AK$33=6.5)*($U$14:$U$33)*((X14:X33)))</f>
        <v>0</v>
      </c>
      <c r="BE14" s="501">
        <f>SUMPRODUCT(($A$14:$D$33="Malaria Microscopy - Equipment &amp; reagents")*($U$14:$U$33)*((Y14:Y33)))-SUMPRODUCT(($AK$14:$AK$33=6.5)*($U$14:$U$33)*((Y14:Y33)))</f>
        <v>0</v>
      </c>
      <c r="BF14" s="1582">
        <f>SUMPRODUCT(($A$14:$D$33="Malaria Microscopy - Equipment &amp; reagents")*($AB$14:$AB$33)*((AC14:AC33)))-SUMPRODUCT(($AK$14:$AK$33=6.5)*($AB$14:$AB$33)*((AC14:AC33)))</f>
        <v>0</v>
      </c>
      <c r="BG14" s="501">
        <f>SUMPRODUCT(($A$14:$D$33="Malaria Microscopy - Equipment &amp; reagents")*($AB$14:$AB$33)*((AD14:AD33)))-SUMPRODUCT(($AK$14:$AK$33=6.5)*($AB$14:$AB$33)*((AD14:AD33)))</f>
        <v>0</v>
      </c>
      <c r="BH14" s="501">
        <f>SUMPRODUCT(($A$14:$D$33="Malaria Microscopy - Equipment &amp; reagents")*($AB$14:$AB$33)*((AE14:AE33)))-SUMPRODUCT(($AK$14:$AK$33=6.5)*($AB$14:$AB$33)*((AE14:AE33)))</f>
        <v>0</v>
      </c>
      <c r="BI14" s="501">
        <f>SUMPRODUCT(($A$14:$D$33="Malaria Microscopy - Equipment &amp; reagents")*($AB$14:$AB$33)*((AF14:AF33)))-SUMPRODUCT(($AK$14:$AK$33=6.5)*($AB$14:$AB$33)*((AF14:AF33)))</f>
        <v>0</v>
      </c>
    </row>
    <row r="15" spans="1:62" s="198" customFormat="1">
      <c r="A15" s="2955"/>
      <c r="B15" s="2955"/>
      <c r="C15" s="2955"/>
      <c r="D15" s="2956"/>
      <c r="E15" s="2953"/>
      <c r="F15" s="2304"/>
      <c r="G15" s="2304"/>
      <c r="H15" s="2304"/>
      <c r="I15" s="3081"/>
      <c r="J15" s="3082"/>
      <c r="K15" s="3083"/>
      <c r="L15" s="253" t="str">
        <f>IF(A15&lt;&gt;"",IFERROR(INDEX(PMtbl[[WKst]:[Unit of measure*]],MATCH($A$8&amp;$A15&amp;$E15&amp;$I15,INDEX(PMtbl[Sec]&amp;PMtbl[Category]&amp;PMtbl[INN]&amp;PMtbl[Specification],0,),0),8),""),"")</f>
        <v/>
      </c>
      <c r="M15" s="253" t="str">
        <f>IF(L15="", "",SETUP!$E$5)</f>
        <v/>
      </c>
      <c r="N15" s="1975"/>
      <c r="O15" s="12"/>
      <c r="P15" s="12"/>
      <c r="Q15" s="12"/>
      <c r="R15" s="12"/>
      <c r="S15" s="1883">
        <f>SUM('Malaria-Equipment &amp; Other HPs'!$O15:$R15)</f>
        <v>0</v>
      </c>
      <c r="T15" s="1884">
        <f>'Malaria-Equipment &amp; Other HPs'!$N15*'Malaria-Equipment &amp; Other HPs'!$S15</f>
        <v>0</v>
      </c>
      <c r="U15" s="1981"/>
      <c r="V15" s="12"/>
      <c r="W15" s="12"/>
      <c r="X15" s="12"/>
      <c r="Y15" s="12"/>
      <c r="Z15" s="1883">
        <f>SUM('Malaria-Equipment &amp; Other HPs'!$V15:$Y15)</f>
        <v>0</v>
      </c>
      <c r="AA15" s="1884">
        <f>'Malaria-Equipment &amp; Other HPs'!$U15*'Malaria-Equipment &amp; Other HPs'!$Z15</f>
        <v>0</v>
      </c>
      <c r="AB15" s="1975"/>
      <c r="AC15" s="12"/>
      <c r="AD15" s="12"/>
      <c r="AE15" s="12"/>
      <c r="AF15" s="12"/>
      <c r="AG15" s="1883">
        <f>SUM('Malaria-Equipment &amp; Other HPs'!$AC15:$AF15)</f>
        <v>0</v>
      </c>
      <c r="AH15" s="1884">
        <f>'Malaria-Equipment &amp; Other HPs'!$AB15*'Malaria-Equipment &amp; Other HPs'!$AG15</f>
        <v>0</v>
      </c>
      <c r="AI15" s="1885">
        <f>'Malaria-Equipment &amp; Other HPs'!$S15+'Malaria-Equipment &amp; Other HPs'!$Z15+'Malaria-Equipment &amp; Other HPs'!$AG15</f>
        <v>0</v>
      </c>
      <c r="AJ15" s="1884">
        <f>'Malaria-Equipment &amp; Other HPs'!$T15+'Malaria-Equipment &amp; Other HPs'!$AA15+'Malaria-Equipment &amp; Other HPs'!$AH15</f>
        <v>0</v>
      </c>
      <c r="AK15" s="1886" t="str">
        <f>IF(A15&lt;&gt;"",IFERROR(INDEX(PMtbl[[WKst]:[Unit of measure*]],MATCH($A$8&amp;$A15&amp;$E15&amp;$I15,INDEX(PMtbl[Sec]&amp;PMtbl[Category]&amp;PMtbl[INN]&amp;PMtbl[Specification],0,),0),7),""),"")</f>
        <v/>
      </c>
      <c r="AL15" s="957"/>
      <c r="AM15" s="1520" t="str">
        <f>IFERROR(INDEX(SETUP!$C$19:$G$62,MATCH((INDEX(PMtbl[[WKst]:[Unit of measure*]],MATCH($A15&amp;$E15&amp;$I15,INDEX(PMtbl[Category]&amp;PMtbl[INN]&amp;PMtbl[Specification],0,),0),3)),SETUP!$D$19:$D$62,0),5),"")</f>
        <v/>
      </c>
      <c r="AN15" s="1494"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V15" s="463">
        <f t="shared" ref="AV15:AV20" si="0">SUM(AX15:BI15)</f>
        <v>0</v>
      </c>
      <c r="AW15" s="500" t="s">
        <v>455</v>
      </c>
      <c r="AX15" s="501">
        <f>SUMPRODUCT(($A$42:$D$56="RDTs for Malaria")*($N$42:$N$56)*((O42:O56)))</f>
        <v>0</v>
      </c>
      <c r="AY15" s="501">
        <f>SUMPRODUCT(($A$42:$D$56="RDTs for Malaria")*($N$42:$N$56)*((P42:P56)))</f>
        <v>0</v>
      </c>
      <c r="AZ15" s="501">
        <f>SUMPRODUCT(($A$42:$D$56="RDTs for Malaria")*($N$42:$N$56)*((Q42:Q56)))</f>
        <v>0</v>
      </c>
      <c r="BA15" s="501">
        <f>SUMPRODUCT(($A$42:$D$56="RDTs for Malaria")*($N$42:$N$56)*((R42:R56)))</f>
        <v>0</v>
      </c>
      <c r="BB15" s="501">
        <f>SUMPRODUCT(($A$42:$D$56="RDTs for Malaria")*($U$42:$U$56)*((V42:V56)))</f>
        <v>0</v>
      </c>
      <c r="BC15" s="501">
        <f>SUMPRODUCT(($A$42:$D$56="RDTs for Malaria")*($U$42:$U$56)*((W42:W56)))</f>
        <v>0</v>
      </c>
      <c r="BD15" s="501">
        <f>SUMPRODUCT(($A$42:$D$56="RDTs for Malaria")*($U$42:$U$56)*((X42:X56)))</f>
        <v>0</v>
      </c>
      <c r="BE15" s="501">
        <f>SUMPRODUCT(($A$42:$D$56="RDTs for Malaria")*($U$42:$U$56)*((Y42:Y56)))</f>
        <v>0</v>
      </c>
      <c r="BF15" s="501">
        <f>SUMPRODUCT(($A$42:$D$56="RDTs for Malaria")*($AB$42:$AB$56)*((AC42:AC56)))</f>
        <v>0</v>
      </c>
      <c r="BG15" s="501">
        <f>SUMPRODUCT(($A$42:$D$56="RDTs for Malaria")*($AB$42:$AB$56)*((AD42:AD56)))</f>
        <v>0</v>
      </c>
      <c r="BH15" s="501">
        <f>SUMPRODUCT(($A$42:$D$56="RDTs for Malaria")*($AB$42:$AB$56)*((AE42:AE56)))</f>
        <v>0</v>
      </c>
      <c r="BI15" s="501">
        <f>SUMPRODUCT(($A$42:$D$56="RDTs for Malaria")*($AB$42:$AB$56)*((AF42:AF56)))</f>
        <v>0</v>
      </c>
    </row>
    <row r="16" spans="1:62" s="198" customFormat="1">
      <c r="A16" s="2957"/>
      <c r="B16" s="2957"/>
      <c r="C16" s="2957"/>
      <c r="D16" s="2958"/>
      <c r="E16" s="2950"/>
      <c r="F16" s="2951"/>
      <c r="G16" s="2951"/>
      <c r="H16" s="2951"/>
      <c r="I16" s="3052"/>
      <c r="J16" s="3053"/>
      <c r="K16" s="3054"/>
      <c r="L16" s="254" t="str">
        <f>IF(A16&lt;&gt;"",IFERROR(INDEX(PMtbl[[WKst]:[Unit of measure*]],MATCH($A$8&amp;$A16&amp;$E16&amp;$I16,INDEX(PMtbl[Sec]&amp;PMtbl[Category]&amp;PMtbl[INN]&amp;PMtbl[Specification],0,),0),8),""),"")</f>
        <v/>
      </c>
      <c r="M16" s="254" t="str">
        <f>IF(L16="", "",SETUP!$E$5)</f>
        <v/>
      </c>
      <c r="N16" s="1976"/>
      <c r="O16" s="1977"/>
      <c r="P16" s="1977"/>
      <c r="Q16" s="1977"/>
      <c r="R16" s="1977"/>
      <c r="S16" s="1887">
        <f>SUM('Malaria-Equipment &amp; Other HPs'!$O16:$R16)</f>
        <v>0</v>
      </c>
      <c r="T16" s="1888">
        <f>'Malaria-Equipment &amp; Other HPs'!$N16*'Malaria-Equipment &amp; Other HPs'!$S16</f>
        <v>0</v>
      </c>
      <c r="U16" s="1982"/>
      <c r="V16" s="1977"/>
      <c r="W16" s="1977"/>
      <c r="X16" s="1977"/>
      <c r="Y16" s="1977"/>
      <c r="Z16" s="1887">
        <f>SUM('Malaria-Equipment &amp; Other HPs'!$V16:$Y16)</f>
        <v>0</v>
      </c>
      <c r="AA16" s="1888">
        <f>'Malaria-Equipment &amp; Other HPs'!$U16*'Malaria-Equipment &amp; Other HPs'!$Z16</f>
        <v>0</v>
      </c>
      <c r="AB16" s="1976"/>
      <c r="AC16" s="1977"/>
      <c r="AD16" s="1977"/>
      <c r="AE16" s="1977"/>
      <c r="AF16" s="1977"/>
      <c r="AG16" s="1887">
        <f>SUM('Malaria-Equipment &amp; Other HPs'!$AC16:$AF16)</f>
        <v>0</v>
      </c>
      <c r="AH16" s="1888">
        <f>'Malaria-Equipment &amp; Other HPs'!$AB16*'Malaria-Equipment &amp; Other HPs'!$AG16</f>
        <v>0</v>
      </c>
      <c r="AI16" s="1889">
        <f>'Malaria-Equipment &amp; Other HPs'!$S16+'Malaria-Equipment &amp; Other HPs'!$Z16+'Malaria-Equipment &amp; Other HPs'!$AG16</f>
        <v>0</v>
      </c>
      <c r="AJ16" s="1888">
        <f>'Malaria-Equipment &amp; Other HPs'!$T16+'Malaria-Equipment &amp; Other HPs'!$AA16+'Malaria-Equipment &amp; Other HPs'!$AH16</f>
        <v>0</v>
      </c>
      <c r="AK16" s="1890" t="str">
        <f>IF(A16&lt;&gt;"",IFERROR(INDEX(PMtbl[[WKst]:[Unit of measure*]],MATCH($A$8&amp;$A16&amp;$E16&amp;$I16,INDEX(PMtbl[Sec]&amp;PMtbl[Category]&amp;PMtbl[INN]&amp;PMtbl[Specification],0,),0),7),""),"")</f>
        <v/>
      </c>
      <c r="AL16" s="956"/>
      <c r="AM16" s="1522" t="str">
        <f>IFERROR(INDEX(SETUP!$C$19:$G$62,MATCH((INDEX(PMtbl[[WKst]:[Unit of measure*]],MATCH($A16&amp;$E16&amp;$I16,INDEX(PMtbl[Category]&amp;PMtbl[INN]&amp;PMtbl[Specification],0,),0),3)),SETUP!$D$19:$D$62,0),5),"")</f>
        <v/>
      </c>
      <c r="AN16" s="1495"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V16" s="463">
        <f t="shared" si="0"/>
        <v>0</v>
      </c>
      <c r="AW16" s="500" t="s">
        <v>456</v>
      </c>
      <c r="AX16" s="501">
        <f>SUMPRODUCT(($A$64:$D$122="LLINs (mass campaigns)")*($N$64:$N$122)*((O64:O122)))</f>
        <v>0</v>
      </c>
      <c r="AY16" s="501">
        <f>SUMPRODUCT(($A$64:$D$122="LLINs (mass campaigns)")*($N$64:$N$122)*((P64:P122)))</f>
        <v>0</v>
      </c>
      <c r="AZ16" s="501">
        <f>SUMPRODUCT(($A$64:$D$122="LLINs (mass campaigns)")*($N$64:$N$122)*((Q64:Q122)))</f>
        <v>0</v>
      </c>
      <c r="BA16" s="501">
        <f>SUMPRODUCT(($A$64:$D$122="LLINs (mass campaigns)")*($N$64:$N$122)*((R64:R122)))</f>
        <v>0</v>
      </c>
      <c r="BB16" s="501">
        <f>SUMPRODUCT(($A$64:$D$122="LLINs (mass campaigns)")*($U$64:$U$122)*((V64:V122)))</f>
        <v>0</v>
      </c>
      <c r="BC16" s="501">
        <f>SUMPRODUCT(($A$64:$D$122="LLINs (mass campaigns)")*($U$64:$U$122)*((W64:W122)))</f>
        <v>0</v>
      </c>
      <c r="BD16" s="501">
        <f>SUMPRODUCT(($A$64:$D$122="LLINs (mass campaigns)")*($U$64:$U$122)*((X64:X122)))</f>
        <v>0</v>
      </c>
      <c r="BE16" s="501">
        <f>SUMPRODUCT(($A$64:$D$122="LLINs (mass campaigns)")*($U$64:$U$122)*((Y64:Y122)))</f>
        <v>0</v>
      </c>
      <c r="BF16" s="501">
        <f>SUMPRODUCT(($A$64:$D$122="LLINs (mass campaigns)")*($AB$64:$AB$122)*((AC64:AC122)))</f>
        <v>0</v>
      </c>
      <c r="BG16" s="501">
        <f>SUMPRODUCT(($A$64:$D$122="LLINs (mass campaigns)")*($AB$64:$AB$122)*((AD64:AD122)))</f>
        <v>0</v>
      </c>
      <c r="BH16" s="501">
        <f>SUMPRODUCT(($A$64:$D$122="LLINs (mass campaigns)")*($AB$64:$AB$122)*((AE64:AE122)))</f>
        <v>0</v>
      </c>
      <c r="BI16" s="501">
        <f>SUMPRODUCT(($A$64:$D$122="LLINs (mass campaigns)")*($AB$64:$AB$122)*((AF64:AF122)))</f>
        <v>0</v>
      </c>
      <c r="BJ16" s="462">
        <f>SUM(AX16:BI16)</f>
        <v>0</v>
      </c>
    </row>
    <row r="17" spans="1:62" s="198" customFormat="1">
      <c r="A17" s="2955"/>
      <c r="B17" s="2955"/>
      <c r="C17" s="2955"/>
      <c r="D17" s="2956"/>
      <c r="E17" s="2953"/>
      <c r="F17" s="2304"/>
      <c r="G17" s="2304"/>
      <c r="H17" s="2304"/>
      <c r="I17" s="3081"/>
      <c r="J17" s="3082"/>
      <c r="K17" s="3083"/>
      <c r="L17" s="253" t="str">
        <f>IF(A17&lt;&gt;"",IFERROR(INDEX(PMtbl[[WKst]:[Unit of measure*]],MATCH($A$8&amp;$A17&amp;$E17&amp;$I17,INDEX(PMtbl[Sec]&amp;PMtbl[Category]&amp;PMtbl[INN]&amp;PMtbl[Specification],0,),0),8),""),"")</f>
        <v/>
      </c>
      <c r="M17" s="255" t="str">
        <f>IF(L17="", "",SETUP!$E$5)</f>
        <v/>
      </c>
      <c r="N17" s="1975"/>
      <c r="O17" s="12"/>
      <c r="P17" s="12"/>
      <c r="Q17" s="12"/>
      <c r="R17" s="12"/>
      <c r="S17" s="1883">
        <f>SUM('Malaria-Equipment &amp; Other HPs'!$O17:$R17)</f>
        <v>0</v>
      </c>
      <c r="T17" s="1884">
        <f>'Malaria-Equipment &amp; Other HPs'!$N17*'Malaria-Equipment &amp; Other HPs'!$S17</f>
        <v>0</v>
      </c>
      <c r="U17" s="1981"/>
      <c r="V17" s="12"/>
      <c r="W17" s="12"/>
      <c r="X17" s="12"/>
      <c r="Y17" s="12"/>
      <c r="Z17" s="1883">
        <f>SUM('Malaria-Equipment &amp; Other HPs'!$V17:$Y17)</f>
        <v>0</v>
      </c>
      <c r="AA17" s="1884">
        <f>'Malaria-Equipment &amp; Other HPs'!$U17*'Malaria-Equipment &amp; Other HPs'!$Z17</f>
        <v>0</v>
      </c>
      <c r="AB17" s="1975"/>
      <c r="AC17" s="12"/>
      <c r="AD17" s="12"/>
      <c r="AE17" s="12"/>
      <c r="AF17" s="12"/>
      <c r="AG17" s="1883">
        <f>SUM('Malaria-Equipment &amp; Other HPs'!$AC17:$AF17)</f>
        <v>0</v>
      </c>
      <c r="AH17" s="1884">
        <f>'Malaria-Equipment &amp; Other HPs'!$AB17*'Malaria-Equipment &amp; Other HPs'!$AG17</f>
        <v>0</v>
      </c>
      <c r="AI17" s="1885">
        <f>'Malaria-Equipment &amp; Other HPs'!$S17+'Malaria-Equipment &amp; Other HPs'!$Z17+'Malaria-Equipment &amp; Other HPs'!$AG17</f>
        <v>0</v>
      </c>
      <c r="AJ17" s="1884">
        <f>'Malaria-Equipment &amp; Other HPs'!$T17+'Malaria-Equipment &amp; Other HPs'!$AA17+'Malaria-Equipment &amp; Other HPs'!$AH17</f>
        <v>0</v>
      </c>
      <c r="AK17" s="1886" t="str">
        <f>IF(A17&lt;&gt;"",IFERROR(INDEX(PMtbl[[WKst]:[Unit of measure*]],MATCH($A$8&amp;$A17&amp;$E17&amp;$I17,INDEX(PMtbl[Sec]&amp;PMtbl[Category]&amp;PMtbl[INN]&amp;PMtbl[Specification],0,),0),7),""),"")</f>
        <v/>
      </c>
      <c r="AL17" s="957"/>
      <c r="AM17" s="1520" t="str">
        <f>IFERROR(INDEX(SETUP!$C$19:$G$62,MATCH((INDEX(PMtbl[[WKst]:[Unit of measure*]],MATCH($A17&amp;$E17&amp;$I17,INDEX(PMtbl[Category]&amp;PMtbl[INN]&amp;PMtbl[Specification],0,),0),3)),SETUP!$D$19:$D$62,0),5),"")</f>
        <v/>
      </c>
      <c r="AN17" s="1494"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V17" s="463">
        <f t="shared" si="0"/>
        <v>0</v>
      </c>
      <c r="AW17" s="500" t="s">
        <v>457</v>
      </c>
      <c r="AX17" s="501">
        <f>SUMPRODUCT(($A$64:$D$122="LLINs (routine distributions)")*($N$64:$N$122)*((O64:O122)))</f>
        <v>0</v>
      </c>
      <c r="AY17" s="501">
        <f>SUMPRODUCT(($A$64:$D$122="LLINs (routine distributions)")*($N$64:$N$122)*((P64:P122)))</f>
        <v>0</v>
      </c>
      <c r="AZ17" s="501">
        <f>SUMPRODUCT(($A$64:$D$122="LLINs (routine distributions)")*($N$64:$N$122)*((Q64:Q122)))</f>
        <v>0</v>
      </c>
      <c r="BA17" s="501">
        <f>SUMPRODUCT(($A$64:$D$122="LLINs (routine distributions)")*($N$64:$N$122)*((R64:R122)))</f>
        <v>0</v>
      </c>
      <c r="BB17" s="501">
        <f>SUMPRODUCT(($A$64:$D$122="LLINs (routine distributions)")*($U$64:$U$122)*((V64:V122)))</f>
        <v>0</v>
      </c>
      <c r="BC17" s="501">
        <f>SUMPRODUCT(($A$64:$D$122="LLINs (routine distributions)")*($U$64:$U$122)*((W64:W122)))</f>
        <v>0</v>
      </c>
      <c r="BD17" s="501">
        <f>SUMPRODUCT(($A$64:$D$122="LLINs (routine distributions)")*($U$64:$U$122)*((X64:X122)))</f>
        <v>0</v>
      </c>
      <c r="BE17" s="501">
        <f>SUMPRODUCT(($A$64:$D$122="LLINs (routine distributions)")*($U$64:$U$122)*((Y64:Y122)))</f>
        <v>0</v>
      </c>
      <c r="BF17" s="501">
        <f>SUMPRODUCT(($A$64:$D$122="LLINs (routine distributions)")*($AB$64:$AB$122)*((AC64:AC122)))</f>
        <v>0</v>
      </c>
      <c r="BG17" s="501">
        <f>SUMPRODUCT(($A$64:$D$122="LLINs (routine distributions)")*($AB$64:$AB$122)*((AD64:AD122)))</f>
        <v>0</v>
      </c>
      <c r="BH17" s="501">
        <f>SUMPRODUCT(($A$64:$D$122="LLINs (routine distributions)")*($AB$64:$AB$122)*((AE64:AE122)))</f>
        <v>0</v>
      </c>
      <c r="BI17" s="501">
        <f>SUMPRODUCT(($A$64:$D$122="LLINs (routine distributions)")*($AB$64:$AB$122)*((AF64:AF122)))</f>
        <v>0</v>
      </c>
      <c r="BJ17" s="462">
        <f>SUM(AX17:BI17)</f>
        <v>0</v>
      </c>
    </row>
    <row r="18" spans="1:62" s="198" customFormat="1">
      <c r="A18" s="2957"/>
      <c r="B18" s="2957"/>
      <c r="C18" s="2957"/>
      <c r="D18" s="2958"/>
      <c r="E18" s="2950"/>
      <c r="F18" s="2951"/>
      <c r="G18" s="2951"/>
      <c r="H18" s="2951"/>
      <c r="I18" s="3052"/>
      <c r="J18" s="3053"/>
      <c r="K18" s="3054"/>
      <c r="L18" s="254" t="str">
        <f>IF(A18&lt;&gt;"",IFERROR(INDEX(PMtbl[[WKst]:[Unit of measure*]],MATCH($A$8&amp;$A18&amp;$E18&amp;$I18,INDEX(PMtbl[Sec]&amp;PMtbl[Category]&amp;PMtbl[INN]&amp;PMtbl[Specification],0,),0),8),""),"")</f>
        <v/>
      </c>
      <c r="M18" s="254" t="str">
        <f>IF(L18="", "",SETUP!$E$5)</f>
        <v/>
      </c>
      <c r="N18" s="1976"/>
      <c r="O18" s="1977"/>
      <c r="P18" s="1977"/>
      <c r="Q18" s="1977"/>
      <c r="R18" s="1977"/>
      <c r="S18" s="1887">
        <f>SUM('Malaria-Equipment &amp; Other HPs'!$O18:$R18)</f>
        <v>0</v>
      </c>
      <c r="T18" s="1888">
        <f>'Malaria-Equipment &amp; Other HPs'!$N18*'Malaria-Equipment &amp; Other HPs'!$S18</f>
        <v>0</v>
      </c>
      <c r="U18" s="1982"/>
      <c r="V18" s="1977"/>
      <c r="W18" s="1977"/>
      <c r="X18" s="1977"/>
      <c r="Y18" s="1977"/>
      <c r="Z18" s="1887">
        <f>SUM('Malaria-Equipment &amp; Other HPs'!$V18:$Y18)</f>
        <v>0</v>
      </c>
      <c r="AA18" s="1888">
        <f>'Malaria-Equipment &amp; Other HPs'!$U18*'Malaria-Equipment &amp; Other HPs'!$Z18</f>
        <v>0</v>
      </c>
      <c r="AB18" s="1976"/>
      <c r="AC18" s="1977"/>
      <c r="AD18" s="1977"/>
      <c r="AE18" s="1977"/>
      <c r="AF18" s="1977"/>
      <c r="AG18" s="1887">
        <f>SUM('Malaria-Equipment &amp; Other HPs'!$AC18:$AF18)</f>
        <v>0</v>
      </c>
      <c r="AH18" s="1888">
        <f>'Malaria-Equipment &amp; Other HPs'!$AB18*'Malaria-Equipment &amp; Other HPs'!$AG18</f>
        <v>0</v>
      </c>
      <c r="AI18" s="1889">
        <f>'Malaria-Equipment &amp; Other HPs'!$S18+'Malaria-Equipment &amp; Other HPs'!$Z18+'Malaria-Equipment &amp; Other HPs'!$AG18</f>
        <v>0</v>
      </c>
      <c r="AJ18" s="1888">
        <f>'Malaria-Equipment &amp; Other HPs'!$T18+'Malaria-Equipment &amp; Other HPs'!$AA18+'Malaria-Equipment &amp; Other HPs'!$AH18</f>
        <v>0</v>
      </c>
      <c r="AK18" s="1891" t="str">
        <f>IF(A18&lt;&gt;"",IFERROR(INDEX(PMtbl[[WKst]:[Unit of measure*]],MATCH($A$8&amp;$A18&amp;$E18&amp;$I18,INDEX(PMtbl[Sec]&amp;PMtbl[Category]&amp;PMtbl[INN]&amp;PMtbl[Specification],0,),0),7),""),"")</f>
        <v/>
      </c>
      <c r="AL18" s="956"/>
      <c r="AM18" s="1522" t="str">
        <f>IFERROR(INDEX(SETUP!$C$19:$G$62,MATCH((INDEX(PMtbl[[WKst]:[Unit of measure*]],MATCH($A18&amp;$E18&amp;$I18,INDEX(PMtbl[Category]&amp;PMtbl[INN]&amp;PMtbl[Specification],0,),0),3)),SETUP!$D$19:$D$62,0),5),"")</f>
        <v/>
      </c>
      <c r="AN18" s="1497"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V18" s="463">
        <f t="shared" si="0"/>
        <v>0</v>
      </c>
      <c r="AW18" s="500" t="s">
        <v>458</v>
      </c>
      <c r="AX18" s="501">
        <f>SUMPRODUCT(($A$64:$D$122="IRS equipment &amp; insecticides")*($N$64:$N$122)*((O64:O122)))-SUMPRODUCT(($AK$64:$AK$122=6.5)*($N$64:$N$122)*((O64:O122)))</f>
        <v>0</v>
      </c>
      <c r="AY18" s="501">
        <f>SUMPRODUCT(($A$64:$D$122="IRS equipment &amp; insecticides")*($N$64:$N$122)*((P64:P122)))-SUMPRODUCT(($AK$64:$AK$122=6.5)*($N$64:$N$122)*((P64:P122)))</f>
        <v>0</v>
      </c>
      <c r="AZ18" s="501">
        <f>SUMPRODUCT(($A$64:$D$122="IRS equipment &amp; insecticides")*($N$64:$N$122)*((Q64:Q122)))-SUMPRODUCT(($AK$64:$AK$122=6.5)*($N$64:$N$122)*((Q64:Q122)))</f>
        <v>0</v>
      </c>
      <c r="BA18" s="501">
        <f>SUMPRODUCT(($A$64:$D$122="IRS equipment &amp; insecticides")*($N$64:$N$122)*((R64:R122)))-SUMPRODUCT(($AK$64:$AK$122=6.5)*($N$64:$N$122)*((R64:R122)))</f>
        <v>0</v>
      </c>
      <c r="BB18" s="1582">
        <f>SUMPRODUCT(($A$64:$D$122="IRS equipment &amp; insecticides")*($U$64:$U$122)*((V64:V122)))-SUMPRODUCT(($AK$64:$AK$122=6.5)*($U$64:$U$122)*((V64:V122)))</f>
        <v>0</v>
      </c>
      <c r="BC18" s="501">
        <f>SUMPRODUCT(($A$64:$D$122="IRS equipment &amp; insecticides")*($U$64:$U$122)*((W64:W122)))-SUMPRODUCT(($AK$64:$AK$122=6.5)*($U$64:$U$122)*((W64:W122)))</f>
        <v>0</v>
      </c>
      <c r="BD18" s="501">
        <f>SUMPRODUCT(($A$64:$D$122="IRS equipment &amp; insecticides")*($U$64:$U$122)*((X64:X122)))-SUMPRODUCT(($AK$64:$AK$122=6.5)*($U$64:$U$122)*((X64:X122)))</f>
        <v>0</v>
      </c>
      <c r="BE18" s="501">
        <f>SUMPRODUCT(($A$64:$D$122="IRS equipment &amp; insecticides")*($U$64:$U$122)*((Y64:Y122)))-SUMPRODUCT(($AK$64:$AK$122=6.5)*($U$64:$U$122)*((Y64:Y122)))</f>
        <v>0</v>
      </c>
      <c r="BF18" s="1582">
        <f>SUMPRODUCT(($A$64:$D$122="IRS equipment &amp; insecticides")*($AB$64:$AB$122)*((AC64:AC122)))-SUMPRODUCT(($AK$64:$AK$122=6.5)*($AB$64:$AB$122)*((AC64:AC122)))</f>
        <v>0</v>
      </c>
      <c r="BG18" s="501">
        <f>SUMPRODUCT(($A$64:$D$122="IRS equipment &amp; insecticides")*($AB$64:$AB$122)*((AD64:AD122)))-SUMPRODUCT(($AK$64:$AK$122=6.5)*($AB$64:$AB$122)*((AD64:AD122)))</f>
        <v>0</v>
      </c>
      <c r="BH18" s="501">
        <f>SUMPRODUCT(($A$64:$D$122="IRS equipment &amp; insecticides")*($AB$64:$AB$122)*((AE64:AE122)))-SUMPRODUCT(($AK$64:$AK$122=6.5)*($AB$64:$AB$122)*((AE64:AE122)))</f>
        <v>0</v>
      </c>
      <c r="BI18" s="501">
        <f>SUMPRODUCT(($A$64:$D$122="IRS equipment &amp; insecticides")*($AB$64:$AB$122)*((AF64:AF122)))-SUMPRODUCT(($AK$64:$AK$122=6.5)*($AB$64:$AB$122)*((AF64:AF122)))</f>
        <v>0</v>
      </c>
    </row>
    <row r="19" spans="1:62" s="198" customFormat="1">
      <c r="A19" s="2955"/>
      <c r="B19" s="2955"/>
      <c r="C19" s="2955"/>
      <c r="D19" s="2956"/>
      <c r="E19" s="2953"/>
      <c r="F19" s="2304"/>
      <c r="G19" s="2304"/>
      <c r="H19" s="2304"/>
      <c r="I19" s="3081"/>
      <c r="J19" s="3082"/>
      <c r="K19" s="3083"/>
      <c r="L19" s="253" t="str">
        <f>IF(A19&lt;&gt;"",IFERROR(INDEX(PMtbl[[WKst]:[Unit of measure*]],MATCH($A$8&amp;$A19&amp;$E19&amp;$I19,INDEX(PMtbl[Sec]&amp;PMtbl[Category]&amp;PMtbl[INN]&amp;PMtbl[Specification],0,),0),8),""),"")</f>
        <v/>
      </c>
      <c r="M19" s="255" t="str">
        <f>IF(L19="", "",SETUP!$E$5)</f>
        <v/>
      </c>
      <c r="N19" s="1975"/>
      <c r="O19" s="12"/>
      <c r="P19" s="12"/>
      <c r="Q19" s="12"/>
      <c r="R19" s="12"/>
      <c r="S19" s="1883">
        <f>SUM('Malaria-Equipment &amp; Other HPs'!$O19:$R19)</f>
        <v>0</v>
      </c>
      <c r="T19" s="1884">
        <f>'Malaria-Equipment &amp; Other HPs'!$N19*'Malaria-Equipment &amp; Other HPs'!$S19</f>
        <v>0</v>
      </c>
      <c r="U19" s="1981"/>
      <c r="V19" s="12"/>
      <c r="W19" s="12"/>
      <c r="X19" s="12"/>
      <c r="Y19" s="12"/>
      <c r="Z19" s="1883">
        <f>SUM('Malaria-Equipment &amp; Other HPs'!$V19:$Y19)</f>
        <v>0</v>
      </c>
      <c r="AA19" s="1884">
        <f>'Malaria-Equipment &amp; Other HPs'!$U19*'Malaria-Equipment &amp; Other HPs'!$Z19</f>
        <v>0</v>
      </c>
      <c r="AB19" s="1975"/>
      <c r="AC19" s="12"/>
      <c r="AD19" s="12"/>
      <c r="AE19" s="12"/>
      <c r="AF19" s="12"/>
      <c r="AG19" s="1883">
        <f>SUM('Malaria-Equipment &amp; Other HPs'!$AC19:$AF19)</f>
        <v>0</v>
      </c>
      <c r="AH19" s="1884">
        <f>'Malaria-Equipment &amp; Other HPs'!$AB19*'Malaria-Equipment &amp; Other HPs'!$AG19</f>
        <v>0</v>
      </c>
      <c r="AI19" s="1885">
        <f>'Malaria-Equipment &amp; Other HPs'!$S19+'Malaria-Equipment &amp; Other HPs'!$Z19+'Malaria-Equipment &amp; Other HPs'!$AG19</f>
        <v>0</v>
      </c>
      <c r="AJ19" s="1884">
        <f>'Malaria-Equipment &amp; Other HPs'!$T19+'Malaria-Equipment &amp; Other HPs'!$AA19+'Malaria-Equipment &amp; Other HPs'!$AH19</f>
        <v>0</v>
      </c>
      <c r="AK19" s="1892" t="str">
        <f>IF(A19&lt;&gt;"",IFERROR(INDEX(PMtbl[[WKst]:[Unit of measure*]],MATCH($A$8&amp;$A19&amp;$E19&amp;$I19,INDEX(PMtbl[Sec]&amp;PMtbl[Category]&amp;PMtbl[INN]&amp;PMtbl[Specification],0,),0),7),""),"")</f>
        <v/>
      </c>
      <c r="AL19" s="957"/>
      <c r="AM19" s="1520" t="str">
        <f>IFERROR(INDEX(SETUP!$C$19:$G$62,MATCH((INDEX(PMtbl[[WKst]:[Unit of measure*]],MATCH($A19&amp;$E19&amp;$I19,INDEX(PMtbl[Category]&amp;PMtbl[INN]&amp;PMtbl[Specification],0,),0),3)),SETUP!$D$19:$D$62,0),5),"")</f>
        <v/>
      </c>
      <c r="AN19" s="1498"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V19" s="463">
        <f t="shared" si="0"/>
        <v>0</v>
      </c>
      <c r="AW19" s="500" t="s">
        <v>429</v>
      </c>
      <c r="AX19" s="1582">
        <f>SUMPRODUCT(($A$130:$D$230="Malaria Consumables")*($N$130:$N$230)*((O130:O230)))</f>
        <v>0</v>
      </c>
      <c r="AY19" s="1582">
        <f>SUMPRODUCT(($A$130:$D$230="Malaria Consumables")*($N$130:$N$230)*((P130:P230)))</f>
        <v>0</v>
      </c>
      <c r="AZ19" s="1582">
        <f>SUMPRODUCT(($A$130:$D$230="Malaria Consumables")*($N$130:$N$230)*((Q130:Q230)))</f>
        <v>0</v>
      </c>
      <c r="BA19" s="1582">
        <f>SUMPRODUCT(($A$130:$D$230="Malaria Consumables")*($N$130:$N$230)*((R130:R230)))</f>
        <v>0</v>
      </c>
      <c r="BB19" s="1582">
        <f>SUMPRODUCT(($A$130:$D$230="Malaria Consumables")*($U$130:$U$230)*((V130:V230)))</f>
        <v>0</v>
      </c>
      <c r="BC19" s="1582">
        <f>SUMPRODUCT(($A$130:$D$230="Malaria Consumables")*($U$130:$U$230)*((W130:W230)))</f>
        <v>0</v>
      </c>
      <c r="BD19" s="1582">
        <f>SUMPRODUCT(($A$130:$D$230="Malaria Consumables")*($U$130:$U$230)*((X130:X230)))</f>
        <v>0</v>
      </c>
      <c r="BE19" s="1582">
        <f>SUMPRODUCT(($A$130:$D$230="Malaria Consumables")*($U$130:$U$230)*((Y130:Y230)))</f>
        <v>0</v>
      </c>
      <c r="BF19" s="1582">
        <f>SUMPRODUCT(($A$130:$D$230="Malaria Consumables")*($AB$130:$AB$230)*((AC130:AC230)))</f>
        <v>0</v>
      </c>
      <c r="BG19" s="501">
        <f>SUMPRODUCT(($A$130:$D$230="Malaria Consumables")*($AB$130:$AB$230)*((AD130:AD230)))</f>
        <v>0</v>
      </c>
      <c r="BH19" s="501">
        <f>SUMPRODUCT(($A$130:$D$230="Malaria Consumables")*($AB$130:$AB$230)*((AE130:AE230)))</f>
        <v>0</v>
      </c>
      <c r="BI19" s="501">
        <f>SUMPRODUCT(($A$130:$D$230="Malaria Consumables")*($AB$130:$AB$230)*((AF130:AF230)))</f>
        <v>0</v>
      </c>
    </row>
    <row r="20" spans="1:62" s="198" customFormat="1">
      <c r="A20" s="2957"/>
      <c r="B20" s="2957"/>
      <c r="C20" s="2957"/>
      <c r="D20" s="2958"/>
      <c r="E20" s="2950"/>
      <c r="F20" s="2951"/>
      <c r="G20" s="2951"/>
      <c r="H20" s="2951"/>
      <c r="I20" s="3052"/>
      <c r="J20" s="3053"/>
      <c r="K20" s="3054"/>
      <c r="L20" s="254" t="str">
        <f>IF(A20&lt;&gt;"",IFERROR(INDEX(PMtbl[[WKst]:[Unit of measure*]],MATCH($A$8&amp;$A20&amp;$E20&amp;$I20,INDEX(PMtbl[Sec]&amp;PMtbl[Category]&amp;PMtbl[INN]&amp;PMtbl[Specification],0,),0),8),""),"")</f>
        <v/>
      </c>
      <c r="M20" s="254" t="str">
        <f>IF(L20="", "",SETUP!$E$5)</f>
        <v/>
      </c>
      <c r="N20" s="1976"/>
      <c r="O20" s="1977"/>
      <c r="P20" s="1977"/>
      <c r="Q20" s="1977"/>
      <c r="R20" s="1977"/>
      <c r="S20" s="1887">
        <f>SUM('Malaria-Equipment &amp; Other HPs'!$O20:$R20)</f>
        <v>0</v>
      </c>
      <c r="T20" s="1888">
        <f>'Malaria-Equipment &amp; Other HPs'!$N20*'Malaria-Equipment &amp; Other HPs'!$S20</f>
        <v>0</v>
      </c>
      <c r="U20" s="1982"/>
      <c r="V20" s="1977"/>
      <c r="W20" s="1977"/>
      <c r="X20" s="1977"/>
      <c r="Y20" s="1977"/>
      <c r="Z20" s="1887">
        <f>SUM('Malaria-Equipment &amp; Other HPs'!$V20:$Y20)</f>
        <v>0</v>
      </c>
      <c r="AA20" s="1888">
        <f>'Malaria-Equipment &amp; Other HPs'!$U20*'Malaria-Equipment &amp; Other HPs'!$Z20</f>
        <v>0</v>
      </c>
      <c r="AB20" s="1976"/>
      <c r="AC20" s="1977"/>
      <c r="AD20" s="1977"/>
      <c r="AE20" s="1977"/>
      <c r="AF20" s="1977"/>
      <c r="AG20" s="1887">
        <f>SUM('Malaria-Equipment &amp; Other HPs'!$AC20:$AF20)</f>
        <v>0</v>
      </c>
      <c r="AH20" s="1888">
        <f>'Malaria-Equipment &amp; Other HPs'!$AB20*'Malaria-Equipment &amp; Other HPs'!$AG20</f>
        <v>0</v>
      </c>
      <c r="AI20" s="1889">
        <f>'Malaria-Equipment &amp; Other HPs'!$S20+'Malaria-Equipment &amp; Other HPs'!$Z20+'Malaria-Equipment &amp; Other HPs'!$AG20</f>
        <v>0</v>
      </c>
      <c r="AJ20" s="1888">
        <f>'Malaria-Equipment &amp; Other HPs'!$T20+'Malaria-Equipment &amp; Other HPs'!$AA20+'Malaria-Equipment &amp; Other HPs'!$AH20</f>
        <v>0</v>
      </c>
      <c r="AK20" s="1891" t="str">
        <f>IF(A20&lt;&gt;"",IFERROR(INDEX(PMtbl[[WKst]:[Unit of measure*]],MATCH($A$8&amp;$A20&amp;$E20&amp;$I20,INDEX(PMtbl[Sec]&amp;PMtbl[Category]&amp;PMtbl[INN]&amp;PMtbl[Specification],0,),0),7),""),"")</f>
        <v/>
      </c>
      <c r="AL20" s="956"/>
      <c r="AM20" s="1522" t="str">
        <f>IFERROR(INDEX(SETUP!$C$19:$G$62,MATCH((INDEX(PMtbl[[WKst]:[Unit of measure*]],MATCH($A20&amp;$E20&amp;$I20,INDEX(PMtbl[Category]&amp;PMtbl[INN]&amp;PMtbl[Specification],0,),0),3)),SETUP!$D$19:$D$62,0),5),"")</f>
        <v/>
      </c>
      <c r="AN20" s="1497"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V20" s="1581">
        <f t="shared" si="0"/>
        <v>0</v>
      </c>
      <c r="AW20" s="502" t="s">
        <v>459</v>
      </c>
      <c r="AX20" s="503">
        <f>SUMPRODUCT(($A$130:$D$230="Malaria Other health equipment")*($N$130:$N$230)*((O130:O230)))
+SUMPRODUCT(($A$64:$D$122="Malaria Other chemicals &amp; reagents")*($N$64:$N$122)*((O64:O122)))
+SUMPRODUCT(($A$130:$D$230="Malaria Laboratory equipment")*($N$130:$N$230)*((O130:O230)))
+SUMPRODUCT(($A$130:$D$230="Malaria Laboratory reagents")*($N$130:$N$230)*((O130:O230)))+SUMPRODUCT(($A$130:$D$230="Waste management for Malaria")*($N$130:$N$230)*((O130:O230)))-SUMPRODUCT(($AK$130:$AK$230=6.5)*($N$130:$N$230)*((O130:O230)))</f>
        <v>0</v>
      </c>
      <c r="AY20" s="503">
        <f>SUMPRODUCT(($A$130:$D$230="Malaria Other health equipment")*($N$130:$N$230)*((P130:P230)))+SUMPRODUCT(($A$64:$D$122="Malaria Other chemicals &amp; reagents")*($N$64:$N$122)*((P64:P122)))+SUMPRODUCT(($A$130:$D$230="Malaria Laboratory equipment")*($N$130:$N$230)*((P130:P230)))+SUMPRODUCT(($A$130:$D$230="Malaria Laboratory reagents")*($N$130:$N$230)*((P130:P230)))+SUMPRODUCT(($A$130:$D$230="Waste management for Malaria")*($N$130:$N$230)*((P130:P230)))-SUMPRODUCT(($AK$130:$AK$230=6.5)*($N$130:$N$230)*((P130:P230)))</f>
        <v>0</v>
      </c>
      <c r="AZ20" s="503">
        <f>SUMPRODUCT(($A$130:$D$230="Malaria Other health equipment")*($N$130:$N$230)*((Q130:Q230)))+SUMPRODUCT(($A$64:$D$122="Malaria Other chemicals &amp; reagents")*($N$64:$N$122)*((Q64:Q122)))+SUMPRODUCT(($A$130:$D$230="Malaria Laboratory equipment")*($N$130:$N$230)*((Q130:Q230)))+SUMPRODUCT(($A$130:$D$230="Malaria Laboratory reagents")*($N$130:$N$230)*((Q130:Q230)))+SUMPRODUCT(($A$130:$D$230="Waste management for Malaria")*($N$130:$N$230)*((Q130:Q230)))-SUMPRODUCT(($AK$130:$AK$230=6.5)*($N$130:$N$230)*((Q130:Q230)))</f>
        <v>0</v>
      </c>
      <c r="BA20" s="503">
        <f>SUMPRODUCT(($A$130:$D$230="Malaria Other health equipment")*($N$130:$N$230)*((R130:R230)))+SUMPRODUCT(($A$64:$D$122="Malaria Other chemicals &amp; reagents")*($N$64:$N$122)*((R64:R122)))+SUMPRODUCT(($A$130:$D$230="Malaria Laboratory equipment")*($N$130:$N$230)*((R130:R230)))+SUMPRODUCT(($A$130:$D$230="Malaria Laboratory reagents")*($N$130:$N$230)*((R130:R230)))+SUMPRODUCT(($A$130:$D$230="Waste management for Malaria")*($N$130:$N$230)*((R130:R230)))-SUMPRODUCT(($AK$130:$AK$230=6.5)*($N$130:$N$230)*((R130:R230)))</f>
        <v>0</v>
      </c>
      <c r="BB20" s="503">
        <f>SUMPRODUCT(($A$130:$D$230="Malaria Other health equipment")*($U$130:$U$230)*((V130:V230)))+SUMPRODUCT(($A$64:$D$122="Malaria Other chemicals &amp; reagents")*($U$64:$U$122)*((V64:V122)))+SUMPRODUCT(($A$130:$D$230="Malaria Laboratory equipment")*($U$130:$U$230)*((V130:V230)))+SUMPRODUCT(($A$130:$D$230="Malaria Laboratory reagents")*($U$130:$U$230)*((V130:V230)))+SUMPRODUCT(($A$130:$D$230="Waste management for Malaria")*($U$130:$U$230)*((V130:V230)))-SUMPRODUCT(($AK$130:$AK$230=6.5)*($U$130:$U$230)*((V130:V230)))</f>
        <v>0</v>
      </c>
      <c r="BC20" s="503">
        <f>SUMPRODUCT(($A$130:$D$230="Malaria Other health equipment")*($U$130:$U$230)*((W130:W230)))+SUMPRODUCT(($A$64:$D$122="Malaria Other chemicals &amp; reagents")*($U$64:$U$122)*((W64:W122)))+SUMPRODUCT(($A$130:$D$230="Malaria Laboratory equipment")*($U$130:$U$230)*((W130:W230)))+SUMPRODUCT(($A$130:$D$230="Malaria Laboratory reagents")*($U$130:$U$230)*((W130:W230)))+SUMPRODUCT(($A$130:$D$230="Waste management for Malaria")*($U$130:$U$230)*((W130:W230)))-SUMPRODUCT(($AK$130:$AK$230=6.5)*($U$130:$U$230)*((W130:W230)))</f>
        <v>0</v>
      </c>
      <c r="BD20" s="503">
        <f>SUMPRODUCT(($A$130:$D$230="Malaria Other health equipment")*($U$130:$U$230)*((X130:X230)))+SUMPRODUCT(($A$64:$D$122="Malaria Other chemicals &amp; reagents")*($U$64:$U$122)*((X64:X122)))+SUMPRODUCT(($A$130:$D$230="Malaria Laboratory equipment")*($U$130:$U$230)*((X130:X230)))+SUMPRODUCT(($A$130:$D$230="Malaria Laboratory reagents")*($U$130:$U$230)*((X130:X230)))+SUMPRODUCT(($A$130:$D$230="Waste management for Malaria")*($U$130:$U$230)*((X130:X230)))-SUMPRODUCT(($AK$130:$AK$230=6.5)*($U$130:$U$230)*((X130:X230)))</f>
        <v>0</v>
      </c>
      <c r="BE20" s="503">
        <f>SUMPRODUCT(($A$130:$D$230="Malaria Other health equipment")*($U$130:$U$230)*((Y130:Y230)))+SUMPRODUCT(($A$64:$D$122="Malaria Other chemicals &amp; reagents")*($U$64:$U$122)*((Y64:Y122)))+SUMPRODUCT(($A$130:$D$230="Malaria Laboratory equipment")*($U$130:$U$230)*((Y130:Y230)))+SUMPRODUCT(($A$130:$D$230="Malaria Laboratory reagents")*($U$130:$U$230)*((Y130:Y230)))+SUMPRODUCT(($A$130:$D$230="Waste management for Malaria")*($U$130:$U$230)*((Y130:Y230)))-SUMPRODUCT(($AK$130:$AK$230=6.5)*($U$130:$U$230)*((Y130:Y230)))</f>
        <v>0</v>
      </c>
      <c r="BF20" s="503">
        <f>SUMPRODUCT(($A$130:$D$230="Malaria Other health equipment")*($AB$130:$AB$230)*((AC130:AC230)))+SUMPRODUCT(($A$64:$D$122="Malaria Other chemicals &amp; reagents")*($AB$64:$AB$122)*((AC64:AC122)))+SUMPRODUCT(($A$130:$D$230="Malaria Laboratory equipment")*($AB$130:$AB$230)*((AC130:AC230)))+SUMPRODUCT(($A$130:$D$230="Malaria Laboratory reagents")*($AB$130:$AB$230)*((AC130:AC230)))+SUMPRODUCT(($A$130:$D$230="Waste management for Malaria")*($AB$130:$AB$230)*((AC130:AC230)))-SUMPRODUCT(($AK$130:$AK$230=6.5)*($AB$130:$AB$230)*((AC130:AC230)))</f>
        <v>0</v>
      </c>
      <c r="BG20" s="503">
        <f>SUMPRODUCT(($A$130:$D$230="Malaria Other health equipment")*($AB$130:$AB$230)*((AD130:AD230)))+SUMPRODUCT(($A$64:$D$122="Malaria Other chemicals &amp; reagents")*($AB$64:$AB$122)*((AD64:AD122)))+SUMPRODUCT(($A$130:$D$230="Malaria Laboratory equipment")*($AB$130:$AB$230)*((AD130:AD230)))+SUMPRODUCT(($A$130:$D$230="Malaria Laboratory reagents")*($AB$130:$AB$230)*((AD130:AD230)))+SUMPRODUCT(($A$130:$D$230="Waste management for Malaria")*($AB$130:$AB$230)*((AD130:AD230)))-SUMPRODUCT(($AK$130:$AK$230=6.5)*($AB$130:$AB$230)*((AD130:AD230)))</f>
        <v>0</v>
      </c>
      <c r="BH20" s="503">
        <f>SUMPRODUCT(($A$130:$D$230="Malaria Other health equipment")*($AB$130:$AB$230)*((AE130:AE230)))+SUMPRODUCT(($A$64:$D$122="Malaria Other chemicals &amp; reagents")*($AB$64:$AB$122)*((AE64:AE122)))+SUMPRODUCT(($A$130:$D$230="Malaria Laboratory equipment")*($AB$130:$AB$230)*((AE130:AE230)))+SUMPRODUCT(($A$130:$D$230="Malaria Laboratory reagents")*($AB$130:$AB$230)*((AE130:AE230)))+SUMPRODUCT(($A$130:$D$230="Waste management for Malaria")*($AB$130:$AB$230)*((AE130:AE230)))-SUMPRODUCT(($AK$130:$AK$230=6.5)*($AB$130:$AB$230)*((AE130:AE230)))</f>
        <v>0</v>
      </c>
      <c r="BI20" s="503">
        <f>SUMPRODUCT(($A$130:$D$230="Malaria Other health equipment")*($AB$130:$AB$230)*((AF130:AF230)))+SUMPRODUCT(($A$64:$D$122="Malaria Other chemicals &amp; reagents")*($AB$64:$AB$122)*((AF64:AF122)))+SUMPRODUCT(($A$130:$D$230="Malaria Laboratory equipment")*($AB$130:$AB$230)*((AF130:AF230)))+SUMPRODUCT(($A$130:$D$230="Malaria Laboratory reagents")*($AB$130:$AB$230)*((AF130:AF230)))+SUMPRODUCT(($A$130:$D$230="Waste management for Malaria")*($AB$130:$AB$230)*((AF130:AF230)))-SUMPRODUCT(($AK$130:$AK$230=6.5)*($AB$130:$AB$230)*((AF130:AF230)))</f>
        <v>0</v>
      </c>
    </row>
    <row r="21" spans="1:62" s="198" customFormat="1">
      <c r="A21" s="2955"/>
      <c r="B21" s="2955"/>
      <c r="C21" s="2955"/>
      <c r="D21" s="2956"/>
      <c r="E21" s="2953"/>
      <c r="F21" s="2304"/>
      <c r="G21" s="2304"/>
      <c r="H21" s="2954"/>
      <c r="I21" s="3081"/>
      <c r="J21" s="3082"/>
      <c r="K21" s="3083"/>
      <c r="L21" s="253" t="str">
        <f>IF(A21&lt;&gt;"",IFERROR(INDEX(PMtbl[[WKst]:[Unit of measure*]],MATCH($A$8&amp;$A21&amp;$E21&amp;$I21,INDEX(PMtbl[Sec]&amp;PMtbl[Category]&amp;PMtbl[INN]&amp;PMtbl[Specification],0,),0),8),""),"")</f>
        <v/>
      </c>
      <c r="M21" s="255" t="str">
        <f>IF(L21="", "",SETUP!$E$5)</f>
        <v/>
      </c>
      <c r="N21" s="1975"/>
      <c r="O21" s="12"/>
      <c r="P21" s="12"/>
      <c r="Q21" s="12"/>
      <c r="R21" s="12"/>
      <c r="S21" s="1883">
        <f>SUM('Malaria-Equipment &amp; Other HPs'!$O21:$R21)</f>
        <v>0</v>
      </c>
      <c r="T21" s="1884">
        <f>'Malaria-Equipment &amp; Other HPs'!$N21*'Malaria-Equipment &amp; Other HPs'!$S21</f>
        <v>0</v>
      </c>
      <c r="U21" s="1981"/>
      <c r="V21" s="12"/>
      <c r="W21" s="12"/>
      <c r="X21" s="12"/>
      <c r="Y21" s="12"/>
      <c r="Z21" s="1883">
        <f>SUM('Malaria-Equipment &amp; Other HPs'!$V21:$Y21)</f>
        <v>0</v>
      </c>
      <c r="AA21" s="1884">
        <f>'Malaria-Equipment &amp; Other HPs'!$U21*'Malaria-Equipment &amp; Other HPs'!$Z21</f>
        <v>0</v>
      </c>
      <c r="AB21" s="1975"/>
      <c r="AC21" s="12"/>
      <c r="AD21" s="12"/>
      <c r="AE21" s="12"/>
      <c r="AF21" s="12"/>
      <c r="AG21" s="1883">
        <f>SUM('Malaria-Equipment &amp; Other HPs'!$AC21:$AF21)</f>
        <v>0</v>
      </c>
      <c r="AH21" s="1884">
        <f>'Malaria-Equipment &amp; Other HPs'!$AB21*'Malaria-Equipment &amp; Other HPs'!$AG21</f>
        <v>0</v>
      </c>
      <c r="AI21" s="1885">
        <f>'Malaria-Equipment &amp; Other HPs'!$S21+'Malaria-Equipment &amp; Other HPs'!$Z21+'Malaria-Equipment &amp; Other HPs'!$AG21</f>
        <v>0</v>
      </c>
      <c r="AJ21" s="1884">
        <f>'Malaria-Equipment &amp; Other HPs'!$T21+'Malaria-Equipment &amp; Other HPs'!$AA21+'Malaria-Equipment &amp; Other HPs'!$AH21</f>
        <v>0</v>
      </c>
      <c r="AK21" s="1892" t="str">
        <f>IF(A21&lt;&gt;"",IFERROR(INDEX(PMtbl[[WKst]:[Unit of measure*]],MATCH($A$8&amp;$A21&amp;$E21&amp;$I21,INDEX(PMtbl[Sec]&amp;PMtbl[Category]&amp;PMtbl[INN]&amp;PMtbl[Specification],0,),0),7),""),"")</f>
        <v/>
      </c>
      <c r="AL21" s="957"/>
      <c r="AM21" s="1520" t="str">
        <f>IFERROR(INDEX(SETUP!$C$19:$G$62,MATCH((INDEX(PMtbl[[WKst]:[Unit of measure*]],MATCH($A21&amp;$E21&amp;$I21,INDEX(PMtbl[Category]&amp;PMtbl[INN]&amp;PMtbl[Specification],0,),0),3)),SETUP!$D$19:$D$62,0),5),"")</f>
        <v/>
      </c>
      <c r="AN21" s="1498"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510">
        <f>SUM(AX14:AX20)</f>
        <v>0</v>
      </c>
      <c r="AY21" s="1510">
        <f t="shared" ref="AY21:BI21" si="1">SUM(AY14:AY20)</f>
        <v>0</v>
      </c>
      <c r="AZ21" s="1510">
        <f t="shared" si="1"/>
        <v>0</v>
      </c>
      <c r="BA21" s="1510">
        <f t="shared" si="1"/>
        <v>0</v>
      </c>
      <c r="BB21" s="1510">
        <f t="shared" si="1"/>
        <v>0</v>
      </c>
      <c r="BC21" s="1510">
        <f t="shared" si="1"/>
        <v>0</v>
      </c>
      <c r="BD21" s="1510">
        <f t="shared" si="1"/>
        <v>0</v>
      </c>
      <c r="BE21" s="1510">
        <f t="shared" si="1"/>
        <v>0</v>
      </c>
      <c r="BF21" s="1510">
        <f t="shared" si="1"/>
        <v>0</v>
      </c>
      <c r="BG21" s="1510">
        <f t="shared" si="1"/>
        <v>0</v>
      </c>
      <c r="BH21" s="1510">
        <f t="shared" si="1"/>
        <v>0</v>
      </c>
      <c r="BI21" s="1510">
        <f t="shared" si="1"/>
        <v>0</v>
      </c>
    </row>
    <row r="22" spans="1:62" s="198" customFormat="1">
      <c r="A22" s="2957"/>
      <c r="B22" s="2957"/>
      <c r="C22" s="2957"/>
      <c r="D22" s="2958"/>
      <c r="E22" s="2950"/>
      <c r="F22" s="2951"/>
      <c r="G22" s="2951"/>
      <c r="H22" s="2951"/>
      <c r="I22" s="3052"/>
      <c r="J22" s="3053"/>
      <c r="K22" s="3054"/>
      <c r="L22" s="254" t="str">
        <f>IF(A22&lt;&gt;"",IFERROR(INDEX(PMtbl[[WKst]:[Unit of measure*]],MATCH($A$8&amp;$A22&amp;$E22&amp;$I22,INDEX(PMtbl[Sec]&amp;PMtbl[Category]&amp;PMtbl[INN]&amp;PMtbl[Specification],0,),0),8),""),"")</f>
        <v/>
      </c>
      <c r="M22" s="254" t="str">
        <f>IF(L22="", "",SETUP!$E$5)</f>
        <v/>
      </c>
      <c r="N22" s="1976"/>
      <c r="O22" s="1977"/>
      <c r="P22" s="1977"/>
      <c r="Q22" s="1977"/>
      <c r="R22" s="1977"/>
      <c r="S22" s="1887">
        <f>SUM('Malaria-Equipment &amp; Other HPs'!$O22:$R22)</f>
        <v>0</v>
      </c>
      <c r="T22" s="1888">
        <f>'Malaria-Equipment &amp; Other HPs'!$N22*'Malaria-Equipment &amp; Other HPs'!$S22</f>
        <v>0</v>
      </c>
      <c r="U22" s="1982"/>
      <c r="V22" s="1977"/>
      <c r="W22" s="1977"/>
      <c r="X22" s="1977"/>
      <c r="Y22" s="1977"/>
      <c r="Z22" s="1887">
        <f>SUM('Malaria-Equipment &amp; Other HPs'!$V22:$Y22)</f>
        <v>0</v>
      </c>
      <c r="AA22" s="1888">
        <f>'Malaria-Equipment &amp; Other HPs'!$U22*'Malaria-Equipment &amp; Other HPs'!$Z22</f>
        <v>0</v>
      </c>
      <c r="AB22" s="1976"/>
      <c r="AC22" s="1977"/>
      <c r="AD22" s="1977"/>
      <c r="AE22" s="1977"/>
      <c r="AF22" s="1977"/>
      <c r="AG22" s="1887">
        <f>SUM('Malaria-Equipment &amp; Other HPs'!$AC22:$AF22)</f>
        <v>0</v>
      </c>
      <c r="AH22" s="1888">
        <f>'Malaria-Equipment &amp; Other HPs'!$AB22*'Malaria-Equipment &amp; Other HPs'!$AG22</f>
        <v>0</v>
      </c>
      <c r="AI22" s="1889">
        <f>'Malaria-Equipment &amp; Other HPs'!$S22+'Malaria-Equipment &amp; Other HPs'!$Z22+'Malaria-Equipment &amp; Other HPs'!$AG22</f>
        <v>0</v>
      </c>
      <c r="AJ22" s="1888">
        <f>'Malaria-Equipment &amp; Other HPs'!$T22+'Malaria-Equipment &amp; Other HPs'!$AA22+'Malaria-Equipment &amp; Other HPs'!$AH22</f>
        <v>0</v>
      </c>
      <c r="AK22" s="1891" t="str">
        <f>IF(A22&lt;&gt;"",IFERROR(INDEX(PMtbl[[WKst]:[Unit of measure*]],MATCH($A$8&amp;$A22&amp;$E22&amp;$I22,INDEX(PMtbl[Sec]&amp;PMtbl[Category]&amp;PMtbl[INN]&amp;PMtbl[Specification],0,),0),7),""),"")</f>
        <v/>
      </c>
      <c r="AL22" s="956"/>
      <c r="AM22" s="1522" t="str">
        <f>IFERROR(INDEX(SETUP!$C$19:$G$62,MATCH((INDEX(PMtbl[[WKst]:[Unit of measure*]],MATCH($A22&amp;$E22&amp;$I22,INDEX(PMtbl[Category]&amp;PMtbl[INN]&amp;PMtbl[Specification],0,),0),3)),SETUP!$D$19:$D$62,0),5),"")</f>
        <v/>
      </c>
      <c r="AN22" s="1497"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X22" s="459"/>
      <c r="AY22" s="459"/>
      <c r="AZ22" s="459"/>
      <c r="BA22" s="459"/>
      <c r="BB22" s="459"/>
      <c r="BC22" s="459"/>
      <c r="BD22" s="459"/>
      <c r="BE22" s="459"/>
      <c r="BF22" s="459"/>
      <c r="BG22" s="459"/>
      <c r="BH22" s="459"/>
      <c r="BI22" s="459"/>
    </row>
    <row r="23" spans="1:62" s="198" customFormat="1">
      <c r="A23" s="2955"/>
      <c r="B23" s="2955"/>
      <c r="C23" s="2955"/>
      <c r="D23" s="2956"/>
      <c r="E23" s="2953"/>
      <c r="F23" s="2304"/>
      <c r="G23" s="2304"/>
      <c r="H23" s="2304"/>
      <c r="I23" s="3081"/>
      <c r="J23" s="3082"/>
      <c r="K23" s="3083"/>
      <c r="L23" s="253" t="str">
        <f>IF(A23&lt;&gt;"",IFERROR(INDEX(PMtbl[[WKst]:[Unit of measure*]],MATCH($A$8&amp;$A23&amp;$E23&amp;$I23,INDEX(PMtbl[Sec]&amp;PMtbl[Category]&amp;PMtbl[INN]&amp;PMtbl[Specification],0,),0),8),""),"")</f>
        <v/>
      </c>
      <c r="M23" s="255" t="str">
        <f>IF(L23="", "",SETUP!$E$5)</f>
        <v/>
      </c>
      <c r="N23" s="1975"/>
      <c r="O23" s="12"/>
      <c r="P23" s="12"/>
      <c r="Q23" s="12"/>
      <c r="R23" s="12"/>
      <c r="S23" s="1883">
        <f>SUM('Malaria-Equipment &amp; Other HPs'!$O23:$R23)</f>
        <v>0</v>
      </c>
      <c r="T23" s="1884">
        <f>'Malaria-Equipment &amp; Other HPs'!$N23*'Malaria-Equipment &amp; Other HPs'!$S23</f>
        <v>0</v>
      </c>
      <c r="U23" s="1981"/>
      <c r="V23" s="12"/>
      <c r="W23" s="12"/>
      <c r="X23" s="12"/>
      <c r="Y23" s="12"/>
      <c r="Z23" s="1883">
        <f>SUM('Malaria-Equipment &amp; Other HPs'!$V23:$Y23)</f>
        <v>0</v>
      </c>
      <c r="AA23" s="1884">
        <f>'Malaria-Equipment &amp; Other HPs'!$U23*'Malaria-Equipment &amp; Other HPs'!$Z23</f>
        <v>0</v>
      </c>
      <c r="AB23" s="1975"/>
      <c r="AC23" s="12"/>
      <c r="AD23" s="12"/>
      <c r="AE23" s="12"/>
      <c r="AF23" s="12"/>
      <c r="AG23" s="1883">
        <f>SUM('Malaria-Equipment &amp; Other HPs'!$AC23:$AF23)</f>
        <v>0</v>
      </c>
      <c r="AH23" s="1884">
        <f>'Malaria-Equipment &amp; Other HPs'!$AB23*'Malaria-Equipment &amp; Other HPs'!$AG23</f>
        <v>0</v>
      </c>
      <c r="AI23" s="1885">
        <f>'Malaria-Equipment &amp; Other HPs'!$S23+'Malaria-Equipment &amp; Other HPs'!$Z23+'Malaria-Equipment &amp; Other HPs'!$AG23</f>
        <v>0</v>
      </c>
      <c r="AJ23" s="1884">
        <f>'Malaria-Equipment &amp; Other HPs'!$T23+'Malaria-Equipment &amp; Other HPs'!$AA23+'Malaria-Equipment &amp; Other HPs'!$AH23</f>
        <v>0</v>
      </c>
      <c r="AK23" s="1892" t="str">
        <f>IF(A23&lt;&gt;"",IFERROR(INDEX(PMtbl[[WKst]:[Unit of measure*]],MATCH($A$8&amp;$A23&amp;$E23&amp;$I23,INDEX(PMtbl[Sec]&amp;PMtbl[Category]&amp;PMtbl[INN]&amp;PMtbl[Specification],0,),0),7),""),"")</f>
        <v/>
      </c>
      <c r="AL23" s="957"/>
      <c r="AM23" s="1520" t="str">
        <f>IFERROR(INDEX(SETUP!$C$19:$G$62,MATCH((INDEX(PMtbl[[WKst]:[Unit of measure*]],MATCH($A23&amp;$E23&amp;$I23,INDEX(PMtbl[Category]&amp;PMtbl[INN]&amp;PMtbl[Specification],0,),0),3)),SETUP!$D$19:$D$62,0),5),"")</f>
        <v/>
      </c>
      <c r="AN23" s="1498"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X23" s="460"/>
      <c r="AY23" s="459"/>
      <c r="AZ23" s="459"/>
      <c r="BA23" s="459"/>
      <c r="BB23" s="459"/>
      <c r="BC23" s="459"/>
      <c r="BD23" s="459"/>
      <c r="BE23" s="459"/>
      <c r="BF23" s="459"/>
      <c r="BG23" s="459"/>
      <c r="BH23" s="459"/>
      <c r="BI23" s="459"/>
    </row>
    <row r="24" spans="1:62" s="198" customFormat="1">
      <c r="A24" s="2957"/>
      <c r="B24" s="2957"/>
      <c r="C24" s="2957"/>
      <c r="D24" s="2958"/>
      <c r="E24" s="2950"/>
      <c r="F24" s="2951"/>
      <c r="G24" s="2951"/>
      <c r="H24" s="2951"/>
      <c r="I24" s="3052"/>
      <c r="J24" s="3053"/>
      <c r="K24" s="3054"/>
      <c r="L24" s="254" t="str">
        <f>IF(A24&lt;&gt;"",IFERROR(INDEX(PMtbl[[WKst]:[Unit of measure*]],MATCH($A$8&amp;$A24&amp;$E24&amp;$I24,INDEX(PMtbl[Sec]&amp;PMtbl[Category]&amp;PMtbl[INN]&amp;PMtbl[Specification],0,),0),8),""),"")</f>
        <v/>
      </c>
      <c r="M24" s="254" t="str">
        <f>IF(L24="", "",SETUP!$E$5)</f>
        <v/>
      </c>
      <c r="N24" s="1976"/>
      <c r="O24" s="1977"/>
      <c r="P24" s="1977"/>
      <c r="Q24" s="1977"/>
      <c r="R24" s="1977"/>
      <c r="S24" s="1887">
        <f>SUM('Malaria-Equipment &amp; Other HPs'!$O24:$R24)</f>
        <v>0</v>
      </c>
      <c r="T24" s="1888">
        <f>'Malaria-Equipment &amp; Other HPs'!$N24*'Malaria-Equipment &amp; Other HPs'!$S24</f>
        <v>0</v>
      </c>
      <c r="U24" s="1982"/>
      <c r="V24" s="1977"/>
      <c r="W24" s="1977"/>
      <c r="X24" s="1977"/>
      <c r="Y24" s="1977"/>
      <c r="Z24" s="1887">
        <f>SUM('Malaria-Equipment &amp; Other HPs'!$V24:$Y24)</f>
        <v>0</v>
      </c>
      <c r="AA24" s="1888">
        <f>'Malaria-Equipment &amp; Other HPs'!$U24*'Malaria-Equipment &amp; Other HPs'!$Z24</f>
        <v>0</v>
      </c>
      <c r="AB24" s="1976"/>
      <c r="AC24" s="1977"/>
      <c r="AD24" s="1977"/>
      <c r="AE24" s="1977"/>
      <c r="AF24" s="1977"/>
      <c r="AG24" s="1887">
        <f>SUM('Malaria-Equipment &amp; Other HPs'!$AC24:$AF24)</f>
        <v>0</v>
      </c>
      <c r="AH24" s="1888">
        <f>'Malaria-Equipment &amp; Other HPs'!$AB24*'Malaria-Equipment &amp; Other HPs'!$AG24</f>
        <v>0</v>
      </c>
      <c r="AI24" s="1889">
        <f>'Malaria-Equipment &amp; Other HPs'!$S24+'Malaria-Equipment &amp; Other HPs'!$Z24+'Malaria-Equipment &amp; Other HPs'!$AG24</f>
        <v>0</v>
      </c>
      <c r="AJ24" s="1888">
        <f>'Malaria-Equipment &amp; Other HPs'!$T24+'Malaria-Equipment &amp; Other HPs'!$AA24+'Malaria-Equipment &amp; Other HPs'!$AH24</f>
        <v>0</v>
      </c>
      <c r="AK24" s="1891" t="str">
        <f>IF(A24&lt;&gt;"",IFERROR(INDEX(PMtbl[[WKst]:[Unit of measure*]],MATCH($A$8&amp;$A24&amp;$E24&amp;$I24,INDEX(PMtbl[Sec]&amp;PMtbl[Category]&amp;PMtbl[INN]&amp;PMtbl[Specification],0,),0),7),""),"")</f>
        <v/>
      </c>
      <c r="AL24" s="956"/>
      <c r="AM24" s="1522" t="str">
        <f>IFERROR(INDEX(SETUP!$C$19:$G$62,MATCH((INDEX(PMtbl[[WKst]:[Unit of measure*]],MATCH($A24&amp;$E24&amp;$I24,INDEX(PMtbl[Category]&amp;PMtbl[INN]&amp;PMtbl[Specification],0,),0),3)),SETUP!$D$19:$D$62,0),5),"")</f>
        <v/>
      </c>
      <c r="AN24" s="1497"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V24" s="462"/>
      <c r="AW24" s="461" t="s">
        <v>1899</v>
      </c>
      <c r="AX24" s="461">
        <f>SUMPRODUCT(--($AK$14:$AK$231=6.5), $N$14:$N$231, $O$14:$O$231)</f>
        <v>0</v>
      </c>
      <c r="AY24" s="461">
        <f>SUMPRODUCT(--($AK$14:$AK$231=6.5), $N$14:$N$231, $P$14:$P$231)</f>
        <v>0</v>
      </c>
      <c r="AZ24" s="461">
        <f>SUMPRODUCT(--($AK$14:$AK$231=6.5), $N$14:$N$231, $Q$14:$Q$231)</f>
        <v>0</v>
      </c>
      <c r="BA24" s="461">
        <f>SUMPRODUCT(--($AK$14:$AK$231=6.5), $N$14:$N$231, $R$14:$R$231)</f>
        <v>0</v>
      </c>
      <c r="BB24" s="461">
        <f>SUMPRODUCT(--($AK$14:$AK$231=6.5), $U$14:$U$231, $V$14:$V$231)</f>
        <v>0</v>
      </c>
      <c r="BC24" s="461">
        <f>SUMPRODUCT(--($AK$14:$AK$231=6.5), $U$14:$U$231, $W$14:$W$231)</f>
        <v>0</v>
      </c>
      <c r="BD24" s="461">
        <f>SUMPRODUCT(--($AK$14:$AK$231=6.5), $U$14:$U$231, $X$14:$X$231)</f>
        <v>0</v>
      </c>
      <c r="BE24" s="461">
        <f>SUMPRODUCT(--($AK$14:$AK$231=6.5), $U$14:$U$231, $Y$14:$Y$231)</f>
        <v>0</v>
      </c>
      <c r="BF24" s="461">
        <f>SUMPRODUCT(--($AK$14:$AK$231=6.5), $AB$14:$AB$231, $AC$14:$AC$231)</f>
        <v>0</v>
      </c>
      <c r="BG24" s="461">
        <f>SUMPRODUCT(--($AK$14:$AK$231=6.5), $AB$14:$AB$231, $AD$14:$AD$231)</f>
        <v>0</v>
      </c>
      <c r="BH24" s="461">
        <f>SUMPRODUCT(--($AK$14:$AK$231=6.5), $AB$14:$AB$231, $AE$14:$AE$231)</f>
        <v>0</v>
      </c>
      <c r="BI24" s="461">
        <f>SUMPRODUCT(--($AK$14:$AK$231=6.5), $AB$14:$AB$231, $AF$14:$AF$231)</f>
        <v>0</v>
      </c>
    </row>
    <row r="25" spans="1:62" s="198" customFormat="1">
      <c r="A25" s="2955"/>
      <c r="B25" s="2955"/>
      <c r="C25" s="2955"/>
      <c r="D25" s="2956"/>
      <c r="E25" s="2953"/>
      <c r="F25" s="2304"/>
      <c r="G25" s="2304"/>
      <c r="H25" s="2304"/>
      <c r="I25" s="3081"/>
      <c r="J25" s="3082"/>
      <c r="K25" s="3083"/>
      <c r="L25" s="253" t="str">
        <f>IF(A25&lt;&gt;"",IFERROR(INDEX(PMtbl[[WKst]:[Unit of measure*]],MATCH($A$8&amp;$A25&amp;$E25&amp;$I25,INDEX(PMtbl[Sec]&amp;PMtbl[Category]&amp;PMtbl[INN]&amp;PMtbl[Specification],0,),0),8),""),"")</f>
        <v/>
      </c>
      <c r="M25" s="255" t="str">
        <f>IF(L25="", "",SETUP!$E$5)</f>
        <v/>
      </c>
      <c r="N25" s="1975"/>
      <c r="O25" s="12"/>
      <c r="P25" s="12"/>
      <c r="Q25" s="12"/>
      <c r="R25" s="12"/>
      <c r="S25" s="1883">
        <f>SUM('Malaria-Equipment &amp; Other HPs'!$O25:$R25)</f>
        <v>0</v>
      </c>
      <c r="T25" s="1884">
        <f>'Malaria-Equipment &amp; Other HPs'!$N25*'Malaria-Equipment &amp; Other HPs'!$S25</f>
        <v>0</v>
      </c>
      <c r="U25" s="1981"/>
      <c r="V25" s="12"/>
      <c r="W25" s="12"/>
      <c r="X25" s="12"/>
      <c r="Y25" s="12"/>
      <c r="Z25" s="1883">
        <f>SUM('Malaria-Equipment &amp; Other HPs'!$V25:$Y25)</f>
        <v>0</v>
      </c>
      <c r="AA25" s="1884">
        <f>'Malaria-Equipment &amp; Other HPs'!$U25*'Malaria-Equipment &amp; Other HPs'!$Z25</f>
        <v>0</v>
      </c>
      <c r="AB25" s="1975"/>
      <c r="AC25" s="12"/>
      <c r="AD25" s="12"/>
      <c r="AE25" s="12"/>
      <c r="AF25" s="12"/>
      <c r="AG25" s="1883">
        <f>SUM('Malaria-Equipment &amp; Other HPs'!$AC25:$AF25)</f>
        <v>0</v>
      </c>
      <c r="AH25" s="1884">
        <f>'Malaria-Equipment &amp; Other HPs'!$AB25*'Malaria-Equipment &amp; Other HPs'!$AG25</f>
        <v>0</v>
      </c>
      <c r="AI25" s="1885">
        <f>'Malaria-Equipment &amp; Other HPs'!$S25+'Malaria-Equipment &amp; Other HPs'!$Z25+'Malaria-Equipment &amp; Other HPs'!$AG25</f>
        <v>0</v>
      </c>
      <c r="AJ25" s="1884">
        <f>'Malaria-Equipment &amp; Other HPs'!$T25+'Malaria-Equipment &amp; Other HPs'!$AA25+'Malaria-Equipment &amp; Other HPs'!$AH25</f>
        <v>0</v>
      </c>
      <c r="AK25" s="1892" t="str">
        <f>IF(A25&lt;&gt;"",IFERROR(INDEX(PMtbl[[WKst]:[Unit of measure*]],MATCH($A$8&amp;$A25&amp;$E25&amp;$I25,INDEX(PMtbl[Sec]&amp;PMtbl[Category]&amp;PMtbl[INN]&amp;PMtbl[Specification],0,),0),7),""),"")</f>
        <v/>
      </c>
      <c r="AL25" s="957"/>
      <c r="AM25" s="1520" t="str">
        <f>IFERROR(INDEX(SETUP!$C$19:$G$62,MATCH((INDEX(PMtbl[[WKst]:[Unit of measure*]],MATCH($A25&amp;$E25&amp;$I25,INDEX(PMtbl[Category]&amp;PMtbl[INN]&amp;PMtbl[Specification],0,),0),3)),SETUP!$D$19:$D$62,0),5),"")</f>
        <v/>
      </c>
      <c r="AN25" s="1498"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X25" s="1710">
        <f>SUM(AX21:AX24)-AX41</f>
        <v>0</v>
      </c>
      <c r="AY25" s="1710">
        <f t="shared" ref="AY25:BI25" si="2">SUM(AY21:AY24)-AY41</f>
        <v>0</v>
      </c>
      <c r="AZ25" s="1710">
        <f t="shared" si="2"/>
        <v>0</v>
      </c>
      <c r="BA25" s="1710">
        <f t="shared" si="2"/>
        <v>0</v>
      </c>
      <c r="BB25" s="1710">
        <f t="shared" si="2"/>
        <v>0</v>
      </c>
      <c r="BC25" s="1710">
        <f t="shared" si="2"/>
        <v>0</v>
      </c>
      <c r="BD25" s="1710">
        <f t="shared" si="2"/>
        <v>0</v>
      </c>
      <c r="BE25" s="1710">
        <f t="shared" si="2"/>
        <v>0</v>
      </c>
      <c r="BF25" s="1710">
        <f t="shared" si="2"/>
        <v>0</v>
      </c>
      <c r="BG25" s="1710">
        <f t="shared" si="2"/>
        <v>0</v>
      </c>
      <c r="BH25" s="1710">
        <f t="shared" si="2"/>
        <v>0</v>
      </c>
      <c r="BI25" s="1710">
        <f t="shared" si="2"/>
        <v>0</v>
      </c>
    </row>
    <row r="26" spans="1:62" s="198" customFormat="1">
      <c r="A26" s="2957"/>
      <c r="B26" s="2957"/>
      <c r="C26" s="2957"/>
      <c r="D26" s="2958"/>
      <c r="E26" s="2950"/>
      <c r="F26" s="2951"/>
      <c r="G26" s="2951"/>
      <c r="H26" s="2951"/>
      <c r="I26" s="3052"/>
      <c r="J26" s="3053"/>
      <c r="K26" s="3054"/>
      <c r="L26" s="254" t="str">
        <f>IF(A26&lt;&gt;"",IFERROR(INDEX(PMtbl[[WKst]:[Unit of measure*]],MATCH($A$8&amp;$A26&amp;$E26&amp;$I26,INDEX(PMtbl[Sec]&amp;PMtbl[Category]&amp;PMtbl[INN]&amp;PMtbl[Specification],0,),0),8),""),"")</f>
        <v/>
      </c>
      <c r="M26" s="254" t="str">
        <f>IF(L26="", "",SETUP!$E$5)</f>
        <v/>
      </c>
      <c r="N26" s="1976"/>
      <c r="O26" s="1977"/>
      <c r="P26" s="1977"/>
      <c r="Q26" s="1977"/>
      <c r="R26" s="1977"/>
      <c r="S26" s="1887">
        <f>SUM('Malaria-Equipment &amp; Other HPs'!$O26:$R26)</f>
        <v>0</v>
      </c>
      <c r="T26" s="1888">
        <f>'Malaria-Equipment &amp; Other HPs'!$N26*'Malaria-Equipment &amp; Other HPs'!$S26</f>
        <v>0</v>
      </c>
      <c r="U26" s="1982"/>
      <c r="V26" s="1977"/>
      <c r="W26" s="1977"/>
      <c r="X26" s="1977"/>
      <c r="Y26" s="1977"/>
      <c r="Z26" s="1887">
        <f>SUM('Malaria-Equipment &amp; Other HPs'!$V26:$Y26)</f>
        <v>0</v>
      </c>
      <c r="AA26" s="1888">
        <f>'Malaria-Equipment &amp; Other HPs'!$U26*'Malaria-Equipment &amp; Other HPs'!$Z26</f>
        <v>0</v>
      </c>
      <c r="AB26" s="1976"/>
      <c r="AC26" s="1977"/>
      <c r="AD26" s="1977"/>
      <c r="AE26" s="1977"/>
      <c r="AF26" s="1977"/>
      <c r="AG26" s="1887">
        <f>SUM('Malaria-Equipment &amp; Other HPs'!$AC26:$AF26)</f>
        <v>0</v>
      </c>
      <c r="AH26" s="1888">
        <f>'Malaria-Equipment &amp; Other HPs'!$AB26*'Malaria-Equipment &amp; Other HPs'!$AG26</f>
        <v>0</v>
      </c>
      <c r="AI26" s="1889">
        <f>'Malaria-Equipment &amp; Other HPs'!$S26+'Malaria-Equipment &amp; Other HPs'!$Z26+'Malaria-Equipment &amp; Other HPs'!$AG26</f>
        <v>0</v>
      </c>
      <c r="AJ26" s="1888">
        <f>'Malaria-Equipment &amp; Other HPs'!$T26+'Malaria-Equipment &amp; Other HPs'!$AA26+'Malaria-Equipment &amp; Other HPs'!$AH26</f>
        <v>0</v>
      </c>
      <c r="AK26" s="1891" t="str">
        <f>IF(A26&lt;&gt;"",IFERROR(INDEX(PMtbl[[WKst]:[Unit of measure*]],MATCH($A$8&amp;$A26&amp;$E26&amp;$I26,INDEX(PMtbl[Sec]&amp;PMtbl[Category]&amp;PMtbl[INN]&amp;PMtbl[Specification],0,),0),7),""),"")</f>
        <v/>
      </c>
      <c r="AL26" s="956"/>
      <c r="AM26" s="1522" t="str">
        <f>IFERROR(INDEX(SETUP!$C$19:$G$62,MATCH((INDEX(PMtbl[[WKst]:[Unit of measure*]],MATCH($A26&amp;$E26&amp;$I26,INDEX(PMtbl[Category]&amp;PMtbl[INN]&amp;PMtbl[Specification],0,),0),3)),SETUP!$D$19:$D$62,0),5),"")</f>
        <v/>
      </c>
      <c r="AN26" s="1497"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1454"/>
      <c r="AV26" s="1454"/>
      <c r="AW26" s="1455"/>
      <c r="AX26" s="3107" t="s">
        <v>1225</v>
      </c>
      <c r="AY26" s="3107"/>
      <c r="AZ26" s="3107"/>
      <c r="BA26" s="3107"/>
      <c r="BB26" s="3107"/>
      <c r="BC26" s="3107"/>
      <c r="BD26" s="3107"/>
      <c r="BE26" s="3107"/>
      <c r="BF26" s="3107"/>
      <c r="BG26" s="3107"/>
      <c r="BH26" s="3107"/>
      <c r="BI26" s="3107"/>
      <c r="BJ26" s="1454"/>
    </row>
    <row r="27" spans="1:62" s="198" customFormat="1">
      <c r="A27" s="2955"/>
      <c r="B27" s="2955"/>
      <c r="C27" s="2955"/>
      <c r="D27" s="2956"/>
      <c r="E27" s="2953"/>
      <c r="F27" s="2304"/>
      <c r="G27" s="2304"/>
      <c r="H27" s="2304"/>
      <c r="I27" s="3081"/>
      <c r="J27" s="3082"/>
      <c r="K27" s="3083"/>
      <c r="L27" s="253" t="str">
        <f>IF(A27&lt;&gt;"",IFERROR(INDEX(PMtbl[[WKst]:[Unit of measure*]],MATCH($A$8&amp;$A27&amp;$E27&amp;$I27,INDEX(PMtbl[Sec]&amp;PMtbl[Category]&amp;PMtbl[INN]&amp;PMtbl[Specification],0,),0),8),""),"")</f>
        <v/>
      </c>
      <c r="M27" s="255" t="str">
        <f>IF(L27="", "",SETUP!$E$5)</f>
        <v/>
      </c>
      <c r="N27" s="1975"/>
      <c r="O27" s="12"/>
      <c r="P27" s="12"/>
      <c r="Q27" s="12"/>
      <c r="R27" s="12"/>
      <c r="S27" s="1883">
        <f>SUM('Malaria-Equipment &amp; Other HPs'!$O27:$R27)</f>
        <v>0</v>
      </c>
      <c r="T27" s="1884">
        <f>'Malaria-Equipment &amp; Other HPs'!$N27*'Malaria-Equipment &amp; Other HPs'!$S27</f>
        <v>0</v>
      </c>
      <c r="U27" s="1981"/>
      <c r="V27" s="12"/>
      <c r="W27" s="12"/>
      <c r="X27" s="12"/>
      <c r="Y27" s="12"/>
      <c r="Z27" s="1883">
        <f>SUM('Malaria-Equipment &amp; Other HPs'!$V27:$Y27)</f>
        <v>0</v>
      </c>
      <c r="AA27" s="1884">
        <f>'Malaria-Equipment &amp; Other HPs'!$U27*'Malaria-Equipment &amp; Other HPs'!$Z27</f>
        <v>0</v>
      </c>
      <c r="AB27" s="1975"/>
      <c r="AC27" s="12"/>
      <c r="AD27" s="12"/>
      <c r="AE27" s="12"/>
      <c r="AF27" s="12"/>
      <c r="AG27" s="1883">
        <f>SUM('Malaria-Equipment &amp; Other HPs'!$AC27:$AF27)</f>
        <v>0</v>
      </c>
      <c r="AH27" s="1884">
        <f>'Malaria-Equipment &amp; Other HPs'!$AB27*'Malaria-Equipment &amp; Other HPs'!$AG27</f>
        <v>0</v>
      </c>
      <c r="AI27" s="1885">
        <f>'Malaria-Equipment &amp; Other HPs'!$S27+'Malaria-Equipment &amp; Other HPs'!$Z27+'Malaria-Equipment &amp; Other HPs'!$AG27</f>
        <v>0</v>
      </c>
      <c r="AJ27" s="1884">
        <f>'Malaria-Equipment &amp; Other HPs'!$T27+'Malaria-Equipment &amp; Other HPs'!$AA27+'Malaria-Equipment &amp; Other HPs'!$AH27</f>
        <v>0</v>
      </c>
      <c r="AK27" s="1892" t="str">
        <f>IF(A27&lt;&gt;"",IFERROR(INDEX(PMtbl[[WKst]:[Unit of measure*]],MATCH($A$8&amp;$A27&amp;$E27&amp;$I27,INDEX(PMtbl[Sec]&amp;PMtbl[Category]&amp;PMtbl[INN]&amp;PMtbl[Specification],0,),0),7),""),"")</f>
        <v/>
      </c>
      <c r="AL27" s="957"/>
      <c r="AM27" s="1520" t="str">
        <f>IFERROR(INDEX(SETUP!$C$19:$G$62,MATCH((INDEX(PMtbl[[WKst]:[Unit of measure*]],MATCH($A27&amp;$E27&amp;$I27,INDEX(PMtbl[Category]&amp;PMtbl[INN]&amp;PMtbl[Specification],0,),0),3)),SETUP!$D$19:$D$62,0),5),"")</f>
        <v/>
      </c>
      <c r="AN27" s="1498"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1454"/>
      <c r="AV27" s="1454"/>
      <c r="AW27" s="1456"/>
      <c r="AX27" s="3108">
        <f>YEAR(IMP_ST_DATE)</f>
        <v>2022</v>
      </c>
      <c r="AY27" s="3108"/>
      <c r="AZ27" s="3108"/>
      <c r="BA27" s="3108"/>
      <c r="BB27" s="3108">
        <f>YEAR(IMP_ST_DATE)+1</f>
        <v>2023</v>
      </c>
      <c r="BC27" s="3108"/>
      <c r="BD27" s="3108"/>
      <c r="BE27" s="3108"/>
      <c r="BF27" s="3108">
        <f>YEAR(IMP_ST_DATE)+2</f>
        <v>2024</v>
      </c>
      <c r="BG27" s="3108"/>
      <c r="BH27" s="3108"/>
      <c r="BI27" s="3108"/>
      <c r="BJ27" s="1454"/>
    </row>
    <row r="28" spans="1:62" s="198" customFormat="1">
      <c r="A28" s="2957"/>
      <c r="B28" s="2957"/>
      <c r="C28" s="2957"/>
      <c r="D28" s="2958"/>
      <c r="E28" s="2950"/>
      <c r="F28" s="2951"/>
      <c r="G28" s="2951"/>
      <c r="H28" s="2951"/>
      <c r="I28" s="3052"/>
      <c r="J28" s="3053"/>
      <c r="K28" s="3054"/>
      <c r="L28" s="254" t="str">
        <f>IF(A28&lt;&gt;"",IFERROR(INDEX(PMtbl[[WKst]:[Unit of measure*]],MATCH($A$8&amp;$A28&amp;$E28&amp;$I28,INDEX(PMtbl[Sec]&amp;PMtbl[Category]&amp;PMtbl[INN]&amp;PMtbl[Specification],0,),0),8),""),"")</f>
        <v/>
      </c>
      <c r="M28" s="254" t="str">
        <f>IF(L28="", "",SETUP!$E$5)</f>
        <v/>
      </c>
      <c r="N28" s="1976"/>
      <c r="O28" s="1977"/>
      <c r="P28" s="1977"/>
      <c r="Q28" s="1977"/>
      <c r="R28" s="1977"/>
      <c r="S28" s="1887">
        <f>SUM('Malaria-Equipment &amp; Other HPs'!$O28:$R28)</f>
        <v>0</v>
      </c>
      <c r="T28" s="1888">
        <f>'Malaria-Equipment &amp; Other HPs'!$N28*'Malaria-Equipment &amp; Other HPs'!$S28</f>
        <v>0</v>
      </c>
      <c r="U28" s="1982"/>
      <c r="V28" s="1977"/>
      <c r="W28" s="1977"/>
      <c r="X28" s="1977"/>
      <c r="Y28" s="1977"/>
      <c r="Z28" s="1887">
        <f>SUM('Malaria-Equipment &amp; Other HPs'!$V28:$Y28)</f>
        <v>0</v>
      </c>
      <c r="AA28" s="1888">
        <f>'Malaria-Equipment &amp; Other HPs'!$U28*'Malaria-Equipment &amp; Other HPs'!$Z28</f>
        <v>0</v>
      </c>
      <c r="AB28" s="1976"/>
      <c r="AC28" s="1977"/>
      <c r="AD28" s="1977"/>
      <c r="AE28" s="1977"/>
      <c r="AF28" s="1977"/>
      <c r="AG28" s="1887">
        <f>SUM('Malaria-Equipment &amp; Other HPs'!$AC28:$AF28)</f>
        <v>0</v>
      </c>
      <c r="AH28" s="1888">
        <f>'Malaria-Equipment &amp; Other HPs'!$AB28*'Malaria-Equipment &amp; Other HPs'!$AG28</f>
        <v>0</v>
      </c>
      <c r="AI28" s="1889">
        <f>'Malaria-Equipment &amp; Other HPs'!$S28+'Malaria-Equipment &amp; Other HPs'!$Z28+'Malaria-Equipment &amp; Other HPs'!$AG28</f>
        <v>0</v>
      </c>
      <c r="AJ28" s="1888">
        <f>'Malaria-Equipment &amp; Other HPs'!$T28+'Malaria-Equipment &amp; Other HPs'!$AA28+'Malaria-Equipment &amp; Other HPs'!$AH28</f>
        <v>0</v>
      </c>
      <c r="AK28" s="1890" t="str">
        <f>IF(A28&lt;&gt;"",IFERROR(INDEX(PMtbl[[WKst]:[Unit of measure*]],MATCH($A$8&amp;$A28&amp;$E28&amp;$I28,INDEX(PMtbl[Sec]&amp;PMtbl[Category]&amp;PMtbl[INN]&amp;PMtbl[Specification],0,),0),7),""),"")</f>
        <v/>
      </c>
      <c r="AL28" s="956"/>
      <c r="AM28" s="1522" t="str">
        <f>IFERROR(INDEX(SETUP!$C$19:$G$62,MATCH((INDEX(PMtbl[[WKst]:[Unit of measure*]],MATCH($A28&amp;$E28&amp;$I28,INDEX(PMtbl[Category]&amp;PMtbl[INN]&amp;PMtbl[Specification],0,),0),3)),SETUP!$D$19:$D$62,0),5),"")</f>
        <v/>
      </c>
      <c r="AN28" s="1495"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1457" t="s">
        <v>2586</v>
      </c>
      <c r="AV28" s="1457" t="s">
        <v>2671</v>
      </c>
      <c r="AW28" s="1457" t="s">
        <v>416</v>
      </c>
      <c r="AX28" s="1457" t="s">
        <v>1213</v>
      </c>
      <c r="AY28" s="1457" t="s">
        <v>1214</v>
      </c>
      <c r="AZ28" s="1457" t="s">
        <v>1215</v>
      </c>
      <c r="BA28" s="1457" t="s">
        <v>1216</v>
      </c>
      <c r="BB28" s="1457" t="s">
        <v>1217</v>
      </c>
      <c r="BC28" s="1457" t="s">
        <v>1218</v>
      </c>
      <c r="BD28" s="1457" t="s">
        <v>1220</v>
      </c>
      <c r="BE28" s="1457" t="s">
        <v>1221</v>
      </c>
      <c r="BF28" s="1457" t="s">
        <v>1222</v>
      </c>
      <c r="BG28" s="1457" t="s">
        <v>1223</v>
      </c>
      <c r="BH28" s="1457" t="s">
        <v>1219</v>
      </c>
      <c r="BI28" s="1457" t="s">
        <v>1224</v>
      </c>
      <c r="BJ28" s="1457" t="s">
        <v>2498</v>
      </c>
    </row>
    <row r="29" spans="1:62" s="198" customFormat="1">
      <c r="A29" s="2955"/>
      <c r="B29" s="2955"/>
      <c r="C29" s="2955"/>
      <c r="D29" s="2956"/>
      <c r="E29" s="2953"/>
      <c r="F29" s="2304"/>
      <c r="G29" s="2304"/>
      <c r="H29" s="2304"/>
      <c r="I29" s="3081"/>
      <c r="J29" s="3082"/>
      <c r="K29" s="3083"/>
      <c r="L29" s="253" t="str">
        <f>IF(A29&lt;&gt;"",IFERROR(INDEX(PMtbl[[WKst]:[Unit of measure*]],MATCH($A$8&amp;$A29&amp;$E29&amp;$I29,INDEX(PMtbl[Sec]&amp;PMtbl[Category]&amp;PMtbl[INN]&amp;PMtbl[Specification],0,),0),8),""),"")</f>
        <v/>
      </c>
      <c r="M29" s="255" t="str">
        <f>IF(L29="", "",SETUP!$E$5)</f>
        <v/>
      </c>
      <c r="N29" s="1975"/>
      <c r="O29" s="12"/>
      <c r="P29" s="12"/>
      <c r="Q29" s="12"/>
      <c r="R29" s="12"/>
      <c r="S29" s="1883">
        <f>SUM('Malaria-Equipment &amp; Other HPs'!$O29:$R29)</f>
        <v>0</v>
      </c>
      <c r="T29" s="1884">
        <f>'Malaria-Equipment &amp; Other HPs'!$N29*'Malaria-Equipment &amp; Other HPs'!$S29</f>
        <v>0</v>
      </c>
      <c r="U29" s="1981"/>
      <c r="V29" s="12"/>
      <c r="W29" s="12"/>
      <c r="X29" s="12"/>
      <c r="Y29" s="12"/>
      <c r="Z29" s="1883">
        <f>SUM('Malaria-Equipment &amp; Other HPs'!$V29:$Y29)</f>
        <v>0</v>
      </c>
      <c r="AA29" s="1884">
        <f>'Malaria-Equipment &amp; Other HPs'!$U29*'Malaria-Equipment &amp; Other HPs'!$Z29</f>
        <v>0</v>
      </c>
      <c r="AB29" s="1975"/>
      <c r="AC29" s="12"/>
      <c r="AD29" s="12"/>
      <c r="AE29" s="12"/>
      <c r="AF29" s="12"/>
      <c r="AG29" s="1883">
        <f>SUM('Malaria-Equipment &amp; Other HPs'!$AC29:$AF29)</f>
        <v>0</v>
      </c>
      <c r="AH29" s="1884">
        <f>'Malaria-Equipment &amp; Other HPs'!$AB29*'Malaria-Equipment &amp; Other HPs'!$AG29</f>
        <v>0</v>
      </c>
      <c r="AI29" s="1885">
        <f>'Malaria-Equipment &amp; Other HPs'!$S29+'Malaria-Equipment &amp; Other HPs'!$Z29+'Malaria-Equipment &amp; Other HPs'!$AG29</f>
        <v>0</v>
      </c>
      <c r="AJ29" s="1884">
        <f>'Malaria-Equipment &amp; Other HPs'!$T29+'Malaria-Equipment &amp; Other HPs'!$AA29+'Malaria-Equipment &amp; Other HPs'!$AH29</f>
        <v>0</v>
      </c>
      <c r="AK29" s="1886" t="str">
        <f>IF(A29&lt;&gt;"",IFERROR(INDEX(PMtbl[[WKst]:[Unit of measure*]],MATCH($A$8&amp;$A29&amp;$E29&amp;$I29,INDEX(PMtbl[Sec]&amp;PMtbl[Category]&amp;PMtbl[INN]&amp;PMtbl[Specification],0,),0),7),""),"")</f>
        <v/>
      </c>
      <c r="AL29" s="957"/>
      <c r="AM29" s="1520" t="str">
        <f>IFERROR(INDEX(SETUP!$C$19:$G$62,MATCH((INDEX(PMtbl[[WKst]:[Unit of measure*]],MATCH($A29&amp;$E29&amp;$I29,INDEX(PMtbl[Category]&amp;PMtbl[INN]&amp;PMtbl[Specification],0,),0),3)),SETUP!$D$19:$D$62,0),5),"")</f>
        <v/>
      </c>
      <c r="AN29" s="1494"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U29" s="1458">
        <v>1</v>
      </c>
      <c r="AV29" s="1458">
        <f>IFERROR(VLOOKUP($AW29,$AK$12:$AN$33,4,FALSE),0)</f>
        <v>0</v>
      </c>
      <c r="AW29" s="1458">
        <v>5.6</v>
      </c>
      <c r="AX29" s="1527">
        <f t="shared" ref="AX29:BA30" si="3">SUMPRODUCT(($AK$14:$AK$33=$AW29)*($N$14:$N$33)*((O$14:O$33)))</f>
        <v>0</v>
      </c>
      <c r="AY29" s="1527">
        <f t="shared" si="3"/>
        <v>0</v>
      </c>
      <c r="AZ29" s="1527">
        <f t="shared" si="3"/>
        <v>0</v>
      </c>
      <c r="BA29" s="1527">
        <f t="shared" si="3"/>
        <v>0</v>
      </c>
      <c r="BB29" s="1527">
        <f t="shared" ref="BB29:BE30" si="4">SUMPRODUCT(($AK$14:$AK$33=$AW29)*($U$14:$U$33)*((V$14:V$33)))</f>
        <v>0</v>
      </c>
      <c r="BC29" s="1527">
        <f t="shared" si="4"/>
        <v>0</v>
      </c>
      <c r="BD29" s="1527">
        <f t="shared" si="4"/>
        <v>0</v>
      </c>
      <c r="BE29" s="1527">
        <f t="shared" si="4"/>
        <v>0</v>
      </c>
      <c r="BF29" s="1527">
        <f t="shared" ref="BF29:BI30" si="5">SUMPRODUCT(($AK$14:$AK$33=$AW29)*($AB$14:$AB$33)*((AC$14:AC$33)))</f>
        <v>0</v>
      </c>
      <c r="BG29" s="1527">
        <f t="shared" si="5"/>
        <v>0</v>
      </c>
      <c r="BH29" s="1527">
        <f t="shared" si="5"/>
        <v>0</v>
      </c>
      <c r="BI29" s="1527">
        <f t="shared" si="5"/>
        <v>0</v>
      </c>
      <c r="BJ29" s="1527">
        <f>SUM(AX29:BI29)</f>
        <v>0</v>
      </c>
    </row>
    <row r="30" spans="1:62" s="198" customFormat="1">
      <c r="A30" s="2957"/>
      <c r="B30" s="2957"/>
      <c r="C30" s="2957"/>
      <c r="D30" s="2958"/>
      <c r="E30" s="2950"/>
      <c r="F30" s="2951"/>
      <c r="G30" s="2951"/>
      <c r="H30" s="2951"/>
      <c r="I30" s="3052"/>
      <c r="J30" s="3053"/>
      <c r="K30" s="3054"/>
      <c r="L30" s="254" t="str">
        <f>IF(A30&lt;&gt;"",IFERROR(INDEX(PMtbl[[WKst]:[Unit of measure*]],MATCH($A$8&amp;$A30&amp;$E30&amp;$I30,INDEX(PMtbl[Sec]&amp;PMtbl[Category]&amp;PMtbl[INN]&amp;PMtbl[Specification],0,),0),8),""),"")</f>
        <v/>
      </c>
      <c r="M30" s="254" t="str">
        <f>IF(L30="", "",SETUP!$E$5)</f>
        <v/>
      </c>
      <c r="N30" s="1976"/>
      <c r="O30" s="1977"/>
      <c r="P30" s="1977"/>
      <c r="Q30" s="1977"/>
      <c r="R30" s="1977"/>
      <c r="S30" s="1887">
        <f>SUM('Malaria-Equipment &amp; Other HPs'!$O30:$R30)</f>
        <v>0</v>
      </c>
      <c r="T30" s="1888">
        <f>'Malaria-Equipment &amp; Other HPs'!$N30*'Malaria-Equipment &amp; Other HPs'!$S30</f>
        <v>0</v>
      </c>
      <c r="U30" s="1982"/>
      <c r="V30" s="1977"/>
      <c r="W30" s="1977"/>
      <c r="X30" s="1977"/>
      <c r="Y30" s="1977"/>
      <c r="Z30" s="1887">
        <f>SUM('Malaria-Equipment &amp; Other HPs'!$V30:$Y30)</f>
        <v>0</v>
      </c>
      <c r="AA30" s="1888">
        <f>'Malaria-Equipment &amp; Other HPs'!$U30*'Malaria-Equipment &amp; Other HPs'!$Z30</f>
        <v>0</v>
      </c>
      <c r="AB30" s="1976"/>
      <c r="AC30" s="1977"/>
      <c r="AD30" s="1977"/>
      <c r="AE30" s="1977"/>
      <c r="AF30" s="1977"/>
      <c r="AG30" s="1887">
        <f>SUM('Malaria-Equipment &amp; Other HPs'!$AC30:$AF30)</f>
        <v>0</v>
      </c>
      <c r="AH30" s="1888">
        <f>'Malaria-Equipment &amp; Other HPs'!$AB30*'Malaria-Equipment &amp; Other HPs'!$AG30</f>
        <v>0</v>
      </c>
      <c r="AI30" s="1889">
        <f>'Malaria-Equipment &amp; Other HPs'!$S30+'Malaria-Equipment &amp; Other HPs'!$Z30+'Malaria-Equipment &amp; Other HPs'!$AG30</f>
        <v>0</v>
      </c>
      <c r="AJ30" s="1888">
        <f>'Malaria-Equipment &amp; Other HPs'!$T30+'Malaria-Equipment &amp; Other HPs'!$AA30+'Malaria-Equipment &amp; Other HPs'!$AH30</f>
        <v>0</v>
      </c>
      <c r="AK30" s="1890" t="str">
        <f>IF(A30&lt;&gt;"",IFERROR(INDEX(PMtbl[[WKst]:[Unit of measure*]],MATCH($A$8&amp;$A30&amp;$E30&amp;$I30,INDEX(PMtbl[Sec]&amp;PMtbl[Category]&amp;PMtbl[INN]&amp;PMtbl[Specification],0,),0),7),""),"")</f>
        <v/>
      </c>
      <c r="AL30" s="956"/>
      <c r="AM30" s="1522" t="str">
        <f>IFERROR(INDEX(SETUP!$C$19:$G$62,MATCH((INDEX(PMtbl[[WKst]:[Unit of measure*]],MATCH($A30&amp;$E30&amp;$I30,INDEX(PMtbl[Category]&amp;PMtbl[INN]&amp;PMtbl[Specification],0,),0),3)),SETUP!$D$19:$D$62,0),5),"")</f>
        <v/>
      </c>
      <c r="AN30" s="1495"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c r="AU30" s="1458">
        <v>1</v>
      </c>
      <c r="AV30" s="1458">
        <f>IFERROR(VLOOKUP($AW30,$AK$12:$AN$33,4,FALSE),0)</f>
        <v>0</v>
      </c>
      <c r="AW30" s="1458">
        <v>6.3</v>
      </c>
      <c r="AX30" s="1527">
        <f t="shared" si="3"/>
        <v>0</v>
      </c>
      <c r="AY30" s="1527">
        <f t="shared" si="3"/>
        <v>0</v>
      </c>
      <c r="AZ30" s="1527">
        <f t="shared" si="3"/>
        <v>0</v>
      </c>
      <c r="BA30" s="1527">
        <f t="shared" si="3"/>
        <v>0</v>
      </c>
      <c r="BB30" s="1527">
        <f t="shared" si="4"/>
        <v>0</v>
      </c>
      <c r="BC30" s="1527">
        <f t="shared" si="4"/>
        <v>0</v>
      </c>
      <c r="BD30" s="1527">
        <f t="shared" si="4"/>
        <v>0</v>
      </c>
      <c r="BE30" s="1527">
        <f t="shared" si="4"/>
        <v>0</v>
      </c>
      <c r="BF30" s="1527">
        <f t="shared" si="5"/>
        <v>0</v>
      </c>
      <c r="BG30" s="1527">
        <f t="shared" si="5"/>
        <v>0</v>
      </c>
      <c r="BH30" s="1527">
        <f t="shared" si="5"/>
        <v>0</v>
      </c>
      <c r="BI30" s="1527">
        <f t="shared" si="5"/>
        <v>0</v>
      </c>
      <c r="BJ30" s="1527">
        <f t="shared" ref="BJ30:BJ40" si="6">SUM(AX30:BI30)</f>
        <v>0</v>
      </c>
    </row>
    <row r="31" spans="1:62" s="198" customFormat="1">
      <c r="A31" s="2955"/>
      <c r="B31" s="2955"/>
      <c r="C31" s="2955"/>
      <c r="D31" s="2956"/>
      <c r="E31" s="2953"/>
      <c r="F31" s="2304"/>
      <c r="G31" s="2304"/>
      <c r="H31" s="2304"/>
      <c r="I31" s="3081"/>
      <c r="J31" s="3082"/>
      <c r="K31" s="3083"/>
      <c r="L31" s="253" t="str">
        <f>IF(A31&lt;&gt;"",IFERROR(INDEX(PMtbl[[WKst]:[Unit of measure*]],MATCH($A$8&amp;$A31&amp;$E31&amp;$I31,INDEX(PMtbl[Sec]&amp;PMtbl[Category]&amp;PMtbl[INN]&amp;PMtbl[Specification],0,),0),8),""),"")</f>
        <v/>
      </c>
      <c r="M31" s="255" t="str">
        <f>IF(L31="", "",SETUP!$E$5)</f>
        <v/>
      </c>
      <c r="N31" s="1975"/>
      <c r="O31" s="12"/>
      <c r="P31" s="12"/>
      <c r="Q31" s="12"/>
      <c r="R31" s="12"/>
      <c r="S31" s="1883">
        <f>SUM('Malaria-Equipment &amp; Other HPs'!$O31:$R31)</f>
        <v>0</v>
      </c>
      <c r="T31" s="1884">
        <f>'Malaria-Equipment &amp; Other HPs'!$N31*'Malaria-Equipment &amp; Other HPs'!$S31</f>
        <v>0</v>
      </c>
      <c r="U31" s="1981"/>
      <c r="V31" s="12"/>
      <c r="W31" s="12"/>
      <c r="X31" s="12"/>
      <c r="Y31" s="12"/>
      <c r="Z31" s="1883">
        <f>SUM('Malaria-Equipment &amp; Other HPs'!$V31:$Y31)</f>
        <v>0</v>
      </c>
      <c r="AA31" s="1884">
        <f>'Malaria-Equipment &amp; Other HPs'!$U31*'Malaria-Equipment &amp; Other HPs'!$Z31</f>
        <v>0</v>
      </c>
      <c r="AB31" s="1975"/>
      <c r="AC31" s="12"/>
      <c r="AD31" s="12"/>
      <c r="AE31" s="12"/>
      <c r="AF31" s="12"/>
      <c r="AG31" s="1883">
        <f>SUM('Malaria-Equipment &amp; Other HPs'!$AC31:$AF31)</f>
        <v>0</v>
      </c>
      <c r="AH31" s="1884">
        <f>'Malaria-Equipment &amp; Other HPs'!$AB31*'Malaria-Equipment &amp; Other HPs'!$AG31</f>
        <v>0</v>
      </c>
      <c r="AI31" s="1885">
        <f>'Malaria-Equipment &amp; Other HPs'!$S31+'Malaria-Equipment &amp; Other HPs'!$Z31+'Malaria-Equipment &amp; Other HPs'!$AG31</f>
        <v>0</v>
      </c>
      <c r="AJ31" s="1884">
        <f>'Malaria-Equipment &amp; Other HPs'!$T31+'Malaria-Equipment &amp; Other HPs'!$AA31+'Malaria-Equipment &amp; Other HPs'!$AH31</f>
        <v>0</v>
      </c>
      <c r="AK31" s="1886" t="str">
        <f>IF(A31&lt;&gt;"",IFERROR(INDEX(PMtbl[[WKst]:[Unit of measure*]],MATCH($A$8&amp;$A31&amp;$E31&amp;$I31,INDEX(PMtbl[Sec]&amp;PMtbl[Category]&amp;PMtbl[INN]&amp;PMtbl[Specification],0,),0),7),""),"")</f>
        <v/>
      </c>
      <c r="AL31" s="957"/>
      <c r="AM31" s="1520" t="str">
        <f>IFERROR(INDEX(SETUP!$C$19:$G$62,MATCH((INDEX(PMtbl[[WKst]:[Unit of measure*]],MATCH($A31&amp;$E31&amp;$I31,INDEX(PMtbl[Category]&amp;PMtbl[INN]&amp;PMtbl[Specification],0,),0),3)),SETUP!$D$19:$D$62,0),5),"")</f>
        <v/>
      </c>
      <c r="AN31" s="1494"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c r="AT31" s="1453"/>
      <c r="AU31" s="1458">
        <v>1</v>
      </c>
      <c r="AV31" s="1458">
        <f>IFERROR(VLOOKUP($AW31,$AK$12:$AN$33,4,FALSE),0)</f>
        <v>0</v>
      </c>
      <c r="AW31" s="1458">
        <v>6.5</v>
      </c>
      <c r="AX31" s="1527">
        <f>SUMPRODUCT(($AK$14:$AK$33=$AW31)*($N$14:$N$33)*((O$14:O$33)))</f>
        <v>0</v>
      </c>
      <c r="AY31" s="1527">
        <f t="shared" ref="AY31" si="7">SUMPRODUCT(($AK$14:$AK$33=$AW31)*($N$14:$N$33)*((P$14:P$33)))</f>
        <v>0</v>
      </c>
      <c r="AZ31" s="1527">
        <f t="shared" ref="AZ31" si="8">SUMPRODUCT(($AK$14:$AK$33=$AW31)*($N$14:$N$33)*((Q$14:Q$33)))</f>
        <v>0</v>
      </c>
      <c r="BA31" s="1527">
        <f t="shared" ref="BA31" si="9">SUMPRODUCT(($AK$14:$AK$33=$AW31)*($N$14:$N$33)*((R$14:R$33)))</f>
        <v>0</v>
      </c>
      <c r="BB31" s="1527">
        <f t="shared" ref="BB31" si="10">SUMPRODUCT(($AK$14:$AK$33=$AW31)*($U$14:$U$33)*((V$14:V$33)))</f>
        <v>0</v>
      </c>
      <c r="BC31" s="1527">
        <f t="shared" ref="BC31" si="11">SUMPRODUCT(($AK$14:$AK$33=$AW31)*($U$14:$U$33)*((W$14:W$33)))</f>
        <v>0</v>
      </c>
      <c r="BD31" s="1527">
        <f t="shared" ref="BD31" si="12">SUMPRODUCT(($AK$14:$AK$33=$AW31)*($U$14:$U$33)*((X$14:X$33)))</f>
        <v>0</v>
      </c>
      <c r="BE31" s="1527">
        <f t="shared" ref="BE31" si="13">SUMPRODUCT(($AK$14:$AK$33=$AW31)*($U$14:$U$33)*((Y$14:Y$33)))</f>
        <v>0</v>
      </c>
      <c r="BF31" s="1527">
        <f t="shared" ref="BF31" si="14">SUMPRODUCT(($AK$14:$AK$33=$AW31)*($AB$14:$AB$33)*((AC$14:AC$33)))</f>
        <v>0</v>
      </c>
      <c r="BG31" s="1527">
        <f t="shared" ref="BG31" si="15">SUMPRODUCT(($AK$14:$AK$33=$AW31)*($AB$14:$AB$33)*((AD$14:AD$33)))</f>
        <v>0</v>
      </c>
      <c r="BH31" s="1527">
        <f t="shared" ref="BH31" si="16">SUMPRODUCT(($AK$14:$AK$33=$AW31)*($AB$14:$AB$33)*((AE$14:AE$33)))</f>
        <v>0</v>
      </c>
      <c r="BI31" s="1527">
        <f t="shared" ref="BI31" si="17">SUMPRODUCT(($AK$14:$AK$33=$AW31)*($AB$14:$AB$33)*((AF$14:AF$33)))</f>
        <v>0</v>
      </c>
      <c r="BJ31" s="1527">
        <f t="shared" ref="BJ31" si="18">SUM(AX31:BI31)</f>
        <v>0</v>
      </c>
    </row>
    <row r="32" spans="1:62" s="198" customFormat="1">
      <c r="A32" s="2957"/>
      <c r="B32" s="2957"/>
      <c r="C32" s="2957"/>
      <c r="D32" s="2958"/>
      <c r="E32" s="2950"/>
      <c r="F32" s="2951"/>
      <c r="G32" s="2951"/>
      <c r="H32" s="2951"/>
      <c r="I32" s="3052"/>
      <c r="J32" s="3053"/>
      <c r="K32" s="3054"/>
      <c r="L32" s="254" t="str">
        <f>IF(A32&lt;&gt;"",IFERROR(INDEX(PMtbl[[WKst]:[Unit of measure*]],MATCH($A$8&amp;$A32&amp;$E32&amp;$I32,INDEX(PMtbl[Sec]&amp;PMtbl[Category]&amp;PMtbl[INN]&amp;PMtbl[Specification],0,),0),8),""),"")</f>
        <v/>
      </c>
      <c r="M32" s="254" t="str">
        <f>IF(L32="", "",SETUP!$E$5)</f>
        <v/>
      </c>
      <c r="N32" s="1976"/>
      <c r="O32" s="1977"/>
      <c r="P32" s="1977"/>
      <c r="Q32" s="1977"/>
      <c r="R32" s="1977"/>
      <c r="S32" s="1887">
        <f>SUM('Malaria-Equipment &amp; Other HPs'!$O32:$R32)</f>
        <v>0</v>
      </c>
      <c r="T32" s="1888">
        <f>'Malaria-Equipment &amp; Other HPs'!$N32*'Malaria-Equipment &amp; Other HPs'!$S32</f>
        <v>0</v>
      </c>
      <c r="U32" s="1982"/>
      <c r="V32" s="1977"/>
      <c r="W32" s="1977"/>
      <c r="X32" s="1977"/>
      <c r="Y32" s="1977"/>
      <c r="Z32" s="1887">
        <f>SUM('Malaria-Equipment &amp; Other HPs'!$V32:$Y32)</f>
        <v>0</v>
      </c>
      <c r="AA32" s="1888">
        <f>'Malaria-Equipment &amp; Other HPs'!$U32*'Malaria-Equipment &amp; Other HPs'!$Z32</f>
        <v>0</v>
      </c>
      <c r="AB32" s="1976"/>
      <c r="AC32" s="1977"/>
      <c r="AD32" s="1977"/>
      <c r="AE32" s="1977"/>
      <c r="AF32" s="1977"/>
      <c r="AG32" s="1887">
        <f>SUM('Malaria-Equipment &amp; Other HPs'!$AC32:$AF32)</f>
        <v>0</v>
      </c>
      <c r="AH32" s="1888">
        <f>'Malaria-Equipment &amp; Other HPs'!$AB32*'Malaria-Equipment &amp; Other HPs'!$AG32</f>
        <v>0</v>
      </c>
      <c r="AI32" s="1889">
        <f>'Malaria-Equipment &amp; Other HPs'!$S32+'Malaria-Equipment &amp; Other HPs'!$Z32+'Malaria-Equipment &amp; Other HPs'!$AG32</f>
        <v>0</v>
      </c>
      <c r="AJ32" s="1888">
        <f>'Malaria-Equipment &amp; Other HPs'!$T32+'Malaria-Equipment &amp; Other HPs'!$AA32+'Malaria-Equipment &amp; Other HPs'!$AH32</f>
        <v>0</v>
      </c>
      <c r="AK32" s="1890" t="str">
        <f>IF(A32&lt;&gt;"",IFERROR(INDEX(PMtbl[[WKst]:[Unit of measure*]],MATCH($A$8&amp;$A32&amp;$E32&amp;$I32,INDEX(PMtbl[Sec]&amp;PMtbl[Category]&amp;PMtbl[INN]&amp;PMtbl[Specification],0,),0),7),""),"")</f>
        <v/>
      </c>
      <c r="AL32" s="956"/>
      <c r="AM32" s="1522" t="str">
        <f>IFERROR(INDEX(SETUP!$C$19:$G$62,MATCH((INDEX(PMtbl[[WKst]:[Unit of measure*]],MATCH($A32&amp;$E32&amp;$I32,INDEX(PMtbl[Category]&amp;PMtbl[INN]&amp;PMtbl[Specification],0,),0),3)),SETUP!$D$19:$D$62,0),5),"")</f>
        <v/>
      </c>
      <c r="AN32" s="1495"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c r="AT32" s="1453"/>
      <c r="AU32" s="1458">
        <v>2</v>
      </c>
      <c r="AV32" s="1458">
        <f>IFERROR(VLOOKUP($AW32,$AK$40:$AN$56,4,FALSE),0)</f>
        <v>0</v>
      </c>
      <c r="AW32" s="1458">
        <v>5.4</v>
      </c>
      <c r="AX32" s="1527">
        <f>SUMPRODUCT(($AK$42:$AK$56=$AW32)*($N$42:$N$56)*((O$42:O$56)))</f>
        <v>0</v>
      </c>
      <c r="AY32" s="1527">
        <f>SUMPRODUCT(($AK$42:$AK$56=$AW32)*($N$42:$N$56)*((P$42:P$56)))</f>
        <v>0</v>
      </c>
      <c r="AZ32" s="1527">
        <f>SUMPRODUCT(($AK$42:$AK$56=$AW32)*($N$42:$N$56)*((Q$42:Q$56)))</f>
        <v>0</v>
      </c>
      <c r="BA32" s="1527">
        <f>SUMPRODUCT(($AK$42:$AK$56=$AW32)*($N$42:$N$56)*((R$42:R$56)))</f>
        <v>0</v>
      </c>
      <c r="BB32" s="1528">
        <f>SUMPRODUCT(($AK$42:$AK$56=$AW32)*($U$42:$U$56)*((V$42:V$56)))</f>
        <v>0</v>
      </c>
      <c r="BC32" s="1528">
        <f>SUMPRODUCT(($AK$42:$AK$56=$AW32)*($U$42:$U$56)*((W$42:W$56)))</f>
        <v>0</v>
      </c>
      <c r="BD32" s="1528">
        <f>SUMPRODUCT(($AK$42:$AK$56=$AW32)*($U$42:$U$56)*((X$42:X$56)))</f>
        <v>0</v>
      </c>
      <c r="BE32" s="1528">
        <f>SUMPRODUCT(($AK$42:$AK$56=$AW32)*($U$42:$U$56)*((Y$42:Y$56)))</f>
        <v>0</v>
      </c>
      <c r="BF32" s="1528">
        <f>SUMPRODUCT(($AK$42:$AK$56=$AW32)*($AB$42:$AB$56)*((AC$42:AC$56)))</f>
        <v>0</v>
      </c>
      <c r="BG32" s="1528">
        <f>SUMPRODUCT(($AK$42:$AK$56=$AW32)*($AB$42:$AB$56)*((AD$42:AD$56)))</f>
        <v>0</v>
      </c>
      <c r="BH32" s="1528">
        <f>SUMPRODUCT(($AK$42:$AK$56=$AW32)*($AB$42:$AB$56)*((AE$42:AE$56)))</f>
        <v>0</v>
      </c>
      <c r="BI32" s="1528">
        <f>SUMPRODUCT(($AK$42:$AK$56=$AW32)*($AB$42:$AB$56)*((AF$42:AF$56)))</f>
        <v>0</v>
      </c>
      <c r="BJ32" s="1527">
        <f t="shared" si="6"/>
        <v>0</v>
      </c>
    </row>
    <row r="33" spans="1:62" s="198" customFormat="1" ht="15" thickBot="1">
      <c r="A33" s="2962"/>
      <c r="B33" s="2962"/>
      <c r="C33" s="2962"/>
      <c r="D33" s="2963"/>
      <c r="E33" s="3097"/>
      <c r="F33" s="3098"/>
      <c r="G33" s="3098"/>
      <c r="H33" s="3098"/>
      <c r="I33" s="3099"/>
      <c r="J33" s="3100"/>
      <c r="K33" s="3101"/>
      <c r="L33" s="256" t="str">
        <f>IF(A33&lt;&gt;"",IFERROR(INDEX(PMtbl[[WKst]:[Unit of measure*]],MATCH($A$8&amp;$A33&amp;$E33&amp;$I33,INDEX(PMtbl[Sec]&amp;PMtbl[Category]&amp;PMtbl[INN]&amp;PMtbl[Specification],0,),0),8),""),"")</f>
        <v/>
      </c>
      <c r="M33" s="256" t="str">
        <f>IF(L33="", "",SETUP!$E$5)</f>
        <v/>
      </c>
      <c r="N33" s="1978"/>
      <c r="O33" s="1979"/>
      <c r="P33" s="1979"/>
      <c r="Q33" s="1979"/>
      <c r="R33" s="1979"/>
      <c r="S33" s="1893">
        <f>SUM('Malaria-Equipment &amp; Other HPs'!$O33:$R33)</f>
        <v>0</v>
      </c>
      <c r="T33" s="1894">
        <f>'Malaria-Equipment &amp; Other HPs'!$N33*'Malaria-Equipment &amp; Other HPs'!$S33</f>
        <v>0</v>
      </c>
      <c r="U33" s="1983"/>
      <c r="V33" s="1979"/>
      <c r="W33" s="1979"/>
      <c r="X33" s="1979"/>
      <c r="Y33" s="1979"/>
      <c r="Z33" s="1893">
        <f>SUM('Malaria-Equipment &amp; Other HPs'!$V33:$Y33)</f>
        <v>0</v>
      </c>
      <c r="AA33" s="1894">
        <f>'Malaria-Equipment &amp; Other HPs'!$U33*'Malaria-Equipment &amp; Other HPs'!$Z33</f>
        <v>0</v>
      </c>
      <c r="AB33" s="1978"/>
      <c r="AC33" s="1979"/>
      <c r="AD33" s="1979"/>
      <c r="AE33" s="1979"/>
      <c r="AF33" s="1979"/>
      <c r="AG33" s="1893">
        <f>SUM('Malaria-Equipment &amp; Other HPs'!$AC33:$AF33)</f>
        <v>0</v>
      </c>
      <c r="AH33" s="1894">
        <f>'Malaria-Equipment &amp; Other HPs'!$AB33*'Malaria-Equipment &amp; Other HPs'!$AG33</f>
        <v>0</v>
      </c>
      <c r="AI33" s="1895">
        <f>'Malaria-Equipment &amp; Other HPs'!$S33+'Malaria-Equipment &amp; Other HPs'!$Z33+'Malaria-Equipment &amp; Other HPs'!$AG33</f>
        <v>0</v>
      </c>
      <c r="AJ33" s="1894">
        <f>'Malaria-Equipment &amp; Other HPs'!$T33+'Malaria-Equipment &amp; Other HPs'!$AA33+'Malaria-Equipment &amp; Other HPs'!$AH33</f>
        <v>0</v>
      </c>
      <c r="AK33" s="1896" t="str">
        <f>IF(A33&lt;&gt;"",IFERROR(INDEX(PMtbl[[WKst]:[Unit of measure*]],MATCH($A$8&amp;$A33&amp;$E33&amp;$I33,INDEX(PMtbl[Sec]&amp;PMtbl[Category]&amp;PMtbl[INN]&amp;PMtbl[Specification],0,),0),7),""),"")</f>
        <v/>
      </c>
      <c r="AL33" s="958"/>
      <c r="AM33" s="1526" t="str">
        <f>IFERROR(INDEX(SETUP!$C$19:$G$62,MATCH((INDEX(PMtbl[[WKst]:[Unit of measure*]],MATCH($A33&amp;$E33&amp;$I33,INDEX(PMtbl[Category]&amp;PMtbl[INN]&amp;PMtbl[Specification],0,),0),3)),SETUP!$D$19:$D$62,0),5),"")</f>
        <v/>
      </c>
      <c r="AN33" s="1499"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c r="AU33" s="1458">
        <v>3</v>
      </c>
      <c r="AV33" s="1458">
        <f>IFERROR(VLOOKUP($AW33,$AK$62:$AN$122,4,FALSE),0)</f>
        <v>0</v>
      </c>
      <c r="AW33" s="1458">
        <v>5.0999999999999996</v>
      </c>
      <c r="AX33" s="1527">
        <f>SUMPRODUCT(($AK$64:$AK$122=$AW33)*($N$64:$N$122)*((O$64:O$122)))</f>
        <v>0</v>
      </c>
      <c r="AY33" s="1527">
        <f>SUMPRODUCT(($AK$64:$AK$122=$AW33)*($N$64:$N$122)*((P$64:P$122)))</f>
        <v>0</v>
      </c>
      <c r="AZ33" s="1527">
        <f>SUMPRODUCT(($AK$64:$AK$122=$AW33)*($N$64:$N$122)*((Q$64:Q$122)))</f>
        <v>0</v>
      </c>
      <c r="BA33" s="1527">
        <f>SUMPRODUCT(($AK$64:$AK$122=$AW33)*($N$64:$N$122)*((R$64:R$122)))</f>
        <v>0</v>
      </c>
      <c r="BB33" s="1527">
        <f>SUMPRODUCT(($AK$64:$AK$122=$AW33)*($U$64:$U$122)*((V$64:V$122)))</f>
        <v>0</v>
      </c>
      <c r="BC33" s="1527">
        <f>SUMPRODUCT(($AK$64:$AK$122=$AW33)*($U$64:$U$122)*((W$64:W$122)))</f>
        <v>0</v>
      </c>
      <c r="BD33" s="1527">
        <f>SUMPRODUCT(($AK$64:$AK$122=$AW33)*($U$64:$U$122)*((X$64:X$122)))</f>
        <v>0</v>
      </c>
      <c r="BE33" s="1527">
        <f>SUMPRODUCT(($AK$64:$AK$122=$AW33)*($U$64:$U$122)*((Y$64:Y$122)))</f>
        <v>0</v>
      </c>
      <c r="BF33" s="1527">
        <f>SUMPRODUCT(($AK$64:$AK$122=$AW33)*($AB$64:$AB$122)*((AC$64:AC$122)))</f>
        <v>0</v>
      </c>
      <c r="BG33" s="1527">
        <f>SUMPRODUCT(($AK$64:$AK$122=$AW33)*($AB$64:$AB$122)*((AD$64:AD$122)))</f>
        <v>0</v>
      </c>
      <c r="BH33" s="1527">
        <f>SUMPRODUCT(($AK$64:$AK$122=$AW33)*($AB$64:$AB$122)*((AE$64:AE$122)))</f>
        <v>0</v>
      </c>
      <c r="BI33" s="1527">
        <f>SUMPRODUCT(($AK$64:$AK$122=$AW33)*($AB$64:$AB$122)*((AF$64:AF$122)))</f>
        <v>0</v>
      </c>
      <c r="BJ33" s="1527">
        <f t="shared" si="6"/>
        <v>0</v>
      </c>
    </row>
    <row r="34" spans="1:62">
      <c r="A34" s="188"/>
      <c r="B34" s="81"/>
      <c r="C34" s="81"/>
      <c r="D34" s="81"/>
      <c r="E34" s="81"/>
      <c r="F34" s="81"/>
      <c r="G34" s="81"/>
      <c r="H34" s="81"/>
      <c r="I34" s="81"/>
      <c r="J34" s="81"/>
      <c r="K34" s="81"/>
      <c r="L34" s="81"/>
      <c r="M34" s="81"/>
      <c r="N34" s="845"/>
      <c r="O34" s="875"/>
      <c r="P34" s="875"/>
      <c r="Q34" s="875"/>
      <c r="R34" s="875"/>
      <c r="S34" s="875"/>
      <c r="T34" s="845"/>
      <c r="U34" s="845"/>
      <c r="V34" s="875"/>
      <c r="W34" s="875"/>
      <c r="X34" s="875"/>
      <c r="Y34" s="875"/>
      <c r="Z34" s="875"/>
      <c r="AA34" s="845"/>
      <c r="AB34" s="845"/>
      <c r="AC34" s="875"/>
      <c r="AD34" s="875"/>
      <c r="AE34" s="875"/>
      <c r="AF34" s="875"/>
      <c r="AG34" s="875"/>
      <c r="AH34" s="848"/>
      <c r="AI34" s="875"/>
      <c r="AS34" s="198"/>
      <c r="AT34" s="198"/>
      <c r="AU34" s="1458">
        <v>3</v>
      </c>
      <c r="AV34" s="1458">
        <f>IFERROR(VLOOKUP($AW34,$AK$62:$AN$122,4,FALSE),0)</f>
        <v>0</v>
      </c>
      <c r="AW34" s="1458">
        <v>5.5</v>
      </c>
      <c r="AX34" s="1527">
        <f t="shared" ref="AX34:AX35" si="19">SUMPRODUCT(($AK$64:$AK$122=$AW34)*($N$64:$N$122)*((O$64:O$122)))</f>
        <v>0</v>
      </c>
      <c r="AY34" s="1527">
        <f t="shared" ref="AY34:AY35" si="20">SUMPRODUCT(($AK$64:$AK$122=$AW34)*($N$64:$N$122)*((P$64:P$122)))</f>
        <v>0</v>
      </c>
      <c r="AZ34" s="1527">
        <f t="shared" ref="AZ34:AZ35" si="21">SUMPRODUCT(($AK$64:$AK$122=$AW34)*($N$64:$N$122)*((Q$64:Q$122)))</f>
        <v>0</v>
      </c>
      <c r="BA34" s="1527">
        <f t="shared" ref="BA34:BA35" si="22">SUMPRODUCT(($AK$64:$AK$122=$AW34)*($N$64:$N$122)*((R$64:R$122)))</f>
        <v>0</v>
      </c>
      <c r="BB34" s="1527">
        <f t="shared" ref="BB34" si="23">SUMPRODUCT(($AK$64:$AK$122=$AW34)*($U$64:$U$122)*((V$64:V$122)))</f>
        <v>0</v>
      </c>
      <c r="BC34" s="1527">
        <f t="shared" ref="BC34:BC35" si="24">SUMPRODUCT(($AK$64:$AK$122=$AW34)*($U$64:$U$122)*((W$64:W$122)))</f>
        <v>0</v>
      </c>
      <c r="BD34" s="1527">
        <f t="shared" ref="BD34:BD35" si="25">SUMPRODUCT(($AK$64:$AK$122=$AW34)*($U$64:$U$122)*((X$64:X$122)))</f>
        <v>0</v>
      </c>
      <c r="BE34" s="1527">
        <f t="shared" ref="BE34:BE35" si="26">SUMPRODUCT(($AK$64:$AK$122=$AW34)*($U$64:$U$122)*((Y$64:Y$122)))</f>
        <v>0</v>
      </c>
      <c r="BF34" s="1527">
        <f t="shared" ref="BF34:BF35" si="27">SUMPRODUCT(($AK$64:$AK$122=$AW34)*($AB$64:$AB$122)*((AC$64:AC$122)))</f>
        <v>0</v>
      </c>
      <c r="BG34" s="1527">
        <f t="shared" ref="BG34:BG35" si="28">SUMPRODUCT(($AK$64:$AK$122=$AW34)*($AB$64:$AB$122)*((AD$64:AD$122)))</f>
        <v>0</v>
      </c>
      <c r="BH34" s="1527">
        <f t="shared" ref="BH34:BH35" si="29">SUMPRODUCT(($AK$64:$AK$122=$AW34)*($AB$64:$AB$122)*((AE$64:AE$122)))</f>
        <v>0</v>
      </c>
      <c r="BI34" s="1527">
        <f t="shared" ref="BI34:BI35" si="30">SUMPRODUCT(($AK$64:$AK$122=$AW34)*($AB$64:$AB$122)*((AF$64:AF$122)))</f>
        <v>0</v>
      </c>
      <c r="BJ34" s="1527">
        <f t="shared" si="6"/>
        <v>0</v>
      </c>
    </row>
    <row r="35" spans="1:62" ht="15" thickBot="1">
      <c r="A35" s="189"/>
      <c r="B35" s="96"/>
      <c r="C35" s="96"/>
      <c r="D35" s="96"/>
      <c r="E35" s="96"/>
      <c r="F35" s="96"/>
      <c r="G35" s="96"/>
      <c r="H35" s="96"/>
      <c r="I35" s="96"/>
      <c r="J35" s="78"/>
      <c r="K35" s="78"/>
      <c r="L35" s="78"/>
      <c r="M35" s="78"/>
      <c r="N35" s="767"/>
      <c r="O35" s="868"/>
      <c r="P35" s="868"/>
      <c r="Q35" s="868"/>
      <c r="R35" s="868"/>
      <c r="S35" s="868"/>
      <c r="T35" s="767"/>
      <c r="U35" s="767"/>
      <c r="V35" s="868"/>
      <c r="W35" s="868"/>
      <c r="X35" s="868"/>
      <c r="Y35" s="868"/>
      <c r="Z35" s="868"/>
      <c r="AA35" s="767"/>
      <c r="AB35" s="767"/>
      <c r="AC35" s="868"/>
      <c r="AD35" s="868"/>
      <c r="AE35" s="868"/>
      <c r="AF35" s="868"/>
      <c r="AG35" s="868"/>
      <c r="AH35" s="767"/>
      <c r="AI35" s="868"/>
      <c r="AS35" s="198"/>
      <c r="AT35" s="198"/>
      <c r="AU35" s="1458">
        <v>3</v>
      </c>
      <c r="AV35" s="1458">
        <f>IFERROR(VLOOKUP($AW35,$AK$62:$AN$122,4,FALSE),0)</f>
        <v>0</v>
      </c>
      <c r="AW35" s="1458">
        <v>6.6</v>
      </c>
      <c r="AX35" s="1527">
        <f t="shared" si="19"/>
        <v>0</v>
      </c>
      <c r="AY35" s="1527">
        <f t="shared" si="20"/>
        <v>0</v>
      </c>
      <c r="AZ35" s="1527">
        <f t="shared" si="21"/>
        <v>0</v>
      </c>
      <c r="BA35" s="1527">
        <f t="shared" si="22"/>
        <v>0</v>
      </c>
      <c r="BB35" s="1527">
        <f>SUMPRODUCT(($AK$64:$AK$122=$AW35)*($U$64:$U$122)*((V$64:V$122)))</f>
        <v>0</v>
      </c>
      <c r="BC35" s="1527">
        <f t="shared" si="24"/>
        <v>0</v>
      </c>
      <c r="BD35" s="1527">
        <f t="shared" si="25"/>
        <v>0</v>
      </c>
      <c r="BE35" s="1527">
        <f t="shared" si="26"/>
        <v>0</v>
      </c>
      <c r="BF35" s="1527">
        <f t="shared" si="27"/>
        <v>0</v>
      </c>
      <c r="BG35" s="1527">
        <f t="shared" si="28"/>
        <v>0</v>
      </c>
      <c r="BH35" s="1527">
        <f t="shared" si="29"/>
        <v>0</v>
      </c>
      <c r="BI35" s="1527">
        <f t="shared" si="30"/>
        <v>0</v>
      </c>
      <c r="BJ35" s="1527">
        <f t="shared" si="6"/>
        <v>0</v>
      </c>
    </row>
    <row r="36" spans="1:62" ht="15" customHeight="1" thickBot="1">
      <c r="A36" s="2960">
        <v>2</v>
      </c>
      <c r="B36" s="2986" t="s">
        <v>421</v>
      </c>
      <c r="C36" s="2986"/>
      <c r="D36" s="2986"/>
      <c r="E36" s="2986"/>
      <c r="F36" s="302" t="s">
        <v>422</v>
      </c>
      <c r="G36" s="302"/>
      <c r="H36" s="2867" t="s">
        <v>423</v>
      </c>
      <c r="I36" s="2867" t="s">
        <v>420</v>
      </c>
      <c r="J36" s="2864" t="s">
        <v>2532</v>
      </c>
      <c r="K36"/>
      <c r="L36"/>
      <c r="M36" s="78"/>
      <c r="N36" s="767"/>
      <c r="O36" s="868"/>
      <c r="P36" s="868"/>
      <c r="Q36" s="868"/>
      <c r="R36" s="868"/>
      <c r="S36" s="868"/>
      <c r="T36" s="767"/>
      <c r="U36" s="767"/>
      <c r="V36" s="868"/>
      <c r="W36" s="868"/>
      <c r="X36" s="868"/>
      <c r="Y36" s="868"/>
      <c r="Z36" s="868"/>
      <c r="AA36" s="767"/>
      <c r="AB36" s="767"/>
      <c r="AC36" s="868"/>
      <c r="AD36" s="868"/>
      <c r="AE36" s="868"/>
      <c r="AF36" s="868"/>
      <c r="AG36" s="868"/>
      <c r="AH36" s="767"/>
      <c r="AI36" s="868"/>
      <c r="AS36" s="198"/>
      <c r="AT36" s="198"/>
      <c r="AU36" s="1458">
        <v>3</v>
      </c>
      <c r="AV36" s="1458">
        <f>IFERROR(VLOOKUP($AW36,$AK$128:$AN$230,4,FALSE),0)</f>
        <v>0</v>
      </c>
      <c r="AW36" s="1458">
        <v>6.5</v>
      </c>
      <c r="AX36" s="1527">
        <f t="shared" ref="AX36" si="31">SUMPRODUCT(($AK$64:$AK$122=$AW36)*($N$64:$N$122)*((O$64:O$122)))</f>
        <v>0</v>
      </c>
      <c r="AY36" s="1527">
        <f t="shared" ref="AY36" si="32">SUMPRODUCT(($AK$64:$AK$122=$AW36)*($N$64:$N$122)*((P$64:P$122)))</f>
        <v>0</v>
      </c>
      <c r="AZ36" s="1527">
        <f t="shared" ref="AZ36" si="33">SUMPRODUCT(($AK$64:$AK$122=$AW36)*($N$64:$N$122)*((Q$64:Q$122)))</f>
        <v>0</v>
      </c>
      <c r="BA36" s="1527">
        <f t="shared" ref="BA36" si="34">SUMPRODUCT(($AK$64:$AK$122=$AW36)*($N$64:$N$122)*((R$64:R$122)))</f>
        <v>0</v>
      </c>
      <c r="BB36" s="1527">
        <f t="shared" ref="BB36" si="35">SUMPRODUCT(($AK$64:$AK$122=$AW36)*($U$64:$U$122)*((V$64:V$122)))</f>
        <v>0</v>
      </c>
      <c r="BC36" s="1527">
        <f t="shared" ref="BC36" si="36">SUMPRODUCT(($AK$64:$AK$122=$AW36)*($U$64:$U$122)*((W$64:W$122)))</f>
        <v>0</v>
      </c>
      <c r="BD36" s="1527">
        <f t="shared" ref="BD36" si="37">SUMPRODUCT(($AK$64:$AK$122=$AW36)*($U$64:$U$122)*((X$64:X$122)))</f>
        <v>0</v>
      </c>
      <c r="BE36" s="1527">
        <f t="shared" ref="BE36" si="38">SUMPRODUCT(($AK$64:$AK$122=$AW36)*($U$64:$U$122)*((Y$64:Y$122)))</f>
        <v>0</v>
      </c>
      <c r="BF36" s="1527">
        <f t="shared" ref="BF36" si="39">SUMPRODUCT(($AK$64:$AK$122=$AW36)*($AB$64:$AB$122)*((AC$64:AC$122)))</f>
        <v>0</v>
      </c>
      <c r="BG36" s="1527">
        <f t="shared" ref="BG36" si="40">SUMPRODUCT(($AK$64:$AK$122=$AW36)*($AB$64:$AB$122)*((AD$64:AD$122)))</f>
        <v>0</v>
      </c>
      <c r="BH36" s="1527">
        <f t="shared" ref="BH36" si="41">SUMPRODUCT(($AK$64:$AK$122=$AW36)*($AB$64:$AB$122)*((AE$64:AE$122)))</f>
        <v>0</v>
      </c>
      <c r="BI36" s="1527">
        <f t="shared" ref="BI36" si="42">SUMPRODUCT(($AK$64:$AK$122=$AW36)*($AB$64:$AB$122)*((AF$64:AF$122)))</f>
        <v>0</v>
      </c>
      <c r="BJ36" s="1527">
        <f t="shared" ref="BJ36" si="43">SUM(AX36:BI36)</f>
        <v>0</v>
      </c>
    </row>
    <row r="37" spans="1:62" ht="34.5" customHeight="1" thickBot="1">
      <c r="A37" s="2961"/>
      <c r="B37" s="2987"/>
      <c r="C37" s="2987"/>
      <c r="D37" s="2987"/>
      <c r="E37" s="2987"/>
      <c r="F37" s="304"/>
      <c r="G37" s="304"/>
      <c r="H37" s="2959"/>
      <c r="I37" s="2959"/>
      <c r="J37" s="3043"/>
      <c r="K37"/>
      <c r="L37"/>
      <c r="M37" s="78"/>
      <c r="N37" s="767"/>
      <c r="O37" s="868"/>
      <c r="P37" s="868"/>
      <c r="Q37" s="868"/>
      <c r="R37" s="868"/>
      <c r="S37" s="868"/>
      <c r="T37" s="767"/>
      <c r="U37" s="767"/>
      <c r="V37" s="868"/>
      <c r="W37" s="868"/>
      <c r="X37" s="868"/>
      <c r="Y37" s="868"/>
      <c r="Z37" s="868"/>
      <c r="AA37" s="767"/>
      <c r="AB37" s="767"/>
      <c r="AC37" s="868"/>
      <c r="AD37" s="868"/>
      <c r="AE37" s="868"/>
      <c r="AF37" s="868"/>
      <c r="AG37" s="868"/>
      <c r="AH37" s="767"/>
      <c r="AI37" s="868"/>
      <c r="AT37" s="198"/>
      <c r="AU37" s="1458">
        <v>4</v>
      </c>
      <c r="AV37" s="1458">
        <f>IFERROR(VLOOKUP($AW37,$AK$128:$AN$230,4,FALSE),0)</f>
        <v>0</v>
      </c>
      <c r="AW37" s="1458">
        <v>6.5</v>
      </c>
      <c r="AX37" s="1527">
        <f t="shared" ref="AX37:AX40" si="44">SUMPRODUCT(($AK$130:$AK$230=$AW37)*($N$130:$N$230)*((O$130:O$230)))</f>
        <v>0</v>
      </c>
      <c r="AY37" s="1527">
        <f t="shared" ref="AY37:AY40" si="45">SUMPRODUCT(($AK$130:$AK$230=$AW37)*($N$130:$N$230)*((P$130:P$230)))</f>
        <v>0</v>
      </c>
      <c r="AZ37" s="1527">
        <f t="shared" ref="AZ37:AZ40" si="46">SUMPRODUCT(($AK$130:$AK$230=$AW37)*($N$130:$N$230)*((Q$130:Q$230)))</f>
        <v>0</v>
      </c>
      <c r="BA37" s="1527">
        <f t="shared" ref="BA37:BA40" si="47">SUMPRODUCT(($AK$130:$AK$230=$AW37)*($N$130:$N$230)*((R$130:R$230)))</f>
        <v>0</v>
      </c>
      <c r="BB37" s="1527">
        <f t="shared" ref="BB37:BB40" si="48">SUMPRODUCT(($AK$130:$AK$230=$AW37)*($U$130:$U$230)*((V$130:V$230)))</f>
        <v>0</v>
      </c>
      <c r="BC37" s="1527">
        <f t="shared" ref="BC37:BC40" si="49">SUMPRODUCT(($AK$130:$AK$230=$AW37)*($U$130:$U$230)*((W$130:W$230)))</f>
        <v>0</v>
      </c>
      <c r="BD37" s="1528">
        <f t="shared" ref="BD37:BD40" si="50">SUMPRODUCT(($AK$130:$AK$230=$AW37)*($U$130:$U$230)*((X$130:X$230)))</f>
        <v>0</v>
      </c>
      <c r="BE37" s="1528">
        <f t="shared" ref="BE37:BE40" si="51">SUMPRODUCT(($AK$130:$AK$230=$AW37)*($U$130:$U$230)*((Y$130:Y$230)))</f>
        <v>0</v>
      </c>
      <c r="BF37" s="1528">
        <f t="shared" ref="BF37:BF40" si="52">SUMPRODUCT(($AK$130:$AK$230=$AW37)*($AB$130:$AB$230)*((AC$130:AC$230)))</f>
        <v>0</v>
      </c>
      <c r="BG37" s="1528">
        <f t="shared" ref="BG37:BG40" si="53">SUMPRODUCT(($AK$130:$AK$230=$AW37)*($AB$130:$AB$230)*((AD$130:AD$230)))</f>
        <v>0</v>
      </c>
      <c r="BH37" s="1528">
        <f t="shared" ref="BH37:BH40" si="54">SUMPRODUCT(($AK$130:$AK$230=$AW37)*($AB$130:$AB$230)*((AE$130:AE$230)))</f>
        <v>0</v>
      </c>
      <c r="BI37" s="1528">
        <f t="shared" ref="BI37:BI40" si="55">SUMPRODUCT(($AK$130:$AK$230=$AW37)*($AB$130:$AB$230)*((AF$130:AF$230)))</f>
        <v>0</v>
      </c>
      <c r="BJ37" s="1527">
        <f t="shared" si="6"/>
        <v>0</v>
      </c>
    </row>
    <row r="38" spans="1:62" ht="113.25" customHeight="1">
      <c r="A38" s="2348" t="str">
        <f>IF($L$1=2,Language!$E$691,IF($L$1=3,Language!$F$691,Language!$G$691))</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38" s="2349"/>
      <c r="C38" s="2349"/>
      <c r="D38" s="2349"/>
      <c r="E38" s="2349"/>
      <c r="F38" s="2349"/>
      <c r="G38" s="2349"/>
      <c r="H38" s="2349"/>
      <c r="I38" s="2349"/>
      <c r="J38" s="2349"/>
      <c r="K38" s="2349"/>
      <c r="L38" s="2349"/>
      <c r="M38" s="2350"/>
      <c r="N38" s="846"/>
      <c r="O38" s="895"/>
      <c r="P38" s="895"/>
      <c r="Q38" s="895"/>
      <c r="R38" s="895"/>
      <c r="S38" s="895"/>
      <c r="T38" s="846"/>
      <c r="U38" s="846"/>
      <c r="V38" s="895"/>
      <c r="W38" s="895"/>
      <c r="X38" s="895"/>
      <c r="Y38" s="895"/>
      <c r="Z38" s="895"/>
      <c r="AA38" s="846"/>
      <c r="AB38" s="846"/>
      <c r="AC38" s="895"/>
      <c r="AD38" s="895"/>
      <c r="AE38" s="895"/>
      <c r="AF38" s="895"/>
      <c r="AG38" s="895"/>
      <c r="AH38" s="846"/>
      <c r="AI38" s="895"/>
      <c r="AS38" s="198"/>
      <c r="AT38" s="198"/>
      <c r="AU38" s="1458">
        <v>4</v>
      </c>
      <c r="AV38" s="1458">
        <f>IFERROR(VLOOKUP($AW38,$AK$128:$AN$230,4,FALSE),0)</f>
        <v>0</v>
      </c>
      <c r="AW38" s="1458">
        <v>6.6</v>
      </c>
      <c r="AX38" s="1527">
        <f t="shared" si="44"/>
        <v>0</v>
      </c>
      <c r="AY38" s="1527">
        <f t="shared" si="45"/>
        <v>0</v>
      </c>
      <c r="AZ38" s="1527">
        <f t="shared" si="46"/>
        <v>0</v>
      </c>
      <c r="BA38" s="1527">
        <f t="shared" si="47"/>
        <v>0</v>
      </c>
      <c r="BB38" s="1527">
        <f t="shared" si="48"/>
        <v>0</v>
      </c>
      <c r="BC38" s="1527">
        <f t="shared" si="49"/>
        <v>0</v>
      </c>
      <c r="BD38" s="1528">
        <f t="shared" si="50"/>
        <v>0</v>
      </c>
      <c r="BE38" s="1528">
        <f t="shared" si="51"/>
        <v>0</v>
      </c>
      <c r="BF38" s="1528">
        <f t="shared" si="52"/>
        <v>0</v>
      </c>
      <c r="BG38" s="1528">
        <f t="shared" si="53"/>
        <v>0</v>
      </c>
      <c r="BH38" s="1528">
        <f t="shared" si="54"/>
        <v>0</v>
      </c>
      <c r="BI38" s="1528">
        <f t="shared" si="55"/>
        <v>0</v>
      </c>
      <c r="BJ38" s="1527">
        <f t="shared" si="6"/>
        <v>0</v>
      </c>
    </row>
    <row r="39" spans="1:62" ht="16" thickBot="1">
      <c r="A39" s="189"/>
      <c r="B39" s="114"/>
      <c r="C39" s="1506"/>
      <c r="D39" s="115"/>
      <c r="E39" s="115"/>
      <c r="F39" s="116"/>
      <c r="G39" s="116"/>
      <c r="H39" s="116"/>
      <c r="I39" s="116"/>
      <c r="J39" s="266"/>
      <c r="K39" s="116"/>
      <c r="L39" s="116"/>
      <c r="M39" s="116"/>
      <c r="N39" s="853"/>
      <c r="O39" s="870"/>
      <c r="P39" s="870"/>
      <c r="Q39" s="870"/>
      <c r="R39" s="870"/>
      <c r="S39" s="870"/>
      <c r="T39" s="853"/>
      <c r="U39" s="853"/>
      <c r="V39" s="870"/>
      <c r="W39" s="870"/>
      <c r="X39" s="870"/>
      <c r="Y39" s="870"/>
      <c r="Z39" s="870"/>
      <c r="AA39" s="853"/>
      <c r="AB39" s="853"/>
      <c r="AC39" s="870"/>
      <c r="AD39" s="870"/>
      <c r="AE39" s="870"/>
      <c r="AF39" s="870"/>
      <c r="AG39" s="870"/>
      <c r="AH39" s="891"/>
      <c r="AI39" s="895"/>
      <c r="AT39" s="1465"/>
      <c r="AU39" s="1458">
        <v>4</v>
      </c>
      <c r="AV39" s="1458">
        <f>IFERROR(VLOOKUP($AW39,$AK$128:$AN$230,4,FALSE),0)</f>
        <v>0</v>
      </c>
      <c r="AW39" s="1458">
        <v>5.8</v>
      </c>
      <c r="AX39" s="1527">
        <f>SUMPRODUCT(($AK$130:$AK$230=$AW39)*($N$130:$N$230)*((O$130:O$230)))</f>
        <v>0</v>
      </c>
      <c r="AY39" s="1527">
        <f t="shared" si="45"/>
        <v>0</v>
      </c>
      <c r="AZ39" s="1527">
        <f t="shared" si="46"/>
        <v>0</v>
      </c>
      <c r="BA39" s="1527">
        <f t="shared" si="47"/>
        <v>0</v>
      </c>
      <c r="BB39" s="1527">
        <f t="shared" si="48"/>
        <v>0</v>
      </c>
      <c r="BC39" s="1527">
        <f t="shared" si="49"/>
        <v>0</v>
      </c>
      <c r="BD39" s="1528">
        <f t="shared" si="50"/>
        <v>0</v>
      </c>
      <c r="BE39" s="1528">
        <f t="shared" si="51"/>
        <v>0</v>
      </c>
      <c r="BF39" s="1528">
        <f t="shared" si="52"/>
        <v>0</v>
      </c>
      <c r="BG39" s="1528">
        <f t="shared" si="53"/>
        <v>0</v>
      </c>
      <c r="BH39" s="1528">
        <f t="shared" si="54"/>
        <v>0</v>
      </c>
      <c r="BI39" s="1528">
        <f t="shared" si="55"/>
        <v>0</v>
      </c>
      <c r="BJ39" s="1527">
        <f t="shared" si="6"/>
        <v>0</v>
      </c>
    </row>
    <row r="40" spans="1:62" s="268" customFormat="1" ht="15.75" customHeight="1" thickBot="1">
      <c r="A40" s="2968" t="str">
        <f>A12</f>
        <v>Categoría</v>
      </c>
      <c r="B40" s="2966"/>
      <c r="C40" s="2966"/>
      <c r="D40" s="2966"/>
      <c r="E40" s="2968" t="str">
        <f>E12</f>
        <v>Tipo de producto</v>
      </c>
      <c r="F40" s="2966"/>
      <c r="G40" s="2966"/>
      <c r="H40" s="2966"/>
      <c r="I40" s="3091" t="str">
        <f>I12</f>
        <v xml:space="preserve">Especificaciones (denominación, características técnicas, tamaño del empaque) </v>
      </c>
      <c r="J40" s="3092"/>
      <c r="K40" s="3093"/>
      <c r="L40" s="3084" t="str">
        <f>L12</f>
        <v>Unidad de medida</v>
      </c>
      <c r="M40" s="3072" t="str">
        <f>M12</f>
        <v>Moneda de pago</v>
      </c>
      <c r="N40" s="3086">
        <f>N12</f>
        <v>2022</v>
      </c>
      <c r="O40" s="3087"/>
      <c r="P40" s="3087"/>
      <c r="Q40" s="3087"/>
      <c r="R40" s="3087"/>
      <c r="S40" s="3087"/>
      <c r="T40" s="3088"/>
      <c r="U40" s="2980">
        <f>U12</f>
        <v>2023</v>
      </c>
      <c r="V40" s="2981"/>
      <c r="W40" s="2981"/>
      <c r="X40" s="2981"/>
      <c r="Y40" s="2981"/>
      <c r="Z40" s="2981"/>
      <c r="AA40" s="2982"/>
      <c r="AB40" s="2980">
        <f>AB12</f>
        <v>2024</v>
      </c>
      <c r="AC40" s="2981"/>
      <c r="AD40" s="2981"/>
      <c r="AE40" s="2981"/>
      <c r="AF40" s="2981"/>
      <c r="AG40" s="2981"/>
      <c r="AH40" s="2982"/>
      <c r="AI40" s="2964" t="str">
        <f t="shared" ref="AI40:AL40" si="56">AI12</f>
        <v>Total del período de subvención</v>
      </c>
      <c r="AJ40" s="2965">
        <f t="shared" si="56"/>
        <v>0</v>
      </c>
      <c r="AK40" s="263" t="str">
        <f t="shared" si="56"/>
        <v>Finanzas</v>
      </c>
      <c r="AL40" s="3109" t="str">
        <f t="shared" si="56"/>
        <v>Comentarios</v>
      </c>
      <c r="AM40" s="3026" t="str">
        <f>AM12</f>
        <v>Plazo de entrega</v>
      </c>
      <c r="AN40" s="3026" t="s">
        <v>3054</v>
      </c>
      <c r="AU40" s="1459">
        <v>4</v>
      </c>
      <c r="AV40" s="1459">
        <f>IFERROR(VLOOKUP($AW40,$AK$128:$AN$230,4,FALSE),0)</f>
        <v>0</v>
      </c>
      <c r="AW40" s="1460">
        <v>5.6</v>
      </c>
      <c r="AX40" s="1529">
        <f t="shared" si="44"/>
        <v>0</v>
      </c>
      <c r="AY40" s="1529">
        <f t="shared" si="45"/>
        <v>0</v>
      </c>
      <c r="AZ40" s="1529">
        <f t="shared" si="46"/>
        <v>0</v>
      </c>
      <c r="BA40" s="1529">
        <f t="shared" si="47"/>
        <v>0</v>
      </c>
      <c r="BB40" s="1529">
        <f t="shared" si="48"/>
        <v>0</v>
      </c>
      <c r="BC40" s="1529">
        <f t="shared" si="49"/>
        <v>0</v>
      </c>
      <c r="BD40" s="1530">
        <f t="shared" si="50"/>
        <v>0</v>
      </c>
      <c r="BE40" s="1530">
        <f t="shared" si="51"/>
        <v>0</v>
      </c>
      <c r="BF40" s="1530">
        <f t="shared" si="52"/>
        <v>0</v>
      </c>
      <c r="BG40" s="1530">
        <f t="shared" si="53"/>
        <v>0</v>
      </c>
      <c r="BH40" s="1530">
        <f t="shared" si="54"/>
        <v>0</v>
      </c>
      <c r="BI40" s="1530">
        <f t="shared" si="55"/>
        <v>0</v>
      </c>
      <c r="BJ40" s="1529">
        <f t="shared" si="6"/>
        <v>0</v>
      </c>
    </row>
    <row r="41" spans="1:62" s="323" customFormat="1" ht="26.5" thickBot="1">
      <c r="A41" s="2970"/>
      <c r="B41" s="2967"/>
      <c r="C41" s="2967"/>
      <c r="D41" s="2967"/>
      <c r="E41" s="2970"/>
      <c r="F41" s="2967"/>
      <c r="G41" s="2967"/>
      <c r="H41" s="2967"/>
      <c r="I41" s="3094"/>
      <c r="J41" s="3095"/>
      <c r="K41" s="3096"/>
      <c r="L41" s="3085"/>
      <c r="M41" s="3073"/>
      <c r="N41" s="1874" t="str">
        <f t="shared" ref="N41:AG41" si="57">N13</f>
        <v>Costo unitario del A1</v>
      </c>
      <c r="O41" s="1875" t="str">
        <f t="shared" si="57"/>
        <v>Cantidad del A1, T1</v>
      </c>
      <c r="P41" s="1875" t="str">
        <f t="shared" si="57"/>
        <v>Cantidad del A1, T2</v>
      </c>
      <c r="Q41" s="1875" t="str">
        <f t="shared" si="57"/>
        <v>Cantidad del A1, T3</v>
      </c>
      <c r="R41" s="1875" t="str">
        <f t="shared" si="57"/>
        <v>Cantidad del A1, T4</v>
      </c>
      <c r="S41" s="1875" t="str">
        <f t="shared" si="57"/>
        <v>Cantidad total del A1</v>
      </c>
      <c r="T41" s="1876" t="str">
        <f t="shared" si="57"/>
        <v>Costo total del A1</v>
      </c>
      <c r="U41" s="1874" t="str">
        <f t="shared" si="57"/>
        <v>Costo unitario del A2</v>
      </c>
      <c r="V41" s="1875" t="str">
        <f t="shared" si="57"/>
        <v>Cantidad del A2, T1</v>
      </c>
      <c r="W41" s="1875" t="str">
        <f t="shared" si="57"/>
        <v>Cantidad del A2, T2</v>
      </c>
      <c r="X41" s="1875" t="str">
        <f t="shared" si="57"/>
        <v>Cantidad del A2, T3</v>
      </c>
      <c r="Y41" s="1875" t="str">
        <f t="shared" si="57"/>
        <v>Cantidad del A2, T4</v>
      </c>
      <c r="Z41" s="1875" t="str">
        <f t="shared" si="57"/>
        <v>Cantidad total del A2</v>
      </c>
      <c r="AA41" s="1876" t="str">
        <f t="shared" si="57"/>
        <v>Costo total del A2</v>
      </c>
      <c r="AB41" s="1874" t="str">
        <f t="shared" si="57"/>
        <v>Costo unitario del A3</v>
      </c>
      <c r="AC41" s="1875" t="str">
        <f t="shared" si="57"/>
        <v>Cantidad del A3, T1</v>
      </c>
      <c r="AD41" s="1875" t="str">
        <f t="shared" si="57"/>
        <v>Cantidad del A3, T2</v>
      </c>
      <c r="AE41" s="1875" t="str">
        <f t="shared" si="57"/>
        <v>Cantidad del A3, T3</v>
      </c>
      <c r="AF41" s="1875" t="str">
        <f t="shared" si="57"/>
        <v>Cantidad del A3, T4</v>
      </c>
      <c r="AG41" s="1875" t="str">
        <f t="shared" si="57"/>
        <v>Cantidad total del A3</v>
      </c>
      <c r="AH41" s="1876" t="str">
        <f>AH13</f>
        <v>Costo total del A3</v>
      </c>
      <c r="AI41" s="1878" t="str">
        <f t="shared" ref="AI41:AJ41" si="58">AI13</f>
        <v>Cantidad total</v>
      </c>
      <c r="AJ41" s="1876" t="str">
        <f t="shared" si="58"/>
        <v xml:space="preserve">Costo total </v>
      </c>
      <c r="AK41" s="1902" t="str">
        <f>AK13</f>
        <v>Categoría de costos</v>
      </c>
      <c r="AL41" s="3110"/>
      <c r="AM41" s="3027"/>
      <c r="AN41" s="3027"/>
      <c r="AU41" s="268"/>
      <c r="AV41" s="268"/>
      <c r="AX41" s="1510">
        <f t="shared" ref="AX41:BJ41" si="59">SUM(AX29:AX40)</f>
        <v>0</v>
      </c>
      <c r="AY41" s="1510">
        <f t="shared" si="59"/>
        <v>0</v>
      </c>
      <c r="AZ41" s="1510">
        <f t="shared" si="59"/>
        <v>0</v>
      </c>
      <c r="BA41" s="1510">
        <f t="shared" si="59"/>
        <v>0</v>
      </c>
      <c r="BB41" s="1510">
        <f t="shared" si="59"/>
        <v>0</v>
      </c>
      <c r="BC41" s="1510">
        <f t="shared" si="59"/>
        <v>0</v>
      </c>
      <c r="BD41" s="1510">
        <f t="shared" si="59"/>
        <v>0</v>
      </c>
      <c r="BE41" s="1510">
        <f t="shared" si="59"/>
        <v>0</v>
      </c>
      <c r="BF41" s="1510">
        <f t="shared" si="59"/>
        <v>0</v>
      </c>
      <c r="BG41" s="1510">
        <f t="shared" si="59"/>
        <v>0</v>
      </c>
      <c r="BH41" s="1510">
        <f t="shared" si="59"/>
        <v>0</v>
      </c>
      <c r="BI41" s="1510">
        <f t="shared" si="59"/>
        <v>0</v>
      </c>
      <c r="BJ41" s="1510">
        <f t="shared" si="59"/>
        <v>0</v>
      </c>
    </row>
    <row r="42" spans="1:62" s="198" customFormat="1">
      <c r="A42" s="3089"/>
      <c r="B42" s="3090"/>
      <c r="C42" s="3090"/>
      <c r="D42" s="3090"/>
      <c r="E42" s="2983"/>
      <c r="F42" s="2984"/>
      <c r="G42" s="2984"/>
      <c r="H42" s="2985"/>
      <c r="I42" s="3069"/>
      <c r="J42" s="3070"/>
      <c r="K42" s="3071"/>
      <c r="L42" s="252" t="str">
        <f>IF(A42&lt;&gt;"",IFERROR(INDEX(PMtbl[[WKst]:[Unit of measure*]],MATCH($A$36&amp;$A42&amp;$E42&amp;$I42,INDEX(PMtbl[Sec]&amp;PMtbl[Category]&amp;PMtbl[INN]&amp;PMtbl[Specification],0,),0),8),""),"")</f>
        <v/>
      </c>
      <c r="M42" s="257" t="str">
        <f>IF(L42="", "",SETUP!$E$5)</f>
        <v/>
      </c>
      <c r="N42" s="1973"/>
      <c r="O42" s="1974"/>
      <c r="P42" s="1974"/>
      <c r="Q42" s="1974"/>
      <c r="R42" s="1974"/>
      <c r="S42" s="1879">
        <f>SUM('Malaria-Equipment &amp; Other HPs'!$O42:$R42)</f>
        <v>0</v>
      </c>
      <c r="T42" s="1880">
        <f>'Malaria-Equipment &amp; Other HPs'!$N42*'Malaria-Equipment &amp; Other HPs'!$S42</f>
        <v>0</v>
      </c>
      <c r="U42" s="1988"/>
      <c r="V42" s="1985"/>
      <c r="W42" s="1985"/>
      <c r="X42" s="1985"/>
      <c r="Y42" s="1985"/>
      <c r="Z42" s="1903">
        <f>SUM('Malaria-Equipment &amp; Other HPs'!$V42:$Y42)</f>
        <v>0</v>
      </c>
      <c r="AA42" s="1904">
        <f>'Malaria-Equipment &amp; Other HPs'!$U42*'Malaria-Equipment &amp; Other HPs'!$Z42</f>
        <v>0</v>
      </c>
      <c r="AB42" s="1984"/>
      <c r="AC42" s="1985"/>
      <c r="AD42" s="1985"/>
      <c r="AE42" s="1985"/>
      <c r="AF42" s="1985"/>
      <c r="AG42" s="1903">
        <f>SUM('Malaria-Equipment &amp; Other HPs'!$AC42:$AF42)</f>
        <v>0</v>
      </c>
      <c r="AH42" s="1904">
        <f>'Malaria-Equipment &amp; Other HPs'!$AB42*'Malaria-Equipment &amp; Other HPs'!$AG42</f>
        <v>0</v>
      </c>
      <c r="AI42" s="1905">
        <f>'Malaria-Equipment &amp; Other HPs'!$S42+'Malaria-Equipment &amp; Other HPs'!$Z42+'Malaria-Equipment &amp; Other HPs'!$AG42</f>
        <v>0</v>
      </c>
      <c r="AJ42" s="1906">
        <f>'Malaria-Equipment &amp; Other HPs'!$T42+'Malaria-Equipment &amp; Other HPs'!$AA42+'Malaria-Equipment &amp; Other HPs'!$AH42</f>
        <v>0</v>
      </c>
      <c r="AK42" s="1443" t="str">
        <f>IF(A42&lt;&gt;"",IFERROR(INDEX(PMtbl[[WKst]:[Unit of measure*]],MATCH($A$36&amp;$A42&amp;$E42&amp;$I42,INDEX(PMtbl[Sec]&amp;PMtbl[Category]&amp;PMtbl[INN]&amp;PMtbl[Specification],0,),0),7),""),"")</f>
        <v/>
      </c>
      <c r="AL42" s="956"/>
      <c r="AM42" s="1525" t="str">
        <f>IFERROR(INDEX(SETUP!$C$19:$G$62,MATCH((INDEX(PMtbl[[WKst]:[Unit of measure*]],MATCH($A42&amp;$E42&amp;$I42,INDEX(PMtbl[Category]&amp;PMtbl[INN]&amp;PMtbl[Specification],0,),0),3)),SETUP!$D$19:$D$62,0),5),"")</f>
        <v/>
      </c>
      <c r="AN42" s="1897"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c r="AO42" s="504" t="s">
        <v>424</v>
      </c>
      <c r="AU42" s="323"/>
      <c r="AV42" s="323"/>
      <c r="AX42" s="1532"/>
      <c r="AY42" s="1532"/>
      <c r="AZ42" s="1532"/>
      <c r="BA42" s="1532"/>
      <c r="BB42" s="1532"/>
      <c r="BC42" s="1532"/>
      <c r="BD42" s="1532"/>
      <c r="BE42" s="1532"/>
      <c r="BF42" s="1532"/>
      <c r="BG42" s="1532"/>
      <c r="BH42" s="1532"/>
      <c r="BI42" s="1532"/>
      <c r="BJ42" s="1532"/>
    </row>
    <row r="43" spans="1:62" s="198" customFormat="1">
      <c r="A43" s="2955"/>
      <c r="B43" s="2955"/>
      <c r="C43" s="2955"/>
      <c r="D43" s="2956"/>
      <c r="E43" s="2953"/>
      <c r="F43" s="2304"/>
      <c r="G43" s="2304"/>
      <c r="H43" s="2954"/>
      <c r="I43" s="3081"/>
      <c r="J43" s="3082"/>
      <c r="K43" s="3083"/>
      <c r="L43" s="258" t="str">
        <f>IF(A43&lt;&gt;"",IFERROR(INDEX(PMtbl[[WKst]:[Unit of measure*]],MATCH($A$36&amp;$A43&amp;$E43&amp;$I43,INDEX(PMtbl[Sec]&amp;PMtbl[Category]&amp;PMtbl[INN]&amp;PMtbl[Specification],0,),0),8),""),"")</f>
        <v/>
      </c>
      <c r="M43" s="259" t="str">
        <f>IF(L43="", "",SETUP!$E$5)</f>
        <v/>
      </c>
      <c r="N43" s="1975"/>
      <c r="O43" s="12"/>
      <c r="P43" s="12"/>
      <c r="Q43" s="12"/>
      <c r="R43" s="12"/>
      <c r="S43" s="1883">
        <f>SUM('Malaria-Equipment &amp; Other HPs'!$O43:$R43)</f>
        <v>0</v>
      </c>
      <c r="T43" s="1884">
        <f>'Malaria-Equipment &amp; Other HPs'!$N43*'Malaria-Equipment &amp; Other HPs'!$S43</f>
        <v>0</v>
      </c>
      <c r="U43" s="1981"/>
      <c r="V43" s="12"/>
      <c r="W43" s="12"/>
      <c r="X43" s="12"/>
      <c r="Y43" s="12"/>
      <c r="Z43" s="1883">
        <f>SUM('Malaria-Equipment &amp; Other HPs'!$V43:$Y43)</f>
        <v>0</v>
      </c>
      <c r="AA43" s="1884">
        <f>'Malaria-Equipment &amp; Other HPs'!$U43*'Malaria-Equipment &amp; Other HPs'!$Z43</f>
        <v>0</v>
      </c>
      <c r="AB43" s="1975"/>
      <c r="AC43" s="12"/>
      <c r="AD43" s="12"/>
      <c r="AE43" s="12"/>
      <c r="AF43" s="12"/>
      <c r="AG43" s="1883">
        <f>SUM('Malaria-Equipment &amp; Other HPs'!$AC43:$AF43)</f>
        <v>0</v>
      </c>
      <c r="AH43" s="1884">
        <f>'Malaria-Equipment &amp; Other HPs'!$AB43*'Malaria-Equipment &amp; Other HPs'!$AG43</f>
        <v>0</v>
      </c>
      <c r="AI43" s="1907">
        <f>'Malaria-Equipment &amp; Other HPs'!$S43+'Malaria-Equipment &amp; Other HPs'!$Z43+'Malaria-Equipment &amp; Other HPs'!$AG43</f>
        <v>0</v>
      </c>
      <c r="AJ43" s="1908">
        <f>'Malaria-Equipment &amp; Other HPs'!$T43+'Malaria-Equipment &amp; Other HPs'!$AA43+'Malaria-Equipment &amp; Other HPs'!$AH43</f>
        <v>0</v>
      </c>
      <c r="AK43" s="1444" t="str">
        <f>IF(A43&lt;&gt;"",IFERROR(INDEX(PMtbl[[WKst]:[Unit of measure*]],MATCH($A$36&amp;$A43&amp;$E43&amp;$I43,INDEX(PMtbl[Sec]&amp;PMtbl[Category]&amp;PMtbl[INN]&amp;PMtbl[Specification],0,),0),7),""),"")</f>
        <v/>
      </c>
      <c r="AL43" s="957"/>
      <c r="AM43" s="1520" t="str">
        <f>IFERROR(INDEX(SETUP!$C$19:$G$62,MATCH((INDEX(PMtbl[[WKst]:[Unit of measure*]],MATCH($A43&amp;$E43&amp;$I43,INDEX(PMtbl[Category]&amp;PMtbl[INN]&amp;PMtbl[Specification],0,),0),3)),SETUP!$D$19:$D$62,0),5),"")</f>
        <v/>
      </c>
      <c r="AN43" s="1898"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c r="AX43" s="1532"/>
      <c r="AY43" s="1532"/>
      <c r="AZ43" s="1532"/>
      <c r="BA43" s="1532"/>
      <c r="BB43" s="1532"/>
      <c r="BC43" s="1532"/>
      <c r="BD43" s="1532"/>
      <c r="BE43" s="1532"/>
      <c r="BF43" s="1532"/>
      <c r="BG43" s="1532"/>
      <c r="BH43" s="1532"/>
      <c r="BI43" s="1532"/>
      <c r="BJ43" s="1532"/>
    </row>
    <row r="44" spans="1:62" s="198" customFormat="1">
      <c r="A44" s="2957"/>
      <c r="B44" s="2957"/>
      <c r="C44" s="2957"/>
      <c r="D44" s="2958"/>
      <c r="E44" s="2950"/>
      <c r="F44" s="2951"/>
      <c r="G44" s="2951"/>
      <c r="H44" s="2952"/>
      <c r="I44" s="3052"/>
      <c r="J44" s="3053"/>
      <c r="K44" s="3054"/>
      <c r="L44" s="254" t="str">
        <f>IF(A44&lt;&gt;"",IFERROR(INDEX(PMtbl[[WKst]:[Unit of measure*]],MATCH($A$36&amp;$A44&amp;$E44&amp;$I44,INDEX(PMtbl[Sec]&amp;PMtbl[Category]&amp;PMtbl[INN]&amp;PMtbl[Specification],0,),0),8),""),"")</f>
        <v/>
      </c>
      <c r="M44" s="257" t="str">
        <f>IF(L44="", "",SETUP!$E$5)</f>
        <v/>
      </c>
      <c r="N44" s="1976"/>
      <c r="O44" s="1977"/>
      <c r="P44" s="1977"/>
      <c r="Q44" s="1977"/>
      <c r="R44" s="1977"/>
      <c r="S44" s="1887">
        <f>SUM('Malaria-Equipment &amp; Other HPs'!$O44:$R44)</f>
        <v>0</v>
      </c>
      <c r="T44" s="1888">
        <f>'Malaria-Equipment &amp; Other HPs'!$N44*'Malaria-Equipment &amp; Other HPs'!$S44</f>
        <v>0</v>
      </c>
      <c r="U44" s="1982"/>
      <c r="V44" s="1977"/>
      <c r="W44" s="1977"/>
      <c r="X44" s="1977"/>
      <c r="Y44" s="1977"/>
      <c r="Z44" s="1887">
        <f>SUM('Malaria-Equipment &amp; Other HPs'!$V44:$Y44)</f>
        <v>0</v>
      </c>
      <c r="AA44" s="1888">
        <f>'Malaria-Equipment &amp; Other HPs'!$U44*'Malaria-Equipment &amp; Other HPs'!$Z44</f>
        <v>0</v>
      </c>
      <c r="AB44" s="1976"/>
      <c r="AC44" s="1977"/>
      <c r="AD44" s="1977"/>
      <c r="AE44" s="1977"/>
      <c r="AF44" s="1977"/>
      <c r="AG44" s="1887">
        <f>SUM('Malaria-Equipment &amp; Other HPs'!$AC44:$AF44)</f>
        <v>0</v>
      </c>
      <c r="AH44" s="1888">
        <f>'Malaria-Equipment &amp; Other HPs'!$AB44*'Malaria-Equipment &amp; Other HPs'!$AG44</f>
        <v>0</v>
      </c>
      <c r="AI44" s="1909">
        <f>'Malaria-Equipment &amp; Other HPs'!$S44+'Malaria-Equipment &amp; Other HPs'!$Z44+'Malaria-Equipment &amp; Other HPs'!$AG44</f>
        <v>0</v>
      </c>
      <c r="AJ44" s="1910">
        <f>'Malaria-Equipment &amp; Other HPs'!$T44+'Malaria-Equipment &amp; Other HPs'!$AA44+'Malaria-Equipment &amp; Other HPs'!$AH44</f>
        <v>0</v>
      </c>
      <c r="AK44" s="1445" t="str">
        <f>IF(A44&lt;&gt;"",IFERROR(INDEX(PMtbl[[WKst]:[Unit of measure*]],MATCH($A$36&amp;$A44&amp;$E44&amp;$I44,INDEX(PMtbl[Sec]&amp;PMtbl[Category]&amp;PMtbl[INN]&amp;PMtbl[Specification],0,),0),7),""),"")</f>
        <v/>
      </c>
      <c r="AL44" s="956"/>
      <c r="AM44" s="1522" t="str">
        <f>IFERROR(INDEX(SETUP!$C$19:$G$62,MATCH((INDEX(PMtbl[[WKst]:[Unit of measure*]],MATCH($A44&amp;$E44&amp;$I44,INDEX(PMtbl[Category]&amp;PMtbl[INN]&amp;PMtbl[Specification],0,),0),3)),SETUP!$D$19:$D$62,0),5),"")</f>
        <v/>
      </c>
      <c r="AN44" s="1899"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c r="BC44" s="462"/>
    </row>
    <row r="45" spans="1:62" s="198" customFormat="1">
      <c r="A45" s="2955"/>
      <c r="B45" s="2955"/>
      <c r="C45" s="2955"/>
      <c r="D45" s="2956"/>
      <c r="E45" s="2953"/>
      <c r="F45" s="2304"/>
      <c r="G45" s="2304"/>
      <c r="H45" s="2954"/>
      <c r="I45" s="3081"/>
      <c r="J45" s="3082"/>
      <c r="K45" s="3083"/>
      <c r="L45" s="258" t="str">
        <f>IF(A45&lt;&gt;"",IFERROR(INDEX(PMtbl[[WKst]:[Unit of measure*]],MATCH($A$36&amp;$A45&amp;$E45&amp;$I45,INDEX(PMtbl[Sec]&amp;PMtbl[Category]&amp;PMtbl[INN]&amp;PMtbl[Specification],0,),0),8),""),"")</f>
        <v/>
      </c>
      <c r="M45" s="260" t="str">
        <f>IF(L45="", "",SETUP!$E$5)</f>
        <v/>
      </c>
      <c r="N45" s="1975"/>
      <c r="O45" s="12"/>
      <c r="P45" s="12"/>
      <c r="Q45" s="12"/>
      <c r="R45" s="12"/>
      <c r="S45" s="1883">
        <f>SUM('Malaria-Equipment &amp; Other HPs'!$O45:$R45)</f>
        <v>0</v>
      </c>
      <c r="T45" s="1884">
        <f>'Malaria-Equipment &amp; Other HPs'!$N45*'Malaria-Equipment &amp; Other HPs'!$S45</f>
        <v>0</v>
      </c>
      <c r="U45" s="1981"/>
      <c r="V45" s="12"/>
      <c r="W45" s="12"/>
      <c r="X45" s="12"/>
      <c r="Y45" s="12"/>
      <c r="Z45" s="1883">
        <f>SUM('Malaria-Equipment &amp; Other HPs'!$V45:$Y45)</f>
        <v>0</v>
      </c>
      <c r="AA45" s="1884">
        <f>'Malaria-Equipment &amp; Other HPs'!$U45*'Malaria-Equipment &amp; Other HPs'!$Z45</f>
        <v>0</v>
      </c>
      <c r="AB45" s="1975"/>
      <c r="AC45" s="12"/>
      <c r="AD45" s="12"/>
      <c r="AE45" s="12"/>
      <c r="AF45" s="12"/>
      <c r="AG45" s="1883">
        <f>SUM('Malaria-Equipment &amp; Other HPs'!$AC45:$AF45)</f>
        <v>0</v>
      </c>
      <c r="AH45" s="1884">
        <f>'Malaria-Equipment &amp; Other HPs'!$AB45*'Malaria-Equipment &amp; Other HPs'!$AG45</f>
        <v>0</v>
      </c>
      <c r="AI45" s="1907">
        <f>'Malaria-Equipment &amp; Other HPs'!$S45+'Malaria-Equipment &amp; Other HPs'!$Z45+'Malaria-Equipment &amp; Other HPs'!$AG45</f>
        <v>0</v>
      </c>
      <c r="AJ45" s="1908">
        <f>'Malaria-Equipment &amp; Other HPs'!$T45+'Malaria-Equipment &amp; Other HPs'!$AA45+'Malaria-Equipment &amp; Other HPs'!$AH45</f>
        <v>0</v>
      </c>
      <c r="AK45" s="1446" t="str">
        <f>IF(A45&lt;&gt;"",IFERROR(INDEX(PMtbl[[WKst]:[Unit of measure*]],MATCH($A$36&amp;$A45&amp;$E45&amp;$I45,INDEX(PMtbl[Sec]&amp;PMtbl[Category]&amp;PMtbl[INN]&amp;PMtbl[Specification],0,),0),7),""),"")</f>
        <v/>
      </c>
      <c r="AL45" s="957"/>
      <c r="AM45" s="1520" t="str">
        <f>IFERROR(INDEX(SETUP!$C$19:$G$62,MATCH((INDEX(PMtbl[[WKst]:[Unit of measure*]],MATCH($A45&amp;$E45&amp;$I45,INDEX(PMtbl[Category]&amp;PMtbl[INN]&amp;PMtbl[Specification],0,),0),3)),SETUP!$D$19:$D$62,0),5),"")</f>
        <v/>
      </c>
      <c r="AN45" s="1900"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62" s="198" customFormat="1">
      <c r="A46" s="2957"/>
      <c r="B46" s="2957"/>
      <c r="C46" s="2957"/>
      <c r="D46" s="2958"/>
      <c r="E46" s="2950"/>
      <c r="F46" s="2951"/>
      <c r="G46" s="2951"/>
      <c r="H46" s="2952"/>
      <c r="I46" s="3052"/>
      <c r="J46" s="3053"/>
      <c r="K46" s="3054"/>
      <c r="L46" s="254" t="str">
        <f>IF(A46&lt;&gt;"",IFERROR(INDEX(PMtbl[[WKst]:[Unit of measure*]],MATCH($A$36&amp;$A46&amp;$E46&amp;$I46,INDEX(PMtbl[Sec]&amp;PMtbl[Category]&amp;PMtbl[INN]&amp;PMtbl[Specification],0,),0),8),""),"")</f>
        <v/>
      </c>
      <c r="M46" s="257" t="str">
        <f>IF(L46="", "",SETUP!$E$5)</f>
        <v/>
      </c>
      <c r="N46" s="1976"/>
      <c r="O46" s="1977"/>
      <c r="P46" s="1977"/>
      <c r="Q46" s="1977"/>
      <c r="R46" s="1977"/>
      <c r="S46" s="1887">
        <f>SUM('Malaria-Equipment &amp; Other HPs'!$O46:$R46)</f>
        <v>0</v>
      </c>
      <c r="T46" s="1888">
        <f>'Malaria-Equipment &amp; Other HPs'!$N46*'Malaria-Equipment &amp; Other HPs'!$S46</f>
        <v>0</v>
      </c>
      <c r="U46" s="1982"/>
      <c r="V46" s="1977"/>
      <c r="W46" s="1977"/>
      <c r="X46" s="1977"/>
      <c r="Y46" s="1977"/>
      <c r="Z46" s="1887">
        <f>SUM('Malaria-Equipment &amp; Other HPs'!$V46:$Y46)</f>
        <v>0</v>
      </c>
      <c r="AA46" s="1888">
        <f>'Malaria-Equipment &amp; Other HPs'!$U46*'Malaria-Equipment &amp; Other HPs'!$Z46</f>
        <v>0</v>
      </c>
      <c r="AB46" s="1976"/>
      <c r="AC46" s="1977"/>
      <c r="AD46" s="1977"/>
      <c r="AE46" s="1977"/>
      <c r="AF46" s="1977"/>
      <c r="AG46" s="1887">
        <f>SUM('Malaria-Equipment &amp; Other HPs'!$AC46:$AF46)</f>
        <v>0</v>
      </c>
      <c r="AH46" s="1888">
        <f>'Malaria-Equipment &amp; Other HPs'!$AB46*'Malaria-Equipment &amp; Other HPs'!$AG46</f>
        <v>0</v>
      </c>
      <c r="AI46" s="1909">
        <f>'Malaria-Equipment &amp; Other HPs'!$S46+'Malaria-Equipment &amp; Other HPs'!$Z46+'Malaria-Equipment &amp; Other HPs'!$AG46</f>
        <v>0</v>
      </c>
      <c r="AJ46" s="1910">
        <f>'Malaria-Equipment &amp; Other HPs'!$T46+'Malaria-Equipment &amp; Other HPs'!$AA46+'Malaria-Equipment &amp; Other HPs'!$AH46</f>
        <v>0</v>
      </c>
      <c r="AK46" s="1445" t="str">
        <f>IF(A46&lt;&gt;"",IFERROR(INDEX(PMtbl[[WKst]:[Unit of measure*]],MATCH($A$36&amp;$A46&amp;$E46&amp;$I46,INDEX(PMtbl[Sec]&amp;PMtbl[Category]&amp;PMtbl[INN]&amp;PMtbl[Specification],0,),0),7),""),"")</f>
        <v/>
      </c>
      <c r="AL46" s="956"/>
      <c r="AM46" s="1522" t="str">
        <f>IFERROR(INDEX(SETUP!$C$19:$G$62,MATCH((INDEX(PMtbl[[WKst]:[Unit of measure*]],MATCH($A46&amp;$E46&amp;$I46,INDEX(PMtbl[Category]&amp;PMtbl[INN]&amp;PMtbl[Specification],0,),0),3)),SETUP!$D$19:$D$62,0),5),"")</f>
        <v/>
      </c>
      <c r="AN46" s="1899"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62" s="198" customFormat="1">
      <c r="A47" s="2955"/>
      <c r="B47" s="2955"/>
      <c r="C47" s="2955"/>
      <c r="D47" s="2956"/>
      <c r="E47" s="2953"/>
      <c r="F47" s="2304"/>
      <c r="G47" s="2304"/>
      <c r="H47" s="2954"/>
      <c r="I47" s="3081"/>
      <c r="J47" s="3082"/>
      <c r="K47" s="3083"/>
      <c r="L47" s="258" t="str">
        <f>IF(A47&lt;&gt;"",IFERROR(INDEX(PMtbl[[WKst]:[Unit of measure*]],MATCH($A$36&amp;$A47&amp;$E47&amp;$I47,INDEX(PMtbl[Sec]&amp;PMtbl[Category]&amp;PMtbl[INN]&amp;PMtbl[Specification],0,),0),8),""),"")</f>
        <v/>
      </c>
      <c r="M47" s="260" t="str">
        <f>IF(L47="", "",SETUP!$E$5)</f>
        <v/>
      </c>
      <c r="N47" s="1975"/>
      <c r="O47" s="12"/>
      <c r="P47" s="12"/>
      <c r="Q47" s="12"/>
      <c r="R47" s="12"/>
      <c r="S47" s="1883">
        <f>SUM('Malaria-Equipment &amp; Other HPs'!$O47:$R47)</f>
        <v>0</v>
      </c>
      <c r="T47" s="1884">
        <f>'Malaria-Equipment &amp; Other HPs'!$N47*'Malaria-Equipment &amp; Other HPs'!$S47</f>
        <v>0</v>
      </c>
      <c r="U47" s="1981"/>
      <c r="V47" s="12"/>
      <c r="W47" s="12"/>
      <c r="X47" s="12"/>
      <c r="Y47" s="12"/>
      <c r="Z47" s="1883">
        <f>SUM('Malaria-Equipment &amp; Other HPs'!$V47:$Y47)</f>
        <v>0</v>
      </c>
      <c r="AA47" s="1884">
        <f>'Malaria-Equipment &amp; Other HPs'!$U47*'Malaria-Equipment &amp; Other HPs'!$Z47</f>
        <v>0</v>
      </c>
      <c r="AB47" s="1975"/>
      <c r="AC47" s="12"/>
      <c r="AD47" s="12"/>
      <c r="AE47" s="12"/>
      <c r="AF47" s="12"/>
      <c r="AG47" s="1883">
        <f>SUM('Malaria-Equipment &amp; Other HPs'!$AC47:$AF47)</f>
        <v>0</v>
      </c>
      <c r="AH47" s="1884">
        <f>'Malaria-Equipment &amp; Other HPs'!$AB47*'Malaria-Equipment &amp; Other HPs'!$AG47</f>
        <v>0</v>
      </c>
      <c r="AI47" s="1907">
        <f>'Malaria-Equipment &amp; Other HPs'!$S47+'Malaria-Equipment &amp; Other HPs'!$Z47+'Malaria-Equipment &amp; Other HPs'!$AG47</f>
        <v>0</v>
      </c>
      <c r="AJ47" s="1908">
        <f>'Malaria-Equipment &amp; Other HPs'!$T47+'Malaria-Equipment &amp; Other HPs'!$AA47+'Malaria-Equipment &amp; Other HPs'!$AH47</f>
        <v>0</v>
      </c>
      <c r="AK47" s="1446" t="str">
        <f>IF(A47&lt;&gt;"",IFERROR(INDEX(PMtbl[[WKst]:[Unit of measure*]],MATCH($A$36&amp;$A47&amp;$E47&amp;$I47,INDEX(PMtbl[Sec]&amp;PMtbl[Category]&amp;PMtbl[INN]&amp;PMtbl[Specification],0,),0),7),""),"")</f>
        <v/>
      </c>
      <c r="AL47" s="957"/>
      <c r="AM47" s="1520" t="str">
        <f>IFERROR(INDEX(SETUP!$C$19:$G$62,MATCH((INDEX(PMtbl[[WKst]:[Unit of measure*]],MATCH($A47&amp;$E47&amp;$I47,INDEX(PMtbl[Category]&amp;PMtbl[INN]&amp;PMtbl[Specification],0,),0),3)),SETUP!$D$19:$D$62,0),5),"")</f>
        <v/>
      </c>
      <c r="AN47" s="1900"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62" s="198" customFormat="1">
      <c r="A48" s="2957"/>
      <c r="B48" s="2957"/>
      <c r="C48" s="2957"/>
      <c r="D48" s="2958"/>
      <c r="E48" s="2950"/>
      <c r="F48" s="2951"/>
      <c r="G48" s="2951"/>
      <c r="H48" s="2952"/>
      <c r="I48" s="3052"/>
      <c r="J48" s="3053"/>
      <c r="K48" s="3054"/>
      <c r="L48" s="254" t="str">
        <f>IF(A48&lt;&gt;"",IFERROR(INDEX(PMtbl[[WKst]:[Unit of measure*]],MATCH($A$36&amp;$A48&amp;$E48&amp;$I48,INDEX(PMtbl[Sec]&amp;PMtbl[Category]&amp;PMtbl[INN]&amp;PMtbl[Specification],0,),0),8),""),"")</f>
        <v/>
      </c>
      <c r="M48" s="257" t="str">
        <f>IF(L48="", "",SETUP!$E$5)</f>
        <v/>
      </c>
      <c r="N48" s="1976"/>
      <c r="O48" s="1977"/>
      <c r="P48" s="1977"/>
      <c r="Q48" s="1977"/>
      <c r="R48" s="1977"/>
      <c r="S48" s="1887">
        <f>SUM('Malaria-Equipment &amp; Other HPs'!$O48:$R48)</f>
        <v>0</v>
      </c>
      <c r="T48" s="1888">
        <f>'Malaria-Equipment &amp; Other HPs'!$N48*'Malaria-Equipment &amp; Other HPs'!$S48</f>
        <v>0</v>
      </c>
      <c r="U48" s="1982"/>
      <c r="V48" s="1977"/>
      <c r="W48" s="1977"/>
      <c r="X48" s="1977"/>
      <c r="Y48" s="1977"/>
      <c r="Z48" s="1887">
        <f>SUM('Malaria-Equipment &amp; Other HPs'!$V48:$Y48)</f>
        <v>0</v>
      </c>
      <c r="AA48" s="1888">
        <f>'Malaria-Equipment &amp; Other HPs'!$U48*'Malaria-Equipment &amp; Other HPs'!$Z48</f>
        <v>0</v>
      </c>
      <c r="AB48" s="1976"/>
      <c r="AC48" s="1977"/>
      <c r="AD48" s="1977"/>
      <c r="AE48" s="1977"/>
      <c r="AF48" s="1977"/>
      <c r="AG48" s="1887">
        <f>SUM('Malaria-Equipment &amp; Other HPs'!$AC48:$AF48)</f>
        <v>0</v>
      </c>
      <c r="AH48" s="1888">
        <f>'Malaria-Equipment &amp; Other HPs'!$AB48*'Malaria-Equipment &amp; Other HPs'!$AG48</f>
        <v>0</v>
      </c>
      <c r="AI48" s="1909">
        <f>'Malaria-Equipment &amp; Other HPs'!$S48+'Malaria-Equipment &amp; Other HPs'!$Z48+'Malaria-Equipment &amp; Other HPs'!$AG48</f>
        <v>0</v>
      </c>
      <c r="AJ48" s="1910">
        <f>'Malaria-Equipment &amp; Other HPs'!$T48+'Malaria-Equipment &amp; Other HPs'!$AA48+'Malaria-Equipment &amp; Other HPs'!$AH48</f>
        <v>0</v>
      </c>
      <c r="AK48" s="1445" t="str">
        <f>IF(A48&lt;&gt;"",IFERROR(INDEX(PMtbl[[WKst]:[Unit of measure*]],MATCH($A$36&amp;$A48&amp;$E48&amp;$I48,INDEX(PMtbl[Sec]&amp;PMtbl[Category]&amp;PMtbl[INN]&amp;PMtbl[Specification],0,),0),7),""),"")</f>
        <v/>
      </c>
      <c r="AL48" s="956"/>
      <c r="AM48" s="1522" t="str">
        <f>IFERROR(INDEX(SETUP!$C$19:$G$62,MATCH((INDEX(PMtbl[[WKst]:[Unit of measure*]],MATCH($A48&amp;$E48&amp;$I48,INDEX(PMtbl[Category]&amp;PMtbl[INN]&amp;PMtbl[Specification],0,),0),3)),SETUP!$D$19:$D$62,0),5),"")</f>
        <v/>
      </c>
      <c r="AN48" s="1899"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62" s="198" customFormat="1">
      <c r="A49" s="2955"/>
      <c r="B49" s="2955"/>
      <c r="C49" s="2955"/>
      <c r="D49" s="2956"/>
      <c r="E49" s="2953"/>
      <c r="F49" s="2304"/>
      <c r="G49" s="2304"/>
      <c r="H49" s="2954"/>
      <c r="I49" s="3081"/>
      <c r="J49" s="3082"/>
      <c r="K49" s="3083"/>
      <c r="L49" s="258" t="str">
        <f>IF(A49&lt;&gt;"",IFERROR(INDEX(PMtbl[[WKst]:[Unit of measure*]],MATCH($A$36&amp;$A49&amp;$E49&amp;$I49,INDEX(PMtbl[Sec]&amp;PMtbl[Category]&amp;PMtbl[INN]&amp;PMtbl[Specification],0,),0),8),""),"")</f>
        <v/>
      </c>
      <c r="M49" s="260" t="str">
        <f>IF(L49="", "",SETUP!$E$5)</f>
        <v/>
      </c>
      <c r="N49" s="1975"/>
      <c r="O49" s="12"/>
      <c r="P49" s="12"/>
      <c r="Q49" s="12"/>
      <c r="R49" s="12"/>
      <c r="S49" s="1883">
        <f>SUM('Malaria-Equipment &amp; Other HPs'!$O49:$R49)</f>
        <v>0</v>
      </c>
      <c r="T49" s="1884">
        <f>'Malaria-Equipment &amp; Other HPs'!$N49*'Malaria-Equipment &amp; Other HPs'!$S49</f>
        <v>0</v>
      </c>
      <c r="U49" s="1981"/>
      <c r="V49" s="12"/>
      <c r="W49" s="12"/>
      <c r="X49" s="12"/>
      <c r="Y49" s="12"/>
      <c r="Z49" s="1883">
        <f>SUM('Malaria-Equipment &amp; Other HPs'!$V49:$Y49)</f>
        <v>0</v>
      </c>
      <c r="AA49" s="1884">
        <f>'Malaria-Equipment &amp; Other HPs'!$U49*'Malaria-Equipment &amp; Other HPs'!$Z49</f>
        <v>0</v>
      </c>
      <c r="AB49" s="1975"/>
      <c r="AC49" s="12"/>
      <c r="AD49" s="12"/>
      <c r="AE49" s="12"/>
      <c r="AF49" s="12"/>
      <c r="AG49" s="1883">
        <f>SUM('Malaria-Equipment &amp; Other HPs'!$AC49:$AF49)</f>
        <v>0</v>
      </c>
      <c r="AH49" s="1884">
        <f>'Malaria-Equipment &amp; Other HPs'!$AB49*'Malaria-Equipment &amp; Other HPs'!$AG49</f>
        <v>0</v>
      </c>
      <c r="AI49" s="1907">
        <f>'Malaria-Equipment &amp; Other HPs'!$S49+'Malaria-Equipment &amp; Other HPs'!$Z49+'Malaria-Equipment &amp; Other HPs'!$AG49</f>
        <v>0</v>
      </c>
      <c r="AJ49" s="1908">
        <f>'Malaria-Equipment &amp; Other HPs'!$T49+'Malaria-Equipment &amp; Other HPs'!$AA49+'Malaria-Equipment &amp; Other HPs'!$AH49</f>
        <v>0</v>
      </c>
      <c r="AK49" s="1446" t="str">
        <f>IF(A49&lt;&gt;"",IFERROR(INDEX(PMtbl[[WKst]:[Unit of measure*]],MATCH($A$36&amp;$A49&amp;$E49&amp;$I49,INDEX(PMtbl[Sec]&amp;PMtbl[Category]&amp;PMtbl[INN]&amp;PMtbl[Specification],0,),0),7),""),"")</f>
        <v/>
      </c>
      <c r="AL49" s="957"/>
      <c r="AM49" s="1520" t="str">
        <f>IFERROR(INDEX(SETUP!$C$19:$G$62,MATCH((INDEX(PMtbl[[WKst]:[Unit of measure*]],MATCH($A49&amp;$E49&amp;$I49,INDEX(PMtbl[Category]&amp;PMtbl[INN]&amp;PMtbl[Specification],0,),0),3)),SETUP!$D$19:$D$62,0),5),"")</f>
        <v/>
      </c>
      <c r="AN49" s="1900"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62" s="198" customFormat="1">
      <c r="A50" s="2957"/>
      <c r="B50" s="2957"/>
      <c r="C50" s="2957"/>
      <c r="D50" s="2958"/>
      <c r="E50" s="2950"/>
      <c r="F50" s="2951"/>
      <c r="G50" s="2951"/>
      <c r="H50" s="2952"/>
      <c r="I50" s="3052"/>
      <c r="J50" s="3053"/>
      <c r="K50" s="3054"/>
      <c r="L50" s="254" t="str">
        <f>IF(A50&lt;&gt;"",IFERROR(INDEX(PMtbl[[WKst]:[Unit of measure*]],MATCH($A$36&amp;$A50&amp;$E50&amp;$I50,INDEX(PMtbl[Sec]&amp;PMtbl[Category]&amp;PMtbl[INN]&amp;PMtbl[Specification],0,),0),8),""),"")</f>
        <v/>
      </c>
      <c r="M50" s="257" t="str">
        <f>IF(L50="", "",SETUP!$E$5)</f>
        <v/>
      </c>
      <c r="N50" s="1976"/>
      <c r="O50" s="1977"/>
      <c r="P50" s="1977"/>
      <c r="Q50" s="1977"/>
      <c r="R50" s="1977"/>
      <c r="S50" s="1887">
        <f>SUM('Malaria-Equipment &amp; Other HPs'!$O50:$R50)</f>
        <v>0</v>
      </c>
      <c r="T50" s="1888">
        <f>'Malaria-Equipment &amp; Other HPs'!$N50*'Malaria-Equipment &amp; Other HPs'!$S50</f>
        <v>0</v>
      </c>
      <c r="U50" s="1982"/>
      <c r="V50" s="1977"/>
      <c r="W50" s="1977"/>
      <c r="X50" s="1977"/>
      <c r="Y50" s="1977"/>
      <c r="Z50" s="1887">
        <f>SUM('Malaria-Equipment &amp; Other HPs'!$V50:$Y50)</f>
        <v>0</v>
      </c>
      <c r="AA50" s="1888">
        <f>'Malaria-Equipment &amp; Other HPs'!$U50*'Malaria-Equipment &amp; Other HPs'!$Z50</f>
        <v>0</v>
      </c>
      <c r="AB50" s="1976"/>
      <c r="AC50" s="1977"/>
      <c r="AD50" s="1977"/>
      <c r="AE50" s="1977"/>
      <c r="AF50" s="1977"/>
      <c r="AG50" s="1887">
        <f>SUM('Malaria-Equipment &amp; Other HPs'!$AC50:$AF50)</f>
        <v>0</v>
      </c>
      <c r="AH50" s="1888">
        <f>'Malaria-Equipment &amp; Other HPs'!$AB50*'Malaria-Equipment &amp; Other HPs'!$AG50</f>
        <v>0</v>
      </c>
      <c r="AI50" s="1909">
        <f>'Malaria-Equipment &amp; Other HPs'!$S50+'Malaria-Equipment &amp; Other HPs'!$Z50+'Malaria-Equipment &amp; Other HPs'!$AG50</f>
        <v>0</v>
      </c>
      <c r="AJ50" s="1910">
        <f>'Malaria-Equipment &amp; Other HPs'!$T50+'Malaria-Equipment &amp; Other HPs'!$AA50+'Malaria-Equipment &amp; Other HPs'!$AH50</f>
        <v>0</v>
      </c>
      <c r="AK50" s="1445" t="str">
        <f>IF(A50&lt;&gt;"",IFERROR(INDEX(PMtbl[[WKst]:[Unit of measure*]],MATCH($A$36&amp;$A50&amp;$E50&amp;$I50,INDEX(PMtbl[Sec]&amp;PMtbl[Category]&amp;PMtbl[INN]&amp;PMtbl[Specification],0,),0),7),""),"")</f>
        <v/>
      </c>
      <c r="AL50" s="956"/>
      <c r="AM50" s="1522" t="str">
        <f>IFERROR(INDEX(SETUP!$C$19:$G$62,MATCH((INDEX(PMtbl[[WKst]:[Unit of measure*]],MATCH($A50&amp;$E50&amp;$I50,INDEX(PMtbl[Category]&amp;PMtbl[INN]&amp;PMtbl[Specification],0,),0),3)),SETUP!$D$19:$D$62,0),5),"")</f>
        <v/>
      </c>
      <c r="AN50" s="1899"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62" s="198" customFormat="1">
      <c r="A51" s="2955"/>
      <c r="B51" s="2955"/>
      <c r="C51" s="2955"/>
      <c r="D51" s="2956"/>
      <c r="E51" s="2953"/>
      <c r="F51" s="2304"/>
      <c r="G51" s="2304"/>
      <c r="H51" s="2954"/>
      <c r="I51" s="3081"/>
      <c r="J51" s="3082"/>
      <c r="K51" s="3083"/>
      <c r="L51" s="258" t="str">
        <f>IF(A51&lt;&gt;"",IFERROR(INDEX(PMtbl[[WKst]:[Unit of measure*]],MATCH($A$36&amp;$A51&amp;$E51&amp;$I51,INDEX(PMtbl[Sec]&amp;PMtbl[Category]&amp;PMtbl[INN]&amp;PMtbl[Specification],0,),0),8),""),"")</f>
        <v/>
      </c>
      <c r="M51" s="260" t="str">
        <f>IF(L51="", "",SETUP!$E$5)</f>
        <v/>
      </c>
      <c r="N51" s="1975"/>
      <c r="O51" s="12"/>
      <c r="P51" s="12"/>
      <c r="Q51" s="12"/>
      <c r="R51" s="12"/>
      <c r="S51" s="1883">
        <f>SUM('Malaria-Equipment &amp; Other HPs'!$O51:$R51)</f>
        <v>0</v>
      </c>
      <c r="T51" s="1884">
        <f>'Malaria-Equipment &amp; Other HPs'!$N51*'Malaria-Equipment &amp; Other HPs'!$S51</f>
        <v>0</v>
      </c>
      <c r="U51" s="1981"/>
      <c r="V51" s="12"/>
      <c r="W51" s="12"/>
      <c r="X51" s="12"/>
      <c r="Y51" s="12"/>
      <c r="Z51" s="1883">
        <f>SUM('Malaria-Equipment &amp; Other HPs'!$V51:$Y51)</f>
        <v>0</v>
      </c>
      <c r="AA51" s="1884">
        <f>'Malaria-Equipment &amp; Other HPs'!$U51*'Malaria-Equipment &amp; Other HPs'!$Z51</f>
        <v>0</v>
      </c>
      <c r="AB51" s="1975"/>
      <c r="AC51" s="12"/>
      <c r="AD51" s="12"/>
      <c r="AE51" s="12"/>
      <c r="AF51" s="12"/>
      <c r="AG51" s="1883">
        <f>SUM('Malaria-Equipment &amp; Other HPs'!$AC51:$AF51)</f>
        <v>0</v>
      </c>
      <c r="AH51" s="1884">
        <f>'Malaria-Equipment &amp; Other HPs'!$AB51*'Malaria-Equipment &amp; Other HPs'!$AG51</f>
        <v>0</v>
      </c>
      <c r="AI51" s="1907">
        <f>'Malaria-Equipment &amp; Other HPs'!$S51+'Malaria-Equipment &amp; Other HPs'!$Z51+'Malaria-Equipment &amp; Other HPs'!$AG51</f>
        <v>0</v>
      </c>
      <c r="AJ51" s="1908">
        <f>'Malaria-Equipment &amp; Other HPs'!$T51+'Malaria-Equipment &amp; Other HPs'!$AA51+'Malaria-Equipment &amp; Other HPs'!$AH51</f>
        <v>0</v>
      </c>
      <c r="AK51" s="1446" t="str">
        <f>IF(A51&lt;&gt;"",IFERROR(INDEX(PMtbl[[WKst]:[Unit of measure*]],MATCH($A$36&amp;$A51&amp;$E51&amp;$I51,INDEX(PMtbl[Sec]&amp;PMtbl[Category]&amp;PMtbl[INN]&amp;PMtbl[Specification],0,),0),7),""),"")</f>
        <v/>
      </c>
      <c r="AL51" s="957"/>
      <c r="AM51" s="1520" t="str">
        <f>IFERROR(INDEX(SETUP!$C$19:$G$62,MATCH((INDEX(PMtbl[[WKst]:[Unit of measure*]],MATCH($A51&amp;$E51&amp;$I51,INDEX(PMtbl[Category]&amp;PMtbl[INN]&amp;PMtbl[Specification],0,),0),3)),SETUP!$D$19:$D$62,0),5),"")</f>
        <v/>
      </c>
      <c r="AN51" s="1900"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62" s="198" customFormat="1">
      <c r="A52" s="2957"/>
      <c r="B52" s="2957"/>
      <c r="C52" s="2957"/>
      <c r="D52" s="2958"/>
      <c r="E52" s="2950"/>
      <c r="F52" s="2951"/>
      <c r="G52" s="2951"/>
      <c r="H52" s="2952"/>
      <c r="I52" s="3052"/>
      <c r="J52" s="3053"/>
      <c r="K52" s="3054"/>
      <c r="L52" s="254" t="str">
        <f>IF(A52&lt;&gt;"",IFERROR(INDEX(PMtbl[[WKst]:[Unit of measure*]],MATCH($A$36&amp;$A52&amp;$E52&amp;$I52,INDEX(PMtbl[Sec]&amp;PMtbl[Category]&amp;PMtbl[INN]&amp;PMtbl[Specification],0,),0),8),""),"")</f>
        <v/>
      </c>
      <c r="M52" s="257" t="str">
        <f>IF(L52="", "",SETUP!$E$5)</f>
        <v/>
      </c>
      <c r="N52" s="1976"/>
      <c r="O52" s="1977"/>
      <c r="P52" s="1977"/>
      <c r="Q52" s="1977"/>
      <c r="R52" s="1977"/>
      <c r="S52" s="1887">
        <f>SUM('Malaria-Equipment &amp; Other HPs'!$O52:$R52)</f>
        <v>0</v>
      </c>
      <c r="T52" s="1888">
        <f>'Malaria-Equipment &amp; Other HPs'!$N52*'Malaria-Equipment &amp; Other HPs'!$S52</f>
        <v>0</v>
      </c>
      <c r="U52" s="1982"/>
      <c r="V52" s="1977"/>
      <c r="W52" s="1977"/>
      <c r="X52" s="1977"/>
      <c r="Y52" s="1977"/>
      <c r="Z52" s="1887">
        <f>SUM('Malaria-Equipment &amp; Other HPs'!$V52:$Y52)</f>
        <v>0</v>
      </c>
      <c r="AA52" s="1888">
        <f>'Malaria-Equipment &amp; Other HPs'!$U52*'Malaria-Equipment &amp; Other HPs'!$Z52</f>
        <v>0</v>
      </c>
      <c r="AB52" s="1976"/>
      <c r="AC52" s="1977"/>
      <c r="AD52" s="1977"/>
      <c r="AE52" s="1977"/>
      <c r="AF52" s="1977"/>
      <c r="AG52" s="1887">
        <f>SUM('Malaria-Equipment &amp; Other HPs'!$AC52:$AF52)</f>
        <v>0</v>
      </c>
      <c r="AH52" s="1888">
        <f>'Malaria-Equipment &amp; Other HPs'!$AB52*'Malaria-Equipment &amp; Other HPs'!$AG52</f>
        <v>0</v>
      </c>
      <c r="AI52" s="1909">
        <f>'Malaria-Equipment &amp; Other HPs'!$S52+'Malaria-Equipment &amp; Other HPs'!$Z52+'Malaria-Equipment &amp; Other HPs'!$AG52</f>
        <v>0</v>
      </c>
      <c r="AJ52" s="1910">
        <f>'Malaria-Equipment &amp; Other HPs'!$T52+'Malaria-Equipment &amp; Other HPs'!$AA52+'Malaria-Equipment &amp; Other HPs'!$AH52</f>
        <v>0</v>
      </c>
      <c r="AK52" s="1445" t="str">
        <f>IF(A52&lt;&gt;"",IFERROR(INDEX(PMtbl[[WKst]:[Unit of measure*]],MATCH($A$36&amp;$A52&amp;$E52&amp;$I52,INDEX(PMtbl[Sec]&amp;PMtbl[Category]&amp;PMtbl[INN]&amp;PMtbl[Specification],0,),0),7),""),"")</f>
        <v/>
      </c>
      <c r="AL52" s="956"/>
      <c r="AM52" s="1522" t="str">
        <f>IFERROR(INDEX(SETUP!$C$19:$G$62,MATCH((INDEX(PMtbl[[WKst]:[Unit of measure*]],MATCH($A52&amp;$E52&amp;$I52,INDEX(PMtbl[Category]&amp;PMtbl[INN]&amp;PMtbl[Specification],0,),0),3)),SETUP!$D$19:$D$62,0),5),"")</f>
        <v/>
      </c>
      <c r="AN52" s="1899"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62" s="198" customFormat="1">
      <c r="A53" s="2955"/>
      <c r="B53" s="2955"/>
      <c r="C53" s="2955"/>
      <c r="D53" s="2956"/>
      <c r="E53" s="2953"/>
      <c r="F53" s="2304"/>
      <c r="G53" s="2304"/>
      <c r="H53" s="2954"/>
      <c r="I53" s="3081"/>
      <c r="J53" s="3082"/>
      <c r="K53" s="3083"/>
      <c r="L53" s="258" t="str">
        <f>IF(A53&lt;&gt;"",IFERROR(INDEX(PMtbl[[WKst]:[Unit of measure*]],MATCH($A$36&amp;$A53&amp;$E53&amp;$I53,INDEX(PMtbl[Sec]&amp;PMtbl[Category]&amp;PMtbl[INN]&amp;PMtbl[Specification],0,),0),8),""),"")</f>
        <v/>
      </c>
      <c r="M53" s="260" t="str">
        <f>IF(L53="", "",SETUP!$E$5)</f>
        <v/>
      </c>
      <c r="N53" s="1975"/>
      <c r="O53" s="12"/>
      <c r="P53" s="12"/>
      <c r="Q53" s="12"/>
      <c r="R53" s="12"/>
      <c r="S53" s="1883">
        <f>SUM('Malaria-Equipment &amp; Other HPs'!$O53:$R53)</f>
        <v>0</v>
      </c>
      <c r="T53" s="1884">
        <f>'Malaria-Equipment &amp; Other HPs'!$N53*'Malaria-Equipment &amp; Other HPs'!$S53</f>
        <v>0</v>
      </c>
      <c r="U53" s="1981"/>
      <c r="V53" s="12"/>
      <c r="W53" s="12"/>
      <c r="X53" s="12"/>
      <c r="Y53" s="12"/>
      <c r="Z53" s="1883">
        <f>SUM('Malaria-Equipment &amp; Other HPs'!$V53:$Y53)</f>
        <v>0</v>
      </c>
      <c r="AA53" s="1884">
        <f>'Malaria-Equipment &amp; Other HPs'!$U53*'Malaria-Equipment &amp; Other HPs'!$Z53</f>
        <v>0</v>
      </c>
      <c r="AB53" s="1975"/>
      <c r="AC53" s="12"/>
      <c r="AD53" s="12"/>
      <c r="AE53" s="12"/>
      <c r="AF53" s="12"/>
      <c r="AG53" s="1883">
        <f>SUM('Malaria-Equipment &amp; Other HPs'!$AC53:$AF53)</f>
        <v>0</v>
      </c>
      <c r="AH53" s="1884">
        <f>'Malaria-Equipment &amp; Other HPs'!$AB53*'Malaria-Equipment &amp; Other HPs'!$AG53</f>
        <v>0</v>
      </c>
      <c r="AI53" s="1907">
        <f>'Malaria-Equipment &amp; Other HPs'!$S53+'Malaria-Equipment &amp; Other HPs'!$Z53+'Malaria-Equipment &amp; Other HPs'!$AG53</f>
        <v>0</v>
      </c>
      <c r="AJ53" s="1908">
        <f>'Malaria-Equipment &amp; Other HPs'!$T53+'Malaria-Equipment &amp; Other HPs'!$AA53+'Malaria-Equipment &amp; Other HPs'!$AH53</f>
        <v>0</v>
      </c>
      <c r="AK53" s="1446" t="str">
        <f>IF(A53&lt;&gt;"",IFERROR(INDEX(PMtbl[[WKst]:[Unit of measure*]],MATCH($A$36&amp;$A53&amp;$E53&amp;$I53,INDEX(PMtbl[Sec]&amp;PMtbl[Category]&amp;PMtbl[INN]&amp;PMtbl[Specification],0,),0),7),""),"")</f>
        <v/>
      </c>
      <c r="AL53" s="957"/>
      <c r="AM53" s="1520" t="str">
        <f>IFERROR(INDEX(SETUP!$C$19:$G$62,MATCH((INDEX(PMtbl[[WKst]:[Unit of measure*]],MATCH($A53&amp;$E53&amp;$I53,INDEX(PMtbl[Category]&amp;PMtbl[INN]&amp;PMtbl[Specification],0,),0),3)),SETUP!$D$19:$D$62,0),5),"")</f>
        <v/>
      </c>
      <c r="AN53" s="1900"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62" s="198" customFormat="1">
      <c r="A54" s="2957"/>
      <c r="B54" s="2957"/>
      <c r="C54" s="2957"/>
      <c r="D54" s="2958"/>
      <c r="E54" s="2950"/>
      <c r="F54" s="2951"/>
      <c r="G54" s="2951"/>
      <c r="H54" s="2952"/>
      <c r="I54" s="3052"/>
      <c r="J54" s="3053"/>
      <c r="K54" s="3054"/>
      <c r="L54" s="254" t="str">
        <f>IF(A54&lt;&gt;"",IFERROR(INDEX(PMtbl[[WKst]:[Unit of measure*]],MATCH($A$36&amp;$A54&amp;$E54&amp;$I54,INDEX(PMtbl[Sec]&amp;PMtbl[Category]&amp;PMtbl[INN]&amp;PMtbl[Specification],0,),0),8),""),"")</f>
        <v/>
      </c>
      <c r="M54" s="257" t="str">
        <f>IF(L54="", "",SETUP!$E$5)</f>
        <v/>
      </c>
      <c r="N54" s="1976"/>
      <c r="O54" s="1977"/>
      <c r="P54" s="1977"/>
      <c r="Q54" s="1977"/>
      <c r="R54" s="1977"/>
      <c r="S54" s="1887">
        <f>SUM('Malaria-Equipment &amp; Other HPs'!$O54:$R54)</f>
        <v>0</v>
      </c>
      <c r="T54" s="1888">
        <f>'Malaria-Equipment &amp; Other HPs'!$N54*'Malaria-Equipment &amp; Other HPs'!$S54</f>
        <v>0</v>
      </c>
      <c r="U54" s="1982"/>
      <c r="V54" s="1977"/>
      <c r="W54" s="1977"/>
      <c r="X54" s="1977"/>
      <c r="Y54" s="1977"/>
      <c r="Z54" s="1887">
        <f>SUM('Malaria-Equipment &amp; Other HPs'!$V54:$Y54)</f>
        <v>0</v>
      </c>
      <c r="AA54" s="1888">
        <f>'Malaria-Equipment &amp; Other HPs'!$U54*'Malaria-Equipment &amp; Other HPs'!$Z54</f>
        <v>0</v>
      </c>
      <c r="AB54" s="1976"/>
      <c r="AC54" s="1977"/>
      <c r="AD54" s="1977"/>
      <c r="AE54" s="1977"/>
      <c r="AF54" s="1977"/>
      <c r="AG54" s="1887">
        <f>SUM('Malaria-Equipment &amp; Other HPs'!$AC54:$AF54)</f>
        <v>0</v>
      </c>
      <c r="AH54" s="1888">
        <f>'Malaria-Equipment &amp; Other HPs'!$AB54*'Malaria-Equipment &amp; Other HPs'!$AG54</f>
        <v>0</v>
      </c>
      <c r="AI54" s="1909">
        <f>'Malaria-Equipment &amp; Other HPs'!$S54+'Malaria-Equipment &amp; Other HPs'!$Z54+'Malaria-Equipment &amp; Other HPs'!$AG54</f>
        <v>0</v>
      </c>
      <c r="AJ54" s="1910">
        <f>'Malaria-Equipment &amp; Other HPs'!$T54+'Malaria-Equipment &amp; Other HPs'!$AA54+'Malaria-Equipment &amp; Other HPs'!$AH54</f>
        <v>0</v>
      </c>
      <c r="AK54" s="1445" t="str">
        <f>IF(A54&lt;&gt;"",IFERROR(INDEX(PMtbl[[WKst]:[Unit of measure*]],MATCH($A$36&amp;$A54&amp;$E54&amp;$I54,INDEX(PMtbl[Sec]&amp;PMtbl[Category]&amp;PMtbl[INN]&amp;PMtbl[Specification],0,),0),7),""),"")</f>
        <v/>
      </c>
      <c r="AL54" s="956"/>
      <c r="AM54" s="1522" t="str">
        <f>IFERROR(INDEX(SETUP!$C$19:$G$62,MATCH((INDEX(PMtbl[[WKst]:[Unit of measure*]],MATCH($A54&amp;$E54&amp;$I54,INDEX(PMtbl[Category]&amp;PMtbl[INN]&amp;PMtbl[Specification],0,),0),3)),SETUP!$D$19:$D$62,0),5),"")</f>
        <v/>
      </c>
      <c r="AN54" s="1899"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62" s="198" customFormat="1">
      <c r="A55" s="2955"/>
      <c r="B55" s="2955"/>
      <c r="C55" s="2955"/>
      <c r="D55" s="2956"/>
      <c r="E55" s="2953"/>
      <c r="F55" s="2304"/>
      <c r="G55" s="2304"/>
      <c r="H55" s="2954"/>
      <c r="I55" s="3081"/>
      <c r="J55" s="3082"/>
      <c r="K55" s="3083"/>
      <c r="L55" s="258" t="str">
        <f>IF(A55&lt;&gt;"",IFERROR(INDEX(PMtbl[[WKst]:[Unit of measure*]],MATCH($A$36&amp;$A55&amp;$E55&amp;$I55,INDEX(PMtbl[Sec]&amp;PMtbl[Category]&amp;PMtbl[INN]&amp;PMtbl[Specification],0,),0),8),""),"")</f>
        <v/>
      </c>
      <c r="M55" s="260" t="str">
        <f>IF(L55="", "",SETUP!$E$5)</f>
        <v/>
      </c>
      <c r="N55" s="1975"/>
      <c r="O55" s="12"/>
      <c r="P55" s="12"/>
      <c r="Q55" s="12"/>
      <c r="R55" s="12"/>
      <c r="S55" s="1883">
        <f>SUM('Malaria-Equipment &amp; Other HPs'!$O55:$R55)</f>
        <v>0</v>
      </c>
      <c r="T55" s="1884">
        <f>'Malaria-Equipment &amp; Other HPs'!$N55*'Malaria-Equipment &amp; Other HPs'!$S55</f>
        <v>0</v>
      </c>
      <c r="U55" s="1981"/>
      <c r="V55" s="12"/>
      <c r="W55" s="12"/>
      <c r="X55" s="12"/>
      <c r="Y55" s="12"/>
      <c r="Z55" s="1883">
        <f>SUM('Malaria-Equipment &amp; Other HPs'!$V55:$Y55)</f>
        <v>0</v>
      </c>
      <c r="AA55" s="1884">
        <f>'Malaria-Equipment &amp; Other HPs'!$U55*'Malaria-Equipment &amp; Other HPs'!$Z55</f>
        <v>0</v>
      </c>
      <c r="AB55" s="1975"/>
      <c r="AC55" s="12"/>
      <c r="AD55" s="12"/>
      <c r="AE55" s="12"/>
      <c r="AF55" s="12"/>
      <c r="AG55" s="1883">
        <f>SUM('Malaria-Equipment &amp; Other HPs'!$AC55:$AF55)</f>
        <v>0</v>
      </c>
      <c r="AH55" s="1884">
        <f>'Malaria-Equipment &amp; Other HPs'!$AB55*'Malaria-Equipment &amp; Other HPs'!$AG55</f>
        <v>0</v>
      </c>
      <c r="AI55" s="1907">
        <f>'Malaria-Equipment &amp; Other HPs'!$S55+'Malaria-Equipment &amp; Other HPs'!$Z55+'Malaria-Equipment &amp; Other HPs'!$AG55</f>
        <v>0</v>
      </c>
      <c r="AJ55" s="1908">
        <f>'Malaria-Equipment &amp; Other HPs'!$T55+'Malaria-Equipment &amp; Other HPs'!$AA55+'Malaria-Equipment &amp; Other HPs'!$AH55</f>
        <v>0</v>
      </c>
      <c r="AK55" s="1446" t="str">
        <f>IF(A55&lt;&gt;"",IFERROR(INDEX(PMtbl[[WKst]:[Unit of measure*]],MATCH($A$36&amp;$A55&amp;$E55&amp;$I55,INDEX(PMtbl[Sec]&amp;PMtbl[Category]&amp;PMtbl[INN]&amp;PMtbl[Specification],0,),0),7),""),"")</f>
        <v/>
      </c>
      <c r="AL55" s="957"/>
      <c r="AM55" s="1520" t="str">
        <f>IFERROR(INDEX(SETUP!$C$19:$G$62,MATCH((INDEX(PMtbl[[WKst]:[Unit of measure*]],MATCH($A55&amp;$E55&amp;$I55,INDEX(PMtbl[Category]&amp;PMtbl[INN]&amp;PMtbl[Specification],0,),0),3)),SETUP!$D$19:$D$62,0),5),"")</f>
        <v/>
      </c>
      <c r="AN55" s="1900"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62" s="198" customFormat="1" ht="15" thickBot="1">
      <c r="A56" s="3037"/>
      <c r="B56" s="3037"/>
      <c r="C56" s="3037"/>
      <c r="D56" s="3038"/>
      <c r="E56" s="3009"/>
      <c r="F56" s="3010"/>
      <c r="G56" s="3010"/>
      <c r="H56" s="3011"/>
      <c r="I56" s="3061"/>
      <c r="J56" s="3062"/>
      <c r="K56" s="3063"/>
      <c r="L56" s="261" t="str">
        <f>IF(A56&lt;&gt;"",IFERROR(INDEX(PMtbl[[WKst]:[Unit of measure*]],MATCH($A$36&amp;$A56&amp;$E56&amp;$I56,INDEX(PMtbl[Sec]&amp;PMtbl[Category]&amp;PMtbl[INN]&amp;PMtbl[Specification],0,),0),8),""),"")</f>
        <v/>
      </c>
      <c r="M56" s="262" t="str">
        <f>IF(L56="", "",SETUP!$E$5)</f>
        <v/>
      </c>
      <c r="N56" s="1986"/>
      <c r="O56" s="1987"/>
      <c r="P56" s="1987"/>
      <c r="Q56" s="1987"/>
      <c r="R56" s="1987"/>
      <c r="S56" s="1911">
        <f>SUM('Malaria-Equipment &amp; Other HPs'!$O56:$R56)</f>
        <v>0</v>
      </c>
      <c r="T56" s="1912">
        <f>'Malaria-Equipment &amp; Other HPs'!$N56*'Malaria-Equipment &amp; Other HPs'!$S56</f>
        <v>0</v>
      </c>
      <c r="U56" s="1989"/>
      <c r="V56" s="1987"/>
      <c r="W56" s="1987"/>
      <c r="X56" s="1987"/>
      <c r="Y56" s="1987"/>
      <c r="Z56" s="1911">
        <f>SUM('Malaria-Equipment &amp; Other HPs'!$V56:$Y56)</f>
        <v>0</v>
      </c>
      <c r="AA56" s="1912">
        <f>'Malaria-Equipment &amp; Other HPs'!$U56*'Malaria-Equipment &amp; Other HPs'!$Z56</f>
        <v>0</v>
      </c>
      <c r="AB56" s="1986"/>
      <c r="AC56" s="1987"/>
      <c r="AD56" s="1987"/>
      <c r="AE56" s="1987"/>
      <c r="AF56" s="1987"/>
      <c r="AG56" s="1911">
        <f>SUM('Malaria-Equipment &amp; Other HPs'!$AC56:$AF56)</f>
        <v>0</v>
      </c>
      <c r="AH56" s="1912">
        <f>'Malaria-Equipment &amp; Other HPs'!$AB56*'Malaria-Equipment &amp; Other HPs'!$AG56</f>
        <v>0</v>
      </c>
      <c r="AI56" s="1913">
        <f>'Malaria-Equipment &amp; Other HPs'!$S56+'Malaria-Equipment &amp; Other HPs'!$Z56+'Malaria-Equipment &amp; Other HPs'!$AG56</f>
        <v>0</v>
      </c>
      <c r="AJ56" s="1914">
        <f>'Malaria-Equipment &amp; Other HPs'!$T56+'Malaria-Equipment &amp; Other HPs'!$AA56+'Malaria-Equipment &amp; Other HPs'!$AH56</f>
        <v>0</v>
      </c>
      <c r="AK56" s="1447" t="str">
        <f>IF(A56&lt;&gt;"",IFERROR(INDEX(PMtbl[[WKst]:[Unit of measure*]],MATCH($A$36&amp;$A56&amp;$E56&amp;$I56,INDEX(PMtbl[Sec]&amp;PMtbl[Category]&amp;PMtbl[INN]&amp;PMtbl[Specification],0,),0),7),""),"")</f>
        <v/>
      </c>
      <c r="AL56" s="955"/>
      <c r="AM56" s="1521" t="str">
        <f>IFERROR(INDEX(SETUP!$C$19:$G$62,MATCH((INDEX(PMtbl[[WKst]:[Unit of measure*]],MATCH($A56&amp;$E56&amp;$I56,INDEX(PMtbl[Category]&amp;PMtbl[INN]&amp;PMtbl[Specification],0,),0),3)),SETUP!$D$19:$D$62,0),5),"")</f>
        <v/>
      </c>
      <c r="AN56" s="1901"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62" ht="15" thickBot="1">
      <c r="A57" s="186"/>
      <c r="B57" s="186"/>
      <c r="C57" s="186"/>
      <c r="D57" s="186"/>
      <c r="E57" s="186"/>
      <c r="F57" s="186"/>
      <c r="G57" s="186"/>
      <c r="H57" s="63"/>
      <c r="I57" s="63"/>
      <c r="J57" s="63"/>
      <c r="K57" s="63"/>
      <c r="L57" s="63"/>
      <c r="M57" s="63"/>
      <c r="N57" s="861"/>
      <c r="O57" s="197"/>
      <c r="P57" s="197"/>
      <c r="Q57" s="197"/>
      <c r="R57" s="197"/>
      <c r="S57" s="197"/>
      <c r="T57" s="861"/>
      <c r="U57" s="861"/>
      <c r="V57" s="197"/>
      <c r="W57" s="197"/>
      <c r="X57" s="197"/>
      <c r="Y57" s="197"/>
      <c r="Z57" s="197"/>
      <c r="AA57" s="861"/>
      <c r="AB57" s="861"/>
      <c r="AC57" s="197"/>
      <c r="AD57" s="197"/>
      <c r="AE57" s="197"/>
      <c r="AF57" s="197"/>
      <c r="AG57" s="197"/>
      <c r="AH57" s="778"/>
      <c r="AI57" s="896"/>
      <c r="AU57" s="198"/>
      <c r="AV57" s="198"/>
      <c r="BJ57" s="198"/>
    </row>
    <row r="58" spans="1:62" ht="19.5" customHeight="1" thickBot="1">
      <c r="A58" s="2960">
        <v>3</v>
      </c>
      <c r="B58" s="2986" t="s">
        <v>425</v>
      </c>
      <c r="C58" s="2986"/>
      <c r="D58" s="2986"/>
      <c r="E58" s="2986"/>
      <c r="F58" s="2988" t="s">
        <v>426</v>
      </c>
      <c r="G58" s="2989"/>
      <c r="H58" s="2864" t="s">
        <v>423</v>
      </c>
      <c r="I58" s="2867" t="s">
        <v>419</v>
      </c>
      <c r="J58" s="2864" t="s">
        <v>2532</v>
      </c>
      <c r="K58"/>
      <c r="L58"/>
      <c r="M58" s="78"/>
      <c r="N58" s="767"/>
      <c r="O58" s="868"/>
      <c r="P58" s="868"/>
      <c r="Q58" s="868"/>
      <c r="R58" s="868"/>
      <c r="S58" s="868"/>
      <c r="T58" s="767"/>
      <c r="U58" s="767"/>
      <c r="V58" s="868"/>
      <c r="W58" s="868"/>
      <c r="X58" s="868"/>
      <c r="Y58" s="868"/>
      <c r="Z58" s="868"/>
      <c r="AA58" s="767"/>
      <c r="AB58" s="767"/>
      <c r="AC58" s="868"/>
      <c r="AD58" s="868"/>
      <c r="AE58" s="868"/>
      <c r="AF58" s="868"/>
      <c r="AG58" s="868"/>
      <c r="AH58" s="767"/>
      <c r="AI58" s="875"/>
    </row>
    <row r="59" spans="1:62" ht="22.15" customHeight="1" thickBot="1">
      <c r="A59" s="2961"/>
      <c r="B59" s="2987"/>
      <c r="C59" s="2987"/>
      <c r="D59" s="2987"/>
      <c r="E59" s="2987"/>
      <c r="F59" s="3045" t="s">
        <v>427</v>
      </c>
      <c r="G59" s="3046"/>
      <c r="H59" s="3043"/>
      <c r="I59" s="3044"/>
      <c r="J59" s="3043"/>
      <c r="K59"/>
      <c r="L59"/>
      <c r="M59" s="78"/>
      <c r="N59" s="767"/>
      <c r="O59" s="868"/>
      <c r="P59" s="868"/>
      <c r="Q59" s="868"/>
      <c r="R59" s="868"/>
      <c r="S59" s="868"/>
      <c r="T59" s="767"/>
      <c r="U59" s="767"/>
      <c r="V59" s="868"/>
      <c r="W59" s="868"/>
      <c r="X59" s="868"/>
      <c r="Y59" s="868"/>
      <c r="Z59" s="868"/>
      <c r="AA59" s="767"/>
      <c r="AB59" s="767"/>
      <c r="AC59" s="868"/>
      <c r="AD59" s="868"/>
      <c r="AE59" s="868"/>
      <c r="AF59" s="868"/>
      <c r="AG59" s="868"/>
      <c r="AH59" s="767"/>
      <c r="AI59" s="868"/>
    </row>
    <row r="60" spans="1:62" ht="105" customHeight="1">
      <c r="A60" s="2348" t="str">
        <f>IF($L$1=2,Language!$E$725,IF($L$1=3,Language!$F$725,Language!$G$725))</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0" s="2349"/>
      <c r="C60" s="2349"/>
      <c r="D60" s="2349"/>
      <c r="E60" s="2349"/>
      <c r="F60" s="2349"/>
      <c r="G60" s="2349"/>
      <c r="H60" s="2349"/>
      <c r="I60" s="2349"/>
      <c r="J60" s="2349"/>
      <c r="K60" s="2349"/>
      <c r="L60" s="2349"/>
      <c r="M60" s="2350"/>
      <c r="N60" s="767"/>
      <c r="O60" s="868"/>
      <c r="P60" s="868"/>
      <c r="Q60" s="868"/>
      <c r="R60" s="868"/>
      <c r="S60" s="868"/>
      <c r="T60" s="767"/>
      <c r="U60" s="767"/>
      <c r="V60" s="868"/>
      <c r="W60" s="868"/>
      <c r="X60" s="868"/>
      <c r="Y60" s="868"/>
      <c r="Z60" s="868"/>
      <c r="AA60" s="767"/>
      <c r="AB60" s="767"/>
      <c r="AC60" s="868"/>
      <c r="AD60" s="868"/>
      <c r="AE60" s="868"/>
      <c r="AF60" s="868"/>
      <c r="AG60" s="868"/>
      <c r="AH60" s="849"/>
      <c r="AI60" s="868"/>
    </row>
    <row r="61" spans="1:62" ht="15" thickBot="1">
      <c r="A61" s="96"/>
      <c r="B61" s="96"/>
      <c r="C61" s="1506"/>
      <c r="D61" s="96"/>
      <c r="E61" s="96"/>
      <c r="F61" s="116"/>
      <c r="G61" s="96"/>
      <c r="H61" s="96"/>
      <c r="I61" s="96"/>
      <c r="J61" s="266"/>
      <c r="K61" s="96"/>
      <c r="L61" s="96"/>
      <c r="M61" s="96"/>
      <c r="N61" s="890"/>
      <c r="O61" s="897"/>
      <c r="P61" s="897"/>
      <c r="Q61" s="897"/>
      <c r="R61" s="897"/>
      <c r="S61" s="897"/>
      <c r="T61" s="890"/>
      <c r="U61" s="890"/>
      <c r="V61" s="897"/>
      <c r="W61" s="897"/>
      <c r="X61" s="897"/>
      <c r="Y61" s="897"/>
      <c r="Z61" s="897"/>
      <c r="AA61" s="890"/>
      <c r="AB61" s="890"/>
      <c r="AC61" s="897"/>
      <c r="AD61" s="897"/>
      <c r="AE61" s="897"/>
      <c r="AF61" s="897"/>
      <c r="AG61" s="897"/>
      <c r="AH61" s="867"/>
      <c r="AI61" s="897"/>
    </row>
    <row r="62" spans="1:62" ht="15" customHeight="1">
      <c r="A62" s="2968" t="str">
        <f>A40</f>
        <v>Categoría</v>
      </c>
      <c r="B62" s="2966"/>
      <c r="C62" s="2966"/>
      <c r="D62" s="2969"/>
      <c r="E62" s="2968" t="str">
        <f>E40</f>
        <v>Tipo de producto</v>
      </c>
      <c r="F62" s="2966"/>
      <c r="G62" s="2966"/>
      <c r="H62" s="2969"/>
      <c r="I62" s="2973" t="str">
        <f>I40</f>
        <v xml:space="preserve">Especificaciones (denominación, características técnicas, tamaño del empaque) </v>
      </c>
      <c r="J62" s="2973"/>
      <c r="K62" s="2974"/>
      <c r="L62" s="3047" t="str">
        <f>L40</f>
        <v>Unidad de medida</v>
      </c>
      <c r="M62" s="3047" t="str">
        <f>M40</f>
        <v>Moneda de pago</v>
      </c>
      <c r="N62" s="3078">
        <f>N12</f>
        <v>2022</v>
      </c>
      <c r="O62" s="3079"/>
      <c r="P62" s="3079"/>
      <c r="Q62" s="3079"/>
      <c r="R62" s="3079"/>
      <c r="S62" s="3079"/>
      <c r="T62" s="3080"/>
      <c r="U62" s="3007">
        <f>U12</f>
        <v>2023</v>
      </c>
      <c r="V62" s="3007"/>
      <c r="W62" s="3007"/>
      <c r="X62" s="3007"/>
      <c r="Y62" s="3007"/>
      <c r="Z62" s="3007"/>
      <c r="AA62" s="3076"/>
      <c r="AB62" s="3077">
        <f>AB12</f>
        <v>2024</v>
      </c>
      <c r="AC62" s="3007"/>
      <c r="AD62" s="3007"/>
      <c r="AE62" s="3007"/>
      <c r="AF62" s="3007"/>
      <c r="AG62" s="3007"/>
      <c r="AH62" s="3076"/>
      <c r="AI62" s="3074" t="str">
        <f>AI40</f>
        <v>Total del período de subvención</v>
      </c>
      <c r="AJ62" s="3075"/>
      <c r="AK62" s="490" t="str">
        <f>AK40</f>
        <v>Finanzas</v>
      </c>
      <c r="AL62" s="3109" t="str">
        <f>AL40</f>
        <v>Comentarios</v>
      </c>
      <c r="AM62" s="3026" t="str">
        <f>AM40</f>
        <v>Plazo de entrega</v>
      </c>
      <c r="AN62" s="3026" t="s">
        <v>3054</v>
      </c>
    </row>
    <row r="63" spans="1:62" s="325" customFormat="1" ht="26.5" thickBot="1">
      <c r="A63" s="3030"/>
      <c r="B63" s="3014"/>
      <c r="C63" s="3014"/>
      <c r="D63" s="3031"/>
      <c r="E63" s="3030"/>
      <c r="F63" s="3014"/>
      <c r="G63" s="3014"/>
      <c r="H63" s="3031"/>
      <c r="I63" s="2976"/>
      <c r="J63" s="2976"/>
      <c r="K63" s="2977"/>
      <c r="L63" s="3048"/>
      <c r="M63" s="3048"/>
      <c r="N63" s="1874" t="str">
        <f>N41</f>
        <v>Costo unitario del A1</v>
      </c>
      <c r="O63" s="1875" t="str">
        <f t="shared" ref="O63:AK63" si="60">O41</f>
        <v>Cantidad del A1, T1</v>
      </c>
      <c r="P63" s="1875" t="str">
        <f t="shared" si="60"/>
        <v>Cantidad del A1, T2</v>
      </c>
      <c r="Q63" s="1875" t="str">
        <f t="shared" si="60"/>
        <v>Cantidad del A1, T3</v>
      </c>
      <c r="R63" s="1875" t="str">
        <f t="shared" si="60"/>
        <v>Cantidad del A1, T4</v>
      </c>
      <c r="S63" s="1875" t="str">
        <f t="shared" si="60"/>
        <v>Cantidad total del A1</v>
      </c>
      <c r="T63" s="1876" t="str">
        <f t="shared" si="60"/>
        <v>Costo total del A1</v>
      </c>
      <c r="U63" s="1877" t="str">
        <f t="shared" si="60"/>
        <v>Costo unitario del A2</v>
      </c>
      <c r="V63" s="1875" t="str">
        <f t="shared" si="60"/>
        <v>Cantidad del A2, T1</v>
      </c>
      <c r="W63" s="1875" t="str">
        <f t="shared" si="60"/>
        <v>Cantidad del A2, T2</v>
      </c>
      <c r="X63" s="1875" t="str">
        <f t="shared" si="60"/>
        <v>Cantidad del A2, T3</v>
      </c>
      <c r="Y63" s="1875" t="str">
        <f t="shared" si="60"/>
        <v>Cantidad del A2, T4</v>
      </c>
      <c r="Z63" s="1875" t="str">
        <f t="shared" si="60"/>
        <v>Cantidad total del A2</v>
      </c>
      <c r="AA63" s="1876" t="str">
        <f t="shared" si="60"/>
        <v>Costo total del A2</v>
      </c>
      <c r="AB63" s="1874" t="str">
        <f t="shared" si="60"/>
        <v>Costo unitario del A3</v>
      </c>
      <c r="AC63" s="1875" t="str">
        <f t="shared" si="60"/>
        <v>Cantidad del A3, T1</v>
      </c>
      <c r="AD63" s="1875" t="str">
        <f t="shared" si="60"/>
        <v>Cantidad del A3, T2</v>
      </c>
      <c r="AE63" s="1875" t="str">
        <f t="shared" si="60"/>
        <v>Cantidad del A3, T3</v>
      </c>
      <c r="AF63" s="1875" t="str">
        <f t="shared" si="60"/>
        <v>Cantidad del A3, T4</v>
      </c>
      <c r="AG63" s="1875" t="str">
        <f t="shared" si="60"/>
        <v>Cantidad total del A3</v>
      </c>
      <c r="AH63" s="1876" t="str">
        <f t="shared" si="60"/>
        <v>Costo total del A3</v>
      </c>
      <c r="AI63" s="1878" t="str">
        <f t="shared" si="60"/>
        <v>Cantidad total</v>
      </c>
      <c r="AJ63" s="1876" t="str">
        <f t="shared" si="60"/>
        <v xml:space="preserve">Costo total </v>
      </c>
      <c r="AK63" s="1902" t="str">
        <f t="shared" si="60"/>
        <v>Categoría de costos</v>
      </c>
      <c r="AL63" s="3110"/>
      <c r="AM63" s="3027"/>
      <c r="AN63" s="3027"/>
      <c r="AU63" s="62"/>
      <c r="AV63" s="62"/>
      <c r="BJ63" s="62"/>
    </row>
    <row r="64" spans="1:62" s="326" customFormat="1">
      <c r="A64" s="2957"/>
      <c r="B64" s="2957"/>
      <c r="C64" s="2957"/>
      <c r="D64" s="2958"/>
      <c r="E64" s="2950"/>
      <c r="F64" s="2951"/>
      <c r="G64" s="2951"/>
      <c r="H64" s="2951"/>
      <c r="I64" s="2983"/>
      <c r="J64" s="2984"/>
      <c r="K64" s="2985"/>
      <c r="L64" s="254" t="str">
        <f>IF(A64&lt;&gt;"",IFERROR(INDEX(PMtbl[[WKst]:[Unit of measure*]],MATCH($A$58&amp;$A64&amp;$E64&amp;$I64,INDEX(PMtbl[Sec]&amp;PMtbl[Category]&amp;PMtbl[INN]&amp;PMtbl[Specification],0,),0),8),""),"")</f>
        <v/>
      </c>
      <c r="M64" s="254" t="str">
        <f>IF(L64="", "",SETUP!$E$5)</f>
        <v/>
      </c>
      <c r="N64" s="1973"/>
      <c r="O64" s="1974"/>
      <c r="P64" s="1974"/>
      <c r="Q64" s="1974"/>
      <c r="R64" s="1974"/>
      <c r="S64" s="1879">
        <f>SUM('Malaria-Equipment &amp; Other HPs'!$O64:$R64)</f>
        <v>0</v>
      </c>
      <c r="T64" s="1880">
        <f>'Malaria-Equipment &amp; Other HPs'!$N64*'Malaria-Equipment &amp; Other HPs'!$S64</f>
        <v>0</v>
      </c>
      <c r="U64" s="1980"/>
      <c r="V64" s="1974"/>
      <c r="W64" s="1974"/>
      <c r="X64" s="1974"/>
      <c r="Y64" s="1974"/>
      <c r="Z64" s="1879">
        <f>SUM('Malaria-Equipment &amp; Other HPs'!$V64:$Y64)</f>
        <v>0</v>
      </c>
      <c r="AA64" s="1880">
        <f>'Malaria-Equipment &amp; Other HPs'!$U64*'Malaria-Equipment &amp; Other HPs'!$Z64</f>
        <v>0</v>
      </c>
      <c r="AB64" s="1973"/>
      <c r="AC64" s="1974"/>
      <c r="AD64" s="1974"/>
      <c r="AE64" s="1974"/>
      <c r="AF64" s="1974"/>
      <c r="AG64" s="1879">
        <f>SUM('Malaria-Equipment &amp; Other HPs'!$AC64:$AF64)</f>
        <v>0</v>
      </c>
      <c r="AH64" s="1880">
        <f>'Malaria-Equipment &amp; Other HPs'!$AB64*'Malaria-Equipment &amp; Other HPs'!$AG64</f>
        <v>0</v>
      </c>
      <c r="AI64" s="1881">
        <f>'Malaria-Equipment &amp; Other HPs'!$S64+'Malaria-Equipment &amp; Other HPs'!$Z64+'Malaria-Equipment &amp; Other HPs'!$AG64</f>
        <v>0</v>
      </c>
      <c r="AJ64" s="1880">
        <f>'Malaria-Equipment &amp; Other HPs'!$T64+'Malaria-Equipment &amp; Other HPs'!$AA64+'Malaria-Equipment &amp; Other HPs'!$AH64</f>
        <v>0</v>
      </c>
      <c r="AK64" s="1915" t="str">
        <f>IF(A64&lt;&gt;"",IFERROR(INDEX(PMtbl[[WKst]:[Unit of measure*]],MATCH($A$58&amp;$A64&amp;$E64&amp;$I64,INDEX(PMtbl[Sec]&amp;PMtbl[Category]&amp;PMtbl[INN]&amp;PMtbl[Specification],0,),0),7),""),"")</f>
        <v/>
      </c>
      <c r="AL64" s="956"/>
      <c r="AM64" s="1518" t="str">
        <f>IFERROR(INDEX(SETUP!$C$19:$G$62,MATCH((INDEX(PMtbl[[WKst]:[Unit of measure*]],MATCH($A64&amp;$E64&amp;$I64,INDEX(PMtbl[Category]&amp;PMtbl[INN]&amp;PMtbl[Specification],0,),0),3)),SETUP!$D$19:$D$62,0),5),"")</f>
        <v/>
      </c>
      <c r="AN64" s="1449"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c r="AS64" s="1448"/>
      <c r="AU64" s="325"/>
      <c r="AV64" s="325"/>
      <c r="BJ64" s="325"/>
    </row>
    <row r="65" spans="1:62" s="198" customFormat="1">
      <c r="A65" s="2955"/>
      <c r="B65" s="2955"/>
      <c r="C65" s="2955"/>
      <c r="D65" s="2956"/>
      <c r="E65" s="3042"/>
      <c r="F65" s="2435"/>
      <c r="G65" s="2435"/>
      <c r="H65" s="2435"/>
      <c r="I65" s="3042"/>
      <c r="J65" s="2435"/>
      <c r="K65" s="3049"/>
      <c r="L65" s="253" t="str">
        <f>IF(A65&lt;&gt;"",IFERROR(INDEX(PMtbl[[WKst]:[Unit of measure*]],MATCH($A$58&amp;$A65&amp;$E65&amp;$I65,INDEX(PMtbl[Sec]&amp;PMtbl[Category]&amp;PMtbl[INN]&amp;PMtbl[Specification],0,),0),8),""),"")</f>
        <v/>
      </c>
      <c r="M65" s="255" t="str">
        <f>IF(L65="", "",SETUP!$E$5)</f>
        <v/>
      </c>
      <c r="N65" s="1975"/>
      <c r="O65" s="12"/>
      <c r="P65" s="12"/>
      <c r="Q65" s="12"/>
      <c r="R65" s="12"/>
      <c r="S65" s="1883">
        <f>SUM('Malaria-Equipment &amp; Other HPs'!$O65:$R65)</f>
        <v>0</v>
      </c>
      <c r="T65" s="1884">
        <f>'Malaria-Equipment &amp; Other HPs'!$N65*'Malaria-Equipment &amp; Other HPs'!$S65</f>
        <v>0</v>
      </c>
      <c r="U65" s="1981"/>
      <c r="V65" s="12"/>
      <c r="W65" s="12"/>
      <c r="X65" s="12"/>
      <c r="Y65" s="12"/>
      <c r="Z65" s="1883">
        <f>SUM('Malaria-Equipment &amp; Other HPs'!$V65:$Y65)</f>
        <v>0</v>
      </c>
      <c r="AA65" s="1884">
        <f>'Malaria-Equipment &amp; Other HPs'!$U65*'Malaria-Equipment &amp; Other HPs'!$Z65</f>
        <v>0</v>
      </c>
      <c r="AB65" s="1975"/>
      <c r="AC65" s="12"/>
      <c r="AD65" s="12"/>
      <c r="AE65" s="12"/>
      <c r="AF65" s="12"/>
      <c r="AG65" s="1883">
        <f>SUM('Malaria-Equipment &amp; Other HPs'!$AC65:$AF65)</f>
        <v>0</v>
      </c>
      <c r="AH65" s="1884">
        <f>'Malaria-Equipment &amp; Other HPs'!$AB65*'Malaria-Equipment &amp; Other HPs'!$AG65</f>
        <v>0</v>
      </c>
      <c r="AI65" s="1885">
        <f>'Malaria-Equipment &amp; Other HPs'!$S65+'Malaria-Equipment &amp; Other HPs'!$Z65+'Malaria-Equipment &amp; Other HPs'!$AG65</f>
        <v>0</v>
      </c>
      <c r="AJ65" s="1884">
        <f>'Malaria-Equipment &amp; Other HPs'!$T65+'Malaria-Equipment &amp; Other HPs'!$AA65+'Malaria-Equipment &amp; Other HPs'!$AH65</f>
        <v>0</v>
      </c>
      <c r="AK65" s="1916" t="str">
        <f>IF(A65&lt;&gt;"",IFERROR(INDEX(PMtbl[[WKst]:[Unit of measure*]],MATCH($A$58&amp;$A65&amp;$E65&amp;$I65,INDEX(PMtbl[Sec]&amp;PMtbl[Category]&amp;PMtbl[INN]&amp;PMtbl[Specification],0,),0),7),""),"")</f>
        <v/>
      </c>
      <c r="AL65" s="957"/>
      <c r="AM65" s="1517" t="str">
        <f>IFERROR(INDEX(SETUP!$C$19:$G$62,MATCH((INDEX(PMtbl[[WKst]:[Unit of measure*]],MATCH($A65&amp;$E65&amp;$I65,INDEX(PMtbl[Category]&amp;PMtbl[INN]&amp;PMtbl[Specification],0,),0),3)),SETUP!$D$19:$D$62,0),5),"")</f>
        <v/>
      </c>
      <c r="AN65" s="145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c r="AQ65" s="326"/>
      <c r="AR65" s="326"/>
      <c r="AU65" s="326"/>
      <c r="AV65" s="326"/>
      <c r="BJ65" s="326"/>
    </row>
    <row r="66" spans="1:62" s="198" customFormat="1">
      <c r="A66" s="2957"/>
      <c r="B66" s="2957"/>
      <c r="C66" s="2957"/>
      <c r="D66" s="2958"/>
      <c r="E66" s="2950"/>
      <c r="F66" s="2951"/>
      <c r="G66" s="2951"/>
      <c r="H66" s="2951"/>
      <c r="I66" s="2950"/>
      <c r="J66" s="2951"/>
      <c r="K66" s="2952"/>
      <c r="L66" s="254" t="str">
        <f>IF(A66&lt;&gt;"",IFERROR(INDEX(PMtbl[[WKst]:[Unit of measure*]],MATCH($A$58&amp;$A66&amp;$E66&amp;$I66,INDEX(PMtbl[Sec]&amp;PMtbl[Category]&amp;PMtbl[INN]&amp;PMtbl[Specification],0,),0),8),""),"")</f>
        <v/>
      </c>
      <c r="M66" s="254" t="str">
        <f>IF(L66="", "",SETUP!$E$5)</f>
        <v/>
      </c>
      <c r="N66" s="1976"/>
      <c r="O66" s="1977"/>
      <c r="P66" s="1977"/>
      <c r="Q66" s="1977"/>
      <c r="R66" s="1977"/>
      <c r="S66" s="1887">
        <f>SUM('Malaria-Equipment &amp; Other HPs'!$O66:$R66)</f>
        <v>0</v>
      </c>
      <c r="T66" s="1888">
        <f>'Malaria-Equipment &amp; Other HPs'!$N66*'Malaria-Equipment &amp; Other HPs'!$S66</f>
        <v>0</v>
      </c>
      <c r="U66" s="1982"/>
      <c r="V66" s="1977"/>
      <c r="W66" s="1977"/>
      <c r="X66" s="1977"/>
      <c r="Y66" s="1977"/>
      <c r="Z66" s="1887">
        <f>SUM('Malaria-Equipment &amp; Other HPs'!$V66:$Y66)</f>
        <v>0</v>
      </c>
      <c r="AA66" s="1888">
        <f>'Malaria-Equipment &amp; Other HPs'!$U66*'Malaria-Equipment &amp; Other HPs'!$Z66</f>
        <v>0</v>
      </c>
      <c r="AB66" s="1976"/>
      <c r="AC66" s="1977"/>
      <c r="AD66" s="1977"/>
      <c r="AE66" s="1977"/>
      <c r="AF66" s="1977"/>
      <c r="AG66" s="1887">
        <f>SUM('Malaria-Equipment &amp; Other HPs'!$AC66:$AF66)</f>
        <v>0</v>
      </c>
      <c r="AH66" s="1888">
        <f>'Malaria-Equipment &amp; Other HPs'!$AB66*'Malaria-Equipment &amp; Other HPs'!$AG66</f>
        <v>0</v>
      </c>
      <c r="AI66" s="1889">
        <f>'Malaria-Equipment &amp; Other HPs'!$S66+'Malaria-Equipment &amp; Other HPs'!$Z66+'Malaria-Equipment &amp; Other HPs'!$AG66</f>
        <v>0</v>
      </c>
      <c r="AJ66" s="1888">
        <f>'Malaria-Equipment &amp; Other HPs'!$T66+'Malaria-Equipment &amp; Other HPs'!$AA66+'Malaria-Equipment &amp; Other HPs'!$AH66</f>
        <v>0</v>
      </c>
      <c r="AK66" s="1917" t="str">
        <f>IF(A66&lt;&gt;"",IFERROR(INDEX(PMtbl[[WKst]:[Unit of measure*]],MATCH($A$58&amp;$A66&amp;$E66&amp;$I66,INDEX(PMtbl[Sec]&amp;PMtbl[Category]&amp;PMtbl[INN]&amp;PMtbl[Specification],0,),0),7),""),"")</f>
        <v/>
      </c>
      <c r="AL66" s="956"/>
      <c r="AM66" s="1518" t="str">
        <f>IFERROR(INDEX(SETUP!$C$19:$G$62,MATCH((INDEX(PMtbl[[WKst]:[Unit of measure*]],MATCH($A66&amp;$E66&amp;$I66,INDEX(PMtbl[Category]&amp;PMtbl[INN]&amp;PMtbl[Specification],0,),0),3)),SETUP!$D$19:$D$62,0),5),"")</f>
        <v/>
      </c>
      <c r="AN66" s="1449"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c r="AQ66" s="326"/>
      <c r="AR66" s="326"/>
    </row>
    <row r="67" spans="1:62" s="198" customFormat="1">
      <c r="A67" s="2955"/>
      <c r="B67" s="2955"/>
      <c r="C67" s="2955"/>
      <c r="D67" s="2956"/>
      <c r="E67" s="3042"/>
      <c r="F67" s="2435"/>
      <c r="G67" s="2435"/>
      <c r="H67" s="2435"/>
      <c r="I67" s="3042"/>
      <c r="J67" s="2435"/>
      <c r="K67" s="3049"/>
      <c r="L67" s="253" t="str">
        <f>IF(A67&lt;&gt;"",IFERROR(INDEX(PMtbl[[WKst]:[Unit of measure*]],MATCH($A$58&amp;$A67&amp;$E67&amp;$I67,INDEX(PMtbl[Sec]&amp;PMtbl[Category]&amp;PMtbl[INN]&amp;PMtbl[Specification],0,),0),8),""),"")</f>
        <v/>
      </c>
      <c r="M67" s="255" t="str">
        <f>IF(L67="", "",SETUP!$E$5)</f>
        <v/>
      </c>
      <c r="N67" s="1975"/>
      <c r="O67" s="12"/>
      <c r="P67" s="12"/>
      <c r="Q67" s="12"/>
      <c r="R67" s="12"/>
      <c r="S67" s="1883">
        <f>SUM('Malaria-Equipment &amp; Other HPs'!$O67:$R67)</f>
        <v>0</v>
      </c>
      <c r="T67" s="1884">
        <f>'Malaria-Equipment &amp; Other HPs'!$N67*'Malaria-Equipment &amp; Other HPs'!$S67</f>
        <v>0</v>
      </c>
      <c r="U67" s="1981"/>
      <c r="V67" s="12"/>
      <c r="W67" s="12"/>
      <c r="X67" s="12"/>
      <c r="Y67" s="12"/>
      <c r="Z67" s="1883">
        <f>SUM('Malaria-Equipment &amp; Other HPs'!$V67:$Y67)</f>
        <v>0</v>
      </c>
      <c r="AA67" s="1884">
        <f>'Malaria-Equipment &amp; Other HPs'!$U67*'Malaria-Equipment &amp; Other HPs'!$Z67</f>
        <v>0</v>
      </c>
      <c r="AB67" s="1975"/>
      <c r="AC67" s="12"/>
      <c r="AD67" s="12"/>
      <c r="AE67" s="12"/>
      <c r="AF67" s="12"/>
      <c r="AG67" s="1883">
        <f>SUM('Malaria-Equipment &amp; Other HPs'!$AC67:$AF67)</f>
        <v>0</v>
      </c>
      <c r="AH67" s="1884">
        <f>'Malaria-Equipment &amp; Other HPs'!$AB67*'Malaria-Equipment &amp; Other HPs'!$AG67</f>
        <v>0</v>
      </c>
      <c r="AI67" s="1885">
        <f>'Malaria-Equipment &amp; Other HPs'!$S67+'Malaria-Equipment &amp; Other HPs'!$Z67+'Malaria-Equipment &amp; Other HPs'!$AG67</f>
        <v>0</v>
      </c>
      <c r="AJ67" s="1884">
        <f>'Malaria-Equipment &amp; Other HPs'!$T67+'Malaria-Equipment &amp; Other HPs'!$AA67+'Malaria-Equipment &amp; Other HPs'!$AH67</f>
        <v>0</v>
      </c>
      <c r="AK67" s="1916" t="str">
        <f>IF(A67&lt;&gt;"",IFERROR(INDEX(PMtbl[[WKst]:[Unit of measure*]],MATCH($A$58&amp;$A67&amp;$E67&amp;$I67,INDEX(PMtbl[Sec]&amp;PMtbl[Category]&amp;PMtbl[INN]&amp;PMtbl[Specification],0,),0),7),""),"")</f>
        <v/>
      </c>
      <c r="AL67" s="957"/>
      <c r="AM67" s="1517" t="str">
        <f>IFERROR(INDEX(SETUP!$C$19:$G$62,MATCH((INDEX(PMtbl[[WKst]:[Unit of measure*]],MATCH($A67&amp;$E67&amp;$I67,INDEX(PMtbl[Category]&amp;PMtbl[INN]&amp;PMtbl[Specification],0,),0),3)),SETUP!$D$19:$D$62,0),5),"")</f>
        <v/>
      </c>
      <c r="AN67" s="145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c r="AQ67" s="326"/>
      <c r="AR67" s="326"/>
    </row>
    <row r="68" spans="1:62" s="198" customFormat="1">
      <c r="A68" s="2957"/>
      <c r="B68" s="2957"/>
      <c r="C68" s="2957"/>
      <c r="D68" s="2958"/>
      <c r="E68" s="2950"/>
      <c r="F68" s="2951"/>
      <c r="G68" s="2951"/>
      <c r="H68" s="2951"/>
      <c r="I68" s="2950"/>
      <c r="J68" s="2951"/>
      <c r="K68" s="2952"/>
      <c r="L68" s="254" t="str">
        <f>IF(A68&lt;&gt;"",IFERROR(INDEX(PMtbl[[WKst]:[Unit of measure*]],MATCH($A$58&amp;$A68&amp;$E68&amp;$I68,INDEX(PMtbl[Sec]&amp;PMtbl[Category]&amp;PMtbl[INN]&amp;PMtbl[Specification],0,),0),8),""),"")</f>
        <v/>
      </c>
      <c r="M68" s="254" t="str">
        <f>IF(L68="", "",SETUP!$E$5)</f>
        <v/>
      </c>
      <c r="N68" s="1976"/>
      <c r="O68" s="1977"/>
      <c r="P68" s="1977"/>
      <c r="Q68" s="1977"/>
      <c r="R68" s="1977"/>
      <c r="S68" s="1887">
        <f>SUM('Malaria-Equipment &amp; Other HPs'!$O68:$R68)</f>
        <v>0</v>
      </c>
      <c r="T68" s="1888">
        <f>'Malaria-Equipment &amp; Other HPs'!$N68*'Malaria-Equipment &amp; Other HPs'!$S68</f>
        <v>0</v>
      </c>
      <c r="U68" s="1982"/>
      <c r="V68" s="1977"/>
      <c r="W68" s="1977"/>
      <c r="X68" s="1977"/>
      <c r="Y68" s="1977"/>
      <c r="Z68" s="1887">
        <f>SUM('Malaria-Equipment &amp; Other HPs'!$V68:$Y68)</f>
        <v>0</v>
      </c>
      <c r="AA68" s="1888">
        <f>'Malaria-Equipment &amp; Other HPs'!$U68*'Malaria-Equipment &amp; Other HPs'!$Z68</f>
        <v>0</v>
      </c>
      <c r="AB68" s="1976"/>
      <c r="AC68" s="1977"/>
      <c r="AD68" s="1977"/>
      <c r="AE68" s="1977"/>
      <c r="AF68" s="1977"/>
      <c r="AG68" s="1887">
        <f>SUM('Malaria-Equipment &amp; Other HPs'!$AC68:$AF68)</f>
        <v>0</v>
      </c>
      <c r="AH68" s="1888">
        <f>'Malaria-Equipment &amp; Other HPs'!$AB68*'Malaria-Equipment &amp; Other HPs'!$AG68</f>
        <v>0</v>
      </c>
      <c r="AI68" s="1889">
        <f>'Malaria-Equipment &amp; Other HPs'!$S68+'Malaria-Equipment &amp; Other HPs'!$Z68+'Malaria-Equipment &amp; Other HPs'!$AG68</f>
        <v>0</v>
      </c>
      <c r="AJ68" s="1888">
        <f>'Malaria-Equipment &amp; Other HPs'!$T68+'Malaria-Equipment &amp; Other HPs'!$AA68+'Malaria-Equipment &amp; Other HPs'!$AH68</f>
        <v>0</v>
      </c>
      <c r="AK68" s="1917" t="str">
        <f>IF(A68&lt;&gt;"",IFERROR(INDEX(PMtbl[[WKst]:[Unit of measure*]],MATCH($A$58&amp;$A68&amp;$E68&amp;$I68,INDEX(PMtbl[Sec]&amp;PMtbl[Category]&amp;PMtbl[INN]&amp;PMtbl[Specification],0,),0),7),""),"")</f>
        <v/>
      </c>
      <c r="AL68" s="956"/>
      <c r="AM68" s="1518" t="str">
        <f>IFERROR(INDEX(SETUP!$C$19:$G$62,MATCH((INDEX(PMtbl[[WKst]:[Unit of measure*]],MATCH($A68&amp;$E68&amp;$I68,INDEX(PMtbl[Category]&amp;PMtbl[INN]&amp;PMtbl[Specification],0,),0),3)),SETUP!$D$19:$D$62,0),5),"")</f>
        <v/>
      </c>
      <c r="AN68" s="1449"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c r="AQ68" s="326"/>
      <c r="AR68" s="326"/>
    </row>
    <row r="69" spans="1:62" s="198" customFormat="1">
      <c r="A69" s="3042"/>
      <c r="B69" s="2435"/>
      <c r="C69" s="2435"/>
      <c r="D69" s="2435"/>
      <c r="E69" s="3042"/>
      <c r="F69" s="2435"/>
      <c r="G69" s="2435"/>
      <c r="H69" s="2435"/>
      <c r="I69" s="3042"/>
      <c r="J69" s="2435"/>
      <c r="K69" s="3049"/>
      <c r="L69" s="253" t="str">
        <f>IF(A69&lt;&gt;"",IFERROR(INDEX(PMtbl[[WKst]:[Unit of measure*]],MATCH($A$58&amp;$A69&amp;$E69&amp;$I69,INDEX(PMtbl[Sec]&amp;PMtbl[Category]&amp;PMtbl[INN]&amp;PMtbl[Specification],0,),0),8),""),"")</f>
        <v/>
      </c>
      <c r="M69" s="255" t="str">
        <f>IF(L69="", "",SETUP!$E$5)</f>
        <v/>
      </c>
      <c r="N69" s="1975"/>
      <c r="O69" s="12"/>
      <c r="P69" s="12"/>
      <c r="Q69" s="12"/>
      <c r="R69" s="12"/>
      <c r="S69" s="1883">
        <f>SUM('Malaria-Equipment &amp; Other HPs'!$O69:$R69)</f>
        <v>0</v>
      </c>
      <c r="T69" s="1884">
        <f>'Malaria-Equipment &amp; Other HPs'!$N69*'Malaria-Equipment &amp; Other HPs'!$S69</f>
        <v>0</v>
      </c>
      <c r="U69" s="1981"/>
      <c r="V69" s="12"/>
      <c r="W69" s="12"/>
      <c r="X69" s="12"/>
      <c r="Y69" s="12"/>
      <c r="Z69" s="1883">
        <f>SUM('Malaria-Equipment &amp; Other HPs'!$V69:$Y69)</f>
        <v>0</v>
      </c>
      <c r="AA69" s="1884">
        <f>'Malaria-Equipment &amp; Other HPs'!$U69*'Malaria-Equipment &amp; Other HPs'!$Z69</f>
        <v>0</v>
      </c>
      <c r="AB69" s="1975"/>
      <c r="AC69" s="12"/>
      <c r="AD69" s="12"/>
      <c r="AE69" s="12"/>
      <c r="AF69" s="12"/>
      <c r="AG69" s="1883">
        <f>SUM('Malaria-Equipment &amp; Other HPs'!$AC69:$AF69)</f>
        <v>0</v>
      </c>
      <c r="AH69" s="1884">
        <f>'Malaria-Equipment &amp; Other HPs'!$AB69*'Malaria-Equipment &amp; Other HPs'!$AG69</f>
        <v>0</v>
      </c>
      <c r="AI69" s="1885">
        <f>'Malaria-Equipment &amp; Other HPs'!$S69+'Malaria-Equipment &amp; Other HPs'!$Z69+'Malaria-Equipment &amp; Other HPs'!$AG69</f>
        <v>0</v>
      </c>
      <c r="AJ69" s="1884">
        <f>'Malaria-Equipment &amp; Other HPs'!$T69+'Malaria-Equipment &amp; Other HPs'!$AA69+'Malaria-Equipment &amp; Other HPs'!$AH69</f>
        <v>0</v>
      </c>
      <c r="AK69" s="1916" t="str">
        <f>IF(A69&lt;&gt;"",IFERROR(INDEX(PMtbl[[WKst]:[Unit of measure*]],MATCH($A$58&amp;$A69&amp;$E69&amp;$I69,INDEX(PMtbl[Sec]&amp;PMtbl[Category]&amp;PMtbl[INN]&amp;PMtbl[Specification],0,),0),7),""),"")</f>
        <v/>
      </c>
      <c r="AL69" s="957"/>
      <c r="AM69" s="1517" t="str">
        <f>IFERROR(INDEX(SETUP!$C$19:$G$62,MATCH((INDEX(PMtbl[[WKst]:[Unit of measure*]],MATCH($A69&amp;$E69&amp;$I69,INDEX(PMtbl[Category]&amp;PMtbl[INN]&amp;PMtbl[Specification],0,),0),3)),SETUP!$D$19:$D$62,0),5),"")</f>
        <v/>
      </c>
      <c r="AN69" s="145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62" s="198" customFormat="1">
      <c r="A70" s="2957"/>
      <c r="B70" s="2957"/>
      <c r="C70" s="2957"/>
      <c r="D70" s="2958"/>
      <c r="E70" s="2950"/>
      <c r="F70" s="2951"/>
      <c r="G70" s="2951"/>
      <c r="H70" s="2951"/>
      <c r="I70" s="2950"/>
      <c r="J70" s="2951"/>
      <c r="K70" s="2952"/>
      <c r="L70" s="254" t="str">
        <f>IF(A70&lt;&gt;"",IFERROR(INDEX(PMtbl[[WKst]:[Unit of measure*]],MATCH($A$58&amp;$A70&amp;$E70&amp;$I70,INDEX(PMtbl[Sec]&amp;PMtbl[Category]&amp;PMtbl[INN]&amp;PMtbl[Specification],0,),0),8),""),"")</f>
        <v/>
      </c>
      <c r="M70" s="254" t="str">
        <f>IF(L70="", "",SETUP!$E$5)</f>
        <v/>
      </c>
      <c r="N70" s="1976"/>
      <c r="O70" s="1977"/>
      <c r="P70" s="1977"/>
      <c r="Q70" s="1977"/>
      <c r="R70" s="1977"/>
      <c r="S70" s="1887">
        <f>SUM('Malaria-Equipment &amp; Other HPs'!$O70:$R70)</f>
        <v>0</v>
      </c>
      <c r="T70" s="1888">
        <f>'Malaria-Equipment &amp; Other HPs'!$N70*'Malaria-Equipment &amp; Other HPs'!$S70</f>
        <v>0</v>
      </c>
      <c r="U70" s="1982"/>
      <c r="V70" s="1977"/>
      <c r="W70" s="1977"/>
      <c r="X70" s="1977"/>
      <c r="Y70" s="1977"/>
      <c r="Z70" s="1887">
        <f>SUM('Malaria-Equipment &amp; Other HPs'!$V70:$Y70)</f>
        <v>0</v>
      </c>
      <c r="AA70" s="1888">
        <f>'Malaria-Equipment &amp; Other HPs'!$U70*'Malaria-Equipment &amp; Other HPs'!$Z70</f>
        <v>0</v>
      </c>
      <c r="AB70" s="1976"/>
      <c r="AC70" s="1977"/>
      <c r="AD70" s="1977"/>
      <c r="AE70" s="1977"/>
      <c r="AF70" s="1977"/>
      <c r="AG70" s="1887">
        <f>SUM('Malaria-Equipment &amp; Other HPs'!$AC70:$AF70)</f>
        <v>0</v>
      </c>
      <c r="AH70" s="1888">
        <f>'Malaria-Equipment &amp; Other HPs'!$AB70*'Malaria-Equipment &amp; Other HPs'!$AG70</f>
        <v>0</v>
      </c>
      <c r="AI70" s="1889">
        <f>'Malaria-Equipment &amp; Other HPs'!$S70+'Malaria-Equipment &amp; Other HPs'!$Z70+'Malaria-Equipment &amp; Other HPs'!$AG70</f>
        <v>0</v>
      </c>
      <c r="AJ70" s="1888">
        <f>'Malaria-Equipment &amp; Other HPs'!$T70+'Malaria-Equipment &amp; Other HPs'!$AA70+'Malaria-Equipment &amp; Other HPs'!$AH70</f>
        <v>0</v>
      </c>
      <c r="AK70" s="1918" t="str">
        <f>IF(A70&lt;&gt;"",IFERROR(INDEX(PMtbl[[WKst]:[Unit of measure*]],MATCH($A$58&amp;$A70&amp;$E70&amp;$I70,INDEX(PMtbl[Sec]&amp;PMtbl[Category]&amp;PMtbl[INN]&amp;PMtbl[Specification],0,),0),7),""),"")</f>
        <v/>
      </c>
      <c r="AL70" s="956"/>
      <c r="AM70" s="1518" t="str">
        <f>IFERROR(INDEX(SETUP!$C$19:$G$62,MATCH((INDEX(PMtbl[[WKst]:[Unit of measure*]],MATCH($A70&amp;$E70&amp;$I70,INDEX(PMtbl[Category]&amp;PMtbl[INN]&amp;PMtbl[Specification],0,),0),3)),SETUP!$D$19:$D$62,0),5),"")</f>
        <v/>
      </c>
      <c r="AN70" s="1449"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62" s="198" customFormat="1">
      <c r="A71" s="2955"/>
      <c r="B71" s="2955"/>
      <c r="C71" s="2955"/>
      <c r="D71" s="2956"/>
      <c r="E71" s="3042"/>
      <c r="F71" s="2435"/>
      <c r="G71" s="2435"/>
      <c r="H71" s="2435"/>
      <c r="I71" s="3042"/>
      <c r="J71" s="2435"/>
      <c r="K71" s="3049"/>
      <c r="L71" s="253" t="str">
        <f>IF(A71&lt;&gt;"",IFERROR(INDEX(PMtbl[[WKst]:[Unit of measure*]],MATCH($A$58&amp;$A71&amp;$E71&amp;$I71,INDEX(PMtbl[Sec]&amp;PMtbl[Category]&amp;PMtbl[INN]&amp;PMtbl[Specification],0,),0),8),""),"")</f>
        <v/>
      </c>
      <c r="M71" s="255" t="str">
        <f>IF(L71="", "",SETUP!$E$5)</f>
        <v/>
      </c>
      <c r="N71" s="1975"/>
      <c r="O71" s="12"/>
      <c r="P71" s="12"/>
      <c r="Q71" s="12"/>
      <c r="R71" s="12"/>
      <c r="S71" s="1883">
        <f>SUM('Malaria-Equipment &amp; Other HPs'!$O71:$R71)</f>
        <v>0</v>
      </c>
      <c r="T71" s="1884">
        <f>'Malaria-Equipment &amp; Other HPs'!$N71*'Malaria-Equipment &amp; Other HPs'!$S71</f>
        <v>0</v>
      </c>
      <c r="U71" s="1981"/>
      <c r="V71" s="12"/>
      <c r="W71" s="12"/>
      <c r="X71" s="12"/>
      <c r="Y71" s="12"/>
      <c r="Z71" s="1883">
        <f>SUM('Malaria-Equipment &amp; Other HPs'!$V71:$Y71)</f>
        <v>0</v>
      </c>
      <c r="AA71" s="1884">
        <f>'Malaria-Equipment &amp; Other HPs'!$U71*'Malaria-Equipment &amp; Other HPs'!$Z71</f>
        <v>0</v>
      </c>
      <c r="AB71" s="1975"/>
      <c r="AC71" s="12"/>
      <c r="AD71" s="12"/>
      <c r="AE71" s="12"/>
      <c r="AF71" s="12"/>
      <c r="AG71" s="1883">
        <f>SUM('Malaria-Equipment &amp; Other HPs'!$AC71:$AF71)</f>
        <v>0</v>
      </c>
      <c r="AH71" s="1884">
        <f>'Malaria-Equipment &amp; Other HPs'!$AB71*'Malaria-Equipment &amp; Other HPs'!$AG71</f>
        <v>0</v>
      </c>
      <c r="AI71" s="1885">
        <f>'Malaria-Equipment &amp; Other HPs'!$S71+'Malaria-Equipment &amp; Other HPs'!$Z71+'Malaria-Equipment &amp; Other HPs'!$AG71</f>
        <v>0</v>
      </c>
      <c r="AJ71" s="1884">
        <f>'Malaria-Equipment &amp; Other HPs'!$T71+'Malaria-Equipment &amp; Other HPs'!$AA71+'Malaria-Equipment &amp; Other HPs'!$AH71</f>
        <v>0</v>
      </c>
      <c r="AK71" s="1919" t="str">
        <f>IF(A71&lt;&gt;"",IFERROR(INDEX(PMtbl[[WKst]:[Unit of measure*]],MATCH($A$58&amp;$A71&amp;$E71&amp;$I71,INDEX(PMtbl[Sec]&amp;PMtbl[Category]&amp;PMtbl[INN]&amp;PMtbl[Specification],0,),0),7),""),"")</f>
        <v/>
      </c>
      <c r="AL71" s="957"/>
      <c r="AM71" s="1517" t="str">
        <f>IFERROR(INDEX(SETUP!$C$19:$G$62,MATCH((INDEX(PMtbl[[WKst]:[Unit of measure*]],MATCH($A71&amp;$E71&amp;$I71,INDEX(PMtbl[Category]&amp;PMtbl[INN]&amp;PMtbl[Specification],0,),0),3)),SETUP!$D$19:$D$62,0),5),"")</f>
        <v/>
      </c>
      <c r="AN71" s="145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62" s="198" customFormat="1">
      <c r="A72" s="2957"/>
      <c r="B72" s="2957"/>
      <c r="C72" s="2957"/>
      <c r="D72" s="2958"/>
      <c r="E72" s="2950"/>
      <c r="F72" s="2951"/>
      <c r="G72" s="2951"/>
      <c r="H72" s="2951"/>
      <c r="I72" s="2950"/>
      <c r="J72" s="2951"/>
      <c r="K72" s="2952"/>
      <c r="L72" s="254" t="str">
        <f>IF(A72&lt;&gt;"",IFERROR(INDEX(PMtbl[[WKst]:[Unit of measure*]],MATCH($A$58&amp;$A72&amp;$E72&amp;$I72,INDEX(PMtbl[Sec]&amp;PMtbl[Category]&amp;PMtbl[INN]&amp;PMtbl[Specification],0,),0),8),""),"")</f>
        <v/>
      </c>
      <c r="M72" s="254" t="str">
        <f>IF(L72="", "",SETUP!$E$5)</f>
        <v/>
      </c>
      <c r="N72" s="1976"/>
      <c r="O72" s="1977"/>
      <c r="P72" s="1977"/>
      <c r="Q72" s="1977"/>
      <c r="R72" s="1977"/>
      <c r="S72" s="1887">
        <f>SUM('Malaria-Equipment &amp; Other HPs'!$O72:$R72)</f>
        <v>0</v>
      </c>
      <c r="T72" s="1888">
        <f>'Malaria-Equipment &amp; Other HPs'!$N72*'Malaria-Equipment &amp; Other HPs'!$S72</f>
        <v>0</v>
      </c>
      <c r="U72" s="1982"/>
      <c r="V72" s="1977"/>
      <c r="W72" s="1977"/>
      <c r="X72" s="1977"/>
      <c r="Y72" s="1977"/>
      <c r="Z72" s="1887">
        <f>SUM('Malaria-Equipment &amp; Other HPs'!$V72:$Y72)</f>
        <v>0</v>
      </c>
      <c r="AA72" s="1888">
        <f>'Malaria-Equipment &amp; Other HPs'!$U72*'Malaria-Equipment &amp; Other HPs'!$Z72</f>
        <v>0</v>
      </c>
      <c r="AB72" s="1976"/>
      <c r="AC72" s="1977"/>
      <c r="AD72" s="1977"/>
      <c r="AE72" s="1977"/>
      <c r="AF72" s="1977"/>
      <c r="AG72" s="1887">
        <f>SUM('Malaria-Equipment &amp; Other HPs'!$AC72:$AF72)</f>
        <v>0</v>
      </c>
      <c r="AH72" s="1888">
        <f>'Malaria-Equipment &amp; Other HPs'!$AB72*'Malaria-Equipment &amp; Other HPs'!$AG72</f>
        <v>0</v>
      </c>
      <c r="AI72" s="1889">
        <f>'Malaria-Equipment &amp; Other HPs'!$S72+'Malaria-Equipment &amp; Other HPs'!$Z72+'Malaria-Equipment &amp; Other HPs'!$AG72</f>
        <v>0</v>
      </c>
      <c r="AJ72" s="1888">
        <f>'Malaria-Equipment &amp; Other HPs'!$T72+'Malaria-Equipment &amp; Other HPs'!$AA72+'Malaria-Equipment &amp; Other HPs'!$AH72</f>
        <v>0</v>
      </c>
      <c r="AK72" s="1918" t="str">
        <f>IF(A72&lt;&gt;"",IFERROR(INDEX(PMtbl[[WKst]:[Unit of measure*]],MATCH($A$58&amp;$A72&amp;$E72&amp;$I72,INDEX(PMtbl[Sec]&amp;PMtbl[Category]&amp;PMtbl[INN]&amp;PMtbl[Specification],0,),0),7),""),"")</f>
        <v/>
      </c>
      <c r="AL72" s="956"/>
      <c r="AM72" s="1518" t="str">
        <f>IFERROR(INDEX(SETUP!$C$19:$G$62,MATCH((INDEX(PMtbl[[WKst]:[Unit of measure*]],MATCH($A72&amp;$E72&amp;$I72,INDEX(PMtbl[Category]&amp;PMtbl[INN]&amp;PMtbl[Specification],0,),0),3)),SETUP!$D$19:$D$62,0),5),"")</f>
        <v/>
      </c>
      <c r="AN72" s="1449"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62" s="198" customFormat="1">
      <c r="A73" s="2955"/>
      <c r="B73" s="2955"/>
      <c r="C73" s="2955"/>
      <c r="D73" s="2956"/>
      <c r="E73" s="3042"/>
      <c r="F73" s="2435"/>
      <c r="G73" s="2435"/>
      <c r="H73" s="2435"/>
      <c r="I73" s="3042"/>
      <c r="J73" s="2435"/>
      <c r="K73" s="3049"/>
      <c r="L73" s="253" t="str">
        <f>IF(A73&lt;&gt;"",IFERROR(INDEX(PMtbl[[WKst]:[Unit of measure*]],MATCH($A$58&amp;$A73&amp;$E73&amp;$I73,INDEX(PMtbl[Sec]&amp;PMtbl[Category]&amp;PMtbl[INN]&amp;PMtbl[Specification],0,),0),8),""),"")</f>
        <v/>
      </c>
      <c r="M73" s="255" t="str">
        <f>IF(L73="", "",SETUP!$E$5)</f>
        <v/>
      </c>
      <c r="N73" s="1975"/>
      <c r="O73" s="12"/>
      <c r="P73" s="12"/>
      <c r="Q73" s="12"/>
      <c r="R73" s="12"/>
      <c r="S73" s="1883">
        <f>SUM('Malaria-Equipment &amp; Other HPs'!$O73:$R73)</f>
        <v>0</v>
      </c>
      <c r="T73" s="1884">
        <f>'Malaria-Equipment &amp; Other HPs'!$N73*'Malaria-Equipment &amp; Other HPs'!$S73</f>
        <v>0</v>
      </c>
      <c r="U73" s="1981"/>
      <c r="V73" s="12"/>
      <c r="W73" s="12"/>
      <c r="X73" s="12"/>
      <c r="Y73" s="12"/>
      <c r="Z73" s="1883">
        <f>SUM('Malaria-Equipment &amp; Other HPs'!$V73:$Y73)</f>
        <v>0</v>
      </c>
      <c r="AA73" s="1884">
        <f>'Malaria-Equipment &amp; Other HPs'!$U73*'Malaria-Equipment &amp; Other HPs'!$Z73</f>
        <v>0</v>
      </c>
      <c r="AB73" s="1975"/>
      <c r="AC73" s="12"/>
      <c r="AD73" s="12"/>
      <c r="AE73" s="12"/>
      <c r="AF73" s="12"/>
      <c r="AG73" s="1883">
        <f>SUM('Malaria-Equipment &amp; Other HPs'!$AC73:$AF73)</f>
        <v>0</v>
      </c>
      <c r="AH73" s="1884">
        <f>'Malaria-Equipment &amp; Other HPs'!$AB73*'Malaria-Equipment &amp; Other HPs'!$AG73</f>
        <v>0</v>
      </c>
      <c r="AI73" s="1885">
        <f>'Malaria-Equipment &amp; Other HPs'!$S73+'Malaria-Equipment &amp; Other HPs'!$Z73+'Malaria-Equipment &amp; Other HPs'!$AG73</f>
        <v>0</v>
      </c>
      <c r="AJ73" s="1884">
        <f>'Malaria-Equipment &amp; Other HPs'!$T73+'Malaria-Equipment &amp; Other HPs'!$AA73+'Malaria-Equipment &amp; Other HPs'!$AH73</f>
        <v>0</v>
      </c>
      <c r="AK73" s="1919" t="str">
        <f>IF(A73&lt;&gt;"",IFERROR(INDEX(PMtbl[[WKst]:[Unit of measure*]],MATCH($A$58&amp;$A73&amp;$E73&amp;$I73,INDEX(PMtbl[Sec]&amp;PMtbl[Category]&amp;PMtbl[INN]&amp;PMtbl[Specification],0,),0),7),""),"")</f>
        <v/>
      </c>
      <c r="AL73" s="957"/>
      <c r="AM73" s="1517" t="str">
        <f>IFERROR(INDEX(SETUP!$C$19:$G$62,MATCH((INDEX(PMtbl[[WKst]:[Unit of measure*]],MATCH($A73&amp;$E73&amp;$I73,INDEX(PMtbl[Category]&amp;PMtbl[INN]&amp;PMtbl[Specification],0,),0),3)),SETUP!$D$19:$D$62,0),5),"")</f>
        <v/>
      </c>
      <c r="AN73" s="145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62" s="198" customFormat="1">
      <c r="A74" s="2957"/>
      <c r="B74" s="2957"/>
      <c r="C74" s="2957"/>
      <c r="D74" s="2958"/>
      <c r="E74" s="2950"/>
      <c r="F74" s="2951"/>
      <c r="G74" s="2951"/>
      <c r="H74" s="2951"/>
      <c r="I74" s="2950"/>
      <c r="J74" s="2951"/>
      <c r="K74" s="2952"/>
      <c r="L74" s="254" t="str">
        <f>IF(A74&lt;&gt;"",IFERROR(INDEX(PMtbl[[WKst]:[Unit of measure*]],MATCH($A$58&amp;$A74&amp;$E74&amp;$I74,INDEX(PMtbl[Sec]&amp;PMtbl[Category]&amp;PMtbl[INN]&amp;PMtbl[Specification],0,),0),8),""),"")</f>
        <v/>
      </c>
      <c r="M74" s="254" t="str">
        <f>IF(L74="", "",SETUP!$E$5)</f>
        <v/>
      </c>
      <c r="N74" s="1976"/>
      <c r="O74" s="1977"/>
      <c r="P74" s="1977"/>
      <c r="Q74" s="1977"/>
      <c r="R74" s="1977"/>
      <c r="S74" s="1887">
        <f>SUM('Malaria-Equipment &amp; Other HPs'!$O74:$R74)</f>
        <v>0</v>
      </c>
      <c r="T74" s="1888">
        <f>'Malaria-Equipment &amp; Other HPs'!$N74*'Malaria-Equipment &amp; Other HPs'!$S74</f>
        <v>0</v>
      </c>
      <c r="U74" s="1982"/>
      <c r="V74" s="1977"/>
      <c r="W74" s="1977"/>
      <c r="X74" s="1977"/>
      <c r="Y74" s="1977"/>
      <c r="Z74" s="1887">
        <f>SUM('Malaria-Equipment &amp; Other HPs'!$V74:$Y74)</f>
        <v>0</v>
      </c>
      <c r="AA74" s="1888">
        <f>'Malaria-Equipment &amp; Other HPs'!$U74*'Malaria-Equipment &amp; Other HPs'!$Z74</f>
        <v>0</v>
      </c>
      <c r="AB74" s="1976"/>
      <c r="AC74" s="1977"/>
      <c r="AD74" s="1977"/>
      <c r="AE74" s="1977"/>
      <c r="AF74" s="1977"/>
      <c r="AG74" s="1887">
        <f>SUM('Malaria-Equipment &amp; Other HPs'!$AC74:$AF74)</f>
        <v>0</v>
      </c>
      <c r="AH74" s="1888">
        <f>'Malaria-Equipment &amp; Other HPs'!$AB74*'Malaria-Equipment &amp; Other HPs'!$AG74</f>
        <v>0</v>
      </c>
      <c r="AI74" s="1889">
        <f>'Malaria-Equipment &amp; Other HPs'!$S74+'Malaria-Equipment &amp; Other HPs'!$Z74+'Malaria-Equipment &amp; Other HPs'!$AG74</f>
        <v>0</v>
      </c>
      <c r="AJ74" s="1888">
        <f>'Malaria-Equipment &amp; Other HPs'!$T74+'Malaria-Equipment &amp; Other HPs'!$AA74+'Malaria-Equipment &amp; Other HPs'!$AH74</f>
        <v>0</v>
      </c>
      <c r="AK74" s="1918" t="str">
        <f>IF(A74&lt;&gt;"",IFERROR(INDEX(PMtbl[[WKst]:[Unit of measure*]],MATCH($A$58&amp;$A74&amp;$E74&amp;$I74,INDEX(PMtbl[Sec]&amp;PMtbl[Category]&amp;PMtbl[INN]&amp;PMtbl[Specification],0,),0),7),""),"")</f>
        <v/>
      </c>
      <c r="AL74" s="956"/>
      <c r="AM74" s="1518" t="str">
        <f>IFERROR(INDEX(SETUP!$C$19:$G$62,MATCH((INDEX(PMtbl[[WKst]:[Unit of measure*]],MATCH($A74&amp;$E74&amp;$I74,INDEX(PMtbl[Category]&amp;PMtbl[INN]&amp;PMtbl[Specification],0,),0),3)),SETUP!$D$19:$D$62,0),5),"")</f>
        <v/>
      </c>
      <c r="AN74" s="1449"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2" s="198" customFormat="1">
      <c r="A75" s="2955"/>
      <c r="B75" s="2955"/>
      <c r="C75" s="2955"/>
      <c r="D75" s="2956"/>
      <c r="E75" s="3042"/>
      <c r="F75" s="2435"/>
      <c r="G75" s="2435"/>
      <c r="H75" s="2435"/>
      <c r="I75" s="3042"/>
      <c r="J75" s="2435"/>
      <c r="K75" s="3049"/>
      <c r="L75" s="253" t="str">
        <f>IF(A75&lt;&gt;"",IFERROR(INDEX(PMtbl[[WKst]:[Unit of measure*]],MATCH($A$58&amp;$A75&amp;$E75&amp;$I75,INDEX(PMtbl[Sec]&amp;PMtbl[Category]&amp;PMtbl[INN]&amp;PMtbl[Specification],0,),0),8),""),"")</f>
        <v/>
      </c>
      <c r="M75" s="255" t="str">
        <f>IF(L75="", "",SETUP!$E$5)</f>
        <v/>
      </c>
      <c r="N75" s="1975"/>
      <c r="O75" s="12"/>
      <c r="P75" s="12"/>
      <c r="Q75" s="12"/>
      <c r="R75" s="12"/>
      <c r="S75" s="1883">
        <f>SUM('Malaria-Equipment &amp; Other HPs'!$O75:$R75)</f>
        <v>0</v>
      </c>
      <c r="T75" s="1884">
        <f>'Malaria-Equipment &amp; Other HPs'!$N75*'Malaria-Equipment &amp; Other HPs'!$S75</f>
        <v>0</v>
      </c>
      <c r="U75" s="1981"/>
      <c r="V75" s="12"/>
      <c r="W75" s="12"/>
      <c r="X75" s="12"/>
      <c r="Y75" s="12"/>
      <c r="Z75" s="1883">
        <f>SUM('Malaria-Equipment &amp; Other HPs'!$V75:$Y75)</f>
        <v>0</v>
      </c>
      <c r="AA75" s="1884">
        <f>'Malaria-Equipment &amp; Other HPs'!$U75*'Malaria-Equipment &amp; Other HPs'!$Z75</f>
        <v>0</v>
      </c>
      <c r="AB75" s="1975"/>
      <c r="AC75" s="12"/>
      <c r="AD75" s="12"/>
      <c r="AE75" s="12"/>
      <c r="AF75" s="12"/>
      <c r="AG75" s="1883">
        <f>SUM('Malaria-Equipment &amp; Other HPs'!$AC75:$AF75)</f>
        <v>0</v>
      </c>
      <c r="AH75" s="1884">
        <f>'Malaria-Equipment &amp; Other HPs'!$AB75*'Malaria-Equipment &amp; Other HPs'!$AG75</f>
        <v>0</v>
      </c>
      <c r="AI75" s="1885">
        <f>'Malaria-Equipment &amp; Other HPs'!$S75+'Malaria-Equipment &amp; Other HPs'!$Z75+'Malaria-Equipment &amp; Other HPs'!$AG75</f>
        <v>0</v>
      </c>
      <c r="AJ75" s="1884">
        <f>'Malaria-Equipment &amp; Other HPs'!$T75+'Malaria-Equipment &amp; Other HPs'!$AA75+'Malaria-Equipment &amp; Other HPs'!$AH75</f>
        <v>0</v>
      </c>
      <c r="AK75" s="1919" t="str">
        <f>IF(A75&lt;&gt;"",IFERROR(INDEX(PMtbl[[WKst]:[Unit of measure*]],MATCH($A$58&amp;$A75&amp;$E75&amp;$I75,INDEX(PMtbl[Sec]&amp;PMtbl[Category]&amp;PMtbl[INN]&amp;PMtbl[Specification],0,),0),7),""),"")</f>
        <v/>
      </c>
      <c r="AL75" s="957"/>
      <c r="AM75" s="1517" t="str">
        <f>IFERROR(INDEX(SETUP!$C$19:$G$62,MATCH((INDEX(PMtbl[[WKst]:[Unit of measure*]],MATCH($A75&amp;$E75&amp;$I75,INDEX(PMtbl[Category]&amp;PMtbl[INN]&amp;PMtbl[Specification],0,),0),3)),SETUP!$D$19:$D$62,0),5),"")</f>
        <v/>
      </c>
      <c r="AN75" s="145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62" s="198" customFormat="1">
      <c r="A76" s="2957"/>
      <c r="B76" s="2957"/>
      <c r="C76" s="2957"/>
      <c r="D76" s="2958"/>
      <c r="E76" s="2950"/>
      <c r="F76" s="2951"/>
      <c r="G76" s="2951"/>
      <c r="H76" s="2951"/>
      <c r="I76" s="2950"/>
      <c r="J76" s="2951"/>
      <c r="K76" s="2952"/>
      <c r="L76" s="254" t="str">
        <f>IF(A76&lt;&gt;"",IFERROR(INDEX(PMtbl[[WKst]:[Unit of measure*]],MATCH($A$58&amp;$A76&amp;$E76&amp;$I76,INDEX(PMtbl[Sec]&amp;PMtbl[Category]&amp;PMtbl[INN]&amp;PMtbl[Specification],0,),0),8),""),"")</f>
        <v/>
      </c>
      <c r="M76" s="254" t="str">
        <f>IF(L76="", "",SETUP!$E$5)</f>
        <v/>
      </c>
      <c r="N76" s="1976"/>
      <c r="O76" s="1977"/>
      <c r="P76" s="1977"/>
      <c r="Q76" s="1977"/>
      <c r="R76" s="1977"/>
      <c r="S76" s="1887">
        <f>SUM('Malaria-Equipment &amp; Other HPs'!$O76:$R76)</f>
        <v>0</v>
      </c>
      <c r="T76" s="1888">
        <f>'Malaria-Equipment &amp; Other HPs'!$N76*'Malaria-Equipment &amp; Other HPs'!$S76</f>
        <v>0</v>
      </c>
      <c r="U76" s="1982"/>
      <c r="V76" s="1977"/>
      <c r="W76" s="1977"/>
      <c r="X76" s="1977"/>
      <c r="Y76" s="1977"/>
      <c r="Z76" s="1887">
        <f>SUM('Malaria-Equipment &amp; Other HPs'!$V76:$Y76)</f>
        <v>0</v>
      </c>
      <c r="AA76" s="1888">
        <f>'Malaria-Equipment &amp; Other HPs'!$U76*'Malaria-Equipment &amp; Other HPs'!$Z76</f>
        <v>0</v>
      </c>
      <c r="AB76" s="1976"/>
      <c r="AC76" s="1977"/>
      <c r="AD76" s="1977"/>
      <c r="AE76" s="1977"/>
      <c r="AF76" s="1977"/>
      <c r="AG76" s="1887">
        <f>SUM('Malaria-Equipment &amp; Other HPs'!$AC76:$AF76)</f>
        <v>0</v>
      </c>
      <c r="AH76" s="1888">
        <f>'Malaria-Equipment &amp; Other HPs'!$AB76*'Malaria-Equipment &amp; Other HPs'!$AG76</f>
        <v>0</v>
      </c>
      <c r="AI76" s="1889">
        <f>'Malaria-Equipment &amp; Other HPs'!$S76+'Malaria-Equipment &amp; Other HPs'!$Z76+'Malaria-Equipment &amp; Other HPs'!$AG76</f>
        <v>0</v>
      </c>
      <c r="AJ76" s="1888">
        <f>'Malaria-Equipment &amp; Other HPs'!$T76+'Malaria-Equipment &amp; Other HPs'!$AA76+'Malaria-Equipment &amp; Other HPs'!$AH76</f>
        <v>0</v>
      </c>
      <c r="AK76" s="1918" t="str">
        <f>IF(A76&lt;&gt;"",IFERROR(INDEX(PMtbl[[WKst]:[Unit of measure*]],MATCH($A$58&amp;$A76&amp;$E76&amp;$I76,INDEX(PMtbl[Sec]&amp;PMtbl[Category]&amp;PMtbl[INN]&amp;PMtbl[Specification],0,),0),7),""),"")</f>
        <v/>
      </c>
      <c r="AL76" s="956"/>
      <c r="AM76" s="1518" t="str">
        <f>IFERROR(INDEX(SETUP!$C$19:$G$62,MATCH((INDEX(PMtbl[[WKst]:[Unit of measure*]],MATCH($A76&amp;$E76&amp;$I76,INDEX(PMtbl[Category]&amp;PMtbl[INN]&amp;PMtbl[Specification],0,),0),3)),SETUP!$D$19:$D$62,0),5),"")</f>
        <v/>
      </c>
      <c r="AN76" s="1449"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62" s="198" customFormat="1">
      <c r="A77" s="2955"/>
      <c r="B77" s="2955"/>
      <c r="C77" s="2955"/>
      <c r="D77" s="2956"/>
      <c r="E77" s="3042"/>
      <c r="F77" s="2435"/>
      <c r="G77" s="2435"/>
      <c r="H77" s="2435"/>
      <c r="I77" s="3042"/>
      <c r="J77" s="2435"/>
      <c r="K77" s="3049"/>
      <c r="L77" s="253" t="str">
        <f>IF(A77&lt;&gt;"",IFERROR(INDEX(PMtbl[[WKst]:[Unit of measure*]],MATCH($A$58&amp;$A77&amp;$E77&amp;$I77,INDEX(PMtbl[Sec]&amp;PMtbl[Category]&amp;PMtbl[INN]&amp;PMtbl[Specification],0,),0),8),""),"")</f>
        <v/>
      </c>
      <c r="M77" s="255" t="str">
        <f>IF(L77="", "",SETUP!$E$5)</f>
        <v/>
      </c>
      <c r="N77" s="1975"/>
      <c r="O77" s="12"/>
      <c r="P77" s="12"/>
      <c r="Q77" s="12"/>
      <c r="R77" s="12"/>
      <c r="S77" s="1883">
        <f>SUM('Malaria-Equipment &amp; Other HPs'!$O77:$R77)</f>
        <v>0</v>
      </c>
      <c r="T77" s="1884">
        <f>'Malaria-Equipment &amp; Other HPs'!$N77*'Malaria-Equipment &amp; Other HPs'!$S77</f>
        <v>0</v>
      </c>
      <c r="U77" s="1981"/>
      <c r="V77" s="12"/>
      <c r="W77" s="12"/>
      <c r="X77" s="12"/>
      <c r="Y77" s="12"/>
      <c r="Z77" s="1883">
        <f>SUM('Malaria-Equipment &amp; Other HPs'!$V77:$Y77)</f>
        <v>0</v>
      </c>
      <c r="AA77" s="1884">
        <f>'Malaria-Equipment &amp; Other HPs'!$U77*'Malaria-Equipment &amp; Other HPs'!$Z77</f>
        <v>0</v>
      </c>
      <c r="AB77" s="1975"/>
      <c r="AC77" s="12"/>
      <c r="AD77" s="12"/>
      <c r="AE77" s="12"/>
      <c r="AF77" s="12"/>
      <c r="AG77" s="1883">
        <f>SUM('Malaria-Equipment &amp; Other HPs'!$AC77:$AF77)</f>
        <v>0</v>
      </c>
      <c r="AH77" s="1884">
        <f>'Malaria-Equipment &amp; Other HPs'!$AB77*'Malaria-Equipment &amp; Other HPs'!$AG77</f>
        <v>0</v>
      </c>
      <c r="AI77" s="1885">
        <f>'Malaria-Equipment &amp; Other HPs'!$S77+'Malaria-Equipment &amp; Other HPs'!$Z77+'Malaria-Equipment &amp; Other HPs'!$AG77</f>
        <v>0</v>
      </c>
      <c r="AJ77" s="1884">
        <f>'Malaria-Equipment &amp; Other HPs'!$T77+'Malaria-Equipment &amp; Other HPs'!$AA77+'Malaria-Equipment &amp; Other HPs'!$AH77</f>
        <v>0</v>
      </c>
      <c r="AK77" s="1919" t="str">
        <f>IF(A77&lt;&gt;"",IFERROR(INDEX(PMtbl[[WKst]:[Unit of measure*]],MATCH($A$58&amp;$A77&amp;$E77&amp;$I77,INDEX(PMtbl[Sec]&amp;PMtbl[Category]&amp;PMtbl[INN]&amp;PMtbl[Specification],0,),0),7),""),"")</f>
        <v/>
      </c>
      <c r="AL77" s="957"/>
      <c r="AM77" s="1517" t="str">
        <f>IFERROR(INDEX(SETUP!$C$19:$G$62,MATCH((INDEX(PMtbl[[WKst]:[Unit of measure*]],MATCH($A77&amp;$E77&amp;$I77,INDEX(PMtbl[Category]&amp;PMtbl[INN]&amp;PMtbl[Specification],0,),0),3)),SETUP!$D$19:$D$62,0),5),"")</f>
        <v/>
      </c>
      <c r="AN77" s="145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62" s="198" customFormat="1">
      <c r="A78" s="2957"/>
      <c r="B78" s="2957"/>
      <c r="C78" s="2957"/>
      <c r="D78" s="2958"/>
      <c r="E78" s="2950"/>
      <c r="F78" s="2951"/>
      <c r="G78" s="2951"/>
      <c r="H78" s="2951"/>
      <c r="I78" s="2950"/>
      <c r="J78" s="2951"/>
      <c r="K78" s="2952"/>
      <c r="L78" s="254" t="str">
        <f>IF(A78&lt;&gt;"",IFERROR(INDEX(PMtbl[[WKst]:[Unit of measure*]],MATCH($A$58&amp;$A78&amp;$E78&amp;$I78,INDEX(PMtbl[Sec]&amp;PMtbl[Category]&amp;PMtbl[INN]&amp;PMtbl[Specification],0,),0),8),""),"")</f>
        <v/>
      </c>
      <c r="M78" s="254" t="str">
        <f>IF(L78="", "",SETUP!$E$5)</f>
        <v/>
      </c>
      <c r="N78" s="1976"/>
      <c r="O78" s="1977"/>
      <c r="P78" s="1977"/>
      <c r="Q78" s="1977"/>
      <c r="R78" s="1977"/>
      <c r="S78" s="1887">
        <f>SUM('Malaria-Equipment &amp; Other HPs'!$O78:$R78)</f>
        <v>0</v>
      </c>
      <c r="T78" s="1888">
        <f>'Malaria-Equipment &amp; Other HPs'!$N78*'Malaria-Equipment &amp; Other HPs'!$S78</f>
        <v>0</v>
      </c>
      <c r="U78" s="1982"/>
      <c r="V78" s="1977"/>
      <c r="W78" s="1977"/>
      <c r="X78" s="1977"/>
      <c r="Y78" s="1977"/>
      <c r="Z78" s="1887">
        <f>SUM('Malaria-Equipment &amp; Other HPs'!$V78:$Y78)</f>
        <v>0</v>
      </c>
      <c r="AA78" s="1888">
        <f>'Malaria-Equipment &amp; Other HPs'!$U78*'Malaria-Equipment &amp; Other HPs'!$Z78</f>
        <v>0</v>
      </c>
      <c r="AB78" s="1976"/>
      <c r="AC78" s="1977"/>
      <c r="AD78" s="1977"/>
      <c r="AE78" s="1977"/>
      <c r="AF78" s="1977"/>
      <c r="AG78" s="1887">
        <f>SUM('Malaria-Equipment &amp; Other HPs'!$AC78:$AF78)</f>
        <v>0</v>
      </c>
      <c r="AH78" s="1888">
        <f>'Malaria-Equipment &amp; Other HPs'!$AB78*'Malaria-Equipment &amp; Other HPs'!$AG78</f>
        <v>0</v>
      </c>
      <c r="AI78" s="1889">
        <f>'Malaria-Equipment &amp; Other HPs'!$S78+'Malaria-Equipment &amp; Other HPs'!$Z78+'Malaria-Equipment &amp; Other HPs'!$AG78</f>
        <v>0</v>
      </c>
      <c r="AJ78" s="1888">
        <f>'Malaria-Equipment &amp; Other HPs'!$T78+'Malaria-Equipment &amp; Other HPs'!$AA78+'Malaria-Equipment &amp; Other HPs'!$AH78</f>
        <v>0</v>
      </c>
      <c r="AK78" s="1917" t="str">
        <f>IF(A78&lt;&gt;"",IFERROR(INDEX(PMtbl[[WKst]:[Unit of measure*]],MATCH($A$58&amp;$A78&amp;$E78&amp;$I78,INDEX(PMtbl[Sec]&amp;PMtbl[Category]&amp;PMtbl[INN]&amp;PMtbl[Specification],0,),0),7),""),"")</f>
        <v/>
      </c>
      <c r="AL78" s="956"/>
      <c r="AM78" s="1518" t="str">
        <f>IFERROR(INDEX(SETUP!$C$19:$G$62,MATCH((INDEX(PMtbl[[WKst]:[Unit of measure*]],MATCH($A78&amp;$E78&amp;$I78,INDEX(PMtbl[Category]&amp;PMtbl[INN]&amp;PMtbl[Specification],0,),0),3)),SETUP!$D$19:$D$62,0),5),"")</f>
        <v/>
      </c>
      <c r="AN78" s="1449"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62" s="198" customFormat="1">
      <c r="A79" s="2955"/>
      <c r="B79" s="2955"/>
      <c r="C79" s="2955"/>
      <c r="D79" s="2956"/>
      <c r="E79" s="3042"/>
      <c r="F79" s="2435"/>
      <c r="G79" s="2435"/>
      <c r="H79" s="2435"/>
      <c r="I79" s="3042"/>
      <c r="J79" s="2435"/>
      <c r="K79" s="3049"/>
      <c r="L79" s="253" t="str">
        <f>IF(A79&lt;&gt;"",IFERROR(INDEX(PMtbl[[WKst]:[Unit of measure*]],MATCH($A$58&amp;$A79&amp;$E79&amp;$I79,INDEX(PMtbl[Sec]&amp;PMtbl[Category]&amp;PMtbl[INN]&amp;PMtbl[Specification],0,),0),8),""),"")</f>
        <v/>
      </c>
      <c r="M79" s="255" t="str">
        <f>IF(L79="", "",SETUP!$E$5)</f>
        <v/>
      </c>
      <c r="N79" s="1975"/>
      <c r="O79" s="12"/>
      <c r="P79" s="12"/>
      <c r="Q79" s="12"/>
      <c r="R79" s="12"/>
      <c r="S79" s="1883">
        <f>SUM('Malaria-Equipment &amp; Other HPs'!$O79:$R79)</f>
        <v>0</v>
      </c>
      <c r="T79" s="1884">
        <f>'Malaria-Equipment &amp; Other HPs'!$N79*'Malaria-Equipment &amp; Other HPs'!$S79</f>
        <v>0</v>
      </c>
      <c r="U79" s="1981"/>
      <c r="V79" s="12"/>
      <c r="W79" s="12"/>
      <c r="X79" s="12"/>
      <c r="Y79" s="12"/>
      <c r="Z79" s="1883">
        <f>SUM('Malaria-Equipment &amp; Other HPs'!$V79:$Y79)</f>
        <v>0</v>
      </c>
      <c r="AA79" s="1884">
        <f>'Malaria-Equipment &amp; Other HPs'!$U79*'Malaria-Equipment &amp; Other HPs'!$Z79</f>
        <v>0</v>
      </c>
      <c r="AB79" s="1975"/>
      <c r="AC79" s="12"/>
      <c r="AD79" s="12"/>
      <c r="AE79" s="12"/>
      <c r="AF79" s="12"/>
      <c r="AG79" s="1883">
        <f>SUM('Malaria-Equipment &amp; Other HPs'!$AC79:$AF79)</f>
        <v>0</v>
      </c>
      <c r="AH79" s="1884">
        <f>'Malaria-Equipment &amp; Other HPs'!$AB79*'Malaria-Equipment &amp; Other HPs'!$AG79</f>
        <v>0</v>
      </c>
      <c r="AI79" s="1885">
        <f>'Malaria-Equipment &amp; Other HPs'!$S79+'Malaria-Equipment &amp; Other HPs'!$Z79+'Malaria-Equipment &amp; Other HPs'!$AG79</f>
        <v>0</v>
      </c>
      <c r="AJ79" s="1884">
        <f>'Malaria-Equipment &amp; Other HPs'!$T79+'Malaria-Equipment &amp; Other HPs'!$AA79+'Malaria-Equipment &amp; Other HPs'!$AH79</f>
        <v>0</v>
      </c>
      <c r="AK79" s="1916" t="str">
        <f>IF(A79&lt;&gt;"",IFERROR(INDEX(PMtbl[[WKst]:[Unit of measure*]],MATCH($A$58&amp;$A79&amp;$E79&amp;$I79,INDEX(PMtbl[Sec]&amp;PMtbl[Category]&amp;PMtbl[INN]&amp;PMtbl[Specification],0,),0),7),""),"")</f>
        <v/>
      </c>
      <c r="AL79" s="957"/>
      <c r="AM79" s="1517" t="str">
        <f>IFERROR(INDEX(SETUP!$C$19:$G$62,MATCH((INDEX(PMtbl[[WKst]:[Unit of measure*]],MATCH($A79&amp;$E79&amp;$I79,INDEX(PMtbl[Category]&amp;PMtbl[INN]&amp;PMtbl[Specification],0,),0),3)),SETUP!$D$19:$D$62,0),5),"")</f>
        <v/>
      </c>
      <c r="AN79" s="145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62" s="198" customFormat="1">
      <c r="A80" s="2957"/>
      <c r="B80" s="2957"/>
      <c r="C80" s="2957"/>
      <c r="D80" s="2958"/>
      <c r="E80" s="2950"/>
      <c r="F80" s="2951"/>
      <c r="G80" s="2951"/>
      <c r="H80" s="2951"/>
      <c r="I80" s="2950"/>
      <c r="J80" s="2951"/>
      <c r="K80" s="2952"/>
      <c r="L80" s="254" t="str">
        <f>IF(A80&lt;&gt;"",IFERROR(INDEX(PMtbl[[WKst]:[Unit of measure*]],MATCH($A$58&amp;$A80&amp;$E80&amp;$I80,INDEX(PMtbl[Sec]&amp;PMtbl[Category]&amp;PMtbl[INN]&amp;PMtbl[Specification],0,),0),8),""),"")</f>
        <v/>
      </c>
      <c r="M80" s="254" t="str">
        <f>IF(L80="", "",SETUP!$E$5)</f>
        <v/>
      </c>
      <c r="N80" s="1976"/>
      <c r="O80" s="1977"/>
      <c r="P80" s="1977"/>
      <c r="Q80" s="1977"/>
      <c r="R80" s="1977"/>
      <c r="S80" s="1887">
        <f>SUM('Malaria-Equipment &amp; Other HPs'!$O80:$R80)</f>
        <v>0</v>
      </c>
      <c r="T80" s="1888">
        <f>'Malaria-Equipment &amp; Other HPs'!$N80*'Malaria-Equipment &amp; Other HPs'!$S80</f>
        <v>0</v>
      </c>
      <c r="U80" s="1982"/>
      <c r="V80" s="1977"/>
      <c r="W80" s="1977"/>
      <c r="X80" s="1977"/>
      <c r="Y80" s="1977"/>
      <c r="Z80" s="1887">
        <f>SUM('Malaria-Equipment &amp; Other HPs'!$V80:$Y80)</f>
        <v>0</v>
      </c>
      <c r="AA80" s="1888">
        <f>'Malaria-Equipment &amp; Other HPs'!$U80*'Malaria-Equipment &amp; Other HPs'!$Z80</f>
        <v>0</v>
      </c>
      <c r="AB80" s="1976"/>
      <c r="AC80" s="1977"/>
      <c r="AD80" s="1977"/>
      <c r="AE80" s="1977"/>
      <c r="AF80" s="1977"/>
      <c r="AG80" s="1887">
        <f>SUM('Malaria-Equipment &amp; Other HPs'!$AC80:$AF80)</f>
        <v>0</v>
      </c>
      <c r="AH80" s="1888">
        <f>'Malaria-Equipment &amp; Other HPs'!$AB80*'Malaria-Equipment &amp; Other HPs'!$AG80</f>
        <v>0</v>
      </c>
      <c r="AI80" s="1889">
        <f>'Malaria-Equipment &amp; Other HPs'!$S80+'Malaria-Equipment &amp; Other HPs'!$Z80+'Malaria-Equipment &amp; Other HPs'!$AG80</f>
        <v>0</v>
      </c>
      <c r="AJ80" s="1888">
        <f>'Malaria-Equipment &amp; Other HPs'!$T80+'Malaria-Equipment &amp; Other HPs'!$AA80+'Malaria-Equipment &amp; Other HPs'!$AH80</f>
        <v>0</v>
      </c>
      <c r="AK80" s="1917" t="str">
        <f>IF(A80&lt;&gt;"",IFERROR(INDEX(PMtbl[[WKst]:[Unit of measure*]],MATCH($A$58&amp;$A80&amp;$E80&amp;$I80,INDEX(PMtbl[Sec]&amp;PMtbl[Category]&amp;PMtbl[INN]&amp;PMtbl[Specification],0,),0),7),""),"")</f>
        <v/>
      </c>
      <c r="AL80" s="956"/>
      <c r="AM80" s="1518" t="str">
        <f>IFERROR(INDEX(SETUP!$C$19:$G$62,MATCH((INDEX(PMtbl[[WKst]:[Unit of measure*]],MATCH($A80&amp;$E80&amp;$I80,INDEX(PMtbl[Category]&amp;PMtbl[INN]&amp;PMtbl[Specification],0,),0),3)),SETUP!$D$19:$D$62,0),5),"")</f>
        <v/>
      </c>
      <c r="AN80" s="1449"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62" s="198" customFormat="1">
      <c r="A81" s="2955"/>
      <c r="B81" s="2955"/>
      <c r="C81" s="2955"/>
      <c r="D81" s="2956"/>
      <c r="E81" s="3042"/>
      <c r="F81" s="2435"/>
      <c r="G81" s="2435"/>
      <c r="H81" s="2435"/>
      <c r="I81" s="3042"/>
      <c r="J81" s="2435"/>
      <c r="K81" s="3049"/>
      <c r="L81" s="253" t="str">
        <f>IF(A81&lt;&gt;"",IFERROR(INDEX(PMtbl[[WKst]:[Unit of measure*]],MATCH($A$58&amp;$A81&amp;$E81&amp;$I81,INDEX(PMtbl[Sec]&amp;PMtbl[Category]&amp;PMtbl[INN]&amp;PMtbl[Specification],0,),0),8),""),"")</f>
        <v/>
      </c>
      <c r="M81" s="255" t="str">
        <f>IF(L81="", "",SETUP!$E$5)</f>
        <v/>
      </c>
      <c r="N81" s="1975"/>
      <c r="O81" s="12"/>
      <c r="P81" s="12"/>
      <c r="Q81" s="12"/>
      <c r="R81" s="12"/>
      <c r="S81" s="1883">
        <f>SUM('Malaria-Equipment &amp; Other HPs'!$O81:$R81)</f>
        <v>0</v>
      </c>
      <c r="T81" s="1884">
        <f>'Malaria-Equipment &amp; Other HPs'!$N81*'Malaria-Equipment &amp; Other HPs'!$S81</f>
        <v>0</v>
      </c>
      <c r="U81" s="1981"/>
      <c r="V81" s="12"/>
      <c r="W81" s="12"/>
      <c r="X81" s="12"/>
      <c r="Y81" s="12"/>
      <c r="Z81" s="1883">
        <f>SUM('Malaria-Equipment &amp; Other HPs'!$V81:$Y81)</f>
        <v>0</v>
      </c>
      <c r="AA81" s="1884">
        <f>'Malaria-Equipment &amp; Other HPs'!$U81*'Malaria-Equipment &amp; Other HPs'!$Z81</f>
        <v>0</v>
      </c>
      <c r="AB81" s="1975"/>
      <c r="AC81" s="12"/>
      <c r="AD81" s="12"/>
      <c r="AE81" s="12"/>
      <c r="AF81" s="12"/>
      <c r="AG81" s="1883">
        <f>SUM('Malaria-Equipment &amp; Other HPs'!$AC81:$AF81)</f>
        <v>0</v>
      </c>
      <c r="AH81" s="1884">
        <f>'Malaria-Equipment &amp; Other HPs'!$AB81*'Malaria-Equipment &amp; Other HPs'!$AG81</f>
        <v>0</v>
      </c>
      <c r="AI81" s="1885">
        <f>'Malaria-Equipment &amp; Other HPs'!$S81+'Malaria-Equipment &amp; Other HPs'!$Z81+'Malaria-Equipment &amp; Other HPs'!$AG81</f>
        <v>0</v>
      </c>
      <c r="AJ81" s="1884">
        <f>'Malaria-Equipment &amp; Other HPs'!$T81+'Malaria-Equipment &amp; Other HPs'!$AA81+'Malaria-Equipment &amp; Other HPs'!$AH81</f>
        <v>0</v>
      </c>
      <c r="AK81" s="1916" t="str">
        <f>IF(A81&lt;&gt;"",IFERROR(INDEX(PMtbl[[WKst]:[Unit of measure*]],MATCH($A$58&amp;$A81&amp;$E81&amp;$I81,INDEX(PMtbl[Sec]&amp;PMtbl[Category]&amp;PMtbl[INN]&amp;PMtbl[Specification],0,),0),7),""),"")</f>
        <v/>
      </c>
      <c r="AL81" s="957"/>
      <c r="AM81" s="1517" t="str">
        <f>IFERROR(INDEX(SETUP!$C$19:$G$62,MATCH((INDEX(PMtbl[[WKst]:[Unit of measure*]],MATCH($A81&amp;$E81&amp;$I81,INDEX(PMtbl[Category]&amp;PMtbl[INN]&amp;PMtbl[Specification],0,),0),3)),SETUP!$D$19:$D$62,0),5),"")</f>
        <v/>
      </c>
      <c r="AN81" s="145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62" s="198" customFormat="1">
      <c r="A82" s="2957"/>
      <c r="B82" s="2957"/>
      <c r="C82" s="2957"/>
      <c r="D82" s="2958"/>
      <c r="E82" s="2950"/>
      <c r="F82" s="2951"/>
      <c r="G82" s="2951"/>
      <c r="H82" s="2951"/>
      <c r="I82" s="2950"/>
      <c r="J82" s="2951"/>
      <c r="K82" s="2952"/>
      <c r="L82" s="254" t="str">
        <f>IF(A82&lt;&gt;"",IFERROR(INDEX(PMtbl[[WKst]:[Unit of measure*]],MATCH($A$58&amp;$A82&amp;$E82&amp;$I82,INDEX(PMtbl[Sec]&amp;PMtbl[Category]&amp;PMtbl[INN]&amp;PMtbl[Specification],0,),0),8),""),"")</f>
        <v/>
      </c>
      <c r="M82" s="254" t="str">
        <f>IF(L82="", "",SETUP!$E$5)</f>
        <v/>
      </c>
      <c r="N82" s="1976"/>
      <c r="O82" s="1977"/>
      <c r="P82" s="1977"/>
      <c r="Q82" s="1977"/>
      <c r="R82" s="1977"/>
      <c r="S82" s="1887">
        <f>SUM('Malaria-Equipment &amp; Other HPs'!$O82:$R82)</f>
        <v>0</v>
      </c>
      <c r="T82" s="1888">
        <f>'Malaria-Equipment &amp; Other HPs'!$N82*'Malaria-Equipment &amp; Other HPs'!$S82</f>
        <v>0</v>
      </c>
      <c r="U82" s="1982"/>
      <c r="V82" s="1977"/>
      <c r="W82" s="1977"/>
      <c r="X82" s="1977"/>
      <c r="Y82" s="1977"/>
      <c r="Z82" s="1887">
        <f>SUM('Malaria-Equipment &amp; Other HPs'!$V82:$Y82)</f>
        <v>0</v>
      </c>
      <c r="AA82" s="1888">
        <f>'Malaria-Equipment &amp; Other HPs'!$U82*'Malaria-Equipment &amp; Other HPs'!$Z82</f>
        <v>0</v>
      </c>
      <c r="AB82" s="1976"/>
      <c r="AC82" s="1977"/>
      <c r="AD82" s="1977"/>
      <c r="AE82" s="1977"/>
      <c r="AF82" s="1977"/>
      <c r="AG82" s="1887">
        <f>SUM('Malaria-Equipment &amp; Other HPs'!$AC82:$AF82)</f>
        <v>0</v>
      </c>
      <c r="AH82" s="1888">
        <f>'Malaria-Equipment &amp; Other HPs'!$AB82*'Malaria-Equipment &amp; Other HPs'!$AG82</f>
        <v>0</v>
      </c>
      <c r="AI82" s="1889">
        <f>'Malaria-Equipment &amp; Other HPs'!$S82+'Malaria-Equipment &amp; Other HPs'!$Z82+'Malaria-Equipment &amp; Other HPs'!$AG82</f>
        <v>0</v>
      </c>
      <c r="AJ82" s="1888">
        <f>'Malaria-Equipment &amp; Other HPs'!$T82+'Malaria-Equipment &amp; Other HPs'!$AA82+'Malaria-Equipment &amp; Other HPs'!$AH82</f>
        <v>0</v>
      </c>
      <c r="AK82" s="1917" t="str">
        <f>IF(A82&lt;&gt;"",IFERROR(INDEX(PMtbl[[WKst]:[Unit of measure*]],MATCH($A$58&amp;$A82&amp;$E82&amp;$I82,INDEX(PMtbl[Sec]&amp;PMtbl[Category]&amp;PMtbl[INN]&amp;PMtbl[Specification],0,),0),7),""),"")</f>
        <v/>
      </c>
      <c r="AL82" s="956"/>
      <c r="AM82" s="1518" t="str">
        <f>IFERROR(INDEX(SETUP!$C$19:$G$62,MATCH((INDEX(PMtbl[[WKst]:[Unit of measure*]],MATCH($A82&amp;$E82&amp;$I82,INDEX(PMtbl[Category]&amp;PMtbl[INN]&amp;PMtbl[Specification],0,),0),3)),SETUP!$D$19:$D$62,0),5),"")</f>
        <v/>
      </c>
      <c r="AN82" s="1449"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62" s="198" customFormat="1">
      <c r="A83" s="2955"/>
      <c r="B83" s="2955"/>
      <c r="C83" s="2955"/>
      <c r="D83" s="2956"/>
      <c r="E83" s="3042"/>
      <c r="F83" s="2435"/>
      <c r="G83" s="2435"/>
      <c r="H83" s="2435"/>
      <c r="I83" s="3042"/>
      <c r="J83" s="2435"/>
      <c r="K83" s="3049"/>
      <c r="L83" s="253" t="str">
        <f>IF(A83&lt;&gt;"",IFERROR(INDEX(PMtbl[[WKst]:[Unit of measure*]],MATCH($A$58&amp;$A83&amp;$E83&amp;$I83,INDEX(PMtbl[Sec]&amp;PMtbl[Category]&amp;PMtbl[INN]&amp;PMtbl[Specification],0,),0),8),""),"")</f>
        <v/>
      </c>
      <c r="M83" s="255" t="str">
        <f>IF(L83="", "",SETUP!$E$5)</f>
        <v/>
      </c>
      <c r="N83" s="1975"/>
      <c r="O83" s="12"/>
      <c r="P83" s="12"/>
      <c r="Q83" s="12"/>
      <c r="R83" s="12"/>
      <c r="S83" s="1883">
        <f>SUM('Malaria-Equipment &amp; Other HPs'!$O83:$R83)</f>
        <v>0</v>
      </c>
      <c r="T83" s="1884">
        <f>'Malaria-Equipment &amp; Other HPs'!$N83*'Malaria-Equipment &amp; Other HPs'!$S83</f>
        <v>0</v>
      </c>
      <c r="U83" s="1981"/>
      <c r="V83" s="12"/>
      <c r="W83" s="12"/>
      <c r="X83" s="12"/>
      <c r="Y83" s="12"/>
      <c r="Z83" s="1883">
        <f>SUM('Malaria-Equipment &amp; Other HPs'!$V83:$Y83)</f>
        <v>0</v>
      </c>
      <c r="AA83" s="1884">
        <f>'Malaria-Equipment &amp; Other HPs'!$U83*'Malaria-Equipment &amp; Other HPs'!$Z83</f>
        <v>0</v>
      </c>
      <c r="AB83" s="1975"/>
      <c r="AC83" s="12"/>
      <c r="AD83" s="12"/>
      <c r="AE83" s="12"/>
      <c r="AF83" s="12"/>
      <c r="AG83" s="1883">
        <f>SUM('Malaria-Equipment &amp; Other HPs'!$AC83:$AF83)</f>
        <v>0</v>
      </c>
      <c r="AH83" s="1884">
        <f>'Malaria-Equipment &amp; Other HPs'!$AB83*'Malaria-Equipment &amp; Other HPs'!$AG83</f>
        <v>0</v>
      </c>
      <c r="AI83" s="1885">
        <f>'Malaria-Equipment &amp; Other HPs'!$S83+'Malaria-Equipment &amp; Other HPs'!$Z83+'Malaria-Equipment &amp; Other HPs'!$AG83</f>
        <v>0</v>
      </c>
      <c r="AJ83" s="1884">
        <f>'Malaria-Equipment &amp; Other HPs'!$T83+'Malaria-Equipment &amp; Other HPs'!$AA83+'Malaria-Equipment &amp; Other HPs'!$AH83</f>
        <v>0</v>
      </c>
      <c r="AK83" s="1916" t="str">
        <f>IF(A83&lt;&gt;"",IFERROR(INDEX(PMtbl[[WKst]:[Unit of measure*]],MATCH($A$58&amp;$A83&amp;$E83&amp;$I83,INDEX(PMtbl[Sec]&amp;PMtbl[Category]&amp;PMtbl[INN]&amp;PMtbl[Specification],0,),0),7),""),"")</f>
        <v/>
      </c>
      <c r="AL83" s="957"/>
      <c r="AM83" s="1517" t="str">
        <f>IFERROR(INDEX(SETUP!$C$19:$G$62,MATCH((INDEX(PMtbl[[WKst]:[Unit of measure*]],MATCH($A83&amp;$E83&amp;$I83,INDEX(PMtbl[Category]&amp;PMtbl[INN]&amp;PMtbl[Specification],0,),0),3)),SETUP!$D$19:$D$62,0),5),"")</f>
        <v/>
      </c>
      <c r="AN83" s="1450"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62" s="198" customFormat="1">
      <c r="A84" s="2957"/>
      <c r="B84" s="2957"/>
      <c r="C84" s="2957"/>
      <c r="D84" s="2958"/>
      <c r="E84" s="2950"/>
      <c r="F84" s="2951"/>
      <c r="G84" s="2951"/>
      <c r="H84" s="2951"/>
      <c r="I84" s="2950"/>
      <c r="J84" s="2951"/>
      <c r="K84" s="2952"/>
      <c r="L84" s="254" t="str">
        <f>IF(A84&lt;&gt;"",IFERROR(INDEX(PMtbl[[WKst]:[Unit of measure*]],MATCH($A$58&amp;$A84&amp;$E84&amp;$I84,INDEX(PMtbl[Sec]&amp;PMtbl[Category]&amp;PMtbl[INN]&amp;PMtbl[Specification],0,),0),8),""),"")</f>
        <v/>
      </c>
      <c r="M84" s="254" t="str">
        <f>IF(L84="", "",SETUP!$E$5)</f>
        <v/>
      </c>
      <c r="N84" s="1976"/>
      <c r="O84" s="1977"/>
      <c r="P84" s="1977"/>
      <c r="Q84" s="1977"/>
      <c r="R84" s="1977"/>
      <c r="S84" s="1887">
        <f>SUM('Malaria-Equipment &amp; Other HPs'!$O84:$R84)</f>
        <v>0</v>
      </c>
      <c r="T84" s="1888">
        <f>'Malaria-Equipment &amp; Other HPs'!$N84*'Malaria-Equipment &amp; Other HPs'!$S84</f>
        <v>0</v>
      </c>
      <c r="U84" s="1982"/>
      <c r="V84" s="1977"/>
      <c r="W84" s="1977"/>
      <c r="X84" s="1977"/>
      <c r="Y84" s="1977"/>
      <c r="Z84" s="1887">
        <f>SUM('Malaria-Equipment &amp; Other HPs'!$V84:$Y84)</f>
        <v>0</v>
      </c>
      <c r="AA84" s="1888">
        <f>'Malaria-Equipment &amp; Other HPs'!$U84*'Malaria-Equipment &amp; Other HPs'!$Z84</f>
        <v>0</v>
      </c>
      <c r="AB84" s="1976"/>
      <c r="AC84" s="1977"/>
      <c r="AD84" s="1977"/>
      <c r="AE84" s="1977"/>
      <c r="AF84" s="1977"/>
      <c r="AG84" s="1887">
        <f>SUM('Malaria-Equipment &amp; Other HPs'!$AC84:$AF84)</f>
        <v>0</v>
      </c>
      <c r="AH84" s="1888">
        <f>'Malaria-Equipment &amp; Other HPs'!$AB84*'Malaria-Equipment &amp; Other HPs'!$AG84</f>
        <v>0</v>
      </c>
      <c r="AI84" s="1889">
        <f>'Malaria-Equipment &amp; Other HPs'!$S84+'Malaria-Equipment &amp; Other HPs'!$Z84+'Malaria-Equipment &amp; Other HPs'!$AG84</f>
        <v>0</v>
      </c>
      <c r="AJ84" s="1888">
        <f>'Malaria-Equipment &amp; Other HPs'!$T84+'Malaria-Equipment &amp; Other HPs'!$AA84+'Malaria-Equipment &amp; Other HPs'!$AH84</f>
        <v>0</v>
      </c>
      <c r="AK84" s="1917" t="str">
        <f>IF(A84&lt;&gt;"",IFERROR(INDEX(PMtbl[[WKst]:[Unit of measure*]],MATCH($A$58&amp;$A84&amp;$E84&amp;$I84,INDEX(PMtbl[Sec]&amp;PMtbl[Category]&amp;PMtbl[INN]&amp;PMtbl[Specification],0,),0),7),""),"")</f>
        <v/>
      </c>
      <c r="AL84" s="956"/>
      <c r="AM84" s="1518" t="str">
        <f>IFERROR(INDEX(SETUP!$C$19:$G$62,MATCH((INDEX(PMtbl[[WKst]:[Unit of measure*]],MATCH($A84&amp;$E84&amp;$I84,INDEX(PMtbl[Category]&amp;PMtbl[INN]&amp;PMtbl[Specification],0,),0),3)),SETUP!$D$19:$D$62,0),5),"")</f>
        <v/>
      </c>
      <c r="AN84" s="1449"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62" s="198" customFormat="1">
      <c r="A85" s="2955"/>
      <c r="B85" s="2955"/>
      <c r="C85" s="2955"/>
      <c r="D85" s="2956"/>
      <c r="E85" s="3042"/>
      <c r="F85" s="2435"/>
      <c r="G85" s="2435"/>
      <c r="H85" s="2435"/>
      <c r="I85" s="3042"/>
      <c r="J85" s="2435"/>
      <c r="K85" s="3049"/>
      <c r="L85" s="253" t="str">
        <f>IF(A85&lt;&gt;"",IFERROR(INDEX(PMtbl[[WKst]:[Unit of measure*]],MATCH($A$58&amp;$A85&amp;$E85&amp;$I85,INDEX(PMtbl[Sec]&amp;PMtbl[Category]&amp;PMtbl[INN]&amp;PMtbl[Specification],0,),0),8),""),"")</f>
        <v/>
      </c>
      <c r="M85" s="255" t="str">
        <f>IF(L85="", "",SETUP!$E$5)</f>
        <v/>
      </c>
      <c r="N85" s="1975"/>
      <c r="O85" s="12"/>
      <c r="P85" s="12"/>
      <c r="Q85" s="12"/>
      <c r="R85" s="12"/>
      <c r="S85" s="1883">
        <f>SUM('Malaria-Equipment &amp; Other HPs'!$O85:$R85)</f>
        <v>0</v>
      </c>
      <c r="T85" s="1884">
        <f>'Malaria-Equipment &amp; Other HPs'!$N85*'Malaria-Equipment &amp; Other HPs'!$S85</f>
        <v>0</v>
      </c>
      <c r="U85" s="1981"/>
      <c r="V85" s="12"/>
      <c r="W85" s="12"/>
      <c r="X85" s="12"/>
      <c r="Y85" s="12"/>
      <c r="Z85" s="1883">
        <f>SUM('Malaria-Equipment &amp; Other HPs'!$V85:$Y85)</f>
        <v>0</v>
      </c>
      <c r="AA85" s="1884">
        <f>'Malaria-Equipment &amp; Other HPs'!$U85*'Malaria-Equipment &amp; Other HPs'!$Z85</f>
        <v>0</v>
      </c>
      <c r="AB85" s="1975"/>
      <c r="AC85" s="12"/>
      <c r="AD85" s="12"/>
      <c r="AE85" s="12"/>
      <c r="AF85" s="12"/>
      <c r="AG85" s="1883">
        <f>SUM('Malaria-Equipment &amp; Other HPs'!$AC85:$AF85)</f>
        <v>0</v>
      </c>
      <c r="AH85" s="1884">
        <f>'Malaria-Equipment &amp; Other HPs'!$AB85*'Malaria-Equipment &amp; Other HPs'!$AG85</f>
        <v>0</v>
      </c>
      <c r="AI85" s="1885">
        <f>'Malaria-Equipment &amp; Other HPs'!$S85+'Malaria-Equipment &amp; Other HPs'!$Z85+'Malaria-Equipment &amp; Other HPs'!$AG85</f>
        <v>0</v>
      </c>
      <c r="AJ85" s="1884">
        <f>'Malaria-Equipment &amp; Other HPs'!$T85+'Malaria-Equipment &amp; Other HPs'!$AA85+'Malaria-Equipment &amp; Other HPs'!$AH85</f>
        <v>0</v>
      </c>
      <c r="AK85" s="1916" t="str">
        <f>IF(A85&lt;&gt;"",IFERROR(INDEX(PMtbl[[WKst]:[Unit of measure*]],MATCH($A$58&amp;$A85&amp;$E85&amp;$I85,INDEX(PMtbl[Sec]&amp;PMtbl[Category]&amp;PMtbl[INN]&amp;PMtbl[Specification],0,),0),7),""),"")</f>
        <v/>
      </c>
      <c r="AL85" s="957"/>
      <c r="AM85" s="1517" t="str">
        <f>IFERROR(INDEX(SETUP!$C$19:$G$62,MATCH((INDEX(PMtbl[[WKst]:[Unit of measure*]],MATCH($A85&amp;$E85&amp;$I85,INDEX(PMtbl[Category]&amp;PMtbl[INN]&amp;PMtbl[Specification],0,),0),3)),SETUP!$D$19:$D$62,0),5),"")</f>
        <v/>
      </c>
      <c r="AN85" s="1450"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62">
      <c r="A86" s="2957"/>
      <c r="B86" s="2957"/>
      <c r="C86" s="2957"/>
      <c r="D86" s="2958"/>
      <c r="E86" s="2950"/>
      <c r="F86" s="2951"/>
      <c r="G86" s="2951"/>
      <c r="H86" s="2951"/>
      <c r="I86" s="2950"/>
      <c r="J86" s="2951"/>
      <c r="K86" s="2952"/>
      <c r="L86" s="254" t="str">
        <f>IF(A86&lt;&gt;"",IFERROR(INDEX(PMtbl[[WKst]:[Unit of measure*]],MATCH($A$58&amp;$A86&amp;$E86&amp;$I86,INDEX(PMtbl[Sec]&amp;PMtbl[Category]&amp;PMtbl[INN]&amp;PMtbl[Specification],0,),0),8),""),"")</f>
        <v/>
      </c>
      <c r="M86" s="254" t="str">
        <f>IF(L86="", "",SETUP!$E$5)</f>
        <v/>
      </c>
      <c r="N86" s="1976"/>
      <c r="O86" s="1977"/>
      <c r="P86" s="1977"/>
      <c r="Q86" s="1977"/>
      <c r="R86" s="1977"/>
      <c r="S86" s="1887">
        <f>SUM('Malaria-Equipment &amp; Other HPs'!$O86:$R86)</f>
        <v>0</v>
      </c>
      <c r="T86" s="1888">
        <f>'Malaria-Equipment &amp; Other HPs'!$N86*'Malaria-Equipment &amp; Other HPs'!$S86</f>
        <v>0</v>
      </c>
      <c r="U86" s="1982"/>
      <c r="V86" s="1977"/>
      <c r="W86" s="1977"/>
      <c r="X86" s="1977"/>
      <c r="Y86" s="1977"/>
      <c r="Z86" s="1887">
        <f>SUM('Malaria-Equipment &amp; Other HPs'!$V86:$Y86)</f>
        <v>0</v>
      </c>
      <c r="AA86" s="1888">
        <f>'Malaria-Equipment &amp; Other HPs'!$U86*'Malaria-Equipment &amp; Other HPs'!$Z86</f>
        <v>0</v>
      </c>
      <c r="AB86" s="1976"/>
      <c r="AC86" s="1977"/>
      <c r="AD86" s="1977"/>
      <c r="AE86" s="1977"/>
      <c r="AF86" s="1977"/>
      <c r="AG86" s="1887">
        <f>SUM('Malaria-Equipment &amp; Other HPs'!$AC86:$AF86)</f>
        <v>0</v>
      </c>
      <c r="AH86" s="1888">
        <f>'Malaria-Equipment &amp; Other HPs'!$AB86*'Malaria-Equipment &amp; Other HPs'!$AG86</f>
        <v>0</v>
      </c>
      <c r="AI86" s="1889">
        <f>'Malaria-Equipment &amp; Other HPs'!$S86+'Malaria-Equipment &amp; Other HPs'!$Z86+'Malaria-Equipment &amp; Other HPs'!$AG86</f>
        <v>0</v>
      </c>
      <c r="AJ86" s="1888">
        <f>'Malaria-Equipment &amp; Other HPs'!$T86+'Malaria-Equipment &amp; Other HPs'!$AA86+'Malaria-Equipment &amp; Other HPs'!$AH86</f>
        <v>0</v>
      </c>
      <c r="AK86" s="1918" t="str">
        <f>IF(A86&lt;&gt;"",IFERROR(INDEX(PMtbl[[WKst]:[Unit of measure*]],MATCH($A$58&amp;$A86&amp;$E86&amp;$I86,INDEX(PMtbl[Sec]&amp;PMtbl[Category]&amp;PMtbl[INN]&amp;PMtbl[Specification],0,),0),7),""),"")</f>
        <v/>
      </c>
      <c r="AL86" s="956"/>
      <c r="AM86" s="1518" t="str">
        <f>IFERROR(INDEX(SETUP!$C$19:$G$62,MATCH((INDEX(PMtbl[[WKst]:[Unit of measure*]],MATCH($A86&amp;$E86&amp;$I86,INDEX(PMtbl[Category]&amp;PMtbl[INN]&amp;PMtbl[Specification],0,),0),3)),SETUP!$D$19:$D$62,0),5),"")</f>
        <v/>
      </c>
      <c r="AN86" s="1449"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c r="AU86" s="198"/>
      <c r="AV86" s="198"/>
      <c r="BJ86" s="198"/>
    </row>
    <row r="87" spans="1:62">
      <c r="A87" s="2955"/>
      <c r="B87" s="2955"/>
      <c r="C87" s="2955"/>
      <c r="D87" s="2956"/>
      <c r="E87" s="3042"/>
      <c r="F87" s="2435"/>
      <c r="G87" s="2435"/>
      <c r="H87" s="2435"/>
      <c r="I87" s="3042"/>
      <c r="J87" s="2435"/>
      <c r="K87" s="3049"/>
      <c r="L87" s="253" t="str">
        <f>IF(A87&lt;&gt;"",IFERROR(INDEX(PMtbl[[WKst]:[Unit of measure*]],MATCH($A$58&amp;$A87&amp;$E87&amp;$I87,INDEX(PMtbl[Sec]&amp;PMtbl[Category]&amp;PMtbl[INN]&amp;PMtbl[Specification],0,),0),8),""),"")</f>
        <v/>
      </c>
      <c r="M87" s="255" t="str">
        <f>IF(L87="", "",SETUP!$E$5)</f>
        <v/>
      </c>
      <c r="N87" s="1975"/>
      <c r="O87" s="12"/>
      <c r="P87" s="12"/>
      <c r="Q87" s="12"/>
      <c r="R87" s="12"/>
      <c r="S87" s="1883">
        <f>SUM('Malaria-Equipment &amp; Other HPs'!$O87:$R87)</f>
        <v>0</v>
      </c>
      <c r="T87" s="1884">
        <f>'Malaria-Equipment &amp; Other HPs'!$N87*'Malaria-Equipment &amp; Other HPs'!$S87</f>
        <v>0</v>
      </c>
      <c r="U87" s="1981"/>
      <c r="V87" s="12"/>
      <c r="W87" s="12"/>
      <c r="X87" s="12"/>
      <c r="Y87" s="12"/>
      <c r="Z87" s="1883">
        <f>SUM('Malaria-Equipment &amp; Other HPs'!$V87:$Y87)</f>
        <v>0</v>
      </c>
      <c r="AA87" s="1884">
        <f>'Malaria-Equipment &amp; Other HPs'!$U87*'Malaria-Equipment &amp; Other HPs'!$Z87</f>
        <v>0</v>
      </c>
      <c r="AB87" s="1975"/>
      <c r="AC87" s="12"/>
      <c r="AD87" s="12"/>
      <c r="AE87" s="12"/>
      <c r="AF87" s="12"/>
      <c r="AG87" s="1883">
        <f>SUM('Malaria-Equipment &amp; Other HPs'!$AC87:$AF87)</f>
        <v>0</v>
      </c>
      <c r="AH87" s="1884">
        <f>'Malaria-Equipment &amp; Other HPs'!$AB87*'Malaria-Equipment &amp; Other HPs'!$AG87</f>
        <v>0</v>
      </c>
      <c r="AI87" s="1885">
        <f>'Malaria-Equipment &amp; Other HPs'!$S87+'Malaria-Equipment &amp; Other HPs'!$Z87+'Malaria-Equipment &amp; Other HPs'!$AG87</f>
        <v>0</v>
      </c>
      <c r="AJ87" s="1884">
        <f>'Malaria-Equipment &amp; Other HPs'!$T87+'Malaria-Equipment &amp; Other HPs'!$AA87+'Malaria-Equipment &amp; Other HPs'!$AH87</f>
        <v>0</v>
      </c>
      <c r="AK87" s="1919" t="str">
        <f>IF(A87&lt;&gt;"",IFERROR(INDEX(PMtbl[[WKst]:[Unit of measure*]],MATCH($A$58&amp;$A87&amp;$E87&amp;$I87,INDEX(PMtbl[Sec]&amp;PMtbl[Category]&amp;PMtbl[INN]&amp;PMtbl[Specification],0,),0),7),""),"")</f>
        <v/>
      </c>
      <c r="AL87" s="957"/>
      <c r="AM87" s="1517" t="str">
        <f>IFERROR(INDEX(SETUP!$C$19:$G$62,MATCH((INDEX(PMtbl[[WKst]:[Unit of measure*]],MATCH($A87&amp;$E87&amp;$I87,INDEX(PMtbl[Category]&amp;PMtbl[INN]&amp;PMtbl[Specification],0,),0),3)),SETUP!$D$19:$D$62,0),5),"")</f>
        <v/>
      </c>
      <c r="AN87" s="1450"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row r="88" spans="1:62">
      <c r="A88" s="2957"/>
      <c r="B88" s="2957"/>
      <c r="C88" s="2957"/>
      <c r="D88" s="2958"/>
      <c r="E88" s="2950"/>
      <c r="F88" s="2951"/>
      <c r="G88" s="2951"/>
      <c r="H88" s="2951"/>
      <c r="I88" s="2950"/>
      <c r="J88" s="2951"/>
      <c r="K88" s="2952"/>
      <c r="L88" s="254" t="str">
        <f>IF(A88&lt;&gt;"",IFERROR(INDEX(PMtbl[[WKst]:[Unit of measure*]],MATCH($A$58&amp;$A88&amp;$E88&amp;$I88,INDEX(PMtbl[Sec]&amp;PMtbl[Category]&amp;PMtbl[INN]&amp;PMtbl[Specification],0,),0),8),""),"")</f>
        <v/>
      </c>
      <c r="M88" s="254" t="str">
        <f>IF(L88="", "",SETUP!$E$5)</f>
        <v/>
      </c>
      <c r="N88" s="1976"/>
      <c r="O88" s="1977"/>
      <c r="P88" s="1977"/>
      <c r="Q88" s="1977"/>
      <c r="R88" s="1977"/>
      <c r="S88" s="1887">
        <f>SUM('Malaria-Equipment &amp; Other HPs'!$O88:$R88)</f>
        <v>0</v>
      </c>
      <c r="T88" s="1888">
        <f>'Malaria-Equipment &amp; Other HPs'!$N88*'Malaria-Equipment &amp; Other HPs'!$S88</f>
        <v>0</v>
      </c>
      <c r="U88" s="1982"/>
      <c r="V88" s="1977"/>
      <c r="W88" s="1977"/>
      <c r="X88" s="1977"/>
      <c r="Y88" s="1977"/>
      <c r="Z88" s="1887">
        <f>SUM('Malaria-Equipment &amp; Other HPs'!$V88:$Y88)</f>
        <v>0</v>
      </c>
      <c r="AA88" s="1888">
        <f>'Malaria-Equipment &amp; Other HPs'!$U88*'Malaria-Equipment &amp; Other HPs'!$Z88</f>
        <v>0</v>
      </c>
      <c r="AB88" s="1976"/>
      <c r="AC88" s="1977"/>
      <c r="AD88" s="1977"/>
      <c r="AE88" s="1977"/>
      <c r="AF88" s="1977"/>
      <c r="AG88" s="1887">
        <f>SUM('Malaria-Equipment &amp; Other HPs'!$AC88:$AF88)</f>
        <v>0</v>
      </c>
      <c r="AH88" s="1888">
        <f>'Malaria-Equipment &amp; Other HPs'!$AB88*'Malaria-Equipment &amp; Other HPs'!$AG88</f>
        <v>0</v>
      </c>
      <c r="AI88" s="1889">
        <f>'Malaria-Equipment &amp; Other HPs'!$S88+'Malaria-Equipment &amp; Other HPs'!$Z88+'Malaria-Equipment &amp; Other HPs'!$AG88</f>
        <v>0</v>
      </c>
      <c r="AJ88" s="1888">
        <f>'Malaria-Equipment &amp; Other HPs'!$T88+'Malaria-Equipment &amp; Other HPs'!$AA88+'Malaria-Equipment &amp; Other HPs'!$AH88</f>
        <v>0</v>
      </c>
      <c r="AK88" s="1918" t="str">
        <f>IF(A88&lt;&gt;"",IFERROR(INDEX(PMtbl[[WKst]:[Unit of measure*]],MATCH($A$58&amp;$A88&amp;$E88&amp;$I88,INDEX(PMtbl[Sec]&amp;PMtbl[Category]&amp;PMtbl[INN]&amp;PMtbl[Specification],0,),0),7),""),"")</f>
        <v/>
      </c>
      <c r="AL88" s="956"/>
      <c r="AM88" s="1518" t="str">
        <f>IFERROR(INDEX(SETUP!$C$19:$G$62,MATCH((INDEX(PMtbl[[WKst]:[Unit of measure*]],MATCH($A88&amp;$E88&amp;$I88,INDEX(PMtbl[Category]&amp;PMtbl[INN]&amp;PMtbl[Specification],0,),0),3)),SETUP!$D$19:$D$62,0),5),"")</f>
        <v/>
      </c>
      <c r="AN88" s="1449" t="str">
        <f>IFERROR(IF((INDEX(SETUP!$C$19:$G$62,MATCH((INDEX(PMtbl[[WKst]:[Unit of measure*]],MATCH($A88&amp;$E88&amp;$I88,INDEX(PMtbl[Category]&amp;PMtbl[INN]&amp;PMtbl[Specification],0,),0),3)),SETUP!$D$19:$D$62,0),4))="Upfront",0,INDEX(SETUP!$C$19:$G$62,MATCH((INDEX(PMtbl[[WKst]:[Unit of measure*]],MATCH($A88&amp;$E88&amp;$I88,INDEX(PMtbl[Category]&amp;PMtbl[INN]&amp;PMtbl[Specification],0,),0),3)),SETUP!$D$19:$D$62,0),5)),"")</f>
        <v/>
      </c>
    </row>
    <row r="89" spans="1:62">
      <c r="A89" s="2955"/>
      <c r="B89" s="2955"/>
      <c r="C89" s="2955"/>
      <c r="D89" s="2956"/>
      <c r="E89" s="3042"/>
      <c r="F89" s="2435"/>
      <c r="G89" s="2435"/>
      <c r="H89" s="2435"/>
      <c r="I89" s="3042"/>
      <c r="J89" s="2435"/>
      <c r="K89" s="3049"/>
      <c r="L89" s="253" t="str">
        <f>IF(A89&lt;&gt;"",IFERROR(INDEX(PMtbl[[WKst]:[Unit of measure*]],MATCH($A$58&amp;$A89&amp;$E89&amp;$I89,INDEX(PMtbl[Sec]&amp;PMtbl[Category]&amp;PMtbl[INN]&amp;PMtbl[Specification],0,),0),8),""),"")</f>
        <v/>
      </c>
      <c r="M89" s="255" t="str">
        <f>IF(L89="", "",SETUP!$E$5)</f>
        <v/>
      </c>
      <c r="N89" s="1975"/>
      <c r="O89" s="12"/>
      <c r="P89" s="12"/>
      <c r="Q89" s="12"/>
      <c r="R89" s="12"/>
      <c r="S89" s="1883">
        <f>SUM('Malaria-Equipment &amp; Other HPs'!$O89:$R89)</f>
        <v>0</v>
      </c>
      <c r="T89" s="1884">
        <f>'Malaria-Equipment &amp; Other HPs'!$N89*'Malaria-Equipment &amp; Other HPs'!$S89</f>
        <v>0</v>
      </c>
      <c r="U89" s="1981"/>
      <c r="V89" s="12"/>
      <c r="W89" s="12"/>
      <c r="X89" s="12"/>
      <c r="Y89" s="12"/>
      <c r="Z89" s="1883">
        <f>SUM('Malaria-Equipment &amp; Other HPs'!$V89:$Y89)</f>
        <v>0</v>
      </c>
      <c r="AA89" s="1884">
        <f>'Malaria-Equipment &amp; Other HPs'!$U89*'Malaria-Equipment &amp; Other HPs'!$Z89</f>
        <v>0</v>
      </c>
      <c r="AB89" s="1975"/>
      <c r="AC89" s="12"/>
      <c r="AD89" s="12"/>
      <c r="AE89" s="12"/>
      <c r="AF89" s="12"/>
      <c r="AG89" s="1883">
        <f>SUM('Malaria-Equipment &amp; Other HPs'!$AC89:$AF89)</f>
        <v>0</v>
      </c>
      <c r="AH89" s="1884">
        <f>'Malaria-Equipment &amp; Other HPs'!$AB89*'Malaria-Equipment &amp; Other HPs'!$AG89</f>
        <v>0</v>
      </c>
      <c r="AI89" s="1885">
        <f>'Malaria-Equipment &amp; Other HPs'!$S89+'Malaria-Equipment &amp; Other HPs'!$Z89+'Malaria-Equipment &amp; Other HPs'!$AG89</f>
        <v>0</v>
      </c>
      <c r="AJ89" s="1884">
        <f>'Malaria-Equipment &amp; Other HPs'!$T89+'Malaria-Equipment &amp; Other HPs'!$AA89+'Malaria-Equipment &amp; Other HPs'!$AH89</f>
        <v>0</v>
      </c>
      <c r="AK89" s="1919" t="str">
        <f>IF(A89&lt;&gt;"",IFERROR(INDEX(PMtbl[[WKst]:[Unit of measure*]],MATCH($A$58&amp;$A89&amp;$E89&amp;$I89,INDEX(PMtbl[Sec]&amp;PMtbl[Category]&amp;PMtbl[INN]&amp;PMtbl[Specification],0,),0),7),""),"")</f>
        <v/>
      </c>
      <c r="AL89" s="957"/>
      <c r="AM89" s="1517" t="str">
        <f>IFERROR(INDEX(SETUP!$C$19:$G$62,MATCH((INDEX(PMtbl[[WKst]:[Unit of measure*]],MATCH($A89&amp;$E89&amp;$I89,INDEX(PMtbl[Category]&amp;PMtbl[INN]&amp;PMtbl[Specification],0,),0),3)),SETUP!$D$19:$D$62,0),5),"")</f>
        <v/>
      </c>
      <c r="AN89" s="1450" t="str">
        <f>IFERROR(IF((INDEX(SETUP!$C$19:$G$62,MATCH((INDEX(PMtbl[[WKst]:[Unit of measure*]],MATCH($A89&amp;$E89&amp;$I89,INDEX(PMtbl[Category]&amp;PMtbl[INN]&amp;PMtbl[Specification],0,),0),3)),SETUP!$D$19:$D$62,0),4))="Upfront",0,INDEX(SETUP!$C$19:$G$62,MATCH((INDEX(PMtbl[[WKst]:[Unit of measure*]],MATCH($A89&amp;$E89&amp;$I89,INDEX(PMtbl[Category]&amp;PMtbl[INN]&amp;PMtbl[Specification],0,),0),3)),SETUP!$D$19:$D$62,0),5)),"")</f>
        <v/>
      </c>
    </row>
    <row r="90" spans="1:62">
      <c r="A90" s="2957"/>
      <c r="B90" s="2957"/>
      <c r="C90" s="2957"/>
      <c r="D90" s="2958"/>
      <c r="E90" s="2950"/>
      <c r="F90" s="2951"/>
      <c r="G90" s="2951"/>
      <c r="H90" s="2951"/>
      <c r="I90" s="2950"/>
      <c r="J90" s="2951"/>
      <c r="K90" s="2952"/>
      <c r="L90" s="254" t="str">
        <f>IF(A90&lt;&gt;"",IFERROR(INDEX(PMtbl[[WKst]:[Unit of measure*]],MATCH($A$58&amp;$A90&amp;$E90&amp;$I90,INDEX(PMtbl[Sec]&amp;PMtbl[Category]&amp;PMtbl[INN]&amp;PMtbl[Specification],0,),0),8),""),"")</f>
        <v/>
      </c>
      <c r="M90" s="254" t="str">
        <f>IF(L90="", "",SETUP!$E$5)</f>
        <v/>
      </c>
      <c r="N90" s="1976"/>
      <c r="O90" s="1977"/>
      <c r="P90" s="1977"/>
      <c r="Q90" s="1977"/>
      <c r="R90" s="1977"/>
      <c r="S90" s="1887">
        <f>SUM('Malaria-Equipment &amp; Other HPs'!$O90:$R90)</f>
        <v>0</v>
      </c>
      <c r="T90" s="1888">
        <f>'Malaria-Equipment &amp; Other HPs'!$N90*'Malaria-Equipment &amp; Other HPs'!$S90</f>
        <v>0</v>
      </c>
      <c r="U90" s="1982"/>
      <c r="V90" s="1977"/>
      <c r="W90" s="1977"/>
      <c r="X90" s="1977"/>
      <c r="Y90" s="1977"/>
      <c r="Z90" s="1887">
        <f>SUM('Malaria-Equipment &amp; Other HPs'!$V90:$Y90)</f>
        <v>0</v>
      </c>
      <c r="AA90" s="1888">
        <f>'Malaria-Equipment &amp; Other HPs'!$U90*'Malaria-Equipment &amp; Other HPs'!$Z90</f>
        <v>0</v>
      </c>
      <c r="AB90" s="1976"/>
      <c r="AC90" s="1977"/>
      <c r="AD90" s="1977"/>
      <c r="AE90" s="1977"/>
      <c r="AF90" s="1977"/>
      <c r="AG90" s="1887">
        <f>SUM('Malaria-Equipment &amp; Other HPs'!$AC90:$AF90)</f>
        <v>0</v>
      </c>
      <c r="AH90" s="1888">
        <f>'Malaria-Equipment &amp; Other HPs'!$AB90*'Malaria-Equipment &amp; Other HPs'!$AG90</f>
        <v>0</v>
      </c>
      <c r="AI90" s="1889">
        <f>'Malaria-Equipment &amp; Other HPs'!$S90+'Malaria-Equipment &amp; Other HPs'!$Z90+'Malaria-Equipment &amp; Other HPs'!$AG90</f>
        <v>0</v>
      </c>
      <c r="AJ90" s="1888">
        <f>'Malaria-Equipment &amp; Other HPs'!$T90+'Malaria-Equipment &amp; Other HPs'!$AA90+'Malaria-Equipment &amp; Other HPs'!$AH90</f>
        <v>0</v>
      </c>
      <c r="AK90" s="1918" t="str">
        <f>IF(A90&lt;&gt;"",IFERROR(INDEX(PMtbl[[WKst]:[Unit of measure*]],MATCH($A$58&amp;$A90&amp;$E90&amp;$I90,INDEX(PMtbl[Sec]&amp;PMtbl[Category]&amp;PMtbl[INN]&amp;PMtbl[Specification],0,),0),7),""),"")</f>
        <v/>
      </c>
      <c r="AL90" s="956"/>
      <c r="AM90" s="1518" t="str">
        <f>IFERROR(INDEX(SETUP!$C$19:$G$62,MATCH((INDEX(PMtbl[[WKst]:[Unit of measure*]],MATCH($A90&amp;$E90&amp;$I90,INDEX(PMtbl[Category]&amp;PMtbl[INN]&amp;PMtbl[Specification],0,),0),3)),SETUP!$D$19:$D$62,0),5),"")</f>
        <v/>
      </c>
      <c r="AN90" s="1449" t="str">
        <f>IFERROR(IF((INDEX(SETUP!$C$19:$G$62,MATCH((INDEX(PMtbl[[WKst]:[Unit of measure*]],MATCH($A90&amp;$E90&amp;$I90,INDEX(PMtbl[Category]&amp;PMtbl[INN]&amp;PMtbl[Specification],0,),0),3)),SETUP!$D$19:$D$62,0),4))="Upfront",0,INDEX(SETUP!$C$19:$G$62,MATCH((INDEX(PMtbl[[WKst]:[Unit of measure*]],MATCH($A90&amp;$E90&amp;$I90,INDEX(PMtbl[Category]&amp;PMtbl[INN]&amp;PMtbl[Specification],0,),0),3)),SETUP!$D$19:$D$62,0),5)),"")</f>
        <v/>
      </c>
    </row>
    <row r="91" spans="1:62">
      <c r="A91" s="2955"/>
      <c r="B91" s="2955"/>
      <c r="C91" s="2955"/>
      <c r="D91" s="2956"/>
      <c r="E91" s="3042"/>
      <c r="F91" s="2435"/>
      <c r="G91" s="2435"/>
      <c r="H91" s="2435"/>
      <c r="I91" s="3042"/>
      <c r="J91" s="2435"/>
      <c r="K91" s="3049"/>
      <c r="L91" s="253" t="str">
        <f>IF(A91&lt;&gt;"",IFERROR(INDEX(PMtbl[[WKst]:[Unit of measure*]],MATCH($A$58&amp;$A91&amp;$E91&amp;$I91,INDEX(PMtbl[Sec]&amp;PMtbl[Category]&amp;PMtbl[INN]&amp;PMtbl[Specification],0,),0),8),""),"")</f>
        <v/>
      </c>
      <c r="M91" s="255" t="str">
        <f>IF(L91="", "",SETUP!$E$5)</f>
        <v/>
      </c>
      <c r="N91" s="1975"/>
      <c r="O91" s="12"/>
      <c r="P91" s="12"/>
      <c r="Q91" s="12"/>
      <c r="R91" s="12"/>
      <c r="S91" s="1883">
        <f>SUM('Malaria-Equipment &amp; Other HPs'!$O91:$R91)</f>
        <v>0</v>
      </c>
      <c r="T91" s="1884">
        <f>'Malaria-Equipment &amp; Other HPs'!$N91*'Malaria-Equipment &amp; Other HPs'!$S91</f>
        <v>0</v>
      </c>
      <c r="U91" s="1981"/>
      <c r="V91" s="12"/>
      <c r="W91" s="12"/>
      <c r="X91" s="12"/>
      <c r="Y91" s="12"/>
      <c r="Z91" s="1883">
        <f>SUM('Malaria-Equipment &amp; Other HPs'!$V91:$Y91)</f>
        <v>0</v>
      </c>
      <c r="AA91" s="1884">
        <f>'Malaria-Equipment &amp; Other HPs'!$U91*'Malaria-Equipment &amp; Other HPs'!$Z91</f>
        <v>0</v>
      </c>
      <c r="AB91" s="1975"/>
      <c r="AC91" s="12"/>
      <c r="AD91" s="12"/>
      <c r="AE91" s="12"/>
      <c r="AF91" s="12"/>
      <c r="AG91" s="1883">
        <f>SUM('Malaria-Equipment &amp; Other HPs'!$AC91:$AF91)</f>
        <v>0</v>
      </c>
      <c r="AH91" s="1884">
        <f>'Malaria-Equipment &amp; Other HPs'!$AB91*'Malaria-Equipment &amp; Other HPs'!$AG91</f>
        <v>0</v>
      </c>
      <c r="AI91" s="1885">
        <f>'Malaria-Equipment &amp; Other HPs'!$S91+'Malaria-Equipment &amp; Other HPs'!$Z91+'Malaria-Equipment &amp; Other HPs'!$AG91</f>
        <v>0</v>
      </c>
      <c r="AJ91" s="1884">
        <f>'Malaria-Equipment &amp; Other HPs'!$T91+'Malaria-Equipment &amp; Other HPs'!$AA91+'Malaria-Equipment &amp; Other HPs'!$AH91</f>
        <v>0</v>
      </c>
      <c r="AK91" s="1919" t="str">
        <f>IF(A91&lt;&gt;"",IFERROR(INDEX(PMtbl[[WKst]:[Unit of measure*]],MATCH($A$58&amp;$A91&amp;$E91&amp;$I91,INDEX(PMtbl[Sec]&amp;PMtbl[Category]&amp;PMtbl[INN]&amp;PMtbl[Specification],0,),0),7),""),"")</f>
        <v/>
      </c>
      <c r="AL91" s="957"/>
      <c r="AM91" s="1517" t="str">
        <f>IFERROR(INDEX(SETUP!$C$19:$G$62,MATCH((INDEX(PMtbl[[WKst]:[Unit of measure*]],MATCH($A91&amp;$E91&amp;$I91,INDEX(PMtbl[Category]&amp;PMtbl[INN]&amp;PMtbl[Specification],0,),0),3)),SETUP!$D$19:$D$62,0),5),"")</f>
        <v/>
      </c>
      <c r="AN91" s="1450"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row>
    <row r="92" spans="1:62">
      <c r="A92" s="2957"/>
      <c r="B92" s="2957"/>
      <c r="C92" s="2957"/>
      <c r="D92" s="2958"/>
      <c r="E92" s="2950"/>
      <c r="F92" s="2951"/>
      <c r="G92" s="2951"/>
      <c r="H92" s="2951"/>
      <c r="I92" s="2950"/>
      <c r="J92" s="2951"/>
      <c r="K92" s="2952"/>
      <c r="L92" s="254" t="str">
        <f>IF(A92&lt;&gt;"",IFERROR(INDEX(PMtbl[[WKst]:[Unit of measure*]],MATCH($A$58&amp;$A92&amp;$E92&amp;$I92,INDEX(PMtbl[Sec]&amp;PMtbl[Category]&amp;PMtbl[INN]&amp;PMtbl[Specification],0,),0),8),""),"")</f>
        <v/>
      </c>
      <c r="M92" s="254" t="str">
        <f>IF(L92="", "",SETUP!$E$5)</f>
        <v/>
      </c>
      <c r="N92" s="1976"/>
      <c r="O92" s="1977"/>
      <c r="P92" s="1977"/>
      <c r="Q92" s="1977"/>
      <c r="R92" s="1977"/>
      <c r="S92" s="1887">
        <f>SUM('Malaria-Equipment &amp; Other HPs'!$O92:$R92)</f>
        <v>0</v>
      </c>
      <c r="T92" s="1888">
        <f>'Malaria-Equipment &amp; Other HPs'!$N92*'Malaria-Equipment &amp; Other HPs'!$S92</f>
        <v>0</v>
      </c>
      <c r="U92" s="1982"/>
      <c r="V92" s="1977"/>
      <c r="W92" s="1977"/>
      <c r="X92" s="1977"/>
      <c r="Y92" s="1977"/>
      <c r="Z92" s="1887">
        <f>SUM('Malaria-Equipment &amp; Other HPs'!$V92:$Y92)</f>
        <v>0</v>
      </c>
      <c r="AA92" s="1888">
        <f>'Malaria-Equipment &amp; Other HPs'!$U92*'Malaria-Equipment &amp; Other HPs'!$Z92</f>
        <v>0</v>
      </c>
      <c r="AB92" s="1976"/>
      <c r="AC92" s="1977"/>
      <c r="AD92" s="1977"/>
      <c r="AE92" s="1977"/>
      <c r="AF92" s="1977"/>
      <c r="AG92" s="1887">
        <f>SUM('Malaria-Equipment &amp; Other HPs'!$AC92:$AF92)</f>
        <v>0</v>
      </c>
      <c r="AH92" s="1888">
        <f>'Malaria-Equipment &amp; Other HPs'!$AB92*'Malaria-Equipment &amp; Other HPs'!$AG92</f>
        <v>0</v>
      </c>
      <c r="AI92" s="1889">
        <f>'Malaria-Equipment &amp; Other HPs'!$S92+'Malaria-Equipment &amp; Other HPs'!$Z92+'Malaria-Equipment &amp; Other HPs'!$AG92</f>
        <v>0</v>
      </c>
      <c r="AJ92" s="1888">
        <f>'Malaria-Equipment &amp; Other HPs'!$T92+'Malaria-Equipment &amp; Other HPs'!$AA92+'Malaria-Equipment &amp; Other HPs'!$AH92</f>
        <v>0</v>
      </c>
      <c r="AK92" s="1918" t="str">
        <f>IF(A92&lt;&gt;"",IFERROR(INDEX(PMtbl[[WKst]:[Unit of measure*]],MATCH($A$58&amp;$A92&amp;$E92&amp;$I92,INDEX(PMtbl[Sec]&amp;PMtbl[Category]&amp;PMtbl[INN]&amp;PMtbl[Specification],0,),0),7),""),"")</f>
        <v/>
      </c>
      <c r="AL92" s="956"/>
      <c r="AM92" s="1518" t="str">
        <f>IFERROR(INDEX(SETUP!$C$19:$G$62,MATCH((INDEX(PMtbl[[WKst]:[Unit of measure*]],MATCH($A92&amp;$E92&amp;$I92,INDEX(PMtbl[Category]&amp;PMtbl[INN]&amp;PMtbl[Specification],0,),0),3)),SETUP!$D$19:$D$62,0),5),"")</f>
        <v/>
      </c>
      <c r="AN92" s="1449"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row>
    <row r="93" spans="1:62">
      <c r="A93" s="2955"/>
      <c r="B93" s="2955"/>
      <c r="C93" s="2955"/>
      <c r="D93" s="2956"/>
      <c r="E93" s="3042"/>
      <c r="F93" s="2435"/>
      <c r="G93" s="2435"/>
      <c r="H93" s="2435"/>
      <c r="I93" s="3042"/>
      <c r="J93" s="2435"/>
      <c r="K93" s="3049"/>
      <c r="L93" s="253" t="str">
        <f>IF(A93&lt;&gt;"",IFERROR(INDEX(PMtbl[[WKst]:[Unit of measure*]],MATCH($A$58&amp;$A93&amp;$E93&amp;$I93,INDEX(PMtbl[Sec]&amp;PMtbl[Category]&amp;PMtbl[INN]&amp;PMtbl[Specification],0,),0),8),""),"")</f>
        <v/>
      </c>
      <c r="M93" s="255" t="str">
        <f>IF(L93="", "",SETUP!$E$5)</f>
        <v/>
      </c>
      <c r="N93" s="1975"/>
      <c r="O93" s="12"/>
      <c r="P93" s="12"/>
      <c r="Q93" s="12"/>
      <c r="R93" s="12"/>
      <c r="S93" s="1883">
        <f>SUM('Malaria-Equipment &amp; Other HPs'!$O93:$R93)</f>
        <v>0</v>
      </c>
      <c r="T93" s="1884">
        <f>'Malaria-Equipment &amp; Other HPs'!$N93*'Malaria-Equipment &amp; Other HPs'!$S93</f>
        <v>0</v>
      </c>
      <c r="U93" s="1981"/>
      <c r="V93" s="12"/>
      <c r="W93" s="12"/>
      <c r="X93" s="12"/>
      <c r="Y93" s="12"/>
      <c r="Z93" s="1883">
        <f>SUM('Malaria-Equipment &amp; Other HPs'!$V93:$Y93)</f>
        <v>0</v>
      </c>
      <c r="AA93" s="1884">
        <f>'Malaria-Equipment &amp; Other HPs'!$U93*'Malaria-Equipment &amp; Other HPs'!$Z93</f>
        <v>0</v>
      </c>
      <c r="AB93" s="1975"/>
      <c r="AC93" s="12"/>
      <c r="AD93" s="12"/>
      <c r="AE93" s="12"/>
      <c r="AF93" s="12"/>
      <c r="AG93" s="1883">
        <f>SUM('Malaria-Equipment &amp; Other HPs'!$AC93:$AF93)</f>
        <v>0</v>
      </c>
      <c r="AH93" s="1884">
        <f>'Malaria-Equipment &amp; Other HPs'!$AB93*'Malaria-Equipment &amp; Other HPs'!$AG93</f>
        <v>0</v>
      </c>
      <c r="AI93" s="1885">
        <f>'Malaria-Equipment &amp; Other HPs'!$S93+'Malaria-Equipment &amp; Other HPs'!$Z93+'Malaria-Equipment &amp; Other HPs'!$AG93</f>
        <v>0</v>
      </c>
      <c r="AJ93" s="1884">
        <f>'Malaria-Equipment &amp; Other HPs'!$T93+'Malaria-Equipment &amp; Other HPs'!$AA93+'Malaria-Equipment &amp; Other HPs'!$AH93</f>
        <v>0</v>
      </c>
      <c r="AK93" s="1919" t="str">
        <f>IF(A93&lt;&gt;"",IFERROR(INDEX(PMtbl[[WKst]:[Unit of measure*]],MATCH($A$58&amp;$A93&amp;$E93&amp;$I93,INDEX(PMtbl[Sec]&amp;PMtbl[Category]&amp;PMtbl[INN]&amp;PMtbl[Specification],0,),0),7),""),"")</f>
        <v/>
      </c>
      <c r="AL93" s="957"/>
      <c r="AM93" s="1517" t="str">
        <f>IFERROR(INDEX(SETUP!$C$19:$G$62,MATCH((INDEX(PMtbl[[WKst]:[Unit of measure*]],MATCH($A93&amp;$E93&amp;$I93,INDEX(PMtbl[Category]&amp;PMtbl[INN]&amp;PMtbl[Specification],0,),0),3)),SETUP!$D$19:$D$62,0),5),"")</f>
        <v/>
      </c>
      <c r="AN93" s="1450"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row>
    <row r="94" spans="1:62">
      <c r="A94" s="2957"/>
      <c r="B94" s="2957"/>
      <c r="C94" s="2957"/>
      <c r="D94" s="2958"/>
      <c r="E94" s="2950"/>
      <c r="F94" s="2951"/>
      <c r="G94" s="2951"/>
      <c r="H94" s="2951"/>
      <c r="I94" s="2950"/>
      <c r="J94" s="2951"/>
      <c r="K94" s="2952"/>
      <c r="L94" s="254" t="str">
        <f>IF(A94&lt;&gt;"",IFERROR(INDEX(PMtbl[[WKst]:[Unit of measure*]],MATCH($A$58&amp;$A94&amp;$E94&amp;$I94,INDEX(PMtbl[Sec]&amp;PMtbl[Category]&amp;PMtbl[INN]&amp;PMtbl[Specification],0,),0),8),""),"")</f>
        <v/>
      </c>
      <c r="M94" s="254" t="str">
        <f>IF(L94="", "",SETUP!$E$5)</f>
        <v/>
      </c>
      <c r="N94" s="1976"/>
      <c r="O94" s="1977"/>
      <c r="P94" s="1977"/>
      <c r="Q94" s="1977"/>
      <c r="R94" s="1977"/>
      <c r="S94" s="1887">
        <f>SUM('Malaria-Equipment &amp; Other HPs'!$O94:$R94)</f>
        <v>0</v>
      </c>
      <c r="T94" s="1888">
        <f>'Malaria-Equipment &amp; Other HPs'!$N94*'Malaria-Equipment &amp; Other HPs'!$S94</f>
        <v>0</v>
      </c>
      <c r="U94" s="1982"/>
      <c r="V94" s="1977"/>
      <c r="W94" s="1977"/>
      <c r="X94" s="1977"/>
      <c r="Y94" s="1977"/>
      <c r="Z94" s="1887">
        <f>SUM('Malaria-Equipment &amp; Other HPs'!$V94:$Y94)</f>
        <v>0</v>
      </c>
      <c r="AA94" s="1888">
        <f>'Malaria-Equipment &amp; Other HPs'!$U94*'Malaria-Equipment &amp; Other HPs'!$Z94</f>
        <v>0</v>
      </c>
      <c r="AB94" s="1976"/>
      <c r="AC94" s="1977"/>
      <c r="AD94" s="1977"/>
      <c r="AE94" s="1977"/>
      <c r="AF94" s="1977"/>
      <c r="AG94" s="1887">
        <f>SUM('Malaria-Equipment &amp; Other HPs'!$AC94:$AF94)</f>
        <v>0</v>
      </c>
      <c r="AH94" s="1888">
        <f>'Malaria-Equipment &amp; Other HPs'!$AB94*'Malaria-Equipment &amp; Other HPs'!$AG94</f>
        <v>0</v>
      </c>
      <c r="AI94" s="1889">
        <f>'Malaria-Equipment &amp; Other HPs'!$S94+'Malaria-Equipment &amp; Other HPs'!$Z94+'Malaria-Equipment &amp; Other HPs'!$AG94</f>
        <v>0</v>
      </c>
      <c r="AJ94" s="1888">
        <f>'Malaria-Equipment &amp; Other HPs'!$T94+'Malaria-Equipment &amp; Other HPs'!$AA94+'Malaria-Equipment &amp; Other HPs'!$AH94</f>
        <v>0</v>
      </c>
      <c r="AK94" s="1918" t="str">
        <f>IF(A94&lt;&gt;"",IFERROR(INDEX(PMtbl[[WKst]:[Unit of measure*]],MATCH($A$58&amp;$A94&amp;$E94&amp;$I94,INDEX(PMtbl[Sec]&amp;PMtbl[Category]&amp;PMtbl[INN]&amp;PMtbl[Specification],0,),0),7),""),"")</f>
        <v/>
      </c>
      <c r="AL94" s="956"/>
      <c r="AM94" s="1518" t="str">
        <f>IFERROR(INDEX(SETUP!$C$19:$G$62,MATCH((INDEX(PMtbl[[WKst]:[Unit of measure*]],MATCH($A94&amp;$E94&amp;$I94,INDEX(PMtbl[Category]&amp;PMtbl[INN]&amp;PMtbl[Specification],0,),0),3)),SETUP!$D$19:$D$62,0),5),"")</f>
        <v/>
      </c>
      <c r="AN94" s="1449"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row>
    <row r="95" spans="1:62">
      <c r="A95" s="2955"/>
      <c r="B95" s="2955"/>
      <c r="C95" s="2955"/>
      <c r="D95" s="2956"/>
      <c r="E95" s="3042"/>
      <c r="F95" s="2435"/>
      <c r="G95" s="2435"/>
      <c r="H95" s="2435"/>
      <c r="I95" s="3042"/>
      <c r="J95" s="2435"/>
      <c r="K95" s="3049"/>
      <c r="L95" s="253" t="str">
        <f>IF(A95&lt;&gt;"",IFERROR(INDEX(PMtbl[[WKst]:[Unit of measure*]],MATCH($A$58&amp;$A95&amp;$E95&amp;$I95,INDEX(PMtbl[Sec]&amp;PMtbl[Category]&amp;PMtbl[INN]&amp;PMtbl[Specification],0,),0),8),""),"")</f>
        <v/>
      </c>
      <c r="M95" s="255" t="str">
        <f>IF(L95="", "",SETUP!$E$5)</f>
        <v/>
      </c>
      <c r="N95" s="1975"/>
      <c r="O95" s="12"/>
      <c r="P95" s="12"/>
      <c r="Q95" s="12"/>
      <c r="R95" s="12"/>
      <c r="S95" s="1883">
        <f>SUM('Malaria-Equipment &amp; Other HPs'!$O95:$R95)</f>
        <v>0</v>
      </c>
      <c r="T95" s="1884">
        <f>'Malaria-Equipment &amp; Other HPs'!$N95*'Malaria-Equipment &amp; Other HPs'!$S95</f>
        <v>0</v>
      </c>
      <c r="U95" s="1981"/>
      <c r="V95" s="12"/>
      <c r="W95" s="12"/>
      <c r="X95" s="12"/>
      <c r="Y95" s="12"/>
      <c r="Z95" s="1883">
        <f>SUM('Malaria-Equipment &amp; Other HPs'!$V95:$Y95)</f>
        <v>0</v>
      </c>
      <c r="AA95" s="1884">
        <f>'Malaria-Equipment &amp; Other HPs'!$U95*'Malaria-Equipment &amp; Other HPs'!$Z95</f>
        <v>0</v>
      </c>
      <c r="AB95" s="1975"/>
      <c r="AC95" s="12"/>
      <c r="AD95" s="12"/>
      <c r="AE95" s="12"/>
      <c r="AF95" s="12"/>
      <c r="AG95" s="1883">
        <f>SUM('Malaria-Equipment &amp; Other HPs'!$AC95:$AF95)</f>
        <v>0</v>
      </c>
      <c r="AH95" s="1884">
        <f>'Malaria-Equipment &amp; Other HPs'!$AB95*'Malaria-Equipment &amp; Other HPs'!$AG95</f>
        <v>0</v>
      </c>
      <c r="AI95" s="1885">
        <f>'Malaria-Equipment &amp; Other HPs'!$S95+'Malaria-Equipment &amp; Other HPs'!$Z95+'Malaria-Equipment &amp; Other HPs'!$AG95</f>
        <v>0</v>
      </c>
      <c r="AJ95" s="1884">
        <f>'Malaria-Equipment &amp; Other HPs'!$T95+'Malaria-Equipment &amp; Other HPs'!$AA95+'Malaria-Equipment &amp; Other HPs'!$AH95</f>
        <v>0</v>
      </c>
      <c r="AK95" s="1919" t="str">
        <f>IF(A95&lt;&gt;"",IFERROR(INDEX(PMtbl[[WKst]:[Unit of measure*]],MATCH($A$58&amp;$A95&amp;$E95&amp;$I95,INDEX(PMtbl[Sec]&amp;PMtbl[Category]&amp;PMtbl[INN]&amp;PMtbl[Specification],0,),0),7),""),"")</f>
        <v/>
      </c>
      <c r="AL95" s="957"/>
      <c r="AM95" s="1517" t="str">
        <f>IFERROR(INDEX(SETUP!$C$19:$G$62,MATCH((INDEX(PMtbl[[WKst]:[Unit of measure*]],MATCH($A95&amp;$E95&amp;$I95,INDEX(PMtbl[Category]&amp;PMtbl[INN]&amp;PMtbl[Specification],0,),0),3)),SETUP!$D$19:$D$62,0),5),"")</f>
        <v/>
      </c>
      <c r="AN95" s="145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row>
    <row r="96" spans="1:62">
      <c r="A96" s="2957"/>
      <c r="B96" s="2957"/>
      <c r="C96" s="2957"/>
      <c r="D96" s="2958"/>
      <c r="E96" s="2950"/>
      <c r="F96" s="2951"/>
      <c r="G96" s="2951"/>
      <c r="H96" s="2951"/>
      <c r="I96" s="2950"/>
      <c r="J96" s="2951"/>
      <c r="K96" s="2952"/>
      <c r="L96" s="254" t="str">
        <f>IF(A96&lt;&gt;"",IFERROR(INDEX(PMtbl[[WKst]:[Unit of measure*]],MATCH($A$58&amp;$A96&amp;$E96&amp;$I96,INDEX(PMtbl[Sec]&amp;PMtbl[Category]&amp;PMtbl[INN]&amp;PMtbl[Specification],0,),0),8),""),"")</f>
        <v/>
      </c>
      <c r="M96" s="254" t="str">
        <f>IF(L96="", "",SETUP!$E$5)</f>
        <v/>
      </c>
      <c r="N96" s="1976"/>
      <c r="O96" s="1977"/>
      <c r="P96" s="1977"/>
      <c r="Q96" s="1977"/>
      <c r="R96" s="1977"/>
      <c r="S96" s="1887">
        <f>SUM('Malaria-Equipment &amp; Other HPs'!$O96:$R96)</f>
        <v>0</v>
      </c>
      <c r="T96" s="1888">
        <f>'Malaria-Equipment &amp; Other HPs'!$N96*'Malaria-Equipment &amp; Other HPs'!$S96</f>
        <v>0</v>
      </c>
      <c r="U96" s="1982"/>
      <c r="V96" s="1977"/>
      <c r="W96" s="1977"/>
      <c r="X96" s="1977"/>
      <c r="Y96" s="1977"/>
      <c r="Z96" s="1887">
        <f>SUM('Malaria-Equipment &amp; Other HPs'!$V96:$Y96)</f>
        <v>0</v>
      </c>
      <c r="AA96" s="1888">
        <f>'Malaria-Equipment &amp; Other HPs'!$U96*'Malaria-Equipment &amp; Other HPs'!$Z96</f>
        <v>0</v>
      </c>
      <c r="AB96" s="1976"/>
      <c r="AC96" s="1977"/>
      <c r="AD96" s="1977"/>
      <c r="AE96" s="1977"/>
      <c r="AF96" s="1977"/>
      <c r="AG96" s="1887">
        <f>SUM('Malaria-Equipment &amp; Other HPs'!$AC96:$AF96)</f>
        <v>0</v>
      </c>
      <c r="AH96" s="1888">
        <f>'Malaria-Equipment &amp; Other HPs'!$AB96*'Malaria-Equipment &amp; Other HPs'!$AG96</f>
        <v>0</v>
      </c>
      <c r="AI96" s="1889">
        <f>'Malaria-Equipment &amp; Other HPs'!$S96+'Malaria-Equipment &amp; Other HPs'!$Z96+'Malaria-Equipment &amp; Other HPs'!$AG96</f>
        <v>0</v>
      </c>
      <c r="AJ96" s="1888">
        <f>'Malaria-Equipment &amp; Other HPs'!$T96+'Malaria-Equipment &amp; Other HPs'!$AA96+'Malaria-Equipment &amp; Other HPs'!$AH96</f>
        <v>0</v>
      </c>
      <c r="AK96" s="1918" t="str">
        <f>IF(A96&lt;&gt;"",IFERROR(INDEX(PMtbl[[WKst]:[Unit of measure*]],MATCH($A$58&amp;$A96&amp;$E96&amp;$I96,INDEX(PMtbl[Sec]&amp;PMtbl[Category]&amp;PMtbl[INN]&amp;PMtbl[Specification],0,),0),7),""),"")</f>
        <v/>
      </c>
      <c r="AL96" s="956"/>
      <c r="AM96" s="1518" t="str">
        <f>IFERROR(INDEX(SETUP!$C$19:$G$62,MATCH((INDEX(PMtbl[[WKst]:[Unit of measure*]],MATCH($A96&amp;$E96&amp;$I96,INDEX(PMtbl[Category]&amp;PMtbl[INN]&amp;PMtbl[Specification],0,),0),3)),SETUP!$D$19:$D$62,0),5),"")</f>
        <v/>
      </c>
      <c r="AN96" s="1449"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row>
    <row r="97" spans="1:40">
      <c r="A97" s="2955"/>
      <c r="B97" s="2955"/>
      <c r="C97" s="2955"/>
      <c r="D97" s="2956"/>
      <c r="E97" s="3042"/>
      <c r="F97" s="2435"/>
      <c r="G97" s="2435"/>
      <c r="H97" s="2435"/>
      <c r="I97" s="3042"/>
      <c r="J97" s="2435"/>
      <c r="K97" s="3049"/>
      <c r="L97" s="253" t="str">
        <f>IF(A97&lt;&gt;"",IFERROR(INDEX(PMtbl[[WKst]:[Unit of measure*]],MATCH($A$58&amp;$A97&amp;$E97&amp;$I97,INDEX(PMtbl[Sec]&amp;PMtbl[Category]&amp;PMtbl[INN]&amp;PMtbl[Specification],0,),0),8),""),"")</f>
        <v/>
      </c>
      <c r="M97" s="255" t="str">
        <f>IF(L97="", "",SETUP!$E$5)</f>
        <v/>
      </c>
      <c r="N97" s="1975"/>
      <c r="O97" s="12"/>
      <c r="P97" s="12"/>
      <c r="Q97" s="12"/>
      <c r="R97" s="12"/>
      <c r="S97" s="1883">
        <f>SUM('Malaria-Equipment &amp; Other HPs'!$O97:$R97)</f>
        <v>0</v>
      </c>
      <c r="T97" s="1884">
        <f>'Malaria-Equipment &amp; Other HPs'!$N97*'Malaria-Equipment &amp; Other HPs'!$S97</f>
        <v>0</v>
      </c>
      <c r="U97" s="1981"/>
      <c r="V97" s="12"/>
      <c r="W97" s="12"/>
      <c r="X97" s="12"/>
      <c r="Y97" s="12"/>
      <c r="Z97" s="1883">
        <f>SUM('Malaria-Equipment &amp; Other HPs'!$V97:$Y97)</f>
        <v>0</v>
      </c>
      <c r="AA97" s="1884">
        <f>'Malaria-Equipment &amp; Other HPs'!$U97*'Malaria-Equipment &amp; Other HPs'!$Z97</f>
        <v>0</v>
      </c>
      <c r="AB97" s="1975"/>
      <c r="AC97" s="12"/>
      <c r="AD97" s="12"/>
      <c r="AE97" s="12"/>
      <c r="AF97" s="12"/>
      <c r="AG97" s="1883">
        <f>SUM('Malaria-Equipment &amp; Other HPs'!$AC97:$AF97)</f>
        <v>0</v>
      </c>
      <c r="AH97" s="1884">
        <f>'Malaria-Equipment &amp; Other HPs'!$AB97*'Malaria-Equipment &amp; Other HPs'!$AG97</f>
        <v>0</v>
      </c>
      <c r="AI97" s="1885">
        <f>'Malaria-Equipment &amp; Other HPs'!$S97+'Malaria-Equipment &amp; Other HPs'!$Z97+'Malaria-Equipment &amp; Other HPs'!$AG97</f>
        <v>0</v>
      </c>
      <c r="AJ97" s="1884">
        <f>'Malaria-Equipment &amp; Other HPs'!$T97+'Malaria-Equipment &amp; Other HPs'!$AA97+'Malaria-Equipment &amp; Other HPs'!$AH97</f>
        <v>0</v>
      </c>
      <c r="AK97" s="1919" t="str">
        <f>IF(A97&lt;&gt;"",IFERROR(INDEX(PMtbl[[WKst]:[Unit of measure*]],MATCH($A$58&amp;$A97&amp;$E97&amp;$I97,INDEX(PMtbl[Sec]&amp;PMtbl[Category]&amp;PMtbl[INN]&amp;PMtbl[Specification],0,),0),7),""),"")</f>
        <v/>
      </c>
      <c r="AL97" s="957"/>
      <c r="AM97" s="1517" t="str">
        <f>IFERROR(INDEX(SETUP!$C$19:$G$62,MATCH((INDEX(PMtbl[[WKst]:[Unit of measure*]],MATCH($A97&amp;$E97&amp;$I97,INDEX(PMtbl[Category]&amp;PMtbl[INN]&amp;PMtbl[Specification],0,),0),3)),SETUP!$D$19:$D$62,0),5),"")</f>
        <v/>
      </c>
      <c r="AN97" s="145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c r="A98" s="2957"/>
      <c r="B98" s="2957"/>
      <c r="C98" s="2957"/>
      <c r="D98" s="2958"/>
      <c r="E98" s="2950"/>
      <c r="F98" s="2951"/>
      <c r="G98" s="2951"/>
      <c r="H98" s="2951"/>
      <c r="I98" s="2950"/>
      <c r="J98" s="2951"/>
      <c r="K98" s="2952"/>
      <c r="L98" s="254" t="str">
        <f>IF(A98&lt;&gt;"",IFERROR(INDEX(PMtbl[[WKst]:[Unit of measure*]],MATCH($A$58&amp;$A98&amp;$E98&amp;$I98,INDEX(PMtbl[Sec]&amp;PMtbl[Category]&amp;PMtbl[INN]&amp;PMtbl[Specification],0,),0),8),""),"")</f>
        <v/>
      </c>
      <c r="M98" s="254" t="str">
        <f>IF(L98="", "",SETUP!$E$5)</f>
        <v/>
      </c>
      <c r="N98" s="1976"/>
      <c r="O98" s="1977"/>
      <c r="P98" s="1977"/>
      <c r="Q98" s="1977"/>
      <c r="R98" s="1977"/>
      <c r="S98" s="1887">
        <f>SUM('Malaria-Equipment &amp; Other HPs'!$O98:$R98)</f>
        <v>0</v>
      </c>
      <c r="T98" s="1888">
        <f>'Malaria-Equipment &amp; Other HPs'!$N98*'Malaria-Equipment &amp; Other HPs'!$S98</f>
        <v>0</v>
      </c>
      <c r="U98" s="1982"/>
      <c r="V98" s="1977"/>
      <c r="W98" s="1977"/>
      <c r="X98" s="1977"/>
      <c r="Y98" s="1977"/>
      <c r="Z98" s="1887">
        <f>SUM('Malaria-Equipment &amp; Other HPs'!$V98:$Y98)</f>
        <v>0</v>
      </c>
      <c r="AA98" s="1888">
        <f>'Malaria-Equipment &amp; Other HPs'!$U98*'Malaria-Equipment &amp; Other HPs'!$Z98</f>
        <v>0</v>
      </c>
      <c r="AB98" s="1976"/>
      <c r="AC98" s="1977"/>
      <c r="AD98" s="1977"/>
      <c r="AE98" s="1977"/>
      <c r="AF98" s="1977"/>
      <c r="AG98" s="1887">
        <f>SUM('Malaria-Equipment &amp; Other HPs'!$AC98:$AF98)</f>
        <v>0</v>
      </c>
      <c r="AH98" s="1888">
        <f>'Malaria-Equipment &amp; Other HPs'!$AB98*'Malaria-Equipment &amp; Other HPs'!$AG98</f>
        <v>0</v>
      </c>
      <c r="AI98" s="1889">
        <f>'Malaria-Equipment &amp; Other HPs'!$S98+'Malaria-Equipment &amp; Other HPs'!$Z98+'Malaria-Equipment &amp; Other HPs'!$AG98</f>
        <v>0</v>
      </c>
      <c r="AJ98" s="1888">
        <f>'Malaria-Equipment &amp; Other HPs'!$T98+'Malaria-Equipment &amp; Other HPs'!$AA98+'Malaria-Equipment &amp; Other HPs'!$AH98</f>
        <v>0</v>
      </c>
      <c r="AK98" s="1918" t="str">
        <f>IF(A98&lt;&gt;"",IFERROR(INDEX(PMtbl[[WKst]:[Unit of measure*]],MATCH($A$58&amp;$A98&amp;$E98&amp;$I98,INDEX(PMtbl[Sec]&amp;PMtbl[Category]&amp;PMtbl[INN]&amp;PMtbl[Specification],0,),0),7),""),"")</f>
        <v/>
      </c>
      <c r="AL98" s="956"/>
      <c r="AM98" s="1518" t="str">
        <f>IFERROR(INDEX(SETUP!$C$19:$G$62,MATCH((INDEX(PMtbl[[WKst]:[Unit of measure*]],MATCH($A98&amp;$E98&amp;$I98,INDEX(PMtbl[Category]&amp;PMtbl[INN]&amp;PMtbl[Specification],0,),0),3)),SETUP!$D$19:$D$62,0),5),"")</f>
        <v/>
      </c>
      <c r="AN98" s="1449"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c r="A99" s="2955"/>
      <c r="B99" s="2955"/>
      <c r="C99" s="2955"/>
      <c r="D99" s="2956"/>
      <c r="E99" s="3042"/>
      <c r="F99" s="2435"/>
      <c r="G99" s="2435"/>
      <c r="H99" s="2435"/>
      <c r="I99" s="3042"/>
      <c r="J99" s="2435"/>
      <c r="K99" s="3049"/>
      <c r="L99" s="253" t="str">
        <f>IF(A99&lt;&gt;"",IFERROR(INDEX(PMtbl[[WKst]:[Unit of measure*]],MATCH($A$58&amp;$A99&amp;$E99&amp;$I99,INDEX(PMtbl[Sec]&amp;PMtbl[Category]&amp;PMtbl[INN]&amp;PMtbl[Specification],0,),0),8),""),"")</f>
        <v/>
      </c>
      <c r="M99" s="255" t="str">
        <f>IF(L99="", "",SETUP!$E$5)</f>
        <v/>
      </c>
      <c r="N99" s="1975"/>
      <c r="O99" s="12"/>
      <c r="P99" s="12"/>
      <c r="Q99" s="12"/>
      <c r="R99" s="12"/>
      <c r="S99" s="1883">
        <f>SUM('Malaria-Equipment &amp; Other HPs'!$O99:$R99)</f>
        <v>0</v>
      </c>
      <c r="T99" s="1884">
        <f>'Malaria-Equipment &amp; Other HPs'!$N99*'Malaria-Equipment &amp; Other HPs'!$S99</f>
        <v>0</v>
      </c>
      <c r="U99" s="1981"/>
      <c r="V99" s="12"/>
      <c r="W99" s="12"/>
      <c r="X99" s="12"/>
      <c r="Y99" s="12"/>
      <c r="Z99" s="1883">
        <f>SUM('Malaria-Equipment &amp; Other HPs'!$V99:$Y99)</f>
        <v>0</v>
      </c>
      <c r="AA99" s="1884">
        <f>'Malaria-Equipment &amp; Other HPs'!$U99*'Malaria-Equipment &amp; Other HPs'!$Z99</f>
        <v>0</v>
      </c>
      <c r="AB99" s="1975"/>
      <c r="AC99" s="12"/>
      <c r="AD99" s="12"/>
      <c r="AE99" s="12"/>
      <c r="AF99" s="12"/>
      <c r="AG99" s="1883">
        <f>SUM('Malaria-Equipment &amp; Other HPs'!$AC99:$AF99)</f>
        <v>0</v>
      </c>
      <c r="AH99" s="1884">
        <f>'Malaria-Equipment &amp; Other HPs'!$AB99*'Malaria-Equipment &amp; Other HPs'!$AG99</f>
        <v>0</v>
      </c>
      <c r="AI99" s="1885">
        <f>'Malaria-Equipment &amp; Other HPs'!$S99+'Malaria-Equipment &amp; Other HPs'!$Z99+'Malaria-Equipment &amp; Other HPs'!$AG99</f>
        <v>0</v>
      </c>
      <c r="AJ99" s="1884">
        <f>'Malaria-Equipment &amp; Other HPs'!$T99+'Malaria-Equipment &amp; Other HPs'!$AA99+'Malaria-Equipment &amp; Other HPs'!$AH99</f>
        <v>0</v>
      </c>
      <c r="AK99" s="1919" t="str">
        <f>IF(A99&lt;&gt;"",IFERROR(INDEX(PMtbl[[WKst]:[Unit of measure*]],MATCH($A$58&amp;$A99&amp;$E99&amp;$I99,INDEX(PMtbl[Sec]&amp;PMtbl[Category]&amp;PMtbl[INN]&amp;PMtbl[Specification],0,),0),7),""),"")</f>
        <v/>
      </c>
      <c r="AL99" s="957"/>
      <c r="AM99" s="1517" t="str">
        <f>IFERROR(INDEX(SETUP!$C$19:$G$62,MATCH((INDEX(PMtbl[[WKst]:[Unit of measure*]],MATCH($A99&amp;$E99&amp;$I99,INDEX(PMtbl[Category]&amp;PMtbl[INN]&amp;PMtbl[Specification],0,),0),3)),SETUP!$D$19:$D$62,0),5),"")</f>
        <v/>
      </c>
      <c r="AN99" s="1450"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c r="A100" s="2957"/>
      <c r="B100" s="2957"/>
      <c r="C100" s="2957"/>
      <c r="D100" s="2958"/>
      <c r="E100" s="2950"/>
      <c r="F100" s="2951"/>
      <c r="G100" s="2951"/>
      <c r="H100" s="2951"/>
      <c r="I100" s="2950"/>
      <c r="J100" s="2951"/>
      <c r="K100" s="2952"/>
      <c r="L100" s="254" t="str">
        <f>IF(A100&lt;&gt;"",IFERROR(INDEX(PMtbl[[WKst]:[Unit of measure*]],MATCH($A$58&amp;$A100&amp;$E100&amp;$I100,INDEX(PMtbl[Sec]&amp;PMtbl[Category]&amp;PMtbl[INN]&amp;PMtbl[Specification],0,),0),8),""),"")</f>
        <v/>
      </c>
      <c r="M100" s="254" t="str">
        <f>IF(L100="", "",SETUP!$E$5)</f>
        <v/>
      </c>
      <c r="N100" s="1976"/>
      <c r="O100" s="1977"/>
      <c r="P100" s="1977"/>
      <c r="Q100" s="1977"/>
      <c r="R100" s="1977"/>
      <c r="S100" s="1887">
        <f>SUM('Malaria-Equipment &amp; Other HPs'!$O100:$R100)</f>
        <v>0</v>
      </c>
      <c r="T100" s="1888">
        <f>'Malaria-Equipment &amp; Other HPs'!$N100*'Malaria-Equipment &amp; Other HPs'!$S100</f>
        <v>0</v>
      </c>
      <c r="U100" s="1982"/>
      <c r="V100" s="1977"/>
      <c r="W100" s="1977"/>
      <c r="X100" s="1977"/>
      <c r="Y100" s="1977"/>
      <c r="Z100" s="1887">
        <f>SUM('Malaria-Equipment &amp; Other HPs'!$V100:$Y100)</f>
        <v>0</v>
      </c>
      <c r="AA100" s="1888">
        <f>'Malaria-Equipment &amp; Other HPs'!$U100*'Malaria-Equipment &amp; Other HPs'!$Z100</f>
        <v>0</v>
      </c>
      <c r="AB100" s="1976"/>
      <c r="AC100" s="1977"/>
      <c r="AD100" s="1977"/>
      <c r="AE100" s="1977"/>
      <c r="AF100" s="1977"/>
      <c r="AG100" s="1887">
        <f>SUM('Malaria-Equipment &amp; Other HPs'!$AC100:$AF100)</f>
        <v>0</v>
      </c>
      <c r="AH100" s="1888">
        <f>'Malaria-Equipment &amp; Other HPs'!$AB100*'Malaria-Equipment &amp; Other HPs'!$AG100</f>
        <v>0</v>
      </c>
      <c r="AI100" s="1889">
        <f>'Malaria-Equipment &amp; Other HPs'!$S100+'Malaria-Equipment &amp; Other HPs'!$Z100+'Malaria-Equipment &amp; Other HPs'!$AG100</f>
        <v>0</v>
      </c>
      <c r="AJ100" s="1888">
        <f>'Malaria-Equipment &amp; Other HPs'!$T100+'Malaria-Equipment &amp; Other HPs'!$AA100+'Malaria-Equipment &amp; Other HPs'!$AH100</f>
        <v>0</v>
      </c>
      <c r="AK100" s="1918" t="str">
        <f>IF(A100&lt;&gt;"",IFERROR(INDEX(PMtbl[[WKst]:[Unit of measure*]],MATCH($A$58&amp;$A100&amp;$E100&amp;$I100,INDEX(PMtbl[Sec]&amp;PMtbl[Category]&amp;PMtbl[INN]&amp;PMtbl[Specification],0,),0),7),""),"")</f>
        <v/>
      </c>
      <c r="AL100" s="956"/>
      <c r="AM100" s="1518" t="str">
        <f>IFERROR(INDEX(SETUP!$C$19:$G$62,MATCH((INDEX(PMtbl[[WKst]:[Unit of measure*]],MATCH($A100&amp;$E100&amp;$I100,INDEX(PMtbl[Category]&amp;PMtbl[INN]&amp;PMtbl[Specification],0,),0),3)),SETUP!$D$19:$D$62,0),5),"")</f>
        <v/>
      </c>
      <c r="AN100" s="1449" t="str">
        <f>IFERROR(IF((INDEX(SETUP!$C$19:$G$62,MATCH((INDEX(PMtbl[[WKst]:[Unit of measure*]],MATCH($A100&amp;$E100&amp;$I100,INDEX(PMtbl[Category]&amp;PMtbl[INN]&amp;PMtbl[Specification],0,),0),3)),SETUP!$D$19:$D$62,0),4))="Upfront",0,INDEX(SETUP!$C$19:$G$62,MATCH((INDEX(PMtbl[[WKst]:[Unit of measure*]],MATCH($A100&amp;$E100&amp;$I100,INDEX(PMtbl[Category]&amp;PMtbl[INN]&amp;PMtbl[Specification],0,),0),3)),SETUP!$D$19:$D$62,0),5)),"")</f>
        <v/>
      </c>
    </row>
    <row r="101" spans="1:40">
      <c r="A101" s="2955"/>
      <c r="B101" s="2955"/>
      <c r="C101" s="2955"/>
      <c r="D101" s="2956"/>
      <c r="E101" s="3042"/>
      <c r="F101" s="2435"/>
      <c r="G101" s="2435"/>
      <c r="H101" s="3049"/>
      <c r="I101" s="3042"/>
      <c r="J101" s="2435"/>
      <c r="K101" s="3049"/>
      <c r="L101" s="253" t="str">
        <f>IF(A101&lt;&gt;"",IFERROR(INDEX(PMtbl[[WKst]:[Unit of measure*]],MATCH($A$58&amp;$A101&amp;$E101&amp;$I101,INDEX(PMtbl[Sec]&amp;PMtbl[Category]&amp;PMtbl[INN]&amp;PMtbl[Specification],0,),0),8),""),"")</f>
        <v/>
      </c>
      <c r="M101" s="255" t="str">
        <f>IF(L101="", "",SETUP!$E$5)</f>
        <v/>
      </c>
      <c r="N101" s="1975"/>
      <c r="O101" s="12"/>
      <c r="P101" s="12"/>
      <c r="Q101" s="12"/>
      <c r="R101" s="12"/>
      <c r="S101" s="1883">
        <f>SUM('Malaria-Equipment &amp; Other HPs'!$O101:$R101)</f>
        <v>0</v>
      </c>
      <c r="T101" s="1884">
        <f>'Malaria-Equipment &amp; Other HPs'!$N101*'Malaria-Equipment &amp; Other HPs'!$S101</f>
        <v>0</v>
      </c>
      <c r="U101" s="1981"/>
      <c r="V101" s="12"/>
      <c r="W101" s="12"/>
      <c r="X101" s="12"/>
      <c r="Y101" s="12"/>
      <c r="Z101" s="1883">
        <f>SUM('Malaria-Equipment &amp; Other HPs'!$V101:$Y101)</f>
        <v>0</v>
      </c>
      <c r="AA101" s="1884">
        <f>'Malaria-Equipment &amp; Other HPs'!$U101*'Malaria-Equipment &amp; Other HPs'!$Z101</f>
        <v>0</v>
      </c>
      <c r="AB101" s="1975"/>
      <c r="AC101" s="12"/>
      <c r="AD101" s="12"/>
      <c r="AE101" s="12"/>
      <c r="AF101" s="12"/>
      <c r="AG101" s="1883">
        <f>SUM('Malaria-Equipment &amp; Other HPs'!$AC101:$AF101)</f>
        <v>0</v>
      </c>
      <c r="AH101" s="1884">
        <f>'Malaria-Equipment &amp; Other HPs'!$AB101*'Malaria-Equipment &amp; Other HPs'!$AG101</f>
        <v>0</v>
      </c>
      <c r="AI101" s="1885">
        <f>'Malaria-Equipment &amp; Other HPs'!$S101+'Malaria-Equipment &amp; Other HPs'!$Z101+'Malaria-Equipment &amp; Other HPs'!$AG101</f>
        <v>0</v>
      </c>
      <c r="AJ101" s="1884">
        <f>'Malaria-Equipment &amp; Other HPs'!$T101+'Malaria-Equipment &amp; Other HPs'!$AA101+'Malaria-Equipment &amp; Other HPs'!$AH101</f>
        <v>0</v>
      </c>
      <c r="AK101" s="1919" t="str">
        <f>IF(A101&lt;&gt;"",IFERROR(INDEX(PMtbl[[WKst]:[Unit of measure*]],MATCH($A$58&amp;$A101&amp;$E101&amp;$I101,INDEX(PMtbl[Sec]&amp;PMtbl[Category]&amp;PMtbl[INN]&amp;PMtbl[Specification],0,),0),7),""),"")</f>
        <v/>
      </c>
      <c r="AL101" s="957"/>
      <c r="AM101" s="1517" t="str">
        <f>IFERROR(INDEX(SETUP!$C$19:$G$62,MATCH((INDEX(PMtbl[[WKst]:[Unit of measure*]],MATCH($A101&amp;$E101&amp;$I101,INDEX(PMtbl[Category]&amp;PMtbl[INN]&amp;PMtbl[Specification],0,),0),3)),SETUP!$D$19:$D$62,0),5),"")</f>
        <v/>
      </c>
      <c r="AN101" s="1450" t="str">
        <f>IFERROR(IF((INDEX(SETUP!$C$19:$G$62,MATCH((INDEX(PMtbl[[WKst]:[Unit of measure*]],MATCH($A101&amp;$E101&amp;$I101,INDEX(PMtbl[Category]&amp;PMtbl[INN]&amp;PMtbl[Specification],0,),0),3)),SETUP!$D$19:$D$62,0),4))="Upfront",0,INDEX(SETUP!$C$19:$G$62,MATCH((INDEX(PMtbl[[WKst]:[Unit of measure*]],MATCH($A101&amp;$E101&amp;$I101,INDEX(PMtbl[Category]&amp;PMtbl[INN]&amp;PMtbl[Specification],0,),0),3)),SETUP!$D$19:$D$62,0),5)),"")</f>
        <v/>
      </c>
    </row>
    <row r="102" spans="1:40">
      <c r="A102" s="2957"/>
      <c r="B102" s="2957"/>
      <c r="C102" s="2957"/>
      <c r="D102" s="2958"/>
      <c r="E102" s="2950"/>
      <c r="F102" s="2951"/>
      <c r="G102" s="2951"/>
      <c r="H102" s="2951"/>
      <c r="I102" s="2950"/>
      <c r="J102" s="2951"/>
      <c r="K102" s="2952"/>
      <c r="L102" s="254" t="str">
        <f>IF(A102&lt;&gt;"",IFERROR(INDEX(PMtbl[[WKst]:[Unit of measure*]],MATCH($A$58&amp;$A102&amp;$E102&amp;$I102,INDEX(PMtbl[Sec]&amp;PMtbl[Category]&amp;PMtbl[INN]&amp;PMtbl[Specification],0,),0),8),""),"")</f>
        <v/>
      </c>
      <c r="M102" s="254" t="str">
        <f>IF(L102="", "",SETUP!$E$5)</f>
        <v/>
      </c>
      <c r="N102" s="1976"/>
      <c r="O102" s="1977"/>
      <c r="P102" s="1977"/>
      <c r="Q102" s="1977"/>
      <c r="R102" s="1977"/>
      <c r="S102" s="1887">
        <f>SUM('Malaria-Equipment &amp; Other HPs'!$O102:$R102)</f>
        <v>0</v>
      </c>
      <c r="T102" s="1888">
        <f>'Malaria-Equipment &amp; Other HPs'!$N102*'Malaria-Equipment &amp; Other HPs'!$S102</f>
        <v>0</v>
      </c>
      <c r="U102" s="1982"/>
      <c r="V102" s="1977"/>
      <c r="W102" s="1977"/>
      <c r="X102" s="1977"/>
      <c r="Y102" s="1977"/>
      <c r="Z102" s="1887">
        <f>SUM('Malaria-Equipment &amp; Other HPs'!$V102:$Y102)</f>
        <v>0</v>
      </c>
      <c r="AA102" s="1888">
        <f>'Malaria-Equipment &amp; Other HPs'!$U102*'Malaria-Equipment &amp; Other HPs'!$Z102</f>
        <v>0</v>
      </c>
      <c r="AB102" s="1976"/>
      <c r="AC102" s="1977"/>
      <c r="AD102" s="1977"/>
      <c r="AE102" s="1977"/>
      <c r="AF102" s="1977"/>
      <c r="AG102" s="1887">
        <f>SUM('Malaria-Equipment &amp; Other HPs'!$AC102:$AF102)</f>
        <v>0</v>
      </c>
      <c r="AH102" s="1888">
        <f>'Malaria-Equipment &amp; Other HPs'!$AB102*'Malaria-Equipment &amp; Other HPs'!$AG102</f>
        <v>0</v>
      </c>
      <c r="AI102" s="1889">
        <f>'Malaria-Equipment &amp; Other HPs'!$S102+'Malaria-Equipment &amp; Other HPs'!$Z102+'Malaria-Equipment &amp; Other HPs'!$AG102</f>
        <v>0</v>
      </c>
      <c r="AJ102" s="1888">
        <f>'Malaria-Equipment &amp; Other HPs'!$T102+'Malaria-Equipment &amp; Other HPs'!$AA102+'Malaria-Equipment &amp; Other HPs'!$AH102</f>
        <v>0</v>
      </c>
      <c r="AK102" s="1918" t="str">
        <f>IF(A102&lt;&gt;"",IFERROR(INDEX(PMtbl[[WKst]:[Unit of measure*]],MATCH($A$58&amp;$A102&amp;$E102&amp;$I102,INDEX(PMtbl[Sec]&amp;PMtbl[Category]&amp;PMtbl[INN]&amp;PMtbl[Specification],0,),0),7),""),"")</f>
        <v/>
      </c>
      <c r="AL102" s="956"/>
      <c r="AM102" s="1518" t="str">
        <f>IFERROR(INDEX(SETUP!$C$19:$G$62,MATCH((INDEX(PMtbl[[WKst]:[Unit of measure*]],MATCH($A102&amp;$E102&amp;$I102,INDEX(PMtbl[Category]&amp;PMtbl[INN]&amp;PMtbl[Specification],0,),0),3)),SETUP!$D$19:$D$62,0),5),"")</f>
        <v/>
      </c>
      <c r="AN102" s="1449" t="str">
        <f>IFERROR(IF((INDEX(SETUP!$C$19:$G$62,MATCH((INDEX(PMtbl[[WKst]:[Unit of measure*]],MATCH($A102&amp;$E102&amp;$I102,INDEX(PMtbl[Category]&amp;PMtbl[INN]&amp;PMtbl[Specification],0,),0),3)),SETUP!$D$19:$D$62,0),4))="Upfront",0,INDEX(SETUP!$C$19:$G$62,MATCH((INDEX(PMtbl[[WKst]:[Unit of measure*]],MATCH($A102&amp;$E102&amp;$I102,INDEX(PMtbl[Category]&amp;PMtbl[INN]&amp;PMtbl[Specification],0,),0),3)),SETUP!$D$19:$D$62,0),5)),"")</f>
        <v/>
      </c>
    </row>
    <row r="103" spans="1:40">
      <c r="A103" s="2955"/>
      <c r="B103" s="2955"/>
      <c r="C103" s="2955"/>
      <c r="D103" s="2956"/>
      <c r="E103" s="3042"/>
      <c r="F103" s="2435"/>
      <c r="G103" s="2435"/>
      <c r="H103" s="2435"/>
      <c r="I103" s="3042"/>
      <c r="J103" s="2435"/>
      <c r="K103" s="3049"/>
      <c r="L103" s="253" t="str">
        <f>IF(A103&lt;&gt;"",IFERROR(INDEX(PMtbl[[WKst]:[Unit of measure*]],MATCH($A$58&amp;$A103&amp;$E103&amp;$I103,INDEX(PMtbl[Sec]&amp;PMtbl[Category]&amp;PMtbl[INN]&amp;PMtbl[Specification],0,),0),8),""),"")</f>
        <v/>
      </c>
      <c r="M103" s="255" t="str">
        <f>IF(L103="", "",SETUP!$E$5)</f>
        <v/>
      </c>
      <c r="N103" s="1975"/>
      <c r="O103" s="12"/>
      <c r="P103" s="12"/>
      <c r="Q103" s="12"/>
      <c r="R103" s="12"/>
      <c r="S103" s="1883">
        <f>SUM('Malaria-Equipment &amp; Other HPs'!$O103:$R103)</f>
        <v>0</v>
      </c>
      <c r="T103" s="1884">
        <f>'Malaria-Equipment &amp; Other HPs'!$N103*'Malaria-Equipment &amp; Other HPs'!$S103</f>
        <v>0</v>
      </c>
      <c r="U103" s="1981"/>
      <c r="V103" s="12"/>
      <c r="W103" s="12"/>
      <c r="X103" s="12"/>
      <c r="Y103" s="12"/>
      <c r="Z103" s="1883">
        <f>SUM('Malaria-Equipment &amp; Other HPs'!$V103:$Y103)</f>
        <v>0</v>
      </c>
      <c r="AA103" s="1884">
        <f>'Malaria-Equipment &amp; Other HPs'!$U103*'Malaria-Equipment &amp; Other HPs'!$Z103</f>
        <v>0</v>
      </c>
      <c r="AB103" s="1975"/>
      <c r="AC103" s="12"/>
      <c r="AD103" s="12"/>
      <c r="AE103" s="12"/>
      <c r="AF103" s="12"/>
      <c r="AG103" s="1883">
        <f>SUM('Malaria-Equipment &amp; Other HPs'!$AC103:$AF103)</f>
        <v>0</v>
      </c>
      <c r="AH103" s="1884">
        <f>'Malaria-Equipment &amp; Other HPs'!$AB103*'Malaria-Equipment &amp; Other HPs'!$AG103</f>
        <v>0</v>
      </c>
      <c r="AI103" s="1885">
        <f>'Malaria-Equipment &amp; Other HPs'!$S103+'Malaria-Equipment &amp; Other HPs'!$Z103+'Malaria-Equipment &amp; Other HPs'!$AG103</f>
        <v>0</v>
      </c>
      <c r="AJ103" s="1884">
        <f>'Malaria-Equipment &amp; Other HPs'!$T103+'Malaria-Equipment &amp; Other HPs'!$AA103+'Malaria-Equipment &amp; Other HPs'!$AH103</f>
        <v>0</v>
      </c>
      <c r="AK103" s="1919" t="str">
        <f>IF(A103&lt;&gt;"",IFERROR(INDEX(PMtbl[[WKst]:[Unit of measure*]],MATCH($A$58&amp;$A103&amp;$E103&amp;$I103,INDEX(PMtbl[Sec]&amp;PMtbl[Category]&amp;PMtbl[INN]&amp;PMtbl[Specification],0,),0),7),""),"")</f>
        <v/>
      </c>
      <c r="AL103" s="957"/>
      <c r="AM103" s="1517" t="str">
        <f>IFERROR(INDEX(SETUP!$C$19:$G$62,MATCH((INDEX(PMtbl[[WKst]:[Unit of measure*]],MATCH($A103&amp;$E103&amp;$I103,INDEX(PMtbl[Category]&amp;PMtbl[INN]&amp;PMtbl[Specification],0,),0),3)),SETUP!$D$19:$D$62,0),5),"")</f>
        <v/>
      </c>
      <c r="AN103" s="1450" t="str">
        <f>IFERROR(IF((INDEX(SETUP!$C$19:$G$62,MATCH((INDEX(PMtbl[[WKst]:[Unit of measure*]],MATCH($A103&amp;$E103&amp;$I103,INDEX(PMtbl[Category]&amp;PMtbl[INN]&amp;PMtbl[Specification],0,),0),3)),SETUP!$D$19:$D$62,0),4))="Upfront",0,INDEX(SETUP!$C$19:$G$62,MATCH((INDEX(PMtbl[[WKst]:[Unit of measure*]],MATCH($A103&amp;$E103&amp;$I103,INDEX(PMtbl[Category]&amp;PMtbl[INN]&amp;PMtbl[Specification],0,),0),3)),SETUP!$D$19:$D$62,0),5)),"")</f>
        <v/>
      </c>
    </row>
    <row r="104" spans="1:40" hidden="1">
      <c r="A104" s="2957"/>
      <c r="B104" s="2957"/>
      <c r="C104" s="2957"/>
      <c r="D104" s="2958"/>
      <c r="E104" s="2950"/>
      <c r="F104" s="2951"/>
      <c r="G104" s="2951"/>
      <c r="H104" s="2951"/>
      <c r="I104" s="2950"/>
      <c r="J104" s="2951"/>
      <c r="K104" s="2952"/>
      <c r="L104" s="254" t="str">
        <f>IF(A104&lt;&gt;"",IFERROR(INDEX(PMtbl[[WKst]:[Unit of measure*]],MATCH($A$58&amp;$A104&amp;$E104&amp;$I104,INDEX(PMtbl[Sec]&amp;PMtbl[Category]&amp;PMtbl[INN]&amp;PMtbl[Specification],0,),0),8),""),"")</f>
        <v/>
      </c>
      <c r="M104" s="254" t="str">
        <f>IF(L104="", "",SETUP!$E$5)</f>
        <v/>
      </c>
      <c r="N104" s="1975"/>
      <c r="O104" s="12"/>
      <c r="P104" s="12"/>
      <c r="Q104" s="12"/>
      <c r="R104" s="12"/>
      <c r="S104" s="1883">
        <f>SUM('Malaria-Equipment &amp; Other HPs'!$O104:$R104)</f>
        <v>0</v>
      </c>
      <c r="T104" s="1884">
        <f>'Malaria-Equipment &amp; Other HPs'!$N104*'Malaria-Equipment &amp; Other HPs'!$S104</f>
        <v>0</v>
      </c>
      <c r="U104" s="1981"/>
      <c r="V104" s="12"/>
      <c r="W104" s="12"/>
      <c r="X104" s="12"/>
      <c r="Y104" s="12"/>
      <c r="Z104" s="1883">
        <f>SUM('Malaria-Equipment &amp; Other HPs'!$V104:$Y104)</f>
        <v>0</v>
      </c>
      <c r="AA104" s="1884">
        <f>'Malaria-Equipment &amp; Other HPs'!$U104*'Malaria-Equipment &amp; Other HPs'!$Z104</f>
        <v>0</v>
      </c>
      <c r="AB104" s="1975"/>
      <c r="AC104" s="12"/>
      <c r="AD104" s="12"/>
      <c r="AE104" s="12"/>
      <c r="AF104" s="12"/>
      <c r="AG104" s="1883">
        <f>SUM('Malaria-Equipment &amp; Other HPs'!$AC104:$AF104)</f>
        <v>0</v>
      </c>
      <c r="AH104" s="1884">
        <f>'Malaria-Equipment &amp; Other HPs'!$AB104*'Malaria-Equipment &amp; Other HPs'!$AG104</f>
        <v>0</v>
      </c>
      <c r="AI104" s="1885">
        <f>'Malaria-Equipment &amp; Other HPs'!$S104+'Malaria-Equipment &amp; Other HPs'!$Z104+'Malaria-Equipment &amp; Other HPs'!$AG104</f>
        <v>0</v>
      </c>
      <c r="AJ104" s="1884">
        <f>'Malaria-Equipment &amp; Other HPs'!$T104+'Malaria-Equipment &amp; Other HPs'!$AA104+'Malaria-Equipment &amp; Other HPs'!$AH104</f>
        <v>0</v>
      </c>
      <c r="AK104" s="1919" t="str">
        <f>IF(A104&lt;&gt;"",IFERROR(INDEX(PMtbl[[WKst]:[Unit of measure*]],MATCH($A$58&amp;$A104&amp;$E104&amp;$I104,INDEX(PMtbl[Sec]&amp;PMtbl[Category]&amp;PMtbl[INN]&amp;PMtbl[Specification],0,),0),7),""),"")</f>
        <v/>
      </c>
      <c r="AL104" s="956"/>
      <c r="AM104" s="1518" t="str">
        <f>IFERROR(INDEX(SETUP!$C$19:$G$62,MATCH((INDEX(PMtbl[[WKst]:[Unit of measure*]],MATCH($A104&amp;$E104&amp;$I104,INDEX(PMtbl[Category]&amp;PMtbl[INN]&amp;PMtbl[Specification],0,),0),3)),SETUP!$D$19:$D$62,0),5),"")</f>
        <v/>
      </c>
      <c r="AN104" s="1449" t="str">
        <f>IFERROR(IF((INDEX(SETUP!$C$19:$G$62,MATCH((INDEX(PMtbl[[WKst]:[Unit of measure*]],MATCH($A104&amp;$E104&amp;$I104,INDEX(PMtbl[Category]&amp;PMtbl[INN]&amp;PMtbl[Specification],0,),0),3)),SETUP!$D$19:$D$62,0),4))="Upfront",0,INDEX(SETUP!$C$19:$G$62,MATCH((INDEX(PMtbl[[WKst]:[Unit of measure*]],MATCH($A104&amp;$E104&amp;$I104,INDEX(PMtbl[Category]&amp;PMtbl[INN]&amp;PMtbl[Specification],0,),0),3)),SETUP!$D$19:$D$62,0),5)),"")</f>
        <v/>
      </c>
    </row>
    <row r="105" spans="1:40" hidden="1">
      <c r="A105" s="2955"/>
      <c r="B105" s="2955"/>
      <c r="C105" s="2955"/>
      <c r="D105" s="2956"/>
      <c r="E105" s="3042"/>
      <c r="F105" s="2435"/>
      <c r="G105" s="2435"/>
      <c r="H105" s="2435"/>
      <c r="I105" s="3042"/>
      <c r="J105" s="2435"/>
      <c r="K105" s="3049"/>
      <c r="L105" s="253" t="str">
        <f>IF(A105&lt;&gt;"",IFERROR(INDEX(PMtbl[[WKst]:[Unit of measure*]],MATCH($A$58&amp;$A105&amp;$E105&amp;$I105,INDEX(PMtbl[Sec]&amp;PMtbl[Category]&amp;PMtbl[INN]&amp;PMtbl[Specification],0,),0),8),""),"")</f>
        <v/>
      </c>
      <c r="M105" s="255" t="str">
        <f>IF(L105="", "",SETUP!$E$5)</f>
        <v/>
      </c>
      <c r="N105" s="1975"/>
      <c r="O105" s="12"/>
      <c r="P105" s="12"/>
      <c r="Q105" s="12"/>
      <c r="R105" s="12"/>
      <c r="S105" s="1883">
        <f>SUM('Malaria-Equipment &amp; Other HPs'!$O105:$R105)</f>
        <v>0</v>
      </c>
      <c r="T105" s="1884">
        <f>'Malaria-Equipment &amp; Other HPs'!$N105*'Malaria-Equipment &amp; Other HPs'!$S105</f>
        <v>0</v>
      </c>
      <c r="U105" s="1981"/>
      <c r="V105" s="12"/>
      <c r="W105" s="12"/>
      <c r="X105" s="12"/>
      <c r="Y105" s="12"/>
      <c r="Z105" s="1883">
        <f>SUM('Malaria-Equipment &amp; Other HPs'!$V105:$Y105)</f>
        <v>0</v>
      </c>
      <c r="AA105" s="1884">
        <f>'Malaria-Equipment &amp; Other HPs'!$U105*'Malaria-Equipment &amp; Other HPs'!$Z105</f>
        <v>0</v>
      </c>
      <c r="AB105" s="1975"/>
      <c r="AC105" s="12"/>
      <c r="AD105" s="12"/>
      <c r="AE105" s="12"/>
      <c r="AF105" s="12"/>
      <c r="AG105" s="1883">
        <f>SUM('Malaria-Equipment &amp; Other HPs'!$AC105:$AF105)</f>
        <v>0</v>
      </c>
      <c r="AH105" s="1884">
        <f>'Malaria-Equipment &amp; Other HPs'!$AB105*'Malaria-Equipment &amp; Other HPs'!$AG105</f>
        <v>0</v>
      </c>
      <c r="AI105" s="1885">
        <f>'Malaria-Equipment &amp; Other HPs'!$S105+'Malaria-Equipment &amp; Other HPs'!$Z105+'Malaria-Equipment &amp; Other HPs'!$AG105</f>
        <v>0</v>
      </c>
      <c r="AJ105" s="1884">
        <f>'Malaria-Equipment &amp; Other HPs'!$T105+'Malaria-Equipment &amp; Other HPs'!$AA105+'Malaria-Equipment &amp; Other HPs'!$AH105</f>
        <v>0</v>
      </c>
      <c r="AK105" s="1919" t="str">
        <f>IF(A105&lt;&gt;"",IFERROR(INDEX(PMtbl[[WKst]:[Unit of measure*]],MATCH($A$58&amp;$A105&amp;$E105&amp;$I105,INDEX(PMtbl[Sec]&amp;PMtbl[Category]&amp;PMtbl[INN]&amp;PMtbl[Specification],0,),0),7),""),"")</f>
        <v/>
      </c>
      <c r="AL105" s="957"/>
      <c r="AM105" s="1517" t="str">
        <f>IFERROR(INDEX(SETUP!$C$19:$G$62,MATCH((INDEX(PMtbl[[WKst]:[Unit of measure*]],MATCH($A105&amp;$E105&amp;$I105,INDEX(PMtbl[Category]&amp;PMtbl[INN]&amp;PMtbl[Specification],0,),0),3)),SETUP!$D$19:$D$62,0),5),"")</f>
        <v/>
      </c>
      <c r="AN105" s="1450" t="str">
        <f>IFERROR(IF((INDEX(SETUP!$C$19:$G$62,MATCH((INDEX(PMtbl[[WKst]:[Unit of measure*]],MATCH($A105&amp;$E105&amp;$I105,INDEX(PMtbl[Category]&amp;PMtbl[INN]&amp;PMtbl[Specification],0,),0),3)),SETUP!$D$19:$D$62,0),4))="Upfront",0,INDEX(SETUP!$C$19:$G$62,MATCH((INDEX(PMtbl[[WKst]:[Unit of measure*]],MATCH($A105&amp;$E105&amp;$I105,INDEX(PMtbl[Category]&amp;PMtbl[INN]&amp;PMtbl[Specification],0,),0),3)),SETUP!$D$19:$D$62,0),5)),"")</f>
        <v/>
      </c>
    </row>
    <row r="106" spans="1:40" hidden="1">
      <c r="A106" s="2957"/>
      <c r="B106" s="2957"/>
      <c r="C106" s="2957"/>
      <c r="D106" s="2958"/>
      <c r="E106" s="2950"/>
      <c r="F106" s="2951"/>
      <c r="G106" s="2951"/>
      <c r="H106" s="2951"/>
      <c r="I106" s="2950"/>
      <c r="J106" s="2951"/>
      <c r="K106" s="2952"/>
      <c r="L106" s="254" t="str">
        <f>IF(A106&lt;&gt;"",IFERROR(INDEX(PMtbl[[WKst]:[Unit of measure*]],MATCH($A$58&amp;$A106&amp;$E106&amp;$I106,INDEX(PMtbl[Sec]&amp;PMtbl[Category]&amp;PMtbl[INN]&amp;PMtbl[Specification],0,),0),8),""),"")</f>
        <v/>
      </c>
      <c r="M106" s="254" t="str">
        <f>IF(L106="", "",SETUP!$E$5)</f>
        <v/>
      </c>
      <c r="N106" s="1975"/>
      <c r="O106" s="12"/>
      <c r="P106" s="12"/>
      <c r="Q106" s="12"/>
      <c r="R106" s="12"/>
      <c r="S106" s="1883">
        <f>SUM('Malaria-Equipment &amp; Other HPs'!$O106:$R106)</f>
        <v>0</v>
      </c>
      <c r="T106" s="1884">
        <f>'Malaria-Equipment &amp; Other HPs'!$N106*'Malaria-Equipment &amp; Other HPs'!$S106</f>
        <v>0</v>
      </c>
      <c r="U106" s="1981"/>
      <c r="V106" s="12"/>
      <c r="W106" s="12"/>
      <c r="X106" s="12"/>
      <c r="Y106" s="12"/>
      <c r="Z106" s="1883">
        <f>SUM('Malaria-Equipment &amp; Other HPs'!$V106:$Y106)</f>
        <v>0</v>
      </c>
      <c r="AA106" s="1884">
        <f>'Malaria-Equipment &amp; Other HPs'!$U106*'Malaria-Equipment &amp; Other HPs'!$Z106</f>
        <v>0</v>
      </c>
      <c r="AB106" s="1975"/>
      <c r="AC106" s="12"/>
      <c r="AD106" s="12"/>
      <c r="AE106" s="12"/>
      <c r="AF106" s="12"/>
      <c r="AG106" s="1883">
        <f>SUM('Malaria-Equipment &amp; Other HPs'!$AC106:$AF106)</f>
        <v>0</v>
      </c>
      <c r="AH106" s="1884">
        <f>'Malaria-Equipment &amp; Other HPs'!$AB106*'Malaria-Equipment &amp; Other HPs'!$AG106</f>
        <v>0</v>
      </c>
      <c r="AI106" s="1885">
        <f>'Malaria-Equipment &amp; Other HPs'!$S106+'Malaria-Equipment &amp; Other HPs'!$Z106+'Malaria-Equipment &amp; Other HPs'!$AG106</f>
        <v>0</v>
      </c>
      <c r="AJ106" s="1884">
        <f>'Malaria-Equipment &amp; Other HPs'!$T106+'Malaria-Equipment &amp; Other HPs'!$AA106+'Malaria-Equipment &amp; Other HPs'!$AH106</f>
        <v>0</v>
      </c>
      <c r="AK106" s="1919" t="str">
        <f>IF(A106&lt;&gt;"",IFERROR(INDEX(PMtbl[[WKst]:[Unit of measure*]],MATCH($A$58&amp;$A106&amp;$E106&amp;$I106,INDEX(PMtbl[Sec]&amp;PMtbl[Category]&amp;PMtbl[INN]&amp;PMtbl[Specification],0,),0),7),""),"")</f>
        <v/>
      </c>
      <c r="AL106" s="956"/>
      <c r="AM106" s="1518" t="str">
        <f>IFERROR(INDEX(SETUP!$C$19:$G$62,MATCH((INDEX(PMtbl[[WKst]:[Unit of measure*]],MATCH($A106&amp;$E106&amp;$I106,INDEX(PMtbl[Category]&amp;PMtbl[INN]&amp;PMtbl[Specification],0,),0),3)),SETUP!$D$19:$D$62,0),5),"")</f>
        <v/>
      </c>
      <c r="AN106" s="1449" t="str">
        <f>IFERROR(IF((INDEX(SETUP!$C$19:$G$62,MATCH((INDEX(PMtbl[[WKst]:[Unit of measure*]],MATCH($A106&amp;$E106&amp;$I106,INDEX(PMtbl[Category]&amp;PMtbl[INN]&amp;PMtbl[Specification],0,),0),3)),SETUP!$D$19:$D$62,0),4))="Upfront",0,INDEX(SETUP!$C$19:$G$62,MATCH((INDEX(PMtbl[[WKst]:[Unit of measure*]],MATCH($A106&amp;$E106&amp;$I106,INDEX(PMtbl[Category]&amp;PMtbl[INN]&amp;PMtbl[Specification],0,),0),3)),SETUP!$D$19:$D$62,0),5)),"")</f>
        <v/>
      </c>
    </row>
    <row r="107" spans="1:40" hidden="1">
      <c r="A107" s="2955"/>
      <c r="B107" s="2955"/>
      <c r="C107" s="2955"/>
      <c r="D107" s="2956"/>
      <c r="E107" s="3042"/>
      <c r="F107" s="2435"/>
      <c r="G107" s="2435"/>
      <c r="H107" s="2435"/>
      <c r="I107" s="3042"/>
      <c r="J107" s="2435"/>
      <c r="K107" s="3049"/>
      <c r="L107" s="253" t="str">
        <f>IF(A107&lt;&gt;"",IFERROR(INDEX(PMtbl[[WKst]:[Unit of measure*]],MATCH($A$58&amp;$A107&amp;$E107&amp;$I107,INDEX(PMtbl[Sec]&amp;PMtbl[Category]&amp;PMtbl[INN]&amp;PMtbl[Specification],0,),0),8),""),"")</f>
        <v/>
      </c>
      <c r="M107" s="255" t="str">
        <f>IF(L107="", "",SETUP!$E$5)</f>
        <v/>
      </c>
      <c r="N107" s="1975"/>
      <c r="O107" s="12"/>
      <c r="P107" s="12"/>
      <c r="Q107" s="12"/>
      <c r="R107" s="12"/>
      <c r="S107" s="1883">
        <f>SUM('Malaria-Equipment &amp; Other HPs'!$O107:$R107)</f>
        <v>0</v>
      </c>
      <c r="T107" s="1884">
        <f>'Malaria-Equipment &amp; Other HPs'!$N107*'Malaria-Equipment &amp; Other HPs'!$S107</f>
        <v>0</v>
      </c>
      <c r="U107" s="1981"/>
      <c r="V107" s="12"/>
      <c r="W107" s="12"/>
      <c r="X107" s="12"/>
      <c r="Y107" s="12"/>
      <c r="Z107" s="1883">
        <f>SUM('Malaria-Equipment &amp; Other HPs'!$V107:$Y107)</f>
        <v>0</v>
      </c>
      <c r="AA107" s="1884">
        <f>'Malaria-Equipment &amp; Other HPs'!$U107*'Malaria-Equipment &amp; Other HPs'!$Z107</f>
        <v>0</v>
      </c>
      <c r="AB107" s="1975"/>
      <c r="AC107" s="12"/>
      <c r="AD107" s="12"/>
      <c r="AE107" s="12"/>
      <c r="AF107" s="12"/>
      <c r="AG107" s="1883">
        <f>SUM('Malaria-Equipment &amp; Other HPs'!$AC107:$AF107)</f>
        <v>0</v>
      </c>
      <c r="AH107" s="1884">
        <f>'Malaria-Equipment &amp; Other HPs'!$AB107*'Malaria-Equipment &amp; Other HPs'!$AG107</f>
        <v>0</v>
      </c>
      <c r="AI107" s="1885">
        <f>'Malaria-Equipment &amp; Other HPs'!$S107+'Malaria-Equipment &amp; Other HPs'!$Z107+'Malaria-Equipment &amp; Other HPs'!$AG107</f>
        <v>0</v>
      </c>
      <c r="AJ107" s="1884">
        <f>'Malaria-Equipment &amp; Other HPs'!$T107+'Malaria-Equipment &amp; Other HPs'!$AA107+'Malaria-Equipment &amp; Other HPs'!$AH107</f>
        <v>0</v>
      </c>
      <c r="AK107" s="1919" t="str">
        <f>IF(A107&lt;&gt;"",IFERROR(INDEX(PMtbl[[WKst]:[Unit of measure*]],MATCH($A$58&amp;$A107&amp;$E107&amp;$I107,INDEX(PMtbl[Sec]&amp;PMtbl[Category]&amp;PMtbl[INN]&amp;PMtbl[Specification],0,),0),7),""),"")</f>
        <v/>
      </c>
      <c r="AL107" s="957"/>
      <c r="AM107" s="1517" t="str">
        <f>IFERROR(INDEX(SETUP!$C$19:$G$62,MATCH((INDEX(PMtbl[[WKst]:[Unit of measure*]],MATCH($A107&amp;$E107&amp;$I107,INDEX(PMtbl[Category]&amp;PMtbl[INN]&amp;PMtbl[Specification],0,),0),3)),SETUP!$D$19:$D$62,0),5),"")</f>
        <v/>
      </c>
      <c r="AN107" s="1450" t="str">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
      </c>
    </row>
    <row r="108" spans="1:40" hidden="1">
      <c r="A108" s="2957"/>
      <c r="B108" s="2957"/>
      <c r="C108" s="2957"/>
      <c r="D108" s="2958"/>
      <c r="E108" s="2950"/>
      <c r="F108" s="2951"/>
      <c r="G108" s="2951"/>
      <c r="H108" s="2951"/>
      <c r="I108" s="2950"/>
      <c r="J108" s="2951"/>
      <c r="K108" s="2952"/>
      <c r="L108" s="254" t="str">
        <f>IF(A108&lt;&gt;"",IFERROR(INDEX(PMtbl[[WKst]:[Unit of measure*]],MATCH($A$58&amp;$A108&amp;$E108&amp;$I108,INDEX(PMtbl[Sec]&amp;PMtbl[Category]&amp;PMtbl[INN]&amp;PMtbl[Specification],0,),0),8),""),"")</f>
        <v/>
      </c>
      <c r="M108" s="254" t="str">
        <f>IF(L108="", "",SETUP!$E$5)</f>
        <v/>
      </c>
      <c r="N108" s="1975"/>
      <c r="O108" s="12"/>
      <c r="P108" s="12"/>
      <c r="Q108" s="12"/>
      <c r="R108" s="12"/>
      <c r="S108" s="1883">
        <f>SUM('Malaria-Equipment &amp; Other HPs'!$O108:$R108)</f>
        <v>0</v>
      </c>
      <c r="T108" s="1884">
        <f>'Malaria-Equipment &amp; Other HPs'!$N108*'Malaria-Equipment &amp; Other HPs'!$S108</f>
        <v>0</v>
      </c>
      <c r="U108" s="1981"/>
      <c r="V108" s="12"/>
      <c r="W108" s="12"/>
      <c r="X108" s="12"/>
      <c r="Y108" s="12"/>
      <c r="Z108" s="1883">
        <f>SUM('Malaria-Equipment &amp; Other HPs'!$V108:$Y108)</f>
        <v>0</v>
      </c>
      <c r="AA108" s="1884">
        <f>'Malaria-Equipment &amp; Other HPs'!$U108*'Malaria-Equipment &amp; Other HPs'!$Z108</f>
        <v>0</v>
      </c>
      <c r="AB108" s="1975"/>
      <c r="AC108" s="12"/>
      <c r="AD108" s="12"/>
      <c r="AE108" s="12"/>
      <c r="AF108" s="12"/>
      <c r="AG108" s="1883">
        <f>SUM('Malaria-Equipment &amp; Other HPs'!$AC108:$AF108)</f>
        <v>0</v>
      </c>
      <c r="AH108" s="1884">
        <f>'Malaria-Equipment &amp; Other HPs'!$AB108*'Malaria-Equipment &amp; Other HPs'!$AG108</f>
        <v>0</v>
      </c>
      <c r="AI108" s="1885">
        <f>'Malaria-Equipment &amp; Other HPs'!$S108+'Malaria-Equipment &amp; Other HPs'!$Z108+'Malaria-Equipment &amp; Other HPs'!$AG108</f>
        <v>0</v>
      </c>
      <c r="AJ108" s="1884">
        <f>'Malaria-Equipment &amp; Other HPs'!$T108+'Malaria-Equipment &amp; Other HPs'!$AA108+'Malaria-Equipment &amp; Other HPs'!$AH108</f>
        <v>0</v>
      </c>
      <c r="AK108" s="1919" t="str">
        <f>IF(A108&lt;&gt;"",IFERROR(INDEX(PMtbl[[WKst]:[Unit of measure*]],MATCH($A$58&amp;$A108&amp;$E108&amp;$I108,INDEX(PMtbl[Sec]&amp;PMtbl[Category]&amp;PMtbl[INN]&amp;PMtbl[Specification],0,),0),7),""),"")</f>
        <v/>
      </c>
      <c r="AL108" s="956"/>
      <c r="AM108" s="1518" t="str">
        <f>IFERROR(INDEX(SETUP!$C$19:$G$62,MATCH((INDEX(PMtbl[[WKst]:[Unit of measure*]],MATCH($A108&amp;$E108&amp;$I108,INDEX(PMtbl[Category]&amp;PMtbl[INN]&amp;PMtbl[Specification],0,),0),3)),SETUP!$D$19:$D$62,0),5),"")</f>
        <v/>
      </c>
      <c r="AN108" s="1449" t="str">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
      </c>
    </row>
    <row r="109" spans="1:40" hidden="1">
      <c r="A109" s="2955"/>
      <c r="B109" s="2955"/>
      <c r="C109" s="2955"/>
      <c r="D109" s="2956"/>
      <c r="E109" s="3042"/>
      <c r="F109" s="2435"/>
      <c r="G109" s="2435"/>
      <c r="H109" s="2435"/>
      <c r="I109" s="3042"/>
      <c r="J109" s="2435"/>
      <c r="K109" s="3049"/>
      <c r="L109" s="253" t="str">
        <f>IF(A109&lt;&gt;"",IFERROR(INDEX(PMtbl[[WKst]:[Unit of measure*]],MATCH($A$58&amp;$A109&amp;$E109&amp;$I109,INDEX(PMtbl[Sec]&amp;PMtbl[Category]&amp;PMtbl[INN]&amp;PMtbl[Specification],0,),0),8),""),"")</f>
        <v/>
      </c>
      <c r="M109" s="255" t="str">
        <f>IF(L109="", "",SETUP!$E$5)</f>
        <v/>
      </c>
      <c r="N109" s="1975"/>
      <c r="O109" s="12"/>
      <c r="P109" s="12"/>
      <c r="Q109" s="12"/>
      <c r="R109" s="12"/>
      <c r="S109" s="1883">
        <f>SUM('Malaria-Equipment &amp; Other HPs'!$O109:$R109)</f>
        <v>0</v>
      </c>
      <c r="T109" s="1884">
        <f>'Malaria-Equipment &amp; Other HPs'!$N109*'Malaria-Equipment &amp; Other HPs'!$S109</f>
        <v>0</v>
      </c>
      <c r="U109" s="1981"/>
      <c r="V109" s="12"/>
      <c r="W109" s="12"/>
      <c r="X109" s="12"/>
      <c r="Y109" s="12"/>
      <c r="Z109" s="1883">
        <f>SUM('Malaria-Equipment &amp; Other HPs'!$V109:$Y109)</f>
        <v>0</v>
      </c>
      <c r="AA109" s="1884">
        <f>'Malaria-Equipment &amp; Other HPs'!$U109*'Malaria-Equipment &amp; Other HPs'!$Z109</f>
        <v>0</v>
      </c>
      <c r="AB109" s="1975"/>
      <c r="AC109" s="12"/>
      <c r="AD109" s="12"/>
      <c r="AE109" s="12"/>
      <c r="AF109" s="12"/>
      <c r="AG109" s="1883">
        <f>SUM('Malaria-Equipment &amp; Other HPs'!$AC109:$AF109)</f>
        <v>0</v>
      </c>
      <c r="AH109" s="1884">
        <f>'Malaria-Equipment &amp; Other HPs'!$AB109*'Malaria-Equipment &amp; Other HPs'!$AG109</f>
        <v>0</v>
      </c>
      <c r="AI109" s="1885">
        <f>'Malaria-Equipment &amp; Other HPs'!$S109+'Malaria-Equipment &amp; Other HPs'!$Z109+'Malaria-Equipment &amp; Other HPs'!$AG109</f>
        <v>0</v>
      </c>
      <c r="AJ109" s="1884">
        <f>'Malaria-Equipment &amp; Other HPs'!$T109+'Malaria-Equipment &amp; Other HPs'!$AA109+'Malaria-Equipment &amp; Other HPs'!$AH109</f>
        <v>0</v>
      </c>
      <c r="AK109" s="1919" t="str">
        <f>IF(A109&lt;&gt;"",IFERROR(INDEX(PMtbl[[WKst]:[Unit of measure*]],MATCH($A$58&amp;$A109&amp;$E109&amp;$I109,INDEX(PMtbl[Sec]&amp;PMtbl[Category]&amp;PMtbl[INN]&amp;PMtbl[Specification],0,),0),7),""),"")</f>
        <v/>
      </c>
      <c r="AL109" s="957"/>
      <c r="AM109" s="1517" t="str">
        <f>IFERROR(INDEX(SETUP!$C$19:$G$62,MATCH((INDEX(PMtbl[[WKst]:[Unit of measure*]],MATCH($A109&amp;$E109&amp;$I109,INDEX(PMtbl[Category]&amp;PMtbl[INN]&amp;PMtbl[Specification],0,),0),3)),SETUP!$D$19:$D$62,0),5),"")</f>
        <v/>
      </c>
      <c r="AN109" s="1450" t="str">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
      </c>
    </row>
    <row r="110" spans="1:40" hidden="1">
      <c r="A110" s="2957"/>
      <c r="B110" s="2957"/>
      <c r="C110" s="2957"/>
      <c r="D110" s="2958"/>
      <c r="E110" s="2950"/>
      <c r="F110" s="2951"/>
      <c r="G110" s="2951"/>
      <c r="H110" s="2951"/>
      <c r="I110" s="2950"/>
      <c r="J110" s="2951"/>
      <c r="K110" s="2952"/>
      <c r="L110" s="254" t="str">
        <f>IF(A110&lt;&gt;"",IFERROR(INDEX(PMtbl[[WKst]:[Unit of measure*]],MATCH($A$58&amp;$A110&amp;$E110&amp;$I110,INDEX(PMtbl[Sec]&amp;PMtbl[Category]&amp;PMtbl[INN]&amp;PMtbl[Specification],0,),0),8),""),"")</f>
        <v/>
      </c>
      <c r="M110" s="254" t="str">
        <f>IF(L110="", "",SETUP!$E$5)</f>
        <v/>
      </c>
      <c r="N110" s="1975"/>
      <c r="O110" s="12"/>
      <c r="P110" s="12"/>
      <c r="Q110" s="12"/>
      <c r="R110" s="12"/>
      <c r="S110" s="1883">
        <f>SUM('Malaria-Equipment &amp; Other HPs'!$O110:$R110)</f>
        <v>0</v>
      </c>
      <c r="T110" s="1884">
        <f>'Malaria-Equipment &amp; Other HPs'!$N110*'Malaria-Equipment &amp; Other HPs'!$S110</f>
        <v>0</v>
      </c>
      <c r="U110" s="1981"/>
      <c r="V110" s="12"/>
      <c r="W110" s="12"/>
      <c r="X110" s="12"/>
      <c r="Y110" s="12"/>
      <c r="Z110" s="1883">
        <f>SUM('Malaria-Equipment &amp; Other HPs'!$V110:$Y110)</f>
        <v>0</v>
      </c>
      <c r="AA110" s="1884">
        <f>'Malaria-Equipment &amp; Other HPs'!$U110*'Malaria-Equipment &amp; Other HPs'!$Z110</f>
        <v>0</v>
      </c>
      <c r="AB110" s="1975"/>
      <c r="AC110" s="12"/>
      <c r="AD110" s="12"/>
      <c r="AE110" s="12"/>
      <c r="AF110" s="12"/>
      <c r="AG110" s="1883">
        <f>SUM('Malaria-Equipment &amp; Other HPs'!$AC110:$AF110)</f>
        <v>0</v>
      </c>
      <c r="AH110" s="1884">
        <f>'Malaria-Equipment &amp; Other HPs'!$AB110*'Malaria-Equipment &amp; Other HPs'!$AG110</f>
        <v>0</v>
      </c>
      <c r="AI110" s="1885">
        <f>'Malaria-Equipment &amp; Other HPs'!$S110+'Malaria-Equipment &amp; Other HPs'!$Z110+'Malaria-Equipment &amp; Other HPs'!$AG110</f>
        <v>0</v>
      </c>
      <c r="AJ110" s="1884">
        <f>'Malaria-Equipment &amp; Other HPs'!$T110+'Malaria-Equipment &amp; Other HPs'!$AA110+'Malaria-Equipment &amp; Other HPs'!$AH110</f>
        <v>0</v>
      </c>
      <c r="AK110" s="1919" t="str">
        <f>IF(A110&lt;&gt;"",IFERROR(INDEX(PMtbl[[WKst]:[Unit of measure*]],MATCH($A$58&amp;$A110&amp;$E110&amp;$I110,INDEX(PMtbl[Sec]&amp;PMtbl[Category]&amp;PMtbl[INN]&amp;PMtbl[Specification],0,),0),7),""),"")</f>
        <v/>
      </c>
      <c r="AL110" s="956"/>
      <c r="AM110" s="1518" t="str">
        <f>IFERROR(INDEX(SETUP!$C$19:$G$62,MATCH((INDEX(PMtbl[[WKst]:[Unit of measure*]],MATCH($A110&amp;$E110&amp;$I110,INDEX(PMtbl[Category]&amp;PMtbl[INN]&amp;PMtbl[Specification],0,),0),3)),SETUP!$D$19:$D$62,0),5),"")</f>
        <v/>
      </c>
      <c r="AN110" s="1449" t="str">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
      </c>
    </row>
    <row r="111" spans="1:40" hidden="1">
      <c r="A111" s="2955"/>
      <c r="B111" s="2955"/>
      <c r="C111" s="2955"/>
      <c r="D111" s="2956"/>
      <c r="E111" s="3042"/>
      <c r="F111" s="2435"/>
      <c r="G111" s="2435"/>
      <c r="H111" s="2435"/>
      <c r="I111" s="3042"/>
      <c r="J111" s="2435"/>
      <c r="K111" s="3049"/>
      <c r="L111" s="253" t="str">
        <f>IF(A111&lt;&gt;"",IFERROR(INDEX(PMtbl[[WKst]:[Unit of measure*]],MATCH($A$58&amp;$A111&amp;$E111&amp;$I111,INDEX(PMtbl[Sec]&amp;PMtbl[Category]&amp;PMtbl[INN]&amp;PMtbl[Specification],0,),0),8),""),"")</f>
        <v/>
      </c>
      <c r="M111" s="255" t="str">
        <f>IF(L111="", "",SETUP!$E$5)</f>
        <v/>
      </c>
      <c r="N111" s="1975"/>
      <c r="O111" s="12"/>
      <c r="P111" s="12"/>
      <c r="Q111" s="12"/>
      <c r="R111" s="12"/>
      <c r="S111" s="1883">
        <f>SUM('Malaria-Equipment &amp; Other HPs'!$O111:$R111)</f>
        <v>0</v>
      </c>
      <c r="T111" s="1884">
        <f>'Malaria-Equipment &amp; Other HPs'!$N111*'Malaria-Equipment &amp; Other HPs'!$S111</f>
        <v>0</v>
      </c>
      <c r="U111" s="1981"/>
      <c r="V111" s="12"/>
      <c r="W111" s="12"/>
      <c r="X111" s="12"/>
      <c r="Y111" s="12"/>
      <c r="Z111" s="1883">
        <f>SUM('Malaria-Equipment &amp; Other HPs'!$V111:$Y111)</f>
        <v>0</v>
      </c>
      <c r="AA111" s="1884">
        <f>'Malaria-Equipment &amp; Other HPs'!$U111*'Malaria-Equipment &amp; Other HPs'!$Z111</f>
        <v>0</v>
      </c>
      <c r="AB111" s="1975"/>
      <c r="AC111" s="12"/>
      <c r="AD111" s="12"/>
      <c r="AE111" s="12"/>
      <c r="AF111" s="12"/>
      <c r="AG111" s="1883">
        <f>SUM('Malaria-Equipment &amp; Other HPs'!$AC111:$AF111)</f>
        <v>0</v>
      </c>
      <c r="AH111" s="1884">
        <f>'Malaria-Equipment &amp; Other HPs'!$AB111*'Malaria-Equipment &amp; Other HPs'!$AG111</f>
        <v>0</v>
      </c>
      <c r="AI111" s="1885">
        <f>'Malaria-Equipment &amp; Other HPs'!$S111+'Malaria-Equipment &amp; Other HPs'!$Z111+'Malaria-Equipment &amp; Other HPs'!$AG111</f>
        <v>0</v>
      </c>
      <c r="AJ111" s="1884">
        <f>'Malaria-Equipment &amp; Other HPs'!$T111+'Malaria-Equipment &amp; Other HPs'!$AA111+'Malaria-Equipment &amp; Other HPs'!$AH111</f>
        <v>0</v>
      </c>
      <c r="AK111" s="1919" t="str">
        <f>IF(A111&lt;&gt;"",IFERROR(INDEX(PMtbl[[WKst]:[Unit of measure*]],MATCH($A$58&amp;$A111&amp;$E111&amp;$I111,INDEX(PMtbl[Sec]&amp;PMtbl[Category]&amp;PMtbl[INN]&amp;PMtbl[Specification],0,),0),7),""),"")</f>
        <v/>
      </c>
      <c r="AL111" s="957"/>
      <c r="AM111" s="1517" t="str">
        <f>IFERROR(INDEX(SETUP!$C$19:$G$62,MATCH((INDEX(PMtbl[[WKst]:[Unit of measure*]],MATCH($A111&amp;$E111&amp;$I111,INDEX(PMtbl[Category]&amp;PMtbl[INN]&amp;PMtbl[Specification],0,),0),3)),SETUP!$D$19:$D$62,0),5),"")</f>
        <v/>
      </c>
      <c r="AN111" s="1450" t="str">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
      </c>
    </row>
    <row r="112" spans="1:40" hidden="1">
      <c r="A112" s="2957"/>
      <c r="B112" s="2957"/>
      <c r="C112" s="2957"/>
      <c r="D112" s="2958"/>
      <c r="E112" s="2950"/>
      <c r="F112" s="2951"/>
      <c r="G112" s="2951"/>
      <c r="H112" s="2951"/>
      <c r="I112" s="2950"/>
      <c r="J112" s="2951"/>
      <c r="K112" s="2952"/>
      <c r="L112" s="254" t="str">
        <f>IF(A112&lt;&gt;"",IFERROR(INDEX(PMtbl[[WKst]:[Unit of measure*]],MATCH($A$58&amp;$A112&amp;$E112&amp;$I112,INDEX(PMtbl[Sec]&amp;PMtbl[Category]&amp;PMtbl[INN]&amp;PMtbl[Specification],0,),0),8),""),"")</f>
        <v/>
      </c>
      <c r="M112" s="254" t="str">
        <f>IF(L112="", "",SETUP!$E$5)</f>
        <v/>
      </c>
      <c r="N112" s="1975"/>
      <c r="O112" s="12"/>
      <c r="P112" s="12"/>
      <c r="Q112" s="12"/>
      <c r="R112" s="12"/>
      <c r="S112" s="1883">
        <f>SUM('Malaria-Equipment &amp; Other HPs'!$O112:$R112)</f>
        <v>0</v>
      </c>
      <c r="T112" s="1884">
        <f>'Malaria-Equipment &amp; Other HPs'!$N112*'Malaria-Equipment &amp; Other HPs'!$S112</f>
        <v>0</v>
      </c>
      <c r="U112" s="1981"/>
      <c r="V112" s="12"/>
      <c r="W112" s="12"/>
      <c r="X112" s="12"/>
      <c r="Y112" s="12"/>
      <c r="Z112" s="1883">
        <f>SUM('Malaria-Equipment &amp; Other HPs'!$V112:$Y112)</f>
        <v>0</v>
      </c>
      <c r="AA112" s="1884">
        <f>'Malaria-Equipment &amp; Other HPs'!$U112*'Malaria-Equipment &amp; Other HPs'!$Z112</f>
        <v>0</v>
      </c>
      <c r="AB112" s="1975"/>
      <c r="AC112" s="12"/>
      <c r="AD112" s="12"/>
      <c r="AE112" s="12"/>
      <c r="AF112" s="12"/>
      <c r="AG112" s="1883">
        <f>SUM('Malaria-Equipment &amp; Other HPs'!$AC112:$AF112)</f>
        <v>0</v>
      </c>
      <c r="AH112" s="1884">
        <f>'Malaria-Equipment &amp; Other HPs'!$AB112*'Malaria-Equipment &amp; Other HPs'!$AG112</f>
        <v>0</v>
      </c>
      <c r="AI112" s="1885">
        <f>'Malaria-Equipment &amp; Other HPs'!$S112+'Malaria-Equipment &amp; Other HPs'!$Z112+'Malaria-Equipment &amp; Other HPs'!$AG112</f>
        <v>0</v>
      </c>
      <c r="AJ112" s="1884">
        <f>'Malaria-Equipment &amp; Other HPs'!$T112+'Malaria-Equipment &amp; Other HPs'!$AA112+'Malaria-Equipment &amp; Other HPs'!$AH112</f>
        <v>0</v>
      </c>
      <c r="AK112" s="1919" t="str">
        <f>IF(A112&lt;&gt;"",IFERROR(INDEX(PMtbl[[WKst]:[Unit of measure*]],MATCH($A$58&amp;$A112&amp;$E112&amp;$I112,INDEX(PMtbl[Sec]&amp;PMtbl[Category]&amp;PMtbl[INN]&amp;PMtbl[Specification],0,),0),7),""),"")</f>
        <v/>
      </c>
      <c r="AL112" s="956"/>
      <c r="AM112" s="1518" t="str">
        <f>IFERROR(INDEX(SETUP!$C$19:$G$62,MATCH((INDEX(PMtbl[[WKst]:[Unit of measure*]],MATCH($A112&amp;$E112&amp;$I112,INDEX(PMtbl[Category]&amp;PMtbl[INN]&amp;PMtbl[Specification],0,),0),3)),SETUP!$D$19:$D$62,0),5),"")</f>
        <v/>
      </c>
      <c r="AN112" s="1449" t="str">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
      </c>
    </row>
    <row r="113" spans="1:40" hidden="1">
      <c r="A113" s="2955"/>
      <c r="B113" s="2955"/>
      <c r="C113" s="2955"/>
      <c r="D113" s="2956"/>
      <c r="E113" s="3042"/>
      <c r="F113" s="2435"/>
      <c r="G113" s="2435"/>
      <c r="H113" s="2435"/>
      <c r="I113" s="3042"/>
      <c r="J113" s="2435"/>
      <c r="K113" s="3049"/>
      <c r="L113" s="253" t="str">
        <f>IF(A113&lt;&gt;"",IFERROR(INDEX(PMtbl[[WKst]:[Unit of measure*]],MATCH($A$58&amp;$A113&amp;$E113&amp;$I113,INDEX(PMtbl[Sec]&amp;PMtbl[Category]&amp;PMtbl[INN]&amp;PMtbl[Specification],0,),0),8),""),"")</f>
        <v/>
      </c>
      <c r="M113" s="255" t="str">
        <f>IF(L113="", "",SETUP!$E$5)</f>
        <v/>
      </c>
      <c r="N113" s="1975"/>
      <c r="O113" s="12"/>
      <c r="P113" s="12"/>
      <c r="Q113" s="12"/>
      <c r="R113" s="12"/>
      <c r="S113" s="1883">
        <f>SUM('Malaria-Equipment &amp; Other HPs'!$O113:$R113)</f>
        <v>0</v>
      </c>
      <c r="T113" s="1884">
        <f>'Malaria-Equipment &amp; Other HPs'!$N113*'Malaria-Equipment &amp; Other HPs'!$S113</f>
        <v>0</v>
      </c>
      <c r="U113" s="1981"/>
      <c r="V113" s="12"/>
      <c r="W113" s="12"/>
      <c r="X113" s="12"/>
      <c r="Y113" s="12"/>
      <c r="Z113" s="1883">
        <f>SUM('Malaria-Equipment &amp; Other HPs'!$V113:$Y113)</f>
        <v>0</v>
      </c>
      <c r="AA113" s="1884">
        <f>'Malaria-Equipment &amp; Other HPs'!$U113*'Malaria-Equipment &amp; Other HPs'!$Z113</f>
        <v>0</v>
      </c>
      <c r="AB113" s="1975"/>
      <c r="AC113" s="12"/>
      <c r="AD113" s="12"/>
      <c r="AE113" s="12"/>
      <c r="AF113" s="12"/>
      <c r="AG113" s="1883">
        <f>SUM('Malaria-Equipment &amp; Other HPs'!$AC113:$AF113)</f>
        <v>0</v>
      </c>
      <c r="AH113" s="1884">
        <f>'Malaria-Equipment &amp; Other HPs'!$AB113*'Malaria-Equipment &amp; Other HPs'!$AG113</f>
        <v>0</v>
      </c>
      <c r="AI113" s="1885">
        <f>'Malaria-Equipment &amp; Other HPs'!$S113+'Malaria-Equipment &amp; Other HPs'!$Z113+'Malaria-Equipment &amp; Other HPs'!$AG113</f>
        <v>0</v>
      </c>
      <c r="AJ113" s="1884">
        <f>'Malaria-Equipment &amp; Other HPs'!$T113+'Malaria-Equipment &amp; Other HPs'!$AA113+'Malaria-Equipment &amp; Other HPs'!$AH113</f>
        <v>0</v>
      </c>
      <c r="AK113" s="1919" t="str">
        <f>IF(A113&lt;&gt;"",IFERROR(INDEX(PMtbl[[WKst]:[Unit of measure*]],MATCH($A$58&amp;$A113&amp;$E113&amp;$I113,INDEX(PMtbl[Sec]&amp;PMtbl[Category]&amp;PMtbl[INN]&amp;PMtbl[Specification],0,),0),7),""),"")</f>
        <v/>
      </c>
      <c r="AL113" s="957"/>
      <c r="AM113" s="1517" t="str">
        <f>IFERROR(INDEX(SETUP!$C$19:$G$62,MATCH((INDEX(PMtbl[[WKst]:[Unit of measure*]],MATCH($A113&amp;$E113&amp;$I113,INDEX(PMtbl[Category]&amp;PMtbl[INN]&amp;PMtbl[Specification],0,),0),3)),SETUP!$D$19:$D$62,0),5),"")</f>
        <v/>
      </c>
      <c r="AN113" s="1450"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hidden="1">
      <c r="A114" s="2957"/>
      <c r="B114" s="2957"/>
      <c r="C114" s="2957"/>
      <c r="D114" s="2958"/>
      <c r="E114" s="2950"/>
      <c r="F114" s="2951"/>
      <c r="G114" s="2951"/>
      <c r="H114" s="2951"/>
      <c r="I114" s="2950"/>
      <c r="J114" s="2951"/>
      <c r="K114" s="2952"/>
      <c r="L114" s="254" t="str">
        <f>IF(A114&lt;&gt;"",IFERROR(INDEX(PMtbl[[WKst]:[Unit of measure*]],MATCH($A$58&amp;$A114&amp;$E114&amp;$I114,INDEX(PMtbl[Sec]&amp;PMtbl[Category]&amp;PMtbl[INN]&amp;PMtbl[Specification],0,),0),8),""),"")</f>
        <v/>
      </c>
      <c r="M114" s="254" t="str">
        <f>IF(L114="", "",SETUP!$E$5)</f>
        <v/>
      </c>
      <c r="N114" s="1975"/>
      <c r="O114" s="12"/>
      <c r="P114" s="12"/>
      <c r="Q114" s="12"/>
      <c r="R114" s="12"/>
      <c r="S114" s="1883">
        <f>SUM('Malaria-Equipment &amp; Other HPs'!$O114:$R114)</f>
        <v>0</v>
      </c>
      <c r="T114" s="1884">
        <f>'Malaria-Equipment &amp; Other HPs'!$N114*'Malaria-Equipment &amp; Other HPs'!$S114</f>
        <v>0</v>
      </c>
      <c r="U114" s="1981"/>
      <c r="V114" s="12"/>
      <c r="W114" s="12"/>
      <c r="X114" s="12"/>
      <c r="Y114" s="12"/>
      <c r="Z114" s="1883">
        <f>SUM('Malaria-Equipment &amp; Other HPs'!$V114:$Y114)</f>
        <v>0</v>
      </c>
      <c r="AA114" s="1884">
        <f>'Malaria-Equipment &amp; Other HPs'!$U114*'Malaria-Equipment &amp; Other HPs'!$Z114</f>
        <v>0</v>
      </c>
      <c r="AB114" s="1975"/>
      <c r="AC114" s="12"/>
      <c r="AD114" s="12"/>
      <c r="AE114" s="12"/>
      <c r="AF114" s="12"/>
      <c r="AG114" s="1883">
        <f>SUM('Malaria-Equipment &amp; Other HPs'!$AC114:$AF114)</f>
        <v>0</v>
      </c>
      <c r="AH114" s="1884">
        <f>'Malaria-Equipment &amp; Other HPs'!$AB114*'Malaria-Equipment &amp; Other HPs'!$AG114</f>
        <v>0</v>
      </c>
      <c r="AI114" s="1885">
        <f>'Malaria-Equipment &amp; Other HPs'!$S114+'Malaria-Equipment &amp; Other HPs'!$Z114+'Malaria-Equipment &amp; Other HPs'!$AG114</f>
        <v>0</v>
      </c>
      <c r="AJ114" s="1884">
        <f>'Malaria-Equipment &amp; Other HPs'!$T114+'Malaria-Equipment &amp; Other HPs'!$AA114+'Malaria-Equipment &amp; Other HPs'!$AH114</f>
        <v>0</v>
      </c>
      <c r="AK114" s="1919" t="str">
        <f>IF(A114&lt;&gt;"",IFERROR(INDEX(PMtbl[[WKst]:[Unit of measure*]],MATCH($A$58&amp;$A114&amp;$E114&amp;$I114,INDEX(PMtbl[Sec]&amp;PMtbl[Category]&amp;PMtbl[INN]&amp;PMtbl[Specification],0,),0),7),""),"")</f>
        <v/>
      </c>
      <c r="AL114" s="956"/>
      <c r="AM114" s="1518" t="str">
        <f>IFERROR(INDEX(SETUP!$C$19:$G$62,MATCH((INDEX(PMtbl[[WKst]:[Unit of measure*]],MATCH($A114&amp;$E114&amp;$I114,INDEX(PMtbl[Category]&amp;PMtbl[INN]&amp;PMtbl[Specification],0,),0),3)),SETUP!$D$19:$D$62,0),5),"")</f>
        <v/>
      </c>
      <c r="AN114" s="1449"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hidden="1">
      <c r="A115" s="2955"/>
      <c r="B115" s="2955"/>
      <c r="C115" s="2955"/>
      <c r="D115" s="2956"/>
      <c r="E115" s="3042"/>
      <c r="F115" s="2435"/>
      <c r="G115" s="2435"/>
      <c r="H115" s="2435"/>
      <c r="I115" s="3042"/>
      <c r="J115" s="2435"/>
      <c r="K115" s="3049"/>
      <c r="L115" s="253" t="str">
        <f>IF(A115&lt;&gt;"",IFERROR(INDEX(PMtbl[[WKst]:[Unit of measure*]],MATCH($A$58&amp;$A115&amp;$E115&amp;$I115,INDEX(PMtbl[Sec]&amp;PMtbl[Category]&amp;PMtbl[INN]&amp;PMtbl[Specification],0,),0),8),""),"")</f>
        <v/>
      </c>
      <c r="M115" s="255" t="str">
        <f>IF(L115="", "",SETUP!$E$5)</f>
        <v/>
      </c>
      <c r="N115" s="1975"/>
      <c r="O115" s="12"/>
      <c r="P115" s="12"/>
      <c r="Q115" s="12"/>
      <c r="R115" s="12"/>
      <c r="S115" s="1883">
        <f>SUM('Malaria-Equipment &amp; Other HPs'!$O115:$R115)</f>
        <v>0</v>
      </c>
      <c r="T115" s="1884">
        <f>'Malaria-Equipment &amp; Other HPs'!$N115*'Malaria-Equipment &amp; Other HPs'!$S115</f>
        <v>0</v>
      </c>
      <c r="U115" s="1981"/>
      <c r="V115" s="12"/>
      <c r="W115" s="12"/>
      <c r="X115" s="12"/>
      <c r="Y115" s="12"/>
      <c r="Z115" s="1883">
        <f>SUM('Malaria-Equipment &amp; Other HPs'!$V115:$Y115)</f>
        <v>0</v>
      </c>
      <c r="AA115" s="1884">
        <f>'Malaria-Equipment &amp; Other HPs'!$U115*'Malaria-Equipment &amp; Other HPs'!$Z115</f>
        <v>0</v>
      </c>
      <c r="AB115" s="1975"/>
      <c r="AC115" s="12"/>
      <c r="AD115" s="12"/>
      <c r="AE115" s="12"/>
      <c r="AF115" s="12"/>
      <c r="AG115" s="1883">
        <f>SUM('Malaria-Equipment &amp; Other HPs'!$AC115:$AF115)</f>
        <v>0</v>
      </c>
      <c r="AH115" s="1884">
        <f>'Malaria-Equipment &amp; Other HPs'!$AB115*'Malaria-Equipment &amp; Other HPs'!$AG115</f>
        <v>0</v>
      </c>
      <c r="AI115" s="1885">
        <f>'Malaria-Equipment &amp; Other HPs'!$S115+'Malaria-Equipment &amp; Other HPs'!$Z115+'Malaria-Equipment &amp; Other HPs'!$AG115</f>
        <v>0</v>
      </c>
      <c r="AJ115" s="1884">
        <f>'Malaria-Equipment &amp; Other HPs'!$T115+'Malaria-Equipment &amp; Other HPs'!$AA115+'Malaria-Equipment &amp; Other HPs'!$AH115</f>
        <v>0</v>
      </c>
      <c r="AK115" s="1919" t="str">
        <f>IF(A115&lt;&gt;"",IFERROR(INDEX(PMtbl[[WKst]:[Unit of measure*]],MATCH($A$58&amp;$A115&amp;$E115&amp;$I115,INDEX(PMtbl[Sec]&amp;PMtbl[Category]&amp;PMtbl[INN]&amp;PMtbl[Specification],0,),0),7),""),"")</f>
        <v/>
      </c>
      <c r="AL115" s="957"/>
      <c r="AM115" s="1517" t="str">
        <f>IFERROR(INDEX(SETUP!$C$19:$G$62,MATCH((INDEX(PMtbl[[WKst]:[Unit of measure*]],MATCH($A115&amp;$E115&amp;$I115,INDEX(PMtbl[Category]&amp;PMtbl[INN]&amp;PMtbl[Specification],0,),0),3)),SETUP!$D$19:$D$62,0),5),"")</f>
        <v/>
      </c>
      <c r="AN115" s="1450"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hidden="1">
      <c r="A116" s="2957"/>
      <c r="B116" s="2957"/>
      <c r="C116" s="2957"/>
      <c r="D116" s="2958"/>
      <c r="E116" s="2950"/>
      <c r="F116" s="2951"/>
      <c r="G116" s="2951"/>
      <c r="H116" s="2951"/>
      <c r="I116" s="2950"/>
      <c r="J116" s="2951"/>
      <c r="K116" s="2952"/>
      <c r="L116" s="254" t="str">
        <f>IF(A116&lt;&gt;"",IFERROR(INDEX(PMtbl[[WKst]:[Unit of measure*]],MATCH($A$58&amp;$A116&amp;$E116&amp;$I116,INDEX(PMtbl[Sec]&amp;PMtbl[Category]&amp;PMtbl[INN]&amp;PMtbl[Specification],0,),0),8),""),"")</f>
        <v/>
      </c>
      <c r="M116" s="254" t="str">
        <f>IF(L116="", "",SETUP!$E$5)</f>
        <v/>
      </c>
      <c r="N116" s="1975"/>
      <c r="O116" s="12"/>
      <c r="P116" s="12"/>
      <c r="Q116" s="12"/>
      <c r="R116" s="12"/>
      <c r="S116" s="1883">
        <f>SUM('Malaria-Equipment &amp; Other HPs'!$O116:$R116)</f>
        <v>0</v>
      </c>
      <c r="T116" s="1884">
        <f>'Malaria-Equipment &amp; Other HPs'!$N116*'Malaria-Equipment &amp; Other HPs'!$S116</f>
        <v>0</v>
      </c>
      <c r="U116" s="1981"/>
      <c r="V116" s="12"/>
      <c r="W116" s="12"/>
      <c r="X116" s="12"/>
      <c r="Y116" s="12"/>
      <c r="Z116" s="1883">
        <f>SUM('Malaria-Equipment &amp; Other HPs'!$V116:$Y116)</f>
        <v>0</v>
      </c>
      <c r="AA116" s="1884">
        <f>'Malaria-Equipment &amp; Other HPs'!$U116*'Malaria-Equipment &amp; Other HPs'!$Z116</f>
        <v>0</v>
      </c>
      <c r="AB116" s="1975"/>
      <c r="AC116" s="12"/>
      <c r="AD116" s="12"/>
      <c r="AE116" s="12"/>
      <c r="AF116" s="12"/>
      <c r="AG116" s="1883">
        <f>SUM('Malaria-Equipment &amp; Other HPs'!$AC116:$AF116)</f>
        <v>0</v>
      </c>
      <c r="AH116" s="1884">
        <f>'Malaria-Equipment &amp; Other HPs'!$AB116*'Malaria-Equipment &amp; Other HPs'!$AG116</f>
        <v>0</v>
      </c>
      <c r="AI116" s="1885">
        <f>'Malaria-Equipment &amp; Other HPs'!$S116+'Malaria-Equipment &amp; Other HPs'!$Z116+'Malaria-Equipment &amp; Other HPs'!$AG116</f>
        <v>0</v>
      </c>
      <c r="AJ116" s="1884">
        <f>'Malaria-Equipment &amp; Other HPs'!$T116+'Malaria-Equipment &amp; Other HPs'!$AA116+'Malaria-Equipment &amp; Other HPs'!$AH116</f>
        <v>0</v>
      </c>
      <c r="AK116" s="1919" t="str">
        <f>IF(A116&lt;&gt;"",IFERROR(INDEX(PMtbl[[WKst]:[Unit of measure*]],MATCH($A$58&amp;$A116&amp;$E116&amp;$I116,INDEX(PMtbl[Sec]&amp;PMtbl[Category]&amp;PMtbl[INN]&amp;PMtbl[Specification],0,),0),7),""),"")</f>
        <v/>
      </c>
      <c r="AL116" s="956"/>
      <c r="AM116" s="1518" t="str">
        <f>IFERROR(INDEX(SETUP!$C$19:$G$62,MATCH((INDEX(PMtbl[[WKst]:[Unit of measure*]],MATCH($A116&amp;$E116&amp;$I116,INDEX(PMtbl[Category]&amp;PMtbl[INN]&amp;PMtbl[Specification],0,),0),3)),SETUP!$D$19:$D$62,0),5),"")</f>
        <v/>
      </c>
      <c r="AN116" s="1449"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hidden="1">
      <c r="A117" s="2955"/>
      <c r="B117" s="2955"/>
      <c r="C117" s="2955"/>
      <c r="D117" s="2956"/>
      <c r="E117" s="3042"/>
      <c r="F117" s="2435"/>
      <c r="G117" s="2435"/>
      <c r="H117" s="2435"/>
      <c r="I117" s="3042"/>
      <c r="J117" s="2435"/>
      <c r="K117" s="3049"/>
      <c r="L117" s="253" t="str">
        <f>IF(A117&lt;&gt;"",IFERROR(INDEX(PMtbl[[WKst]:[Unit of measure*]],MATCH($A$58&amp;$A117&amp;$E117&amp;$I117,INDEX(PMtbl[Sec]&amp;PMtbl[Category]&amp;PMtbl[INN]&amp;PMtbl[Specification],0,),0),8),""),"")</f>
        <v/>
      </c>
      <c r="M117" s="255" t="str">
        <f>IF(L117="", "",SETUP!$E$5)</f>
        <v/>
      </c>
      <c r="N117" s="1975"/>
      <c r="O117" s="12"/>
      <c r="P117" s="12"/>
      <c r="Q117" s="12"/>
      <c r="R117" s="12"/>
      <c r="S117" s="1883">
        <f>SUM('Malaria-Equipment &amp; Other HPs'!$O117:$R117)</f>
        <v>0</v>
      </c>
      <c r="T117" s="1884">
        <f>'Malaria-Equipment &amp; Other HPs'!$N117*'Malaria-Equipment &amp; Other HPs'!$S117</f>
        <v>0</v>
      </c>
      <c r="U117" s="1981"/>
      <c r="V117" s="12"/>
      <c r="W117" s="12"/>
      <c r="X117" s="12"/>
      <c r="Y117" s="12"/>
      <c r="Z117" s="1883">
        <f>SUM('Malaria-Equipment &amp; Other HPs'!$V117:$Y117)</f>
        <v>0</v>
      </c>
      <c r="AA117" s="1884">
        <f>'Malaria-Equipment &amp; Other HPs'!$U117*'Malaria-Equipment &amp; Other HPs'!$Z117</f>
        <v>0</v>
      </c>
      <c r="AB117" s="1975"/>
      <c r="AC117" s="12"/>
      <c r="AD117" s="12"/>
      <c r="AE117" s="12"/>
      <c r="AF117" s="12"/>
      <c r="AG117" s="1883">
        <f>SUM('Malaria-Equipment &amp; Other HPs'!$AC117:$AF117)</f>
        <v>0</v>
      </c>
      <c r="AH117" s="1884">
        <f>'Malaria-Equipment &amp; Other HPs'!$AB117*'Malaria-Equipment &amp; Other HPs'!$AG117</f>
        <v>0</v>
      </c>
      <c r="AI117" s="1885">
        <f>'Malaria-Equipment &amp; Other HPs'!$S117+'Malaria-Equipment &amp; Other HPs'!$Z117+'Malaria-Equipment &amp; Other HPs'!$AG117</f>
        <v>0</v>
      </c>
      <c r="AJ117" s="1884">
        <f>'Malaria-Equipment &amp; Other HPs'!$T117+'Malaria-Equipment &amp; Other HPs'!$AA117+'Malaria-Equipment &amp; Other HPs'!$AH117</f>
        <v>0</v>
      </c>
      <c r="AK117" s="1919" t="str">
        <f>IF(A117&lt;&gt;"",IFERROR(INDEX(PMtbl[[WKst]:[Unit of measure*]],MATCH($A$58&amp;$A117&amp;$E117&amp;$I117,INDEX(PMtbl[Sec]&amp;PMtbl[Category]&amp;PMtbl[INN]&amp;PMtbl[Specification],0,),0),7),""),"")</f>
        <v/>
      </c>
      <c r="AL117" s="957"/>
      <c r="AM117" s="1517" t="str">
        <f>IFERROR(INDEX(SETUP!$C$19:$G$62,MATCH((INDEX(PMtbl[[WKst]:[Unit of measure*]],MATCH($A117&amp;$E117&amp;$I117,INDEX(PMtbl[Category]&amp;PMtbl[INN]&amp;PMtbl[Specification],0,),0),3)),SETUP!$D$19:$D$62,0),5),"")</f>
        <v/>
      </c>
      <c r="AN117" s="1450"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hidden="1">
      <c r="A118" s="2957"/>
      <c r="B118" s="2957"/>
      <c r="C118" s="2957"/>
      <c r="D118" s="2958"/>
      <c r="E118" s="2950"/>
      <c r="F118" s="2951"/>
      <c r="G118" s="2951"/>
      <c r="H118" s="2951"/>
      <c r="I118" s="2950"/>
      <c r="J118" s="2951"/>
      <c r="K118" s="2952"/>
      <c r="L118" s="254" t="str">
        <f>IF(A118&lt;&gt;"",IFERROR(INDEX(PMtbl[[WKst]:[Unit of measure*]],MATCH($A$58&amp;$A118&amp;$E118&amp;$I118,INDEX(PMtbl[Sec]&amp;PMtbl[Category]&amp;PMtbl[INN]&amp;PMtbl[Specification],0,),0),8),""),"")</f>
        <v/>
      </c>
      <c r="M118" s="254" t="str">
        <f>IF(L118="", "",SETUP!$E$5)</f>
        <v/>
      </c>
      <c r="N118" s="1975"/>
      <c r="O118" s="12"/>
      <c r="P118" s="12"/>
      <c r="Q118" s="12"/>
      <c r="R118" s="12"/>
      <c r="S118" s="1883">
        <f>SUM('Malaria-Equipment &amp; Other HPs'!$O118:$R118)</f>
        <v>0</v>
      </c>
      <c r="T118" s="1884">
        <f>'Malaria-Equipment &amp; Other HPs'!$N118*'Malaria-Equipment &amp; Other HPs'!$S118</f>
        <v>0</v>
      </c>
      <c r="U118" s="1981"/>
      <c r="V118" s="12"/>
      <c r="W118" s="12"/>
      <c r="X118" s="12"/>
      <c r="Y118" s="12"/>
      <c r="Z118" s="1883">
        <f>SUM('Malaria-Equipment &amp; Other HPs'!$V118:$Y118)</f>
        <v>0</v>
      </c>
      <c r="AA118" s="1884">
        <f>'Malaria-Equipment &amp; Other HPs'!$U118*'Malaria-Equipment &amp; Other HPs'!$Z118</f>
        <v>0</v>
      </c>
      <c r="AB118" s="1975"/>
      <c r="AC118" s="12"/>
      <c r="AD118" s="12"/>
      <c r="AE118" s="12"/>
      <c r="AF118" s="12"/>
      <c r="AG118" s="1883">
        <f>SUM('Malaria-Equipment &amp; Other HPs'!$AC118:$AF118)</f>
        <v>0</v>
      </c>
      <c r="AH118" s="1884">
        <f>'Malaria-Equipment &amp; Other HPs'!$AB118*'Malaria-Equipment &amp; Other HPs'!$AG118</f>
        <v>0</v>
      </c>
      <c r="AI118" s="1885">
        <f>'Malaria-Equipment &amp; Other HPs'!$S118+'Malaria-Equipment &amp; Other HPs'!$Z118+'Malaria-Equipment &amp; Other HPs'!$AG118</f>
        <v>0</v>
      </c>
      <c r="AJ118" s="1884">
        <f>'Malaria-Equipment &amp; Other HPs'!$T118+'Malaria-Equipment &amp; Other HPs'!$AA118+'Malaria-Equipment &amp; Other HPs'!$AH118</f>
        <v>0</v>
      </c>
      <c r="AK118" s="1919" t="str">
        <f>IF(A118&lt;&gt;"",IFERROR(INDEX(PMtbl[[WKst]:[Unit of measure*]],MATCH($A$58&amp;$A118&amp;$E118&amp;$I118,INDEX(PMtbl[Sec]&amp;PMtbl[Category]&amp;PMtbl[INN]&amp;PMtbl[Specification],0,),0),7),""),"")</f>
        <v/>
      </c>
      <c r="AL118" s="956"/>
      <c r="AM118" s="1518" t="str">
        <f>IFERROR(INDEX(SETUP!$C$19:$G$62,MATCH((INDEX(PMtbl[[WKst]:[Unit of measure*]],MATCH($A118&amp;$E118&amp;$I118,INDEX(PMtbl[Category]&amp;PMtbl[INN]&amp;PMtbl[Specification],0,),0),3)),SETUP!$D$19:$D$62,0),5),"")</f>
        <v/>
      </c>
      <c r="AN118" s="1449"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hidden="1">
      <c r="A119" s="2955"/>
      <c r="B119" s="2955"/>
      <c r="C119" s="2955"/>
      <c r="D119" s="2956"/>
      <c r="E119" s="3042"/>
      <c r="F119" s="2435"/>
      <c r="G119" s="2435"/>
      <c r="H119" s="2435"/>
      <c r="I119" s="3042"/>
      <c r="J119" s="2435"/>
      <c r="K119" s="3049"/>
      <c r="L119" s="253" t="str">
        <f>IF(A119&lt;&gt;"",IFERROR(INDEX(PMtbl[[WKst]:[Unit of measure*]],MATCH($A$58&amp;$A119&amp;$E119&amp;$I119,INDEX(PMtbl[Sec]&amp;PMtbl[Category]&amp;PMtbl[INN]&amp;PMtbl[Specification],0,),0),8),""),"")</f>
        <v/>
      </c>
      <c r="M119" s="255" t="str">
        <f>IF(L119="", "",SETUP!$E$5)</f>
        <v/>
      </c>
      <c r="N119" s="1975"/>
      <c r="O119" s="12"/>
      <c r="P119" s="12"/>
      <c r="Q119" s="12"/>
      <c r="R119" s="12"/>
      <c r="S119" s="1883">
        <f>SUM('Malaria-Equipment &amp; Other HPs'!$O119:$R119)</f>
        <v>0</v>
      </c>
      <c r="T119" s="1884">
        <f>'Malaria-Equipment &amp; Other HPs'!$N119*'Malaria-Equipment &amp; Other HPs'!$S119</f>
        <v>0</v>
      </c>
      <c r="U119" s="1981"/>
      <c r="V119" s="12"/>
      <c r="W119" s="12"/>
      <c r="X119" s="12"/>
      <c r="Y119" s="12"/>
      <c r="Z119" s="1883">
        <f>SUM('Malaria-Equipment &amp; Other HPs'!$V119:$Y119)</f>
        <v>0</v>
      </c>
      <c r="AA119" s="1884">
        <f>'Malaria-Equipment &amp; Other HPs'!$U119*'Malaria-Equipment &amp; Other HPs'!$Z119</f>
        <v>0</v>
      </c>
      <c r="AB119" s="1975"/>
      <c r="AC119" s="12"/>
      <c r="AD119" s="12"/>
      <c r="AE119" s="12"/>
      <c r="AF119" s="12"/>
      <c r="AG119" s="1883">
        <f>SUM('Malaria-Equipment &amp; Other HPs'!$AC119:$AF119)</f>
        <v>0</v>
      </c>
      <c r="AH119" s="1884">
        <f>'Malaria-Equipment &amp; Other HPs'!$AB119*'Malaria-Equipment &amp; Other HPs'!$AG119</f>
        <v>0</v>
      </c>
      <c r="AI119" s="1885">
        <f>'Malaria-Equipment &amp; Other HPs'!$S119+'Malaria-Equipment &amp; Other HPs'!$Z119+'Malaria-Equipment &amp; Other HPs'!$AG119</f>
        <v>0</v>
      </c>
      <c r="AJ119" s="1884">
        <f>'Malaria-Equipment &amp; Other HPs'!$T119+'Malaria-Equipment &amp; Other HPs'!$AA119+'Malaria-Equipment &amp; Other HPs'!$AH119</f>
        <v>0</v>
      </c>
      <c r="AK119" s="1919" t="str">
        <f>IF(A119&lt;&gt;"",IFERROR(INDEX(PMtbl[[WKst]:[Unit of measure*]],MATCH($A$58&amp;$A119&amp;$E119&amp;$I119,INDEX(PMtbl[Sec]&amp;PMtbl[Category]&amp;PMtbl[INN]&amp;PMtbl[Specification],0,),0),7),""),"")</f>
        <v/>
      </c>
      <c r="AL119" s="957"/>
      <c r="AM119" s="1517" t="str">
        <f>IFERROR(INDEX(SETUP!$C$19:$G$62,MATCH((INDEX(PMtbl[[WKst]:[Unit of measure*]],MATCH($A119&amp;$E119&amp;$I119,INDEX(PMtbl[Category]&amp;PMtbl[INN]&amp;PMtbl[Specification],0,),0),3)),SETUP!$D$19:$D$62,0),5),"")</f>
        <v/>
      </c>
      <c r="AN119" s="1450"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hidden="1">
      <c r="A120" s="2957"/>
      <c r="B120" s="2957"/>
      <c r="C120" s="2957"/>
      <c r="D120" s="2958"/>
      <c r="E120" s="2950"/>
      <c r="F120" s="2951"/>
      <c r="G120" s="2951"/>
      <c r="H120" s="2951"/>
      <c r="I120" s="2950"/>
      <c r="J120" s="2951"/>
      <c r="K120" s="2952"/>
      <c r="L120" s="254" t="str">
        <f>IF(A120&lt;&gt;"",IFERROR(INDEX(PMtbl[[WKst]:[Unit of measure*]],MATCH($A$58&amp;$A120&amp;$E120&amp;$I120,INDEX(PMtbl[Sec]&amp;PMtbl[Category]&amp;PMtbl[INN]&amp;PMtbl[Specification],0,),0),8),""),"")</f>
        <v/>
      </c>
      <c r="M120" s="254" t="str">
        <f>IF(L120="", "",SETUP!$E$5)</f>
        <v/>
      </c>
      <c r="N120" s="1975"/>
      <c r="O120" s="12"/>
      <c r="P120" s="12"/>
      <c r="Q120" s="12"/>
      <c r="R120" s="12"/>
      <c r="S120" s="1883">
        <f>SUM('Malaria-Equipment &amp; Other HPs'!$O120:$R120)</f>
        <v>0</v>
      </c>
      <c r="T120" s="1884">
        <f>'Malaria-Equipment &amp; Other HPs'!$N120*'Malaria-Equipment &amp; Other HPs'!$S120</f>
        <v>0</v>
      </c>
      <c r="U120" s="1981"/>
      <c r="V120" s="12"/>
      <c r="W120" s="12"/>
      <c r="X120" s="12"/>
      <c r="Y120" s="12"/>
      <c r="Z120" s="1883">
        <f>SUM('Malaria-Equipment &amp; Other HPs'!$V120:$Y120)</f>
        <v>0</v>
      </c>
      <c r="AA120" s="1884">
        <f>'Malaria-Equipment &amp; Other HPs'!$U120*'Malaria-Equipment &amp; Other HPs'!$Z120</f>
        <v>0</v>
      </c>
      <c r="AB120" s="1975"/>
      <c r="AC120" s="12"/>
      <c r="AD120" s="12"/>
      <c r="AE120" s="12"/>
      <c r="AF120" s="12"/>
      <c r="AG120" s="1883">
        <f>SUM('Malaria-Equipment &amp; Other HPs'!$AC120:$AF120)</f>
        <v>0</v>
      </c>
      <c r="AH120" s="1884">
        <f>'Malaria-Equipment &amp; Other HPs'!$AB120*'Malaria-Equipment &amp; Other HPs'!$AG120</f>
        <v>0</v>
      </c>
      <c r="AI120" s="1885">
        <f>'Malaria-Equipment &amp; Other HPs'!$S120+'Malaria-Equipment &amp; Other HPs'!$Z120+'Malaria-Equipment &amp; Other HPs'!$AG120</f>
        <v>0</v>
      </c>
      <c r="AJ120" s="1884">
        <f>'Malaria-Equipment &amp; Other HPs'!$T120+'Malaria-Equipment &amp; Other HPs'!$AA120+'Malaria-Equipment &amp; Other HPs'!$AH120</f>
        <v>0</v>
      </c>
      <c r="AK120" s="1919" t="str">
        <f>IF(A120&lt;&gt;"",IFERROR(INDEX(PMtbl[[WKst]:[Unit of measure*]],MATCH($A$58&amp;$A120&amp;$E120&amp;$I120,INDEX(PMtbl[Sec]&amp;PMtbl[Category]&amp;PMtbl[INN]&amp;PMtbl[Specification],0,),0),7),""),"")</f>
        <v/>
      </c>
      <c r="AL120" s="956"/>
      <c r="AM120" s="1518" t="str">
        <f>IFERROR(INDEX(SETUP!$C$19:$G$62,MATCH((INDEX(PMtbl[[WKst]:[Unit of measure*]],MATCH($A120&amp;$E120&amp;$I120,INDEX(PMtbl[Category]&amp;PMtbl[INN]&amp;PMtbl[Specification],0,),0),3)),SETUP!$D$19:$D$62,0),5),"")</f>
        <v/>
      </c>
      <c r="AN120" s="1449"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hidden="1">
      <c r="A121" s="2955"/>
      <c r="B121" s="2955"/>
      <c r="C121" s="2955"/>
      <c r="D121" s="2956"/>
      <c r="E121" s="3042"/>
      <c r="F121" s="2435"/>
      <c r="G121" s="2435"/>
      <c r="H121" s="2435"/>
      <c r="I121" s="3042"/>
      <c r="J121" s="2435"/>
      <c r="K121" s="3049"/>
      <c r="L121" s="253" t="str">
        <f>IF(A121&lt;&gt;"",IFERROR(INDEX(PMtbl[[WKst]:[Unit of measure*]],MATCH($A$58&amp;$A121&amp;$E121&amp;$I121,INDEX(PMtbl[Sec]&amp;PMtbl[Category]&amp;PMtbl[INN]&amp;PMtbl[Specification],0,),0),8),""),"")</f>
        <v/>
      </c>
      <c r="M121" s="255" t="str">
        <f>IF(L121="", "",SETUP!$E$5)</f>
        <v/>
      </c>
      <c r="N121" s="1975"/>
      <c r="O121" s="12"/>
      <c r="P121" s="12"/>
      <c r="Q121" s="12"/>
      <c r="R121" s="12"/>
      <c r="S121" s="1883">
        <f>SUM('Malaria-Equipment &amp; Other HPs'!$O121:$R121)</f>
        <v>0</v>
      </c>
      <c r="T121" s="1884">
        <f>'Malaria-Equipment &amp; Other HPs'!$N121*'Malaria-Equipment &amp; Other HPs'!$S121</f>
        <v>0</v>
      </c>
      <c r="U121" s="1981"/>
      <c r="V121" s="12"/>
      <c r="W121" s="12"/>
      <c r="X121" s="12"/>
      <c r="Y121" s="12"/>
      <c r="Z121" s="1883">
        <f>SUM('Malaria-Equipment &amp; Other HPs'!$V121:$Y121)</f>
        <v>0</v>
      </c>
      <c r="AA121" s="1884">
        <f>'Malaria-Equipment &amp; Other HPs'!$U121*'Malaria-Equipment &amp; Other HPs'!$Z121</f>
        <v>0</v>
      </c>
      <c r="AB121" s="1975"/>
      <c r="AC121" s="12"/>
      <c r="AD121" s="12"/>
      <c r="AE121" s="12"/>
      <c r="AF121" s="12"/>
      <c r="AG121" s="1883">
        <f>SUM('Malaria-Equipment &amp; Other HPs'!$AC121:$AF121)</f>
        <v>0</v>
      </c>
      <c r="AH121" s="1884">
        <f>'Malaria-Equipment &amp; Other HPs'!$AB121*'Malaria-Equipment &amp; Other HPs'!$AG121</f>
        <v>0</v>
      </c>
      <c r="AI121" s="1885">
        <f>'Malaria-Equipment &amp; Other HPs'!$S121+'Malaria-Equipment &amp; Other HPs'!$Z121+'Malaria-Equipment &amp; Other HPs'!$AG121</f>
        <v>0</v>
      </c>
      <c r="AJ121" s="1884">
        <f>'Malaria-Equipment &amp; Other HPs'!$T121+'Malaria-Equipment &amp; Other HPs'!$AA121+'Malaria-Equipment &amp; Other HPs'!$AH121</f>
        <v>0</v>
      </c>
      <c r="AK121" s="1919" t="str">
        <f>IF(A121&lt;&gt;"",IFERROR(INDEX(PMtbl[[WKst]:[Unit of measure*]],MATCH($A$58&amp;$A121&amp;$E121&amp;$I121,INDEX(PMtbl[Sec]&amp;PMtbl[Category]&amp;PMtbl[INN]&amp;PMtbl[Specification],0,),0),7),""),"")</f>
        <v/>
      </c>
      <c r="AL121" s="954"/>
      <c r="AM121" s="1524" t="str">
        <f>IFERROR(INDEX(SETUP!$C$19:$G$62,MATCH((INDEX(PMtbl[[WKst]:[Unit of measure*]],MATCH($A121&amp;$E121&amp;$I121,INDEX(PMtbl[Category]&amp;PMtbl[INN]&amp;PMtbl[Specification],0,),0),3)),SETUP!$D$19:$D$62,0),5),"")</f>
        <v/>
      </c>
      <c r="AN121" s="1451"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ht="15" thickBot="1">
      <c r="A122" s="3037"/>
      <c r="B122" s="3037"/>
      <c r="C122" s="3037"/>
      <c r="D122" s="3038"/>
      <c r="E122" s="3009"/>
      <c r="F122" s="3010"/>
      <c r="G122" s="3010"/>
      <c r="H122" s="3010"/>
      <c r="I122" s="3009"/>
      <c r="J122" s="3010"/>
      <c r="K122" s="3011"/>
      <c r="L122" s="261" t="str">
        <f>IF(A122&lt;&gt;"",IFERROR(INDEX(PMtbl[[WKst]:[Unit of measure*]],MATCH($A$58&amp;$A122&amp;$E122&amp;$I122,INDEX(PMtbl[Sec]&amp;PMtbl[Category]&amp;PMtbl[INN]&amp;PMtbl[Specification],0,),0),8),""),"")</f>
        <v/>
      </c>
      <c r="M122" s="261" t="str">
        <f>IF(L122="", "",SETUP!$E$5)</f>
        <v/>
      </c>
      <c r="N122" s="1986"/>
      <c r="O122" s="1987"/>
      <c r="P122" s="1987"/>
      <c r="Q122" s="1987"/>
      <c r="R122" s="1987"/>
      <c r="S122" s="1911">
        <f>SUM('Malaria-Equipment &amp; Other HPs'!$O122:$R122)</f>
        <v>0</v>
      </c>
      <c r="T122" s="1912">
        <f>'Malaria-Equipment &amp; Other HPs'!$N122*'Malaria-Equipment &amp; Other HPs'!$S122</f>
        <v>0</v>
      </c>
      <c r="U122" s="1989"/>
      <c r="V122" s="1987"/>
      <c r="W122" s="1987"/>
      <c r="X122" s="1987"/>
      <c r="Y122" s="1987"/>
      <c r="Z122" s="1911">
        <f>SUM('Malaria-Equipment &amp; Other HPs'!$V122:$Y122)</f>
        <v>0</v>
      </c>
      <c r="AA122" s="1912">
        <f>'Malaria-Equipment &amp; Other HPs'!$U122*'Malaria-Equipment &amp; Other HPs'!$Z122</f>
        <v>0</v>
      </c>
      <c r="AB122" s="1986"/>
      <c r="AC122" s="1987"/>
      <c r="AD122" s="1987"/>
      <c r="AE122" s="1987"/>
      <c r="AF122" s="1987"/>
      <c r="AG122" s="1911">
        <f>SUM('Malaria-Equipment &amp; Other HPs'!$AC122:$AF122)</f>
        <v>0</v>
      </c>
      <c r="AH122" s="1912">
        <f>'Malaria-Equipment &amp; Other HPs'!$AB122*'Malaria-Equipment &amp; Other HPs'!$AG122</f>
        <v>0</v>
      </c>
      <c r="AI122" s="1920">
        <f>'Malaria-Equipment &amp; Other HPs'!$S122+'Malaria-Equipment &amp; Other HPs'!$Z122+'Malaria-Equipment &amp; Other HPs'!$AG122</f>
        <v>0</v>
      </c>
      <c r="AJ122" s="1912">
        <f>'Malaria-Equipment &amp; Other HPs'!$T122+'Malaria-Equipment &amp; Other HPs'!$AA122+'Malaria-Equipment &amp; Other HPs'!$AH122</f>
        <v>0</v>
      </c>
      <c r="AK122" s="1921" t="str">
        <f>IF(A122&lt;&gt;"",IFERROR(INDEX(PMtbl[[WKst]:[Unit of measure*]],MATCH($A$58&amp;$A122&amp;$E122&amp;$I122,INDEX(PMtbl[Sec]&amp;PMtbl[Category]&amp;PMtbl[INN]&amp;PMtbl[Specification],0,),0),7),""),"")</f>
        <v/>
      </c>
      <c r="AL122" s="955"/>
      <c r="AM122" s="1519" t="str">
        <f>IFERROR(INDEX(SETUP!$C$19:$G$62,MATCH((INDEX(PMtbl[[WKst]:[Unit of measure*]],MATCH($A122&amp;$E122&amp;$I122,INDEX(PMtbl[Category]&amp;PMtbl[INN]&amp;PMtbl[Specification],0,),0),3)),SETUP!$D$19:$D$62,0),5),"")</f>
        <v/>
      </c>
      <c r="AN122" s="1452"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ht="15" thickBot="1">
      <c r="A123" s="264"/>
      <c r="B123" s="264"/>
      <c r="C123" s="264"/>
      <c r="D123" s="264"/>
      <c r="E123" s="264"/>
      <c r="F123" s="264"/>
      <c r="G123" s="264"/>
      <c r="H123" s="265"/>
      <c r="I123" s="265"/>
      <c r="J123" s="266"/>
      <c r="K123" s="266"/>
      <c r="L123" s="266"/>
      <c r="M123" s="266"/>
      <c r="N123" s="889"/>
      <c r="O123" s="901"/>
      <c r="P123" s="901"/>
      <c r="Q123" s="901"/>
      <c r="R123" s="901"/>
      <c r="S123" s="901"/>
      <c r="T123" s="889"/>
      <c r="U123" s="889"/>
      <c r="V123" s="901"/>
      <c r="W123" s="901"/>
      <c r="X123" s="901"/>
      <c r="Y123" s="901"/>
      <c r="Z123" s="901"/>
      <c r="AA123" s="889"/>
      <c r="AB123" s="889"/>
      <c r="AC123" s="901"/>
      <c r="AD123" s="901"/>
      <c r="AE123" s="901"/>
      <c r="AF123" s="901"/>
      <c r="AG123" s="901"/>
      <c r="AH123" s="892"/>
      <c r="AI123" s="898"/>
    </row>
    <row r="124" spans="1:40" ht="20.25" customHeight="1" thickBot="1">
      <c r="A124" s="2960">
        <v>4</v>
      </c>
      <c r="B124" s="2986" t="s">
        <v>428</v>
      </c>
      <c r="C124" s="2986"/>
      <c r="D124" s="2986"/>
      <c r="E124" s="2986"/>
      <c r="F124" s="302" t="s">
        <v>1869</v>
      </c>
      <c r="G124" s="303"/>
      <c r="H124" s="2864" t="s">
        <v>423</v>
      </c>
      <c r="I124" s="2867" t="s">
        <v>419</v>
      </c>
      <c r="J124" s="2864" t="s">
        <v>420</v>
      </c>
      <c r="K124"/>
      <c r="L124" s="78"/>
      <c r="M124" s="78"/>
      <c r="N124" s="767"/>
      <c r="O124" s="868"/>
      <c r="P124" s="868"/>
      <c r="Q124" s="868"/>
      <c r="R124" s="868"/>
      <c r="S124" s="868"/>
      <c r="T124" s="767"/>
      <c r="U124" s="767"/>
      <c r="V124" s="868"/>
      <c r="W124" s="868"/>
      <c r="X124" s="868"/>
      <c r="Y124" s="868"/>
      <c r="Z124" s="868"/>
      <c r="AA124" s="767"/>
      <c r="AB124" s="767"/>
      <c r="AC124" s="868"/>
      <c r="AD124" s="868"/>
      <c r="AE124" s="868"/>
      <c r="AF124" s="868"/>
      <c r="AG124" s="868"/>
      <c r="AH124" s="842"/>
      <c r="AI124" s="899"/>
    </row>
    <row r="125" spans="1:40" ht="20.25" customHeight="1" thickBot="1">
      <c r="A125" s="2961"/>
      <c r="B125" s="2987"/>
      <c r="C125" s="2987"/>
      <c r="D125" s="2987"/>
      <c r="E125" s="2987"/>
      <c r="F125" s="304" t="s">
        <v>1868</v>
      </c>
      <c r="G125" s="305"/>
      <c r="H125" s="2865"/>
      <c r="I125" s="3044"/>
      <c r="J125" s="2865"/>
      <c r="K125"/>
      <c r="L125" s="78"/>
      <c r="M125" s="78"/>
      <c r="N125" s="767"/>
      <c r="O125" s="868"/>
      <c r="P125" s="868"/>
      <c r="Q125" s="868"/>
      <c r="R125" s="868"/>
      <c r="S125" s="868"/>
      <c r="T125" s="767"/>
      <c r="U125" s="767"/>
      <c r="V125" s="868"/>
      <c r="W125" s="868"/>
      <c r="X125" s="868"/>
      <c r="Y125" s="868"/>
      <c r="Z125" s="868"/>
      <c r="AA125" s="767"/>
      <c r="AB125" s="767"/>
      <c r="AC125" s="868"/>
      <c r="AD125" s="868"/>
      <c r="AE125" s="868"/>
      <c r="AF125" s="868"/>
      <c r="AG125" s="868"/>
      <c r="AH125" s="842"/>
      <c r="AI125" s="899"/>
    </row>
    <row r="126" spans="1:40" ht="112.5" customHeight="1">
      <c r="A126" s="2348" t="str">
        <f>IF($L$1=2,Language!$E$759,IF($L$1=3,Language!$F$759,Language!$G$759))</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26" s="2349"/>
      <c r="C126" s="2349"/>
      <c r="D126" s="2349"/>
      <c r="E126" s="2349"/>
      <c r="F126" s="2349"/>
      <c r="G126" s="2349"/>
      <c r="H126" s="2349"/>
      <c r="I126" s="2349"/>
      <c r="J126" s="2349"/>
      <c r="K126" s="2349"/>
      <c r="L126" s="2349"/>
      <c r="M126" s="2350"/>
      <c r="N126" s="767"/>
      <c r="O126" s="868"/>
      <c r="P126" s="868"/>
      <c r="Q126" s="868"/>
      <c r="R126" s="868"/>
      <c r="S126" s="868"/>
      <c r="T126" s="767"/>
      <c r="U126" s="767"/>
      <c r="V126" s="868"/>
      <c r="W126" s="868"/>
      <c r="X126" s="868"/>
      <c r="Y126" s="868"/>
      <c r="Z126" s="868"/>
      <c r="AA126" s="767"/>
      <c r="AB126" s="767"/>
      <c r="AC126" s="868"/>
      <c r="AD126" s="868"/>
      <c r="AE126" s="868"/>
      <c r="AF126" s="868"/>
      <c r="AG126" s="868"/>
      <c r="AH126" s="893"/>
      <c r="AI126" s="899"/>
    </row>
    <row r="127" spans="1:40" ht="15" thickBot="1">
      <c r="A127" s="96"/>
      <c r="B127" s="96"/>
      <c r="C127" s="1506"/>
      <c r="D127" s="96"/>
      <c r="E127" s="96"/>
      <c r="F127" s="116"/>
      <c r="G127" s="96"/>
      <c r="H127" s="96"/>
      <c r="I127" s="96"/>
      <c r="J127" s="266"/>
      <c r="K127" s="96"/>
      <c r="L127" s="96"/>
      <c r="M127" s="96"/>
      <c r="N127" s="890"/>
      <c r="O127" s="897"/>
      <c r="P127" s="897"/>
      <c r="Q127" s="897"/>
      <c r="R127" s="897"/>
      <c r="S127" s="897"/>
      <c r="T127" s="890"/>
      <c r="U127" s="890"/>
      <c r="V127" s="897"/>
      <c r="W127" s="897"/>
      <c r="X127" s="897"/>
      <c r="Y127" s="897"/>
      <c r="Z127" s="897"/>
      <c r="AA127" s="890"/>
      <c r="AB127" s="890"/>
      <c r="AC127" s="897"/>
      <c r="AD127" s="897"/>
      <c r="AE127" s="897"/>
      <c r="AF127" s="897"/>
      <c r="AG127" s="897"/>
      <c r="AH127" s="894"/>
      <c r="AI127" s="900"/>
    </row>
    <row r="128" spans="1:40" ht="15.75" customHeight="1" thickBot="1">
      <c r="A128" s="2968" t="str">
        <f>A62</f>
        <v>Categoría</v>
      </c>
      <c r="B128" s="2966"/>
      <c r="C128" s="2966"/>
      <c r="D128" s="2969"/>
      <c r="E128" s="2968" t="str">
        <f>E62</f>
        <v>Tipo de producto</v>
      </c>
      <c r="F128" s="2966"/>
      <c r="G128" s="2969"/>
      <c r="H128" s="2968" t="str">
        <f>I62</f>
        <v xml:space="preserve">Especificaciones (denominación, características técnicas, tamaño del empaque) </v>
      </c>
      <c r="I128" s="2966"/>
      <c r="J128" s="2966"/>
      <c r="K128" s="2969"/>
      <c r="L128" s="3047" t="str">
        <f>L62</f>
        <v>Unidad de medida</v>
      </c>
      <c r="M128" s="3072" t="str">
        <f>M62</f>
        <v>Moneda de pago</v>
      </c>
      <c r="N128" s="2980">
        <f>N62</f>
        <v>2022</v>
      </c>
      <c r="O128" s="2981"/>
      <c r="P128" s="2981"/>
      <c r="Q128" s="2981"/>
      <c r="R128" s="2981"/>
      <c r="S128" s="2981"/>
      <c r="T128" s="2982"/>
      <c r="U128" s="2981">
        <f>U62</f>
        <v>2023</v>
      </c>
      <c r="V128" s="2981"/>
      <c r="W128" s="2981"/>
      <c r="X128" s="2981"/>
      <c r="Y128" s="2981"/>
      <c r="Z128" s="2981"/>
      <c r="AA128" s="2982"/>
      <c r="AB128" s="2980">
        <f>AB62</f>
        <v>2024</v>
      </c>
      <c r="AC128" s="2981"/>
      <c r="AD128" s="2981"/>
      <c r="AE128" s="2981"/>
      <c r="AF128" s="2981"/>
      <c r="AG128" s="2981"/>
      <c r="AH128" s="2982"/>
      <c r="AI128" s="3064" t="str">
        <f>AI62</f>
        <v>Total del período de subvención</v>
      </c>
      <c r="AJ128" s="3065"/>
      <c r="AK128" s="1923" t="str">
        <f>AK62</f>
        <v>Finanzas</v>
      </c>
      <c r="AL128" s="3026" t="str">
        <f>AL62</f>
        <v>Comentarios</v>
      </c>
      <c r="AM128" s="3026" t="str">
        <f>AM62</f>
        <v>Plazo de entrega</v>
      </c>
      <c r="AN128" s="3026" t="s">
        <v>3054</v>
      </c>
    </row>
    <row r="129" spans="1:49" s="325" customFormat="1" ht="26.5" thickBot="1">
      <c r="A129" s="3030"/>
      <c r="B129" s="3014"/>
      <c r="C129" s="3014"/>
      <c r="D129" s="3031"/>
      <c r="E129" s="3030"/>
      <c r="F129" s="3014"/>
      <c r="G129" s="3031"/>
      <c r="H129" s="3030"/>
      <c r="I129" s="3014"/>
      <c r="J129" s="3014"/>
      <c r="K129" s="3031"/>
      <c r="L129" s="3048"/>
      <c r="M129" s="3073"/>
      <c r="N129" s="1874" t="str">
        <f t="shared" ref="N129:AG129" si="61">N63</f>
        <v>Costo unitario del A1</v>
      </c>
      <c r="O129" s="1875" t="str">
        <f t="shared" si="61"/>
        <v>Cantidad del A1, T1</v>
      </c>
      <c r="P129" s="1875" t="str">
        <f t="shared" si="61"/>
        <v>Cantidad del A1, T2</v>
      </c>
      <c r="Q129" s="1875" t="str">
        <f t="shared" si="61"/>
        <v>Cantidad del A1, T3</v>
      </c>
      <c r="R129" s="1875" t="str">
        <f t="shared" si="61"/>
        <v>Cantidad del A1, T4</v>
      </c>
      <c r="S129" s="1875" t="str">
        <f t="shared" si="61"/>
        <v>Cantidad total del A1</v>
      </c>
      <c r="T129" s="1876" t="str">
        <f t="shared" si="61"/>
        <v>Costo total del A1</v>
      </c>
      <c r="U129" s="1877" t="str">
        <f t="shared" si="61"/>
        <v>Costo unitario del A2</v>
      </c>
      <c r="V129" s="1875" t="str">
        <f t="shared" si="61"/>
        <v>Cantidad del A2, T1</v>
      </c>
      <c r="W129" s="1875" t="str">
        <f t="shared" si="61"/>
        <v>Cantidad del A2, T2</v>
      </c>
      <c r="X129" s="1875" t="str">
        <f t="shared" si="61"/>
        <v>Cantidad del A2, T3</v>
      </c>
      <c r="Y129" s="1875" t="str">
        <f t="shared" si="61"/>
        <v>Cantidad del A2, T4</v>
      </c>
      <c r="Z129" s="1875" t="str">
        <f t="shared" si="61"/>
        <v>Cantidad total del A2</v>
      </c>
      <c r="AA129" s="1876" t="str">
        <f t="shared" si="61"/>
        <v>Costo total del A2</v>
      </c>
      <c r="AB129" s="1874" t="str">
        <f t="shared" si="61"/>
        <v>Costo unitario del A3</v>
      </c>
      <c r="AC129" s="1875" t="str">
        <f t="shared" si="61"/>
        <v>Cantidad del A3, T1</v>
      </c>
      <c r="AD129" s="1875" t="str">
        <f t="shared" si="61"/>
        <v>Cantidad del A3, T2</v>
      </c>
      <c r="AE129" s="1875" t="str">
        <f t="shared" si="61"/>
        <v>Cantidad del A3, T3</v>
      </c>
      <c r="AF129" s="1875" t="str">
        <f t="shared" si="61"/>
        <v>Cantidad del A3, T4</v>
      </c>
      <c r="AG129" s="1875" t="str">
        <f t="shared" si="61"/>
        <v>Cantidad total del A3</v>
      </c>
      <c r="AH129" s="1876" t="str">
        <f>AH63</f>
        <v>Costo total del A3</v>
      </c>
      <c r="AI129" s="1860" t="str">
        <f>AI63</f>
        <v>Cantidad total</v>
      </c>
      <c r="AJ129" s="1860" t="str">
        <f>AJ63</f>
        <v xml:space="preserve">Costo total </v>
      </c>
      <c r="AK129" s="1860" t="str">
        <f>AK63</f>
        <v>Categoría de costos</v>
      </c>
      <c r="AL129" s="3027"/>
      <c r="AM129" s="3027"/>
      <c r="AN129" s="3027"/>
      <c r="AU129" s="62"/>
      <c r="AV129" s="62"/>
      <c r="AW129" s="62"/>
    </row>
    <row r="130" spans="1:49" s="326" customFormat="1">
      <c r="A130" s="2983"/>
      <c r="B130" s="2984"/>
      <c r="C130" s="2984"/>
      <c r="D130" s="2985"/>
      <c r="E130" s="3066"/>
      <c r="F130" s="3067"/>
      <c r="G130" s="3068"/>
      <c r="H130" s="3069"/>
      <c r="I130" s="3070"/>
      <c r="J130" s="3070"/>
      <c r="K130" s="3071"/>
      <c r="L130" s="306" t="str">
        <f>IF(A130&lt;&gt;"",IFERROR(INDEX(PMtbl[[WKst]:[Unit of measure*]],MATCH($A$124&amp;$A130&amp;$E130&amp;$H130,INDEX(PMtbl[Sec]&amp;PMtbl[Category]&amp;PMtbl[INN]&amp;PMtbl[Specification],0,),0),8),""),"")</f>
        <v/>
      </c>
      <c r="M130" s="306" t="str">
        <f>IF(L130="", "",SETUP!$E$5)</f>
        <v/>
      </c>
      <c r="N130" s="1973"/>
      <c r="O130" s="1974"/>
      <c r="P130" s="1974"/>
      <c r="Q130" s="1974"/>
      <c r="R130" s="1974"/>
      <c r="S130" s="1879">
        <f>SUM('Malaria-Equipment &amp; Other HPs'!$O130:$R130)</f>
        <v>0</v>
      </c>
      <c r="T130" s="1880">
        <f>'Malaria-Equipment &amp; Other HPs'!$N130*'Malaria-Equipment &amp; Other HPs'!$S130</f>
        <v>0</v>
      </c>
      <c r="U130" s="1980"/>
      <c r="V130" s="1974"/>
      <c r="W130" s="1974"/>
      <c r="X130" s="1974"/>
      <c r="Y130" s="1974"/>
      <c r="Z130" s="1879">
        <f>SUM('Malaria-Equipment &amp; Other HPs'!$V130:$Y130)</f>
        <v>0</v>
      </c>
      <c r="AA130" s="1880">
        <f>'Malaria-Equipment &amp; Other HPs'!$U130*'Malaria-Equipment &amp; Other HPs'!$Z130</f>
        <v>0</v>
      </c>
      <c r="AB130" s="1973"/>
      <c r="AC130" s="1974"/>
      <c r="AD130" s="1974"/>
      <c r="AE130" s="1974"/>
      <c r="AF130" s="1974"/>
      <c r="AG130" s="1879">
        <f>SUM('Malaria-Equipment &amp; Other HPs'!$AC130:$AF130)</f>
        <v>0</v>
      </c>
      <c r="AH130" s="1880">
        <f>'Malaria-Equipment &amp; Other HPs'!$AB130*'Malaria-Equipment &amp; Other HPs'!$AG130</f>
        <v>0</v>
      </c>
      <c r="AI130" s="1881">
        <f>'Malaria-Equipment &amp; Other HPs'!$S130+'Malaria-Equipment &amp; Other HPs'!$Z130+'Malaria-Equipment &amp; Other HPs'!$AG130</f>
        <v>0</v>
      </c>
      <c r="AJ130" s="1880">
        <f>'Malaria-Equipment &amp; Other HPs'!$T130+'Malaria-Equipment &amp; Other HPs'!$AA130+'Malaria-Equipment &amp; Other HPs'!$AH130</f>
        <v>0</v>
      </c>
      <c r="AK130" s="1882" t="str">
        <f>IF(A130&lt;&gt;"",IFERROR(INDEX(PMtbl[[WKst]:[Unit of measure*]],MATCH($A$124&amp;$A130&amp;$E130&amp;$H130,INDEX(PMtbl[Sec]&amp;PMtbl[Category]&amp;PMtbl[INN]&amp;PMtbl[Specification],0,),0),7),""),"")</f>
        <v/>
      </c>
      <c r="AL130" s="956"/>
      <c r="AM130" s="1493" t="str">
        <f>IFERROR(INDEX(SETUP!$C$19:$G$62,MATCH((INDEX(PMtbl[[WKst]:[Unit of measure*]],MATCH($A130&amp;$E130&amp;$H130,INDEX(PMtbl[Category]&amp;PMtbl[INN]&amp;PMtbl[Specification],0,),0),3)),SETUP!$D$19:$D$62,0),5),"")</f>
        <v/>
      </c>
      <c r="AN130" s="1493" t="str">
        <f>IFERROR(IF((INDEX(SETUP!$C$19:$G$62,MATCH((INDEX(PMtbl[[WKst]:[Unit of measure*]],MATCH($A130&amp;$E130&amp;$H130,INDEX(PMtbl[Category]&amp;PMtbl[INN]&amp;PMtbl[Specification],0,),0),3)),SETUP!$D$19:$D$62,0),4))="Upfront",0,INDEX(SETUP!$C$19:$G$62,MATCH((INDEX(PMtbl[[WKst]:[Unit of measure*]],MATCH($A130&amp;$E130&amp;$H130,INDEX(PMtbl[Category]&amp;PMtbl[INN]&amp;PMtbl[Specification],0,),0),3)),SETUP!$D$19:$D$62,0),5)),"")</f>
        <v/>
      </c>
      <c r="AU130" s="325"/>
      <c r="AV130" s="325"/>
      <c r="AW130" s="325"/>
    </row>
    <row r="131" spans="1:49" s="198" customFormat="1">
      <c r="A131" s="3034"/>
      <c r="B131" s="3035"/>
      <c r="C131" s="3035"/>
      <c r="D131" s="3036"/>
      <c r="E131" s="3039"/>
      <c r="F131" s="3040"/>
      <c r="G131" s="3041"/>
      <c r="H131" s="3050"/>
      <c r="I131" s="2728"/>
      <c r="J131" s="2728"/>
      <c r="K131" s="3051"/>
      <c r="L131" s="307" t="str">
        <f>IF(A131&lt;&gt;"",IFERROR(INDEX(PMtbl[[WKst]:[Unit of measure*]],MATCH($A$124&amp;$A131&amp;$E131&amp;$H131,INDEX(PMtbl[Sec]&amp;PMtbl[Category]&amp;PMtbl[INN]&amp;PMtbl[Specification],0,),0),8),""),"")</f>
        <v/>
      </c>
      <c r="M131" s="307" t="str">
        <f>IF(L131="", "",SETUP!$E$5)</f>
        <v/>
      </c>
      <c r="N131" s="1975"/>
      <c r="O131" s="12"/>
      <c r="P131" s="12"/>
      <c r="Q131" s="12"/>
      <c r="R131" s="12"/>
      <c r="S131" s="1883">
        <f>SUM('Malaria-Equipment &amp; Other HPs'!$O131:$R131)</f>
        <v>0</v>
      </c>
      <c r="T131" s="1884">
        <f>'Malaria-Equipment &amp; Other HPs'!$N131*'Malaria-Equipment &amp; Other HPs'!$S131</f>
        <v>0</v>
      </c>
      <c r="U131" s="1981"/>
      <c r="V131" s="12"/>
      <c r="W131" s="12"/>
      <c r="X131" s="12"/>
      <c r="Y131" s="12"/>
      <c r="Z131" s="1883">
        <f>SUM('Malaria-Equipment &amp; Other HPs'!$V131:$Y131)</f>
        <v>0</v>
      </c>
      <c r="AA131" s="1884">
        <f>'Malaria-Equipment &amp; Other HPs'!$U131*'Malaria-Equipment &amp; Other HPs'!$Z131</f>
        <v>0</v>
      </c>
      <c r="AB131" s="1975"/>
      <c r="AC131" s="12"/>
      <c r="AD131" s="12"/>
      <c r="AE131" s="12"/>
      <c r="AF131" s="12"/>
      <c r="AG131" s="1883">
        <f>SUM('Malaria-Equipment &amp; Other HPs'!$AC131:$AF131)</f>
        <v>0</v>
      </c>
      <c r="AH131" s="1884">
        <f>'Malaria-Equipment &amp; Other HPs'!$AB131*'Malaria-Equipment &amp; Other HPs'!$AG131</f>
        <v>0</v>
      </c>
      <c r="AI131" s="1885">
        <f>'Malaria-Equipment &amp; Other HPs'!$S131+'Malaria-Equipment &amp; Other HPs'!$Z131+'Malaria-Equipment &amp; Other HPs'!$AG131</f>
        <v>0</v>
      </c>
      <c r="AJ131" s="1884">
        <f>'Malaria-Equipment &amp; Other HPs'!$T131+'Malaria-Equipment &amp; Other HPs'!$AA131+'Malaria-Equipment &amp; Other HPs'!$AH131</f>
        <v>0</v>
      </c>
      <c r="AK131" s="1886" t="str">
        <f>IF(A131&lt;&gt;"",IFERROR(INDEX(PMtbl[[WKst]:[Unit of measure*]],MATCH($A$124&amp;$A131&amp;$E131&amp;$H131,INDEX(PMtbl[Sec]&amp;PMtbl[Category]&amp;PMtbl[INN]&amp;PMtbl[Specification],0,),0),7),""),"")</f>
        <v/>
      </c>
      <c r="AL131" s="957"/>
      <c r="AM131" s="1520" t="str">
        <f>IFERROR(INDEX(SETUP!$C$19:$G$62,MATCH((INDEX(PMtbl[[WKst]:[Unit of measure*]],MATCH($A131&amp;$E131&amp;$H131,INDEX(PMtbl[Category]&amp;PMtbl[INN]&amp;PMtbl[Specification],0,),0),3)),SETUP!$D$19:$D$62,0),5),"")</f>
        <v/>
      </c>
      <c r="AN131" s="1494" t="str">
        <f>IFERROR(IF((INDEX(SETUP!$C$19:$G$62,MATCH((INDEX(PMtbl[[WKst]:[Unit of measure*]],MATCH($A131&amp;$E131&amp;$H131,INDEX(PMtbl[Category]&amp;PMtbl[INN]&amp;PMtbl[Specification],0,),0),3)),SETUP!$D$19:$D$62,0),4))="Upfront",0,INDEX(SETUP!$C$19:$G$62,MATCH((INDEX(PMtbl[[WKst]:[Unit of measure*]],MATCH($A131&amp;$E131&amp;$H131,INDEX(PMtbl[Category]&amp;PMtbl[INN]&amp;PMtbl[Specification],0,),0),3)),SETUP!$D$19:$D$62,0),5)),"")</f>
        <v/>
      </c>
      <c r="AU131" s="326"/>
      <c r="AV131" s="326"/>
      <c r="AW131" s="326"/>
    </row>
    <row r="132" spans="1:49" s="198" customFormat="1">
      <c r="A132" s="2950"/>
      <c r="B132" s="2951"/>
      <c r="C132" s="2951"/>
      <c r="D132" s="2952"/>
      <c r="E132" s="3058"/>
      <c r="F132" s="3059"/>
      <c r="G132" s="3060"/>
      <c r="H132" s="3052"/>
      <c r="I132" s="3053"/>
      <c r="J132" s="3053"/>
      <c r="K132" s="3054"/>
      <c r="L132" s="308" t="str">
        <f>IF(A132&lt;&gt;"",IFERROR(INDEX(PMtbl[[WKst]:[Unit of measure*]],MATCH($A$124&amp;$A132&amp;$E132&amp;$H132,INDEX(PMtbl[Sec]&amp;PMtbl[Category]&amp;PMtbl[INN]&amp;PMtbl[Specification],0,),0),8),""),"")</f>
        <v/>
      </c>
      <c r="M132" s="308" t="str">
        <f>IF(L132="", "",SETUP!$E$5)</f>
        <v/>
      </c>
      <c r="N132" s="1976"/>
      <c r="O132" s="1977"/>
      <c r="P132" s="1977"/>
      <c r="Q132" s="1977"/>
      <c r="R132" s="1977"/>
      <c r="S132" s="1887">
        <f>SUM('Malaria-Equipment &amp; Other HPs'!$O132:$R132)</f>
        <v>0</v>
      </c>
      <c r="T132" s="1888">
        <f>'Malaria-Equipment &amp; Other HPs'!$N132*'Malaria-Equipment &amp; Other HPs'!$S132</f>
        <v>0</v>
      </c>
      <c r="U132" s="1982"/>
      <c r="V132" s="1977"/>
      <c r="W132" s="1977"/>
      <c r="X132" s="1977"/>
      <c r="Y132" s="1977"/>
      <c r="Z132" s="1887">
        <f>SUM('Malaria-Equipment &amp; Other HPs'!$V132:$Y132)</f>
        <v>0</v>
      </c>
      <c r="AA132" s="1888">
        <f>'Malaria-Equipment &amp; Other HPs'!$U132*'Malaria-Equipment &amp; Other HPs'!$Z132</f>
        <v>0</v>
      </c>
      <c r="AB132" s="1976"/>
      <c r="AC132" s="1977"/>
      <c r="AD132" s="1977"/>
      <c r="AE132" s="1977"/>
      <c r="AF132" s="1977"/>
      <c r="AG132" s="1887">
        <f>SUM('Malaria-Equipment &amp; Other HPs'!$AC132:$AF132)</f>
        <v>0</v>
      </c>
      <c r="AH132" s="1888">
        <f>'Malaria-Equipment &amp; Other HPs'!$AB132*'Malaria-Equipment &amp; Other HPs'!$AG132</f>
        <v>0</v>
      </c>
      <c r="AI132" s="1889">
        <f>'Malaria-Equipment &amp; Other HPs'!$S132+'Malaria-Equipment &amp; Other HPs'!$Z132+'Malaria-Equipment &amp; Other HPs'!$AG132</f>
        <v>0</v>
      </c>
      <c r="AJ132" s="1888">
        <f>'Malaria-Equipment &amp; Other HPs'!$T132+'Malaria-Equipment &amp; Other HPs'!$AA132+'Malaria-Equipment &amp; Other HPs'!$AH132</f>
        <v>0</v>
      </c>
      <c r="AK132" s="1890" t="str">
        <f>IF(A132&lt;&gt;"",IFERROR(INDEX(PMtbl[[WKst]:[Unit of measure*]],MATCH($A$124&amp;$A132&amp;$E132&amp;$H132,INDEX(PMtbl[Sec]&amp;PMtbl[Category]&amp;PMtbl[INN]&amp;PMtbl[Specification],0,),0),7),""),"")</f>
        <v/>
      </c>
      <c r="AL132" s="956"/>
      <c r="AM132" s="1522" t="str">
        <f>IFERROR(INDEX(SETUP!$C$19:$G$62,MATCH((INDEX(PMtbl[[WKst]:[Unit of measure*]],MATCH($A132&amp;$E132&amp;$H132,INDEX(PMtbl[Category]&amp;PMtbl[INN]&amp;PMtbl[Specification],0,),0),3)),SETUP!$D$19:$D$62,0),5),"")</f>
        <v/>
      </c>
      <c r="AN132" s="1495" t="str">
        <f>IFERROR(IF((INDEX(SETUP!$C$19:$G$62,MATCH((INDEX(PMtbl[[WKst]:[Unit of measure*]],MATCH($A132&amp;$E132&amp;$H132,INDEX(PMtbl[Category]&amp;PMtbl[INN]&amp;PMtbl[Specification],0,),0),3)),SETUP!$D$19:$D$62,0),4))="Upfront",0,INDEX(SETUP!$C$19:$G$62,MATCH((INDEX(PMtbl[[WKst]:[Unit of measure*]],MATCH($A132&amp;$E132&amp;$H132,INDEX(PMtbl[Category]&amp;PMtbl[INN]&amp;PMtbl[Specification],0,),0),3)),SETUP!$D$19:$D$62,0),5)),"")</f>
        <v/>
      </c>
    </row>
    <row r="133" spans="1:49" s="198" customFormat="1">
      <c r="A133" s="3034"/>
      <c r="B133" s="3035"/>
      <c r="C133" s="3035"/>
      <c r="D133" s="3036"/>
      <c r="E133" s="3039"/>
      <c r="F133" s="3040"/>
      <c r="G133" s="3041"/>
      <c r="H133" s="3050"/>
      <c r="I133" s="2728"/>
      <c r="J133" s="2728"/>
      <c r="K133" s="3051"/>
      <c r="L133" s="307" t="str">
        <f>IF(A133&lt;&gt;"",IFERROR(INDEX(PMtbl[[WKst]:[Unit of measure*]],MATCH($A$124&amp;$A133&amp;$E133&amp;$H133,INDEX(PMtbl[Sec]&amp;PMtbl[Category]&amp;PMtbl[INN]&amp;PMtbl[Specification],0,),0),8),""),"")</f>
        <v/>
      </c>
      <c r="M133" s="307" t="str">
        <f>IF(L133="", "",SETUP!$E$5)</f>
        <v/>
      </c>
      <c r="N133" s="1975"/>
      <c r="O133" s="12"/>
      <c r="P133" s="12"/>
      <c r="Q133" s="12"/>
      <c r="R133" s="12"/>
      <c r="S133" s="1883">
        <f>SUM('Malaria-Equipment &amp; Other HPs'!$O133:$R133)</f>
        <v>0</v>
      </c>
      <c r="T133" s="1884">
        <f>'Malaria-Equipment &amp; Other HPs'!$N133*'Malaria-Equipment &amp; Other HPs'!$S133</f>
        <v>0</v>
      </c>
      <c r="U133" s="1981"/>
      <c r="V133" s="12"/>
      <c r="W133" s="12"/>
      <c r="X133" s="12"/>
      <c r="Y133" s="12"/>
      <c r="Z133" s="1883">
        <f>SUM('Malaria-Equipment &amp; Other HPs'!$V133:$Y133)</f>
        <v>0</v>
      </c>
      <c r="AA133" s="1884">
        <f>'Malaria-Equipment &amp; Other HPs'!$U133*'Malaria-Equipment &amp; Other HPs'!$Z133</f>
        <v>0</v>
      </c>
      <c r="AB133" s="1975"/>
      <c r="AC133" s="12"/>
      <c r="AD133" s="12"/>
      <c r="AE133" s="12"/>
      <c r="AF133" s="12"/>
      <c r="AG133" s="1883">
        <f>SUM('Malaria-Equipment &amp; Other HPs'!$AC133:$AF133)</f>
        <v>0</v>
      </c>
      <c r="AH133" s="1884">
        <f>'Malaria-Equipment &amp; Other HPs'!$AB133*'Malaria-Equipment &amp; Other HPs'!$AG133</f>
        <v>0</v>
      </c>
      <c r="AI133" s="1885">
        <f>'Malaria-Equipment &amp; Other HPs'!$S133+'Malaria-Equipment &amp; Other HPs'!$Z133+'Malaria-Equipment &amp; Other HPs'!$AG133</f>
        <v>0</v>
      </c>
      <c r="AJ133" s="1884">
        <f>'Malaria-Equipment &amp; Other HPs'!$T133+'Malaria-Equipment &amp; Other HPs'!$AA133+'Malaria-Equipment &amp; Other HPs'!$AH133</f>
        <v>0</v>
      </c>
      <c r="AK133" s="1886" t="str">
        <f>IF(A133&lt;&gt;"",IFERROR(INDEX(PMtbl[[WKst]:[Unit of measure*]],MATCH($A$124&amp;$A133&amp;$E133&amp;$H133,INDEX(PMtbl[Sec]&amp;PMtbl[Category]&amp;PMtbl[INN]&amp;PMtbl[Specification],0,),0),7),""),"")</f>
        <v/>
      </c>
      <c r="AL133" s="957"/>
      <c r="AM133" s="1520" t="str">
        <f>IFERROR(INDEX(SETUP!$C$19:$G$62,MATCH((INDEX(PMtbl[[WKst]:[Unit of measure*]],MATCH($A133&amp;$E133&amp;$H133,INDEX(PMtbl[Category]&amp;PMtbl[INN]&amp;PMtbl[Specification],0,),0),3)),SETUP!$D$19:$D$62,0),5),"")</f>
        <v/>
      </c>
      <c r="AN133" s="1494" t="str">
        <f>IFERROR(IF((INDEX(SETUP!$C$19:$G$62,MATCH((INDEX(PMtbl[[WKst]:[Unit of measure*]],MATCH($A133&amp;$E133&amp;$H133,INDEX(PMtbl[Category]&amp;PMtbl[INN]&amp;PMtbl[Specification],0,),0),3)),SETUP!$D$19:$D$62,0),4))="Upfront",0,INDEX(SETUP!$C$19:$G$62,MATCH((INDEX(PMtbl[[WKst]:[Unit of measure*]],MATCH($A133&amp;$E133&amp;$H133,INDEX(PMtbl[Category]&amp;PMtbl[INN]&amp;PMtbl[Specification],0,),0),3)),SETUP!$D$19:$D$62,0),5)),"")</f>
        <v/>
      </c>
    </row>
    <row r="134" spans="1:49" s="198" customFormat="1">
      <c r="A134" s="2950"/>
      <c r="B134" s="2951"/>
      <c r="C134" s="2951"/>
      <c r="D134" s="2952"/>
      <c r="E134" s="3058"/>
      <c r="F134" s="3059"/>
      <c r="G134" s="3060"/>
      <c r="H134" s="3052"/>
      <c r="I134" s="3053"/>
      <c r="J134" s="3053"/>
      <c r="K134" s="3054"/>
      <c r="L134" s="308" t="str">
        <f>IF(A134&lt;&gt;"",IFERROR(INDEX(PMtbl[[WKst]:[Unit of measure*]],MATCH($A$124&amp;$A134&amp;$E134&amp;$H134,INDEX(PMtbl[Sec]&amp;PMtbl[Category]&amp;PMtbl[INN]&amp;PMtbl[Specification],0,),0),8),""),"")</f>
        <v/>
      </c>
      <c r="M134" s="308" t="str">
        <f>IF(L134="", "",SETUP!$E$5)</f>
        <v/>
      </c>
      <c r="N134" s="1976"/>
      <c r="O134" s="1977"/>
      <c r="P134" s="1977"/>
      <c r="Q134" s="1977"/>
      <c r="R134" s="1977"/>
      <c r="S134" s="1887">
        <f>SUM('Malaria-Equipment &amp; Other HPs'!$O134:$R134)</f>
        <v>0</v>
      </c>
      <c r="T134" s="1888">
        <f>'Malaria-Equipment &amp; Other HPs'!$N134*'Malaria-Equipment &amp; Other HPs'!$S134</f>
        <v>0</v>
      </c>
      <c r="U134" s="1982"/>
      <c r="V134" s="1977"/>
      <c r="W134" s="1977"/>
      <c r="X134" s="1977"/>
      <c r="Y134" s="1977"/>
      <c r="Z134" s="1887">
        <f>SUM('Malaria-Equipment &amp; Other HPs'!$V134:$Y134)</f>
        <v>0</v>
      </c>
      <c r="AA134" s="1888">
        <f>'Malaria-Equipment &amp; Other HPs'!$U134*'Malaria-Equipment &amp; Other HPs'!$Z134</f>
        <v>0</v>
      </c>
      <c r="AB134" s="1976"/>
      <c r="AC134" s="1977"/>
      <c r="AD134" s="1977"/>
      <c r="AE134" s="1977"/>
      <c r="AF134" s="1977"/>
      <c r="AG134" s="1887">
        <f>SUM('Malaria-Equipment &amp; Other HPs'!$AC134:$AF134)</f>
        <v>0</v>
      </c>
      <c r="AH134" s="1888">
        <f>'Malaria-Equipment &amp; Other HPs'!$AB134*'Malaria-Equipment &amp; Other HPs'!$AG134</f>
        <v>0</v>
      </c>
      <c r="AI134" s="1889">
        <f>'Malaria-Equipment &amp; Other HPs'!$S134+'Malaria-Equipment &amp; Other HPs'!$Z134+'Malaria-Equipment &amp; Other HPs'!$AG134</f>
        <v>0</v>
      </c>
      <c r="AJ134" s="1888">
        <f>'Malaria-Equipment &amp; Other HPs'!$T134+'Malaria-Equipment &amp; Other HPs'!$AA134+'Malaria-Equipment &amp; Other HPs'!$AH134</f>
        <v>0</v>
      </c>
      <c r="AK134" s="1890" t="str">
        <f>IF(A134&lt;&gt;"",IFERROR(INDEX(PMtbl[[WKst]:[Unit of measure*]],MATCH($A$124&amp;$A134&amp;$E134&amp;$H134,INDEX(PMtbl[Sec]&amp;PMtbl[Category]&amp;PMtbl[INN]&amp;PMtbl[Specification],0,),0),7),""),"")</f>
        <v/>
      </c>
      <c r="AL134" s="956"/>
      <c r="AM134" s="1522" t="str">
        <f>IFERROR(INDEX(SETUP!$C$19:$G$62,MATCH((INDEX(PMtbl[[WKst]:[Unit of measure*]],MATCH($A134&amp;$E134&amp;$H134,INDEX(PMtbl[Category]&amp;PMtbl[INN]&amp;PMtbl[Specification],0,),0),3)),SETUP!$D$19:$D$62,0),5),"")</f>
        <v/>
      </c>
      <c r="AN134" s="1495" t="str">
        <f>IFERROR(IF((INDEX(SETUP!$C$19:$G$62,MATCH((INDEX(PMtbl[[WKst]:[Unit of measure*]],MATCH($A134&amp;$E134&amp;$H134,INDEX(PMtbl[Category]&amp;PMtbl[INN]&amp;PMtbl[Specification],0,),0),3)),SETUP!$D$19:$D$62,0),4))="Upfront",0,INDEX(SETUP!$C$19:$G$62,MATCH((INDEX(PMtbl[[WKst]:[Unit of measure*]],MATCH($A134&amp;$E134&amp;$H134,INDEX(PMtbl[Category]&amp;PMtbl[INN]&amp;PMtbl[Specification],0,),0),3)),SETUP!$D$19:$D$62,0),5)),"")</f>
        <v/>
      </c>
    </row>
    <row r="135" spans="1:49" s="198" customFormat="1">
      <c r="A135" s="3034"/>
      <c r="B135" s="3035"/>
      <c r="C135" s="3035"/>
      <c r="D135" s="3036"/>
      <c r="E135" s="3039"/>
      <c r="F135" s="3040"/>
      <c r="G135" s="3041"/>
      <c r="H135" s="3050"/>
      <c r="I135" s="2728"/>
      <c r="J135" s="2728"/>
      <c r="K135" s="3051"/>
      <c r="L135" s="307" t="str">
        <f>IF(A135&lt;&gt;"",IFERROR(INDEX(PMtbl[[WKst]:[Unit of measure*]],MATCH($A$124&amp;$A135&amp;$E135&amp;$H135,INDEX(PMtbl[Sec]&amp;PMtbl[Category]&amp;PMtbl[INN]&amp;PMtbl[Specification],0,),0),8),""),"")</f>
        <v/>
      </c>
      <c r="M135" s="307" t="str">
        <f>IF(L135="", "",SETUP!$E$5)</f>
        <v/>
      </c>
      <c r="N135" s="1975"/>
      <c r="O135" s="12"/>
      <c r="P135" s="12"/>
      <c r="Q135" s="12"/>
      <c r="R135" s="12"/>
      <c r="S135" s="1883">
        <f>SUM('Malaria-Equipment &amp; Other HPs'!$O135:$R135)</f>
        <v>0</v>
      </c>
      <c r="T135" s="1884">
        <f>'Malaria-Equipment &amp; Other HPs'!$N135*'Malaria-Equipment &amp; Other HPs'!$S135</f>
        <v>0</v>
      </c>
      <c r="U135" s="1981"/>
      <c r="V135" s="12"/>
      <c r="W135" s="12"/>
      <c r="X135" s="12"/>
      <c r="Y135" s="12"/>
      <c r="Z135" s="1883">
        <f>SUM('Malaria-Equipment &amp; Other HPs'!$V135:$Y135)</f>
        <v>0</v>
      </c>
      <c r="AA135" s="1884">
        <f>'Malaria-Equipment &amp; Other HPs'!$U135*'Malaria-Equipment &amp; Other HPs'!$Z135</f>
        <v>0</v>
      </c>
      <c r="AB135" s="1975"/>
      <c r="AC135" s="12"/>
      <c r="AD135" s="12"/>
      <c r="AE135" s="12"/>
      <c r="AF135" s="12"/>
      <c r="AG135" s="1883">
        <f>SUM('Malaria-Equipment &amp; Other HPs'!$AC135:$AF135)</f>
        <v>0</v>
      </c>
      <c r="AH135" s="1884">
        <f>'Malaria-Equipment &amp; Other HPs'!$AB135*'Malaria-Equipment &amp; Other HPs'!$AG135</f>
        <v>0</v>
      </c>
      <c r="AI135" s="1885">
        <f>'Malaria-Equipment &amp; Other HPs'!$S135+'Malaria-Equipment &amp; Other HPs'!$Z135+'Malaria-Equipment &amp; Other HPs'!$AG135</f>
        <v>0</v>
      </c>
      <c r="AJ135" s="1884">
        <f>'Malaria-Equipment &amp; Other HPs'!$T135+'Malaria-Equipment &amp; Other HPs'!$AA135+'Malaria-Equipment &amp; Other HPs'!$AH135</f>
        <v>0</v>
      </c>
      <c r="AK135" s="1886" t="str">
        <f>IF(A135&lt;&gt;"",IFERROR(INDEX(PMtbl[[WKst]:[Unit of measure*]],MATCH($A$124&amp;$A135&amp;$E135&amp;$H135,INDEX(PMtbl[Sec]&amp;PMtbl[Category]&amp;PMtbl[INN]&amp;PMtbl[Specification],0,),0),7),""),"")</f>
        <v/>
      </c>
      <c r="AL135" s="957"/>
      <c r="AM135" s="1520" t="str">
        <f>IFERROR(INDEX(SETUP!$C$19:$G$62,MATCH((INDEX(PMtbl[[WKst]:[Unit of measure*]],MATCH($A135&amp;$E135&amp;$H135,INDEX(PMtbl[Category]&amp;PMtbl[INN]&amp;PMtbl[Specification],0,),0),3)),SETUP!$D$19:$D$62,0),5),"")</f>
        <v/>
      </c>
      <c r="AN135" s="1494" t="str">
        <f>IFERROR(IF((INDEX(SETUP!$C$19:$G$62,MATCH((INDEX(PMtbl[[WKst]:[Unit of measure*]],MATCH($A135&amp;$E135&amp;$H135,INDEX(PMtbl[Category]&amp;PMtbl[INN]&amp;PMtbl[Specification],0,),0),3)),SETUP!$D$19:$D$62,0),4))="Upfront",0,INDEX(SETUP!$C$19:$G$62,MATCH((INDEX(PMtbl[[WKst]:[Unit of measure*]],MATCH($A135&amp;$E135&amp;$H135,INDEX(PMtbl[Category]&amp;PMtbl[INN]&amp;PMtbl[Specification],0,),0),3)),SETUP!$D$19:$D$62,0),5)),"")</f>
        <v/>
      </c>
    </row>
    <row r="136" spans="1:49" s="198" customFormat="1">
      <c r="A136" s="2950"/>
      <c r="B136" s="2951"/>
      <c r="C136" s="2951"/>
      <c r="D136" s="2952"/>
      <c r="E136" s="3058"/>
      <c r="F136" s="3059"/>
      <c r="G136" s="3060"/>
      <c r="H136" s="3052"/>
      <c r="I136" s="3053"/>
      <c r="J136" s="3053"/>
      <c r="K136" s="3054"/>
      <c r="L136" s="308" t="str">
        <f>IF(A136&lt;&gt;"",IFERROR(INDEX(PMtbl[[WKst]:[Unit of measure*]],MATCH($A$124&amp;$A136&amp;$E136&amp;$H136,INDEX(PMtbl[Sec]&amp;PMtbl[Category]&amp;PMtbl[INN]&amp;PMtbl[Specification],0,),0),8),""),"")</f>
        <v/>
      </c>
      <c r="M136" s="308" t="str">
        <f>IF(L136="", "",SETUP!$E$5)</f>
        <v/>
      </c>
      <c r="N136" s="1976"/>
      <c r="O136" s="1977"/>
      <c r="P136" s="1977"/>
      <c r="Q136" s="1977"/>
      <c r="R136" s="1977"/>
      <c r="S136" s="1887">
        <f>SUM('Malaria-Equipment &amp; Other HPs'!$O136:$R136)</f>
        <v>0</v>
      </c>
      <c r="T136" s="1888">
        <f>'Malaria-Equipment &amp; Other HPs'!$N136*'Malaria-Equipment &amp; Other HPs'!$S136</f>
        <v>0</v>
      </c>
      <c r="U136" s="1982"/>
      <c r="V136" s="1977"/>
      <c r="W136" s="1977"/>
      <c r="X136" s="1977"/>
      <c r="Y136" s="1977"/>
      <c r="Z136" s="1887">
        <f>SUM('Malaria-Equipment &amp; Other HPs'!$V136:$Y136)</f>
        <v>0</v>
      </c>
      <c r="AA136" s="1888">
        <f>'Malaria-Equipment &amp; Other HPs'!$U136*'Malaria-Equipment &amp; Other HPs'!$Z136</f>
        <v>0</v>
      </c>
      <c r="AB136" s="1976"/>
      <c r="AC136" s="1977"/>
      <c r="AD136" s="1977"/>
      <c r="AE136" s="1977"/>
      <c r="AF136" s="1977"/>
      <c r="AG136" s="1887">
        <f>SUM('Malaria-Equipment &amp; Other HPs'!$AC136:$AF136)</f>
        <v>0</v>
      </c>
      <c r="AH136" s="1888">
        <f>'Malaria-Equipment &amp; Other HPs'!$AB136*'Malaria-Equipment &amp; Other HPs'!$AG136</f>
        <v>0</v>
      </c>
      <c r="AI136" s="1889">
        <f>'Malaria-Equipment &amp; Other HPs'!$S136+'Malaria-Equipment &amp; Other HPs'!$Z136+'Malaria-Equipment &amp; Other HPs'!$AG136</f>
        <v>0</v>
      </c>
      <c r="AJ136" s="1888">
        <f>'Malaria-Equipment &amp; Other HPs'!$T136+'Malaria-Equipment &amp; Other HPs'!$AA136+'Malaria-Equipment &amp; Other HPs'!$AH136</f>
        <v>0</v>
      </c>
      <c r="AK136" s="1890" t="str">
        <f>IF(A136&lt;&gt;"",IFERROR(INDEX(PMtbl[[WKst]:[Unit of measure*]],MATCH($A$124&amp;$A136&amp;$E136&amp;$H136,INDEX(PMtbl[Sec]&amp;PMtbl[Category]&amp;PMtbl[INN]&amp;PMtbl[Specification],0,),0),7),""),"")</f>
        <v/>
      </c>
      <c r="AL136" s="956"/>
      <c r="AM136" s="1522" t="str">
        <f>IFERROR(INDEX(SETUP!$C$19:$G$62,MATCH((INDEX(PMtbl[[WKst]:[Unit of measure*]],MATCH($A136&amp;$E136&amp;$H136,INDEX(PMtbl[Category]&amp;PMtbl[INN]&amp;PMtbl[Specification],0,),0),3)),SETUP!$D$19:$D$62,0),5),"")</f>
        <v/>
      </c>
      <c r="AN136" s="1495" t="str">
        <f>IFERROR(IF((INDEX(SETUP!$C$19:$G$62,MATCH((INDEX(PMtbl[[WKst]:[Unit of measure*]],MATCH($A136&amp;$E136&amp;$H136,INDEX(PMtbl[Category]&amp;PMtbl[INN]&amp;PMtbl[Specification],0,),0),3)),SETUP!$D$19:$D$62,0),4))="Upfront",0,INDEX(SETUP!$C$19:$G$62,MATCH((INDEX(PMtbl[[WKst]:[Unit of measure*]],MATCH($A136&amp;$E136&amp;$H136,INDEX(PMtbl[Category]&amp;PMtbl[INN]&amp;PMtbl[Specification],0,),0),3)),SETUP!$D$19:$D$62,0),5)),"")</f>
        <v/>
      </c>
    </row>
    <row r="137" spans="1:49" s="198" customFormat="1">
      <c r="A137" s="3034"/>
      <c r="B137" s="3035"/>
      <c r="C137" s="3035"/>
      <c r="D137" s="3036"/>
      <c r="E137" s="3039"/>
      <c r="F137" s="3040"/>
      <c r="G137" s="3041"/>
      <c r="H137" s="3050"/>
      <c r="I137" s="2728"/>
      <c r="J137" s="2728"/>
      <c r="K137" s="3051"/>
      <c r="L137" s="307" t="str">
        <f>IF(A137&lt;&gt;"",IFERROR(INDEX(PMtbl[[WKst]:[Unit of measure*]],MATCH($A$124&amp;$A137&amp;$E137&amp;$H137,INDEX(PMtbl[Sec]&amp;PMtbl[Category]&amp;PMtbl[INN]&amp;PMtbl[Specification],0,),0),8),""),"")</f>
        <v/>
      </c>
      <c r="M137" s="307" t="str">
        <f>IF(L137="", "",SETUP!$E$5)</f>
        <v/>
      </c>
      <c r="N137" s="1975"/>
      <c r="O137" s="12"/>
      <c r="P137" s="12"/>
      <c r="Q137" s="12"/>
      <c r="R137" s="12"/>
      <c r="S137" s="1883">
        <f>SUM('Malaria-Equipment &amp; Other HPs'!$O137:$R137)</f>
        <v>0</v>
      </c>
      <c r="T137" s="1884">
        <f>'Malaria-Equipment &amp; Other HPs'!$N137*'Malaria-Equipment &amp; Other HPs'!$S137</f>
        <v>0</v>
      </c>
      <c r="U137" s="1981"/>
      <c r="V137" s="12"/>
      <c r="W137" s="12"/>
      <c r="X137" s="12"/>
      <c r="Y137" s="12"/>
      <c r="Z137" s="1883">
        <f>SUM('Malaria-Equipment &amp; Other HPs'!$V137:$Y137)</f>
        <v>0</v>
      </c>
      <c r="AA137" s="1884">
        <f>'Malaria-Equipment &amp; Other HPs'!$U137*'Malaria-Equipment &amp; Other HPs'!$Z137</f>
        <v>0</v>
      </c>
      <c r="AB137" s="1975"/>
      <c r="AC137" s="12"/>
      <c r="AD137" s="12"/>
      <c r="AE137" s="12"/>
      <c r="AF137" s="12"/>
      <c r="AG137" s="1883">
        <f>SUM('Malaria-Equipment &amp; Other HPs'!$AC137:$AF137)</f>
        <v>0</v>
      </c>
      <c r="AH137" s="1884">
        <f>'Malaria-Equipment &amp; Other HPs'!$AB137*'Malaria-Equipment &amp; Other HPs'!$AG137</f>
        <v>0</v>
      </c>
      <c r="AI137" s="1885">
        <f>'Malaria-Equipment &amp; Other HPs'!$S137+'Malaria-Equipment &amp; Other HPs'!$Z137+'Malaria-Equipment &amp; Other HPs'!$AG137</f>
        <v>0</v>
      </c>
      <c r="AJ137" s="1884">
        <f>'Malaria-Equipment &amp; Other HPs'!$T137+'Malaria-Equipment &amp; Other HPs'!$AA137+'Malaria-Equipment &amp; Other HPs'!$AH137</f>
        <v>0</v>
      </c>
      <c r="AK137" s="1886" t="str">
        <f>IF(A137&lt;&gt;"",IFERROR(INDEX(PMtbl[[WKst]:[Unit of measure*]],MATCH($A$124&amp;$A137&amp;$E137&amp;$H137,INDEX(PMtbl[Sec]&amp;PMtbl[Category]&amp;PMtbl[INN]&amp;PMtbl[Specification],0,),0),7),""),"")</f>
        <v/>
      </c>
      <c r="AL137" s="957"/>
      <c r="AM137" s="1520" t="str">
        <f>IFERROR(INDEX(SETUP!$C$19:$G$62,MATCH((INDEX(PMtbl[[WKst]:[Unit of measure*]],MATCH($A137&amp;$E137&amp;$H137,INDEX(PMtbl[Category]&amp;PMtbl[INN]&amp;PMtbl[Specification],0,),0),3)),SETUP!$D$19:$D$62,0),5),"")</f>
        <v/>
      </c>
      <c r="AN137" s="1494" t="str">
        <f>IFERROR(IF((INDEX(SETUP!$C$19:$G$62,MATCH((INDEX(PMtbl[[WKst]:[Unit of measure*]],MATCH($A137&amp;$E137&amp;$H137,INDEX(PMtbl[Category]&amp;PMtbl[INN]&amp;PMtbl[Specification],0,),0),3)),SETUP!$D$19:$D$62,0),4))="Upfront",0,INDEX(SETUP!$C$19:$G$62,MATCH((INDEX(PMtbl[[WKst]:[Unit of measure*]],MATCH($A137&amp;$E137&amp;$H137,INDEX(PMtbl[Category]&amp;PMtbl[INN]&amp;PMtbl[Specification],0,),0),3)),SETUP!$D$19:$D$62,0),5)),"")</f>
        <v/>
      </c>
    </row>
    <row r="138" spans="1:49" s="198" customFormat="1">
      <c r="A138" s="2950"/>
      <c r="B138" s="2951"/>
      <c r="C138" s="2951"/>
      <c r="D138" s="2952"/>
      <c r="E138" s="3058"/>
      <c r="F138" s="3059"/>
      <c r="G138" s="3060"/>
      <c r="H138" s="3052"/>
      <c r="I138" s="3053"/>
      <c r="J138" s="3053"/>
      <c r="K138" s="3054"/>
      <c r="L138" s="308" t="str">
        <f>IF(A138&lt;&gt;"",IFERROR(INDEX(PMtbl[[WKst]:[Unit of measure*]],MATCH($A$124&amp;$A138&amp;$E138&amp;$H138,INDEX(PMtbl[Sec]&amp;PMtbl[Category]&amp;PMtbl[INN]&amp;PMtbl[Specification],0,),0),8),""),"")</f>
        <v/>
      </c>
      <c r="M138" s="308" t="str">
        <f>IF(L138="", "",SETUP!$E$5)</f>
        <v/>
      </c>
      <c r="N138" s="1976"/>
      <c r="O138" s="1977"/>
      <c r="P138" s="1977"/>
      <c r="Q138" s="1977"/>
      <c r="R138" s="1977"/>
      <c r="S138" s="1887">
        <f>SUM('Malaria-Equipment &amp; Other HPs'!$O138:$R138)</f>
        <v>0</v>
      </c>
      <c r="T138" s="1888">
        <f>'Malaria-Equipment &amp; Other HPs'!$N138*'Malaria-Equipment &amp; Other HPs'!$S138</f>
        <v>0</v>
      </c>
      <c r="U138" s="1982"/>
      <c r="V138" s="1977"/>
      <c r="W138" s="1977"/>
      <c r="X138" s="1977"/>
      <c r="Y138" s="1977"/>
      <c r="Z138" s="1887">
        <f>SUM('Malaria-Equipment &amp; Other HPs'!$V138:$Y138)</f>
        <v>0</v>
      </c>
      <c r="AA138" s="1888">
        <f>'Malaria-Equipment &amp; Other HPs'!$U138*'Malaria-Equipment &amp; Other HPs'!$Z138</f>
        <v>0</v>
      </c>
      <c r="AB138" s="1976"/>
      <c r="AC138" s="1977"/>
      <c r="AD138" s="1977"/>
      <c r="AE138" s="1977"/>
      <c r="AF138" s="1977"/>
      <c r="AG138" s="1887">
        <f>SUM('Malaria-Equipment &amp; Other HPs'!$AC138:$AF138)</f>
        <v>0</v>
      </c>
      <c r="AH138" s="1888">
        <f>'Malaria-Equipment &amp; Other HPs'!$AB138*'Malaria-Equipment &amp; Other HPs'!$AG138</f>
        <v>0</v>
      </c>
      <c r="AI138" s="1889">
        <f>'Malaria-Equipment &amp; Other HPs'!$S138+'Malaria-Equipment &amp; Other HPs'!$Z138+'Malaria-Equipment &amp; Other HPs'!$AG138</f>
        <v>0</v>
      </c>
      <c r="AJ138" s="1888">
        <f>'Malaria-Equipment &amp; Other HPs'!$T138+'Malaria-Equipment &amp; Other HPs'!$AA138+'Malaria-Equipment &amp; Other HPs'!$AH138</f>
        <v>0</v>
      </c>
      <c r="AK138" s="1890" t="str">
        <f>IF(A138&lt;&gt;"",IFERROR(INDEX(PMtbl[[WKst]:[Unit of measure*]],MATCH($A$124&amp;$A138&amp;$E138&amp;$H138,INDEX(PMtbl[Sec]&amp;PMtbl[Category]&amp;PMtbl[INN]&amp;PMtbl[Specification],0,),0),7),""),"")</f>
        <v/>
      </c>
      <c r="AL138" s="956"/>
      <c r="AM138" s="1522" t="str">
        <f>IFERROR(INDEX(SETUP!$C$19:$G$62,MATCH((INDEX(PMtbl[[WKst]:[Unit of measure*]],MATCH($A138&amp;$E138&amp;$H138,INDEX(PMtbl[Category]&amp;PMtbl[INN]&amp;PMtbl[Specification],0,),0),3)),SETUP!$D$19:$D$62,0),5),"")</f>
        <v/>
      </c>
      <c r="AN138" s="1495" t="str">
        <f>IFERROR(IF((INDEX(SETUP!$C$19:$G$62,MATCH((INDEX(PMtbl[[WKst]:[Unit of measure*]],MATCH($A138&amp;$E138&amp;$H138,INDEX(PMtbl[Category]&amp;PMtbl[INN]&amp;PMtbl[Specification],0,),0),3)),SETUP!$D$19:$D$62,0),4))="Upfront",0,INDEX(SETUP!$C$19:$G$62,MATCH((INDEX(PMtbl[[WKst]:[Unit of measure*]],MATCH($A138&amp;$E138&amp;$H138,INDEX(PMtbl[Category]&amp;PMtbl[INN]&amp;PMtbl[Specification],0,),0),3)),SETUP!$D$19:$D$62,0),5)),"")</f>
        <v/>
      </c>
    </row>
    <row r="139" spans="1:49" s="198" customFormat="1">
      <c r="A139" s="3034"/>
      <c r="B139" s="3035"/>
      <c r="C139" s="3035"/>
      <c r="D139" s="3036"/>
      <c r="E139" s="3039"/>
      <c r="F139" s="3040"/>
      <c r="G139" s="3041"/>
      <c r="H139" s="3050"/>
      <c r="I139" s="2728"/>
      <c r="J139" s="2728"/>
      <c r="K139" s="3051"/>
      <c r="L139" s="307" t="str">
        <f>IF(A139&lt;&gt;"",IFERROR(INDEX(PMtbl[[WKst]:[Unit of measure*]],MATCH($A$124&amp;$A139&amp;$E139&amp;$H139,INDEX(PMtbl[Sec]&amp;PMtbl[Category]&amp;PMtbl[INN]&amp;PMtbl[Specification],0,),0),8),""),"")</f>
        <v/>
      </c>
      <c r="M139" s="307" t="str">
        <f>IF(L139="", "",SETUP!$E$5)</f>
        <v/>
      </c>
      <c r="N139" s="1975"/>
      <c r="O139" s="12"/>
      <c r="P139" s="12"/>
      <c r="Q139" s="12"/>
      <c r="R139" s="12"/>
      <c r="S139" s="1883">
        <f>SUM('Malaria-Equipment &amp; Other HPs'!$O139:$R139)</f>
        <v>0</v>
      </c>
      <c r="T139" s="1884">
        <f>'Malaria-Equipment &amp; Other HPs'!$N139*'Malaria-Equipment &amp; Other HPs'!$S139</f>
        <v>0</v>
      </c>
      <c r="U139" s="1981"/>
      <c r="V139" s="12"/>
      <c r="W139" s="12"/>
      <c r="X139" s="12"/>
      <c r="Y139" s="12"/>
      <c r="Z139" s="1883">
        <f>SUM('Malaria-Equipment &amp; Other HPs'!$V139:$Y139)</f>
        <v>0</v>
      </c>
      <c r="AA139" s="1884">
        <f>'Malaria-Equipment &amp; Other HPs'!$U139*'Malaria-Equipment &amp; Other HPs'!$Z139</f>
        <v>0</v>
      </c>
      <c r="AB139" s="1975"/>
      <c r="AC139" s="12"/>
      <c r="AD139" s="12"/>
      <c r="AE139" s="12"/>
      <c r="AF139" s="12"/>
      <c r="AG139" s="1883">
        <f>SUM('Malaria-Equipment &amp; Other HPs'!$AC139:$AF139)</f>
        <v>0</v>
      </c>
      <c r="AH139" s="1884">
        <f>'Malaria-Equipment &amp; Other HPs'!$AB139*'Malaria-Equipment &amp; Other HPs'!$AG139</f>
        <v>0</v>
      </c>
      <c r="AI139" s="1885">
        <f>'Malaria-Equipment &amp; Other HPs'!$S139+'Malaria-Equipment &amp; Other HPs'!$Z139+'Malaria-Equipment &amp; Other HPs'!$AG139</f>
        <v>0</v>
      </c>
      <c r="AJ139" s="1884">
        <f>'Malaria-Equipment &amp; Other HPs'!$T139+'Malaria-Equipment &amp; Other HPs'!$AA139+'Malaria-Equipment &amp; Other HPs'!$AH139</f>
        <v>0</v>
      </c>
      <c r="AK139" s="1886" t="str">
        <f>IF(A139&lt;&gt;"",IFERROR(INDEX(PMtbl[[WKst]:[Unit of measure*]],MATCH($A$124&amp;$A139&amp;$E139&amp;$H139,INDEX(PMtbl[Sec]&amp;PMtbl[Category]&amp;PMtbl[INN]&amp;PMtbl[Specification],0,),0),7),""),"")</f>
        <v/>
      </c>
      <c r="AL139" s="957"/>
      <c r="AM139" s="1520" t="str">
        <f>IFERROR(INDEX(SETUP!$C$19:$G$62,MATCH((INDEX(PMtbl[[WKst]:[Unit of measure*]],MATCH($A139&amp;$E139&amp;$H139,INDEX(PMtbl[Category]&amp;PMtbl[INN]&amp;PMtbl[Specification],0,),0),3)),SETUP!$D$19:$D$62,0),5),"")</f>
        <v/>
      </c>
      <c r="AN139" s="1494" t="str">
        <f>IFERROR(IF((INDEX(SETUP!$C$19:$G$62,MATCH((INDEX(PMtbl[[WKst]:[Unit of measure*]],MATCH($A139&amp;$E139&amp;$H139,INDEX(PMtbl[Category]&amp;PMtbl[INN]&amp;PMtbl[Specification],0,),0),3)),SETUP!$D$19:$D$62,0),4))="Upfront",0,INDEX(SETUP!$C$19:$G$62,MATCH((INDEX(PMtbl[[WKst]:[Unit of measure*]],MATCH($A139&amp;$E139&amp;$H139,INDEX(PMtbl[Category]&amp;PMtbl[INN]&amp;PMtbl[Specification],0,),0),3)),SETUP!$D$19:$D$62,0),5)),"")</f>
        <v/>
      </c>
    </row>
    <row r="140" spans="1:49" s="198" customFormat="1">
      <c r="A140" s="2950"/>
      <c r="B140" s="2951"/>
      <c r="C140" s="2951"/>
      <c r="D140" s="2952"/>
      <c r="E140" s="3058"/>
      <c r="F140" s="3059"/>
      <c r="G140" s="3060"/>
      <c r="H140" s="3052"/>
      <c r="I140" s="3053"/>
      <c r="J140" s="3053"/>
      <c r="K140" s="3054"/>
      <c r="L140" s="308" t="str">
        <f>IF(A140&lt;&gt;"",IFERROR(INDEX(PMtbl[[WKst]:[Unit of measure*]],MATCH($A$124&amp;$A140&amp;$E140&amp;$H140,INDEX(PMtbl[Sec]&amp;PMtbl[Category]&amp;PMtbl[INN]&amp;PMtbl[Specification],0,),0),8),""),"")</f>
        <v/>
      </c>
      <c r="M140" s="308" t="str">
        <f>IF(L140="", "",SETUP!$E$5)</f>
        <v/>
      </c>
      <c r="N140" s="1976"/>
      <c r="O140" s="1977"/>
      <c r="P140" s="1977"/>
      <c r="Q140" s="1977"/>
      <c r="R140" s="1977"/>
      <c r="S140" s="1887">
        <f>SUM('Malaria-Equipment &amp; Other HPs'!$O140:$R140)</f>
        <v>0</v>
      </c>
      <c r="T140" s="1888">
        <f>'Malaria-Equipment &amp; Other HPs'!$N140*'Malaria-Equipment &amp; Other HPs'!$S140</f>
        <v>0</v>
      </c>
      <c r="U140" s="1982"/>
      <c r="V140" s="1977"/>
      <c r="W140" s="1977"/>
      <c r="X140" s="1977"/>
      <c r="Y140" s="1977"/>
      <c r="Z140" s="1887">
        <f>SUM('Malaria-Equipment &amp; Other HPs'!$V140:$Y140)</f>
        <v>0</v>
      </c>
      <c r="AA140" s="1888">
        <f>'Malaria-Equipment &amp; Other HPs'!$U140*'Malaria-Equipment &amp; Other HPs'!$Z140</f>
        <v>0</v>
      </c>
      <c r="AB140" s="1976"/>
      <c r="AC140" s="1977"/>
      <c r="AD140" s="1977"/>
      <c r="AE140" s="1977"/>
      <c r="AF140" s="1977"/>
      <c r="AG140" s="1887">
        <f>SUM('Malaria-Equipment &amp; Other HPs'!$AC140:$AF140)</f>
        <v>0</v>
      </c>
      <c r="AH140" s="1888">
        <f>'Malaria-Equipment &amp; Other HPs'!$AB140*'Malaria-Equipment &amp; Other HPs'!$AG140</f>
        <v>0</v>
      </c>
      <c r="AI140" s="1889">
        <f>'Malaria-Equipment &amp; Other HPs'!$S140+'Malaria-Equipment &amp; Other HPs'!$Z140+'Malaria-Equipment &amp; Other HPs'!$AG140</f>
        <v>0</v>
      </c>
      <c r="AJ140" s="1888">
        <f>'Malaria-Equipment &amp; Other HPs'!$T140+'Malaria-Equipment &amp; Other HPs'!$AA140+'Malaria-Equipment &amp; Other HPs'!$AH140</f>
        <v>0</v>
      </c>
      <c r="AK140" s="1890" t="str">
        <f>IF(A140&lt;&gt;"",IFERROR(INDEX(PMtbl[[WKst]:[Unit of measure*]],MATCH($A$124&amp;$A140&amp;$E140&amp;$H140,INDEX(PMtbl[Sec]&amp;PMtbl[Category]&amp;PMtbl[INN]&amp;PMtbl[Specification],0,),0),7),""),"")</f>
        <v/>
      </c>
      <c r="AL140" s="956"/>
      <c r="AM140" s="1522" t="str">
        <f>IFERROR(INDEX(SETUP!$C$19:$G$62,MATCH((INDEX(PMtbl[[WKst]:[Unit of measure*]],MATCH($A140&amp;$E140&amp;$H140,INDEX(PMtbl[Category]&amp;PMtbl[INN]&amp;PMtbl[Specification],0,),0),3)),SETUP!$D$19:$D$62,0),5),"")</f>
        <v/>
      </c>
      <c r="AN140" s="1495" t="str">
        <f>IFERROR(IF((INDEX(SETUP!$C$19:$G$62,MATCH((INDEX(PMtbl[[WKst]:[Unit of measure*]],MATCH($A140&amp;$E140&amp;$H140,INDEX(PMtbl[Category]&amp;PMtbl[INN]&amp;PMtbl[Specification],0,),0),3)),SETUP!$D$19:$D$62,0),4))="Upfront",0,INDEX(SETUP!$C$19:$G$62,MATCH((INDEX(PMtbl[[WKst]:[Unit of measure*]],MATCH($A140&amp;$E140&amp;$H140,INDEX(PMtbl[Category]&amp;PMtbl[INN]&amp;PMtbl[Specification],0,),0),3)),SETUP!$D$19:$D$62,0),5)),"")</f>
        <v/>
      </c>
    </row>
    <row r="141" spans="1:49" s="198" customFormat="1">
      <c r="A141" s="3034"/>
      <c r="B141" s="3035"/>
      <c r="C141" s="3035"/>
      <c r="D141" s="3036"/>
      <c r="E141" s="3039"/>
      <c r="F141" s="3040"/>
      <c r="G141" s="3041"/>
      <c r="H141" s="3050"/>
      <c r="I141" s="2728"/>
      <c r="J141" s="2728"/>
      <c r="K141" s="3051"/>
      <c r="L141" s="307" t="str">
        <f>IF(A141&lt;&gt;"",IFERROR(INDEX(PMtbl[[WKst]:[Unit of measure*]],MATCH($A$124&amp;$A141&amp;$E141&amp;$H141,INDEX(PMtbl[Sec]&amp;PMtbl[Category]&amp;PMtbl[INN]&amp;PMtbl[Specification],0,),0),8),""),"")</f>
        <v/>
      </c>
      <c r="M141" s="307" t="str">
        <f>IF(L141="", "",SETUP!$E$5)</f>
        <v/>
      </c>
      <c r="N141" s="1975"/>
      <c r="O141" s="12"/>
      <c r="P141" s="12"/>
      <c r="Q141" s="12"/>
      <c r="R141" s="12"/>
      <c r="S141" s="1883">
        <f>SUM('Malaria-Equipment &amp; Other HPs'!$O141:$R141)</f>
        <v>0</v>
      </c>
      <c r="T141" s="1884">
        <f>'Malaria-Equipment &amp; Other HPs'!$N141*'Malaria-Equipment &amp; Other HPs'!$S141</f>
        <v>0</v>
      </c>
      <c r="U141" s="1981"/>
      <c r="V141" s="12"/>
      <c r="W141" s="12"/>
      <c r="X141" s="12"/>
      <c r="Y141" s="12"/>
      <c r="Z141" s="1883">
        <f>SUM('Malaria-Equipment &amp; Other HPs'!$V141:$Y141)</f>
        <v>0</v>
      </c>
      <c r="AA141" s="1884">
        <f>'Malaria-Equipment &amp; Other HPs'!$U141*'Malaria-Equipment &amp; Other HPs'!$Z141</f>
        <v>0</v>
      </c>
      <c r="AB141" s="1975"/>
      <c r="AC141" s="12"/>
      <c r="AD141" s="12"/>
      <c r="AE141" s="12"/>
      <c r="AF141" s="12"/>
      <c r="AG141" s="1883">
        <f>SUM('Malaria-Equipment &amp; Other HPs'!$AC141:$AF141)</f>
        <v>0</v>
      </c>
      <c r="AH141" s="1884">
        <f>'Malaria-Equipment &amp; Other HPs'!$AB141*'Malaria-Equipment &amp; Other HPs'!$AG141</f>
        <v>0</v>
      </c>
      <c r="AI141" s="1885">
        <f>'Malaria-Equipment &amp; Other HPs'!$S141+'Malaria-Equipment &amp; Other HPs'!$Z141+'Malaria-Equipment &amp; Other HPs'!$AG141</f>
        <v>0</v>
      </c>
      <c r="AJ141" s="1884">
        <f>'Malaria-Equipment &amp; Other HPs'!$T141+'Malaria-Equipment &amp; Other HPs'!$AA141+'Malaria-Equipment &amp; Other HPs'!$AH141</f>
        <v>0</v>
      </c>
      <c r="AK141" s="1886" t="str">
        <f>IF(A141&lt;&gt;"",IFERROR(INDEX(PMtbl[[WKst]:[Unit of measure*]],MATCH($A$124&amp;$A141&amp;$E141&amp;$H141,INDEX(PMtbl[Sec]&amp;PMtbl[Category]&amp;PMtbl[INN]&amp;PMtbl[Specification],0,),0),7),""),"")</f>
        <v/>
      </c>
      <c r="AL141" s="957"/>
      <c r="AM141" s="1520" t="str">
        <f>IFERROR(INDEX(SETUP!$C$19:$G$62,MATCH((INDEX(PMtbl[[WKst]:[Unit of measure*]],MATCH($A141&amp;$E141&amp;$H141,INDEX(PMtbl[Category]&amp;PMtbl[INN]&amp;PMtbl[Specification],0,),0),3)),SETUP!$D$19:$D$62,0),5),"")</f>
        <v/>
      </c>
      <c r="AN141" s="1494" t="str">
        <f>IFERROR(IF((INDEX(SETUP!$C$19:$G$62,MATCH((INDEX(PMtbl[[WKst]:[Unit of measure*]],MATCH($A141&amp;$E141&amp;$H141,INDEX(PMtbl[Category]&amp;PMtbl[INN]&amp;PMtbl[Specification],0,),0),3)),SETUP!$D$19:$D$62,0),4))="Upfront",0,INDEX(SETUP!$C$19:$G$62,MATCH((INDEX(PMtbl[[WKst]:[Unit of measure*]],MATCH($A141&amp;$E141&amp;$H141,INDEX(PMtbl[Category]&amp;PMtbl[INN]&amp;PMtbl[Specification],0,),0),3)),SETUP!$D$19:$D$62,0),5)),"")</f>
        <v/>
      </c>
    </row>
    <row r="142" spans="1:49" s="198" customFormat="1">
      <c r="A142" s="2950"/>
      <c r="B142" s="2951"/>
      <c r="C142" s="2951"/>
      <c r="D142" s="2952"/>
      <c r="E142" s="3058"/>
      <c r="F142" s="3059"/>
      <c r="G142" s="3060"/>
      <c r="H142" s="3052"/>
      <c r="I142" s="3053"/>
      <c r="J142" s="3053"/>
      <c r="K142" s="3054"/>
      <c r="L142" s="308" t="str">
        <f>IF(A142&lt;&gt;"",IFERROR(INDEX(PMtbl[[WKst]:[Unit of measure*]],MATCH($A$124&amp;$A142&amp;$E142&amp;$H142,INDEX(PMtbl[Sec]&amp;PMtbl[Category]&amp;PMtbl[INN]&amp;PMtbl[Specification],0,),0),8),""),"")</f>
        <v/>
      </c>
      <c r="M142" s="308" t="str">
        <f>IF(L142="", "",SETUP!$E$5)</f>
        <v/>
      </c>
      <c r="N142" s="1976"/>
      <c r="O142" s="1977"/>
      <c r="P142" s="1977"/>
      <c r="Q142" s="1977"/>
      <c r="R142" s="1977"/>
      <c r="S142" s="1887">
        <f>SUM('Malaria-Equipment &amp; Other HPs'!$O142:$R142)</f>
        <v>0</v>
      </c>
      <c r="T142" s="1888">
        <f>'Malaria-Equipment &amp; Other HPs'!$N142*'Malaria-Equipment &amp; Other HPs'!$S142</f>
        <v>0</v>
      </c>
      <c r="U142" s="1982"/>
      <c r="V142" s="1977"/>
      <c r="W142" s="1977"/>
      <c r="X142" s="1977"/>
      <c r="Y142" s="1977"/>
      <c r="Z142" s="1887">
        <f>SUM('Malaria-Equipment &amp; Other HPs'!$V142:$Y142)</f>
        <v>0</v>
      </c>
      <c r="AA142" s="1888">
        <f>'Malaria-Equipment &amp; Other HPs'!$U142*'Malaria-Equipment &amp; Other HPs'!$Z142</f>
        <v>0</v>
      </c>
      <c r="AB142" s="1976"/>
      <c r="AC142" s="1977"/>
      <c r="AD142" s="1977"/>
      <c r="AE142" s="1977"/>
      <c r="AF142" s="1977"/>
      <c r="AG142" s="1887">
        <f>SUM('Malaria-Equipment &amp; Other HPs'!$AC142:$AF142)</f>
        <v>0</v>
      </c>
      <c r="AH142" s="1888">
        <f>'Malaria-Equipment &amp; Other HPs'!$AB142*'Malaria-Equipment &amp; Other HPs'!$AG142</f>
        <v>0</v>
      </c>
      <c r="AI142" s="1889">
        <f>'Malaria-Equipment &amp; Other HPs'!$S142+'Malaria-Equipment &amp; Other HPs'!$Z142+'Malaria-Equipment &amp; Other HPs'!$AG142</f>
        <v>0</v>
      </c>
      <c r="AJ142" s="1888">
        <f>'Malaria-Equipment &amp; Other HPs'!$T142+'Malaria-Equipment &amp; Other HPs'!$AA142+'Malaria-Equipment &amp; Other HPs'!$AH142</f>
        <v>0</v>
      </c>
      <c r="AK142" s="1890" t="str">
        <f>IF(A142&lt;&gt;"",IFERROR(INDEX(PMtbl[[WKst]:[Unit of measure*]],MATCH($A$124&amp;$A142&amp;$E142&amp;$H142,INDEX(PMtbl[Sec]&amp;PMtbl[Category]&amp;PMtbl[INN]&amp;PMtbl[Specification],0,),0),7),""),"")</f>
        <v/>
      </c>
      <c r="AL142" s="956"/>
      <c r="AM142" s="1522" t="str">
        <f>IFERROR(INDEX(SETUP!$C$19:$G$62,MATCH((INDEX(PMtbl[[WKst]:[Unit of measure*]],MATCH($A142&amp;$E142&amp;$H142,INDEX(PMtbl[Category]&amp;PMtbl[INN]&amp;PMtbl[Specification],0,),0),3)),SETUP!$D$19:$D$62,0),5),"")</f>
        <v/>
      </c>
      <c r="AN142" s="1495" t="str">
        <f>IFERROR(IF((INDEX(SETUP!$C$19:$G$62,MATCH((INDEX(PMtbl[[WKst]:[Unit of measure*]],MATCH($A142&amp;$E142&amp;$H142,INDEX(PMtbl[Category]&amp;PMtbl[INN]&amp;PMtbl[Specification],0,),0),3)),SETUP!$D$19:$D$62,0),4))="Upfront",0,INDEX(SETUP!$C$19:$G$62,MATCH((INDEX(PMtbl[[WKst]:[Unit of measure*]],MATCH($A142&amp;$E142&amp;$H142,INDEX(PMtbl[Category]&amp;PMtbl[INN]&amp;PMtbl[Specification],0,),0),3)),SETUP!$D$19:$D$62,0),5)),"")</f>
        <v/>
      </c>
    </row>
    <row r="143" spans="1:49" s="198" customFormat="1">
      <c r="A143" s="3034"/>
      <c r="B143" s="3035"/>
      <c r="C143" s="3035"/>
      <c r="D143" s="3036"/>
      <c r="E143" s="3039"/>
      <c r="F143" s="3040"/>
      <c r="G143" s="3041"/>
      <c r="H143" s="3050"/>
      <c r="I143" s="2728"/>
      <c r="J143" s="2728"/>
      <c r="K143" s="3051"/>
      <c r="L143" s="307" t="str">
        <f>IF(A143&lt;&gt;"",IFERROR(INDEX(PMtbl[[WKst]:[Unit of measure*]],MATCH($A$124&amp;$A143&amp;$E143&amp;$H143,INDEX(PMtbl[Sec]&amp;PMtbl[Category]&amp;PMtbl[INN]&amp;PMtbl[Specification],0,),0),8),""),"")</f>
        <v/>
      </c>
      <c r="M143" s="307" t="str">
        <f>IF(L143="", "",SETUP!$E$5)</f>
        <v/>
      </c>
      <c r="N143" s="1975"/>
      <c r="O143" s="12"/>
      <c r="P143" s="12"/>
      <c r="Q143" s="12"/>
      <c r="R143" s="12"/>
      <c r="S143" s="1883">
        <f>SUM('Malaria-Equipment &amp; Other HPs'!$O143:$R143)</f>
        <v>0</v>
      </c>
      <c r="T143" s="1884">
        <f>'Malaria-Equipment &amp; Other HPs'!$N143*'Malaria-Equipment &amp; Other HPs'!$S143</f>
        <v>0</v>
      </c>
      <c r="U143" s="1981"/>
      <c r="V143" s="12"/>
      <c r="W143" s="12"/>
      <c r="X143" s="12"/>
      <c r="Y143" s="12"/>
      <c r="Z143" s="1883">
        <f>SUM('Malaria-Equipment &amp; Other HPs'!$V143:$Y143)</f>
        <v>0</v>
      </c>
      <c r="AA143" s="1884">
        <f>'Malaria-Equipment &amp; Other HPs'!$U143*'Malaria-Equipment &amp; Other HPs'!$Z143</f>
        <v>0</v>
      </c>
      <c r="AB143" s="1975"/>
      <c r="AC143" s="12"/>
      <c r="AD143" s="12"/>
      <c r="AE143" s="12"/>
      <c r="AF143" s="12"/>
      <c r="AG143" s="1883">
        <f>SUM('Malaria-Equipment &amp; Other HPs'!$AC143:$AF143)</f>
        <v>0</v>
      </c>
      <c r="AH143" s="1884">
        <f>'Malaria-Equipment &amp; Other HPs'!$AB143*'Malaria-Equipment &amp; Other HPs'!$AG143</f>
        <v>0</v>
      </c>
      <c r="AI143" s="1885">
        <f>'Malaria-Equipment &amp; Other HPs'!$S143+'Malaria-Equipment &amp; Other HPs'!$Z143+'Malaria-Equipment &amp; Other HPs'!$AG143</f>
        <v>0</v>
      </c>
      <c r="AJ143" s="1884">
        <f>'Malaria-Equipment &amp; Other HPs'!$T143+'Malaria-Equipment &amp; Other HPs'!$AA143+'Malaria-Equipment &amp; Other HPs'!$AH143</f>
        <v>0</v>
      </c>
      <c r="AK143" s="1886" t="str">
        <f>IF(A143&lt;&gt;"",IFERROR(INDEX(PMtbl[[WKst]:[Unit of measure*]],MATCH($A$124&amp;$A143&amp;$E143&amp;$H143,INDEX(PMtbl[Sec]&amp;PMtbl[Category]&amp;PMtbl[INN]&amp;PMtbl[Specification],0,),0),7),""),"")</f>
        <v/>
      </c>
      <c r="AL143" s="957"/>
      <c r="AM143" s="1520" t="str">
        <f>IFERROR(INDEX(SETUP!$C$19:$G$62,MATCH((INDEX(PMtbl[[WKst]:[Unit of measure*]],MATCH($A143&amp;$E143&amp;$H143,INDEX(PMtbl[Category]&amp;PMtbl[INN]&amp;PMtbl[Specification],0,),0),3)),SETUP!$D$19:$D$62,0),5),"")</f>
        <v/>
      </c>
      <c r="AN143" s="1494" t="str">
        <f>IFERROR(IF((INDEX(SETUP!$C$19:$G$62,MATCH((INDEX(PMtbl[[WKst]:[Unit of measure*]],MATCH($A143&amp;$E143&amp;$H143,INDEX(PMtbl[Category]&amp;PMtbl[INN]&amp;PMtbl[Specification],0,),0),3)),SETUP!$D$19:$D$62,0),4))="Upfront",0,INDEX(SETUP!$C$19:$G$62,MATCH((INDEX(PMtbl[[WKst]:[Unit of measure*]],MATCH($A143&amp;$E143&amp;$H143,INDEX(PMtbl[Category]&amp;PMtbl[INN]&amp;PMtbl[Specification],0,),0),3)),SETUP!$D$19:$D$62,0),5)),"")</f>
        <v/>
      </c>
    </row>
    <row r="144" spans="1:49" s="198" customFormat="1">
      <c r="A144" s="2950"/>
      <c r="B144" s="2951"/>
      <c r="C144" s="2951"/>
      <c r="D144" s="2952"/>
      <c r="E144" s="3058"/>
      <c r="F144" s="3059"/>
      <c r="G144" s="3060"/>
      <c r="H144" s="3052"/>
      <c r="I144" s="3053"/>
      <c r="J144" s="3053"/>
      <c r="K144" s="3054"/>
      <c r="L144" s="308" t="str">
        <f>IF(A144&lt;&gt;"",IFERROR(INDEX(PMtbl[[WKst]:[Unit of measure*]],MATCH($A$124&amp;$A144&amp;$E144&amp;$H144,INDEX(PMtbl[Sec]&amp;PMtbl[Category]&amp;PMtbl[INN]&amp;PMtbl[Specification],0,),0),8),""),"")</f>
        <v/>
      </c>
      <c r="M144" s="308" t="str">
        <f>IF(L144="", "",SETUP!$E$5)</f>
        <v/>
      </c>
      <c r="N144" s="1976"/>
      <c r="O144" s="1977"/>
      <c r="P144" s="1977"/>
      <c r="Q144" s="1977"/>
      <c r="R144" s="1977"/>
      <c r="S144" s="1887">
        <f>SUM('Malaria-Equipment &amp; Other HPs'!$O144:$R144)</f>
        <v>0</v>
      </c>
      <c r="T144" s="1888">
        <f>'Malaria-Equipment &amp; Other HPs'!$N144*'Malaria-Equipment &amp; Other HPs'!$S144</f>
        <v>0</v>
      </c>
      <c r="U144" s="1982"/>
      <c r="V144" s="1977"/>
      <c r="W144" s="1977"/>
      <c r="X144" s="1977"/>
      <c r="Y144" s="1977"/>
      <c r="Z144" s="1887">
        <f>SUM('Malaria-Equipment &amp; Other HPs'!$V144:$Y144)</f>
        <v>0</v>
      </c>
      <c r="AA144" s="1888">
        <f>'Malaria-Equipment &amp; Other HPs'!$U144*'Malaria-Equipment &amp; Other HPs'!$Z144</f>
        <v>0</v>
      </c>
      <c r="AB144" s="1976"/>
      <c r="AC144" s="1977"/>
      <c r="AD144" s="1977"/>
      <c r="AE144" s="1977"/>
      <c r="AF144" s="1977"/>
      <c r="AG144" s="1887">
        <f>SUM('Malaria-Equipment &amp; Other HPs'!$AC144:$AF144)</f>
        <v>0</v>
      </c>
      <c r="AH144" s="1888">
        <f>'Malaria-Equipment &amp; Other HPs'!$AB144*'Malaria-Equipment &amp; Other HPs'!$AG144</f>
        <v>0</v>
      </c>
      <c r="AI144" s="1889">
        <f>'Malaria-Equipment &amp; Other HPs'!$S144+'Malaria-Equipment &amp; Other HPs'!$Z144+'Malaria-Equipment &amp; Other HPs'!$AG144</f>
        <v>0</v>
      </c>
      <c r="AJ144" s="1888">
        <f>'Malaria-Equipment &amp; Other HPs'!$T144+'Malaria-Equipment &amp; Other HPs'!$AA144+'Malaria-Equipment &amp; Other HPs'!$AH144</f>
        <v>0</v>
      </c>
      <c r="AK144" s="1890" t="str">
        <f>IF(A144&lt;&gt;"",IFERROR(INDEX(PMtbl[[WKst]:[Unit of measure*]],MATCH($A$124&amp;$A144&amp;$E144&amp;$H144,INDEX(PMtbl[Sec]&amp;PMtbl[Category]&amp;PMtbl[INN]&amp;PMtbl[Specification],0,),0),7),""),"")</f>
        <v/>
      </c>
      <c r="AL144" s="956"/>
      <c r="AM144" s="1522" t="str">
        <f>IFERROR(INDEX(SETUP!$C$19:$G$62,MATCH((INDEX(PMtbl[[WKst]:[Unit of measure*]],MATCH($A144&amp;$E144&amp;$H144,INDEX(PMtbl[Category]&amp;PMtbl[INN]&amp;PMtbl[Specification],0,),0),3)),SETUP!$D$19:$D$62,0),5),"")</f>
        <v/>
      </c>
      <c r="AN144" s="1495" t="str">
        <f>IFERROR(IF((INDEX(SETUP!$C$19:$G$62,MATCH((INDEX(PMtbl[[WKst]:[Unit of measure*]],MATCH($A144&amp;$E144&amp;$H144,INDEX(PMtbl[Category]&amp;PMtbl[INN]&amp;PMtbl[Specification],0,),0),3)),SETUP!$D$19:$D$62,0),4))="Upfront",0,INDEX(SETUP!$C$19:$G$62,MATCH((INDEX(PMtbl[[WKst]:[Unit of measure*]],MATCH($A144&amp;$E144&amp;$H144,INDEX(PMtbl[Category]&amp;PMtbl[INN]&amp;PMtbl[Specification],0,),0),3)),SETUP!$D$19:$D$62,0),5)),"")</f>
        <v/>
      </c>
    </row>
    <row r="145" spans="1:40" s="198" customFormat="1">
      <c r="A145" s="3034"/>
      <c r="B145" s="3035"/>
      <c r="C145" s="3035"/>
      <c r="D145" s="3036"/>
      <c r="E145" s="3039"/>
      <c r="F145" s="3040"/>
      <c r="G145" s="3041"/>
      <c r="H145" s="3050"/>
      <c r="I145" s="2728"/>
      <c r="J145" s="2728"/>
      <c r="K145" s="3051"/>
      <c r="L145" s="307" t="str">
        <f>IF(A145&lt;&gt;"",IFERROR(INDEX(PMtbl[[WKst]:[Unit of measure*]],MATCH($A$124&amp;$A145&amp;$E145&amp;$H145,INDEX(PMtbl[Sec]&amp;PMtbl[Category]&amp;PMtbl[INN]&amp;PMtbl[Specification],0,),0),8),""),"")</f>
        <v/>
      </c>
      <c r="M145" s="307" t="str">
        <f>IF(L145="", "",SETUP!$E$5)</f>
        <v/>
      </c>
      <c r="N145" s="1975"/>
      <c r="O145" s="12"/>
      <c r="P145" s="12"/>
      <c r="Q145" s="12"/>
      <c r="R145" s="12"/>
      <c r="S145" s="1883">
        <f>SUM('Malaria-Equipment &amp; Other HPs'!$O145:$R145)</f>
        <v>0</v>
      </c>
      <c r="T145" s="1884">
        <f>'Malaria-Equipment &amp; Other HPs'!$N145*'Malaria-Equipment &amp; Other HPs'!$S145</f>
        <v>0</v>
      </c>
      <c r="U145" s="1981"/>
      <c r="V145" s="12"/>
      <c r="W145" s="12"/>
      <c r="X145" s="12"/>
      <c r="Y145" s="12"/>
      <c r="Z145" s="1883">
        <f>SUM('Malaria-Equipment &amp; Other HPs'!$V145:$Y145)</f>
        <v>0</v>
      </c>
      <c r="AA145" s="1884">
        <f>'Malaria-Equipment &amp; Other HPs'!$U145*'Malaria-Equipment &amp; Other HPs'!$Z145</f>
        <v>0</v>
      </c>
      <c r="AB145" s="1975"/>
      <c r="AC145" s="12"/>
      <c r="AD145" s="12"/>
      <c r="AE145" s="12"/>
      <c r="AF145" s="12"/>
      <c r="AG145" s="1883">
        <f>SUM('Malaria-Equipment &amp; Other HPs'!$AC145:$AF145)</f>
        <v>0</v>
      </c>
      <c r="AH145" s="1884">
        <f>'Malaria-Equipment &amp; Other HPs'!$AB145*'Malaria-Equipment &amp; Other HPs'!$AG145</f>
        <v>0</v>
      </c>
      <c r="AI145" s="1885">
        <f>'Malaria-Equipment &amp; Other HPs'!$S145+'Malaria-Equipment &amp; Other HPs'!$Z145+'Malaria-Equipment &amp; Other HPs'!$AG145</f>
        <v>0</v>
      </c>
      <c r="AJ145" s="1884">
        <f>'Malaria-Equipment &amp; Other HPs'!$T145+'Malaria-Equipment &amp; Other HPs'!$AA145+'Malaria-Equipment &amp; Other HPs'!$AH145</f>
        <v>0</v>
      </c>
      <c r="AK145" s="1886" t="str">
        <f>IF(A145&lt;&gt;"",IFERROR(INDEX(PMtbl[[WKst]:[Unit of measure*]],MATCH($A$124&amp;$A145&amp;$E145&amp;$H145,INDEX(PMtbl[Sec]&amp;PMtbl[Category]&amp;PMtbl[INN]&amp;PMtbl[Specification],0,),0),7),""),"")</f>
        <v/>
      </c>
      <c r="AL145" s="957"/>
      <c r="AM145" s="1520" t="str">
        <f>IFERROR(INDEX(SETUP!$C$19:$G$62,MATCH((INDEX(PMtbl[[WKst]:[Unit of measure*]],MATCH($A145&amp;$E145&amp;$H145,INDEX(PMtbl[Category]&amp;PMtbl[INN]&amp;PMtbl[Specification],0,),0),3)),SETUP!$D$19:$D$62,0),5),"")</f>
        <v/>
      </c>
      <c r="AN145" s="1494" t="str">
        <f>IFERROR(IF((INDEX(SETUP!$C$19:$G$62,MATCH((INDEX(PMtbl[[WKst]:[Unit of measure*]],MATCH($A145&amp;$E145&amp;$H145,INDEX(PMtbl[Category]&amp;PMtbl[INN]&amp;PMtbl[Specification],0,),0),3)),SETUP!$D$19:$D$62,0),4))="Upfront",0,INDEX(SETUP!$C$19:$G$62,MATCH((INDEX(PMtbl[[WKst]:[Unit of measure*]],MATCH($A145&amp;$E145&amp;$H145,INDEX(PMtbl[Category]&amp;PMtbl[INN]&amp;PMtbl[Specification],0,),0),3)),SETUP!$D$19:$D$62,0),5)),"")</f>
        <v/>
      </c>
    </row>
    <row r="146" spans="1:40" s="198" customFormat="1">
      <c r="A146" s="2950"/>
      <c r="B146" s="2951"/>
      <c r="C146" s="2951"/>
      <c r="D146" s="2952"/>
      <c r="E146" s="3058"/>
      <c r="F146" s="3059"/>
      <c r="G146" s="3060"/>
      <c r="H146" s="3052"/>
      <c r="I146" s="3053"/>
      <c r="J146" s="3053"/>
      <c r="K146" s="3054"/>
      <c r="L146" s="308" t="str">
        <f>IF(A146&lt;&gt;"",IFERROR(INDEX(PMtbl[[WKst]:[Unit of measure*]],MATCH($A$124&amp;$A146&amp;$E146&amp;$H146,INDEX(PMtbl[Sec]&amp;PMtbl[Category]&amp;PMtbl[INN]&amp;PMtbl[Specification],0,),0),8),""),"")</f>
        <v/>
      </c>
      <c r="M146" s="308" t="str">
        <f>IF(L146="", "",SETUP!$E$5)</f>
        <v/>
      </c>
      <c r="N146" s="1976"/>
      <c r="O146" s="1977"/>
      <c r="P146" s="1977"/>
      <c r="Q146" s="1977"/>
      <c r="R146" s="1977"/>
      <c r="S146" s="1887">
        <f>SUM('Malaria-Equipment &amp; Other HPs'!$O146:$R146)</f>
        <v>0</v>
      </c>
      <c r="T146" s="1888">
        <f>'Malaria-Equipment &amp; Other HPs'!$N146*'Malaria-Equipment &amp; Other HPs'!$S146</f>
        <v>0</v>
      </c>
      <c r="U146" s="1982"/>
      <c r="V146" s="1977"/>
      <c r="W146" s="1977"/>
      <c r="X146" s="1977"/>
      <c r="Y146" s="1977"/>
      <c r="Z146" s="1887">
        <f>SUM('Malaria-Equipment &amp; Other HPs'!$V146:$Y146)</f>
        <v>0</v>
      </c>
      <c r="AA146" s="1888">
        <f>'Malaria-Equipment &amp; Other HPs'!$U146*'Malaria-Equipment &amp; Other HPs'!$Z146</f>
        <v>0</v>
      </c>
      <c r="AB146" s="1976"/>
      <c r="AC146" s="1977"/>
      <c r="AD146" s="1977"/>
      <c r="AE146" s="1977"/>
      <c r="AF146" s="1977"/>
      <c r="AG146" s="1887">
        <f>SUM('Malaria-Equipment &amp; Other HPs'!$AC146:$AF146)</f>
        <v>0</v>
      </c>
      <c r="AH146" s="1888">
        <f>'Malaria-Equipment &amp; Other HPs'!$AB146*'Malaria-Equipment &amp; Other HPs'!$AG146</f>
        <v>0</v>
      </c>
      <c r="AI146" s="1889">
        <f>'Malaria-Equipment &amp; Other HPs'!$S146+'Malaria-Equipment &amp; Other HPs'!$Z146+'Malaria-Equipment &amp; Other HPs'!$AG146</f>
        <v>0</v>
      </c>
      <c r="AJ146" s="1888">
        <f>'Malaria-Equipment &amp; Other HPs'!$T146+'Malaria-Equipment &amp; Other HPs'!$AA146+'Malaria-Equipment &amp; Other HPs'!$AH146</f>
        <v>0</v>
      </c>
      <c r="AK146" s="1890" t="str">
        <f>IF(A146&lt;&gt;"",IFERROR(INDEX(PMtbl[[WKst]:[Unit of measure*]],MATCH($A$124&amp;$A146&amp;$E146&amp;$H146,INDEX(PMtbl[Sec]&amp;PMtbl[Category]&amp;PMtbl[INN]&amp;PMtbl[Specification],0,),0),7),""),"")</f>
        <v/>
      </c>
      <c r="AL146" s="956"/>
      <c r="AM146" s="1522" t="str">
        <f>IFERROR(INDEX(SETUP!$C$19:$G$62,MATCH((INDEX(PMtbl[[WKst]:[Unit of measure*]],MATCH($A146&amp;$E146&amp;$H146,INDEX(PMtbl[Category]&amp;PMtbl[INN]&amp;PMtbl[Specification],0,),0),3)),SETUP!$D$19:$D$62,0),5),"")</f>
        <v/>
      </c>
      <c r="AN146" s="1495" t="str">
        <f>IFERROR(IF((INDEX(SETUP!$C$19:$G$62,MATCH((INDEX(PMtbl[[WKst]:[Unit of measure*]],MATCH($A146&amp;$E146&amp;$H146,INDEX(PMtbl[Category]&amp;PMtbl[INN]&amp;PMtbl[Specification],0,),0),3)),SETUP!$D$19:$D$62,0),4))="Upfront",0,INDEX(SETUP!$C$19:$G$62,MATCH((INDEX(PMtbl[[WKst]:[Unit of measure*]],MATCH($A146&amp;$E146&amp;$H146,INDEX(PMtbl[Category]&amp;PMtbl[INN]&amp;PMtbl[Specification],0,),0),3)),SETUP!$D$19:$D$62,0),5)),"")</f>
        <v/>
      </c>
    </row>
    <row r="147" spans="1:40" s="198" customFormat="1">
      <c r="A147" s="3034"/>
      <c r="B147" s="3035"/>
      <c r="C147" s="3035"/>
      <c r="D147" s="3036"/>
      <c r="E147" s="3039"/>
      <c r="F147" s="3040"/>
      <c r="G147" s="3041"/>
      <c r="H147" s="3050"/>
      <c r="I147" s="2728"/>
      <c r="J147" s="2728"/>
      <c r="K147" s="3051"/>
      <c r="L147" s="307" t="str">
        <f>IF(A147&lt;&gt;"",IFERROR(INDEX(PMtbl[[WKst]:[Unit of measure*]],MATCH($A$124&amp;$A147&amp;$E147&amp;$H147,INDEX(PMtbl[Sec]&amp;PMtbl[Category]&amp;PMtbl[INN]&amp;PMtbl[Specification],0,),0),8),""),"")</f>
        <v/>
      </c>
      <c r="M147" s="307" t="str">
        <f>IF(L147="", "",SETUP!$E$5)</f>
        <v/>
      </c>
      <c r="N147" s="1975"/>
      <c r="O147" s="12"/>
      <c r="P147" s="12"/>
      <c r="Q147" s="12"/>
      <c r="R147" s="12"/>
      <c r="S147" s="1883">
        <f>SUM('Malaria-Equipment &amp; Other HPs'!$O147:$R147)</f>
        <v>0</v>
      </c>
      <c r="T147" s="1884">
        <f>'Malaria-Equipment &amp; Other HPs'!$N147*'Malaria-Equipment &amp; Other HPs'!$S147</f>
        <v>0</v>
      </c>
      <c r="U147" s="1981"/>
      <c r="V147" s="12"/>
      <c r="W147" s="12"/>
      <c r="X147" s="12"/>
      <c r="Y147" s="12"/>
      <c r="Z147" s="1883">
        <f>SUM('Malaria-Equipment &amp; Other HPs'!$V147:$Y147)</f>
        <v>0</v>
      </c>
      <c r="AA147" s="1884">
        <f>'Malaria-Equipment &amp; Other HPs'!$U147*'Malaria-Equipment &amp; Other HPs'!$Z147</f>
        <v>0</v>
      </c>
      <c r="AB147" s="1975"/>
      <c r="AC147" s="12"/>
      <c r="AD147" s="12"/>
      <c r="AE147" s="12"/>
      <c r="AF147" s="12"/>
      <c r="AG147" s="1883">
        <f>SUM('Malaria-Equipment &amp; Other HPs'!$AC147:$AF147)</f>
        <v>0</v>
      </c>
      <c r="AH147" s="1884">
        <f>'Malaria-Equipment &amp; Other HPs'!$AB147*'Malaria-Equipment &amp; Other HPs'!$AG147</f>
        <v>0</v>
      </c>
      <c r="AI147" s="1885">
        <f>'Malaria-Equipment &amp; Other HPs'!$S147+'Malaria-Equipment &amp; Other HPs'!$Z147+'Malaria-Equipment &amp; Other HPs'!$AG147</f>
        <v>0</v>
      </c>
      <c r="AJ147" s="1884">
        <f>'Malaria-Equipment &amp; Other HPs'!$T147+'Malaria-Equipment &amp; Other HPs'!$AA147+'Malaria-Equipment &amp; Other HPs'!$AH147</f>
        <v>0</v>
      </c>
      <c r="AK147" s="1886" t="str">
        <f>IF(A147&lt;&gt;"",IFERROR(INDEX(PMtbl[[WKst]:[Unit of measure*]],MATCH($A$124&amp;$A147&amp;$E147&amp;$H147,INDEX(PMtbl[Sec]&amp;PMtbl[Category]&amp;PMtbl[INN]&amp;PMtbl[Specification],0,),0),7),""),"")</f>
        <v/>
      </c>
      <c r="AL147" s="957"/>
      <c r="AM147" s="1520" t="str">
        <f>IFERROR(INDEX(SETUP!$C$19:$G$62,MATCH((INDEX(PMtbl[[WKst]:[Unit of measure*]],MATCH($A147&amp;$E147&amp;$H147,INDEX(PMtbl[Category]&amp;PMtbl[INN]&amp;PMtbl[Specification],0,),0),3)),SETUP!$D$19:$D$62,0),5),"")</f>
        <v/>
      </c>
      <c r="AN147" s="1494" t="str">
        <f>IFERROR(IF((INDEX(SETUP!$C$19:$G$62,MATCH((INDEX(PMtbl[[WKst]:[Unit of measure*]],MATCH($A147&amp;$E147&amp;$H147,INDEX(PMtbl[Category]&amp;PMtbl[INN]&amp;PMtbl[Specification],0,),0),3)),SETUP!$D$19:$D$62,0),4))="Upfront",0,INDEX(SETUP!$C$19:$G$62,MATCH((INDEX(PMtbl[[WKst]:[Unit of measure*]],MATCH($A147&amp;$E147&amp;$H147,INDEX(PMtbl[Category]&amp;PMtbl[INN]&amp;PMtbl[Specification],0,),0),3)),SETUP!$D$19:$D$62,0),5)),"")</f>
        <v/>
      </c>
    </row>
    <row r="148" spans="1:40" s="198" customFormat="1">
      <c r="A148" s="2950"/>
      <c r="B148" s="2951"/>
      <c r="C148" s="2951"/>
      <c r="D148" s="2952"/>
      <c r="E148" s="3058"/>
      <c r="F148" s="3059"/>
      <c r="G148" s="3060"/>
      <c r="H148" s="3052"/>
      <c r="I148" s="3053"/>
      <c r="J148" s="3053"/>
      <c r="K148" s="3054"/>
      <c r="L148" s="308" t="str">
        <f>IF(A148&lt;&gt;"",IFERROR(INDEX(PMtbl[[WKst]:[Unit of measure*]],MATCH($A$124&amp;$A148&amp;$E148&amp;$H148,INDEX(PMtbl[Sec]&amp;PMtbl[Category]&amp;PMtbl[INN]&amp;PMtbl[Specification],0,),0),8),""),"")</f>
        <v/>
      </c>
      <c r="M148" s="308" t="str">
        <f>IF(L148="", "",SETUP!$E$5)</f>
        <v/>
      </c>
      <c r="N148" s="1976"/>
      <c r="O148" s="1977"/>
      <c r="P148" s="1977"/>
      <c r="Q148" s="1977"/>
      <c r="R148" s="1977"/>
      <c r="S148" s="1887">
        <f>SUM('Malaria-Equipment &amp; Other HPs'!$O148:$R148)</f>
        <v>0</v>
      </c>
      <c r="T148" s="1888">
        <f>'Malaria-Equipment &amp; Other HPs'!$N148*'Malaria-Equipment &amp; Other HPs'!$S148</f>
        <v>0</v>
      </c>
      <c r="U148" s="1982"/>
      <c r="V148" s="1977"/>
      <c r="W148" s="1977"/>
      <c r="X148" s="1977"/>
      <c r="Y148" s="1977"/>
      <c r="Z148" s="1887">
        <f>SUM('Malaria-Equipment &amp; Other HPs'!$V148:$Y148)</f>
        <v>0</v>
      </c>
      <c r="AA148" s="1888">
        <f>'Malaria-Equipment &amp; Other HPs'!$U148*'Malaria-Equipment &amp; Other HPs'!$Z148</f>
        <v>0</v>
      </c>
      <c r="AB148" s="1976"/>
      <c r="AC148" s="1977"/>
      <c r="AD148" s="1977"/>
      <c r="AE148" s="1977"/>
      <c r="AF148" s="1977"/>
      <c r="AG148" s="1887">
        <f>SUM('Malaria-Equipment &amp; Other HPs'!$AC148:$AF148)</f>
        <v>0</v>
      </c>
      <c r="AH148" s="1888">
        <f>'Malaria-Equipment &amp; Other HPs'!$AB148*'Malaria-Equipment &amp; Other HPs'!$AG148</f>
        <v>0</v>
      </c>
      <c r="AI148" s="1889">
        <f>'Malaria-Equipment &amp; Other HPs'!$S148+'Malaria-Equipment &amp; Other HPs'!$Z148+'Malaria-Equipment &amp; Other HPs'!$AG148</f>
        <v>0</v>
      </c>
      <c r="AJ148" s="1888">
        <f>'Malaria-Equipment &amp; Other HPs'!$T148+'Malaria-Equipment &amp; Other HPs'!$AA148+'Malaria-Equipment &amp; Other HPs'!$AH148</f>
        <v>0</v>
      </c>
      <c r="AK148" s="1890" t="str">
        <f>IF(A148&lt;&gt;"",IFERROR(INDEX(PMtbl[[WKst]:[Unit of measure*]],MATCH($A$124&amp;$A148&amp;$E148&amp;$H148,INDEX(PMtbl[Sec]&amp;PMtbl[Category]&amp;PMtbl[INN]&amp;PMtbl[Specification],0,),0),7),""),"")</f>
        <v/>
      </c>
      <c r="AL148" s="956"/>
      <c r="AM148" s="1522" t="str">
        <f>IFERROR(INDEX(SETUP!$C$19:$G$62,MATCH((INDEX(PMtbl[[WKst]:[Unit of measure*]],MATCH($A148&amp;$E148&amp;$H148,INDEX(PMtbl[Category]&amp;PMtbl[INN]&amp;PMtbl[Specification],0,),0),3)),SETUP!$D$19:$D$62,0),5),"")</f>
        <v/>
      </c>
      <c r="AN148" s="1495" t="str">
        <f>IFERROR(IF((INDEX(SETUP!$C$19:$G$62,MATCH((INDEX(PMtbl[[WKst]:[Unit of measure*]],MATCH($A148&amp;$E148&amp;$H148,INDEX(PMtbl[Category]&amp;PMtbl[INN]&amp;PMtbl[Specification],0,),0),3)),SETUP!$D$19:$D$62,0),4))="Upfront",0,INDEX(SETUP!$C$19:$G$62,MATCH((INDEX(PMtbl[[WKst]:[Unit of measure*]],MATCH($A148&amp;$E148&amp;$H148,INDEX(PMtbl[Category]&amp;PMtbl[INN]&amp;PMtbl[Specification],0,),0),3)),SETUP!$D$19:$D$62,0),5)),"")</f>
        <v/>
      </c>
    </row>
    <row r="149" spans="1:40" s="198" customFormat="1">
      <c r="A149" s="3034"/>
      <c r="B149" s="3035"/>
      <c r="C149" s="3035"/>
      <c r="D149" s="3036"/>
      <c r="E149" s="3039"/>
      <c r="F149" s="3040"/>
      <c r="G149" s="3041"/>
      <c r="H149" s="3050"/>
      <c r="I149" s="2728"/>
      <c r="J149" s="2728"/>
      <c r="K149" s="3051"/>
      <c r="L149" s="307" t="str">
        <f>IF(A149&lt;&gt;"",IFERROR(INDEX(PMtbl[[WKst]:[Unit of measure*]],MATCH($A$124&amp;$A149&amp;$E149&amp;$H149,INDEX(PMtbl[Sec]&amp;PMtbl[Category]&amp;PMtbl[INN]&amp;PMtbl[Specification],0,),0),8),""),"")</f>
        <v/>
      </c>
      <c r="M149" s="307" t="str">
        <f>IF(L149="", "",SETUP!$E$5)</f>
        <v/>
      </c>
      <c r="N149" s="1975"/>
      <c r="O149" s="12"/>
      <c r="P149" s="12"/>
      <c r="Q149" s="12"/>
      <c r="R149" s="12"/>
      <c r="S149" s="1883">
        <f>SUM('Malaria-Equipment &amp; Other HPs'!$O149:$R149)</f>
        <v>0</v>
      </c>
      <c r="T149" s="1884">
        <f>'Malaria-Equipment &amp; Other HPs'!$N149*'Malaria-Equipment &amp; Other HPs'!$S149</f>
        <v>0</v>
      </c>
      <c r="U149" s="1981"/>
      <c r="V149" s="12"/>
      <c r="W149" s="12"/>
      <c r="X149" s="12"/>
      <c r="Y149" s="12"/>
      <c r="Z149" s="1883">
        <f>SUM('Malaria-Equipment &amp; Other HPs'!$V149:$Y149)</f>
        <v>0</v>
      </c>
      <c r="AA149" s="1884">
        <f>'Malaria-Equipment &amp; Other HPs'!$U149*'Malaria-Equipment &amp; Other HPs'!$Z149</f>
        <v>0</v>
      </c>
      <c r="AB149" s="1975"/>
      <c r="AC149" s="12"/>
      <c r="AD149" s="12"/>
      <c r="AE149" s="12"/>
      <c r="AF149" s="12"/>
      <c r="AG149" s="1883">
        <f>SUM('Malaria-Equipment &amp; Other HPs'!$AC149:$AF149)</f>
        <v>0</v>
      </c>
      <c r="AH149" s="1884">
        <f>'Malaria-Equipment &amp; Other HPs'!$AB149*'Malaria-Equipment &amp; Other HPs'!$AG149</f>
        <v>0</v>
      </c>
      <c r="AI149" s="1885">
        <f>'Malaria-Equipment &amp; Other HPs'!$S149+'Malaria-Equipment &amp; Other HPs'!$Z149+'Malaria-Equipment &amp; Other HPs'!$AG149</f>
        <v>0</v>
      </c>
      <c r="AJ149" s="1884">
        <f>'Malaria-Equipment &amp; Other HPs'!$T149+'Malaria-Equipment &amp; Other HPs'!$AA149+'Malaria-Equipment &amp; Other HPs'!$AH149</f>
        <v>0</v>
      </c>
      <c r="AK149" s="1886" t="str">
        <f>IF(A149&lt;&gt;"",IFERROR(INDEX(PMtbl[[WKst]:[Unit of measure*]],MATCH($A$124&amp;$A149&amp;$E149&amp;$H149,INDEX(PMtbl[Sec]&amp;PMtbl[Category]&amp;PMtbl[INN]&amp;PMtbl[Specification],0,),0),7),""),"")</f>
        <v/>
      </c>
      <c r="AL149" s="957"/>
      <c r="AM149" s="1520" t="str">
        <f>IFERROR(INDEX(SETUP!$C$19:$G$62,MATCH((INDEX(PMtbl[[WKst]:[Unit of measure*]],MATCH($A149&amp;$E149&amp;$H149,INDEX(PMtbl[Category]&amp;PMtbl[INN]&amp;PMtbl[Specification],0,),0),3)),SETUP!$D$19:$D$62,0),5),"")</f>
        <v/>
      </c>
      <c r="AN149" s="1494" t="str">
        <f>IFERROR(IF((INDEX(SETUP!$C$19:$G$62,MATCH((INDEX(PMtbl[[WKst]:[Unit of measure*]],MATCH($A149&amp;$E149&amp;$H149,INDEX(PMtbl[Category]&amp;PMtbl[INN]&amp;PMtbl[Specification],0,),0),3)),SETUP!$D$19:$D$62,0),4))="Upfront",0,INDEX(SETUP!$C$19:$G$62,MATCH((INDEX(PMtbl[[WKst]:[Unit of measure*]],MATCH($A149&amp;$E149&amp;$H149,INDEX(PMtbl[Category]&amp;PMtbl[INN]&amp;PMtbl[Specification],0,),0),3)),SETUP!$D$19:$D$62,0),5)),"")</f>
        <v/>
      </c>
    </row>
    <row r="150" spans="1:40" s="198" customFormat="1">
      <c r="A150" s="2950"/>
      <c r="B150" s="2951"/>
      <c r="C150" s="2951"/>
      <c r="D150" s="2952"/>
      <c r="E150" s="3058"/>
      <c r="F150" s="3059"/>
      <c r="G150" s="3060"/>
      <c r="H150" s="3052"/>
      <c r="I150" s="3053"/>
      <c r="J150" s="3053"/>
      <c r="K150" s="3054"/>
      <c r="L150" s="308" t="str">
        <f>IF(A150&lt;&gt;"",IFERROR(INDEX(PMtbl[[WKst]:[Unit of measure*]],MATCH($A$124&amp;$A150&amp;$E150&amp;$H150,INDEX(PMtbl[Sec]&amp;PMtbl[Category]&amp;PMtbl[INN]&amp;PMtbl[Specification],0,),0),8),""),"")</f>
        <v/>
      </c>
      <c r="M150" s="308" t="str">
        <f>IF(L150="", "",SETUP!$E$5)</f>
        <v/>
      </c>
      <c r="N150" s="1976"/>
      <c r="O150" s="1977"/>
      <c r="P150" s="1977"/>
      <c r="Q150" s="1977"/>
      <c r="R150" s="1977"/>
      <c r="S150" s="1887">
        <f>SUM('Malaria-Equipment &amp; Other HPs'!$O150:$R150)</f>
        <v>0</v>
      </c>
      <c r="T150" s="1888">
        <f>'Malaria-Equipment &amp; Other HPs'!$N150*'Malaria-Equipment &amp; Other HPs'!$S150</f>
        <v>0</v>
      </c>
      <c r="U150" s="1982"/>
      <c r="V150" s="1977"/>
      <c r="W150" s="1977"/>
      <c r="X150" s="1977"/>
      <c r="Y150" s="1977"/>
      <c r="Z150" s="1887">
        <f>SUM('Malaria-Equipment &amp; Other HPs'!$V150:$Y150)</f>
        <v>0</v>
      </c>
      <c r="AA150" s="1888">
        <f>'Malaria-Equipment &amp; Other HPs'!$U150*'Malaria-Equipment &amp; Other HPs'!$Z150</f>
        <v>0</v>
      </c>
      <c r="AB150" s="1976"/>
      <c r="AC150" s="1977"/>
      <c r="AD150" s="1977"/>
      <c r="AE150" s="1977"/>
      <c r="AF150" s="1977"/>
      <c r="AG150" s="1887">
        <f>SUM('Malaria-Equipment &amp; Other HPs'!$AC150:$AF150)</f>
        <v>0</v>
      </c>
      <c r="AH150" s="1888">
        <f>'Malaria-Equipment &amp; Other HPs'!$AB150*'Malaria-Equipment &amp; Other HPs'!$AG150</f>
        <v>0</v>
      </c>
      <c r="AI150" s="1889">
        <f>'Malaria-Equipment &amp; Other HPs'!$S150+'Malaria-Equipment &amp; Other HPs'!$Z150+'Malaria-Equipment &amp; Other HPs'!$AG150</f>
        <v>0</v>
      </c>
      <c r="AJ150" s="1888">
        <f>'Malaria-Equipment &amp; Other HPs'!$T150+'Malaria-Equipment &amp; Other HPs'!$AA150+'Malaria-Equipment &amp; Other HPs'!$AH150</f>
        <v>0</v>
      </c>
      <c r="AK150" s="1890" t="str">
        <f>IF(A150&lt;&gt;"",IFERROR(INDEX(PMtbl[[WKst]:[Unit of measure*]],MATCH($A$124&amp;$A150&amp;$E150&amp;$H150,INDEX(PMtbl[Sec]&amp;PMtbl[Category]&amp;PMtbl[INN]&amp;PMtbl[Specification],0,),0),7),""),"")</f>
        <v/>
      </c>
      <c r="AL150" s="956"/>
      <c r="AM150" s="1522" t="str">
        <f>IFERROR(INDEX(SETUP!$C$19:$G$62,MATCH((INDEX(PMtbl[[WKst]:[Unit of measure*]],MATCH($A150&amp;$E150&amp;$H150,INDEX(PMtbl[Category]&amp;PMtbl[INN]&amp;PMtbl[Specification],0,),0),3)),SETUP!$D$19:$D$62,0),5),"")</f>
        <v/>
      </c>
      <c r="AN150" s="1495" t="str">
        <f>IFERROR(IF((INDEX(SETUP!$C$19:$G$62,MATCH((INDEX(PMtbl[[WKst]:[Unit of measure*]],MATCH($A150&amp;$E150&amp;$H150,INDEX(PMtbl[Category]&amp;PMtbl[INN]&amp;PMtbl[Specification],0,),0),3)),SETUP!$D$19:$D$62,0),4))="Upfront",0,INDEX(SETUP!$C$19:$G$62,MATCH((INDEX(PMtbl[[WKst]:[Unit of measure*]],MATCH($A150&amp;$E150&amp;$H150,INDEX(PMtbl[Category]&amp;PMtbl[INN]&amp;PMtbl[Specification],0,),0),3)),SETUP!$D$19:$D$62,0),5)),"")</f>
        <v/>
      </c>
    </row>
    <row r="151" spans="1:40" s="198" customFormat="1">
      <c r="A151" s="3034"/>
      <c r="B151" s="3035"/>
      <c r="C151" s="3035"/>
      <c r="D151" s="3036"/>
      <c r="E151" s="3039"/>
      <c r="F151" s="3040"/>
      <c r="G151" s="3041"/>
      <c r="H151" s="3050"/>
      <c r="I151" s="2728"/>
      <c r="J151" s="2728"/>
      <c r="K151" s="3051"/>
      <c r="L151" s="307" t="str">
        <f>IF(A151&lt;&gt;"",IFERROR(INDEX(PMtbl[[WKst]:[Unit of measure*]],MATCH($A$124&amp;$A151&amp;$E151&amp;$H151,INDEX(PMtbl[Sec]&amp;PMtbl[Category]&amp;PMtbl[INN]&amp;PMtbl[Specification],0,),0),8),""),"")</f>
        <v/>
      </c>
      <c r="M151" s="307" t="str">
        <f>IF(L151="", "",SETUP!$E$5)</f>
        <v/>
      </c>
      <c r="N151" s="1975"/>
      <c r="O151" s="12"/>
      <c r="P151" s="12"/>
      <c r="Q151" s="12"/>
      <c r="R151" s="12"/>
      <c r="S151" s="1883">
        <f>SUM('Malaria-Equipment &amp; Other HPs'!$O151:$R151)</f>
        <v>0</v>
      </c>
      <c r="T151" s="1884">
        <f>'Malaria-Equipment &amp; Other HPs'!$N151*'Malaria-Equipment &amp; Other HPs'!$S151</f>
        <v>0</v>
      </c>
      <c r="U151" s="1981"/>
      <c r="V151" s="12"/>
      <c r="W151" s="12"/>
      <c r="X151" s="12"/>
      <c r="Y151" s="12"/>
      <c r="Z151" s="1883">
        <f>SUM('Malaria-Equipment &amp; Other HPs'!$V151:$Y151)</f>
        <v>0</v>
      </c>
      <c r="AA151" s="1884">
        <f>'Malaria-Equipment &amp; Other HPs'!$U151*'Malaria-Equipment &amp; Other HPs'!$Z151</f>
        <v>0</v>
      </c>
      <c r="AB151" s="1975"/>
      <c r="AC151" s="12"/>
      <c r="AD151" s="12"/>
      <c r="AE151" s="12"/>
      <c r="AF151" s="12"/>
      <c r="AG151" s="1883">
        <f>SUM('Malaria-Equipment &amp; Other HPs'!$AC151:$AF151)</f>
        <v>0</v>
      </c>
      <c r="AH151" s="1884">
        <f>'Malaria-Equipment &amp; Other HPs'!$AB151*'Malaria-Equipment &amp; Other HPs'!$AG151</f>
        <v>0</v>
      </c>
      <c r="AI151" s="1885">
        <f>'Malaria-Equipment &amp; Other HPs'!$S151+'Malaria-Equipment &amp; Other HPs'!$Z151+'Malaria-Equipment &amp; Other HPs'!$AG151</f>
        <v>0</v>
      </c>
      <c r="AJ151" s="1884">
        <f>'Malaria-Equipment &amp; Other HPs'!$T151+'Malaria-Equipment &amp; Other HPs'!$AA151+'Malaria-Equipment &amp; Other HPs'!$AH151</f>
        <v>0</v>
      </c>
      <c r="AK151" s="1886" t="str">
        <f>IF(A151&lt;&gt;"",IFERROR(INDEX(PMtbl[[WKst]:[Unit of measure*]],MATCH($A$124&amp;$A151&amp;$E151&amp;$H151,INDEX(PMtbl[Sec]&amp;PMtbl[Category]&amp;PMtbl[INN]&amp;PMtbl[Specification],0,),0),7),""),"")</f>
        <v/>
      </c>
      <c r="AL151" s="957"/>
      <c r="AM151" s="1520" t="str">
        <f>IFERROR(INDEX(SETUP!$C$19:$G$62,MATCH((INDEX(PMtbl[[WKst]:[Unit of measure*]],MATCH($A151&amp;$E151&amp;$H151,INDEX(PMtbl[Category]&amp;PMtbl[INN]&amp;PMtbl[Specification],0,),0),3)),SETUP!$D$19:$D$62,0),5),"")</f>
        <v/>
      </c>
      <c r="AN151" s="1494" t="str">
        <f>IFERROR(IF((INDEX(SETUP!$C$19:$G$62,MATCH((INDEX(PMtbl[[WKst]:[Unit of measure*]],MATCH($A151&amp;$E151&amp;$H151,INDEX(PMtbl[Category]&amp;PMtbl[INN]&amp;PMtbl[Specification],0,),0),3)),SETUP!$D$19:$D$62,0),4))="Upfront",0,INDEX(SETUP!$C$19:$G$62,MATCH((INDEX(PMtbl[[WKst]:[Unit of measure*]],MATCH($A151&amp;$E151&amp;$H151,INDEX(PMtbl[Category]&amp;PMtbl[INN]&amp;PMtbl[Specification],0,),0),3)),SETUP!$D$19:$D$62,0),5)),"")</f>
        <v/>
      </c>
    </row>
    <row r="152" spans="1:40" s="198" customFormat="1">
      <c r="A152" s="2950"/>
      <c r="B152" s="2951"/>
      <c r="C152" s="2951"/>
      <c r="D152" s="2952"/>
      <c r="E152" s="3058"/>
      <c r="F152" s="3059"/>
      <c r="G152" s="3060"/>
      <c r="H152" s="3052"/>
      <c r="I152" s="3053"/>
      <c r="J152" s="3053"/>
      <c r="K152" s="3054"/>
      <c r="L152" s="308" t="str">
        <f>IF(A152&lt;&gt;"",IFERROR(INDEX(PMtbl[[WKst]:[Unit of measure*]],MATCH($A$124&amp;$A152&amp;$E152&amp;$H152,INDEX(PMtbl[Sec]&amp;PMtbl[Category]&amp;PMtbl[INN]&amp;PMtbl[Specification],0,),0),8),""),"")</f>
        <v/>
      </c>
      <c r="M152" s="308" t="str">
        <f>IF(L152="", "",SETUP!$E$5)</f>
        <v/>
      </c>
      <c r="N152" s="1976"/>
      <c r="O152" s="1977"/>
      <c r="P152" s="1977"/>
      <c r="Q152" s="1977"/>
      <c r="R152" s="1977"/>
      <c r="S152" s="1887">
        <f>SUM('Malaria-Equipment &amp; Other HPs'!$O152:$R152)</f>
        <v>0</v>
      </c>
      <c r="T152" s="1888">
        <f>'Malaria-Equipment &amp; Other HPs'!$N152*'Malaria-Equipment &amp; Other HPs'!$S152</f>
        <v>0</v>
      </c>
      <c r="U152" s="1982"/>
      <c r="V152" s="1977"/>
      <c r="W152" s="1977"/>
      <c r="X152" s="1977"/>
      <c r="Y152" s="1977"/>
      <c r="Z152" s="1887">
        <f>SUM('Malaria-Equipment &amp; Other HPs'!$V152:$Y152)</f>
        <v>0</v>
      </c>
      <c r="AA152" s="1888">
        <f>'Malaria-Equipment &amp; Other HPs'!$U152*'Malaria-Equipment &amp; Other HPs'!$Z152</f>
        <v>0</v>
      </c>
      <c r="AB152" s="1976"/>
      <c r="AC152" s="1977"/>
      <c r="AD152" s="1977"/>
      <c r="AE152" s="1977"/>
      <c r="AF152" s="1977"/>
      <c r="AG152" s="1887">
        <f>SUM('Malaria-Equipment &amp; Other HPs'!$AC152:$AF152)</f>
        <v>0</v>
      </c>
      <c r="AH152" s="1888">
        <f>'Malaria-Equipment &amp; Other HPs'!$AB152*'Malaria-Equipment &amp; Other HPs'!$AG152</f>
        <v>0</v>
      </c>
      <c r="AI152" s="1889">
        <f>'Malaria-Equipment &amp; Other HPs'!$S152+'Malaria-Equipment &amp; Other HPs'!$Z152+'Malaria-Equipment &amp; Other HPs'!$AG152</f>
        <v>0</v>
      </c>
      <c r="AJ152" s="1888">
        <f>'Malaria-Equipment &amp; Other HPs'!$T152+'Malaria-Equipment &amp; Other HPs'!$AA152+'Malaria-Equipment &amp; Other HPs'!$AH152</f>
        <v>0</v>
      </c>
      <c r="AK152" s="1890" t="str">
        <f>IF(A152&lt;&gt;"",IFERROR(INDEX(PMtbl[[WKst]:[Unit of measure*]],MATCH($A$124&amp;$A152&amp;$E152&amp;$H152,INDEX(PMtbl[Sec]&amp;PMtbl[Category]&amp;PMtbl[INN]&amp;PMtbl[Specification],0,),0),7),""),"")</f>
        <v/>
      </c>
      <c r="AL152" s="956"/>
      <c r="AM152" s="1522" t="str">
        <f>IFERROR(INDEX(SETUP!$C$19:$G$62,MATCH((INDEX(PMtbl[[WKst]:[Unit of measure*]],MATCH($A152&amp;$E152&amp;$H152,INDEX(PMtbl[Category]&amp;PMtbl[INN]&amp;PMtbl[Specification],0,),0),3)),SETUP!$D$19:$D$62,0),5),"")</f>
        <v/>
      </c>
      <c r="AN152" s="1495" t="str">
        <f>IFERROR(IF((INDEX(SETUP!$C$19:$G$62,MATCH((INDEX(PMtbl[[WKst]:[Unit of measure*]],MATCH($A152&amp;$E152&amp;$H152,INDEX(PMtbl[Category]&amp;PMtbl[INN]&amp;PMtbl[Specification],0,),0),3)),SETUP!$D$19:$D$62,0),4))="Upfront",0,INDEX(SETUP!$C$19:$G$62,MATCH((INDEX(PMtbl[[WKst]:[Unit of measure*]],MATCH($A152&amp;$E152&amp;$H152,INDEX(PMtbl[Category]&amp;PMtbl[INN]&amp;PMtbl[Specification],0,),0),3)),SETUP!$D$19:$D$62,0),5)),"")</f>
        <v/>
      </c>
    </row>
    <row r="153" spans="1:40" s="198" customFormat="1">
      <c r="A153" s="3034"/>
      <c r="B153" s="3035"/>
      <c r="C153" s="3035"/>
      <c r="D153" s="3036"/>
      <c r="E153" s="3039"/>
      <c r="F153" s="3040"/>
      <c r="G153" s="3041"/>
      <c r="H153" s="3050"/>
      <c r="I153" s="2728"/>
      <c r="J153" s="2728"/>
      <c r="K153" s="3051"/>
      <c r="L153" s="307" t="str">
        <f>IF(A153&lt;&gt;"",IFERROR(INDEX(PMtbl[[WKst]:[Unit of measure*]],MATCH($A$124&amp;$A153&amp;$E153&amp;$H153,INDEX(PMtbl[Sec]&amp;PMtbl[Category]&amp;PMtbl[INN]&amp;PMtbl[Specification],0,),0),8),""),"")</f>
        <v/>
      </c>
      <c r="M153" s="307" t="str">
        <f>IF(L153="", "",SETUP!$E$5)</f>
        <v/>
      </c>
      <c r="N153" s="1975"/>
      <c r="O153" s="12"/>
      <c r="P153" s="12"/>
      <c r="Q153" s="12"/>
      <c r="R153" s="12"/>
      <c r="S153" s="1883">
        <f>SUM('Malaria-Equipment &amp; Other HPs'!$O153:$R153)</f>
        <v>0</v>
      </c>
      <c r="T153" s="1884">
        <f>'Malaria-Equipment &amp; Other HPs'!$N153*'Malaria-Equipment &amp; Other HPs'!$S153</f>
        <v>0</v>
      </c>
      <c r="U153" s="1981"/>
      <c r="V153" s="12"/>
      <c r="W153" s="12"/>
      <c r="X153" s="12"/>
      <c r="Y153" s="12"/>
      <c r="Z153" s="1883">
        <f>SUM('Malaria-Equipment &amp; Other HPs'!$V153:$Y153)</f>
        <v>0</v>
      </c>
      <c r="AA153" s="1884">
        <f>'Malaria-Equipment &amp; Other HPs'!$U153*'Malaria-Equipment &amp; Other HPs'!$Z153</f>
        <v>0</v>
      </c>
      <c r="AB153" s="1975"/>
      <c r="AC153" s="12"/>
      <c r="AD153" s="12"/>
      <c r="AE153" s="12"/>
      <c r="AF153" s="12"/>
      <c r="AG153" s="1883">
        <f>SUM('Malaria-Equipment &amp; Other HPs'!$AC153:$AF153)</f>
        <v>0</v>
      </c>
      <c r="AH153" s="1884">
        <f>'Malaria-Equipment &amp; Other HPs'!$AB153*'Malaria-Equipment &amp; Other HPs'!$AG153</f>
        <v>0</v>
      </c>
      <c r="AI153" s="1885">
        <f>'Malaria-Equipment &amp; Other HPs'!$S153+'Malaria-Equipment &amp; Other HPs'!$Z153+'Malaria-Equipment &amp; Other HPs'!$AG153</f>
        <v>0</v>
      </c>
      <c r="AJ153" s="1884">
        <f>'Malaria-Equipment &amp; Other HPs'!$T153+'Malaria-Equipment &amp; Other HPs'!$AA153+'Malaria-Equipment &amp; Other HPs'!$AH153</f>
        <v>0</v>
      </c>
      <c r="AK153" s="1886" t="str">
        <f>IF(A153&lt;&gt;"",IFERROR(INDEX(PMtbl[[WKst]:[Unit of measure*]],MATCH($A$124&amp;$A153&amp;$E153&amp;$H153,INDEX(PMtbl[Sec]&amp;PMtbl[Category]&amp;PMtbl[INN]&amp;PMtbl[Specification],0,),0),7),""),"")</f>
        <v/>
      </c>
      <c r="AL153" s="957"/>
      <c r="AM153" s="1520" t="str">
        <f>IFERROR(INDEX(SETUP!$C$19:$G$62,MATCH((INDEX(PMtbl[[WKst]:[Unit of measure*]],MATCH($A153&amp;$E153&amp;$H153,INDEX(PMtbl[Category]&amp;PMtbl[INN]&amp;PMtbl[Specification],0,),0),3)),SETUP!$D$19:$D$62,0),5),"")</f>
        <v/>
      </c>
      <c r="AN153" s="1494" t="str">
        <f>IFERROR(IF((INDEX(SETUP!$C$19:$G$62,MATCH((INDEX(PMtbl[[WKst]:[Unit of measure*]],MATCH($A153&amp;$E153&amp;$H153,INDEX(PMtbl[Category]&amp;PMtbl[INN]&amp;PMtbl[Specification],0,),0),3)),SETUP!$D$19:$D$62,0),4))="Upfront",0,INDEX(SETUP!$C$19:$G$62,MATCH((INDEX(PMtbl[[WKst]:[Unit of measure*]],MATCH($A153&amp;$E153&amp;$H153,INDEX(PMtbl[Category]&amp;PMtbl[INN]&amp;PMtbl[Specification],0,),0),3)),SETUP!$D$19:$D$62,0),5)),"")</f>
        <v/>
      </c>
    </row>
    <row r="154" spans="1:40" s="198" customFormat="1">
      <c r="A154" s="2950"/>
      <c r="B154" s="2951"/>
      <c r="C154" s="2951"/>
      <c r="D154" s="2952"/>
      <c r="E154" s="3058"/>
      <c r="F154" s="3059"/>
      <c r="G154" s="3060"/>
      <c r="H154" s="3052"/>
      <c r="I154" s="3053"/>
      <c r="J154" s="3053"/>
      <c r="K154" s="3054"/>
      <c r="L154" s="308" t="str">
        <f>IF(A154&lt;&gt;"",IFERROR(INDEX(PMtbl[[WKst]:[Unit of measure*]],MATCH($A$124&amp;$A154&amp;$E154&amp;$H154,INDEX(PMtbl[Sec]&amp;PMtbl[Category]&amp;PMtbl[INN]&amp;PMtbl[Specification],0,),0),8),""),"")</f>
        <v/>
      </c>
      <c r="M154" s="308" t="str">
        <f>IF(L154="", "",SETUP!$E$5)</f>
        <v/>
      </c>
      <c r="N154" s="1976"/>
      <c r="O154" s="1977"/>
      <c r="P154" s="1977"/>
      <c r="Q154" s="1977"/>
      <c r="R154" s="1977"/>
      <c r="S154" s="1887">
        <f>SUM('Malaria-Equipment &amp; Other HPs'!$O154:$R154)</f>
        <v>0</v>
      </c>
      <c r="T154" s="1888">
        <f>'Malaria-Equipment &amp; Other HPs'!$N154*'Malaria-Equipment &amp; Other HPs'!$S154</f>
        <v>0</v>
      </c>
      <c r="U154" s="1982"/>
      <c r="V154" s="1977"/>
      <c r="W154" s="1977"/>
      <c r="X154" s="1977"/>
      <c r="Y154" s="1977"/>
      <c r="Z154" s="1887">
        <f>SUM('Malaria-Equipment &amp; Other HPs'!$V154:$Y154)</f>
        <v>0</v>
      </c>
      <c r="AA154" s="1888">
        <f>'Malaria-Equipment &amp; Other HPs'!$U154*'Malaria-Equipment &amp; Other HPs'!$Z154</f>
        <v>0</v>
      </c>
      <c r="AB154" s="1976"/>
      <c r="AC154" s="1977"/>
      <c r="AD154" s="1977"/>
      <c r="AE154" s="1977"/>
      <c r="AF154" s="1977"/>
      <c r="AG154" s="1887">
        <f>SUM('Malaria-Equipment &amp; Other HPs'!$AC154:$AF154)</f>
        <v>0</v>
      </c>
      <c r="AH154" s="1888">
        <f>'Malaria-Equipment &amp; Other HPs'!$AB154*'Malaria-Equipment &amp; Other HPs'!$AG154</f>
        <v>0</v>
      </c>
      <c r="AI154" s="1889">
        <f>'Malaria-Equipment &amp; Other HPs'!$S154+'Malaria-Equipment &amp; Other HPs'!$Z154+'Malaria-Equipment &amp; Other HPs'!$AG154</f>
        <v>0</v>
      </c>
      <c r="AJ154" s="1888">
        <f>'Malaria-Equipment &amp; Other HPs'!$T154+'Malaria-Equipment &amp; Other HPs'!$AA154+'Malaria-Equipment &amp; Other HPs'!$AH154</f>
        <v>0</v>
      </c>
      <c r="AK154" s="1890" t="str">
        <f>IF(A154&lt;&gt;"",IFERROR(INDEX(PMtbl[[WKst]:[Unit of measure*]],MATCH($A$124&amp;$A154&amp;$E154&amp;$H154,INDEX(PMtbl[Sec]&amp;PMtbl[Category]&amp;PMtbl[INN]&amp;PMtbl[Specification],0,),0),7),""),"")</f>
        <v/>
      </c>
      <c r="AL154" s="956"/>
      <c r="AM154" s="1522" t="str">
        <f>IFERROR(INDEX(SETUP!$C$19:$G$62,MATCH((INDEX(PMtbl[[WKst]:[Unit of measure*]],MATCH($A154&amp;$E154&amp;$H154,INDEX(PMtbl[Category]&amp;PMtbl[INN]&amp;PMtbl[Specification],0,),0),3)),SETUP!$D$19:$D$62,0),5),"")</f>
        <v/>
      </c>
      <c r="AN154" s="1495" t="str">
        <f>IFERROR(IF((INDEX(SETUP!$C$19:$G$62,MATCH((INDEX(PMtbl[[WKst]:[Unit of measure*]],MATCH($A154&amp;$E154&amp;$H154,INDEX(PMtbl[Category]&amp;PMtbl[INN]&amp;PMtbl[Specification],0,),0),3)),SETUP!$D$19:$D$62,0),4))="Upfront",0,INDEX(SETUP!$C$19:$G$62,MATCH((INDEX(PMtbl[[WKst]:[Unit of measure*]],MATCH($A154&amp;$E154&amp;$H154,INDEX(PMtbl[Category]&amp;PMtbl[INN]&amp;PMtbl[Specification],0,),0),3)),SETUP!$D$19:$D$62,0),5)),"")</f>
        <v/>
      </c>
    </row>
    <row r="155" spans="1:40" s="198" customFormat="1">
      <c r="A155" s="3034"/>
      <c r="B155" s="3035"/>
      <c r="C155" s="3035"/>
      <c r="D155" s="3036"/>
      <c r="E155" s="3039"/>
      <c r="F155" s="3040"/>
      <c r="G155" s="3041"/>
      <c r="H155" s="3050"/>
      <c r="I155" s="2728"/>
      <c r="J155" s="2728"/>
      <c r="K155" s="3051"/>
      <c r="L155" s="307" t="str">
        <f>IF(A155&lt;&gt;"",IFERROR(INDEX(PMtbl[[WKst]:[Unit of measure*]],MATCH($A$124&amp;$A155&amp;$E155&amp;$H155,INDEX(PMtbl[Sec]&amp;PMtbl[Category]&amp;PMtbl[INN]&amp;PMtbl[Specification],0,),0),8),""),"")</f>
        <v/>
      </c>
      <c r="M155" s="307" t="str">
        <f>IF(L155="", "",SETUP!$E$5)</f>
        <v/>
      </c>
      <c r="N155" s="1975"/>
      <c r="O155" s="12"/>
      <c r="P155" s="12"/>
      <c r="Q155" s="12"/>
      <c r="R155" s="12"/>
      <c r="S155" s="1883">
        <f>SUM('Malaria-Equipment &amp; Other HPs'!$O155:$R155)</f>
        <v>0</v>
      </c>
      <c r="T155" s="1884">
        <f>'Malaria-Equipment &amp; Other HPs'!$N155*'Malaria-Equipment &amp; Other HPs'!$S155</f>
        <v>0</v>
      </c>
      <c r="U155" s="1981"/>
      <c r="V155" s="12"/>
      <c r="W155" s="12"/>
      <c r="X155" s="12"/>
      <c r="Y155" s="12"/>
      <c r="Z155" s="1883">
        <f>SUM('Malaria-Equipment &amp; Other HPs'!$V155:$Y155)</f>
        <v>0</v>
      </c>
      <c r="AA155" s="1884">
        <f>'Malaria-Equipment &amp; Other HPs'!$U155*'Malaria-Equipment &amp; Other HPs'!$Z155</f>
        <v>0</v>
      </c>
      <c r="AB155" s="1975"/>
      <c r="AC155" s="12"/>
      <c r="AD155" s="12"/>
      <c r="AE155" s="12"/>
      <c r="AF155" s="12"/>
      <c r="AG155" s="1883">
        <f>SUM('Malaria-Equipment &amp; Other HPs'!$AC155:$AF155)</f>
        <v>0</v>
      </c>
      <c r="AH155" s="1884">
        <f>'Malaria-Equipment &amp; Other HPs'!$AB155*'Malaria-Equipment &amp; Other HPs'!$AG155</f>
        <v>0</v>
      </c>
      <c r="AI155" s="1885">
        <f>'Malaria-Equipment &amp; Other HPs'!$S155+'Malaria-Equipment &amp; Other HPs'!$Z155+'Malaria-Equipment &amp; Other HPs'!$AG155</f>
        <v>0</v>
      </c>
      <c r="AJ155" s="1884">
        <f>'Malaria-Equipment &amp; Other HPs'!$T155+'Malaria-Equipment &amp; Other HPs'!$AA155+'Malaria-Equipment &amp; Other HPs'!$AH155</f>
        <v>0</v>
      </c>
      <c r="AK155" s="1886" t="str">
        <f>IF(A155&lt;&gt;"",IFERROR(INDEX(PMtbl[[WKst]:[Unit of measure*]],MATCH($A$124&amp;$A155&amp;$E155&amp;$H155,INDEX(PMtbl[Sec]&amp;PMtbl[Category]&amp;PMtbl[INN]&amp;PMtbl[Specification],0,),0),7),""),"")</f>
        <v/>
      </c>
      <c r="AL155" s="957"/>
      <c r="AM155" s="1520" t="str">
        <f>IFERROR(INDEX(SETUP!$C$19:$G$62,MATCH((INDEX(PMtbl[[WKst]:[Unit of measure*]],MATCH($A155&amp;$E155&amp;$H155,INDEX(PMtbl[Category]&amp;PMtbl[INN]&amp;PMtbl[Specification],0,),0),3)),SETUP!$D$19:$D$62,0),5),"")</f>
        <v/>
      </c>
      <c r="AN155" s="1494" t="str">
        <f>IFERROR(IF((INDEX(SETUP!$C$19:$G$62,MATCH((INDEX(PMtbl[[WKst]:[Unit of measure*]],MATCH($A155&amp;$E155&amp;$H155,INDEX(PMtbl[Category]&amp;PMtbl[INN]&amp;PMtbl[Specification],0,),0),3)),SETUP!$D$19:$D$62,0),4))="Upfront",0,INDEX(SETUP!$C$19:$G$62,MATCH((INDEX(PMtbl[[WKst]:[Unit of measure*]],MATCH($A155&amp;$E155&amp;$H155,INDEX(PMtbl[Category]&amp;PMtbl[INN]&amp;PMtbl[Specification],0,),0),3)),SETUP!$D$19:$D$62,0),5)),"")</f>
        <v/>
      </c>
    </row>
    <row r="156" spans="1:40" s="198" customFormat="1">
      <c r="A156" s="2950"/>
      <c r="B156" s="2951"/>
      <c r="C156" s="2951"/>
      <c r="D156" s="2952"/>
      <c r="E156" s="3058"/>
      <c r="F156" s="3059"/>
      <c r="G156" s="3060"/>
      <c r="H156" s="3052"/>
      <c r="I156" s="3053"/>
      <c r="J156" s="3053"/>
      <c r="K156" s="3054"/>
      <c r="L156" s="308" t="str">
        <f>IF(A156&lt;&gt;"",IFERROR(INDEX(PMtbl[[WKst]:[Unit of measure*]],MATCH($A$124&amp;$A156&amp;$E156&amp;$H156,INDEX(PMtbl[Sec]&amp;PMtbl[Category]&amp;PMtbl[INN]&amp;PMtbl[Specification],0,),0),8),""),"")</f>
        <v/>
      </c>
      <c r="M156" s="308" t="str">
        <f>IF(L156="", "",SETUP!$E$5)</f>
        <v/>
      </c>
      <c r="N156" s="1976"/>
      <c r="O156" s="1977"/>
      <c r="P156" s="1977"/>
      <c r="Q156" s="1977"/>
      <c r="R156" s="1977"/>
      <c r="S156" s="1887">
        <f>SUM('Malaria-Equipment &amp; Other HPs'!$O156:$R156)</f>
        <v>0</v>
      </c>
      <c r="T156" s="1888">
        <f>'Malaria-Equipment &amp; Other HPs'!$N156*'Malaria-Equipment &amp; Other HPs'!$S156</f>
        <v>0</v>
      </c>
      <c r="U156" s="1982"/>
      <c r="V156" s="1977"/>
      <c r="W156" s="1977"/>
      <c r="X156" s="1977"/>
      <c r="Y156" s="1977"/>
      <c r="Z156" s="1887">
        <f>SUM('Malaria-Equipment &amp; Other HPs'!$V156:$Y156)</f>
        <v>0</v>
      </c>
      <c r="AA156" s="1888">
        <f>'Malaria-Equipment &amp; Other HPs'!$U156*'Malaria-Equipment &amp; Other HPs'!$Z156</f>
        <v>0</v>
      </c>
      <c r="AB156" s="1976"/>
      <c r="AC156" s="1977"/>
      <c r="AD156" s="1977"/>
      <c r="AE156" s="1977"/>
      <c r="AF156" s="1977"/>
      <c r="AG156" s="1887">
        <f>SUM('Malaria-Equipment &amp; Other HPs'!$AC156:$AF156)</f>
        <v>0</v>
      </c>
      <c r="AH156" s="1888">
        <f>'Malaria-Equipment &amp; Other HPs'!$AB156*'Malaria-Equipment &amp; Other HPs'!$AG156</f>
        <v>0</v>
      </c>
      <c r="AI156" s="1889">
        <f>'Malaria-Equipment &amp; Other HPs'!$S156+'Malaria-Equipment &amp; Other HPs'!$Z156+'Malaria-Equipment &amp; Other HPs'!$AG156</f>
        <v>0</v>
      </c>
      <c r="AJ156" s="1888">
        <f>'Malaria-Equipment &amp; Other HPs'!$T156+'Malaria-Equipment &amp; Other HPs'!$AA156+'Malaria-Equipment &amp; Other HPs'!$AH156</f>
        <v>0</v>
      </c>
      <c r="AK156" s="1890" t="str">
        <f>IF(A156&lt;&gt;"",IFERROR(INDEX(PMtbl[[WKst]:[Unit of measure*]],MATCH($A$124&amp;$A156&amp;$E156&amp;$H156,INDEX(PMtbl[Sec]&amp;PMtbl[Category]&amp;PMtbl[INN]&amp;PMtbl[Specification],0,),0),7),""),"")</f>
        <v/>
      </c>
      <c r="AL156" s="956"/>
      <c r="AM156" s="1522" t="str">
        <f>IFERROR(INDEX(SETUP!$C$19:$G$62,MATCH((INDEX(PMtbl[[WKst]:[Unit of measure*]],MATCH($A156&amp;$E156&amp;$H156,INDEX(PMtbl[Category]&amp;PMtbl[INN]&amp;PMtbl[Specification],0,),0),3)),SETUP!$D$19:$D$62,0),5),"")</f>
        <v/>
      </c>
      <c r="AN156" s="1495" t="str">
        <f>IFERROR(IF((INDEX(SETUP!$C$19:$G$62,MATCH((INDEX(PMtbl[[WKst]:[Unit of measure*]],MATCH($A156&amp;$E156&amp;$H156,INDEX(PMtbl[Category]&amp;PMtbl[INN]&amp;PMtbl[Specification],0,),0),3)),SETUP!$D$19:$D$62,0),4))="Upfront",0,INDEX(SETUP!$C$19:$G$62,MATCH((INDEX(PMtbl[[WKst]:[Unit of measure*]],MATCH($A156&amp;$E156&amp;$H156,INDEX(PMtbl[Category]&amp;PMtbl[INN]&amp;PMtbl[Specification],0,),0),3)),SETUP!$D$19:$D$62,0),5)),"")</f>
        <v/>
      </c>
    </row>
    <row r="157" spans="1:40" s="198" customFormat="1">
      <c r="A157" s="3034"/>
      <c r="B157" s="3035"/>
      <c r="C157" s="3035"/>
      <c r="D157" s="3036"/>
      <c r="E157" s="3039"/>
      <c r="F157" s="3040"/>
      <c r="G157" s="3041"/>
      <c r="H157" s="3050"/>
      <c r="I157" s="2728"/>
      <c r="J157" s="2728"/>
      <c r="K157" s="3051"/>
      <c r="L157" s="307" t="str">
        <f>IF(A157&lt;&gt;"",IFERROR(INDEX(PMtbl[[WKst]:[Unit of measure*]],MATCH($A$124&amp;$A157&amp;$E157&amp;$H157,INDEX(PMtbl[Sec]&amp;PMtbl[Category]&amp;PMtbl[INN]&amp;PMtbl[Specification],0,),0),8),""),"")</f>
        <v/>
      </c>
      <c r="M157" s="307" t="str">
        <f>IF(L157="", "",SETUP!$E$5)</f>
        <v/>
      </c>
      <c r="N157" s="1975"/>
      <c r="O157" s="12"/>
      <c r="P157" s="12"/>
      <c r="Q157" s="12"/>
      <c r="R157" s="12"/>
      <c r="S157" s="1883">
        <f>SUM('Malaria-Equipment &amp; Other HPs'!$O157:$R157)</f>
        <v>0</v>
      </c>
      <c r="T157" s="1884">
        <f>'Malaria-Equipment &amp; Other HPs'!$N157*'Malaria-Equipment &amp; Other HPs'!$S157</f>
        <v>0</v>
      </c>
      <c r="U157" s="1981"/>
      <c r="V157" s="12"/>
      <c r="W157" s="12"/>
      <c r="X157" s="12"/>
      <c r="Y157" s="12"/>
      <c r="Z157" s="1883">
        <f>SUM('Malaria-Equipment &amp; Other HPs'!$V157:$Y157)</f>
        <v>0</v>
      </c>
      <c r="AA157" s="1884">
        <f>'Malaria-Equipment &amp; Other HPs'!$U157*'Malaria-Equipment &amp; Other HPs'!$Z157</f>
        <v>0</v>
      </c>
      <c r="AB157" s="1975"/>
      <c r="AC157" s="12"/>
      <c r="AD157" s="12"/>
      <c r="AE157" s="12"/>
      <c r="AF157" s="12"/>
      <c r="AG157" s="1883">
        <f>SUM('Malaria-Equipment &amp; Other HPs'!$AC157:$AF157)</f>
        <v>0</v>
      </c>
      <c r="AH157" s="1884">
        <f>'Malaria-Equipment &amp; Other HPs'!$AB157*'Malaria-Equipment &amp; Other HPs'!$AG157</f>
        <v>0</v>
      </c>
      <c r="AI157" s="1885">
        <f>'Malaria-Equipment &amp; Other HPs'!$S157+'Malaria-Equipment &amp; Other HPs'!$Z157+'Malaria-Equipment &amp; Other HPs'!$AG157</f>
        <v>0</v>
      </c>
      <c r="AJ157" s="1884">
        <f>'Malaria-Equipment &amp; Other HPs'!$T157+'Malaria-Equipment &amp; Other HPs'!$AA157+'Malaria-Equipment &amp; Other HPs'!$AH157</f>
        <v>0</v>
      </c>
      <c r="AK157" s="1886" t="str">
        <f>IF(A157&lt;&gt;"",IFERROR(INDEX(PMtbl[[WKst]:[Unit of measure*]],MATCH($A$124&amp;$A157&amp;$E157&amp;$H157,INDEX(PMtbl[Sec]&amp;PMtbl[Category]&amp;PMtbl[INN]&amp;PMtbl[Specification],0,),0),7),""),"")</f>
        <v/>
      </c>
      <c r="AL157" s="957"/>
      <c r="AM157" s="1520" t="str">
        <f>IFERROR(INDEX(SETUP!$C$19:$G$62,MATCH((INDEX(PMtbl[[WKst]:[Unit of measure*]],MATCH($A157&amp;$E157&amp;$H157,INDEX(PMtbl[Category]&amp;PMtbl[INN]&amp;PMtbl[Specification],0,),0),3)),SETUP!$D$19:$D$62,0),5),"")</f>
        <v/>
      </c>
      <c r="AN157" s="1494" t="str">
        <f>IFERROR(IF((INDEX(SETUP!$C$19:$G$62,MATCH((INDEX(PMtbl[[WKst]:[Unit of measure*]],MATCH($A157&amp;$E157&amp;$H157,INDEX(PMtbl[Category]&amp;PMtbl[INN]&amp;PMtbl[Specification],0,),0),3)),SETUP!$D$19:$D$62,0),4))="Upfront",0,INDEX(SETUP!$C$19:$G$62,MATCH((INDEX(PMtbl[[WKst]:[Unit of measure*]],MATCH($A157&amp;$E157&amp;$H157,INDEX(PMtbl[Category]&amp;PMtbl[INN]&amp;PMtbl[Specification],0,),0),3)),SETUP!$D$19:$D$62,0),5)),"")</f>
        <v/>
      </c>
    </row>
    <row r="158" spans="1:40" s="198" customFormat="1">
      <c r="A158" s="2950"/>
      <c r="B158" s="2951"/>
      <c r="C158" s="2951"/>
      <c r="D158" s="2952"/>
      <c r="E158" s="3058"/>
      <c r="F158" s="3059"/>
      <c r="G158" s="3060"/>
      <c r="H158" s="3052"/>
      <c r="I158" s="3053"/>
      <c r="J158" s="3053"/>
      <c r="K158" s="3054"/>
      <c r="L158" s="308" t="str">
        <f>IF(A158&lt;&gt;"",IFERROR(INDEX(PMtbl[[WKst]:[Unit of measure*]],MATCH($A$124&amp;$A158&amp;$E158&amp;$H158,INDEX(PMtbl[Sec]&amp;PMtbl[Category]&amp;PMtbl[INN]&amp;PMtbl[Specification],0,),0),8),""),"")</f>
        <v/>
      </c>
      <c r="M158" s="308" t="str">
        <f>IF(L158="", "",SETUP!$E$5)</f>
        <v/>
      </c>
      <c r="N158" s="1976"/>
      <c r="O158" s="1977"/>
      <c r="P158" s="1977"/>
      <c r="Q158" s="1977"/>
      <c r="R158" s="1977"/>
      <c r="S158" s="1887">
        <f>SUM('Malaria-Equipment &amp; Other HPs'!$O158:$R158)</f>
        <v>0</v>
      </c>
      <c r="T158" s="1888">
        <f>'Malaria-Equipment &amp; Other HPs'!$N158*'Malaria-Equipment &amp; Other HPs'!$S158</f>
        <v>0</v>
      </c>
      <c r="U158" s="1982"/>
      <c r="V158" s="1977"/>
      <c r="W158" s="1977"/>
      <c r="X158" s="1977"/>
      <c r="Y158" s="1977"/>
      <c r="Z158" s="1887">
        <f>SUM('Malaria-Equipment &amp; Other HPs'!$V158:$Y158)</f>
        <v>0</v>
      </c>
      <c r="AA158" s="1888">
        <f>'Malaria-Equipment &amp; Other HPs'!$U158*'Malaria-Equipment &amp; Other HPs'!$Z158</f>
        <v>0</v>
      </c>
      <c r="AB158" s="1976"/>
      <c r="AC158" s="1977"/>
      <c r="AD158" s="1977"/>
      <c r="AE158" s="1977"/>
      <c r="AF158" s="1977"/>
      <c r="AG158" s="1887">
        <f>SUM('Malaria-Equipment &amp; Other HPs'!$AC158:$AF158)</f>
        <v>0</v>
      </c>
      <c r="AH158" s="1888">
        <f>'Malaria-Equipment &amp; Other HPs'!$AB158*'Malaria-Equipment &amp; Other HPs'!$AG158</f>
        <v>0</v>
      </c>
      <c r="AI158" s="1889">
        <f>'Malaria-Equipment &amp; Other HPs'!$S158+'Malaria-Equipment &amp; Other HPs'!$Z158+'Malaria-Equipment &amp; Other HPs'!$AG158</f>
        <v>0</v>
      </c>
      <c r="AJ158" s="1888">
        <f>'Malaria-Equipment &amp; Other HPs'!$T158+'Malaria-Equipment &amp; Other HPs'!$AA158+'Malaria-Equipment &amp; Other HPs'!$AH158</f>
        <v>0</v>
      </c>
      <c r="AK158" s="1890" t="str">
        <f>IF(A158&lt;&gt;"",IFERROR(INDEX(PMtbl[[WKst]:[Unit of measure*]],MATCH($A$124&amp;$A158&amp;$E158&amp;$H158,INDEX(PMtbl[Sec]&amp;PMtbl[Category]&amp;PMtbl[INN]&amp;PMtbl[Specification],0,),0),7),""),"")</f>
        <v/>
      </c>
      <c r="AL158" s="956"/>
      <c r="AM158" s="1522" t="str">
        <f>IFERROR(INDEX(SETUP!$C$19:$G$62,MATCH((INDEX(PMtbl[[WKst]:[Unit of measure*]],MATCH($A158&amp;$E158&amp;$H158,INDEX(PMtbl[Category]&amp;PMtbl[INN]&amp;PMtbl[Specification],0,),0),3)),SETUP!$D$19:$D$62,0),5),"")</f>
        <v/>
      </c>
      <c r="AN158" s="1495" t="str">
        <f>IFERROR(IF((INDEX(SETUP!$C$19:$G$62,MATCH((INDEX(PMtbl[[WKst]:[Unit of measure*]],MATCH($A158&amp;$E158&amp;$H158,INDEX(PMtbl[Category]&amp;PMtbl[INN]&amp;PMtbl[Specification],0,),0),3)),SETUP!$D$19:$D$62,0),4))="Upfront",0,INDEX(SETUP!$C$19:$G$62,MATCH((INDEX(PMtbl[[WKst]:[Unit of measure*]],MATCH($A158&amp;$E158&amp;$H158,INDEX(PMtbl[Category]&amp;PMtbl[INN]&amp;PMtbl[Specification],0,),0),3)),SETUP!$D$19:$D$62,0),5)),"")</f>
        <v/>
      </c>
    </row>
    <row r="159" spans="1:40" s="198" customFormat="1">
      <c r="A159" s="3034"/>
      <c r="B159" s="3035"/>
      <c r="C159" s="3035"/>
      <c r="D159" s="3036"/>
      <c r="E159" s="3039"/>
      <c r="F159" s="3040"/>
      <c r="G159" s="3041"/>
      <c r="H159" s="3050"/>
      <c r="I159" s="2728"/>
      <c r="J159" s="2728"/>
      <c r="K159" s="3051"/>
      <c r="L159" s="307" t="str">
        <f>IF(A159&lt;&gt;"",IFERROR(INDEX(PMtbl[[WKst]:[Unit of measure*]],MATCH($A$124&amp;$A159&amp;$E159&amp;$H159,INDEX(PMtbl[Sec]&amp;PMtbl[Category]&amp;PMtbl[INN]&amp;PMtbl[Specification],0,),0),8),""),"")</f>
        <v/>
      </c>
      <c r="M159" s="307" t="str">
        <f>IF(L159="", "",SETUP!$E$5)</f>
        <v/>
      </c>
      <c r="N159" s="1975"/>
      <c r="O159" s="12"/>
      <c r="P159" s="12"/>
      <c r="Q159" s="12"/>
      <c r="R159" s="12"/>
      <c r="S159" s="1883">
        <f>SUM('Malaria-Equipment &amp; Other HPs'!$O159:$R159)</f>
        <v>0</v>
      </c>
      <c r="T159" s="1884">
        <f>'Malaria-Equipment &amp; Other HPs'!$N159*'Malaria-Equipment &amp; Other HPs'!$S159</f>
        <v>0</v>
      </c>
      <c r="U159" s="1981"/>
      <c r="V159" s="12"/>
      <c r="W159" s="12"/>
      <c r="X159" s="12"/>
      <c r="Y159" s="12"/>
      <c r="Z159" s="1883">
        <f>SUM('Malaria-Equipment &amp; Other HPs'!$V159:$Y159)</f>
        <v>0</v>
      </c>
      <c r="AA159" s="1884">
        <f>'Malaria-Equipment &amp; Other HPs'!$U159*'Malaria-Equipment &amp; Other HPs'!$Z159</f>
        <v>0</v>
      </c>
      <c r="AB159" s="1975"/>
      <c r="AC159" s="12"/>
      <c r="AD159" s="12"/>
      <c r="AE159" s="12"/>
      <c r="AF159" s="12"/>
      <c r="AG159" s="1883">
        <f>SUM('Malaria-Equipment &amp; Other HPs'!$AC159:$AF159)</f>
        <v>0</v>
      </c>
      <c r="AH159" s="1884">
        <f>'Malaria-Equipment &amp; Other HPs'!$AB159*'Malaria-Equipment &amp; Other HPs'!$AG159</f>
        <v>0</v>
      </c>
      <c r="AI159" s="1885">
        <f>'Malaria-Equipment &amp; Other HPs'!$S159+'Malaria-Equipment &amp; Other HPs'!$Z159+'Malaria-Equipment &amp; Other HPs'!$AG159</f>
        <v>0</v>
      </c>
      <c r="AJ159" s="1884">
        <f>'Malaria-Equipment &amp; Other HPs'!$T159+'Malaria-Equipment &amp; Other HPs'!$AA159+'Malaria-Equipment &amp; Other HPs'!$AH159</f>
        <v>0</v>
      </c>
      <c r="AK159" s="1886" t="str">
        <f>IF(A159&lt;&gt;"",IFERROR(INDEX(PMtbl[[WKst]:[Unit of measure*]],MATCH($A$124&amp;$A159&amp;$E159&amp;$H159,INDEX(PMtbl[Sec]&amp;PMtbl[Category]&amp;PMtbl[INN]&amp;PMtbl[Specification],0,),0),7),""),"")</f>
        <v/>
      </c>
      <c r="AL159" s="957"/>
      <c r="AM159" s="1520" t="str">
        <f>IFERROR(INDEX(SETUP!$C$19:$G$62,MATCH((INDEX(PMtbl[[WKst]:[Unit of measure*]],MATCH($A159&amp;$E159&amp;$H159,INDEX(PMtbl[Category]&amp;PMtbl[INN]&amp;PMtbl[Specification],0,),0),3)),SETUP!$D$19:$D$62,0),5),"")</f>
        <v/>
      </c>
      <c r="AN159" s="1494" t="str">
        <f>IFERROR(IF((INDEX(SETUP!$C$19:$G$62,MATCH((INDEX(PMtbl[[WKst]:[Unit of measure*]],MATCH($A159&amp;$E159&amp;$H159,INDEX(PMtbl[Category]&amp;PMtbl[INN]&amp;PMtbl[Specification],0,),0),3)),SETUP!$D$19:$D$62,0),4))="Upfront",0,INDEX(SETUP!$C$19:$G$62,MATCH((INDEX(PMtbl[[WKst]:[Unit of measure*]],MATCH($A159&amp;$E159&amp;$H159,INDEX(PMtbl[Category]&amp;PMtbl[INN]&amp;PMtbl[Specification],0,),0),3)),SETUP!$D$19:$D$62,0),5)),"")</f>
        <v/>
      </c>
    </row>
    <row r="160" spans="1:40" s="198" customFormat="1">
      <c r="A160" s="2950"/>
      <c r="B160" s="2951"/>
      <c r="C160" s="2951"/>
      <c r="D160" s="2952"/>
      <c r="E160" s="3058"/>
      <c r="F160" s="3059"/>
      <c r="G160" s="3060"/>
      <c r="H160" s="3052"/>
      <c r="I160" s="3053"/>
      <c r="J160" s="3053"/>
      <c r="K160" s="3054"/>
      <c r="L160" s="308" t="str">
        <f>IF(A160&lt;&gt;"",IFERROR(INDEX(PMtbl[[WKst]:[Unit of measure*]],MATCH($A$124&amp;$A160&amp;$E160&amp;$H160,INDEX(PMtbl[Sec]&amp;PMtbl[Category]&amp;PMtbl[INN]&amp;PMtbl[Specification],0,),0),8),""),"")</f>
        <v/>
      </c>
      <c r="M160" s="308" t="str">
        <f>IF(L160="", "",SETUP!$E$5)</f>
        <v/>
      </c>
      <c r="N160" s="1976"/>
      <c r="O160" s="1977"/>
      <c r="P160" s="1977"/>
      <c r="Q160" s="1977"/>
      <c r="R160" s="1977"/>
      <c r="S160" s="1887">
        <f>SUM('Malaria-Equipment &amp; Other HPs'!$O160:$R160)</f>
        <v>0</v>
      </c>
      <c r="T160" s="1888">
        <f>'Malaria-Equipment &amp; Other HPs'!$N160*'Malaria-Equipment &amp; Other HPs'!$S160</f>
        <v>0</v>
      </c>
      <c r="U160" s="1982"/>
      <c r="V160" s="1977"/>
      <c r="W160" s="1977"/>
      <c r="X160" s="1977"/>
      <c r="Y160" s="1977"/>
      <c r="Z160" s="1887">
        <f>SUM('Malaria-Equipment &amp; Other HPs'!$V160:$Y160)</f>
        <v>0</v>
      </c>
      <c r="AA160" s="1888">
        <f>'Malaria-Equipment &amp; Other HPs'!$U160*'Malaria-Equipment &amp; Other HPs'!$Z160</f>
        <v>0</v>
      </c>
      <c r="AB160" s="1976"/>
      <c r="AC160" s="1977"/>
      <c r="AD160" s="1977"/>
      <c r="AE160" s="1977"/>
      <c r="AF160" s="1977"/>
      <c r="AG160" s="1887">
        <f>SUM('Malaria-Equipment &amp; Other HPs'!$AC160:$AF160)</f>
        <v>0</v>
      </c>
      <c r="AH160" s="1888">
        <f>'Malaria-Equipment &amp; Other HPs'!$AB160*'Malaria-Equipment &amp; Other HPs'!$AG160</f>
        <v>0</v>
      </c>
      <c r="AI160" s="1889">
        <f>'Malaria-Equipment &amp; Other HPs'!$S160+'Malaria-Equipment &amp; Other HPs'!$Z160+'Malaria-Equipment &amp; Other HPs'!$AG160</f>
        <v>0</v>
      </c>
      <c r="AJ160" s="1888">
        <f>'Malaria-Equipment &amp; Other HPs'!$T160+'Malaria-Equipment &amp; Other HPs'!$AA160+'Malaria-Equipment &amp; Other HPs'!$AH160</f>
        <v>0</v>
      </c>
      <c r="AK160" s="1890" t="str">
        <f>IF(A160&lt;&gt;"",IFERROR(INDEX(PMtbl[[WKst]:[Unit of measure*]],MATCH($A$124&amp;$A160&amp;$E160&amp;$H160,INDEX(PMtbl[Sec]&amp;PMtbl[Category]&amp;PMtbl[INN]&amp;PMtbl[Specification],0,),0),7),""),"")</f>
        <v/>
      </c>
      <c r="AL160" s="956"/>
      <c r="AM160" s="1522" t="str">
        <f>IFERROR(INDEX(SETUP!$C$19:$G$62,MATCH((INDEX(PMtbl[[WKst]:[Unit of measure*]],MATCH($A160&amp;$E160&amp;$H160,INDEX(PMtbl[Category]&amp;PMtbl[INN]&amp;PMtbl[Specification],0,),0),3)),SETUP!$D$19:$D$62,0),5),"")</f>
        <v/>
      </c>
      <c r="AN160" s="1495" t="str">
        <f>IFERROR(IF((INDEX(SETUP!$C$19:$G$62,MATCH((INDEX(PMtbl[[WKst]:[Unit of measure*]],MATCH($A160&amp;$E160&amp;$H160,INDEX(PMtbl[Category]&amp;PMtbl[INN]&amp;PMtbl[Specification],0,),0),3)),SETUP!$D$19:$D$62,0),4))="Upfront",0,INDEX(SETUP!$C$19:$G$62,MATCH((INDEX(PMtbl[[WKst]:[Unit of measure*]],MATCH($A160&amp;$E160&amp;$H160,INDEX(PMtbl[Category]&amp;PMtbl[INN]&amp;PMtbl[Specification],0,),0),3)),SETUP!$D$19:$D$62,0),5)),"")</f>
        <v/>
      </c>
    </row>
    <row r="161" spans="1:40" s="198" customFormat="1">
      <c r="A161" s="3034"/>
      <c r="B161" s="3035"/>
      <c r="C161" s="3035"/>
      <c r="D161" s="3036"/>
      <c r="E161" s="3039"/>
      <c r="F161" s="3040"/>
      <c r="G161" s="3041"/>
      <c r="H161" s="3050"/>
      <c r="I161" s="2728"/>
      <c r="J161" s="2728"/>
      <c r="K161" s="3051"/>
      <c r="L161" s="307" t="str">
        <f>IF(A161&lt;&gt;"",IFERROR(INDEX(PMtbl[[WKst]:[Unit of measure*]],MATCH($A$124&amp;$A161&amp;$E161&amp;$H161,INDEX(PMtbl[Sec]&amp;PMtbl[Category]&amp;PMtbl[INN]&amp;PMtbl[Specification],0,),0),8),""),"")</f>
        <v/>
      </c>
      <c r="M161" s="307" t="str">
        <f>IF(L161="", "",SETUP!$E$5)</f>
        <v/>
      </c>
      <c r="N161" s="1975"/>
      <c r="O161" s="12"/>
      <c r="P161" s="12"/>
      <c r="Q161" s="12"/>
      <c r="R161" s="12"/>
      <c r="S161" s="1883">
        <f>SUM('Malaria-Equipment &amp; Other HPs'!$O161:$R161)</f>
        <v>0</v>
      </c>
      <c r="T161" s="1884">
        <f>'Malaria-Equipment &amp; Other HPs'!$N161*'Malaria-Equipment &amp; Other HPs'!$S161</f>
        <v>0</v>
      </c>
      <c r="U161" s="1981"/>
      <c r="V161" s="12"/>
      <c r="W161" s="12"/>
      <c r="X161" s="12"/>
      <c r="Y161" s="12"/>
      <c r="Z161" s="1883">
        <f>SUM('Malaria-Equipment &amp; Other HPs'!$V161:$Y161)</f>
        <v>0</v>
      </c>
      <c r="AA161" s="1884">
        <f>'Malaria-Equipment &amp; Other HPs'!$U161*'Malaria-Equipment &amp; Other HPs'!$Z161</f>
        <v>0</v>
      </c>
      <c r="AB161" s="1975"/>
      <c r="AC161" s="12"/>
      <c r="AD161" s="12"/>
      <c r="AE161" s="12"/>
      <c r="AF161" s="12"/>
      <c r="AG161" s="1883">
        <f>SUM('Malaria-Equipment &amp; Other HPs'!$AC161:$AF161)</f>
        <v>0</v>
      </c>
      <c r="AH161" s="1884">
        <f>'Malaria-Equipment &amp; Other HPs'!$AB161*'Malaria-Equipment &amp; Other HPs'!$AG161</f>
        <v>0</v>
      </c>
      <c r="AI161" s="1885">
        <f>'Malaria-Equipment &amp; Other HPs'!$S161+'Malaria-Equipment &amp; Other HPs'!$Z161+'Malaria-Equipment &amp; Other HPs'!$AG161</f>
        <v>0</v>
      </c>
      <c r="AJ161" s="1884">
        <f>'Malaria-Equipment &amp; Other HPs'!$T161+'Malaria-Equipment &amp; Other HPs'!$AA161+'Malaria-Equipment &amp; Other HPs'!$AH161</f>
        <v>0</v>
      </c>
      <c r="AK161" s="1886" t="str">
        <f>IF(A161&lt;&gt;"",IFERROR(INDEX(PMtbl[[WKst]:[Unit of measure*]],MATCH($A$124&amp;$A161&amp;$E161&amp;$H161,INDEX(PMtbl[Sec]&amp;PMtbl[Category]&amp;PMtbl[INN]&amp;PMtbl[Specification],0,),0),7),""),"")</f>
        <v/>
      </c>
      <c r="AL161" s="957"/>
      <c r="AM161" s="1520" t="str">
        <f>IFERROR(INDEX(SETUP!$C$19:$G$62,MATCH((INDEX(PMtbl[[WKst]:[Unit of measure*]],MATCH($A161&amp;$E161&amp;$H161,INDEX(PMtbl[Category]&amp;PMtbl[INN]&amp;PMtbl[Specification],0,),0),3)),SETUP!$D$19:$D$62,0),5),"")</f>
        <v/>
      </c>
      <c r="AN161" s="1494" t="str">
        <f>IFERROR(IF((INDEX(SETUP!$C$19:$G$62,MATCH((INDEX(PMtbl[[WKst]:[Unit of measure*]],MATCH($A161&amp;$E161&amp;$H161,INDEX(PMtbl[Category]&amp;PMtbl[INN]&amp;PMtbl[Specification],0,),0),3)),SETUP!$D$19:$D$62,0),4))="Upfront",0,INDEX(SETUP!$C$19:$G$62,MATCH((INDEX(PMtbl[[WKst]:[Unit of measure*]],MATCH($A161&amp;$E161&amp;$H161,INDEX(PMtbl[Category]&amp;PMtbl[INN]&amp;PMtbl[Specification],0,),0),3)),SETUP!$D$19:$D$62,0),5)),"")</f>
        <v/>
      </c>
    </row>
    <row r="162" spans="1:40" s="198" customFormat="1">
      <c r="A162" s="2950"/>
      <c r="B162" s="2951"/>
      <c r="C162" s="2951"/>
      <c r="D162" s="2952"/>
      <c r="E162" s="3058"/>
      <c r="F162" s="3059"/>
      <c r="G162" s="3060"/>
      <c r="H162" s="3052"/>
      <c r="I162" s="3053"/>
      <c r="J162" s="3053"/>
      <c r="K162" s="3054"/>
      <c r="L162" s="308" t="str">
        <f>IF(A162&lt;&gt;"",IFERROR(INDEX(PMtbl[[WKst]:[Unit of measure*]],MATCH($A$124&amp;$A162&amp;$E162&amp;$H162,INDEX(PMtbl[Sec]&amp;PMtbl[Category]&amp;PMtbl[INN]&amp;PMtbl[Specification],0,),0),8),""),"")</f>
        <v/>
      </c>
      <c r="M162" s="308" t="str">
        <f>IF(L162="", "",SETUP!$E$5)</f>
        <v/>
      </c>
      <c r="N162" s="1976"/>
      <c r="O162" s="1977"/>
      <c r="P162" s="1977"/>
      <c r="Q162" s="1977"/>
      <c r="R162" s="1977"/>
      <c r="S162" s="1887">
        <f>SUM('Malaria-Equipment &amp; Other HPs'!$O162:$R162)</f>
        <v>0</v>
      </c>
      <c r="T162" s="1888">
        <f>'Malaria-Equipment &amp; Other HPs'!$N162*'Malaria-Equipment &amp; Other HPs'!$S162</f>
        <v>0</v>
      </c>
      <c r="U162" s="1982"/>
      <c r="V162" s="1977"/>
      <c r="W162" s="1977"/>
      <c r="X162" s="1977"/>
      <c r="Y162" s="1977"/>
      <c r="Z162" s="1887">
        <f>SUM('Malaria-Equipment &amp; Other HPs'!$V162:$Y162)</f>
        <v>0</v>
      </c>
      <c r="AA162" s="1888">
        <f>'Malaria-Equipment &amp; Other HPs'!$U162*'Malaria-Equipment &amp; Other HPs'!$Z162</f>
        <v>0</v>
      </c>
      <c r="AB162" s="1976"/>
      <c r="AC162" s="1977"/>
      <c r="AD162" s="1977"/>
      <c r="AE162" s="1977"/>
      <c r="AF162" s="1977"/>
      <c r="AG162" s="1887">
        <f>SUM('Malaria-Equipment &amp; Other HPs'!$AC162:$AF162)</f>
        <v>0</v>
      </c>
      <c r="AH162" s="1888">
        <f>'Malaria-Equipment &amp; Other HPs'!$AB162*'Malaria-Equipment &amp; Other HPs'!$AG162</f>
        <v>0</v>
      </c>
      <c r="AI162" s="1889">
        <f>'Malaria-Equipment &amp; Other HPs'!$S162+'Malaria-Equipment &amp; Other HPs'!$Z162+'Malaria-Equipment &amp; Other HPs'!$AG162</f>
        <v>0</v>
      </c>
      <c r="AJ162" s="1888">
        <f>'Malaria-Equipment &amp; Other HPs'!$T162+'Malaria-Equipment &amp; Other HPs'!$AA162+'Malaria-Equipment &amp; Other HPs'!$AH162</f>
        <v>0</v>
      </c>
      <c r="AK162" s="1890" t="str">
        <f>IF(A162&lt;&gt;"",IFERROR(INDEX(PMtbl[[WKst]:[Unit of measure*]],MATCH($A$124&amp;$A162&amp;$E162&amp;$H162,INDEX(PMtbl[Sec]&amp;PMtbl[Category]&amp;PMtbl[INN]&amp;PMtbl[Specification],0,),0),7),""),"")</f>
        <v/>
      </c>
      <c r="AL162" s="956"/>
      <c r="AM162" s="1522" t="str">
        <f>IFERROR(INDEX(SETUP!$C$19:$G$62,MATCH((INDEX(PMtbl[[WKst]:[Unit of measure*]],MATCH($A162&amp;$E162&amp;$H162,INDEX(PMtbl[Category]&amp;PMtbl[INN]&amp;PMtbl[Specification],0,),0),3)),SETUP!$D$19:$D$62,0),5),"")</f>
        <v/>
      </c>
      <c r="AN162" s="1495" t="str">
        <f>IFERROR(IF((INDEX(SETUP!$C$19:$G$62,MATCH((INDEX(PMtbl[[WKst]:[Unit of measure*]],MATCH($A162&amp;$E162&amp;$H162,INDEX(PMtbl[Category]&amp;PMtbl[INN]&amp;PMtbl[Specification],0,),0),3)),SETUP!$D$19:$D$62,0),4))="Upfront",0,INDEX(SETUP!$C$19:$G$62,MATCH((INDEX(PMtbl[[WKst]:[Unit of measure*]],MATCH($A162&amp;$E162&amp;$H162,INDEX(PMtbl[Category]&amp;PMtbl[INN]&amp;PMtbl[Specification],0,),0),3)),SETUP!$D$19:$D$62,0),5)),"")</f>
        <v/>
      </c>
    </row>
    <row r="163" spans="1:40" s="198" customFormat="1">
      <c r="A163" s="3034"/>
      <c r="B163" s="3035"/>
      <c r="C163" s="3035"/>
      <c r="D163" s="3036"/>
      <c r="E163" s="3039"/>
      <c r="F163" s="3040"/>
      <c r="G163" s="3041"/>
      <c r="H163" s="3050"/>
      <c r="I163" s="2728"/>
      <c r="J163" s="2728"/>
      <c r="K163" s="3051"/>
      <c r="L163" s="307" t="str">
        <f>IF(A163&lt;&gt;"",IFERROR(INDEX(PMtbl[[WKst]:[Unit of measure*]],MATCH($A$124&amp;$A163&amp;$E163&amp;$H163,INDEX(PMtbl[Sec]&amp;PMtbl[Category]&amp;PMtbl[INN]&amp;PMtbl[Specification],0,),0),8),""),"")</f>
        <v/>
      </c>
      <c r="M163" s="307" t="str">
        <f>IF(L163="", "",SETUP!$E$5)</f>
        <v/>
      </c>
      <c r="N163" s="1975"/>
      <c r="O163" s="12"/>
      <c r="P163" s="12"/>
      <c r="Q163" s="12"/>
      <c r="R163" s="12"/>
      <c r="S163" s="1883">
        <f>SUM('Malaria-Equipment &amp; Other HPs'!$O163:$R163)</f>
        <v>0</v>
      </c>
      <c r="T163" s="1884">
        <f>'Malaria-Equipment &amp; Other HPs'!$N163*'Malaria-Equipment &amp; Other HPs'!$S163</f>
        <v>0</v>
      </c>
      <c r="U163" s="1981"/>
      <c r="V163" s="12"/>
      <c r="W163" s="12"/>
      <c r="X163" s="12"/>
      <c r="Y163" s="12"/>
      <c r="Z163" s="1883">
        <f>SUM('Malaria-Equipment &amp; Other HPs'!$V163:$Y163)</f>
        <v>0</v>
      </c>
      <c r="AA163" s="1884">
        <f>'Malaria-Equipment &amp; Other HPs'!$U163*'Malaria-Equipment &amp; Other HPs'!$Z163</f>
        <v>0</v>
      </c>
      <c r="AB163" s="1975"/>
      <c r="AC163" s="12"/>
      <c r="AD163" s="12"/>
      <c r="AE163" s="12"/>
      <c r="AF163" s="12"/>
      <c r="AG163" s="1883">
        <f>SUM('Malaria-Equipment &amp; Other HPs'!$AC163:$AF163)</f>
        <v>0</v>
      </c>
      <c r="AH163" s="1884">
        <f>'Malaria-Equipment &amp; Other HPs'!$AB163*'Malaria-Equipment &amp; Other HPs'!$AG163</f>
        <v>0</v>
      </c>
      <c r="AI163" s="1885">
        <f>'Malaria-Equipment &amp; Other HPs'!$S163+'Malaria-Equipment &amp; Other HPs'!$Z163+'Malaria-Equipment &amp; Other HPs'!$AG163</f>
        <v>0</v>
      </c>
      <c r="AJ163" s="1884">
        <f>'Malaria-Equipment &amp; Other HPs'!$T163+'Malaria-Equipment &amp; Other HPs'!$AA163+'Malaria-Equipment &amp; Other HPs'!$AH163</f>
        <v>0</v>
      </c>
      <c r="AK163" s="1886" t="str">
        <f>IF(A163&lt;&gt;"",IFERROR(INDEX(PMtbl[[WKst]:[Unit of measure*]],MATCH($A$124&amp;$A163&amp;$E163&amp;$H163,INDEX(PMtbl[Sec]&amp;PMtbl[Category]&amp;PMtbl[INN]&amp;PMtbl[Specification],0,),0),7),""),"")</f>
        <v/>
      </c>
      <c r="AL163" s="957"/>
      <c r="AM163" s="1520" t="str">
        <f>IFERROR(INDEX(SETUP!$C$19:$G$62,MATCH((INDEX(PMtbl[[WKst]:[Unit of measure*]],MATCH($A163&amp;$E163&amp;$H163,INDEX(PMtbl[Category]&amp;PMtbl[INN]&amp;PMtbl[Specification],0,),0),3)),SETUP!$D$19:$D$62,0),5),"")</f>
        <v/>
      </c>
      <c r="AN163" s="1494" t="str">
        <f>IFERROR(IF((INDEX(SETUP!$C$19:$G$62,MATCH((INDEX(PMtbl[[WKst]:[Unit of measure*]],MATCH($A163&amp;$E163&amp;$H163,INDEX(PMtbl[Category]&amp;PMtbl[INN]&amp;PMtbl[Specification],0,),0),3)),SETUP!$D$19:$D$62,0),4))="Upfront",0,INDEX(SETUP!$C$19:$G$62,MATCH((INDEX(PMtbl[[WKst]:[Unit of measure*]],MATCH($A163&amp;$E163&amp;$H163,INDEX(PMtbl[Category]&amp;PMtbl[INN]&amp;PMtbl[Specification],0,),0),3)),SETUP!$D$19:$D$62,0),5)),"")</f>
        <v/>
      </c>
    </row>
    <row r="164" spans="1:40" s="198" customFormat="1">
      <c r="A164" s="2950"/>
      <c r="B164" s="2951"/>
      <c r="C164" s="2951"/>
      <c r="D164" s="2952"/>
      <c r="E164" s="3058"/>
      <c r="F164" s="3059"/>
      <c r="G164" s="3060"/>
      <c r="H164" s="3052"/>
      <c r="I164" s="3053"/>
      <c r="J164" s="3053"/>
      <c r="K164" s="3054"/>
      <c r="L164" s="308" t="str">
        <f>IF(A164&lt;&gt;"",IFERROR(INDEX(PMtbl[[WKst]:[Unit of measure*]],MATCH($A$124&amp;$A164&amp;$E164&amp;$H164,INDEX(PMtbl[Sec]&amp;PMtbl[Category]&amp;PMtbl[INN]&amp;PMtbl[Specification],0,),0),8),""),"")</f>
        <v/>
      </c>
      <c r="M164" s="308" t="str">
        <f>IF(L164="", "",SETUP!$E$5)</f>
        <v/>
      </c>
      <c r="N164" s="1976"/>
      <c r="O164" s="1977"/>
      <c r="P164" s="1977"/>
      <c r="Q164" s="1977"/>
      <c r="R164" s="1977"/>
      <c r="S164" s="1887">
        <f>SUM('Malaria-Equipment &amp; Other HPs'!$O164:$R164)</f>
        <v>0</v>
      </c>
      <c r="T164" s="1888">
        <f>'Malaria-Equipment &amp; Other HPs'!$N164*'Malaria-Equipment &amp; Other HPs'!$S164</f>
        <v>0</v>
      </c>
      <c r="U164" s="1982"/>
      <c r="V164" s="1977"/>
      <c r="W164" s="1977"/>
      <c r="X164" s="1977"/>
      <c r="Y164" s="1977"/>
      <c r="Z164" s="1887">
        <f>SUM('Malaria-Equipment &amp; Other HPs'!$V164:$Y164)</f>
        <v>0</v>
      </c>
      <c r="AA164" s="1888">
        <f>'Malaria-Equipment &amp; Other HPs'!$U164*'Malaria-Equipment &amp; Other HPs'!$Z164</f>
        <v>0</v>
      </c>
      <c r="AB164" s="1976"/>
      <c r="AC164" s="1977"/>
      <c r="AD164" s="1977"/>
      <c r="AE164" s="1977"/>
      <c r="AF164" s="1977"/>
      <c r="AG164" s="1887">
        <f>SUM('Malaria-Equipment &amp; Other HPs'!$AC164:$AF164)</f>
        <v>0</v>
      </c>
      <c r="AH164" s="1888">
        <f>'Malaria-Equipment &amp; Other HPs'!$AB164*'Malaria-Equipment &amp; Other HPs'!$AG164</f>
        <v>0</v>
      </c>
      <c r="AI164" s="1889">
        <f>'Malaria-Equipment &amp; Other HPs'!$S164+'Malaria-Equipment &amp; Other HPs'!$Z164+'Malaria-Equipment &amp; Other HPs'!$AG164</f>
        <v>0</v>
      </c>
      <c r="AJ164" s="1888">
        <f>'Malaria-Equipment &amp; Other HPs'!$T164+'Malaria-Equipment &amp; Other HPs'!$AA164+'Malaria-Equipment &amp; Other HPs'!$AH164</f>
        <v>0</v>
      </c>
      <c r="AK164" s="1890" t="str">
        <f>IF(A164&lt;&gt;"",IFERROR(INDEX(PMtbl[[WKst]:[Unit of measure*]],MATCH($A$124&amp;$A164&amp;$E164&amp;$H164,INDEX(PMtbl[Sec]&amp;PMtbl[Category]&amp;PMtbl[INN]&amp;PMtbl[Specification],0,),0),7),""),"")</f>
        <v/>
      </c>
      <c r="AL164" s="956"/>
      <c r="AM164" s="1522" t="str">
        <f>IFERROR(INDEX(SETUP!$C$19:$G$62,MATCH((INDEX(PMtbl[[WKst]:[Unit of measure*]],MATCH($A164&amp;$E164&amp;$H164,INDEX(PMtbl[Category]&amp;PMtbl[INN]&amp;PMtbl[Specification],0,),0),3)),SETUP!$D$19:$D$62,0),5),"")</f>
        <v/>
      </c>
      <c r="AN164" s="1495" t="str">
        <f>IFERROR(IF((INDEX(SETUP!$C$19:$G$62,MATCH((INDEX(PMtbl[[WKst]:[Unit of measure*]],MATCH($A164&amp;$E164&amp;$H164,INDEX(PMtbl[Category]&amp;PMtbl[INN]&amp;PMtbl[Specification],0,),0),3)),SETUP!$D$19:$D$62,0),4))="Upfront",0,INDEX(SETUP!$C$19:$G$62,MATCH((INDEX(PMtbl[[WKst]:[Unit of measure*]],MATCH($A164&amp;$E164&amp;$H164,INDEX(PMtbl[Category]&amp;PMtbl[INN]&amp;PMtbl[Specification],0,),0),3)),SETUP!$D$19:$D$62,0),5)),"")</f>
        <v/>
      </c>
    </row>
    <row r="165" spans="1:40" s="198" customFormat="1">
      <c r="A165" s="3034"/>
      <c r="B165" s="3035"/>
      <c r="C165" s="3035"/>
      <c r="D165" s="3036"/>
      <c r="E165" s="3039"/>
      <c r="F165" s="3040"/>
      <c r="G165" s="3041"/>
      <c r="H165" s="3050"/>
      <c r="I165" s="2728"/>
      <c r="J165" s="2728"/>
      <c r="K165" s="3051"/>
      <c r="L165" s="307" t="str">
        <f>IF(A165&lt;&gt;"",IFERROR(INDEX(PMtbl[[WKst]:[Unit of measure*]],MATCH($A$124&amp;$A165&amp;$E165&amp;$H165,INDEX(PMtbl[Sec]&amp;PMtbl[Category]&amp;PMtbl[INN]&amp;PMtbl[Specification],0,),0),8),""),"")</f>
        <v/>
      </c>
      <c r="M165" s="307" t="str">
        <f>IF(L165="", "",SETUP!$E$5)</f>
        <v/>
      </c>
      <c r="N165" s="1975"/>
      <c r="O165" s="12"/>
      <c r="P165" s="12"/>
      <c r="Q165" s="12"/>
      <c r="R165" s="12"/>
      <c r="S165" s="1883">
        <f>SUM('Malaria-Equipment &amp; Other HPs'!$O165:$R165)</f>
        <v>0</v>
      </c>
      <c r="T165" s="1884">
        <f>'Malaria-Equipment &amp; Other HPs'!$N165*'Malaria-Equipment &amp; Other HPs'!$S165</f>
        <v>0</v>
      </c>
      <c r="U165" s="1981"/>
      <c r="V165" s="12"/>
      <c r="W165" s="12"/>
      <c r="X165" s="12"/>
      <c r="Y165" s="12"/>
      <c r="Z165" s="1883">
        <f>SUM('Malaria-Equipment &amp; Other HPs'!$V165:$Y165)</f>
        <v>0</v>
      </c>
      <c r="AA165" s="1884">
        <f>'Malaria-Equipment &amp; Other HPs'!$U165*'Malaria-Equipment &amp; Other HPs'!$Z165</f>
        <v>0</v>
      </c>
      <c r="AB165" s="1975"/>
      <c r="AC165" s="12"/>
      <c r="AD165" s="12"/>
      <c r="AE165" s="12"/>
      <c r="AF165" s="12"/>
      <c r="AG165" s="1883">
        <f>SUM('Malaria-Equipment &amp; Other HPs'!$AC165:$AF165)</f>
        <v>0</v>
      </c>
      <c r="AH165" s="1884">
        <f>'Malaria-Equipment &amp; Other HPs'!$AB165*'Malaria-Equipment &amp; Other HPs'!$AG165</f>
        <v>0</v>
      </c>
      <c r="AI165" s="1885">
        <f>'Malaria-Equipment &amp; Other HPs'!$S165+'Malaria-Equipment &amp; Other HPs'!$Z165+'Malaria-Equipment &amp; Other HPs'!$AG165</f>
        <v>0</v>
      </c>
      <c r="AJ165" s="1884">
        <f>'Malaria-Equipment &amp; Other HPs'!$T165+'Malaria-Equipment &amp; Other HPs'!$AA165+'Malaria-Equipment &amp; Other HPs'!$AH165</f>
        <v>0</v>
      </c>
      <c r="AK165" s="1886" t="str">
        <f>IF(A165&lt;&gt;"",IFERROR(INDEX(PMtbl[[WKst]:[Unit of measure*]],MATCH($A$124&amp;$A165&amp;$E165&amp;$H165,INDEX(PMtbl[Sec]&amp;PMtbl[Category]&amp;PMtbl[INN]&amp;PMtbl[Specification],0,),0),7),""),"")</f>
        <v/>
      </c>
      <c r="AL165" s="957"/>
      <c r="AM165" s="1520" t="str">
        <f>IFERROR(INDEX(SETUP!$C$19:$G$62,MATCH((INDEX(PMtbl[[WKst]:[Unit of measure*]],MATCH($A165&amp;$E165&amp;$H165,INDEX(PMtbl[Category]&amp;PMtbl[INN]&amp;PMtbl[Specification],0,),0),3)),SETUP!$D$19:$D$62,0),5),"")</f>
        <v/>
      </c>
      <c r="AN165" s="1494" t="str">
        <f>IFERROR(IF((INDEX(SETUP!$C$19:$G$62,MATCH((INDEX(PMtbl[[WKst]:[Unit of measure*]],MATCH($A165&amp;$E165&amp;$H165,INDEX(PMtbl[Category]&amp;PMtbl[INN]&amp;PMtbl[Specification],0,),0),3)),SETUP!$D$19:$D$62,0),4))="Upfront",0,INDEX(SETUP!$C$19:$G$62,MATCH((INDEX(PMtbl[[WKst]:[Unit of measure*]],MATCH($A165&amp;$E165&amp;$H165,INDEX(PMtbl[Category]&amp;PMtbl[INN]&amp;PMtbl[Specification],0,),0),3)),SETUP!$D$19:$D$62,0),5)),"")</f>
        <v/>
      </c>
    </row>
    <row r="166" spans="1:40" s="198" customFormat="1">
      <c r="A166" s="2950"/>
      <c r="B166" s="2951"/>
      <c r="C166" s="2951"/>
      <c r="D166" s="2952"/>
      <c r="E166" s="3058"/>
      <c r="F166" s="3059"/>
      <c r="G166" s="3060"/>
      <c r="H166" s="3052"/>
      <c r="I166" s="3053"/>
      <c r="J166" s="3053"/>
      <c r="K166" s="3054"/>
      <c r="L166" s="308" t="str">
        <f>IF(A166&lt;&gt;"",IFERROR(INDEX(PMtbl[[WKst]:[Unit of measure*]],MATCH($A$124&amp;$A166&amp;$E166&amp;$H166,INDEX(PMtbl[Sec]&amp;PMtbl[Category]&amp;PMtbl[INN]&amp;PMtbl[Specification],0,),0),8),""),"")</f>
        <v/>
      </c>
      <c r="M166" s="308" t="str">
        <f>IF(L166="", "",SETUP!$E$5)</f>
        <v/>
      </c>
      <c r="N166" s="1976"/>
      <c r="O166" s="1977"/>
      <c r="P166" s="1977"/>
      <c r="Q166" s="1977"/>
      <c r="R166" s="1977"/>
      <c r="S166" s="1887">
        <f>SUM('Malaria-Equipment &amp; Other HPs'!$O166:$R166)</f>
        <v>0</v>
      </c>
      <c r="T166" s="1888">
        <f>'Malaria-Equipment &amp; Other HPs'!$N166*'Malaria-Equipment &amp; Other HPs'!$S166</f>
        <v>0</v>
      </c>
      <c r="U166" s="1982"/>
      <c r="V166" s="1977"/>
      <c r="W166" s="1977"/>
      <c r="X166" s="1977"/>
      <c r="Y166" s="1977"/>
      <c r="Z166" s="1887">
        <f>SUM('Malaria-Equipment &amp; Other HPs'!$V166:$Y166)</f>
        <v>0</v>
      </c>
      <c r="AA166" s="1888">
        <f>'Malaria-Equipment &amp; Other HPs'!$U166*'Malaria-Equipment &amp; Other HPs'!$Z166</f>
        <v>0</v>
      </c>
      <c r="AB166" s="1976"/>
      <c r="AC166" s="1977"/>
      <c r="AD166" s="1977"/>
      <c r="AE166" s="1977"/>
      <c r="AF166" s="1977"/>
      <c r="AG166" s="1887">
        <f>SUM('Malaria-Equipment &amp; Other HPs'!$AC166:$AF166)</f>
        <v>0</v>
      </c>
      <c r="AH166" s="1888">
        <f>'Malaria-Equipment &amp; Other HPs'!$AB166*'Malaria-Equipment &amp; Other HPs'!$AG166</f>
        <v>0</v>
      </c>
      <c r="AI166" s="1889">
        <f>'Malaria-Equipment &amp; Other HPs'!$S166+'Malaria-Equipment &amp; Other HPs'!$Z166+'Malaria-Equipment &amp; Other HPs'!$AG166</f>
        <v>0</v>
      </c>
      <c r="AJ166" s="1888">
        <f>'Malaria-Equipment &amp; Other HPs'!$T166+'Malaria-Equipment &amp; Other HPs'!$AA166+'Malaria-Equipment &amp; Other HPs'!$AH166</f>
        <v>0</v>
      </c>
      <c r="AK166" s="1890" t="str">
        <f>IF(A166&lt;&gt;"",IFERROR(INDEX(PMtbl[[WKst]:[Unit of measure*]],MATCH($A$124&amp;$A166&amp;$E166&amp;$H166,INDEX(PMtbl[Sec]&amp;PMtbl[Category]&amp;PMtbl[INN]&amp;PMtbl[Specification],0,),0),7),""),"")</f>
        <v/>
      </c>
      <c r="AL166" s="956"/>
      <c r="AM166" s="1522" t="str">
        <f>IFERROR(INDEX(SETUP!$C$19:$G$62,MATCH((INDEX(PMtbl[[WKst]:[Unit of measure*]],MATCH($A166&amp;$E166&amp;$H166,INDEX(PMtbl[Category]&amp;PMtbl[INN]&amp;PMtbl[Specification],0,),0),3)),SETUP!$D$19:$D$62,0),5),"")</f>
        <v/>
      </c>
      <c r="AN166" s="1495" t="str">
        <f>IFERROR(IF((INDEX(SETUP!$C$19:$G$62,MATCH((INDEX(PMtbl[[WKst]:[Unit of measure*]],MATCH($A166&amp;$E166&amp;$H166,INDEX(PMtbl[Category]&amp;PMtbl[INN]&amp;PMtbl[Specification],0,),0),3)),SETUP!$D$19:$D$62,0),4))="Upfront",0,INDEX(SETUP!$C$19:$G$62,MATCH((INDEX(PMtbl[[WKst]:[Unit of measure*]],MATCH($A166&amp;$E166&amp;$H166,INDEX(PMtbl[Category]&amp;PMtbl[INN]&amp;PMtbl[Specification],0,),0),3)),SETUP!$D$19:$D$62,0),5)),"")</f>
        <v/>
      </c>
    </row>
    <row r="167" spans="1:40" s="198" customFormat="1">
      <c r="A167" s="3034"/>
      <c r="B167" s="3035"/>
      <c r="C167" s="3035"/>
      <c r="D167" s="3036"/>
      <c r="E167" s="3039"/>
      <c r="F167" s="3040"/>
      <c r="G167" s="3041"/>
      <c r="H167" s="3050"/>
      <c r="I167" s="2728"/>
      <c r="J167" s="2728"/>
      <c r="K167" s="3051"/>
      <c r="L167" s="307" t="str">
        <f>IF(A167&lt;&gt;"",IFERROR(INDEX(PMtbl[[WKst]:[Unit of measure*]],MATCH($A$124&amp;$A167&amp;$E167&amp;$H167,INDEX(PMtbl[Sec]&amp;PMtbl[Category]&amp;PMtbl[INN]&amp;PMtbl[Specification],0,),0),8),""),"")</f>
        <v/>
      </c>
      <c r="M167" s="307" t="str">
        <f>IF(L167="", "",SETUP!$E$5)</f>
        <v/>
      </c>
      <c r="N167" s="1975"/>
      <c r="O167" s="12"/>
      <c r="P167" s="12"/>
      <c r="Q167" s="12"/>
      <c r="R167" s="12"/>
      <c r="S167" s="1883">
        <f>SUM('Malaria-Equipment &amp; Other HPs'!$O167:$R167)</f>
        <v>0</v>
      </c>
      <c r="T167" s="1884">
        <f>'Malaria-Equipment &amp; Other HPs'!$N167*'Malaria-Equipment &amp; Other HPs'!$S167</f>
        <v>0</v>
      </c>
      <c r="U167" s="1981"/>
      <c r="V167" s="12"/>
      <c r="W167" s="12"/>
      <c r="X167" s="12"/>
      <c r="Y167" s="12"/>
      <c r="Z167" s="1883">
        <f>SUM('Malaria-Equipment &amp; Other HPs'!$V167:$Y167)</f>
        <v>0</v>
      </c>
      <c r="AA167" s="1884">
        <f>'Malaria-Equipment &amp; Other HPs'!$U167*'Malaria-Equipment &amp; Other HPs'!$Z167</f>
        <v>0</v>
      </c>
      <c r="AB167" s="1975"/>
      <c r="AC167" s="12"/>
      <c r="AD167" s="12"/>
      <c r="AE167" s="12"/>
      <c r="AF167" s="12"/>
      <c r="AG167" s="1883">
        <f>SUM('Malaria-Equipment &amp; Other HPs'!$AC167:$AF167)</f>
        <v>0</v>
      </c>
      <c r="AH167" s="1884">
        <f>'Malaria-Equipment &amp; Other HPs'!$AB167*'Malaria-Equipment &amp; Other HPs'!$AG167</f>
        <v>0</v>
      </c>
      <c r="AI167" s="1885">
        <f>'Malaria-Equipment &amp; Other HPs'!$S167+'Malaria-Equipment &amp; Other HPs'!$Z167+'Malaria-Equipment &amp; Other HPs'!$AG167</f>
        <v>0</v>
      </c>
      <c r="AJ167" s="1884">
        <f>'Malaria-Equipment &amp; Other HPs'!$T167+'Malaria-Equipment &amp; Other HPs'!$AA167+'Malaria-Equipment &amp; Other HPs'!$AH167</f>
        <v>0</v>
      </c>
      <c r="AK167" s="1886" t="str">
        <f>IF(A167&lt;&gt;"",IFERROR(INDEX(PMtbl[[WKst]:[Unit of measure*]],MATCH($A$124&amp;$A167&amp;$E167&amp;$H167,INDEX(PMtbl[Sec]&amp;PMtbl[Category]&amp;PMtbl[INN]&amp;PMtbl[Specification],0,),0),7),""),"")</f>
        <v/>
      </c>
      <c r="AL167" s="957"/>
      <c r="AM167" s="1520" t="str">
        <f>IFERROR(INDEX(SETUP!$C$19:$G$62,MATCH((INDEX(PMtbl[[WKst]:[Unit of measure*]],MATCH($A167&amp;$E167&amp;$H167,INDEX(PMtbl[Category]&amp;PMtbl[INN]&amp;PMtbl[Specification],0,),0),3)),SETUP!$D$19:$D$62,0),5),"")</f>
        <v/>
      </c>
      <c r="AN167" s="1494" t="str">
        <f>IFERROR(IF((INDEX(SETUP!$C$19:$G$62,MATCH((INDEX(PMtbl[[WKst]:[Unit of measure*]],MATCH($A167&amp;$E167&amp;$H167,INDEX(PMtbl[Category]&amp;PMtbl[INN]&amp;PMtbl[Specification],0,),0),3)),SETUP!$D$19:$D$62,0),4))="Upfront",0,INDEX(SETUP!$C$19:$G$62,MATCH((INDEX(PMtbl[[WKst]:[Unit of measure*]],MATCH($A167&amp;$E167&amp;$H167,INDEX(PMtbl[Category]&amp;PMtbl[INN]&amp;PMtbl[Specification],0,),0),3)),SETUP!$D$19:$D$62,0),5)),"")</f>
        <v/>
      </c>
    </row>
    <row r="168" spans="1:40" s="198" customFormat="1">
      <c r="A168" s="2950"/>
      <c r="B168" s="2951"/>
      <c r="C168" s="2951"/>
      <c r="D168" s="2952"/>
      <c r="E168" s="3058"/>
      <c r="F168" s="3059"/>
      <c r="G168" s="3060"/>
      <c r="H168" s="3052"/>
      <c r="I168" s="3053"/>
      <c r="J168" s="3053"/>
      <c r="K168" s="3054"/>
      <c r="L168" s="308" t="str">
        <f>IF(A168&lt;&gt;"",IFERROR(INDEX(PMtbl[[WKst]:[Unit of measure*]],MATCH($A$124&amp;$A168&amp;$E168&amp;$H168,INDEX(PMtbl[Sec]&amp;PMtbl[Category]&amp;PMtbl[INN]&amp;PMtbl[Specification],0,),0),8),""),"")</f>
        <v/>
      </c>
      <c r="M168" s="308" t="str">
        <f>IF(L168="", "",SETUP!$E$5)</f>
        <v/>
      </c>
      <c r="N168" s="1976"/>
      <c r="O168" s="1977"/>
      <c r="P168" s="1977"/>
      <c r="Q168" s="1977"/>
      <c r="R168" s="1977"/>
      <c r="S168" s="1887">
        <f>SUM('Malaria-Equipment &amp; Other HPs'!$O168:$R168)</f>
        <v>0</v>
      </c>
      <c r="T168" s="1888">
        <f>'Malaria-Equipment &amp; Other HPs'!$N168*'Malaria-Equipment &amp; Other HPs'!$S168</f>
        <v>0</v>
      </c>
      <c r="U168" s="1982"/>
      <c r="V168" s="1977"/>
      <c r="W168" s="1977"/>
      <c r="X168" s="1977"/>
      <c r="Y168" s="1977"/>
      <c r="Z168" s="1887">
        <f>SUM('Malaria-Equipment &amp; Other HPs'!$V168:$Y168)</f>
        <v>0</v>
      </c>
      <c r="AA168" s="1888">
        <f>'Malaria-Equipment &amp; Other HPs'!$U168*'Malaria-Equipment &amp; Other HPs'!$Z168</f>
        <v>0</v>
      </c>
      <c r="AB168" s="1976"/>
      <c r="AC168" s="1977"/>
      <c r="AD168" s="1977"/>
      <c r="AE168" s="1977"/>
      <c r="AF168" s="1977"/>
      <c r="AG168" s="1887">
        <f>SUM('Malaria-Equipment &amp; Other HPs'!$AC168:$AF168)</f>
        <v>0</v>
      </c>
      <c r="AH168" s="1888">
        <f>'Malaria-Equipment &amp; Other HPs'!$AB168*'Malaria-Equipment &amp; Other HPs'!$AG168</f>
        <v>0</v>
      </c>
      <c r="AI168" s="1889">
        <f>'Malaria-Equipment &amp; Other HPs'!$S168+'Malaria-Equipment &amp; Other HPs'!$Z168+'Malaria-Equipment &amp; Other HPs'!$AG168</f>
        <v>0</v>
      </c>
      <c r="AJ168" s="1888">
        <f>'Malaria-Equipment &amp; Other HPs'!$T168+'Malaria-Equipment &amp; Other HPs'!$AA168+'Malaria-Equipment &amp; Other HPs'!$AH168</f>
        <v>0</v>
      </c>
      <c r="AK168" s="1890" t="str">
        <f>IF(A168&lt;&gt;"",IFERROR(INDEX(PMtbl[[WKst]:[Unit of measure*]],MATCH($A$124&amp;$A168&amp;$E168&amp;$H168,INDEX(PMtbl[Sec]&amp;PMtbl[Category]&amp;PMtbl[INN]&amp;PMtbl[Specification],0,),0),7),""),"")</f>
        <v/>
      </c>
      <c r="AL168" s="956"/>
      <c r="AM168" s="1522" t="str">
        <f>IFERROR(INDEX(SETUP!$C$19:$G$62,MATCH((INDEX(PMtbl[[WKst]:[Unit of measure*]],MATCH($A168&amp;$E168&amp;$H168,INDEX(PMtbl[Category]&amp;PMtbl[INN]&amp;PMtbl[Specification],0,),0),3)),SETUP!$D$19:$D$62,0),5),"")</f>
        <v/>
      </c>
      <c r="AN168" s="1495" t="str">
        <f>IFERROR(IF((INDEX(SETUP!$C$19:$G$62,MATCH((INDEX(PMtbl[[WKst]:[Unit of measure*]],MATCH($A168&amp;$E168&amp;$H168,INDEX(PMtbl[Category]&amp;PMtbl[INN]&amp;PMtbl[Specification],0,),0),3)),SETUP!$D$19:$D$62,0),4))="Upfront",0,INDEX(SETUP!$C$19:$G$62,MATCH((INDEX(PMtbl[[WKst]:[Unit of measure*]],MATCH($A168&amp;$E168&amp;$H168,INDEX(PMtbl[Category]&amp;PMtbl[INN]&amp;PMtbl[Specification],0,),0),3)),SETUP!$D$19:$D$62,0),5)),"")</f>
        <v/>
      </c>
    </row>
    <row r="169" spans="1:40" s="198" customFormat="1">
      <c r="A169" s="3034"/>
      <c r="B169" s="3035"/>
      <c r="C169" s="3035"/>
      <c r="D169" s="3036"/>
      <c r="E169" s="3039"/>
      <c r="F169" s="3040"/>
      <c r="G169" s="3041"/>
      <c r="H169" s="3050"/>
      <c r="I169" s="2728"/>
      <c r="J169" s="2728"/>
      <c r="K169" s="3051"/>
      <c r="L169" s="307" t="str">
        <f>IF(A169&lt;&gt;"",IFERROR(INDEX(PMtbl[[WKst]:[Unit of measure*]],MATCH($A$124&amp;$A169&amp;$E169&amp;$H169,INDEX(PMtbl[Sec]&amp;PMtbl[Category]&amp;PMtbl[INN]&amp;PMtbl[Specification],0,),0),8),""),"")</f>
        <v/>
      </c>
      <c r="M169" s="307" t="str">
        <f>IF(L169="", "",SETUP!$E$5)</f>
        <v/>
      </c>
      <c r="N169" s="1975"/>
      <c r="O169" s="12"/>
      <c r="P169" s="12"/>
      <c r="Q169" s="12"/>
      <c r="R169" s="12"/>
      <c r="S169" s="1883">
        <f>SUM('Malaria-Equipment &amp; Other HPs'!$O169:$R169)</f>
        <v>0</v>
      </c>
      <c r="T169" s="1884">
        <f>'Malaria-Equipment &amp; Other HPs'!$N169*'Malaria-Equipment &amp; Other HPs'!$S169</f>
        <v>0</v>
      </c>
      <c r="U169" s="1981"/>
      <c r="V169" s="12"/>
      <c r="W169" s="12"/>
      <c r="X169" s="12"/>
      <c r="Y169" s="12"/>
      <c r="Z169" s="1883">
        <f>SUM('Malaria-Equipment &amp; Other HPs'!$V169:$Y169)</f>
        <v>0</v>
      </c>
      <c r="AA169" s="1884">
        <f>'Malaria-Equipment &amp; Other HPs'!$U169*'Malaria-Equipment &amp; Other HPs'!$Z169</f>
        <v>0</v>
      </c>
      <c r="AB169" s="1975"/>
      <c r="AC169" s="12"/>
      <c r="AD169" s="12"/>
      <c r="AE169" s="12"/>
      <c r="AF169" s="12"/>
      <c r="AG169" s="1883">
        <f>SUM('Malaria-Equipment &amp; Other HPs'!$AC169:$AF169)</f>
        <v>0</v>
      </c>
      <c r="AH169" s="1884">
        <f>'Malaria-Equipment &amp; Other HPs'!$AB169*'Malaria-Equipment &amp; Other HPs'!$AG169</f>
        <v>0</v>
      </c>
      <c r="AI169" s="1885">
        <f>'Malaria-Equipment &amp; Other HPs'!$S169+'Malaria-Equipment &amp; Other HPs'!$Z169+'Malaria-Equipment &amp; Other HPs'!$AG169</f>
        <v>0</v>
      </c>
      <c r="AJ169" s="1884">
        <f>'Malaria-Equipment &amp; Other HPs'!$T169+'Malaria-Equipment &amp; Other HPs'!$AA169+'Malaria-Equipment &amp; Other HPs'!$AH169</f>
        <v>0</v>
      </c>
      <c r="AK169" s="1886" t="str">
        <f>IF(A169&lt;&gt;"",IFERROR(INDEX(PMtbl[[WKst]:[Unit of measure*]],MATCH($A$124&amp;$A169&amp;$E169&amp;$H169,INDEX(PMtbl[Sec]&amp;PMtbl[Category]&amp;PMtbl[INN]&amp;PMtbl[Specification],0,),0),7),""),"")</f>
        <v/>
      </c>
      <c r="AL169" s="957"/>
      <c r="AM169" s="1520" t="str">
        <f>IFERROR(INDEX(SETUP!$C$19:$G$62,MATCH((INDEX(PMtbl[[WKst]:[Unit of measure*]],MATCH($A169&amp;$E169&amp;$H169,INDEX(PMtbl[Category]&amp;PMtbl[INN]&amp;PMtbl[Specification],0,),0),3)),SETUP!$D$19:$D$62,0),5),"")</f>
        <v/>
      </c>
      <c r="AN169" s="1494" t="str">
        <f>IFERROR(IF((INDEX(SETUP!$C$19:$G$62,MATCH((INDEX(PMtbl[[WKst]:[Unit of measure*]],MATCH($A169&amp;$E169&amp;$H169,INDEX(PMtbl[Category]&amp;PMtbl[INN]&amp;PMtbl[Specification],0,),0),3)),SETUP!$D$19:$D$62,0),4))="Upfront",0,INDEX(SETUP!$C$19:$G$62,MATCH((INDEX(PMtbl[[WKst]:[Unit of measure*]],MATCH($A169&amp;$E169&amp;$H169,INDEX(PMtbl[Category]&amp;PMtbl[INN]&amp;PMtbl[Specification],0,),0),3)),SETUP!$D$19:$D$62,0),5)),"")</f>
        <v/>
      </c>
    </row>
    <row r="170" spans="1:40" s="198" customFormat="1">
      <c r="A170" s="2950"/>
      <c r="B170" s="2951"/>
      <c r="C170" s="2951"/>
      <c r="D170" s="2952"/>
      <c r="E170" s="3058"/>
      <c r="F170" s="3059"/>
      <c r="G170" s="3060"/>
      <c r="H170" s="3052"/>
      <c r="I170" s="3053"/>
      <c r="J170" s="3053"/>
      <c r="K170" s="3054"/>
      <c r="L170" s="308" t="str">
        <f>IF(A170&lt;&gt;"",IFERROR(INDEX(PMtbl[[WKst]:[Unit of measure*]],MATCH($A$124&amp;$A170&amp;$E170&amp;$H170,INDEX(PMtbl[Sec]&amp;PMtbl[Category]&amp;PMtbl[INN]&amp;PMtbl[Specification],0,),0),8),""),"")</f>
        <v/>
      </c>
      <c r="M170" s="308" t="str">
        <f>IF(L170="", "",SETUP!$E$5)</f>
        <v/>
      </c>
      <c r="N170" s="1976"/>
      <c r="O170" s="1977"/>
      <c r="P170" s="1977"/>
      <c r="Q170" s="1977"/>
      <c r="R170" s="1977"/>
      <c r="S170" s="1887">
        <f>SUM('Malaria-Equipment &amp; Other HPs'!$O170:$R170)</f>
        <v>0</v>
      </c>
      <c r="T170" s="1888">
        <f>'Malaria-Equipment &amp; Other HPs'!$N170*'Malaria-Equipment &amp; Other HPs'!$S170</f>
        <v>0</v>
      </c>
      <c r="U170" s="1982"/>
      <c r="V170" s="1977"/>
      <c r="W170" s="1977"/>
      <c r="X170" s="1977"/>
      <c r="Y170" s="1977"/>
      <c r="Z170" s="1887">
        <f>SUM('Malaria-Equipment &amp; Other HPs'!$V170:$Y170)</f>
        <v>0</v>
      </c>
      <c r="AA170" s="1888">
        <f>'Malaria-Equipment &amp; Other HPs'!$U170*'Malaria-Equipment &amp; Other HPs'!$Z170</f>
        <v>0</v>
      </c>
      <c r="AB170" s="1976"/>
      <c r="AC170" s="1977"/>
      <c r="AD170" s="1977"/>
      <c r="AE170" s="1977"/>
      <c r="AF170" s="1977"/>
      <c r="AG170" s="1887">
        <f>SUM('Malaria-Equipment &amp; Other HPs'!$AC170:$AF170)</f>
        <v>0</v>
      </c>
      <c r="AH170" s="1888">
        <f>'Malaria-Equipment &amp; Other HPs'!$AB170*'Malaria-Equipment &amp; Other HPs'!$AG170</f>
        <v>0</v>
      </c>
      <c r="AI170" s="1889">
        <f>'Malaria-Equipment &amp; Other HPs'!$S170+'Malaria-Equipment &amp; Other HPs'!$Z170+'Malaria-Equipment &amp; Other HPs'!$AG170</f>
        <v>0</v>
      </c>
      <c r="AJ170" s="1888">
        <f>'Malaria-Equipment &amp; Other HPs'!$T170+'Malaria-Equipment &amp; Other HPs'!$AA170+'Malaria-Equipment &amp; Other HPs'!$AH170</f>
        <v>0</v>
      </c>
      <c r="AK170" s="1890" t="str">
        <f>IF(A170&lt;&gt;"",IFERROR(INDEX(PMtbl[[WKst]:[Unit of measure*]],MATCH($A$124&amp;$A170&amp;$E170&amp;$H170,INDEX(PMtbl[Sec]&amp;PMtbl[Category]&amp;PMtbl[INN]&amp;PMtbl[Specification],0,),0),7),""),"")</f>
        <v/>
      </c>
      <c r="AL170" s="956"/>
      <c r="AM170" s="1522" t="str">
        <f>IFERROR(INDEX(SETUP!$C$19:$G$62,MATCH((INDEX(PMtbl[[WKst]:[Unit of measure*]],MATCH($A170&amp;$E170&amp;$H170,INDEX(PMtbl[Category]&amp;PMtbl[INN]&amp;PMtbl[Specification],0,),0),3)),SETUP!$D$19:$D$62,0),5),"")</f>
        <v/>
      </c>
      <c r="AN170" s="1495" t="str">
        <f>IFERROR(IF((INDEX(SETUP!$C$19:$G$62,MATCH((INDEX(PMtbl[[WKst]:[Unit of measure*]],MATCH($A170&amp;$E170&amp;$H170,INDEX(PMtbl[Category]&amp;PMtbl[INN]&amp;PMtbl[Specification],0,),0),3)),SETUP!$D$19:$D$62,0),4))="Upfront",0,INDEX(SETUP!$C$19:$G$62,MATCH((INDEX(PMtbl[[WKst]:[Unit of measure*]],MATCH($A170&amp;$E170&amp;$H170,INDEX(PMtbl[Category]&amp;PMtbl[INN]&amp;PMtbl[Specification],0,),0),3)),SETUP!$D$19:$D$62,0),5)),"")</f>
        <v/>
      </c>
    </row>
    <row r="171" spans="1:40" s="198" customFormat="1">
      <c r="A171" s="3034"/>
      <c r="B171" s="3035"/>
      <c r="C171" s="3035"/>
      <c r="D171" s="3036"/>
      <c r="E171" s="3039"/>
      <c r="F171" s="3040"/>
      <c r="G171" s="3041"/>
      <c r="H171" s="3050"/>
      <c r="I171" s="2728"/>
      <c r="J171" s="2728"/>
      <c r="K171" s="3051"/>
      <c r="L171" s="307" t="str">
        <f>IF(A171&lt;&gt;"",IFERROR(INDEX(PMtbl[[WKst]:[Unit of measure*]],MATCH($A$124&amp;$A171&amp;$E171&amp;$H171,INDEX(PMtbl[Sec]&amp;PMtbl[Category]&amp;PMtbl[INN]&amp;PMtbl[Specification],0,),0),8),""),"")</f>
        <v/>
      </c>
      <c r="M171" s="307" t="str">
        <f>IF(L171="", "",SETUP!$E$5)</f>
        <v/>
      </c>
      <c r="N171" s="1975"/>
      <c r="O171" s="12"/>
      <c r="P171" s="12"/>
      <c r="Q171" s="12"/>
      <c r="R171" s="12"/>
      <c r="S171" s="1883">
        <f>SUM('Malaria-Equipment &amp; Other HPs'!$O171:$R171)</f>
        <v>0</v>
      </c>
      <c r="T171" s="1884">
        <f>'Malaria-Equipment &amp; Other HPs'!$N171*'Malaria-Equipment &amp; Other HPs'!$S171</f>
        <v>0</v>
      </c>
      <c r="U171" s="1981"/>
      <c r="V171" s="12"/>
      <c r="W171" s="12"/>
      <c r="X171" s="12"/>
      <c r="Y171" s="12"/>
      <c r="Z171" s="1883">
        <f>SUM('Malaria-Equipment &amp; Other HPs'!$V171:$Y171)</f>
        <v>0</v>
      </c>
      <c r="AA171" s="1884">
        <f>'Malaria-Equipment &amp; Other HPs'!$U171*'Malaria-Equipment &amp; Other HPs'!$Z171</f>
        <v>0</v>
      </c>
      <c r="AB171" s="1975"/>
      <c r="AC171" s="12"/>
      <c r="AD171" s="12"/>
      <c r="AE171" s="12"/>
      <c r="AF171" s="12"/>
      <c r="AG171" s="1883">
        <f>SUM('Malaria-Equipment &amp; Other HPs'!$AC171:$AF171)</f>
        <v>0</v>
      </c>
      <c r="AH171" s="1884">
        <f>'Malaria-Equipment &amp; Other HPs'!$AB171*'Malaria-Equipment &amp; Other HPs'!$AG171</f>
        <v>0</v>
      </c>
      <c r="AI171" s="1885">
        <f>'Malaria-Equipment &amp; Other HPs'!$S171+'Malaria-Equipment &amp; Other HPs'!$Z171+'Malaria-Equipment &amp; Other HPs'!$AG171</f>
        <v>0</v>
      </c>
      <c r="AJ171" s="1884">
        <f>'Malaria-Equipment &amp; Other HPs'!$T171+'Malaria-Equipment &amp; Other HPs'!$AA171+'Malaria-Equipment &amp; Other HPs'!$AH171</f>
        <v>0</v>
      </c>
      <c r="AK171" s="1886" t="str">
        <f>IF(A171&lt;&gt;"",IFERROR(INDEX(PMtbl[[WKst]:[Unit of measure*]],MATCH($A$124&amp;$A171&amp;$E171&amp;$H171,INDEX(PMtbl[Sec]&amp;PMtbl[Category]&amp;PMtbl[INN]&amp;PMtbl[Specification],0,),0),7),""),"")</f>
        <v/>
      </c>
      <c r="AL171" s="957"/>
      <c r="AM171" s="1520" t="str">
        <f>IFERROR(INDEX(SETUP!$C$19:$G$62,MATCH((INDEX(PMtbl[[WKst]:[Unit of measure*]],MATCH($A171&amp;$E171&amp;$H171,INDEX(PMtbl[Category]&amp;PMtbl[INN]&amp;PMtbl[Specification],0,),0),3)),SETUP!$D$19:$D$62,0),5),"")</f>
        <v/>
      </c>
      <c r="AN171" s="1494" t="str">
        <f>IFERROR(IF((INDEX(SETUP!$C$19:$G$62,MATCH((INDEX(PMtbl[[WKst]:[Unit of measure*]],MATCH($A171&amp;$E171&amp;$H171,INDEX(PMtbl[Category]&amp;PMtbl[INN]&amp;PMtbl[Specification],0,),0),3)),SETUP!$D$19:$D$62,0),4))="Upfront",0,INDEX(SETUP!$C$19:$G$62,MATCH((INDEX(PMtbl[[WKst]:[Unit of measure*]],MATCH($A171&amp;$E171&amp;$H171,INDEX(PMtbl[Category]&amp;PMtbl[INN]&amp;PMtbl[Specification],0,),0),3)),SETUP!$D$19:$D$62,0),5)),"")</f>
        <v/>
      </c>
    </row>
    <row r="172" spans="1:40" s="198" customFormat="1">
      <c r="A172" s="2950"/>
      <c r="B172" s="2951"/>
      <c r="C172" s="2951"/>
      <c r="D172" s="2952"/>
      <c r="E172" s="3058"/>
      <c r="F172" s="3059"/>
      <c r="G172" s="3060"/>
      <c r="H172" s="3052"/>
      <c r="I172" s="3053"/>
      <c r="J172" s="3053"/>
      <c r="K172" s="3054"/>
      <c r="L172" s="308" t="str">
        <f>IF(A172&lt;&gt;"",IFERROR(INDEX(PMtbl[[WKst]:[Unit of measure*]],MATCH($A$124&amp;$A172&amp;$E172&amp;$H172,INDEX(PMtbl[Sec]&amp;PMtbl[Category]&amp;PMtbl[INN]&amp;PMtbl[Specification],0,),0),8),""),"")</f>
        <v/>
      </c>
      <c r="M172" s="308" t="str">
        <f>IF(L172="", "",SETUP!$E$5)</f>
        <v/>
      </c>
      <c r="N172" s="1976"/>
      <c r="O172" s="1977"/>
      <c r="P172" s="1977"/>
      <c r="Q172" s="1977"/>
      <c r="R172" s="1977"/>
      <c r="S172" s="1887">
        <f>SUM('Malaria-Equipment &amp; Other HPs'!$O172:$R172)</f>
        <v>0</v>
      </c>
      <c r="T172" s="1888">
        <f>'Malaria-Equipment &amp; Other HPs'!$N172*'Malaria-Equipment &amp; Other HPs'!$S172</f>
        <v>0</v>
      </c>
      <c r="U172" s="1982"/>
      <c r="V172" s="1977"/>
      <c r="W172" s="1977"/>
      <c r="X172" s="1977"/>
      <c r="Y172" s="1977"/>
      <c r="Z172" s="1887">
        <f>SUM('Malaria-Equipment &amp; Other HPs'!$V172:$Y172)</f>
        <v>0</v>
      </c>
      <c r="AA172" s="1888">
        <f>'Malaria-Equipment &amp; Other HPs'!$U172*'Malaria-Equipment &amp; Other HPs'!$Z172</f>
        <v>0</v>
      </c>
      <c r="AB172" s="1976"/>
      <c r="AC172" s="1977"/>
      <c r="AD172" s="1977"/>
      <c r="AE172" s="1977"/>
      <c r="AF172" s="1977"/>
      <c r="AG172" s="1887">
        <f>SUM('Malaria-Equipment &amp; Other HPs'!$AC172:$AF172)</f>
        <v>0</v>
      </c>
      <c r="AH172" s="1888">
        <f>'Malaria-Equipment &amp; Other HPs'!$AB172*'Malaria-Equipment &amp; Other HPs'!$AG172</f>
        <v>0</v>
      </c>
      <c r="AI172" s="1889">
        <f>'Malaria-Equipment &amp; Other HPs'!$S172+'Malaria-Equipment &amp; Other HPs'!$Z172+'Malaria-Equipment &amp; Other HPs'!$AG172</f>
        <v>0</v>
      </c>
      <c r="AJ172" s="1888">
        <f>'Malaria-Equipment &amp; Other HPs'!$T172+'Malaria-Equipment &amp; Other HPs'!$AA172+'Malaria-Equipment &amp; Other HPs'!$AH172</f>
        <v>0</v>
      </c>
      <c r="AK172" s="1890" t="str">
        <f>IF(A172&lt;&gt;"",IFERROR(INDEX(PMtbl[[WKst]:[Unit of measure*]],MATCH($A$124&amp;$A172&amp;$E172&amp;$H172,INDEX(PMtbl[Sec]&amp;PMtbl[Category]&amp;PMtbl[INN]&amp;PMtbl[Specification],0,),0),7),""),"")</f>
        <v/>
      </c>
      <c r="AL172" s="956"/>
      <c r="AM172" s="1522" t="str">
        <f>IFERROR(INDEX(SETUP!$C$19:$G$62,MATCH((INDEX(PMtbl[[WKst]:[Unit of measure*]],MATCH($A172&amp;$E172&amp;$H172,INDEX(PMtbl[Category]&amp;PMtbl[INN]&amp;PMtbl[Specification],0,),0),3)),SETUP!$D$19:$D$62,0),5),"")</f>
        <v/>
      </c>
      <c r="AN172" s="1495" t="str">
        <f>IFERROR(IF((INDEX(SETUP!$C$19:$G$62,MATCH((INDEX(PMtbl[[WKst]:[Unit of measure*]],MATCH($A172&amp;$E172&amp;$H172,INDEX(PMtbl[Category]&amp;PMtbl[INN]&amp;PMtbl[Specification],0,),0),3)),SETUP!$D$19:$D$62,0),4))="Upfront",0,INDEX(SETUP!$C$19:$G$62,MATCH((INDEX(PMtbl[[WKst]:[Unit of measure*]],MATCH($A172&amp;$E172&amp;$H172,INDEX(PMtbl[Category]&amp;PMtbl[INN]&amp;PMtbl[Specification],0,),0),3)),SETUP!$D$19:$D$62,0),5)),"")</f>
        <v/>
      </c>
    </row>
    <row r="173" spans="1:40" s="198" customFormat="1">
      <c r="A173" s="3034"/>
      <c r="B173" s="3035"/>
      <c r="C173" s="3035"/>
      <c r="D173" s="3036"/>
      <c r="E173" s="3039"/>
      <c r="F173" s="3040"/>
      <c r="G173" s="3041"/>
      <c r="H173" s="3050"/>
      <c r="I173" s="2728"/>
      <c r="J173" s="2728"/>
      <c r="K173" s="3051"/>
      <c r="L173" s="307" t="str">
        <f>IF(A173&lt;&gt;"",IFERROR(INDEX(PMtbl[[WKst]:[Unit of measure*]],MATCH($A$124&amp;$A173&amp;$E173&amp;$H173,INDEX(PMtbl[Sec]&amp;PMtbl[Category]&amp;PMtbl[INN]&amp;PMtbl[Specification],0,),0),8),""),"")</f>
        <v/>
      </c>
      <c r="M173" s="307" t="str">
        <f>IF(L173="", "",SETUP!$E$5)</f>
        <v/>
      </c>
      <c r="N173" s="1975"/>
      <c r="O173" s="12"/>
      <c r="P173" s="12"/>
      <c r="Q173" s="12"/>
      <c r="R173" s="12"/>
      <c r="S173" s="1883">
        <f>SUM('Malaria-Equipment &amp; Other HPs'!$O173:$R173)</f>
        <v>0</v>
      </c>
      <c r="T173" s="1884">
        <f>'Malaria-Equipment &amp; Other HPs'!$N173*'Malaria-Equipment &amp; Other HPs'!$S173</f>
        <v>0</v>
      </c>
      <c r="U173" s="1981"/>
      <c r="V173" s="12"/>
      <c r="W173" s="12"/>
      <c r="X173" s="12"/>
      <c r="Y173" s="12"/>
      <c r="Z173" s="1883">
        <f>SUM('Malaria-Equipment &amp; Other HPs'!$V173:$Y173)</f>
        <v>0</v>
      </c>
      <c r="AA173" s="1884">
        <f>'Malaria-Equipment &amp; Other HPs'!$U173*'Malaria-Equipment &amp; Other HPs'!$Z173</f>
        <v>0</v>
      </c>
      <c r="AB173" s="1975"/>
      <c r="AC173" s="12"/>
      <c r="AD173" s="12"/>
      <c r="AE173" s="12"/>
      <c r="AF173" s="12"/>
      <c r="AG173" s="1883">
        <f>SUM('Malaria-Equipment &amp; Other HPs'!$AC173:$AF173)</f>
        <v>0</v>
      </c>
      <c r="AH173" s="1884">
        <f>'Malaria-Equipment &amp; Other HPs'!$AB173*'Malaria-Equipment &amp; Other HPs'!$AG173</f>
        <v>0</v>
      </c>
      <c r="AI173" s="1885">
        <f>'Malaria-Equipment &amp; Other HPs'!$S173+'Malaria-Equipment &amp; Other HPs'!$Z173+'Malaria-Equipment &amp; Other HPs'!$AG173</f>
        <v>0</v>
      </c>
      <c r="AJ173" s="1884">
        <f>'Malaria-Equipment &amp; Other HPs'!$T173+'Malaria-Equipment &amp; Other HPs'!$AA173+'Malaria-Equipment &amp; Other HPs'!$AH173</f>
        <v>0</v>
      </c>
      <c r="AK173" s="1886" t="str">
        <f>IF(A173&lt;&gt;"",IFERROR(INDEX(PMtbl[[WKst]:[Unit of measure*]],MATCH($A$124&amp;$A173&amp;$E173&amp;$H173,INDEX(PMtbl[Sec]&amp;PMtbl[Category]&amp;PMtbl[INN]&amp;PMtbl[Specification],0,),0),7),""),"")</f>
        <v/>
      </c>
      <c r="AL173" s="957"/>
      <c r="AM173" s="1520" t="str">
        <f>IFERROR(INDEX(SETUP!$C$19:$G$62,MATCH((INDEX(PMtbl[[WKst]:[Unit of measure*]],MATCH($A173&amp;$E173&amp;$H173,INDEX(PMtbl[Category]&amp;PMtbl[INN]&amp;PMtbl[Specification],0,),0),3)),SETUP!$D$19:$D$62,0),5),"")</f>
        <v/>
      </c>
      <c r="AN173" s="1494" t="str">
        <f>IFERROR(IF((INDEX(SETUP!$C$19:$G$62,MATCH((INDEX(PMtbl[[WKst]:[Unit of measure*]],MATCH($A173&amp;$E173&amp;$H173,INDEX(PMtbl[Category]&amp;PMtbl[INN]&amp;PMtbl[Specification],0,),0),3)),SETUP!$D$19:$D$62,0),4))="Upfront",0,INDEX(SETUP!$C$19:$G$62,MATCH((INDEX(PMtbl[[WKst]:[Unit of measure*]],MATCH($A173&amp;$E173&amp;$H173,INDEX(PMtbl[Category]&amp;PMtbl[INN]&amp;PMtbl[Specification],0,),0),3)),SETUP!$D$19:$D$62,0),5)),"")</f>
        <v/>
      </c>
    </row>
    <row r="174" spans="1:40" s="198" customFormat="1">
      <c r="A174" s="2950"/>
      <c r="B174" s="2951"/>
      <c r="C174" s="2951"/>
      <c r="D174" s="2952"/>
      <c r="E174" s="3058"/>
      <c r="F174" s="3059"/>
      <c r="G174" s="3060"/>
      <c r="H174" s="3052"/>
      <c r="I174" s="3053"/>
      <c r="J174" s="3053"/>
      <c r="K174" s="3054"/>
      <c r="L174" s="308" t="str">
        <f>IF(A174&lt;&gt;"",IFERROR(INDEX(PMtbl[[WKst]:[Unit of measure*]],MATCH($A$124&amp;$A174&amp;$E174&amp;$H174,INDEX(PMtbl[Sec]&amp;PMtbl[Category]&amp;PMtbl[INN]&amp;PMtbl[Specification],0,),0),8),""),"")</f>
        <v/>
      </c>
      <c r="M174" s="308" t="str">
        <f>IF(L174="", "",SETUP!$E$5)</f>
        <v/>
      </c>
      <c r="N174" s="1976"/>
      <c r="O174" s="1977"/>
      <c r="P174" s="1977"/>
      <c r="Q174" s="1977"/>
      <c r="R174" s="1977"/>
      <c r="S174" s="1887">
        <f>SUM('Malaria-Equipment &amp; Other HPs'!$O174:$R174)</f>
        <v>0</v>
      </c>
      <c r="T174" s="1888">
        <f>'Malaria-Equipment &amp; Other HPs'!$N174*'Malaria-Equipment &amp; Other HPs'!$S174</f>
        <v>0</v>
      </c>
      <c r="U174" s="1982"/>
      <c r="V174" s="1977"/>
      <c r="W174" s="1977"/>
      <c r="X174" s="1977"/>
      <c r="Y174" s="1977"/>
      <c r="Z174" s="1887">
        <f>SUM('Malaria-Equipment &amp; Other HPs'!$V174:$Y174)</f>
        <v>0</v>
      </c>
      <c r="AA174" s="1888">
        <f>'Malaria-Equipment &amp; Other HPs'!$U174*'Malaria-Equipment &amp; Other HPs'!$Z174</f>
        <v>0</v>
      </c>
      <c r="AB174" s="1976"/>
      <c r="AC174" s="1977"/>
      <c r="AD174" s="1977"/>
      <c r="AE174" s="1977"/>
      <c r="AF174" s="1977"/>
      <c r="AG174" s="1887">
        <f>SUM('Malaria-Equipment &amp; Other HPs'!$AC174:$AF174)</f>
        <v>0</v>
      </c>
      <c r="AH174" s="1888">
        <f>'Malaria-Equipment &amp; Other HPs'!$AB174*'Malaria-Equipment &amp; Other HPs'!$AG174</f>
        <v>0</v>
      </c>
      <c r="AI174" s="1889">
        <f>'Malaria-Equipment &amp; Other HPs'!$S174+'Malaria-Equipment &amp; Other HPs'!$Z174+'Malaria-Equipment &amp; Other HPs'!$AG174</f>
        <v>0</v>
      </c>
      <c r="AJ174" s="1888">
        <f>'Malaria-Equipment &amp; Other HPs'!$T174+'Malaria-Equipment &amp; Other HPs'!$AA174+'Malaria-Equipment &amp; Other HPs'!$AH174</f>
        <v>0</v>
      </c>
      <c r="AK174" s="1890" t="str">
        <f>IF(A174&lt;&gt;"",IFERROR(INDEX(PMtbl[[WKst]:[Unit of measure*]],MATCH($A$124&amp;$A174&amp;$E174&amp;$H174,INDEX(PMtbl[Sec]&amp;PMtbl[Category]&amp;PMtbl[INN]&amp;PMtbl[Specification],0,),0),7),""),"")</f>
        <v/>
      </c>
      <c r="AL174" s="956"/>
      <c r="AM174" s="1522" t="str">
        <f>IFERROR(INDEX(SETUP!$C$19:$G$62,MATCH((INDEX(PMtbl[[WKst]:[Unit of measure*]],MATCH($A174&amp;$E174&amp;$H174,INDEX(PMtbl[Category]&amp;PMtbl[INN]&amp;PMtbl[Specification],0,),0),3)),SETUP!$D$19:$D$62,0),5),"")</f>
        <v/>
      </c>
      <c r="AN174" s="1495" t="str">
        <f>IFERROR(IF((INDEX(SETUP!$C$19:$G$62,MATCH((INDEX(PMtbl[[WKst]:[Unit of measure*]],MATCH($A174&amp;$E174&amp;$H174,INDEX(PMtbl[Category]&amp;PMtbl[INN]&amp;PMtbl[Specification],0,),0),3)),SETUP!$D$19:$D$62,0),4))="Upfront",0,INDEX(SETUP!$C$19:$G$62,MATCH((INDEX(PMtbl[[WKst]:[Unit of measure*]],MATCH($A174&amp;$E174&amp;$H174,INDEX(PMtbl[Category]&amp;PMtbl[INN]&amp;PMtbl[Specification],0,),0),3)),SETUP!$D$19:$D$62,0),5)),"")</f>
        <v/>
      </c>
    </row>
    <row r="175" spans="1:40" s="198" customFormat="1">
      <c r="A175" s="3034"/>
      <c r="B175" s="3035"/>
      <c r="C175" s="3035"/>
      <c r="D175" s="3036"/>
      <c r="E175" s="3039"/>
      <c r="F175" s="3040"/>
      <c r="G175" s="3041"/>
      <c r="H175" s="3050"/>
      <c r="I175" s="2728"/>
      <c r="J175" s="2728"/>
      <c r="K175" s="3051"/>
      <c r="L175" s="307" t="str">
        <f>IF(A175&lt;&gt;"",IFERROR(INDEX(PMtbl[[WKst]:[Unit of measure*]],MATCH($A$124&amp;$A175&amp;$E175&amp;$H175,INDEX(PMtbl[Sec]&amp;PMtbl[Category]&amp;PMtbl[INN]&amp;PMtbl[Specification],0,),0),8),""),"")</f>
        <v/>
      </c>
      <c r="M175" s="307" t="str">
        <f>IF(L175="", "",SETUP!$E$5)</f>
        <v/>
      </c>
      <c r="N175" s="1975"/>
      <c r="O175" s="12"/>
      <c r="P175" s="12"/>
      <c r="Q175" s="12"/>
      <c r="R175" s="12"/>
      <c r="S175" s="1883">
        <f>SUM('Malaria-Equipment &amp; Other HPs'!$O175:$R175)</f>
        <v>0</v>
      </c>
      <c r="T175" s="1884">
        <f>'Malaria-Equipment &amp; Other HPs'!$N175*'Malaria-Equipment &amp; Other HPs'!$S175</f>
        <v>0</v>
      </c>
      <c r="U175" s="1981"/>
      <c r="V175" s="12"/>
      <c r="W175" s="12"/>
      <c r="X175" s="12"/>
      <c r="Y175" s="12"/>
      <c r="Z175" s="1883">
        <f>SUM('Malaria-Equipment &amp; Other HPs'!$V175:$Y175)</f>
        <v>0</v>
      </c>
      <c r="AA175" s="1884">
        <f>'Malaria-Equipment &amp; Other HPs'!$U175*'Malaria-Equipment &amp; Other HPs'!$Z175</f>
        <v>0</v>
      </c>
      <c r="AB175" s="1975"/>
      <c r="AC175" s="12"/>
      <c r="AD175" s="12"/>
      <c r="AE175" s="12"/>
      <c r="AF175" s="12"/>
      <c r="AG175" s="1883">
        <f>SUM('Malaria-Equipment &amp; Other HPs'!$AC175:$AF175)</f>
        <v>0</v>
      </c>
      <c r="AH175" s="1884">
        <f>'Malaria-Equipment &amp; Other HPs'!$AB175*'Malaria-Equipment &amp; Other HPs'!$AG175</f>
        <v>0</v>
      </c>
      <c r="AI175" s="1885">
        <f>'Malaria-Equipment &amp; Other HPs'!$S175+'Malaria-Equipment &amp; Other HPs'!$Z175+'Malaria-Equipment &amp; Other HPs'!$AG175</f>
        <v>0</v>
      </c>
      <c r="AJ175" s="1884">
        <f>'Malaria-Equipment &amp; Other HPs'!$T175+'Malaria-Equipment &amp; Other HPs'!$AA175+'Malaria-Equipment &amp; Other HPs'!$AH175</f>
        <v>0</v>
      </c>
      <c r="AK175" s="1886" t="str">
        <f>IF(A175&lt;&gt;"",IFERROR(INDEX(PMtbl[[WKst]:[Unit of measure*]],MATCH($A$124&amp;$A175&amp;$E175&amp;$H175,INDEX(PMtbl[Sec]&amp;PMtbl[Category]&amp;PMtbl[INN]&amp;PMtbl[Specification],0,),0),7),""),"")</f>
        <v/>
      </c>
      <c r="AL175" s="957"/>
      <c r="AM175" s="1520" t="str">
        <f>IFERROR(INDEX(SETUP!$C$19:$G$62,MATCH((INDEX(PMtbl[[WKst]:[Unit of measure*]],MATCH($A175&amp;$E175&amp;$H175,INDEX(PMtbl[Category]&amp;PMtbl[INN]&amp;PMtbl[Specification],0,),0),3)),SETUP!$D$19:$D$62,0),5),"")</f>
        <v/>
      </c>
      <c r="AN175" s="1494" t="str">
        <f>IFERROR(IF((INDEX(SETUP!$C$19:$G$62,MATCH((INDEX(PMtbl[[WKst]:[Unit of measure*]],MATCH($A175&amp;$E175&amp;$H175,INDEX(PMtbl[Category]&amp;PMtbl[INN]&amp;PMtbl[Specification],0,),0),3)),SETUP!$D$19:$D$62,0),4))="Upfront",0,INDEX(SETUP!$C$19:$G$62,MATCH((INDEX(PMtbl[[WKst]:[Unit of measure*]],MATCH($A175&amp;$E175&amp;$H175,INDEX(PMtbl[Category]&amp;PMtbl[INN]&amp;PMtbl[Specification],0,),0),3)),SETUP!$D$19:$D$62,0),5)),"")</f>
        <v/>
      </c>
    </row>
    <row r="176" spans="1:40" s="198" customFormat="1">
      <c r="A176" s="2950"/>
      <c r="B176" s="2951"/>
      <c r="C176" s="2951"/>
      <c r="D176" s="2952"/>
      <c r="E176" s="3058"/>
      <c r="F176" s="3059"/>
      <c r="G176" s="3060"/>
      <c r="H176" s="3052"/>
      <c r="I176" s="3053"/>
      <c r="J176" s="3053"/>
      <c r="K176" s="3054"/>
      <c r="L176" s="308" t="str">
        <f>IF(A176&lt;&gt;"",IFERROR(INDEX(PMtbl[[WKst]:[Unit of measure*]],MATCH($A$124&amp;$A176&amp;$E176&amp;$H176,INDEX(PMtbl[Sec]&amp;PMtbl[Category]&amp;PMtbl[INN]&amp;PMtbl[Specification],0,),0),8),""),"")</f>
        <v/>
      </c>
      <c r="M176" s="308" t="str">
        <f>IF(L176="", "",SETUP!$E$5)</f>
        <v/>
      </c>
      <c r="N176" s="1976"/>
      <c r="O176" s="1977"/>
      <c r="P176" s="1977"/>
      <c r="Q176" s="1977"/>
      <c r="R176" s="1977"/>
      <c r="S176" s="1887">
        <f>SUM('Malaria-Equipment &amp; Other HPs'!$O176:$R176)</f>
        <v>0</v>
      </c>
      <c r="T176" s="1888">
        <f>'Malaria-Equipment &amp; Other HPs'!$N176*'Malaria-Equipment &amp; Other HPs'!$S176</f>
        <v>0</v>
      </c>
      <c r="U176" s="1982"/>
      <c r="V176" s="1977"/>
      <c r="W176" s="1977"/>
      <c r="X176" s="1977"/>
      <c r="Y176" s="1977"/>
      <c r="Z176" s="1887">
        <f>SUM('Malaria-Equipment &amp; Other HPs'!$V176:$Y176)</f>
        <v>0</v>
      </c>
      <c r="AA176" s="1888">
        <f>'Malaria-Equipment &amp; Other HPs'!$U176*'Malaria-Equipment &amp; Other HPs'!$Z176</f>
        <v>0</v>
      </c>
      <c r="AB176" s="1976"/>
      <c r="AC176" s="1977"/>
      <c r="AD176" s="1977"/>
      <c r="AE176" s="1977"/>
      <c r="AF176" s="1977"/>
      <c r="AG176" s="1887">
        <f>SUM('Malaria-Equipment &amp; Other HPs'!$AC176:$AF176)</f>
        <v>0</v>
      </c>
      <c r="AH176" s="1888">
        <f>'Malaria-Equipment &amp; Other HPs'!$AB176*'Malaria-Equipment &amp; Other HPs'!$AG176</f>
        <v>0</v>
      </c>
      <c r="AI176" s="1889">
        <f>'Malaria-Equipment &amp; Other HPs'!$S176+'Malaria-Equipment &amp; Other HPs'!$Z176+'Malaria-Equipment &amp; Other HPs'!$AG176</f>
        <v>0</v>
      </c>
      <c r="AJ176" s="1888">
        <f>'Malaria-Equipment &amp; Other HPs'!$T176+'Malaria-Equipment &amp; Other HPs'!$AA176+'Malaria-Equipment &amp; Other HPs'!$AH176</f>
        <v>0</v>
      </c>
      <c r="AK176" s="1890" t="str">
        <f>IF(A176&lt;&gt;"",IFERROR(INDEX(PMtbl[[WKst]:[Unit of measure*]],MATCH($A$124&amp;$A176&amp;$E176&amp;$H176,INDEX(PMtbl[Sec]&amp;PMtbl[Category]&amp;PMtbl[INN]&amp;PMtbl[Specification],0,),0),7),""),"")</f>
        <v/>
      </c>
      <c r="AL176" s="956"/>
      <c r="AM176" s="1522" t="str">
        <f>IFERROR(INDEX(SETUP!$C$19:$G$62,MATCH((INDEX(PMtbl[[WKst]:[Unit of measure*]],MATCH($A176&amp;$E176&amp;$H176,INDEX(PMtbl[Category]&amp;PMtbl[INN]&amp;PMtbl[Specification],0,),0),3)),SETUP!$D$19:$D$62,0),5),"")</f>
        <v/>
      </c>
      <c r="AN176" s="1495" t="str">
        <f>IFERROR(IF((INDEX(SETUP!$C$19:$G$62,MATCH((INDEX(PMtbl[[WKst]:[Unit of measure*]],MATCH($A176&amp;$E176&amp;$H176,INDEX(PMtbl[Category]&amp;PMtbl[INN]&amp;PMtbl[Specification],0,),0),3)),SETUP!$D$19:$D$62,0),4))="Upfront",0,INDEX(SETUP!$C$19:$G$62,MATCH((INDEX(PMtbl[[WKst]:[Unit of measure*]],MATCH($A176&amp;$E176&amp;$H176,INDEX(PMtbl[Category]&amp;PMtbl[INN]&amp;PMtbl[Specification],0,),0),3)),SETUP!$D$19:$D$62,0),5)),"")</f>
        <v/>
      </c>
    </row>
    <row r="177" spans="1:40" s="198" customFormat="1">
      <c r="A177" s="3034"/>
      <c r="B177" s="3035"/>
      <c r="C177" s="3035"/>
      <c r="D177" s="3036"/>
      <c r="E177" s="3039"/>
      <c r="F177" s="3040"/>
      <c r="G177" s="3041"/>
      <c r="H177" s="3050"/>
      <c r="I177" s="2728"/>
      <c r="J177" s="2728"/>
      <c r="K177" s="3051"/>
      <c r="L177" s="307" t="str">
        <f>IF(A177&lt;&gt;"",IFERROR(INDEX(PMtbl[[WKst]:[Unit of measure*]],MATCH($A$124&amp;$A177&amp;$E177&amp;$H177,INDEX(PMtbl[Sec]&amp;PMtbl[Category]&amp;PMtbl[INN]&amp;PMtbl[Specification],0,),0),8),""),"")</f>
        <v/>
      </c>
      <c r="M177" s="307" t="str">
        <f>IF(L177="", "",SETUP!$E$5)</f>
        <v/>
      </c>
      <c r="N177" s="1975"/>
      <c r="O177" s="12"/>
      <c r="P177" s="12"/>
      <c r="Q177" s="12"/>
      <c r="R177" s="12"/>
      <c r="S177" s="1883">
        <f>SUM('Malaria-Equipment &amp; Other HPs'!$O177:$R177)</f>
        <v>0</v>
      </c>
      <c r="T177" s="1884">
        <f>'Malaria-Equipment &amp; Other HPs'!$N177*'Malaria-Equipment &amp; Other HPs'!$S177</f>
        <v>0</v>
      </c>
      <c r="U177" s="1981"/>
      <c r="V177" s="12"/>
      <c r="W177" s="12"/>
      <c r="X177" s="12"/>
      <c r="Y177" s="12"/>
      <c r="Z177" s="1883">
        <f>SUM('Malaria-Equipment &amp; Other HPs'!$V177:$Y177)</f>
        <v>0</v>
      </c>
      <c r="AA177" s="1884">
        <f>'Malaria-Equipment &amp; Other HPs'!$U177*'Malaria-Equipment &amp; Other HPs'!$Z177</f>
        <v>0</v>
      </c>
      <c r="AB177" s="1975"/>
      <c r="AC177" s="12"/>
      <c r="AD177" s="12"/>
      <c r="AE177" s="12"/>
      <c r="AF177" s="12"/>
      <c r="AG177" s="1883">
        <f>SUM('Malaria-Equipment &amp; Other HPs'!$AC177:$AF177)</f>
        <v>0</v>
      </c>
      <c r="AH177" s="1884">
        <f>'Malaria-Equipment &amp; Other HPs'!$AB177*'Malaria-Equipment &amp; Other HPs'!$AG177</f>
        <v>0</v>
      </c>
      <c r="AI177" s="1885">
        <f>'Malaria-Equipment &amp; Other HPs'!$S177+'Malaria-Equipment &amp; Other HPs'!$Z177+'Malaria-Equipment &amp; Other HPs'!$AG177</f>
        <v>0</v>
      </c>
      <c r="AJ177" s="1884">
        <f>'Malaria-Equipment &amp; Other HPs'!$T177+'Malaria-Equipment &amp; Other HPs'!$AA177+'Malaria-Equipment &amp; Other HPs'!$AH177</f>
        <v>0</v>
      </c>
      <c r="AK177" s="1886" t="str">
        <f>IF(A177&lt;&gt;"",IFERROR(INDEX(PMtbl[[WKst]:[Unit of measure*]],MATCH($A$124&amp;$A177&amp;$E177&amp;$H177,INDEX(PMtbl[Sec]&amp;PMtbl[Category]&amp;PMtbl[INN]&amp;PMtbl[Specification],0,),0),7),""),"")</f>
        <v/>
      </c>
      <c r="AL177" s="957"/>
      <c r="AM177" s="1520" t="str">
        <f>IFERROR(INDEX(SETUP!$C$19:$G$62,MATCH((INDEX(PMtbl[[WKst]:[Unit of measure*]],MATCH($A177&amp;$E177&amp;$H177,INDEX(PMtbl[Category]&amp;PMtbl[INN]&amp;PMtbl[Specification],0,),0),3)),SETUP!$D$19:$D$62,0),5),"")</f>
        <v/>
      </c>
      <c r="AN177" s="1494" t="str">
        <f>IFERROR(IF((INDEX(SETUP!$C$19:$G$62,MATCH((INDEX(PMtbl[[WKst]:[Unit of measure*]],MATCH($A177&amp;$E177&amp;$H177,INDEX(PMtbl[Category]&amp;PMtbl[INN]&amp;PMtbl[Specification],0,),0),3)),SETUP!$D$19:$D$62,0),4))="Upfront",0,INDEX(SETUP!$C$19:$G$62,MATCH((INDEX(PMtbl[[WKst]:[Unit of measure*]],MATCH($A177&amp;$E177&amp;$H177,INDEX(PMtbl[Category]&amp;PMtbl[INN]&amp;PMtbl[Specification],0,),0),3)),SETUP!$D$19:$D$62,0),5)),"")</f>
        <v/>
      </c>
    </row>
    <row r="178" spans="1:40" s="198" customFormat="1">
      <c r="A178" s="2950"/>
      <c r="B178" s="2951"/>
      <c r="C178" s="2951"/>
      <c r="D178" s="2952"/>
      <c r="E178" s="3058"/>
      <c r="F178" s="3059"/>
      <c r="G178" s="3060"/>
      <c r="H178" s="3052"/>
      <c r="I178" s="3053"/>
      <c r="J178" s="3053"/>
      <c r="K178" s="3054"/>
      <c r="L178" s="308" t="str">
        <f>IF(A178&lt;&gt;"",IFERROR(INDEX(PMtbl[[WKst]:[Unit of measure*]],MATCH($A$124&amp;$A178&amp;$E178&amp;$H178,INDEX(PMtbl[Sec]&amp;PMtbl[Category]&amp;PMtbl[INN]&amp;PMtbl[Specification],0,),0),8),""),"")</f>
        <v/>
      </c>
      <c r="M178" s="308" t="str">
        <f>IF(L178="", "",SETUP!$E$5)</f>
        <v/>
      </c>
      <c r="N178" s="1976"/>
      <c r="O178" s="1977"/>
      <c r="P178" s="1977"/>
      <c r="Q178" s="1977"/>
      <c r="R178" s="1977"/>
      <c r="S178" s="1887">
        <f>SUM('Malaria-Equipment &amp; Other HPs'!$O178:$R178)</f>
        <v>0</v>
      </c>
      <c r="T178" s="1888">
        <f>'Malaria-Equipment &amp; Other HPs'!$N178*'Malaria-Equipment &amp; Other HPs'!$S178</f>
        <v>0</v>
      </c>
      <c r="U178" s="1982"/>
      <c r="V178" s="1977"/>
      <c r="W178" s="1977"/>
      <c r="X178" s="1977"/>
      <c r="Y178" s="1977"/>
      <c r="Z178" s="1887">
        <f>SUM('Malaria-Equipment &amp; Other HPs'!$V178:$Y178)</f>
        <v>0</v>
      </c>
      <c r="AA178" s="1888">
        <f>'Malaria-Equipment &amp; Other HPs'!$U178*'Malaria-Equipment &amp; Other HPs'!$Z178</f>
        <v>0</v>
      </c>
      <c r="AB178" s="1976"/>
      <c r="AC178" s="1977"/>
      <c r="AD178" s="1977"/>
      <c r="AE178" s="1977"/>
      <c r="AF178" s="1977"/>
      <c r="AG178" s="1887">
        <f>SUM('Malaria-Equipment &amp; Other HPs'!$AC178:$AF178)</f>
        <v>0</v>
      </c>
      <c r="AH178" s="1888">
        <f>'Malaria-Equipment &amp; Other HPs'!$AB178*'Malaria-Equipment &amp; Other HPs'!$AG178</f>
        <v>0</v>
      </c>
      <c r="AI178" s="1889">
        <f>'Malaria-Equipment &amp; Other HPs'!$S178+'Malaria-Equipment &amp; Other HPs'!$Z178+'Malaria-Equipment &amp; Other HPs'!$AG178</f>
        <v>0</v>
      </c>
      <c r="AJ178" s="1888">
        <f>'Malaria-Equipment &amp; Other HPs'!$T178+'Malaria-Equipment &amp; Other HPs'!$AA178+'Malaria-Equipment &amp; Other HPs'!$AH178</f>
        <v>0</v>
      </c>
      <c r="AK178" s="1890" t="str">
        <f>IF(A178&lt;&gt;"",IFERROR(INDEX(PMtbl[[WKst]:[Unit of measure*]],MATCH($A$124&amp;$A178&amp;$E178&amp;$H178,INDEX(PMtbl[Sec]&amp;PMtbl[Category]&amp;PMtbl[INN]&amp;PMtbl[Specification],0,),0),7),""),"")</f>
        <v/>
      </c>
      <c r="AL178" s="956"/>
      <c r="AM178" s="1522" t="str">
        <f>IFERROR(INDEX(SETUP!$C$19:$G$62,MATCH((INDEX(PMtbl[[WKst]:[Unit of measure*]],MATCH($A178&amp;$E178&amp;$H178,INDEX(PMtbl[Category]&amp;PMtbl[INN]&amp;PMtbl[Specification],0,),0),3)),SETUP!$D$19:$D$62,0),5),"")</f>
        <v/>
      </c>
      <c r="AN178" s="1495" t="str">
        <f>IFERROR(IF((INDEX(SETUP!$C$19:$G$62,MATCH((INDEX(PMtbl[[WKst]:[Unit of measure*]],MATCH($A178&amp;$E178&amp;$H178,INDEX(PMtbl[Category]&amp;PMtbl[INN]&amp;PMtbl[Specification],0,),0),3)),SETUP!$D$19:$D$62,0),4))="Upfront",0,INDEX(SETUP!$C$19:$G$62,MATCH((INDEX(PMtbl[[WKst]:[Unit of measure*]],MATCH($A178&amp;$E178&amp;$H178,INDEX(PMtbl[Category]&amp;PMtbl[INN]&amp;PMtbl[Specification],0,),0),3)),SETUP!$D$19:$D$62,0),5)),"")</f>
        <v/>
      </c>
    </row>
    <row r="179" spans="1:40" s="198" customFormat="1">
      <c r="A179" s="3034"/>
      <c r="B179" s="3035"/>
      <c r="C179" s="3035"/>
      <c r="D179" s="3036"/>
      <c r="E179" s="3039"/>
      <c r="F179" s="3040"/>
      <c r="G179" s="3041"/>
      <c r="H179" s="3050"/>
      <c r="I179" s="2728"/>
      <c r="J179" s="2728"/>
      <c r="K179" s="3051"/>
      <c r="L179" s="307" t="str">
        <f>IF(A179&lt;&gt;"",IFERROR(INDEX(PMtbl[[WKst]:[Unit of measure*]],MATCH($A$124&amp;$A179&amp;$E179&amp;$H179,INDEX(PMtbl[Sec]&amp;PMtbl[Category]&amp;PMtbl[INN]&amp;PMtbl[Specification],0,),0),8),""),"")</f>
        <v/>
      </c>
      <c r="M179" s="307" t="str">
        <f>IF(L179="", "",SETUP!$E$5)</f>
        <v/>
      </c>
      <c r="N179" s="1975"/>
      <c r="O179" s="12"/>
      <c r="P179" s="12"/>
      <c r="Q179" s="12"/>
      <c r="R179" s="12"/>
      <c r="S179" s="1883">
        <f>SUM('Malaria-Equipment &amp; Other HPs'!$O179:$R179)</f>
        <v>0</v>
      </c>
      <c r="T179" s="1884">
        <f>'Malaria-Equipment &amp; Other HPs'!$N179*'Malaria-Equipment &amp; Other HPs'!$S179</f>
        <v>0</v>
      </c>
      <c r="U179" s="1981"/>
      <c r="V179" s="12"/>
      <c r="W179" s="12"/>
      <c r="X179" s="12"/>
      <c r="Y179" s="12"/>
      <c r="Z179" s="1883">
        <f>SUM('Malaria-Equipment &amp; Other HPs'!$V179:$Y179)</f>
        <v>0</v>
      </c>
      <c r="AA179" s="1884">
        <f>'Malaria-Equipment &amp; Other HPs'!$U179*'Malaria-Equipment &amp; Other HPs'!$Z179</f>
        <v>0</v>
      </c>
      <c r="AB179" s="1975"/>
      <c r="AC179" s="12"/>
      <c r="AD179" s="12"/>
      <c r="AE179" s="12"/>
      <c r="AF179" s="12"/>
      <c r="AG179" s="1883">
        <f>SUM('Malaria-Equipment &amp; Other HPs'!$AC179:$AF179)</f>
        <v>0</v>
      </c>
      <c r="AH179" s="1884">
        <f>'Malaria-Equipment &amp; Other HPs'!$AB179*'Malaria-Equipment &amp; Other HPs'!$AG179</f>
        <v>0</v>
      </c>
      <c r="AI179" s="1885">
        <f>'Malaria-Equipment &amp; Other HPs'!$S179+'Malaria-Equipment &amp; Other HPs'!$Z179+'Malaria-Equipment &amp; Other HPs'!$AG179</f>
        <v>0</v>
      </c>
      <c r="AJ179" s="1884">
        <f>'Malaria-Equipment &amp; Other HPs'!$T179+'Malaria-Equipment &amp; Other HPs'!$AA179+'Malaria-Equipment &amp; Other HPs'!$AH179</f>
        <v>0</v>
      </c>
      <c r="AK179" s="1886" t="str">
        <f>IF(A179&lt;&gt;"",IFERROR(INDEX(PMtbl[[WKst]:[Unit of measure*]],MATCH($A$124&amp;$A179&amp;$E179&amp;$H179,INDEX(PMtbl[Sec]&amp;PMtbl[Category]&amp;PMtbl[INN]&amp;PMtbl[Specification],0,),0),7),""),"")</f>
        <v/>
      </c>
      <c r="AL179" s="957"/>
      <c r="AM179" s="1520" t="str">
        <f>IFERROR(INDEX(SETUP!$C$19:$G$62,MATCH((INDEX(PMtbl[[WKst]:[Unit of measure*]],MATCH($A179&amp;$E179&amp;$H179,INDEX(PMtbl[Category]&amp;PMtbl[INN]&amp;PMtbl[Specification],0,),0),3)),SETUP!$D$19:$D$62,0),5),"")</f>
        <v/>
      </c>
      <c r="AN179" s="1494" t="str">
        <f>IFERROR(IF((INDEX(SETUP!$C$19:$G$62,MATCH((INDEX(PMtbl[[WKst]:[Unit of measure*]],MATCH($A179&amp;$E179&amp;$H179,INDEX(PMtbl[Category]&amp;PMtbl[INN]&amp;PMtbl[Specification],0,),0),3)),SETUP!$D$19:$D$62,0),4))="Upfront",0,INDEX(SETUP!$C$19:$G$62,MATCH((INDEX(PMtbl[[WKst]:[Unit of measure*]],MATCH($A179&amp;$E179&amp;$H179,INDEX(PMtbl[Category]&amp;PMtbl[INN]&amp;PMtbl[Specification],0,),0),3)),SETUP!$D$19:$D$62,0),5)),"")</f>
        <v/>
      </c>
    </row>
    <row r="180" spans="1:40" s="198" customFormat="1">
      <c r="A180" s="2950"/>
      <c r="B180" s="2951"/>
      <c r="C180" s="2951"/>
      <c r="D180" s="2952"/>
      <c r="E180" s="3058"/>
      <c r="F180" s="3059"/>
      <c r="G180" s="3060"/>
      <c r="H180" s="3052"/>
      <c r="I180" s="3053"/>
      <c r="J180" s="3053"/>
      <c r="K180" s="3054"/>
      <c r="L180" s="308" t="str">
        <f>IF(A180&lt;&gt;"",IFERROR(INDEX(PMtbl[[WKst]:[Unit of measure*]],MATCH($A$124&amp;$A180&amp;$E180&amp;$H180,INDEX(PMtbl[Sec]&amp;PMtbl[Category]&amp;PMtbl[INN]&amp;PMtbl[Specification],0,),0),8),""),"")</f>
        <v/>
      </c>
      <c r="M180" s="308" t="str">
        <f>IF(L180="", "",SETUP!$E$5)</f>
        <v/>
      </c>
      <c r="N180" s="1976"/>
      <c r="O180" s="1977"/>
      <c r="P180" s="1977"/>
      <c r="Q180" s="1977"/>
      <c r="R180" s="1977"/>
      <c r="S180" s="1887">
        <f>SUM('Malaria-Equipment &amp; Other HPs'!$O180:$R180)</f>
        <v>0</v>
      </c>
      <c r="T180" s="1888">
        <f>'Malaria-Equipment &amp; Other HPs'!$N180*'Malaria-Equipment &amp; Other HPs'!$S180</f>
        <v>0</v>
      </c>
      <c r="U180" s="1982"/>
      <c r="V180" s="1977"/>
      <c r="W180" s="1977"/>
      <c r="X180" s="1977"/>
      <c r="Y180" s="1977"/>
      <c r="Z180" s="1887">
        <f>SUM('Malaria-Equipment &amp; Other HPs'!$V180:$Y180)</f>
        <v>0</v>
      </c>
      <c r="AA180" s="1888">
        <f>'Malaria-Equipment &amp; Other HPs'!$U180*'Malaria-Equipment &amp; Other HPs'!$Z180</f>
        <v>0</v>
      </c>
      <c r="AB180" s="1976"/>
      <c r="AC180" s="1977"/>
      <c r="AD180" s="1977"/>
      <c r="AE180" s="1977"/>
      <c r="AF180" s="1977"/>
      <c r="AG180" s="1887">
        <f>SUM('Malaria-Equipment &amp; Other HPs'!$AC180:$AF180)</f>
        <v>0</v>
      </c>
      <c r="AH180" s="1888">
        <f>'Malaria-Equipment &amp; Other HPs'!$AB180*'Malaria-Equipment &amp; Other HPs'!$AG180</f>
        <v>0</v>
      </c>
      <c r="AI180" s="1889">
        <f>'Malaria-Equipment &amp; Other HPs'!$S180+'Malaria-Equipment &amp; Other HPs'!$Z180+'Malaria-Equipment &amp; Other HPs'!$AG180</f>
        <v>0</v>
      </c>
      <c r="AJ180" s="1888">
        <f>'Malaria-Equipment &amp; Other HPs'!$T180+'Malaria-Equipment &amp; Other HPs'!$AA180+'Malaria-Equipment &amp; Other HPs'!$AH180</f>
        <v>0</v>
      </c>
      <c r="AK180" s="1890" t="str">
        <f>IF(A180&lt;&gt;"",IFERROR(INDEX(PMtbl[[WKst]:[Unit of measure*]],MATCH($A$124&amp;$A180&amp;$E180&amp;$H180,INDEX(PMtbl[Sec]&amp;PMtbl[Category]&amp;PMtbl[INN]&amp;PMtbl[Specification],0,),0),7),""),"")</f>
        <v/>
      </c>
      <c r="AL180" s="956"/>
      <c r="AM180" s="1522" t="str">
        <f>IFERROR(INDEX(SETUP!$C$19:$G$62,MATCH((INDEX(PMtbl[[WKst]:[Unit of measure*]],MATCH($A180&amp;$E180&amp;$H180,INDEX(PMtbl[Category]&amp;PMtbl[INN]&amp;PMtbl[Specification],0,),0),3)),SETUP!$D$19:$D$62,0),5),"")</f>
        <v/>
      </c>
      <c r="AN180" s="1495" t="str">
        <f>IFERROR(IF((INDEX(SETUP!$C$19:$G$62,MATCH((INDEX(PMtbl[[WKst]:[Unit of measure*]],MATCH($A180&amp;$E180&amp;$H180,INDEX(PMtbl[Category]&amp;PMtbl[INN]&amp;PMtbl[Specification],0,),0),3)),SETUP!$D$19:$D$62,0),4))="Upfront",0,INDEX(SETUP!$C$19:$G$62,MATCH((INDEX(PMtbl[[WKst]:[Unit of measure*]],MATCH($A180&amp;$E180&amp;$H180,INDEX(PMtbl[Category]&amp;PMtbl[INN]&amp;PMtbl[Specification],0,),0),3)),SETUP!$D$19:$D$62,0),5)),"")</f>
        <v/>
      </c>
    </row>
    <row r="181" spans="1:40" s="198" customFormat="1">
      <c r="A181" s="3034"/>
      <c r="B181" s="3035"/>
      <c r="C181" s="3035"/>
      <c r="D181" s="3036"/>
      <c r="E181" s="3039"/>
      <c r="F181" s="3040"/>
      <c r="G181" s="3041"/>
      <c r="H181" s="3050"/>
      <c r="I181" s="2728"/>
      <c r="J181" s="2728"/>
      <c r="K181" s="3051"/>
      <c r="L181" s="307" t="str">
        <f>IF(A181&lt;&gt;"",IFERROR(INDEX(PMtbl[[WKst]:[Unit of measure*]],MATCH($A$124&amp;$A181&amp;$E181&amp;$H181,INDEX(PMtbl[Sec]&amp;PMtbl[Category]&amp;PMtbl[INN]&amp;PMtbl[Specification],0,),0),8),""),"")</f>
        <v/>
      </c>
      <c r="M181" s="307" t="str">
        <f>IF(L181="", "",SETUP!$E$5)</f>
        <v/>
      </c>
      <c r="N181" s="1975"/>
      <c r="O181" s="12"/>
      <c r="P181" s="12"/>
      <c r="Q181" s="12"/>
      <c r="R181" s="12"/>
      <c r="S181" s="1883">
        <f>SUM('Malaria-Equipment &amp; Other HPs'!$O181:$R181)</f>
        <v>0</v>
      </c>
      <c r="T181" s="1884">
        <f>'Malaria-Equipment &amp; Other HPs'!$N181*'Malaria-Equipment &amp; Other HPs'!$S181</f>
        <v>0</v>
      </c>
      <c r="U181" s="1981"/>
      <c r="V181" s="12"/>
      <c r="W181" s="12"/>
      <c r="X181" s="12"/>
      <c r="Y181" s="12"/>
      <c r="Z181" s="1883">
        <f>SUM('Malaria-Equipment &amp; Other HPs'!$V181:$Y181)</f>
        <v>0</v>
      </c>
      <c r="AA181" s="1884">
        <f>'Malaria-Equipment &amp; Other HPs'!$U181*'Malaria-Equipment &amp; Other HPs'!$Z181</f>
        <v>0</v>
      </c>
      <c r="AB181" s="1975"/>
      <c r="AC181" s="12"/>
      <c r="AD181" s="12"/>
      <c r="AE181" s="12"/>
      <c r="AF181" s="12"/>
      <c r="AG181" s="1883">
        <f>SUM('Malaria-Equipment &amp; Other HPs'!$AC181:$AF181)</f>
        <v>0</v>
      </c>
      <c r="AH181" s="1884">
        <f>'Malaria-Equipment &amp; Other HPs'!$AB181*'Malaria-Equipment &amp; Other HPs'!$AG181</f>
        <v>0</v>
      </c>
      <c r="AI181" s="1885">
        <f>'Malaria-Equipment &amp; Other HPs'!$S181+'Malaria-Equipment &amp; Other HPs'!$Z181+'Malaria-Equipment &amp; Other HPs'!$AG181</f>
        <v>0</v>
      </c>
      <c r="AJ181" s="1884">
        <f>'Malaria-Equipment &amp; Other HPs'!$T181+'Malaria-Equipment &amp; Other HPs'!$AA181+'Malaria-Equipment &amp; Other HPs'!$AH181</f>
        <v>0</v>
      </c>
      <c r="AK181" s="1886" t="str">
        <f>IF(A181&lt;&gt;"",IFERROR(INDEX(PMtbl[[WKst]:[Unit of measure*]],MATCH($A$124&amp;$A181&amp;$E181&amp;$H181,INDEX(PMtbl[Sec]&amp;PMtbl[Category]&amp;PMtbl[INN]&amp;PMtbl[Specification],0,),0),7),""),"")</f>
        <v/>
      </c>
      <c r="AL181" s="957"/>
      <c r="AM181" s="1520" t="str">
        <f>IFERROR(INDEX(SETUP!$C$19:$G$62,MATCH((INDEX(PMtbl[[WKst]:[Unit of measure*]],MATCH($A181&amp;$E181&amp;$H181,INDEX(PMtbl[Category]&amp;PMtbl[INN]&amp;PMtbl[Specification],0,),0),3)),SETUP!$D$19:$D$62,0),5),"")</f>
        <v/>
      </c>
      <c r="AN181" s="1494" t="str">
        <f>IFERROR(IF((INDEX(SETUP!$C$19:$G$62,MATCH((INDEX(PMtbl[[WKst]:[Unit of measure*]],MATCH($A181&amp;$E181&amp;$H181,INDEX(PMtbl[Category]&amp;PMtbl[INN]&amp;PMtbl[Specification],0,),0),3)),SETUP!$D$19:$D$62,0),4))="Upfront",0,INDEX(SETUP!$C$19:$G$62,MATCH((INDEX(PMtbl[[WKst]:[Unit of measure*]],MATCH($A181&amp;$E181&amp;$H181,INDEX(PMtbl[Category]&amp;PMtbl[INN]&amp;PMtbl[Specification],0,),0),3)),SETUP!$D$19:$D$62,0),5)),"")</f>
        <v/>
      </c>
    </row>
    <row r="182" spans="1:40" s="198" customFormat="1">
      <c r="A182" s="2950"/>
      <c r="B182" s="2951"/>
      <c r="C182" s="2951"/>
      <c r="D182" s="2952"/>
      <c r="E182" s="3058"/>
      <c r="F182" s="3059"/>
      <c r="G182" s="3060"/>
      <c r="H182" s="3052"/>
      <c r="I182" s="3053"/>
      <c r="J182" s="3053"/>
      <c r="K182" s="3054"/>
      <c r="L182" s="308" t="str">
        <f>IF(A182&lt;&gt;"",IFERROR(INDEX(PMtbl[[WKst]:[Unit of measure*]],MATCH($A$124&amp;$A182&amp;$E182&amp;$H182,INDEX(PMtbl[Sec]&amp;PMtbl[Category]&amp;PMtbl[INN]&amp;PMtbl[Specification],0,),0),8),""),"")</f>
        <v/>
      </c>
      <c r="M182" s="308" t="str">
        <f>IF(L182="", "",SETUP!$E$5)</f>
        <v/>
      </c>
      <c r="N182" s="1976"/>
      <c r="O182" s="1977"/>
      <c r="P182" s="1977"/>
      <c r="Q182" s="1977"/>
      <c r="R182" s="1977"/>
      <c r="S182" s="1887">
        <f>SUM('Malaria-Equipment &amp; Other HPs'!$O182:$R182)</f>
        <v>0</v>
      </c>
      <c r="T182" s="1888">
        <f>'Malaria-Equipment &amp; Other HPs'!$N182*'Malaria-Equipment &amp; Other HPs'!$S182</f>
        <v>0</v>
      </c>
      <c r="U182" s="1982"/>
      <c r="V182" s="1977"/>
      <c r="W182" s="1977"/>
      <c r="X182" s="1977"/>
      <c r="Y182" s="1977"/>
      <c r="Z182" s="1887">
        <f>SUM('Malaria-Equipment &amp; Other HPs'!$V182:$Y182)</f>
        <v>0</v>
      </c>
      <c r="AA182" s="1888">
        <f>'Malaria-Equipment &amp; Other HPs'!$U182*'Malaria-Equipment &amp; Other HPs'!$Z182</f>
        <v>0</v>
      </c>
      <c r="AB182" s="1976"/>
      <c r="AC182" s="1977"/>
      <c r="AD182" s="1977"/>
      <c r="AE182" s="1977"/>
      <c r="AF182" s="1977"/>
      <c r="AG182" s="1887">
        <f>SUM('Malaria-Equipment &amp; Other HPs'!$AC182:$AF182)</f>
        <v>0</v>
      </c>
      <c r="AH182" s="1888">
        <f>'Malaria-Equipment &amp; Other HPs'!$AB182*'Malaria-Equipment &amp; Other HPs'!$AG182</f>
        <v>0</v>
      </c>
      <c r="AI182" s="1889">
        <f>'Malaria-Equipment &amp; Other HPs'!$S182+'Malaria-Equipment &amp; Other HPs'!$Z182+'Malaria-Equipment &amp; Other HPs'!$AG182</f>
        <v>0</v>
      </c>
      <c r="AJ182" s="1888">
        <f>'Malaria-Equipment &amp; Other HPs'!$T182+'Malaria-Equipment &amp; Other HPs'!$AA182+'Malaria-Equipment &amp; Other HPs'!$AH182</f>
        <v>0</v>
      </c>
      <c r="AK182" s="1890" t="str">
        <f>IF(A182&lt;&gt;"",IFERROR(INDEX(PMtbl[[WKst]:[Unit of measure*]],MATCH($A$124&amp;$A182&amp;$E182&amp;$H182,INDEX(PMtbl[Sec]&amp;PMtbl[Category]&amp;PMtbl[INN]&amp;PMtbl[Specification],0,),0),7),""),"")</f>
        <v/>
      </c>
      <c r="AL182" s="956"/>
      <c r="AM182" s="1522" t="str">
        <f>IFERROR(INDEX(SETUP!$C$19:$G$62,MATCH((INDEX(PMtbl[[WKst]:[Unit of measure*]],MATCH($A182&amp;$E182&amp;$H182,INDEX(PMtbl[Category]&amp;PMtbl[INN]&amp;PMtbl[Specification],0,),0),3)),SETUP!$D$19:$D$62,0),5),"")</f>
        <v/>
      </c>
      <c r="AN182" s="1495" t="str">
        <f>IFERROR(IF((INDEX(SETUP!$C$19:$G$62,MATCH((INDEX(PMtbl[[WKst]:[Unit of measure*]],MATCH($A182&amp;$E182&amp;$H182,INDEX(PMtbl[Category]&amp;PMtbl[INN]&amp;PMtbl[Specification],0,),0),3)),SETUP!$D$19:$D$62,0),4))="Upfront",0,INDEX(SETUP!$C$19:$G$62,MATCH((INDEX(PMtbl[[WKst]:[Unit of measure*]],MATCH($A182&amp;$E182&amp;$H182,INDEX(PMtbl[Category]&amp;PMtbl[INN]&amp;PMtbl[Specification],0,),0),3)),SETUP!$D$19:$D$62,0),5)),"")</f>
        <v/>
      </c>
    </row>
    <row r="183" spans="1:40" s="198" customFormat="1">
      <c r="A183" s="3034"/>
      <c r="B183" s="3035"/>
      <c r="C183" s="3035"/>
      <c r="D183" s="3036"/>
      <c r="E183" s="3039"/>
      <c r="F183" s="3040"/>
      <c r="G183" s="3041"/>
      <c r="H183" s="3050"/>
      <c r="I183" s="2728"/>
      <c r="J183" s="2728"/>
      <c r="K183" s="3051"/>
      <c r="L183" s="307" t="str">
        <f>IF(A183&lt;&gt;"",IFERROR(INDEX(PMtbl[[WKst]:[Unit of measure*]],MATCH($A$124&amp;$A183&amp;$E183&amp;$H183,INDEX(PMtbl[Sec]&amp;PMtbl[Category]&amp;PMtbl[INN]&amp;PMtbl[Specification],0,),0),8),""),"")</f>
        <v/>
      </c>
      <c r="M183" s="307" t="str">
        <f>IF(L183="", "",SETUP!$E$5)</f>
        <v/>
      </c>
      <c r="N183" s="1975"/>
      <c r="O183" s="12"/>
      <c r="P183" s="12"/>
      <c r="Q183" s="12"/>
      <c r="R183" s="12"/>
      <c r="S183" s="1883">
        <f>SUM('Malaria-Equipment &amp; Other HPs'!$O183:$R183)</f>
        <v>0</v>
      </c>
      <c r="T183" s="1884">
        <f>'Malaria-Equipment &amp; Other HPs'!$N183*'Malaria-Equipment &amp; Other HPs'!$S183</f>
        <v>0</v>
      </c>
      <c r="U183" s="1981"/>
      <c r="V183" s="12"/>
      <c r="W183" s="12"/>
      <c r="X183" s="12"/>
      <c r="Y183" s="12"/>
      <c r="Z183" s="1883">
        <f>SUM('Malaria-Equipment &amp; Other HPs'!$V183:$Y183)</f>
        <v>0</v>
      </c>
      <c r="AA183" s="1884">
        <f>'Malaria-Equipment &amp; Other HPs'!$U183*'Malaria-Equipment &amp; Other HPs'!$Z183</f>
        <v>0</v>
      </c>
      <c r="AB183" s="1975"/>
      <c r="AC183" s="12"/>
      <c r="AD183" s="12"/>
      <c r="AE183" s="12"/>
      <c r="AF183" s="12"/>
      <c r="AG183" s="1883">
        <f>SUM('Malaria-Equipment &amp; Other HPs'!$AC183:$AF183)</f>
        <v>0</v>
      </c>
      <c r="AH183" s="1884">
        <f>'Malaria-Equipment &amp; Other HPs'!$AB183*'Malaria-Equipment &amp; Other HPs'!$AG183</f>
        <v>0</v>
      </c>
      <c r="AI183" s="1885">
        <f>'Malaria-Equipment &amp; Other HPs'!$S183+'Malaria-Equipment &amp; Other HPs'!$Z183+'Malaria-Equipment &amp; Other HPs'!$AG183</f>
        <v>0</v>
      </c>
      <c r="AJ183" s="1884">
        <f>'Malaria-Equipment &amp; Other HPs'!$T183+'Malaria-Equipment &amp; Other HPs'!$AA183+'Malaria-Equipment &amp; Other HPs'!$AH183</f>
        <v>0</v>
      </c>
      <c r="AK183" s="1886" t="str">
        <f>IF(A183&lt;&gt;"",IFERROR(INDEX(PMtbl[[WKst]:[Unit of measure*]],MATCH($A$124&amp;$A183&amp;$E183&amp;$H183,INDEX(PMtbl[Sec]&amp;PMtbl[Category]&amp;PMtbl[INN]&amp;PMtbl[Specification],0,),0),7),""),"")</f>
        <v/>
      </c>
      <c r="AL183" s="957"/>
      <c r="AM183" s="1520" t="str">
        <f>IFERROR(INDEX(SETUP!$C$19:$G$62,MATCH((INDEX(PMtbl[[WKst]:[Unit of measure*]],MATCH($A183&amp;$E183&amp;$H183,INDEX(PMtbl[Category]&amp;PMtbl[INN]&amp;PMtbl[Specification],0,),0),3)),SETUP!$D$19:$D$62,0),5),"")</f>
        <v/>
      </c>
      <c r="AN183" s="1494" t="str">
        <f>IFERROR(IF((INDEX(SETUP!$C$19:$G$62,MATCH((INDEX(PMtbl[[WKst]:[Unit of measure*]],MATCH($A183&amp;$E183&amp;$H183,INDEX(PMtbl[Category]&amp;PMtbl[INN]&amp;PMtbl[Specification],0,),0),3)),SETUP!$D$19:$D$62,0),4))="Upfront",0,INDEX(SETUP!$C$19:$G$62,MATCH((INDEX(PMtbl[[WKst]:[Unit of measure*]],MATCH($A183&amp;$E183&amp;$H183,INDEX(PMtbl[Category]&amp;PMtbl[INN]&amp;PMtbl[Specification],0,),0),3)),SETUP!$D$19:$D$62,0),5)),"")</f>
        <v/>
      </c>
    </row>
    <row r="184" spans="1:40" s="198" customFormat="1">
      <c r="A184" s="2950"/>
      <c r="B184" s="2951"/>
      <c r="C184" s="2951"/>
      <c r="D184" s="2952"/>
      <c r="E184" s="3058"/>
      <c r="F184" s="3059"/>
      <c r="G184" s="3060"/>
      <c r="H184" s="3052"/>
      <c r="I184" s="3053"/>
      <c r="J184" s="3053"/>
      <c r="K184" s="3054"/>
      <c r="L184" s="308" t="str">
        <f>IF(A184&lt;&gt;"",IFERROR(INDEX(PMtbl[[WKst]:[Unit of measure*]],MATCH($A$124&amp;$A184&amp;$E184&amp;$H184,INDEX(PMtbl[Sec]&amp;PMtbl[Category]&amp;PMtbl[INN]&amp;PMtbl[Specification],0,),0),8),""),"")</f>
        <v/>
      </c>
      <c r="M184" s="308" t="str">
        <f>IF(L184="", "",SETUP!$E$5)</f>
        <v/>
      </c>
      <c r="N184" s="1976"/>
      <c r="O184" s="1977"/>
      <c r="P184" s="1977"/>
      <c r="Q184" s="1977"/>
      <c r="R184" s="1977"/>
      <c r="S184" s="1887">
        <f>SUM('Malaria-Equipment &amp; Other HPs'!$O184:$R184)</f>
        <v>0</v>
      </c>
      <c r="T184" s="1888">
        <f>'Malaria-Equipment &amp; Other HPs'!$N184*'Malaria-Equipment &amp; Other HPs'!$S184</f>
        <v>0</v>
      </c>
      <c r="U184" s="1982"/>
      <c r="V184" s="1977"/>
      <c r="W184" s="1977"/>
      <c r="X184" s="1977"/>
      <c r="Y184" s="1977"/>
      <c r="Z184" s="1887">
        <f>SUM('Malaria-Equipment &amp; Other HPs'!$V184:$Y184)</f>
        <v>0</v>
      </c>
      <c r="AA184" s="1888">
        <f>'Malaria-Equipment &amp; Other HPs'!$U184*'Malaria-Equipment &amp; Other HPs'!$Z184</f>
        <v>0</v>
      </c>
      <c r="AB184" s="1976"/>
      <c r="AC184" s="1977"/>
      <c r="AD184" s="1977"/>
      <c r="AE184" s="1977"/>
      <c r="AF184" s="1977"/>
      <c r="AG184" s="1887">
        <f>SUM('Malaria-Equipment &amp; Other HPs'!$AC184:$AF184)</f>
        <v>0</v>
      </c>
      <c r="AH184" s="1888">
        <f>'Malaria-Equipment &amp; Other HPs'!$AB184*'Malaria-Equipment &amp; Other HPs'!$AG184</f>
        <v>0</v>
      </c>
      <c r="AI184" s="1889">
        <f>'Malaria-Equipment &amp; Other HPs'!$S184+'Malaria-Equipment &amp; Other HPs'!$Z184+'Malaria-Equipment &amp; Other HPs'!$AG184</f>
        <v>0</v>
      </c>
      <c r="AJ184" s="1888">
        <f>'Malaria-Equipment &amp; Other HPs'!$T184+'Malaria-Equipment &amp; Other HPs'!$AA184+'Malaria-Equipment &amp; Other HPs'!$AH184</f>
        <v>0</v>
      </c>
      <c r="AK184" s="1890" t="str">
        <f>IF(A184&lt;&gt;"",IFERROR(INDEX(PMtbl[[WKst]:[Unit of measure*]],MATCH($A$124&amp;$A184&amp;$E184&amp;$H184,INDEX(PMtbl[Sec]&amp;PMtbl[Category]&amp;PMtbl[INN]&amp;PMtbl[Specification],0,),0),7),""),"")</f>
        <v/>
      </c>
      <c r="AL184" s="956"/>
      <c r="AM184" s="1522" t="str">
        <f>IFERROR(INDEX(SETUP!$C$19:$G$62,MATCH((INDEX(PMtbl[[WKst]:[Unit of measure*]],MATCH($A184&amp;$E184&amp;$H184,INDEX(PMtbl[Category]&amp;PMtbl[INN]&amp;PMtbl[Specification],0,),0),3)),SETUP!$D$19:$D$62,0),5),"")</f>
        <v/>
      </c>
      <c r="AN184" s="1495" t="str">
        <f>IFERROR(IF((INDEX(SETUP!$C$19:$G$62,MATCH((INDEX(PMtbl[[WKst]:[Unit of measure*]],MATCH($A184&amp;$E184&amp;$H184,INDEX(PMtbl[Category]&amp;PMtbl[INN]&amp;PMtbl[Specification],0,),0),3)),SETUP!$D$19:$D$62,0),4))="Upfront",0,INDEX(SETUP!$C$19:$G$62,MATCH((INDEX(PMtbl[[WKst]:[Unit of measure*]],MATCH($A184&amp;$E184&amp;$H184,INDEX(PMtbl[Category]&amp;PMtbl[INN]&amp;PMtbl[Specification],0,),0),3)),SETUP!$D$19:$D$62,0),5)),"")</f>
        <v/>
      </c>
    </row>
    <row r="185" spans="1:40" s="198" customFormat="1">
      <c r="A185" s="3034"/>
      <c r="B185" s="3035"/>
      <c r="C185" s="3035"/>
      <c r="D185" s="3036"/>
      <c r="E185" s="3039"/>
      <c r="F185" s="3040"/>
      <c r="G185" s="3041"/>
      <c r="H185" s="3050"/>
      <c r="I185" s="2728"/>
      <c r="J185" s="2728"/>
      <c r="K185" s="3051"/>
      <c r="L185" s="307" t="str">
        <f>IF(A185&lt;&gt;"",IFERROR(INDEX(PMtbl[[WKst]:[Unit of measure*]],MATCH($A$124&amp;$A185&amp;$E185&amp;$H185,INDEX(PMtbl[Sec]&amp;PMtbl[Category]&amp;PMtbl[INN]&amp;PMtbl[Specification],0,),0),8),""),"")</f>
        <v/>
      </c>
      <c r="M185" s="307" t="str">
        <f>IF(L185="", "",SETUP!$E$5)</f>
        <v/>
      </c>
      <c r="N185" s="1975"/>
      <c r="O185" s="12"/>
      <c r="P185" s="12"/>
      <c r="Q185" s="12"/>
      <c r="R185" s="12"/>
      <c r="S185" s="1883">
        <f>SUM('Malaria-Equipment &amp; Other HPs'!$O185:$R185)</f>
        <v>0</v>
      </c>
      <c r="T185" s="1884">
        <f>'Malaria-Equipment &amp; Other HPs'!$N185*'Malaria-Equipment &amp; Other HPs'!$S185</f>
        <v>0</v>
      </c>
      <c r="U185" s="1981"/>
      <c r="V185" s="12"/>
      <c r="W185" s="12"/>
      <c r="X185" s="12"/>
      <c r="Y185" s="12"/>
      <c r="Z185" s="1883">
        <f>SUM('Malaria-Equipment &amp; Other HPs'!$V185:$Y185)</f>
        <v>0</v>
      </c>
      <c r="AA185" s="1884">
        <f>'Malaria-Equipment &amp; Other HPs'!$U185*'Malaria-Equipment &amp; Other HPs'!$Z185</f>
        <v>0</v>
      </c>
      <c r="AB185" s="1975"/>
      <c r="AC185" s="12"/>
      <c r="AD185" s="12"/>
      <c r="AE185" s="12"/>
      <c r="AF185" s="12"/>
      <c r="AG185" s="1883">
        <f>SUM('Malaria-Equipment &amp; Other HPs'!$AC185:$AF185)</f>
        <v>0</v>
      </c>
      <c r="AH185" s="1884">
        <f>'Malaria-Equipment &amp; Other HPs'!$AB185*'Malaria-Equipment &amp; Other HPs'!$AG185</f>
        <v>0</v>
      </c>
      <c r="AI185" s="1885">
        <f>'Malaria-Equipment &amp; Other HPs'!$S185+'Malaria-Equipment &amp; Other HPs'!$Z185+'Malaria-Equipment &amp; Other HPs'!$AG185</f>
        <v>0</v>
      </c>
      <c r="AJ185" s="1884">
        <f>'Malaria-Equipment &amp; Other HPs'!$T185+'Malaria-Equipment &amp; Other HPs'!$AA185+'Malaria-Equipment &amp; Other HPs'!$AH185</f>
        <v>0</v>
      </c>
      <c r="AK185" s="1886" t="str">
        <f>IF(A185&lt;&gt;"",IFERROR(INDEX(PMtbl[[WKst]:[Unit of measure*]],MATCH($A$124&amp;$A185&amp;$E185&amp;$H185,INDEX(PMtbl[Sec]&amp;PMtbl[Category]&amp;PMtbl[INN]&amp;PMtbl[Specification],0,),0),7),""),"")</f>
        <v/>
      </c>
      <c r="AL185" s="957"/>
      <c r="AM185" s="1520" t="str">
        <f>IFERROR(INDEX(SETUP!$C$19:$G$62,MATCH((INDEX(PMtbl[[WKst]:[Unit of measure*]],MATCH($A185&amp;$E185&amp;$H185,INDEX(PMtbl[Category]&amp;PMtbl[INN]&amp;PMtbl[Specification],0,),0),3)),SETUP!$D$19:$D$62,0),5),"")</f>
        <v/>
      </c>
      <c r="AN185" s="1494" t="str">
        <f>IFERROR(IF((INDEX(SETUP!$C$19:$G$62,MATCH((INDEX(PMtbl[[WKst]:[Unit of measure*]],MATCH($A185&amp;$E185&amp;$H185,INDEX(PMtbl[Category]&amp;PMtbl[INN]&amp;PMtbl[Specification],0,),0),3)),SETUP!$D$19:$D$62,0),4))="Upfront",0,INDEX(SETUP!$C$19:$G$62,MATCH((INDEX(PMtbl[[WKst]:[Unit of measure*]],MATCH($A185&amp;$E185&amp;$H185,INDEX(PMtbl[Category]&amp;PMtbl[INN]&amp;PMtbl[Specification],0,),0),3)),SETUP!$D$19:$D$62,0),5)),"")</f>
        <v/>
      </c>
    </row>
    <row r="186" spans="1:40" s="198" customFormat="1">
      <c r="A186" s="2950"/>
      <c r="B186" s="2951"/>
      <c r="C186" s="2951"/>
      <c r="D186" s="2952"/>
      <c r="E186" s="3058"/>
      <c r="F186" s="3059"/>
      <c r="G186" s="3060"/>
      <c r="H186" s="3052"/>
      <c r="I186" s="3053"/>
      <c r="J186" s="3053"/>
      <c r="K186" s="3054"/>
      <c r="L186" s="308" t="str">
        <f>IF(A186&lt;&gt;"",IFERROR(INDEX(PMtbl[[WKst]:[Unit of measure*]],MATCH($A$124&amp;$A186&amp;$E186&amp;$H186,INDEX(PMtbl[Sec]&amp;PMtbl[Category]&amp;PMtbl[INN]&amp;PMtbl[Specification],0,),0),8),""),"")</f>
        <v/>
      </c>
      <c r="M186" s="308" t="str">
        <f>IF(L186="", "",SETUP!$E$5)</f>
        <v/>
      </c>
      <c r="N186" s="1976"/>
      <c r="O186" s="1977"/>
      <c r="P186" s="1977"/>
      <c r="Q186" s="1977"/>
      <c r="R186" s="1977"/>
      <c r="S186" s="1887">
        <f>SUM('Malaria-Equipment &amp; Other HPs'!$O186:$R186)</f>
        <v>0</v>
      </c>
      <c r="T186" s="1888">
        <f>'Malaria-Equipment &amp; Other HPs'!$N186*'Malaria-Equipment &amp; Other HPs'!$S186</f>
        <v>0</v>
      </c>
      <c r="U186" s="1982"/>
      <c r="V186" s="1977"/>
      <c r="W186" s="1977"/>
      <c r="X186" s="1977"/>
      <c r="Y186" s="1977"/>
      <c r="Z186" s="1887">
        <f>SUM('Malaria-Equipment &amp; Other HPs'!$V186:$Y186)</f>
        <v>0</v>
      </c>
      <c r="AA186" s="1888">
        <f>'Malaria-Equipment &amp; Other HPs'!$U186*'Malaria-Equipment &amp; Other HPs'!$Z186</f>
        <v>0</v>
      </c>
      <c r="AB186" s="1976"/>
      <c r="AC186" s="1977"/>
      <c r="AD186" s="1977"/>
      <c r="AE186" s="1977"/>
      <c r="AF186" s="1977"/>
      <c r="AG186" s="1887">
        <f>SUM('Malaria-Equipment &amp; Other HPs'!$AC186:$AF186)</f>
        <v>0</v>
      </c>
      <c r="AH186" s="1888">
        <f>'Malaria-Equipment &amp; Other HPs'!$AB186*'Malaria-Equipment &amp; Other HPs'!$AG186</f>
        <v>0</v>
      </c>
      <c r="AI186" s="1889">
        <f>'Malaria-Equipment &amp; Other HPs'!$S186+'Malaria-Equipment &amp; Other HPs'!$Z186+'Malaria-Equipment &amp; Other HPs'!$AG186</f>
        <v>0</v>
      </c>
      <c r="AJ186" s="1888">
        <f>'Malaria-Equipment &amp; Other HPs'!$T186+'Malaria-Equipment &amp; Other HPs'!$AA186+'Malaria-Equipment &amp; Other HPs'!$AH186</f>
        <v>0</v>
      </c>
      <c r="AK186" s="1890" t="str">
        <f>IF(A186&lt;&gt;"",IFERROR(INDEX(PMtbl[[WKst]:[Unit of measure*]],MATCH($A$124&amp;$A186&amp;$E186&amp;$H186,INDEX(PMtbl[Sec]&amp;PMtbl[Category]&amp;PMtbl[INN]&amp;PMtbl[Specification],0,),0),7),""),"")</f>
        <v/>
      </c>
      <c r="AL186" s="956"/>
      <c r="AM186" s="1522" t="str">
        <f>IFERROR(INDEX(SETUP!$C$19:$G$62,MATCH((INDEX(PMtbl[[WKst]:[Unit of measure*]],MATCH($A186&amp;$E186&amp;$H186,INDEX(PMtbl[Category]&amp;PMtbl[INN]&amp;PMtbl[Specification],0,),0),3)),SETUP!$D$19:$D$62,0),5),"")</f>
        <v/>
      </c>
      <c r="AN186" s="1495" t="str">
        <f>IFERROR(IF((INDEX(SETUP!$C$19:$G$62,MATCH((INDEX(PMtbl[[WKst]:[Unit of measure*]],MATCH($A186&amp;$E186&amp;$H186,INDEX(PMtbl[Category]&amp;PMtbl[INN]&amp;PMtbl[Specification],0,),0),3)),SETUP!$D$19:$D$62,0),4))="Upfront",0,INDEX(SETUP!$C$19:$G$62,MATCH((INDEX(PMtbl[[WKst]:[Unit of measure*]],MATCH($A186&amp;$E186&amp;$H186,INDEX(PMtbl[Category]&amp;PMtbl[INN]&amp;PMtbl[Specification],0,),0),3)),SETUP!$D$19:$D$62,0),5)),"")</f>
        <v/>
      </c>
    </row>
    <row r="187" spans="1:40" s="198" customFormat="1">
      <c r="A187" s="3034"/>
      <c r="B187" s="3035"/>
      <c r="C187" s="3035"/>
      <c r="D187" s="3036"/>
      <c r="E187" s="3039"/>
      <c r="F187" s="3040"/>
      <c r="G187" s="3041"/>
      <c r="H187" s="3050"/>
      <c r="I187" s="2728"/>
      <c r="J187" s="2728"/>
      <c r="K187" s="3051"/>
      <c r="L187" s="307" t="str">
        <f>IF(A187&lt;&gt;"",IFERROR(INDEX(PMtbl[[WKst]:[Unit of measure*]],MATCH($A$124&amp;$A187&amp;$E187&amp;$H187,INDEX(PMtbl[Sec]&amp;PMtbl[Category]&amp;PMtbl[INN]&amp;PMtbl[Specification],0,),0),8),""),"")</f>
        <v/>
      </c>
      <c r="M187" s="307" t="str">
        <f>IF(L187="", "",SETUP!$E$5)</f>
        <v/>
      </c>
      <c r="N187" s="1975"/>
      <c r="O187" s="12"/>
      <c r="P187" s="12"/>
      <c r="Q187" s="12"/>
      <c r="R187" s="12"/>
      <c r="S187" s="1883">
        <f>SUM('Malaria-Equipment &amp; Other HPs'!$O187:$R187)</f>
        <v>0</v>
      </c>
      <c r="T187" s="1884">
        <f>'Malaria-Equipment &amp; Other HPs'!$N187*'Malaria-Equipment &amp; Other HPs'!$S187</f>
        <v>0</v>
      </c>
      <c r="U187" s="1981"/>
      <c r="V187" s="12"/>
      <c r="W187" s="12"/>
      <c r="X187" s="12"/>
      <c r="Y187" s="12"/>
      <c r="Z187" s="1883">
        <f>SUM('Malaria-Equipment &amp; Other HPs'!$V187:$Y187)</f>
        <v>0</v>
      </c>
      <c r="AA187" s="1884">
        <f>'Malaria-Equipment &amp; Other HPs'!$U187*'Malaria-Equipment &amp; Other HPs'!$Z187</f>
        <v>0</v>
      </c>
      <c r="AB187" s="1975"/>
      <c r="AC187" s="12"/>
      <c r="AD187" s="12"/>
      <c r="AE187" s="12"/>
      <c r="AF187" s="12"/>
      <c r="AG187" s="1883">
        <f>SUM('Malaria-Equipment &amp; Other HPs'!$AC187:$AF187)</f>
        <v>0</v>
      </c>
      <c r="AH187" s="1884">
        <f>'Malaria-Equipment &amp; Other HPs'!$AB187*'Malaria-Equipment &amp; Other HPs'!$AG187</f>
        <v>0</v>
      </c>
      <c r="AI187" s="1885">
        <f>'Malaria-Equipment &amp; Other HPs'!$S187+'Malaria-Equipment &amp; Other HPs'!$Z187+'Malaria-Equipment &amp; Other HPs'!$AG187</f>
        <v>0</v>
      </c>
      <c r="AJ187" s="1884">
        <f>'Malaria-Equipment &amp; Other HPs'!$T187+'Malaria-Equipment &amp; Other HPs'!$AA187+'Malaria-Equipment &amp; Other HPs'!$AH187</f>
        <v>0</v>
      </c>
      <c r="AK187" s="1886" t="str">
        <f>IF(A187&lt;&gt;"",IFERROR(INDEX(PMtbl[[WKst]:[Unit of measure*]],MATCH($A$124&amp;$A187&amp;$E187&amp;$H187,INDEX(PMtbl[Sec]&amp;PMtbl[Category]&amp;PMtbl[INN]&amp;PMtbl[Specification],0,),0),7),""),"")</f>
        <v/>
      </c>
      <c r="AL187" s="954"/>
      <c r="AM187" s="1523" t="str">
        <f>IFERROR(INDEX(SETUP!$C$19:$G$62,MATCH((INDEX(PMtbl[[WKst]:[Unit of measure*]],MATCH($A187&amp;$E187&amp;$H187,INDEX(PMtbl[Category]&amp;PMtbl[INN]&amp;PMtbl[Specification],0,),0),3)),SETUP!$D$19:$D$62,0),5),"")</f>
        <v/>
      </c>
      <c r="AN187" s="1494" t="str">
        <f>IFERROR(IF((INDEX(SETUP!$C$19:$G$62,MATCH((INDEX(PMtbl[[WKst]:[Unit of measure*]],MATCH($A187&amp;$E187&amp;$H187,INDEX(PMtbl[Category]&amp;PMtbl[INN]&amp;PMtbl[Specification],0,),0),3)),SETUP!$D$19:$D$62,0),4))="Upfront",0,INDEX(SETUP!$C$19:$G$62,MATCH((INDEX(PMtbl[[WKst]:[Unit of measure*]],MATCH($A187&amp;$E187&amp;$H187,INDEX(PMtbl[Category]&amp;PMtbl[INN]&amp;PMtbl[Specification],0,),0),3)),SETUP!$D$19:$D$62,0),5)),"")</f>
        <v/>
      </c>
    </row>
    <row r="188" spans="1:40" s="198" customFormat="1">
      <c r="A188" s="2950"/>
      <c r="B188" s="2951"/>
      <c r="C188" s="2951"/>
      <c r="D188" s="2952"/>
      <c r="E188" s="3058"/>
      <c r="F188" s="3059"/>
      <c r="G188" s="3060"/>
      <c r="H188" s="3052"/>
      <c r="I188" s="3053"/>
      <c r="J188" s="3053"/>
      <c r="K188" s="3054"/>
      <c r="L188" s="308" t="str">
        <f>IF(A188&lt;&gt;"",IFERROR(INDEX(PMtbl[[WKst]:[Unit of measure*]],MATCH($A$124&amp;$A188&amp;$E188&amp;$H188,INDEX(PMtbl[Sec]&amp;PMtbl[Category]&amp;PMtbl[INN]&amp;PMtbl[Specification],0,),0),8),""),"")</f>
        <v/>
      </c>
      <c r="M188" s="308" t="str">
        <f>IF(L188="", "",SETUP!$E$5)</f>
        <v/>
      </c>
      <c r="N188" s="1976"/>
      <c r="O188" s="1977"/>
      <c r="P188" s="1977"/>
      <c r="Q188" s="1977"/>
      <c r="R188" s="1977"/>
      <c r="S188" s="1887">
        <f>SUM('Malaria-Equipment &amp; Other HPs'!$O188:$R188)</f>
        <v>0</v>
      </c>
      <c r="T188" s="1888">
        <f>'Malaria-Equipment &amp; Other HPs'!$N188*'Malaria-Equipment &amp; Other HPs'!$S188</f>
        <v>0</v>
      </c>
      <c r="U188" s="1982"/>
      <c r="V188" s="1977"/>
      <c r="W188" s="1977"/>
      <c r="X188" s="1977"/>
      <c r="Y188" s="1977"/>
      <c r="Z188" s="1887">
        <f>SUM('Malaria-Equipment &amp; Other HPs'!$V188:$Y188)</f>
        <v>0</v>
      </c>
      <c r="AA188" s="1888">
        <f>'Malaria-Equipment &amp; Other HPs'!$U188*'Malaria-Equipment &amp; Other HPs'!$Z188</f>
        <v>0</v>
      </c>
      <c r="AB188" s="1976"/>
      <c r="AC188" s="1977"/>
      <c r="AD188" s="1977"/>
      <c r="AE188" s="1977"/>
      <c r="AF188" s="1977"/>
      <c r="AG188" s="1887">
        <f>SUM('Malaria-Equipment &amp; Other HPs'!$AC188:$AF188)</f>
        <v>0</v>
      </c>
      <c r="AH188" s="1888">
        <f>'Malaria-Equipment &amp; Other HPs'!$AB188*'Malaria-Equipment &amp; Other HPs'!$AG188</f>
        <v>0</v>
      </c>
      <c r="AI188" s="1889">
        <f>'Malaria-Equipment &amp; Other HPs'!$S188+'Malaria-Equipment &amp; Other HPs'!$Z188+'Malaria-Equipment &amp; Other HPs'!$AG188</f>
        <v>0</v>
      </c>
      <c r="AJ188" s="1888">
        <f>'Malaria-Equipment &amp; Other HPs'!$T188+'Malaria-Equipment &amp; Other HPs'!$AA188+'Malaria-Equipment &amp; Other HPs'!$AH188</f>
        <v>0</v>
      </c>
      <c r="AK188" s="1890" t="str">
        <f>IF(A188&lt;&gt;"",IFERROR(INDEX(PMtbl[[WKst]:[Unit of measure*]],MATCH($A$124&amp;$A188&amp;$E188&amp;$H188,INDEX(PMtbl[Sec]&amp;PMtbl[Category]&amp;PMtbl[INN]&amp;PMtbl[Specification],0,),0),7),""),"")</f>
        <v/>
      </c>
      <c r="AL188" s="956"/>
      <c r="AM188" s="1522" t="str">
        <f>IFERROR(INDEX(SETUP!$C$19:$G$62,MATCH((INDEX(PMtbl[[WKst]:[Unit of measure*]],MATCH($A188&amp;$E188&amp;$H188,INDEX(PMtbl[Category]&amp;PMtbl[INN]&amp;PMtbl[Specification],0,),0),3)),SETUP!$D$19:$D$62,0),5),"")</f>
        <v/>
      </c>
      <c r="AN188" s="1495" t="str">
        <f>IFERROR(IF((INDEX(SETUP!$C$19:$G$62,MATCH((INDEX(PMtbl[[WKst]:[Unit of measure*]],MATCH($A188&amp;$E188&amp;$H188,INDEX(PMtbl[Category]&amp;PMtbl[INN]&amp;PMtbl[Specification],0,),0),3)),SETUP!$D$19:$D$62,0),4))="Upfront",0,INDEX(SETUP!$C$19:$G$62,MATCH((INDEX(PMtbl[[WKst]:[Unit of measure*]],MATCH($A188&amp;$E188&amp;$H188,INDEX(PMtbl[Category]&amp;PMtbl[INN]&amp;PMtbl[Specification],0,),0),3)),SETUP!$D$19:$D$62,0),5)),"")</f>
        <v/>
      </c>
    </row>
    <row r="189" spans="1:40" s="198" customFormat="1">
      <c r="A189" s="3034"/>
      <c r="B189" s="3035"/>
      <c r="C189" s="3035"/>
      <c r="D189" s="3036"/>
      <c r="E189" s="3039"/>
      <c r="F189" s="3040"/>
      <c r="G189" s="3041"/>
      <c r="H189" s="3050"/>
      <c r="I189" s="2728"/>
      <c r="J189" s="2728"/>
      <c r="K189" s="3051"/>
      <c r="L189" s="307" t="str">
        <f>IF(A189&lt;&gt;"",IFERROR(INDEX(PMtbl[[WKst]:[Unit of measure*]],MATCH($A$124&amp;$A189&amp;$E189&amp;$H189,INDEX(PMtbl[Sec]&amp;PMtbl[Category]&amp;PMtbl[INN]&amp;PMtbl[Specification],0,),0),8),""),"")</f>
        <v/>
      </c>
      <c r="M189" s="307" t="str">
        <f>IF(L189="", "",SETUP!$E$5)</f>
        <v/>
      </c>
      <c r="N189" s="1975"/>
      <c r="O189" s="12"/>
      <c r="P189" s="12"/>
      <c r="Q189" s="12"/>
      <c r="R189" s="12"/>
      <c r="S189" s="1883">
        <f>SUM('Malaria-Equipment &amp; Other HPs'!$O189:$R189)</f>
        <v>0</v>
      </c>
      <c r="T189" s="1884">
        <f>'Malaria-Equipment &amp; Other HPs'!$N189*'Malaria-Equipment &amp; Other HPs'!$S189</f>
        <v>0</v>
      </c>
      <c r="U189" s="1981"/>
      <c r="V189" s="12"/>
      <c r="W189" s="12"/>
      <c r="X189" s="12"/>
      <c r="Y189" s="12"/>
      <c r="Z189" s="1883">
        <f>SUM('Malaria-Equipment &amp; Other HPs'!$V189:$Y189)</f>
        <v>0</v>
      </c>
      <c r="AA189" s="1884">
        <f>'Malaria-Equipment &amp; Other HPs'!$U189*'Malaria-Equipment &amp; Other HPs'!$Z189</f>
        <v>0</v>
      </c>
      <c r="AB189" s="1975"/>
      <c r="AC189" s="12"/>
      <c r="AD189" s="12"/>
      <c r="AE189" s="12"/>
      <c r="AF189" s="12"/>
      <c r="AG189" s="1883">
        <f>SUM('Malaria-Equipment &amp; Other HPs'!$AC189:$AF189)</f>
        <v>0</v>
      </c>
      <c r="AH189" s="1884">
        <f>'Malaria-Equipment &amp; Other HPs'!$AB189*'Malaria-Equipment &amp; Other HPs'!$AG189</f>
        <v>0</v>
      </c>
      <c r="AI189" s="1885">
        <f>'Malaria-Equipment &amp; Other HPs'!$S189+'Malaria-Equipment &amp; Other HPs'!$Z189+'Malaria-Equipment &amp; Other HPs'!$AG189</f>
        <v>0</v>
      </c>
      <c r="AJ189" s="1884">
        <f>'Malaria-Equipment &amp; Other HPs'!$T189+'Malaria-Equipment &amp; Other HPs'!$AA189+'Malaria-Equipment &amp; Other HPs'!$AH189</f>
        <v>0</v>
      </c>
      <c r="AK189" s="1886" t="str">
        <f>IF(A189&lt;&gt;"",IFERROR(INDEX(PMtbl[[WKst]:[Unit of measure*]],MATCH($A$124&amp;$A189&amp;$E189&amp;$H189,INDEX(PMtbl[Sec]&amp;PMtbl[Category]&amp;PMtbl[INN]&amp;PMtbl[Specification],0,),0),7),""),"")</f>
        <v/>
      </c>
      <c r="AL189" s="957"/>
      <c r="AM189" s="1520" t="str">
        <f>IFERROR(INDEX(SETUP!$C$19:$G$62,MATCH((INDEX(PMtbl[[WKst]:[Unit of measure*]],MATCH($A189&amp;$E189&amp;$H189,INDEX(PMtbl[Category]&amp;PMtbl[INN]&amp;PMtbl[Specification],0,),0),3)),SETUP!$D$19:$D$62,0),5),"")</f>
        <v/>
      </c>
      <c r="AN189" s="1494" t="str">
        <f>IFERROR(IF((INDEX(SETUP!$C$19:$G$62,MATCH((INDEX(PMtbl[[WKst]:[Unit of measure*]],MATCH($A189&amp;$E189&amp;$H189,INDEX(PMtbl[Category]&amp;PMtbl[INN]&amp;PMtbl[Specification],0,),0),3)),SETUP!$D$19:$D$62,0),4))="Upfront",0,INDEX(SETUP!$C$19:$G$62,MATCH((INDEX(PMtbl[[WKst]:[Unit of measure*]],MATCH($A189&amp;$E189&amp;$H189,INDEX(PMtbl[Category]&amp;PMtbl[INN]&amp;PMtbl[Specification],0,),0),3)),SETUP!$D$19:$D$62,0),5)),"")</f>
        <v/>
      </c>
    </row>
    <row r="190" spans="1:40" s="198" customFormat="1">
      <c r="A190" s="2950"/>
      <c r="B190" s="2951"/>
      <c r="C190" s="2951"/>
      <c r="D190" s="2952"/>
      <c r="E190" s="3058"/>
      <c r="F190" s="3059"/>
      <c r="G190" s="3060"/>
      <c r="H190" s="3052"/>
      <c r="I190" s="3053"/>
      <c r="J190" s="3053"/>
      <c r="K190" s="3054"/>
      <c r="L190" s="308" t="str">
        <f>IF(A190&lt;&gt;"",IFERROR(INDEX(PMtbl[[WKst]:[Unit of measure*]],MATCH($A$124&amp;$A190&amp;$E190&amp;$H190,INDEX(PMtbl[Sec]&amp;PMtbl[Category]&amp;PMtbl[INN]&amp;PMtbl[Specification],0,),0),8),""),"")</f>
        <v/>
      </c>
      <c r="M190" s="308" t="str">
        <f>IF(L190="", "",SETUP!$E$5)</f>
        <v/>
      </c>
      <c r="N190" s="1976"/>
      <c r="O190" s="1977"/>
      <c r="P190" s="1977"/>
      <c r="Q190" s="1977"/>
      <c r="R190" s="1977"/>
      <c r="S190" s="1887">
        <f>SUM('Malaria-Equipment &amp; Other HPs'!$O190:$R190)</f>
        <v>0</v>
      </c>
      <c r="T190" s="1888">
        <f>'Malaria-Equipment &amp; Other HPs'!$N190*'Malaria-Equipment &amp; Other HPs'!$S190</f>
        <v>0</v>
      </c>
      <c r="U190" s="1982"/>
      <c r="V190" s="1977"/>
      <c r="W190" s="1977"/>
      <c r="X190" s="1977"/>
      <c r="Y190" s="1977"/>
      <c r="Z190" s="1887">
        <f>SUM('Malaria-Equipment &amp; Other HPs'!$V190:$Y190)</f>
        <v>0</v>
      </c>
      <c r="AA190" s="1888">
        <f>'Malaria-Equipment &amp; Other HPs'!$U190*'Malaria-Equipment &amp; Other HPs'!$Z190</f>
        <v>0</v>
      </c>
      <c r="AB190" s="1976"/>
      <c r="AC190" s="1977"/>
      <c r="AD190" s="1977"/>
      <c r="AE190" s="1977"/>
      <c r="AF190" s="1977"/>
      <c r="AG190" s="1887">
        <f>SUM('Malaria-Equipment &amp; Other HPs'!$AC190:$AF190)</f>
        <v>0</v>
      </c>
      <c r="AH190" s="1888">
        <f>'Malaria-Equipment &amp; Other HPs'!$AB190*'Malaria-Equipment &amp; Other HPs'!$AG190</f>
        <v>0</v>
      </c>
      <c r="AI190" s="1889">
        <f>'Malaria-Equipment &amp; Other HPs'!$S190+'Malaria-Equipment &amp; Other HPs'!$Z190+'Malaria-Equipment &amp; Other HPs'!$AG190</f>
        <v>0</v>
      </c>
      <c r="AJ190" s="1888">
        <f>'Malaria-Equipment &amp; Other HPs'!$T190+'Malaria-Equipment &amp; Other HPs'!$AA190+'Malaria-Equipment &amp; Other HPs'!$AH190</f>
        <v>0</v>
      </c>
      <c r="AK190" s="1890" t="str">
        <f>IF(A190&lt;&gt;"",IFERROR(INDEX(PMtbl[[WKst]:[Unit of measure*]],MATCH($A$124&amp;$A190&amp;$E190&amp;$H190,INDEX(PMtbl[Sec]&amp;PMtbl[Category]&amp;PMtbl[INN]&amp;PMtbl[Specification],0,),0),7),""),"")</f>
        <v/>
      </c>
      <c r="AL190" s="956"/>
      <c r="AM190" s="1522" t="str">
        <f>IFERROR(INDEX(SETUP!$C$19:$G$62,MATCH((INDEX(PMtbl[[WKst]:[Unit of measure*]],MATCH($A190&amp;$E190&amp;$H190,INDEX(PMtbl[Category]&amp;PMtbl[INN]&amp;PMtbl[Specification],0,),0),3)),SETUP!$D$19:$D$62,0),5),"")</f>
        <v/>
      </c>
      <c r="AN190" s="1495" t="str">
        <f>IFERROR(IF((INDEX(SETUP!$C$19:$G$62,MATCH((INDEX(PMtbl[[WKst]:[Unit of measure*]],MATCH($A190&amp;$E190&amp;$H190,INDEX(PMtbl[Category]&amp;PMtbl[INN]&amp;PMtbl[Specification],0,),0),3)),SETUP!$D$19:$D$62,0),4))="Upfront",0,INDEX(SETUP!$C$19:$G$62,MATCH((INDEX(PMtbl[[WKst]:[Unit of measure*]],MATCH($A190&amp;$E190&amp;$H190,INDEX(PMtbl[Category]&amp;PMtbl[INN]&amp;PMtbl[Specification],0,),0),3)),SETUP!$D$19:$D$62,0),5)),"")</f>
        <v/>
      </c>
    </row>
    <row r="191" spans="1:40" s="198" customFormat="1">
      <c r="A191" s="3034"/>
      <c r="B191" s="3035"/>
      <c r="C191" s="3035"/>
      <c r="D191" s="3036"/>
      <c r="E191" s="3039"/>
      <c r="F191" s="3040"/>
      <c r="G191" s="3041"/>
      <c r="H191" s="3050"/>
      <c r="I191" s="2728"/>
      <c r="J191" s="2728"/>
      <c r="K191" s="3051"/>
      <c r="L191" s="307" t="str">
        <f>IF(A191&lt;&gt;"",IFERROR(INDEX(PMtbl[[WKst]:[Unit of measure*]],MATCH($A$124&amp;$A191&amp;$E191&amp;$H191,INDEX(PMtbl[Sec]&amp;PMtbl[Category]&amp;PMtbl[INN]&amp;PMtbl[Specification],0,),0),8),""),"")</f>
        <v/>
      </c>
      <c r="M191" s="307" t="str">
        <f>IF(L191="", "",SETUP!$E$5)</f>
        <v/>
      </c>
      <c r="N191" s="1975"/>
      <c r="O191" s="12"/>
      <c r="P191" s="12"/>
      <c r="Q191" s="12"/>
      <c r="R191" s="12"/>
      <c r="S191" s="1883">
        <f>SUM('Malaria-Equipment &amp; Other HPs'!$O191:$R191)</f>
        <v>0</v>
      </c>
      <c r="T191" s="1884">
        <f>'Malaria-Equipment &amp; Other HPs'!$N191*'Malaria-Equipment &amp; Other HPs'!$S191</f>
        <v>0</v>
      </c>
      <c r="U191" s="1981"/>
      <c r="V191" s="12"/>
      <c r="W191" s="12"/>
      <c r="X191" s="12"/>
      <c r="Y191" s="12"/>
      <c r="Z191" s="1883">
        <f>SUM('Malaria-Equipment &amp; Other HPs'!$V191:$Y191)</f>
        <v>0</v>
      </c>
      <c r="AA191" s="1884">
        <f>'Malaria-Equipment &amp; Other HPs'!$U191*'Malaria-Equipment &amp; Other HPs'!$Z191</f>
        <v>0</v>
      </c>
      <c r="AB191" s="1975"/>
      <c r="AC191" s="12"/>
      <c r="AD191" s="12"/>
      <c r="AE191" s="12"/>
      <c r="AF191" s="12"/>
      <c r="AG191" s="1883">
        <f>SUM('Malaria-Equipment &amp; Other HPs'!$AC191:$AF191)</f>
        <v>0</v>
      </c>
      <c r="AH191" s="1884">
        <f>'Malaria-Equipment &amp; Other HPs'!$AB191*'Malaria-Equipment &amp; Other HPs'!$AG191</f>
        <v>0</v>
      </c>
      <c r="AI191" s="1885">
        <f>'Malaria-Equipment &amp; Other HPs'!$S191+'Malaria-Equipment &amp; Other HPs'!$Z191+'Malaria-Equipment &amp; Other HPs'!$AG191</f>
        <v>0</v>
      </c>
      <c r="AJ191" s="1884">
        <f>'Malaria-Equipment &amp; Other HPs'!$T191+'Malaria-Equipment &amp; Other HPs'!$AA191+'Malaria-Equipment &amp; Other HPs'!$AH191</f>
        <v>0</v>
      </c>
      <c r="AK191" s="1886" t="str">
        <f>IF(A191&lt;&gt;"",IFERROR(INDEX(PMtbl[[WKst]:[Unit of measure*]],MATCH($A$124&amp;$A191&amp;$E191&amp;$H191,INDEX(PMtbl[Sec]&amp;PMtbl[Category]&amp;PMtbl[INN]&amp;PMtbl[Specification],0,),0),7),""),"")</f>
        <v/>
      </c>
      <c r="AL191" s="957"/>
      <c r="AM191" s="1520" t="str">
        <f>IFERROR(INDEX(SETUP!$C$19:$G$62,MATCH((INDEX(PMtbl[[WKst]:[Unit of measure*]],MATCH($A191&amp;$E191&amp;$H191,INDEX(PMtbl[Category]&amp;PMtbl[INN]&amp;PMtbl[Specification],0,),0),3)),SETUP!$D$19:$D$62,0),5),"")</f>
        <v/>
      </c>
      <c r="AN191" s="1494" t="str">
        <f>IFERROR(IF((INDEX(SETUP!$C$19:$G$62,MATCH((INDEX(PMtbl[[WKst]:[Unit of measure*]],MATCH($A191&amp;$E191&amp;$H191,INDEX(PMtbl[Category]&amp;PMtbl[INN]&amp;PMtbl[Specification],0,),0),3)),SETUP!$D$19:$D$62,0),4))="Upfront",0,INDEX(SETUP!$C$19:$G$62,MATCH((INDEX(PMtbl[[WKst]:[Unit of measure*]],MATCH($A191&amp;$E191&amp;$H191,INDEX(PMtbl[Category]&amp;PMtbl[INN]&amp;PMtbl[Specification],0,),0),3)),SETUP!$D$19:$D$62,0),5)),"")</f>
        <v/>
      </c>
    </row>
    <row r="192" spans="1:40" s="198" customFormat="1">
      <c r="A192" s="2950"/>
      <c r="B192" s="2951"/>
      <c r="C192" s="2951"/>
      <c r="D192" s="2952"/>
      <c r="E192" s="3058"/>
      <c r="F192" s="3059"/>
      <c r="G192" s="3060"/>
      <c r="H192" s="3052"/>
      <c r="I192" s="3053"/>
      <c r="J192" s="3053"/>
      <c r="K192" s="3054"/>
      <c r="L192" s="308" t="str">
        <f>IF(A192&lt;&gt;"",IFERROR(INDEX(PMtbl[[WKst]:[Unit of measure*]],MATCH($A$124&amp;$A192&amp;$E192&amp;$H192,INDEX(PMtbl[Sec]&amp;PMtbl[Category]&amp;PMtbl[INN]&amp;PMtbl[Specification],0,),0),8),""),"")</f>
        <v/>
      </c>
      <c r="M192" s="308" t="str">
        <f>IF(L192="", "",SETUP!$E$5)</f>
        <v/>
      </c>
      <c r="N192" s="1976"/>
      <c r="O192" s="1977"/>
      <c r="P192" s="1977"/>
      <c r="Q192" s="1977"/>
      <c r="R192" s="1977"/>
      <c r="S192" s="1887">
        <f>SUM('Malaria-Equipment &amp; Other HPs'!$O192:$R192)</f>
        <v>0</v>
      </c>
      <c r="T192" s="1888">
        <f>'Malaria-Equipment &amp; Other HPs'!$N192*'Malaria-Equipment &amp; Other HPs'!$S192</f>
        <v>0</v>
      </c>
      <c r="U192" s="1982"/>
      <c r="V192" s="1977"/>
      <c r="W192" s="1977"/>
      <c r="X192" s="1977"/>
      <c r="Y192" s="1977"/>
      <c r="Z192" s="1887">
        <f>SUM('Malaria-Equipment &amp; Other HPs'!$V192:$Y192)</f>
        <v>0</v>
      </c>
      <c r="AA192" s="1888">
        <f>'Malaria-Equipment &amp; Other HPs'!$U192*'Malaria-Equipment &amp; Other HPs'!$Z192</f>
        <v>0</v>
      </c>
      <c r="AB192" s="1976"/>
      <c r="AC192" s="1977"/>
      <c r="AD192" s="1977"/>
      <c r="AE192" s="1977"/>
      <c r="AF192" s="1977"/>
      <c r="AG192" s="1887">
        <f>SUM('Malaria-Equipment &amp; Other HPs'!$AC192:$AF192)</f>
        <v>0</v>
      </c>
      <c r="AH192" s="1888">
        <f>'Malaria-Equipment &amp; Other HPs'!$AB192*'Malaria-Equipment &amp; Other HPs'!$AG192</f>
        <v>0</v>
      </c>
      <c r="AI192" s="1889">
        <f>'Malaria-Equipment &amp; Other HPs'!$S192+'Malaria-Equipment &amp; Other HPs'!$Z192+'Malaria-Equipment &amp; Other HPs'!$AG192</f>
        <v>0</v>
      </c>
      <c r="AJ192" s="1888">
        <f>'Malaria-Equipment &amp; Other HPs'!$T192+'Malaria-Equipment &amp; Other HPs'!$AA192+'Malaria-Equipment &amp; Other HPs'!$AH192</f>
        <v>0</v>
      </c>
      <c r="AK192" s="1890" t="str">
        <f>IF(A192&lt;&gt;"",IFERROR(INDEX(PMtbl[[WKst]:[Unit of measure*]],MATCH($A$124&amp;$A192&amp;$E192&amp;$H192,INDEX(PMtbl[Sec]&amp;PMtbl[Category]&amp;PMtbl[INN]&amp;PMtbl[Specification],0,),0),7),""),"")</f>
        <v/>
      </c>
      <c r="AL192" s="956"/>
      <c r="AM192" s="1522" t="str">
        <f>IFERROR(INDEX(SETUP!$C$19:$G$62,MATCH((INDEX(PMtbl[[WKst]:[Unit of measure*]],MATCH($A192&amp;$E192&amp;$H192,INDEX(PMtbl[Category]&amp;PMtbl[INN]&amp;PMtbl[Specification],0,),0),3)),SETUP!$D$19:$D$62,0),5),"")</f>
        <v/>
      </c>
      <c r="AN192" s="1495" t="str">
        <f>IFERROR(IF((INDEX(SETUP!$C$19:$G$62,MATCH((INDEX(PMtbl[[WKst]:[Unit of measure*]],MATCH($A192&amp;$E192&amp;$H192,INDEX(PMtbl[Category]&amp;PMtbl[INN]&amp;PMtbl[Specification],0,),0),3)),SETUP!$D$19:$D$62,0),4))="Upfront",0,INDEX(SETUP!$C$19:$G$62,MATCH((INDEX(PMtbl[[WKst]:[Unit of measure*]],MATCH($A192&amp;$E192&amp;$H192,INDEX(PMtbl[Category]&amp;PMtbl[INN]&amp;PMtbl[Specification],0,),0),3)),SETUP!$D$19:$D$62,0),5)),"")</f>
        <v/>
      </c>
    </row>
    <row r="193" spans="1:40" s="198" customFormat="1">
      <c r="A193" s="3034"/>
      <c r="B193" s="3035"/>
      <c r="C193" s="3035"/>
      <c r="D193" s="3036"/>
      <c r="E193" s="3039"/>
      <c r="F193" s="3040"/>
      <c r="G193" s="3041"/>
      <c r="H193" s="3050"/>
      <c r="I193" s="2728"/>
      <c r="J193" s="2728"/>
      <c r="K193" s="3051"/>
      <c r="L193" s="307" t="str">
        <f>IF(A193&lt;&gt;"",IFERROR(INDEX(PMtbl[[WKst]:[Unit of measure*]],MATCH($A$124&amp;$A193&amp;$E193&amp;$H193,INDEX(PMtbl[Sec]&amp;PMtbl[Category]&amp;PMtbl[INN]&amp;PMtbl[Specification],0,),0),8),""),"")</f>
        <v/>
      </c>
      <c r="M193" s="307" t="str">
        <f>IF(L193="", "",SETUP!$E$5)</f>
        <v/>
      </c>
      <c r="N193" s="1975"/>
      <c r="O193" s="12"/>
      <c r="P193" s="12"/>
      <c r="Q193" s="12"/>
      <c r="R193" s="12"/>
      <c r="S193" s="1883">
        <f>SUM('Malaria-Equipment &amp; Other HPs'!$O193:$R193)</f>
        <v>0</v>
      </c>
      <c r="T193" s="1884">
        <f>'Malaria-Equipment &amp; Other HPs'!$N193*'Malaria-Equipment &amp; Other HPs'!$S193</f>
        <v>0</v>
      </c>
      <c r="U193" s="1981"/>
      <c r="V193" s="12"/>
      <c r="W193" s="12"/>
      <c r="X193" s="12"/>
      <c r="Y193" s="12"/>
      <c r="Z193" s="1883">
        <f>SUM('Malaria-Equipment &amp; Other HPs'!$V193:$Y193)</f>
        <v>0</v>
      </c>
      <c r="AA193" s="1884">
        <f>'Malaria-Equipment &amp; Other HPs'!$U193*'Malaria-Equipment &amp; Other HPs'!$Z193</f>
        <v>0</v>
      </c>
      <c r="AB193" s="1975"/>
      <c r="AC193" s="12"/>
      <c r="AD193" s="12"/>
      <c r="AE193" s="12"/>
      <c r="AF193" s="12"/>
      <c r="AG193" s="1883">
        <f>SUM('Malaria-Equipment &amp; Other HPs'!$AC193:$AF193)</f>
        <v>0</v>
      </c>
      <c r="AH193" s="1884">
        <f>'Malaria-Equipment &amp; Other HPs'!$AB193*'Malaria-Equipment &amp; Other HPs'!$AG193</f>
        <v>0</v>
      </c>
      <c r="AI193" s="1885">
        <f>'Malaria-Equipment &amp; Other HPs'!$S193+'Malaria-Equipment &amp; Other HPs'!$Z193+'Malaria-Equipment &amp; Other HPs'!$AG193</f>
        <v>0</v>
      </c>
      <c r="AJ193" s="1884">
        <f>'Malaria-Equipment &amp; Other HPs'!$T193+'Malaria-Equipment &amp; Other HPs'!$AA193+'Malaria-Equipment &amp; Other HPs'!$AH193</f>
        <v>0</v>
      </c>
      <c r="AK193" s="1886" t="str">
        <f>IF(A193&lt;&gt;"",IFERROR(INDEX(PMtbl[[WKst]:[Unit of measure*]],MATCH($A$124&amp;$A193&amp;$E193&amp;$H193,INDEX(PMtbl[Sec]&amp;PMtbl[Category]&amp;PMtbl[INN]&amp;PMtbl[Specification],0,),0),7),""),"")</f>
        <v/>
      </c>
      <c r="AL193" s="957"/>
      <c r="AM193" s="1520" t="str">
        <f>IFERROR(INDEX(SETUP!$C$19:$G$62,MATCH((INDEX(PMtbl[[WKst]:[Unit of measure*]],MATCH($A193&amp;$E193&amp;$H193,INDEX(PMtbl[Category]&amp;PMtbl[INN]&amp;PMtbl[Specification],0,),0),3)),SETUP!$D$19:$D$62,0),5),"")</f>
        <v/>
      </c>
      <c r="AN193" s="1494" t="str">
        <f>IFERROR(IF((INDEX(SETUP!$C$19:$G$62,MATCH((INDEX(PMtbl[[WKst]:[Unit of measure*]],MATCH($A193&amp;$E193&amp;$H193,INDEX(PMtbl[Category]&amp;PMtbl[INN]&amp;PMtbl[Specification],0,),0),3)),SETUP!$D$19:$D$62,0),4))="Upfront",0,INDEX(SETUP!$C$19:$G$62,MATCH((INDEX(PMtbl[[WKst]:[Unit of measure*]],MATCH($A193&amp;$E193&amp;$H193,INDEX(PMtbl[Category]&amp;PMtbl[INN]&amp;PMtbl[Specification],0,),0),3)),SETUP!$D$19:$D$62,0),5)),"")</f>
        <v/>
      </c>
    </row>
    <row r="194" spans="1:40" s="198" customFormat="1">
      <c r="A194" s="2950"/>
      <c r="B194" s="2951"/>
      <c r="C194" s="2951"/>
      <c r="D194" s="2952"/>
      <c r="E194" s="3058"/>
      <c r="F194" s="3059"/>
      <c r="G194" s="3060"/>
      <c r="H194" s="3052"/>
      <c r="I194" s="3053"/>
      <c r="J194" s="3053"/>
      <c r="K194" s="3054"/>
      <c r="L194" s="308" t="str">
        <f>IF(A194&lt;&gt;"",IFERROR(INDEX(PMtbl[[WKst]:[Unit of measure*]],MATCH($A$124&amp;$A194&amp;$E194&amp;$H194,INDEX(PMtbl[Sec]&amp;PMtbl[Category]&amp;PMtbl[INN]&amp;PMtbl[Specification],0,),0),8),""),"")</f>
        <v/>
      </c>
      <c r="M194" s="308" t="str">
        <f>IF(L194="", "",SETUP!$E$5)</f>
        <v/>
      </c>
      <c r="N194" s="1976"/>
      <c r="O194" s="1977"/>
      <c r="P194" s="1977"/>
      <c r="Q194" s="1977"/>
      <c r="R194" s="1977"/>
      <c r="S194" s="1887">
        <f>SUM('Malaria-Equipment &amp; Other HPs'!$O194:$R194)</f>
        <v>0</v>
      </c>
      <c r="T194" s="1888">
        <f>'Malaria-Equipment &amp; Other HPs'!$N194*'Malaria-Equipment &amp; Other HPs'!$S194</f>
        <v>0</v>
      </c>
      <c r="U194" s="1982"/>
      <c r="V194" s="1977"/>
      <c r="W194" s="1977"/>
      <c r="X194" s="1977"/>
      <c r="Y194" s="1977"/>
      <c r="Z194" s="1887">
        <f>SUM('Malaria-Equipment &amp; Other HPs'!$V194:$Y194)</f>
        <v>0</v>
      </c>
      <c r="AA194" s="1888">
        <f>'Malaria-Equipment &amp; Other HPs'!$U194*'Malaria-Equipment &amp; Other HPs'!$Z194</f>
        <v>0</v>
      </c>
      <c r="AB194" s="1976"/>
      <c r="AC194" s="1977"/>
      <c r="AD194" s="1977"/>
      <c r="AE194" s="1977"/>
      <c r="AF194" s="1977"/>
      <c r="AG194" s="1887">
        <f>SUM('Malaria-Equipment &amp; Other HPs'!$AC194:$AF194)</f>
        <v>0</v>
      </c>
      <c r="AH194" s="1888">
        <f>'Malaria-Equipment &amp; Other HPs'!$AB194*'Malaria-Equipment &amp; Other HPs'!$AG194</f>
        <v>0</v>
      </c>
      <c r="AI194" s="1889">
        <f>'Malaria-Equipment &amp; Other HPs'!$S194+'Malaria-Equipment &amp; Other HPs'!$Z194+'Malaria-Equipment &amp; Other HPs'!$AG194</f>
        <v>0</v>
      </c>
      <c r="AJ194" s="1888">
        <f>'Malaria-Equipment &amp; Other HPs'!$T194+'Malaria-Equipment &amp; Other HPs'!$AA194+'Malaria-Equipment &amp; Other HPs'!$AH194</f>
        <v>0</v>
      </c>
      <c r="AK194" s="1890" t="str">
        <f>IF(A194&lt;&gt;"",IFERROR(INDEX(PMtbl[[WKst]:[Unit of measure*]],MATCH($A$124&amp;$A194&amp;$E194&amp;$H194,INDEX(PMtbl[Sec]&amp;PMtbl[Category]&amp;PMtbl[INN]&amp;PMtbl[Specification],0,),0),7),""),"")</f>
        <v/>
      </c>
      <c r="AL194" s="956"/>
      <c r="AM194" s="1522" t="str">
        <f>IFERROR(INDEX(SETUP!$C$19:$G$62,MATCH((INDEX(PMtbl[[WKst]:[Unit of measure*]],MATCH($A194&amp;$E194&amp;$H194,INDEX(PMtbl[Category]&amp;PMtbl[INN]&amp;PMtbl[Specification],0,),0),3)),SETUP!$D$19:$D$62,0),5),"")</f>
        <v/>
      </c>
      <c r="AN194" s="1495" t="str">
        <f>IFERROR(IF((INDEX(SETUP!$C$19:$G$62,MATCH((INDEX(PMtbl[[WKst]:[Unit of measure*]],MATCH($A194&amp;$E194&amp;$H194,INDEX(PMtbl[Category]&amp;PMtbl[INN]&amp;PMtbl[Specification],0,),0),3)),SETUP!$D$19:$D$62,0),4))="Upfront",0,INDEX(SETUP!$C$19:$G$62,MATCH((INDEX(PMtbl[[WKst]:[Unit of measure*]],MATCH($A194&amp;$E194&amp;$H194,INDEX(PMtbl[Category]&amp;PMtbl[INN]&amp;PMtbl[Specification],0,),0),3)),SETUP!$D$19:$D$62,0),5)),"")</f>
        <v/>
      </c>
    </row>
    <row r="195" spans="1:40" s="198" customFormat="1">
      <c r="A195" s="3034"/>
      <c r="B195" s="3035"/>
      <c r="C195" s="3035"/>
      <c r="D195" s="3036"/>
      <c r="E195" s="3039"/>
      <c r="F195" s="3040"/>
      <c r="G195" s="3041"/>
      <c r="H195" s="3050"/>
      <c r="I195" s="2728"/>
      <c r="J195" s="2728"/>
      <c r="K195" s="3051"/>
      <c r="L195" s="307" t="str">
        <f>IF(A195&lt;&gt;"",IFERROR(INDEX(PMtbl[[WKst]:[Unit of measure*]],MATCH($A$124&amp;$A195&amp;$E195&amp;$H195,INDEX(PMtbl[Sec]&amp;PMtbl[Category]&amp;PMtbl[INN]&amp;PMtbl[Specification],0,),0),8),""),"")</f>
        <v/>
      </c>
      <c r="M195" s="307" t="str">
        <f>IF(L195="", "",SETUP!$E$5)</f>
        <v/>
      </c>
      <c r="N195" s="1975"/>
      <c r="O195" s="12"/>
      <c r="P195" s="12"/>
      <c r="Q195" s="12"/>
      <c r="R195" s="12"/>
      <c r="S195" s="1883">
        <f>SUM('Malaria-Equipment &amp; Other HPs'!$O195:$R195)</f>
        <v>0</v>
      </c>
      <c r="T195" s="1884">
        <f>'Malaria-Equipment &amp; Other HPs'!$N195*'Malaria-Equipment &amp; Other HPs'!$S195</f>
        <v>0</v>
      </c>
      <c r="U195" s="1981"/>
      <c r="V195" s="12"/>
      <c r="W195" s="12"/>
      <c r="X195" s="12"/>
      <c r="Y195" s="12"/>
      <c r="Z195" s="1883">
        <f>SUM('Malaria-Equipment &amp; Other HPs'!$V195:$Y195)</f>
        <v>0</v>
      </c>
      <c r="AA195" s="1884">
        <f>'Malaria-Equipment &amp; Other HPs'!$U195*'Malaria-Equipment &amp; Other HPs'!$Z195</f>
        <v>0</v>
      </c>
      <c r="AB195" s="1975"/>
      <c r="AC195" s="12"/>
      <c r="AD195" s="12"/>
      <c r="AE195" s="12"/>
      <c r="AF195" s="12"/>
      <c r="AG195" s="1883">
        <f>SUM('Malaria-Equipment &amp; Other HPs'!$AC195:$AF195)</f>
        <v>0</v>
      </c>
      <c r="AH195" s="1884">
        <f>'Malaria-Equipment &amp; Other HPs'!$AB195*'Malaria-Equipment &amp; Other HPs'!$AG195</f>
        <v>0</v>
      </c>
      <c r="AI195" s="1885">
        <f>'Malaria-Equipment &amp; Other HPs'!$S195+'Malaria-Equipment &amp; Other HPs'!$Z195+'Malaria-Equipment &amp; Other HPs'!$AG195</f>
        <v>0</v>
      </c>
      <c r="AJ195" s="1884">
        <f>'Malaria-Equipment &amp; Other HPs'!$T195+'Malaria-Equipment &amp; Other HPs'!$AA195+'Malaria-Equipment &amp; Other HPs'!$AH195</f>
        <v>0</v>
      </c>
      <c r="AK195" s="1886" t="str">
        <f>IF(A195&lt;&gt;"",IFERROR(INDEX(PMtbl[[WKst]:[Unit of measure*]],MATCH($A$124&amp;$A195&amp;$E195&amp;$H195,INDEX(PMtbl[Sec]&amp;PMtbl[Category]&amp;PMtbl[INN]&amp;PMtbl[Specification],0,),0),7),""),"")</f>
        <v/>
      </c>
      <c r="AL195" s="957"/>
      <c r="AM195" s="1520" t="str">
        <f>IFERROR(INDEX(SETUP!$C$19:$G$62,MATCH((INDEX(PMtbl[[WKst]:[Unit of measure*]],MATCH($A195&amp;$E195&amp;$H195,INDEX(PMtbl[Category]&amp;PMtbl[INN]&amp;PMtbl[Specification],0,),0),3)),SETUP!$D$19:$D$62,0),5),"")</f>
        <v/>
      </c>
      <c r="AN195" s="1494" t="str">
        <f>IFERROR(IF((INDEX(SETUP!$C$19:$G$62,MATCH((INDEX(PMtbl[[WKst]:[Unit of measure*]],MATCH($A195&amp;$E195&amp;$H195,INDEX(PMtbl[Category]&amp;PMtbl[INN]&amp;PMtbl[Specification],0,),0),3)),SETUP!$D$19:$D$62,0),4))="Upfront",0,INDEX(SETUP!$C$19:$G$62,MATCH((INDEX(PMtbl[[WKst]:[Unit of measure*]],MATCH($A195&amp;$E195&amp;$H195,INDEX(PMtbl[Category]&amp;PMtbl[INN]&amp;PMtbl[Specification],0,),0),3)),SETUP!$D$19:$D$62,0),5)),"")</f>
        <v/>
      </c>
    </row>
    <row r="196" spans="1:40" s="198" customFormat="1">
      <c r="A196" s="2950"/>
      <c r="B196" s="2951"/>
      <c r="C196" s="2951"/>
      <c r="D196" s="2952"/>
      <c r="E196" s="3058"/>
      <c r="F196" s="3059"/>
      <c r="G196" s="3060"/>
      <c r="H196" s="3052"/>
      <c r="I196" s="3053"/>
      <c r="J196" s="3053"/>
      <c r="K196" s="3054"/>
      <c r="L196" s="308" t="str">
        <f>IF(A196&lt;&gt;"",IFERROR(INDEX(PMtbl[[WKst]:[Unit of measure*]],MATCH($A$124&amp;$A196&amp;$E196&amp;$H196,INDEX(PMtbl[Sec]&amp;PMtbl[Category]&amp;PMtbl[INN]&amp;PMtbl[Specification],0,),0),8),""),"")</f>
        <v/>
      </c>
      <c r="M196" s="308" t="str">
        <f>IF(L196="", "",SETUP!$E$5)</f>
        <v/>
      </c>
      <c r="N196" s="1976"/>
      <c r="O196" s="1977"/>
      <c r="P196" s="1977"/>
      <c r="Q196" s="1977"/>
      <c r="R196" s="1977"/>
      <c r="S196" s="1887">
        <f>SUM('Malaria-Equipment &amp; Other HPs'!$O196:$R196)</f>
        <v>0</v>
      </c>
      <c r="T196" s="1888">
        <f>'Malaria-Equipment &amp; Other HPs'!$N196*'Malaria-Equipment &amp; Other HPs'!$S196</f>
        <v>0</v>
      </c>
      <c r="U196" s="1982"/>
      <c r="V196" s="1977"/>
      <c r="W196" s="1977"/>
      <c r="X196" s="1977"/>
      <c r="Y196" s="1977"/>
      <c r="Z196" s="1887">
        <f>SUM('Malaria-Equipment &amp; Other HPs'!$V196:$Y196)</f>
        <v>0</v>
      </c>
      <c r="AA196" s="1888">
        <f>'Malaria-Equipment &amp; Other HPs'!$U196*'Malaria-Equipment &amp; Other HPs'!$Z196</f>
        <v>0</v>
      </c>
      <c r="AB196" s="1976"/>
      <c r="AC196" s="1977"/>
      <c r="AD196" s="1977"/>
      <c r="AE196" s="1977"/>
      <c r="AF196" s="1977"/>
      <c r="AG196" s="1887">
        <f>SUM('Malaria-Equipment &amp; Other HPs'!$AC196:$AF196)</f>
        <v>0</v>
      </c>
      <c r="AH196" s="1888">
        <f>'Malaria-Equipment &amp; Other HPs'!$AB196*'Malaria-Equipment &amp; Other HPs'!$AG196</f>
        <v>0</v>
      </c>
      <c r="AI196" s="1889">
        <f>'Malaria-Equipment &amp; Other HPs'!$S196+'Malaria-Equipment &amp; Other HPs'!$Z196+'Malaria-Equipment &amp; Other HPs'!$AG196</f>
        <v>0</v>
      </c>
      <c r="AJ196" s="1888">
        <f>'Malaria-Equipment &amp; Other HPs'!$T196+'Malaria-Equipment &amp; Other HPs'!$AA196+'Malaria-Equipment &amp; Other HPs'!$AH196</f>
        <v>0</v>
      </c>
      <c r="AK196" s="1890" t="str">
        <f>IF(A196&lt;&gt;"",IFERROR(INDEX(PMtbl[[WKst]:[Unit of measure*]],MATCH($A$124&amp;$A196&amp;$E196&amp;$H196,INDEX(PMtbl[Sec]&amp;PMtbl[Category]&amp;PMtbl[INN]&amp;PMtbl[Specification],0,),0),7),""),"")</f>
        <v/>
      </c>
      <c r="AL196" s="956"/>
      <c r="AM196" s="1522" t="str">
        <f>IFERROR(INDEX(SETUP!$C$19:$G$62,MATCH((INDEX(PMtbl[[WKst]:[Unit of measure*]],MATCH($A196&amp;$E196&amp;$H196,INDEX(PMtbl[Category]&amp;PMtbl[INN]&amp;PMtbl[Specification],0,),0),3)),SETUP!$D$19:$D$62,0),5),"")</f>
        <v/>
      </c>
      <c r="AN196" s="1495" t="str">
        <f>IFERROR(IF((INDEX(SETUP!$C$19:$G$62,MATCH((INDEX(PMtbl[[WKst]:[Unit of measure*]],MATCH($A196&amp;$E196&amp;$H196,INDEX(PMtbl[Category]&amp;PMtbl[INN]&amp;PMtbl[Specification],0,),0),3)),SETUP!$D$19:$D$62,0),4))="Upfront",0,INDEX(SETUP!$C$19:$G$62,MATCH((INDEX(PMtbl[[WKst]:[Unit of measure*]],MATCH($A196&amp;$E196&amp;$H196,INDEX(PMtbl[Category]&amp;PMtbl[INN]&amp;PMtbl[Specification],0,),0),3)),SETUP!$D$19:$D$62,0),5)),"")</f>
        <v/>
      </c>
    </row>
    <row r="197" spans="1:40" s="198" customFormat="1">
      <c r="A197" s="3034"/>
      <c r="B197" s="3035"/>
      <c r="C197" s="3035"/>
      <c r="D197" s="3036"/>
      <c r="E197" s="3039"/>
      <c r="F197" s="3040"/>
      <c r="G197" s="3041"/>
      <c r="H197" s="3050"/>
      <c r="I197" s="2728"/>
      <c r="J197" s="2728"/>
      <c r="K197" s="3051"/>
      <c r="L197" s="307" t="str">
        <f>IF(A197&lt;&gt;"",IFERROR(INDEX(PMtbl[[WKst]:[Unit of measure*]],MATCH($A$124&amp;$A197&amp;$E197&amp;$H197,INDEX(PMtbl[Sec]&amp;PMtbl[Category]&amp;PMtbl[INN]&amp;PMtbl[Specification],0,),0),8),""),"")</f>
        <v/>
      </c>
      <c r="M197" s="307" t="str">
        <f>IF(L197="", "",SETUP!$E$5)</f>
        <v/>
      </c>
      <c r="N197" s="1975"/>
      <c r="O197" s="12"/>
      <c r="P197" s="12"/>
      <c r="Q197" s="12"/>
      <c r="R197" s="12"/>
      <c r="S197" s="1883">
        <f>SUM('Malaria-Equipment &amp; Other HPs'!$O197:$R197)</f>
        <v>0</v>
      </c>
      <c r="T197" s="1884">
        <f>'Malaria-Equipment &amp; Other HPs'!$N197*'Malaria-Equipment &amp; Other HPs'!$S197</f>
        <v>0</v>
      </c>
      <c r="U197" s="1981"/>
      <c r="V197" s="12"/>
      <c r="W197" s="12"/>
      <c r="X197" s="12"/>
      <c r="Y197" s="12"/>
      <c r="Z197" s="1883">
        <f>SUM('Malaria-Equipment &amp; Other HPs'!$V197:$Y197)</f>
        <v>0</v>
      </c>
      <c r="AA197" s="1884">
        <f>'Malaria-Equipment &amp; Other HPs'!$U197*'Malaria-Equipment &amp; Other HPs'!$Z197</f>
        <v>0</v>
      </c>
      <c r="AB197" s="1975"/>
      <c r="AC197" s="12"/>
      <c r="AD197" s="12"/>
      <c r="AE197" s="12"/>
      <c r="AF197" s="12"/>
      <c r="AG197" s="1883">
        <f>SUM('Malaria-Equipment &amp; Other HPs'!$AC197:$AF197)</f>
        <v>0</v>
      </c>
      <c r="AH197" s="1884">
        <f>'Malaria-Equipment &amp; Other HPs'!$AB197*'Malaria-Equipment &amp; Other HPs'!$AG197</f>
        <v>0</v>
      </c>
      <c r="AI197" s="1885">
        <f>'Malaria-Equipment &amp; Other HPs'!$S197+'Malaria-Equipment &amp; Other HPs'!$Z197+'Malaria-Equipment &amp; Other HPs'!$AG197</f>
        <v>0</v>
      </c>
      <c r="AJ197" s="1884">
        <f>'Malaria-Equipment &amp; Other HPs'!$T197+'Malaria-Equipment &amp; Other HPs'!$AA197+'Malaria-Equipment &amp; Other HPs'!$AH197</f>
        <v>0</v>
      </c>
      <c r="AK197" s="1886" t="str">
        <f>IF(A197&lt;&gt;"",IFERROR(INDEX(PMtbl[[WKst]:[Unit of measure*]],MATCH($A$124&amp;$A197&amp;$E197&amp;$H197,INDEX(PMtbl[Sec]&amp;PMtbl[Category]&amp;PMtbl[INN]&amp;PMtbl[Specification],0,),0),7),""),"")</f>
        <v/>
      </c>
      <c r="AL197" s="957"/>
      <c r="AM197" s="1520" t="str">
        <f>IFERROR(INDEX(SETUP!$C$19:$G$62,MATCH((INDEX(PMtbl[[WKst]:[Unit of measure*]],MATCH($A197&amp;$E197&amp;$H197,INDEX(PMtbl[Category]&amp;PMtbl[INN]&amp;PMtbl[Specification],0,),0),3)),SETUP!$D$19:$D$62,0),5),"")</f>
        <v/>
      </c>
      <c r="AN197" s="1494" t="str">
        <f>IFERROR(IF((INDEX(SETUP!$C$19:$G$62,MATCH((INDEX(PMtbl[[WKst]:[Unit of measure*]],MATCH($A197&amp;$E197&amp;$H197,INDEX(PMtbl[Category]&amp;PMtbl[INN]&amp;PMtbl[Specification],0,),0),3)),SETUP!$D$19:$D$62,0),4))="Upfront",0,INDEX(SETUP!$C$19:$G$62,MATCH((INDEX(PMtbl[[WKst]:[Unit of measure*]],MATCH($A197&amp;$E197&amp;$H197,INDEX(PMtbl[Category]&amp;PMtbl[INN]&amp;PMtbl[Specification],0,),0),3)),SETUP!$D$19:$D$62,0),5)),"")</f>
        <v/>
      </c>
    </row>
    <row r="198" spans="1:40" s="198" customFormat="1">
      <c r="A198" s="2950"/>
      <c r="B198" s="2951"/>
      <c r="C198" s="2951"/>
      <c r="D198" s="2952"/>
      <c r="E198" s="3058"/>
      <c r="F198" s="3059"/>
      <c r="G198" s="3060"/>
      <c r="H198" s="3052"/>
      <c r="I198" s="3053"/>
      <c r="J198" s="3053"/>
      <c r="K198" s="3054"/>
      <c r="L198" s="308" t="str">
        <f>IF(A198&lt;&gt;"",IFERROR(INDEX(PMtbl[[WKst]:[Unit of measure*]],MATCH($A$124&amp;$A198&amp;$E198&amp;$H198,INDEX(PMtbl[Sec]&amp;PMtbl[Category]&amp;PMtbl[INN]&amp;PMtbl[Specification],0,),0),8),""),"")</f>
        <v/>
      </c>
      <c r="M198" s="308" t="str">
        <f>IF(L198="", "",SETUP!$E$5)</f>
        <v/>
      </c>
      <c r="N198" s="1976"/>
      <c r="O198" s="1977"/>
      <c r="P198" s="1977"/>
      <c r="Q198" s="1977"/>
      <c r="R198" s="1977"/>
      <c r="S198" s="1887">
        <f>SUM('Malaria-Equipment &amp; Other HPs'!$O198:$R198)</f>
        <v>0</v>
      </c>
      <c r="T198" s="1888">
        <f>'Malaria-Equipment &amp; Other HPs'!$N198*'Malaria-Equipment &amp; Other HPs'!$S198</f>
        <v>0</v>
      </c>
      <c r="U198" s="1982"/>
      <c r="V198" s="1977"/>
      <c r="W198" s="1977"/>
      <c r="X198" s="1977"/>
      <c r="Y198" s="1977"/>
      <c r="Z198" s="1887">
        <f>SUM('Malaria-Equipment &amp; Other HPs'!$V198:$Y198)</f>
        <v>0</v>
      </c>
      <c r="AA198" s="1888">
        <f>'Malaria-Equipment &amp; Other HPs'!$U198*'Malaria-Equipment &amp; Other HPs'!$Z198</f>
        <v>0</v>
      </c>
      <c r="AB198" s="1976"/>
      <c r="AC198" s="1977"/>
      <c r="AD198" s="1977"/>
      <c r="AE198" s="1977"/>
      <c r="AF198" s="1977"/>
      <c r="AG198" s="1887">
        <f>SUM('Malaria-Equipment &amp; Other HPs'!$AC198:$AF198)</f>
        <v>0</v>
      </c>
      <c r="AH198" s="1888">
        <f>'Malaria-Equipment &amp; Other HPs'!$AB198*'Malaria-Equipment &amp; Other HPs'!$AG198</f>
        <v>0</v>
      </c>
      <c r="AI198" s="1889">
        <f>'Malaria-Equipment &amp; Other HPs'!$S198+'Malaria-Equipment &amp; Other HPs'!$Z198+'Malaria-Equipment &amp; Other HPs'!$AG198</f>
        <v>0</v>
      </c>
      <c r="AJ198" s="1888">
        <f>'Malaria-Equipment &amp; Other HPs'!$T198+'Malaria-Equipment &amp; Other HPs'!$AA198+'Malaria-Equipment &amp; Other HPs'!$AH198</f>
        <v>0</v>
      </c>
      <c r="AK198" s="1890" t="str">
        <f>IF(A198&lt;&gt;"",IFERROR(INDEX(PMtbl[[WKst]:[Unit of measure*]],MATCH($A$124&amp;$A198&amp;$E198&amp;$H198,INDEX(PMtbl[Sec]&amp;PMtbl[Category]&amp;PMtbl[INN]&amp;PMtbl[Specification],0,),0),7),""),"")</f>
        <v/>
      </c>
      <c r="AL198" s="956"/>
      <c r="AM198" s="1522" t="str">
        <f>IFERROR(INDEX(SETUP!$C$19:$G$62,MATCH((INDEX(PMtbl[[WKst]:[Unit of measure*]],MATCH($A198&amp;$E198&amp;$H198,INDEX(PMtbl[Category]&amp;PMtbl[INN]&amp;PMtbl[Specification],0,),0),3)),SETUP!$D$19:$D$62,0),5),"")</f>
        <v/>
      </c>
      <c r="AN198" s="1495" t="str">
        <f>IFERROR(IF((INDEX(SETUP!$C$19:$G$62,MATCH((INDEX(PMtbl[[WKst]:[Unit of measure*]],MATCH($A198&amp;$E198&amp;$H198,INDEX(PMtbl[Category]&amp;PMtbl[INN]&amp;PMtbl[Specification],0,),0),3)),SETUP!$D$19:$D$62,0),4))="Upfront",0,INDEX(SETUP!$C$19:$G$62,MATCH((INDEX(PMtbl[[WKst]:[Unit of measure*]],MATCH($A198&amp;$E198&amp;$H198,INDEX(PMtbl[Category]&amp;PMtbl[INN]&amp;PMtbl[Specification],0,),0),3)),SETUP!$D$19:$D$62,0),5)),"")</f>
        <v/>
      </c>
    </row>
    <row r="199" spans="1:40" s="198" customFormat="1">
      <c r="A199" s="3034"/>
      <c r="B199" s="3035"/>
      <c r="C199" s="3035"/>
      <c r="D199" s="3036"/>
      <c r="E199" s="3039"/>
      <c r="F199" s="3040"/>
      <c r="G199" s="3041"/>
      <c r="H199" s="3050"/>
      <c r="I199" s="2728"/>
      <c r="J199" s="2728"/>
      <c r="K199" s="3051"/>
      <c r="L199" s="307" t="str">
        <f>IF(A199&lt;&gt;"",IFERROR(INDEX(PMtbl[[WKst]:[Unit of measure*]],MATCH($A$124&amp;$A199&amp;$E199&amp;$H199,INDEX(PMtbl[Sec]&amp;PMtbl[Category]&amp;PMtbl[INN]&amp;PMtbl[Specification],0,),0),8),""),"")</f>
        <v/>
      </c>
      <c r="M199" s="307" t="str">
        <f>IF(L199="", "",SETUP!$E$5)</f>
        <v/>
      </c>
      <c r="N199" s="1975"/>
      <c r="O199" s="12"/>
      <c r="P199" s="12"/>
      <c r="Q199" s="12"/>
      <c r="R199" s="12"/>
      <c r="S199" s="1883">
        <f>SUM('Malaria-Equipment &amp; Other HPs'!$O199:$R199)</f>
        <v>0</v>
      </c>
      <c r="T199" s="1884">
        <f>'Malaria-Equipment &amp; Other HPs'!$N199*'Malaria-Equipment &amp; Other HPs'!$S199</f>
        <v>0</v>
      </c>
      <c r="U199" s="1981"/>
      <c r="V199" s="12"/>
      <c r="W199" s="12"/>
      <c r="X199" s="12"/>
      <c r="Y199" s="12"/>
      <c r="Z199" s="1883">
        <f>SUM('Malaria-Equipment &amp; Other HPs'!$V199:$Y199)</f>
        <v>0</v>
      </c>
      <c r="AA199" s="1884">
        <f>'Malaria-Equipment &amp; Other HPs'!$U199*'Malaria-Equipment &amp; Other HPs'!$Z199</f>
        <v>0</v>
      </c>
      <c r="AB199" s="1975"/>
      <c r="AC199" s="12"/>
      <c r="AD199" s="12"/>
      <c r="AE199" s="12"/>
      <c r="AF199" s="12"/>
      <c r="AG199" s="1883">
        <f>SUM('Malaria-Equipment &amp; Other HPs'!$AC199:$AF199)</f>
        <v>0</v>
      </c>
      <c r="AH199" s="1884">
        <f>'Malaria-Equipment &amp; Other HPs'!$AB199*'Malaria-Equipment &amp; Other HPs'!$AG199</f>
        <v>0</v>
      </c>
      <c r="AI199" s="1885">
        <f>'Malaria-Equipment &amp; Other HPs'!$S199+'Malaria-Equipment &amp; Other HPs'!$Z199+'Malaria-Equipment &amp; Other HPs'!$AG199</f>
        <v>0</v>
      </c>
      <c r="AJ199" s="1884">
        <f>'Malaria-Equipment &amp; Other HPs'!$T199+'Malaria-Equipment &amp; Other HPs'!$AA199+'Malaria-Equipment &amp; Other HPs'!$AH199</f>
        <v>0</v>
      </c>
      <c r="AK199" s="1886" t="str">
        <f>IF(A199&lt;&gt;"",IFERROR(INDEX(PMtbl[[WKst]:[Unit of measure*]],MATCH($A$124&amp;$A199&amp;$E199&amp;$H199,INDEX(PMtbl[Sec]&amp;PMtbl[Category]&amp;PMtbl[INN]&amp;PMtbl[Specification],0,),0),7),""),"")</f>
        <v/>
      </c>
      <c r="AL199" s="957"/>
      <c r="AM199" s="1520" t="str">
        <f>IFERROR(INDEX(SETUP!$C$19:$G$62,MATCH((INDEX(PMtbl[[WKst]:[Unit of measure*]],MATCH($A199&amp;$E199&amp;$H199,INDEX(PMtbl[Category]&amp;PMtbl[INN]&amp;PMtbl[Specification],0,),0),3)),SETUP!$D$19:$D$62,0),5),"")</f>
        <v/>
      </c>
      <c r="AN199" s="1494" t="str">
        <f>IFERROR(IF((INDEX(SETUP!$C$19:$G$62,MATCH((INDEX(PMtbl[[WKst]:[Unit of measure*]],MATCH($A199&amp;$E199&amp;$H199,INDEX(PMtbl[Category]&amp;PMtbl[INN]&amp;PMtbl[Specification],0,),0),3)),SETUP!$D$19:$D$62,0),4))="Upfront",0,INDEX(SETUP!$C$19:$G$62,MATCH((INDEX(PMtbl[[WKst]:[Unit of measure*]],MATCH($A199&amp;$E199&amp;$H199,INDEX(PMtbl[Category]&amp;PMtbl[INN]&amp;PMtbl[Specification],0,),0),3)),SETUP!$D$19:$D$62,0),5)),"")</f>
        <v/>
      </c>
    </row>
    <row r="200" spans="1:40" s="198" customFormat="1">
      <c r="A200" s="2950"/>
      <c r="B200" s="2951"/>
      <c r="C200" s="2951"/>
      <c r="D200" s="2952"/>
      <c r="E200" s="3058"/>
      <c r="F200" s="3059"/>
      <c r="G200" s="3060"/>
      <c r="H200" s="3052"/>
      <c r="I200" s="3053"/>
      <c r="J200" s="3053"/>
      <c r="K200" s="3054"/>
      <c r="L200" s="308" t="str">
        <f>IF(A200&lt;&gt;"",IFERROR(INDEX(PMtbl[[WKst]:[Unit of measure*]],MATCH($A$124&amp;$A200&amp;$E200&amp;$H200,INDEX(PMtbl[Sec]&amp;PMtbl[Category]&amp;PMtbl[INN]&amp;PMtbl[Specification],0,),0),8),""),"")</f>
        <v/>
      </c>
      <c r="M200" s="308" t="str">
        <f>IF(L200="", "",SETUP!$E$5)</f>
        <v/>
      </c>
      <c r="N200" s="1976"/>
      <c r="O200" s="1977"/>
      <c r="P200" s="1977"/>
      <c r="Q200" s="1977"/>
      <c r="R200" s="1977"/>
      <c r="S200" s="1887">
        <f>SUM('Malaria-Equipment &amp; Other HPs'!$O200:$R200)</f>
        <v>0</v>
      </c>
      <c r="T200" s="1888">
        <f>'Malaria-Equipment &amp; Other HPs'!$N200*'Malaria-Equipment &amp; Other HPs'!$S200</f>
        <v>0</v>
      </c>
      <c r="U200" s="1982"/>
      <c r="V200" s="1977"/>
      <c r="W200" s="1977"/>
      <c r="X200" s="1977"/>
      <c r="Y200" s="1977"/>
      <c r="Z200" s="1887">
        <f>SUM('Malaria-Equipment &amp; Other HPs'!$V200:$Y200)</f>
        <v>0</v>
      </c>
      <c r="AA200" s="1888">
        <f>'Malaria-Equipment &amp; Other HPs'!$U200*'Malaria-Equipment &amp; Other HPs'!$Z200</f>
        <v>0</v>
      </c>
      <c r="AB200" s="1976"/>
      <c r="AC200" s="1977"/>
      <c r="AD200" s="1977"/>
      <c r="AE200" s="1977"/>
      <c r="AF200" s="1977"/>
      <c r="AG200" s="1887">
        <f>SUM('Malaria-Equipment &amp; Other HPs'!$AC200:$AF200)</f>
        <v>0</v>
      </c>
      <c r="AH200" s="1888">
        <f>'Malaria-Equipment &amp; Other HPs'!$AB200*'Malaria-Equipment &amp; Other HPs'!$AG200</f>
        <v>0</v>
      </c>
      <c r="AI200" s="1889">
        <f>'Malaria-Equipment &amp; Other HPs'!$S200+'Malaria-Equipment &amp; Other HPs'!$Z200+'Malaria-Equipment &amp; Other HPs'!$AG200</f>
        <v>0</v>
      </c>
      <c r="AJ200" s="1888">
        <f>'Malaria-Equipment &amp; Other HPs'!$T200+'Malaria-Equipment &amp; Other HPs'!$AA200+'Malaria-Equipment &amp; Other HPs'!$AH200</f>
        <v>0</v>
      </c>
      <c r="AK200" s="1890" t="str">
        <f>IF(A200&lt;&gt;"",IFERROR(INDEX(PMtbl[[WKst]:[Unit of measure*]],MATCH($A$124&amp;$A200&amp;$E200&amp;$H200,INDEX(PMtbl[Sec]&amp;PMtbl[Category]&amp;PMtbl[INN]&amp;PMtbl[Specification],0,),0),7),""),"")</f>
        <v/>
      </c>
      <c r="AL200" s="956"/>
      <c r="AM200" s="1522" t="str">
        <f>IFERROR(INDEX(SETUP!$C$19:$G$62,MATCH((INDEX(PMtbl[[WKst]:[Unit of measure*]],MATCH($A200&amp;$E200&amp;$H200,INDEX(PMtbl[Category]&amp;PMtbl[INN]&amp;PMtbl[Specification],0,),0),3)),SETUP!$D$19:$D$62,0),5),"")</f>
        <v/>
      </c>
      <c r="AN200" s="1495" t="str">
        <f>IFERROR(IF((INDEX(SETUP!$C$19:$G$62,MATCH((INDEX(PMtbl[[WKst]:[Unit of measure*]],MATCH($A200&amp;$E200&amp;$H200,INDEX(PMtbl[Category]&amp;PMtbl[INN]&amp;PMtbl[Specification],0,),0),3)),SETUP!$D$19:$D$62,0),4))="Upfront",0,INDEX(SETUP!$C$19:$G$62,MATCH((INDEX(PMtbl[[WKst]:[Unit of measure*]],MATCH($A200&amp;$E200&amp;$H200,INDEX(PMtbl[Category]&amp;PMtbl[INN]&amp;PMtbl[Specification],0,),0),3)),SETUP!$D$19:$D$62,0),5)),"")</f>
        <v/>
      </c>
    </row>
    <row r="201" spans="1:40" s="198" customFormat="1">
      <c r="A201" s="3034"/>
      <c r="B201" s="3035"/>
      <c r="C201" s="3035"/>
      <c r="D201" s="3036"/>
      <c r="E201" s="3039"/>
      <c r="F201" s="3040"/>
      <c r="G201" s="3041"/>
      <c r="H201" s="3050"/>
      <c r="I201" s="2728"/>
      <c r="J201" s="2728"/>
      <c r="K201" s="3051"/>
      <c r="L201" s="307" t="str">
        <f>IF(A201&lt;&gt;"",IFERROR(INDEX(PMtbl[[WKst]:[Unit of measure*]],MATCH($A$124&amp;$A201&amp;$E201&amp;$H201,INDEX(PMtbl[Sec]&amp;PMtbl[Category]&amp;PMtbl[INN]&amp;PMtbl[Specification],0,),0),8),""),"")</f>
        <v/>
      </c>
      <c r="M201" s="307" t="str">
        <f>IF(L201="", "",SETUP!$E$5)</f>
        <v/>
      </c>
      <c r="N201" s="1975"/>
      <c r="O201" s="12"/>
      <c r="P201" s="12"/>
      <c r="Q201" s="12"/>
      <c r="R201" s="12"/>
      <c r="S201" s="1883">
        <f>SUM('Malaria-Equipment &amp; Other HPs'!$O201:$R201)</f>
        <v>0</v>
      </c>
      <c r="T201" s="1884">
        <f>'Malaria-Equipment &amp; Other HPs'!$N201*'Malaria-Equipment &amp; Other HPs'!$S201</f>
        <v>0</v>
      </c>
      <c r="U201" s="1981"/>
      <c r="V201" s="12"/>
      <c r="W201" s="12"/>
      <c r="X201" s="12"/>
      <c r="Y201" s="12"/>
      <c r="Z201" s="1883">
        <f>SUM('Malaria-Equipment &amp; Other HPs'!$V201:$Y201)</f>
        <v>0</v>
      </c>
      <c r="AA201" s="1884">
        <f>'Malaria-Equipment &amp; Other HPs'!$U201*'Malaria-Equipment &amp; Other HPs'!$Z201</f>
        <v>0</v>
      </c>
      <c r="AB201" s="1975"/>
      <c r="AC201" s="12"/>
      <c r="AD201" s="12"/>
      <c r="AE201" s="12"/>
      <c r="AF201" s="12"/>
      <c r="AG201" s="1883">
        <f>SUM('Malaria-Equipment &amp; Other HPs'!$AC201:$AF201)</f>
        <v>0</v>
      </c>
      <c r="AH201" s="1884">
        <f>'Malaria-Equipment &amp; Other HPs'!$AB201*'Malaria-Equipment &amp; Other HPs'!$AG201</f>
        <v>0</v>
      </c>
      <c r="AI201" s="1885">
        <f>'Malaria-Equipment &amp; Other HPs'!$S201+'Malaria-Equipment &amp; Other HPs'!$Z201+'Malaria-Equipment &amp; Other HPs'!$AG201</f>
        <v>0</v>
      </c>
      <c r="AJ201" s="1884">
        <f>'Malaria-Equipment &amp; Other HPs'!$T201+'Malaria-Equipment &amp; Other HPs'!$AA201+'Malaria-Equipment &amp; Other HPs'!$AH201</f>
        <v>0</v>
      </c>
      <c r="AK201" s="1886" t="str">
        <f>IF(A201&lt;&gt;"",IFERROR(INDEX(PMtbl[[WKst]:[Unit of measure*]],MATCH($A$124&amp;$A201&amp;$E201&amp;$H201,INDEX(PMtbl[Sec]&amp;PMtbl[Category]&amp;PMtbl[INN]&amp;PMtbl[Specification],0,),0),7),""),"")</f>
        <v/>
      </c>
      <c r="AL201" s="957"/>
      <c r="AM201" s="1520" t="str">
        <f>IFERROR(INDEX(SETUP!$C$19:$G$62,MATCH((INDEX(PMtbl[[WKst]:[Unit of measure*]],MATCH($A201&amp;$E201&amp;$H201,INDEX(PMtbl[Category]&amp;PMtbl[INN]&amp;PMtbl[Specification],0,),0),3)),SETUP!$D$19:$D$62,0),5),"")</f>
        <v/>
      </c>
      <c r="AN201" s="1494" t="str">
        <f>IFERROR(IF((INDEX(SETUP!$C$19:$G$62,MATCH((INDEX(PMtbl[[WKst]:[Unit of measure*]],MATCH($A201&amp;$E201&amp;$H201,INDEX(PMtbl[Category]&amp;PMtbl[INN]&amp;PMtbl[Specification],0,),0),3)),SETUP!$D$19:$D$62,0),4))="Upfront",0,INDEX(SETUP!$C$19:$G$62,MATCH((INDEX(PMtbl[[WKst]:[Unit of measure*]],MATCH($A201&amp;$E201&amp;$H201,INDEX(PMtbl[Category]&amp;PMtbl[INN]&amp;PMtbl[Specification],0,),0),3)),SETUP!$D$19:$D$62,0),5)),"")</f>
        <v/>
      </c>
    </row>
    <row r="202" spans="1:40" s="198" customFormat="1">
      <c r="A202" s="2950"/>
      <c r="B202" s="2951"/>
      <c r="C202" s="2951"/>
      <c r="D202" s="2952"/>
      <c r="E202" s="3058"/>
      <c r="F202" s="3059"/>
      <c r="G202" s="3060"/>
      <c r="H202" s="3052"/>
      <c r="I202" s="3053"/>
      <c r="J202" s="3053"/>
      <c r="K202" s="3054"/>
      <c r="L202" s="308" t="str">
        <f>IF(A202&lt;&gt;"",IFERROR(INDEX(PMtbl[[WKst]:[Unit of measure*]],MATCH($A$124&amp;$A202&amp;$E202&amp;$H202,INDEX(PMtbl[Sec]&amp;PMtbl[Category]&amp;PMtbl[INN]&amp;PMtbl[Specification],0,),0),8),""),"")</f>
        <v/>
      </c>
      <c r="M202" s="308" t="str">
        <f>IF(L202="", "",SETUP!$E$5)</f>
        <v/>
      </c>
      <c r="N202" s="1976"/>
      <c r="O202" s="1977"/>
      <c r="P202" s="1977"/>
      <c r="Q202" s="1977"/>
      <c r="R202" s="1977"/>
      <c r="S202" s="1887">
        <f>SUM('Malaria-Equipment &amp; Other HPs'!$O202:$R202)</f>
        <v>0</v>
      </c>
      <c r="T202" s="1888">
        <f>'Malaria-Equipment &amp; Other HPs'!$N202*'Malaria-Equipment &amp; Other HPs'!$S202</f>
        <v>0</v>
      </c>
      <c r="U202" s="1982"/>
      <c r="V202" s="1977"/>
      <c r="W202" s="1977"/>
      <c r="X202" s="1977"/>
      <c r="Y202" s="1977"/>
      <c r="Z202" s="1887">
        <f>SUM('Malaria-Equipment &amp; Other HPs'!$V202:$Y202)</f>
        <v>0</v>
      </c>
      <c r="AA202" s="1888">
        <f>'Malaria-Equipment &amp; Other HPs'!$U202*'Malaria-Equipment &amp; Other HPs'!$Z202</f>
        <v>0</v>
      </c>
      <c r="AB202" s="1976"/>
      <c r="AC202" s="1977"/>
      <c r="AD202" s="1977"/>
      <c r="AE202" s="1977"/>
      <c r="AF202" s="1977"/>
      <c r="AG202" s="1887">
        <f>SUM('Malaria-Equipment &amp; Other HPs'!$AC202:$AF202)</f>
        <v>0</v>
      </c>
      <c r="AH202" s="1888">
        <f>'Malaria-Equipment &amp; Other HPs'!$AB202*'Malaria-Equipment &amp; Other HPs'!$AG202</f>
        <v>0</v>
      </c>
      <c r="AI202" s="1889">
        <f>'Malaria-Equipment &amp; Other HPs'!$S202+'Malaria-Equipment &amp; Other HPs'!$Z202+'Malaria-Equipment &amp; Other HPs'!$AG202</f>
        <v>0</v>
      </c>
      <c r="AJ202" s="1888">
        <f>'Malaria-Equipment &amp; Other HPs'!$T202+'Malaria-Equipment &amp; Other HPs'!$AA202+'Malaria-Equipment &amp; Other HPs'!$AH202</f>
        <v>0</v>
      </c>
      <c r="AK202" s="1890" t="str">
        <f>IF(A202&lt;&gt;"",IFERROR(INDEX(PMtbl[[WKst]:[Unit of measure*]],MATCH($A$124&amp;$A202&amp;$E202&amp;$H202,INDEX(PMtbl[Sec]&amp;PMtbl[Category]&amp;PMtbl[INN]&amp;PMtbl[Specification],0,),0),7),""),"")</f>
        <v/>
      </c>
      <c r="AL202" s="956"/>
      <c r="AM202" s="1522" t="str">
        <f>IFERROR(INDEX(SETUP!$C$19:$G$62,MATCH((INDEX(PMtbl[[WKst]:[Unit of measure*]],MATCH($A202&amp;$E202&amp;$H202,INDEX(PMtbl[Category]&amp;PMtbl[INN]&amp;PMtbl[Specification],0,),0),3)),SETUP!$D$19:$D$62,0),5),"")</f>
        <v/>
      </c>
      <c r="AN202" s="1495" t="str">
        <f>IFERROR(IF((INDEX(SETUP!$C$19:$G$62,MATCH((INDEX(PMtbl[[WKst]:[Unit of measure*]],MATCH($A202&amp;$E202&amp;$H202,INDEX(PMtbl[Category]&amp;PMtbl[INN]&amp;PMtbl[Specification],0,),0),3)),SETUP!$D$19:$D$62,0),4))="Upfront",0,INDEX(SETUP!$C$19:$G$62,MATCH((INDEX(PMtbl[[WKst]:[Unit of measure*]],MATCH($A202&amp;$E202&amp;$H202,INDEX(PMtbl[Category]&amp;PMtbl[INN]&amp;PMtbl[Specification],0,),0),3)),SETUP!$D$19:$D$62,0),5)),"")</f>
        <v/>
      </c>
    </row>
    <row r="203" spans="1:40" s="198" customFormat="1">
      <c r="A203" s="3034"/>
      <c r="B203" s="3035"/>
      <c r="C203" s="3035"/>
      <c r="D203" s="3036"/>
      <c r="E203" s="3039"/>
      <c r="F203" s="3040"/>
      <c r="G203" s="3041"/>
      <c r="H203" s="3050"/>
      <c r="I203" s="2728"/>
      <c r="J203" s="2728"/>
      <c r="K203" s="3051"/>
      <c r="L203" s="307" t="str">
        <f>IF(A203&lt;&gt;"",IFERROR(INDEX(PMtbl[[WKst]:[Unit of measure*]],MATCH($A$124&amp;$A203&amp;$E203&amp;$H203,INDEX(PMtbl[Sec]&amp;PMtbl[Category]&amp;PMtbl[INN]&amp;PMtbl[Specification],0,),0),8),""),"")</f>
        <v/>
      </c>
      <c r="M203" s="307" t="str">
        <f>IF(L203="", "",SETUP!$E$5)</f>
        <v/>
      </c>
      <c r="N203" s="1975"/>
      <c r="O203" s="12"/>
      <c r="P203" s="12"/>
      <c r="Q203" s="12"/>
      <c r="R203" s="12"/>
      <c r="S203" s="1883">
        <f>SUM('Malaria-Equipment &amp; Other HPs'!$O203:$R203)</f>
        <v>0</v>
      </c>
      <c r="T203" s="1884">
        <f>'Malaria-Equipment &amp; Other HPs'!$N203*'Malaria-Equipment &amp; Other HPs'!$S203</f>
        <v>0</v>
      </c>
      <c r="U203" s="1981"/>
      <c r="V203" s="12"/>
      <c r="W203" s="12"/>
      <c r="X203" s="12"/>
      <c r="Y203" s="12"/>
      <c r="Z203" s="1883">
        <f>SUM('Malaria-Equipment &amp; Other HPs'!$V203:$Y203)</f>
        <v>0</v>
      </c>
      <c r="AA203" s="1884">
        <f>'Malaria-Equipment &amp; Other HPs'!$U203*'Malaria-Equipment &amp; Other HPs'!$Z203</f>
        <v>0</v>
      </c>
      <c r="AB203" s="1975"/>
      <c r="AC203" s="12"/>
      <c r="AD203" s="12"/>
      <c r="AE203" s="12"/>
      <c r="AF203" s="12"/>
      <c r="AG203" s="1883">
        <f>SUM('Malaria-Equipment &amp; Other HPs'!$AC203:$AF203)</f>
        <v>0</v>
      </c>
      <c r="AH203" s="1884">
        <f>'Malaria-Equipment &amp; Other HPs'!$AB203*'Malaria-Equipment &amp; Other HPs'!$AG203</f>
        <v>0</v>
      </c>
      <c r="AI203" s="1885">
        <f>'Malaria-Equipment &amp; Other HPs'!$S203+'Malaria-Equipment &amp; Other HPs'!$Z203+'Malaria-Equipment &amp; Other HPs'!$AG203</f>
        <v>0</v>
      </c>
      <c r="AJ203" s="1884">
        <f>'Malaria-Equipment &amp; Other HPs'!$T203+'Malaria-Equipment &amp; Other HPs'!$AA203+'Malaria-Equipment &amp; Other HPs'!$AH203</f>
        <v>0</v>
      </c>
      <c r="AK203" s="1886" t="str">
        <f>IF(A203&lt;&gt;"",IFERROR(INDEX(PMtbl[[WKst]:[Unit of measure*]],MATCH($A$124&amp;$A203&amp;$E203&amp;$H203,INDEX(PMtbl[Sec]&amp;PMtbl[Category]&amp;PMtbl[INN]&amp;PMtbl[Specification],0,),0),7),""),"")</f>
        <v/>
      </c>
      <c r="AL203" s="957"/>
      <c r="AM203" s="1520" t="str">
        <f>IFERROR(INDEX(SETUP!$C$19:$G$62,MATCH((INDEX(PMtbl[[WKst]:[Unit of measure*]],MATCH($A203&amp;$E203&amp;$H203,INDEX(PMtbl[Category]&amp;PMtbl[INN]&amp;PMtbl[Specification],0,),0),3)),SETUP!$D$19:$D$62,0),5),"")</f>
        <v/>
      </c>
      <c r="AN203" s="1494" t="str">
        <f>IFERROR(IF((INDEX(SETUP!$C$19:$G$62,MATCH((INDEX(PMtbl[[WKst]:[Unit of measure*]],MATCH($A203&amp;$E203&amp;$H203,INDEX(PMtbl[Category]&amp;PMtbl[INN]&amp;PMtbl[Specification],0,),0),3)),SETUP!$D$19:$D$62,0),4))="Upfront",0,INDEX(SETUP!$C$19:$G$62,MATCH((INDEX(PMtbl[[WKst]:[Unit of measure*]],MATCH($A203&amp;$E203&amp;$H203,INDEX(PMtbl[Category]&amp;PMtbl[INN]&amp;PMtbl[Specification],0,),0),3)),SETUP!$D$19:$D$62,0),5)),"")</f>
        <v/>
      </c>
    </row>
    <row r="204" spans="1:40" s="198" customFormat="1">
      <c r="A204" s="2950"/>
      <c r="B204" s="2951"/>
      <c r="C204" s="2951"/>
      <c r="D204" s="2952"/>
      <c r="E204" s="3058"/>
      <c r="F204" s="3059"/>
      <c r="G204" s="3060"/>
      <c r="H204" s="3052"/>
      <c r="I204" s="3053"/>
      <c r="J204" s="3053"/>
      <c r="K204" s="3054"/>
      <c r="L204" s="308" t="str">
        <f>IF(A204&lt;&gt;"",IFERROR(INDEX(PMtbl[[WKst]:[Unit of measure*]],MATCH($A$124&amp;$A204&amp;$E204&amp;$H204,INDEX(PMtbl[Sec]&amp;PMtbl[Category]&amp;PMtbl[INN]&amp;PMtbl[Specification],0,),0),8),""),"")</f>
        <v/>
      </c>
      <c r="M204" s="308" t="str">
        <f>IF(L204="", "",SETUP!$E$5)</f>
        <v/>
      </c>
      <c r="N204" s="1976"/>
      <c r="O204" s="1977"/>
      <c r="P204" s="1977"/>
      <c r="Q204" s="1977"/>
      <c r="R204" s="1977"/>
      <c r="S204" s="1887">
        <f>SUM('Malaria-Equipment &amp; Other HPs'!$O204:$R204)</f>
        <v>0</v>
      </c>
      <c r="T204" s="1888">
        <f>'Malaria-Equipment &amp; Other HPs'!$N204*'Malaria-Equipment &amp; Other HPs'!$S204</f>
        <v>0</v>
      </c>
      <c r="U204" s="1982"/>
      <c r="V204" s="1977"/>
      <c r="W204" s="1977"/>
      <c r="X204" s="1977"/>
      <c r="Y204" s="1977"/>
      <c r="Z204" s="1887">
        <f>SUM('Malaria-Equipment &amp; Other HPs'!$V204:$Y204)</f>
        <v>0</v>
      </c>
      <c r="AA204" s="1888">
        <f>'Malaria-Equipment &amp; Other HPs'!$U204*'Malaria-Equipment &amp; Other HPs'!$Z204</f>
        <v>0</v>
      </c>
      <c r="AB204" s="1976"/>
      <c r="AC204" s="1977"/>
      <c r="AD204" s="1977"/>
      <c r="AE204" s="1977"/>
      <c r="AF204" s="1977"/>
      <c r="AG204" s="1887">
        <f>SUM('Malaria-Equipment &amp; Other HPs'!$AC204:$AF204)</f>
        <v>0</v>
      </c>
      <c r="AH204" s="1888">
        <f>'Malaria-Equipment &amp; Other HPs'!$AB204*'Malaria-Equipment &amp; Other HPs'!$AG204</f>
        <v>0</v>
      </c>
      <c r="AI204" s="1889">
        <f>'Malaria-Equipment &amp; Other HPs'!$S204+'Malaria-Equipment &amp; Other HPs'!$Z204+'Malaria-Equipment &amp; Other HPs'!$AG204</f>
        <v>0</v>
      </c>
      <c r="AJ204" s="1888">
        <f>'Malaria-Equipment &amp; Other HPs'!$T204+'Malaria-Equipment &amp; Other HPs'!$AA204+'Malaria-Equipment &amp; Other HPs'!$AH204</f>
        <v>0</v>
      </c>
      <c r="AK204" s="1890" t="str">
        <f>IF(A204&lt;&gt;"",IFERROR(INDEX(PMtbl[[WKst]:[Unit of measure*]],MATCH($A$124&amp;$A204&amp;$E204&amp;$H204,INDEX(PMtbl[Sec]&amp;PMtbl[Category]&amp;PMtbl[INN]&amp;PMtbl[Specification],0,),0),7),""),"")</f>
        <v/>
      </c>
      <c r="AL204" s="956"/>
      <c r="AM204" s="1522" t="str">
        <f>IFERROR(INDEX(SETUP!$C$19:$G$62,MATCH((INDEX(PMtbl[[WKst]:[Unit of measure*]],MATCH($A204&amp;$E204&amp;$H204,INDEX(PMtbl[Category]&amp;PMtbl[INN]&amp;PMtbl[Specification],0,),0),3)),SETUP!$D$19:$D$62,0),5),"")</f>
        <v/>
      </c>
      <c r="AN204" s="1495" t="str">
        <f>IFERROR(IF((INDEX(SETUP!$C$19:$G$62,MATCH((INDEX(PMtbl[[WKst]:[Unit of measure*]],MATCH($A204&amp;$E204&amp;$H204,INDEX(PMtbl[Category]&amp;PMtbl[INN]&amp;PMtbl[Specification],0,),0),3)),SETUP!$D$19:$D$62,0),4))="Upfront",0,INDEX(SETUP!$C$19:$G$62,MATCH((INDEX(PMtbl[[WKst]:[Unit of measure*]],MATCH($A204&amp;$E204&amp;$H204,INDEX(PMtbl[Category]&amp;PMtbl[INN]&amp;PMtbl[Specification],0,),0),3)),SETUP!$D$19:$D$62,0),5)),"")</f>
        <v/>
      </c>
    </row>
    <row r="205" spans="1:40" s="198" customFormat="1">
      <c r="A205" s="3034"/>
      <c r="B205" s="3035"/>
      <c r="C205" s="3035"/>
      <c r="D205" s="3036"/>
      <c r="E205" s="3039"/>
      <c r="F205" s="3040"/>
      <c r="G205" s="3041"/>
      <c r="H205" s="3050"/>
      <c r="I205" s="2728"/>
      <c r="J205" s="2728"/>
      <c r="K205" s="3051"/>
      <c r="L205" s="307" t="str">
        <f>IF(A205&lt;&gt;"",IFERROR(INDEX(PMtbl[[WKst]:[Unit of measure*]],MATCH($A$124&amp;$A205&amp;$E205&amp;$H205,INDEX(PMtbl[Sec]&amp;PMtbl[Category]&amp;PMtbl[INN]&amp;PMtbl[Specification],0,),0),8),""),"")</f>
        <v/>
      </c>
      <c r="M205" s="307" t="str">
        <f>IF(L205="", "",SETUP!$E$5)</f>
        <v/>
      </c>
      <c r="N205" s="1975"/>
      <c r="O205" s="12"/>
      <c r="P205" s="12"/>
      <c r="Q205" s="12"/>
      <c r="R205" s="12"/>
      <c r="S205" s="1883">
        <f>SUM('Malaria-Equipment &amp; Other HPs'!$O205:$R205)</f>
        <v>0</v>
      </c>
      <c r="T205" s="1884">
        <f>'Malaria-Equipment &amp; Other HPs'!$N205*'Malaria-Equipment &amp; Other HPs'!$S205</f>
        <v>0</v>
      </c>
      <c r="U205" s="1981"/>
      <c r="V205" s="12"/>
      <c r="W205" s="12"/>
      <c r="X205" s="12"/>
      <c r="Y205" s="12"/>
      <c r="Z205" s="1883">
        <f>SUM('Malaria-Equipment &amp; Other HPs'!$V205:$Y205)</f>
        <v>0</v>
      </c>
      <c r="AA205" s="1884">
        <f>'Malaria-Equipment &amp; Other HPs'!$U205*'Malaria-Equipment &amp; Other HPs'!$Z205</f>
        <v>0</v>
      </c>
      <c r="AB205" s="1975"/>
      <c r="AC205" s="12"/>
      <c r="AD205" s="12"/>
      <c r="AE205" s="12"/>
      <c r="AF205" s="12"/>
      <c r="AG205" s="1883">
        <f>SUM('Malaria-Equipment &amp; Other HPs'!$AC205:$AF205)</f>
        <v>0</v>
      </c>
      <c r="AH205" s="1884">
        <f>'Malaria-Equipment &amp; Other HPs'!$AB205*'Malaria-Equipment &amp; Other HPs'!$AG205</f>
        <v>0</v>
      </c>
      <c r="AI205" s="1885">
        <f>'Malaria-Equipment &amp; Other HPs'!$S205+'Malaria-Equipment &amp; Other HPs'!$Z205+'Malaria-Equipment &amp; Other HPs'!$AG205</f>
        <v>0</v>
      </c>
      <c r="AJ205" s="1884">
        <f>'Malaria-Equipment &amp; Other HPs'!$T205+'Malaria-Equipment &amp; Other HPs'!$AA205+'Malaria-Equipment &amp; Other HPs'!$AH205</f>
        <v>0</v>
      </c>
      <c r="AK205" s="1886" t="str">
        <f>IF(A205&lt;&gt;"",IFERROR(INDEX(PMtbl[[WKst]:[Unit of measure*]],MATCH($A$124&amp;$A205&amp;$E205&amp;$H205,INDEX(PMtbl[Sec]&amp;PMtbl[Category]&amp;PMtbl[INN]&amp;PMtbl[Specification],0,),0),7),""),"")</f>
        <v/>
      </c>
      <c r="AL205" s="957"/>
      <c r="AM205" s="1520" t="str">
        <f>IFERROR(INDEX(SETUP!$C$19:$G$62,MATCH((INDEX(PMtbl[[WKst]:[Unit of measure*]],MATCH($A205&amp;$E205&amp;$H205,INDEX(PMtbl[Category]&amp;PMtbl[INN]&amp;PMtbl[Specification],0,),0),3)),SETUP!$D$19:$D$62,0),5),"")</f>
        <v/>
      </c>
      <c r="AN205" s="1494" t="str">
        <f>IFERROR(IF((INDEX(SETUP!$C$19:$G$62,MATCH((INDEX(PMtbl[[WKst]:[Unit of measure*]],MATCH($A205&amp;$E205&amp;$H205,INDEX(PMtbl[Category]&amp;PMtbl[INN]&amp;PMtbl[Specification],0,),0),3)),SETUP!$D$19:$D$62,0),4))="Upfront",0,INDEX(SETUP!$C$19:$G$62,MATCH((INDEX(PMtbl[[WKst]:[Unit of measure*]],MATCH($A205&amp;$E205&amp;$H205,INDEX(PMtbl[Category]&amp;PMtbl[INN]&amp;PMtbl[Specification],0,),0),3)),SETUP!$D$19:$D$62,0),5)),"")</f>
        <v/>
      </c>
    </row>
    <row r="206" spans="1:40" s="198" customFormat="1">
      <c r="A206" s="2950"/>
      <c r="B206" s="2951"/>
      <c r="C206" s="2951"/>
      <c r="D206" s="2952"/>
      <c r="E206" s="3058"/>
      <c r="F206" s="3059"/>
      <c r="G206" s="3060"/>
      <c r="H206" s="3052"/>
      <c r="I206" s="3053"/>
      <c r="J206" s="3053"/>
      <c r="K206" s="3054"/>
      <c r="L206" s="308" t="str">
        <f>IF(A206&lt;&gt;"",IFERROR(INDEX(PMtbl[[WKst]:[Unit of measure*]],MATCH($A$124&amp;$A206&amp;$E206&amp;$H206,INDEX(PMtbl[Sec]&amp;PMtbl[Category]&amp;PMtbl[INN]&amp;PMtbl[Specification],0,),0),8),""),"")</f>
        <v/>
      </c>
      <c r="M206" s="308" t="str">
        <f>IF(L206="", "",SETUP!$E$5)</f>
        <v/>
      </c>
      <c r="N206" s="1976"/>
      <c r="O206" s="1977"/>
      <c r="P206" s="1977"/>
      <c r="Q206" s="1977"/>
      <c r="R206" s="1977"/>
      <c r="S206" s="1887">
        <f>SUM('Malaria-Equipment &amp; Other HPs'!$O206:$R206)</f>
        <v>0</v>
      </c>
      <c r="T206" s="1888">
        <f>'Malaria-Equipment &amp; Other HPs'!$N206*'Malaria-Equipment &amp; Other HPs'!$S206</f>
        <v>0</v>
      </c>
      <c r="U206" s="1982"/>
      <c r="V206" s="1977"/>
      <c r="W206" s="1977"/>
      <c r="X206" s="1977"/>
      <c r="Y206" s="1977"/>
      <c r="Z206" s="1887">
        <f>SUM('Malaria-Equipment &amp; Other HPs'!$V206:$Y206)</f>
        <v>0</v>
      </c>
      <c r="AA206" s="1888">
        <f>'Malaria-Equipment &amp; Other HPs'!$U206*'Malaria-Equipment &amp; Other HPs'!$Z206</f>
        <v>0</v>
      </c>
      <c r="AB206" s="1976"/>
      <c r="AC206" s="1977"/>
      <c r="AD206" s="1977"/>
      <c r="AE206" s="1977"/>
      <c r="AF206" s="1977"/>
      <c r="AG206" s="1887">
        <f>SUM('Malaria-Equipment &amp; Other HPs'!$AC206:$AF206)</f>
        <v>0</v>
      </c>
      <c r="AH206" s="1888">
        <f>'Malaria-Equipment &amp; Other HPs'!$AB206*'Malaria-Equipment &amp; Other HPs'!$AG206</f>
        <v>0</v>
      </c>
      <c r="AI206" s="1889">
        <f>'Malaria-Equipment &amp; Other HPs'!$S206+'Malaria-Equipment &amp; Other HPs'!$Z206+'Malaria-Equipment &amp; Other HPs'!$AG206</f>
        <v>0</v>
      </c>
      <c r="AJ206" s="1888">
        <f>'Malaria-Equipment &amp; Other HPs'!$T206+'Malaria-Equipment &amp; Other HPs'!$AA206+'Malaria-Equipment &amp; Other HPs'!$AH206</f>
        <v>0</v>
      </c>
      <c r="AK206" s="1890" t="str">
        <f>IF(A206&lt;&gt;"",IFERROR(INDEX(PMtbl[[WKst]:[Unit of measure*]],MATCH($A$124&amp;$A206&amp;$E206&amp;$H206,INDEX(PMtbl[Sec]&amp;PMtbl[Category]&amp;PMtbl[INN]&amp;PMtbl[Specification],0,),0),7),""),"")</f>
        <v/>
      </c>
      <c r="AL206" s="956"/>
      <c r="AM206" s="1522" t="str">
        <f>IFERROR(INDEX(SETUP!$C$19:$G$62,MATCH((INDEX(PMtbl[[WKst]:[Unit of measure*]],MATCH($A206&amp;$E206&amp;$H206,INDEX(PMtbl[Category]&amp;PMtbl[INN]&amp;PMtbl[Specification],0,),0),3)),SETUP!$D$19:$D$62,0),5),"")</f>
        <v/>
      </c>
      <c r="AN206" s="1495" t="str">
        <f>IFERROR(IF((INDEX(SETUP!$C$19:$G$62,MATCH((INDEX(PMtbl[[WKst]:[Unit of measure*]],MATCH($A206&amp;$E206&amp;$H206,INDEX(PMtbl[Category]&amp;PMtbl[INN]&amp;PMtbl[Specification],0,),0),3)),SETUP!$D$19:$D$62,0),4))="Upfront",0,INDEX(SETUP!$C$19:$G$62,MATCH((INDEX(PMtbl[[WKst]:[Unit of measure*]],MATCH($A206&amp;$E206&amp;$H206,INDEX(PMtbl[Category]&amp;PMtbl[INN]&amp;PMtbl[Specification],0,),0),3)),SETUP!$D$19:$D$62,0),5)),"")</f>
        <v/>
      </c>
    </row>
    <row r="207" spans="1:40" s="198" customFormat="1">
      <c r="A207" s="3034"/>
      <c r="B207" s="3035"/>
      <c r="C207" s="3035"/>
      <c r="D207" s="3036"/>
      <c r="E207" s="3039"/>
      <c r="F207" s="3040"/>
      <c r="G207" s="3041"/>
      <c r="H207" s="3050"/>
      <c r="I207" s="2728"/>
      <c r="J207" s="2728"/>
      <c r="K207" s="3051"/>
      <c r="L207" s="307" t="str">
        <f>IF(A207&lt;&gt;"",IFERROR(INDEX(PMtbl[[WKst]:[Unit of measure*]],MATCH($A$124&amp;$A207&amp;$E207&amp;$H207,INDEX(PMtbl[Sec]&amp;PMtbl[Category]&amp;PMtbl[INN]&amp;PMtbl[Specification],0,),0),8),""),"")</f>
        <v/>
      </c>
      <c r="M207" s="307" t="str">
        <f>IF(L207="", "",SETUP!$E$5)</f>
        <v/>
      </c>
      <c r="N207" s="1975"/>
      <c r="O207" s="12"/>
      <c r="P207" s="12"/>
      <c r="Q207" s="12"/>
      <c r="R207" s="12"/>
      <c r="S207" s="1883">
        <f>SUM('Malaria-Equipment &amp; Other HPs'!$O207:$R207)</f>
        <v>0</v>
      </c>
      <c r="T207" s="1884">
        <f>'Malaria-Equipment &amp; Other HPs'!$N207*'Malaria-Equipment &amp; Other HPs'!$S207</f>
        <v>0</v>
      </c>
      <c r="U207" s="1981"/>
      <c r="V207" s="12"/>
      <c r="W207" s="12"/>
      <c r="X207" s="12"/>
      <c r="Y207" s="12"/>
      <c r="Z207" s="1883">
        <f>SUM('Malaria-Equipment &amp; Other HPs'!$V207:$Y207)</f>
        <v>0</v>
      </c>
      <c r="AA207" s="1884">
        <f>'Malaria-Equipment &amp; Other HPs'!$U207*'Malaria-Equipment &amp; Other HPs'!$Z207</f>
        <v>0</v>
      </c>
      <c r="AB207" s="1975"/>
      <c r="AC207" s="12"/>
      <c r="AD207" s="12"/>
      <c r="AE207" s="12"/>
      <c r="AF207" s="12"/>
      <c r="AG207" s="1883">
        <f>SUM('Malaria-Equipment &amp; Other HPs'!$AC207:$AF207)</f>
        <v>0</v>
      </c>
      <c r="AH207" s="1884">
        <f>'Malaria-Equipment &amp; Other HPs'!$AB207*'Malaria-Equipment &amp; Other HPs'!$AG207</f>
        <v>0</v>
      </c>
      <c r="AI207" s="1885">
        <f>'Malaria-Equipment &amp; Other HPs'!$S207+'Malaria-Equipment &amp; Other HPs'!$Z207+'Malaria-Equipment &amp; Other HPs'!$AG207</f>
        <v>0</v>
      </c>
      <c r="AJ207" s="1884">
        <f>'Malaria-Equipment &amp; Other HPs'!$T207+'Malaria-Equipment &amp; Other HPs'!$AA207+'Malaria-Equipment &amp; Other HPs'!$AH207</f>
        <v>0</v>
      </c>
      <c r="AK207" s="1886" t="str">
        <f>IF(A207&lt;&gt;"",IFERROR(INDEX(PMtbl[[WKst]:[Unit of measure*]],MATCH($A$124&amp;$A207&amp;$E207&amp;$H207,INDEX(PMtbl[Sec]&amp;PMtbl[Category]&amp;PMtbl[INN]&amp;PMtbl[Specification],0,),0),7),""),"")</f>
        <v/>
      </c>
      <c r="AL207" s="954"/>
      <c r="AM207" s="1523" t="str">
        <f>IFERROR(INDEX(SETUP!$C$19:$G$62,MATCH((INDEX(PMtbl[[WKst]:[Unit of measure*]],MATCH($A207&amp;$E207&amp;$H207,INDEX(PMtbl[Category]&amp;PMtbl[INN]&amp;PMtbl[Specification],0,),0),3)),SETUP!$D$19:$D$62,0),5),"")</f>
        <v/>
      </c>
      <c r="AN207" s="1494" t="str">
        <f>IFERROR(IF((INDEX(SETUP!$C$19:$G$62,MATCH((INDEX(PMtbl[[WKst]:[Unit of measure*]],MATCH($A207&amp;$E207&amp;$H207,INDEX(PMtbl[Category]&amp;PMtbl[INN]&amp;PMtbl[Specification],0,),0),3)),SETUP!$D$19:$D$62,0),4))="Upfront",0,INDEX(SETUP!$C$19:$G$62,MATCH((INDEX(PMtbl[[WKst]:[Unit of measure*]],MATCH($A207&amp;$E207&amp;$H207,INDEX(PMtbl[Category]&amp;PMtbl[INN]&amp;PMtbl[Specification],0,),0),3)),SETUP!$D$19:$D$62,0),5)),"")</f>
        <v/>
      </c>
    </row>
    <row r="208" spans="1:40" s="198" customFormat="1">
      <c r="A208" s="2950"/>
      <c r="B208" s="2951"/>
      <c r="C208" s="2951"/>
      <c r="D208" s="2952"/>
      <c r="E208" s="3058"/>
      <c r="F208" s="3059"/>
      <c r="G208" s="3060"/>
      <c r="H208" s="3052"/>
      <c r="I208" s="3053"/>
      <c r="J208" s="3053"/>
      <c r="K208" s="3054"/>
      <c r="L208" s="308" t="str">
        <f>IF(A208&lt;&gt;"",IFERROR(INDEX(PMtbl[[WKst]:[Unit of measure*]],MATCH($A$124&amp;$A208&amp;$E208&amp;$H208,INDEX(PMtbl[Sec]&amp;PMtbl[Category]&amp;PMtbl[INN]&amp;PMtbl[Specification],0,),0),8),""),"")</f>
        <v/>
      </c>
      <c r="M208" s="308" t="str">
        <f>IF(L208="", "",SETUP!$E$5)</f>
        <v/>
      </c>
      <c r="N208" s="1976"/>
      <c r="O208" s="1977"/>
      <c r="P208" s="1977"/>
      <c r="Q208" s="1977"/>
      <c r="R208" s="1977"/>
      <c r="S208" s="1887">
        <f>SUM('Malaria-Equipment &amp; Other HPs'!$O208:$R208)</f>
        <v>0</v>
      </c>
      <c r="T208" s="1888">
        <f>'Malaria-Equipment &amp; Other HPs'!$N208*'Malaria-Equipment &amp; Other HPs'!$S208</f>
        <v>0</v>
      </c>
      <c r="U208" s="1982"/>
      <c r="V208" s="1977"/>
      <c r="W208" s="1977"/>
      <c r="X208" s="1977"/>
      <c r="Y208" s="1977"/>
      <c r="Z208" s="1887">
        <f>SUM('Malaria-Equipment &amp; Other HPs'!$V208:$Y208)</f>
        <v>0</v>
      </c>
      <c r="AA208" s="1888">
        <f>'Malaria-Equipment &amp; Other HPs'!$U208*'Malaria-Equipment &amp; Other HPs'!$Z208</f>
        <v>0</v>
      </c>
      <c r="AB208" s="1976"/>
      <c r="AC208" s="1977"/>
      <c r="AD208" s="1977"/>
      <c r="AE208" s="1977"/>
      <c r="AF208" s="1977"/>
      <c r="AG208" s="1887">
        <f>SUM('Malaria-Equipment &amp; Other HPs'!$AC208:$AF208)</f>
        <v>0</v>
      </c>
      <c r="AH208" s="1888">
        <f>'Malaria-Equipment &amp; Other HPs'!$AB208*'Malaria-Equipment &amp; Other HPs'!$AG208</f>
        <v>0</v>
      </c>
      <c r="AI208" s="1889">
        <f>'Malaria-Equipment &amp; Other HPs'!$S208+'Malaria-Equipment &amp; Other HPs'!$Z208+'Malaria-Equipment &amp; Other HPs'!$AG208</f>
        <v>0</v>
      </c>
      <c r="AJ208" s="1888">
        <f>'Malaria-Equipment &amp; Other HPs'!$T208+'Malaria-Equipment &amp; Other HPs'!$AA208+'Malaria-Equipment &amp; Other HPs'!$AH208</f>
        <v>0</v>
      </c>
      <c r="AK208" s="1890" t="str">
        <f>IF(A208&lt;&gt;"",IFERROR(INDEX(PMtbl[[WKst]:[Unit of measure*]],MATCH($A$124&amp;$A208&amp;$E208&amp;$H208,INDEX(PMtbl[Sec]&amp;PMtbl[Category]&amp;PMtbl[INN]&amp;PMtbl[Specification],0,),0),7),""),"")</f>
        <v/>
      </c>
      <c r="AL208" s="956"/>
      <c r="AM208" s="1522" t="str">
        <f>IFERROR(INDEX(SETUP!$C$19:$G$62,MATCH((INDEX(PMtbl[[WKst]:[Unit of measure*]],MATCH($A208&amp;$E208&amp;$H208,INDEX(PMtbl[Category]&amp;PMtbl[INN]&amp;PMtbl[Specification],0,),0),3)),SETUP!$D$19:$D$62,0),5),"")</f>
        <v/>
      </c>
      <c r="AN208" s="1495" t="str">
        <f>IFERROR(IF((INDEX(SETUP!$C$19:$G$62,MATCH((INDEX(PMtbl[[WKst]:[Unit of measure*]],MATCH($A208&amp;$E208&amp;$H208,INDEX(PMtbl[Category]&amp;PMtbl[INN]&amp;PMtbl[Specification],0,),0),3)),SETUP!$D$19:$D$62,0),4))="Upfront",0,INDEX(SETUP!$C$19:$G$62,MATCH((INDEX(PMtbl[[WKst]:[Unit of measure*]],MATCH($A208&amp;$E208&amp;$H208,INDEX(PMtbl[Category]&amp;PMtbl[INN]&amp;PMtbl[Specification],0,),0),3)),SETUP!$D$19:$D$62,0),5)),"")</f>
        <v/>
      </c>
    </row>
    <row r="209" spans="1:40" s="198" customFormat="1">
      <c r="A209" s="3034"/>
      <c r="B209" s="3035"/>
      <c r="C209" s="3035"/>
      <c r="D209" s="3036"/>
      <c r="E209" s="3039"/>
      <c r="F209" s="3040"/>
      <c r="G209" s="3041"/>
      <c r="H209" s="3050"/>
      <c r="I209" s="2728"/>
      <c r="J209" s="2728"/>
      <c r="K209" s="3051"/>
      <c r="L209" s="307" t="str">
        <f>IF(A209&lt;&gt;"",IFERROR(INDEX(PMtbl[[WKst]:[Unit of measure*]],MATCH($A$124&amp;$A209&amp;$E209&amp;$H209,INDEX(PMtbl[Sec]&amp;PMtbl[Category]&amp;PMtbl[INN]&amp;PMtbl[Specification],0,),0),8),""),"")</f>
        <v/>
      </c>
      <c r="M209" s="307" t="str">
        <f>IF(L209="", "",SETUP!$E$5)</f>
        <v/>
      </c>
      <c r="N209" s="1975"/>
      <c r="O209" s="12"/>
      <c r="P209" s="12"/>
      <c r="Q209" s="12"/>
      <c r="R209" s="12"/>
      <c r="S209" s="1883">
        <f>SUM('Malaria-Equipment &amp; Other HPs'!$O209:$R209)</f>
        <v>0</v>
      </c>
      <c r="T209" s="1884">
        <f>'Malaria-Equipment &amp; Other HPs'!$N209*'Malaria-Equipment &amp; Other HPs'!$S209</f>
        <v>0</v>
      </c>
      <c r="U209" s="1981"/>
      <c r="V209" s="12"/>
      <c r="W209" s="12"/>
      <c r="X209" s="12"/>
      <c r="Y209" s="12"/>
      <c r="Z209" s="1883">
        <f>SUM('Malaria-Equipment &amp; Other HPs'!$V209:$Y209)</f>
        <v>0</v>
      </c>
      <c r="AA209" s="1884">
        <f>'Malaria-Equipment &amp; Other HPs'!$U209*'Malaria-Equipment &amp; Other HPs'!$Z209</f>
        <v>0</v>
      </c>
      <c r="AB209" s="1975"/>
      <c r="AC209" s="12"/>
      <c r="AD209" s="12"/>
      <c r="AE209" s="12"/>
      <c r="AF209" s="12"/>
      <c r="AG209" s="1883">
        <f>SUM('Malaria-Equipment &amp; Other HPs'!$AC209:$AF209)</f>
        <v>0</v>
      </c>
      <c r="AH209" s="1884">
        <f>'Malaria-Equipment &amp; Other HPs'!$AB209*'Malaria-Equipment &amp; Other HPs'!$AG209</f>
        <v>0</v>
      </c>
      <c r="AI209" s="1885">
        <f>'Malaria-Equipment &amp; Other HPs'!$S209+'Malaria-Equipment &amp; Other HPs'!$Z209+'Malaria-Equipment &amp; Other HPs'!$AG209</f>
        <v>0</v>
      </c>
      <c r="AJ209" s="1884">
        <f>'Malaria-Equipment &amp; Other HPs'!$T209+'Malaria-Equipment &amp; Other HPs'!$AA209+'Malaria-Equipment &amp; Other HPs'!$AH209</f>
        <v>0</v>
      </c>
      <c r="AK209" s="1886" t="str">
        <f>IF(A209&lt;&gt;"",IFERROR(INDEX(PMtbl[[WKst]:[Unit of measure*]],MATCH($A$124&amp;$A209&amp;$E209&amp;$H209,INDEX(PMtbl[Sec]&amp;PMtbl[Category]&amp;PMtbl[INN]&amp;PMtbl[Specification],0,),0),7),""),"")</f>
        <v/>
      </c>
      <c r="AL209" s="957"/>
      <c r="AM209" s="1520" t="str">
        <f>IFERROR(INDEX(SETUP!$C$19:$G$62,MATCH((INDEX(PMtbl[[WKst]:[Unit of measure*]],MATCH($A209&amp;$E209&amp;$H209,INDEX(PMtbl[Category]&amp;PMtbl[INN]&amp;PMtbl[Specification],0,),0),3)),SETUP!$D$19:$D$62,0),5),"")</f>
        <v/>
      </c>
      <c r="AN209" s="1494" t="str">
        <f>IFERROR(IF((INDEX(SETUP!$C$19:$G$62,MATCH((INDEX(PMtbl[[WKst]:[Unit of measure*]],MATCH($A209&amp;$E209&amp;$H209,INDEX(PMtbl[Category]&amp;PMtbl[INN]&amp;PMtbl[Specification],0,),0),3)),SETUP!$D$19:$D$62,0),4))="Upfront",0,INDEX(SETUP!$C$19:$G$62,MATCH((INDEX(PMtbl[[WKst]:[Unit of measure*]],MATCH($A209&amp;$E209&amp;$H209,INDEX(PMtbl[Category]&amp;PMtbl[INN]&amp;PMtbl[Specification],0,),0),3)),SETUP!$D$19:$D$62,0),5)),"")</f>
        <v/>
      </c>
    </row>
    <row r="210" spans="1:40" s="198" customFormat="1">
      <c r="A210" s="2950"/>
      <c r="B210" s="2951"/>
      <c r="C210" s="2951"/>
      <c r="D210" s="2952"/>
      <c r="E210" s="3058"/>
      <c r="F210" s="3059"/>
      <c r="G210" s="3060"/>
      <c r="H210" s="3052"/>
      <c r="I210" s="3053"/>
      <c r="J210" s="3053"/>
      <c r="K210" s="3054"/>
      <c r="L210" s="308" t="str">
        <f>IF(A210&lt;&gt;"",IFERROR(INDEX(PMtbl[[WKst]:[Unit of measure*]],MATCH($A$124&amp;$A210&amp;$E210&amp;$H210,INDEX(PMtbl[Sec]&amp;PMtbl[Category]&amp;PMtbl[INN]&amp;PMtbl[Specification],0,),0),8),""),"")</f>
        <v/>
      </c>
      <c r="M210" s="308" t="str">
        <f>IF(L210="", "",SETUP!$E$5)</f>
        <v/>
      </c>
      <c r="N210" s="1976"/>
      <c r="O210" s="1977"/>
      <c r="P210" s="1977"/>
      <c r="Q210" s="1977"/>
      <c r="R210" s="1977"/>
      <c r="S210" s="1887">
        <f>SUM('Malaria-Equipment &amp; Other HPs'!$O210:$R210)</f>
        <v>0</v>
      </c>
      <c r="T210" s="1888">
        <f>'Malaria-Equipment &amp; Other HPs'!$N210*'Malaria-Equipment &amp; Other HPs'!$S210</f>
        <v>0</v>
      </c>
      <c r="U210" s="1982"/>
      <c r="V210" s="1977"/>
      <c r="W210" s="1977"/>
      <c r="X210" s="1977"/>
      <c r="Y210" s="1977"/>
      <c r="Z210" s="1887">
        <f>SUM('Malaria-Equipment &amp; Other HPs'!$V210:$Y210)</f>
        <v>0</v>
      </c>
      <c r="AA210" s="1888">
        <f>'Malaria-Equipment &amp; Other HPs'!$U210*'Malaria-Equipment &amp; Other HPs'!$Z210</f>
        <v>0</v>
      </c>
      <c r="AB210" s="1976"/>
      <c r="AC210" s="1977"/>
      <c r="AD210" s="1977"/>
      <c r="AE210" s="1977"/>
      <c r="AF210" s="1977"/>
      <c r="AG210" s="1887">
        <f>SUM('Malaria-Equipment &amp; Other HPs'!$AC210:$AF210)</f>
        <v>0</v>
      </c>
      <c r="AH210" s="1888">
        <f>'Malaria-Equipment &amp; Other HPs'!$AB210*'Malaria-Equipment &amp; Other HPs'!$AG210</f>
        <v>0</v>
      </c>
      <c r="AI210" s="1889">
        <f>'Malaria-Equipment &amp; Other HPs'!$S210+'Malaria-Equipment &amp; Other HPs'!$Z210+'Malaria-Equipment &amp; Other HPs'!$AG210</f>
        <v>0</v>
      </c>
      <c r="AJ210" s="1888">
        <f>'Malaria-Equipment &amp; Other HPs'!$T210+'Malaria-Equipment &amp; Other HPs'!$AA210+'Malaria-Equipment &amp; Other HPs'!$AH210</f>
        <v>0</v>
      </c>
      <c r="AK210" s="1890" t="str">
        <f>IF(A210&lt;&gt;"",IFERROR(INDEX(PMtbl[[WKst]:[Unit of measure*]],MATCH($A$124&amp;$A210&amp;$E210&amp;$H210,INDEX(PMtbl[Sec]&amp;PMtbl[Category]&amp;PMtbl[INN]&amp;PMtbl[Specification],0,),0),7),""),"")</f>
        <v/>
      </c>
      <c r="AL210" s="956"/>
      <c r="AM210" s="1522" t="str">
        <f>IFERROR(INDEX(SETUP!$C$19:$G$62,MATCH((INDEX(PMtbl[[WKst]:[Unit of measure*]],MATCH($A210&amp;$E210&amp;$H210,INDEX(PMtbl[Category]&amp;PMtbl[INN]&amp;PMtbl[Specification],0,),0),3)),SETUP!$D$19:$D$62,0),5),"")</f>
        <v/>
      </c>
      <c r="AN210" s="1495" t="str">
        <f>IFERROR(IF((INDEX(SETUP!$C$19:$G$62,MATCH((INDEX(PMtbl[[WKst]:[Unit of measure*]],MATCH($A210&amp;$E210&amp;$H210,INDEX(PMtbl[Category]&amp;PMtbl[INN]&amp;PMtbl[Specification],0,),0),3)),SETUP!$D$19:$D$62,0),4))="Upfront",0,INDEX(SETUP!$C$19:$G$62,MATCH((INDEX(PMtbl[[WKst]:[Unit of measure*]],MATCH($A210&amp;$E210&amp;$H210,INDEX(PMtbl[Category]&amp;PMtbl[INN]&amp;PMtbl[Specification],0,),0),3)),SETUP!$D$19:$D$62,0),5)),"")</f>
        <v/>
      </c>
    </row>
    <row r="211" spans="1:40" s="198" customFormat="1">
      <c r="A211" s="3034"/>
      <c r="B211" s="3035"/>
      <c r="C211" s="3035"/>
      <c r="D211" s="3036"/>
      <c r="E211" s="3039"/>
      <c r="F211" s="3040"/>
      <c r="G211" s="3041"/>
      <c r="H211" s="3050"/>
      <c r="I211" s="2728"/>
      <c r="J211" s="2728"/>
      <c r="K211" s="3051"/>
      <c r="L211" s="307" t="str">
        <f>IF(A211&lt;&gt;"",IFERROR(INDEX(PMtbl[[WKst]:[Unit of measure*]],MATCH($A$124&amp;$A211&amp;$E211&amp;$H211,INDEX(PMtbl[Sec]&amp;PMtbl[Category]&amp;PMtbl[INN]&amp;PMtbl[Specification],0,),0),8),""),"")</f>
        <v/>
      </c>
      <c r="M211" s="307" t="str">
        <f>IF(L211="", "",SETUP!$E$5)</f>
        <v/>
      </c>
      <c r="N211" s="1975"/>
      <c r="O211" s="12"/>
      <c r="P211" s="12"/>
      <c r="Q211" s="12"/>
      <c r="R211" s="12"/>
      <c r="S211" s="1883">
        <f>SUM('Malaria-Equipment &amp; Other HPs'!$O211:$R211)</f>
        <v>0</v>
      </c>
      <c r="T211" s="1884">
        <f>'Malaria-Equipment &amp; Other HPs'!$N211*'Malaria-Equipment &amp; Other HPs'!$S211</f>
        <v>0</v>
      </c>
      <c r="U211" s="1981"/>
      <c r="V211" s="12"/>
      <c r="W211" s="12"/>
      <c r="X211" s="12"/>
      <c r="Y211" s="12"/>
      <c r="Z211" s="1883">
        <f>SUM('Malaria-Equipment &amp; Other HPs'!$V211:$Y211)</f>
        <v>0</v>
      </c>
      <c r="AA211" s="1884">
        <f>'Malaria-Equipment &amp; Other HPs'!$U211*'Malaria-Equipment &amp; Other HPs'!$Z211</f>
        <v>0</v>
      </c>
      <c r="AB211" s="1975"/>
      <c r="AC211" s="12"/>
      <c r="AD211" s="12"/>
      <c r="AE211" s="12"/>
      <c r="AF211" s="12"/>
      <c r="AG211" s="1883">
        <f>SUM('Malaria-Equipment &amp; Other HPs'!$AC211:$AF211)</f>
        <v>0</v>
      </c>
      <c r="AH211" s="1884">
        <f>'Malaria-Equipment &amp; Other HPs'!$AB211*'Malaria-Equipment &amp; Other HPs'!$AG211</f>
        <v>0</v>
      </c>
      <c r="AI211" s="1885">
        <f>'Malaria-Equipment &amp; Other HPs'!$S211+'Malaria-Equipment &amp; Other HPs'!$Z211+'Malaria-Equipment &amp; Other HPs'!$AG211</f>
        <v>0</v>
      </c>
      <c r="AJ211" s="1884">
        <f>'Malaria-Equipment &amp; Other HPs'!$T211+'Malaria-Equipment &amp; Other HPs'!$AA211+'Malaria-Equipment &amp; Other HPs'!$AH211</f>
        <v>0</v>
      </c>
      <c r="AK211" s="1886" t="str">
        <f>IF(A211&lt;&gt;"",IFERROR(INDEX(PMtbl[[WKst]:[Unit of measure*]],MATCH($A$124&amp;$A211&amp;$E211&amp;$H211,INDEX(PMtbl[Sec]&amp;PMtbl[Category]&amp;PMtbl[INN]&amp;PMtbl[Specification],0,),0),7),""),"")</f>
        <v/>
      </c>
      <c r="AL211" s="957"/>
      <c r="AM211" s="1520" t="str">
        <f>IFERROR(INDEX(SETUP!$C$19:$G$62,MATCH((INDEX(PMtbl[[WKst]:[Unit of measure*]],MATCH($A211&amp;$E211&amp;$H211,INDEX(PMtbl[Category]&amp;PMtbl[INN]&amp;PMtbl[Specification],0,),0),3)),SETUP!$D$19:$D$62,0),5),"")</f>
        <v/>
      </c>
      <c r="AN211" s="1494" t="str">
        <f>IFERROR(IF((INDEX(SETUP!$C$19:$G$62,MATCH((INDEX(PMtbl[[WKst]:[Unit of measure*]],MATCH($A211&amp;$E211&amp;$H211,INDEX(PMtbl[Category]&amp;PMtbl[INN]&amp;PMtbl[Specification],0,),0),3)),SETUP!$D$19:$D$62,0),4))="Upfront",0,INDEX(SETUP!$C$19:$G$62,MATCH((INDEX(PMtbl[[WKst]:[Unit of measure*]],MATCH($A211&amp;$E211&amp;$H211,INDEX(PMtbl[Category]&amp;PMtbl[INN]&amp;PMtbl[Specification],0,),0),3)),SETUP!$D$19:$D$62,0),5)),"")</f>
        <v/>
      </c>
    </row>
    <row r="212" spans="1:40" s="198" customFormat="1">
      <c r="A212" s="2950"/>
      <c r="B212" s="2951"/>
      <c r="C212" s="2951"/>
      <c r="D212" s="2952"/>
      <c r="E212" s="3058"/>
      <c r="F212" s="3059"/>
      <c r="G212" s="3060"/>
      <c r="H212" s="3052"/>
      <c r="I212" s="3053"/>
      <c r="J212" s="3053"/>
      <c r="K212" s="3054"/>
      <c r="L212" s="308" t="str">
        <f>IF(A212&lt;&gt;"",IFERROR(INDEX(PMtbl[[WKst]:[Unit of measure*]],MATCH($A$124&amp;$A212&amp;$E212&amp;$H212,INDEX(PMtbl[Sec]&amp;PMtbl[Category]&amp;PMtbl[INN]&amp;PMtbl[Specification],0,),0),8),""),"")</f>
        <v/>
      </c>
      <c r="M212" s="308" t="str">
        <f>IF(L212="", "",SETUP!$E$5)</f>
        <v/>
      </c>
      <c r="N212" s="1976"/>
      <c r="O212" s="1977"/>
      <c r="P212" s="1977"/>
      <c r="Q212" s="1977"/>
      <c r="R212" s="1977"/>
      <c r="S212" s="1887">
        <f>SUM('Malaria-Equipment &amp; Other HPs'!$O212:$R212)</f>
        <v>0</v>
      </c>
      <c r="T212" s="1888">
        <f>'Malaria-Equipment &amp; Other HPs'!$N212*'Malaria-Equipment &amp; Other HPs'!$S212</f>
        <v>0</v>
      </c>
      <c r="U212" s="1982"/>
      <c r="V212" s="1977"/>
      <c r="W212" s="1977"/>
      <c r="X212" s="1977"/>
      <c r="Y212" s="1977"/>
      <c r="Z212" s="1887">
        <f>SUM('Malaria-Equipment &amp; Other HPs'!$V212:$Y212)</f>
        <v>0</v>
      </c>
      <c r="AA212" s="1888">
        <f>'Malaria-Equipment &amp; Other HPs'!$U212*'Malaria-Equipment &amp; Other HPs'!$Z212</f>
        <v>0</v>
      </c>
      <c r="AB212" s="1976"/>
      <c r="AC212" s="1977"/>
      <c r="AD212" s="1977"/>
      <c r="AE212" s="1977"/>
      <c r="AF212" s="1977"/>
      <c r="AG212" s="1887">
        <f>SUM('Malaria-Equipment &amp; Other HPs'!$AC212:$AF212)</f>
        <v>0</v>
      </c>
      <c r="AH212" s="1888">
        <f>'Malaria-Equipment &amp; Other HPs'!$AB212*'Malaria-Equipment &amp; Other HPs'!$AG212</f>
        <v>0</v>
      </c>
      <c r="AI212" s="1889">
        <f>'Malaria-Equipment &amp; Other HPs'!$S212+'Malaria-Equipment &amp; Other HPs'!$Z212+'Malaria-Equipment &amp; Other HPs'!$AG212</f>
        <v>0</v>
      </c>
      <c r="AJ212" s="1888">
        <f>'Malaria-Equipment &amp; Other HPs'!$T212+'Malaria-Equipment &amp; Other HPs'!$AA212+'Malaria-Equipment &amp; Other HPs'!$AH212</f>
        <v>0</v>
      </c>
      <c r="AK212" s="1890" t="str">
        <f>IF(A212&lt;&gt;"",IFERROR(INDEX(PMtbl[[WKst]:[Unit of measure*]],MATCH($A$124&amp;$A212&amp;$E212&amp;$H212,INDEX(PMtbl[Sec]&amp;PMtbl[Category]&amp;PMtbl[INN]&amp;PMtbl[Specification],0,),0),7),""),"")</f>
        <v/>
      </c>
      <c r="AL212" s="956"/>
      <c r="AM212" s="1522" t="str">
        <f>IFERROR(INDEX(SETUP!$C$19:$G$62,MATCH((INDEX(PMtbl[[WKst]:[Unit of measure*]],MATCH($A212&amp;$E212&amp;$H212,INDEX(PMtbl[Category]&amp;PMtbl[INN]&amp;PMtbl[Specification],0,),0),3)),SETUP!$D$19:$D$62,0),5),"")</f>
        <v/>
      </c>
      <c r="AN212" s="1495" t="str">
        <f>IFERROR(IF((INDEX(SETUP!$C$19:$G$62,MATCH((INDEX(PMtbl[[WKst]:[Unit of measure*]],MATCH($A212&amp;$E212&amp;$H212,INDEX(PMtbl[Category]&amp;PMtbl[INN]&amp;PMtbl[Specification],0,),0),3)),SETUP!$D$19:$D$62,0),4))="Upfront",0,INDEX(SETUP!$C$19:$G$62,MATCH((INDEX(PMtbl[[WKst]:[Unit of measure*]],MATCH($A212&amp;$E212&amp;$H212,INDEX(PMtbl[Category]&amp;PMtbl[INN]&amp;PMtbl[Specification],0,),0),3)),SETUP!$D$19:$D$62,0),5)),"")</f>
        <v/>
      </c>
    </row>
    <row r="213" spans="1:40" s="198" customFormat="1">
      <c r="A213" s="3034"/>
      <c r="B213" s="3035"/>
      <c r="C213" s="3035"/>
      <c r="D213" s="3036"/>
      <c r="E213" s="3039"/>
      <c r="F213" s="3040"/>
      <c r="G213" s="3041"/>
      <c r="H213" s="3050"/>
      <c r="I213" s="2728"/>
      <c r="J213" s="2728"/>
      <c r="K213" s="3051"/>
      <c r="L213" s="307" t="str">
        <f>IF(A213&lt;&gt;"",IFERROR(INDEX(PMtbl[[WKst]:[Unit of measure*]],MATCH($A$124&amp;$A213&amp;$E213&amp;$H213,INDEX(PMtbl[Sec]&amp;PMtbl[Category]&amp;PMtbl[INN]&amp;PMtbl[Specification],0,),0),8),""),"")</f>
        <v/>
      </c>
      <c r="M213" s="307" t="str">
        <f>IF(L213="", "",SETUP!$E$5)</f>
        <v/>
      </c>
      <c r="N213" s="1975"/>
      <c r="O213" s="12"/>
      <c r="P213" s="12"/>
      <c r="Q213" s="12"/>
      <c r="R213" s="12"/>
      <c r="S213" s="1883">
        <f>SUM('Malaria-Equipment &amp; Other HPs'!$O213:$R213)</f>
        <v>0</v>
      </c>
      <c r="T213" s="1884">
        <f>'Malaria-Equipment &amp; Other HPs'!$N213*'Malaria-Equipment &amp; Other HPs'!$S213</f>
        <v>0</v>
      </c>
      <c r="U213" s="1981"/>
      <c r="V213" s="12"/>
      <c r="W213" s="12"/>
      <c r="X213" s="12"/>
      <c r="Y213" s="12"/>
      <c r="Z213" s="1883">
        <f>SUM('Malaria-Equipment &amp; Other HPs'!$V213:$Y213)</f>
        <v>0</v>
      </c>
      <c r="AA213" s="1884">
        <f>'Malaria-Equipment &amp; Other HPs'!$U213*'Malaria-Equipment &amp; Other HPs'!$Z213</f>
        <v>0</v>
      </c>
      <c r="AB213" s="1975"/>
      <c r="AC213" s="12"/>
      <c r="AD213" s="12"/>
      <c r="AE213" s="12"/>
      <c r="AF213" s="12"/>
      <c r="AG213" s="1883">
        <f>SUM('Malaria-Equipment &amp; Other HPs'!$AC213:$AF213)</f>
        <v>0</v>
      </c>
      <c r="AH213" s="1884">
        <f>'Malaria-Equipment &amp; Other HPs'!$AB213*'Malaria-Equipment &amp; Other HPs'!$AG213</f>
        <v>0</v>
      </c>
      <c r="AI213" s="1885">
        <f>'Malaria-Equipment &amp; Other HPs'!$S213+'Malaria-Equipment &amp; Other HPs'!$Z213+'Malaria-Equipment &amp; Other HPs'!$AG213</f>
        <v>0</v>
      </c>
      <c r="AJ213" s="1884">
        <f>'Malaria-Equipment &amp; Other HPs'!$T213+'Malaria-Equipment &amp; Other HPs'!$AA213+'Malaria-Equipment &amp; Other HPs'!$AH213</f>
        <v>0</v>
      </c>
      <c r="AK213" s="1886" t="str">
        <f>IF(A213&lt;&gt;"",IFERROR(INDEX(PMtbl[[WKst]:[Unit of measure*]],MATCH($A$124&amp;$A213&amp;$E213&amp;$H213,INDEX(PMtbl[Sec]&amp;PMtbl[Category]&amp;PMtbl[INN]&amp;PMtbl[Specification],0,),0),7),""),"")</f>
        <v/>
      </c>
      <c r="AL213" s="957"/>
      <c r="AM213" s="1520" t="str">
        <f>IFERROR(INDEX(SETUP!$C$19:$G$62,MATCH((INDEX(PMtbl[[WKst]:[Unit of measure*]],MATCH($A213&amp;$E213&amp;$H213,INDEX(PMtbl[Category]&amp;PMtbl[INN]&amp;PMtbl[Specification],0,),0),3)),SETUP!$D$19:$D$62,0),5),"")</f>
        <v/>
      </c>
      <c r="AN213" s="1494" t="str">
        <f>IFERROR(IF((INDEX(SETUP!$C$19:$G$62,MATCH((INDEX(PMtbl[[WKst]:[Unit of measure*]],MATCH($A213&amp;$E213&amp;$H213,INDEX(PMtbl[Category]&amp;PMtbl[INN]&amp;PMtbl[Specification],0,),0),3)),SETUP!$D$19:$D$62,0),4))="Upfront",0,INDEX(SETUP!$C$19:$G$62,MATCH((INDEX(PMtbl[[WKst]:[Unit of measure*]],MATCH($A213&amp;$E213&amp;$H213,INDEX(PMtbl[Category]&amp;PMtbl[INN]&amp;PMtbl[Specification],0,),0),3)),SETUP!$D$19:$D$62,0),5)),"")</f>
        <v/>
      </c>
    </row>
    <row r="214" spans="1:40" s="198" customFormat="1">
      <c r="A214" s="2950"/>
      <c r="B214" s="2951"/>
      <c r="C214" s="2951"/>
      <c r="D214" s="2952"/>
      <c r="E214" s="3058"/>
      <c r="F214" s="3059"/>
      <c r="G214" s="3060"/>
      <c r="H214" s="3052"/>
      <c r="I214" s="3053"/>
      <c r="J214" s="3053"/>
      <c r="K214" s="3054"/>
      <c r="L214" s="308" t="str">
        <f>IF(A214&lt;&gt;"",IFERROR(INDEX(PMtbl[[WKst]:[Unit of measure*]],MATCH($A$124&amp;$A214&amp;$E214&amp;$H214,INDEX(PMtbl[Sec]&amp;PMtbl[Category]&amp;PMtbl[INN]&amp;PMtbl[Specification],0,),0),8),""),"")</f>
        <v/>
      </c>
      <c r="M214" s="308" t="str">
        <f>IF(L214="", "",SETUP!$E$5)</f>
        <v/>
      </c>
      <c r="N214" s="1976"/>
      <c r="O214" s="1977"/>
      <c r="P214" s="1977"/>
      <c r="Q214" s="1977"/>
      <c r="R214" s="1977"/>
      <c r="S214" s="1887">
        <f>SUM('Malaria-Equipment &amp; Other HPs'!$O214:$R214)</f>
        <v>0</v>
      </c>
      <c r="T214" s="1888">
        <f>'Malaria-Equipment &amp; Other HPs'!$N214*'Malaria-Equipment &amp; Other HPs'!$S214</f>
        <v>0</v>
      </c>
      <c r="U214" s="1982"/>
      <c r="V214" s="1977"/>
      <c r="W214" s="1977"/>
      <c r="X214" s="1977"/>
      <c r="Y214" s="1977"/>
      <c r="Z214" s="1887">
        <f>SUM('Malaria-Equipment &amp; Other HPs'!$V214:$Y214)</f>
        <v>0</v>
      </c>
      <c r="AA214" s="1888">
        <f>'Malaria-Equipment &amp; Other HPs'!$U214*'Malaria-Equipment &amp; Other HPs'!$Z214</f>
        <v>0</v>
      </c>
      <c r="AB214" s="1976"/>
      <c r="AC214" s="1977"/>
      <c r="AD214" s="1977"/>
      <c r="AE214" s="1977"/>
      <c r="AF214" s="1977"/>
      <c r="AG214" s="1887">
        <f>SUM('Malaria-Equipment &amp; Other HPs'!$AC214:$AF214)</f>
        <v>0</v>
      </c>
      <c r="AH214" s="1888">
        <f>'Malaria-Equipment &amp; Other HPs'!$AB214*'Malaria-Equipment &amp; Other HPs'!$AG214</f>
        <v>0</v>
      </c>
      <c r="AI214" s="1889">
        <f>'Malaria-Equipment &amp; Other HPs'!$S214+'Malaria-Equipment &amp; Other HPs'!$Z214+'Malaria-Equipment &amp; Other HPs'!$AG214</f>
        <v>0</v>
      </c>
      <c r="AJ214" s="1888">
        <f>'Malaria-Equipment &amp; Other HPs'!$T214+'Malaria-Equipment &amp; Other HPs'!$AA214+'Malaria-Equipment &amp; Other HPs'!$AH214</f>
        <v>0</v>
      </c>
      <c r="AK214" s="1890" t="str">
        <f>IF(A214&lt;&gt;"",IFERROR(INDEX(PMtbl[[WKst]:[Unit of measure*]],MATCH($A$124&amp;$A214&amp;$E214&amp;$H214,INDEX(PMtbl[Sec]&amp;PMtbl[Category]&amp;PMtbl[INN]&amp;PMtbl[Specification],0,),0),7),""),"")</f>
        <v/>
      </c>
      <c r="AL214" s="956"/>
      <c r="AM214" s="1522" t="str">
        <f>IFERROR(INDEX(SETUP!$C$19:$G$62,MATCH((INDEX(PMtbl[[WKst]:[Unit of measure*]],MATCH($A214&amp;$E214&amp;$H214,INDEX(PMtbl[Category]&amp;PMtbl[INN]&amp;PMtbl[Specification],0,),0),3)),SETUP!$D$19:$D$62,0),5),"")</f>
        <v/>
      </c>
      <c r="AN214" s="1495" t="str">
        <f>IFERROR(IF((INDEX(SETUP!$C$19:$G$62,MATCH((INDEX(PMtbl[[WKst]:[Unit of measure*]],MATCH($A214&amp;$E214&amp;$H214,INDEX(PMtbl[Category]&amp;PMtbl[INN]&amp;PMtbl[Specification],0,),0),3)),SETUP!$D$19:$D$62,0),4))="Upfront",0,INDEX(SETUP!$C$19:$G$62,MATCH((INDEX(PMtbl[[WKst]:[Unit of measure*]],MATCH($A214&amp;$E214&amp;$H214,INDEX(PMtbl[Category]&amp;PMtbl[INN]&amp;PMtbl[Specification],0,),0),3)),SETUP!$D$19:$D$62,0),5)),"")</f>
        <v/>
      </c>
    </row>
    <row r="215" spans="1:40" s="198" customFormat="1">
      <c r="A215" s="3034"/>
      <c r="B215" s="3035"/>
      <c r="C215" s="3035"/>
      <c r="D215" s="3036"/>
      <c r="E215" s="3039"/>
      <c r="F215" s="3040"/>
      <c r="G215" s="3041"/>
      <c r="H215" s="3050"/>
      <c r="I215" s="2728"/>
      <c r="J215" s="2728"/>
      <c r="K215" s="3051"/>
      <c r="L215" s="307" t="str">
        <f>IF(A215&lt;&gt;"",IFERROR(INDEX(PMtbl[[WKst]:[Unit of measure*]],MATCH($A$124&amp;$A215&amp;$E215&amp;$H215,INDEX(PMtbl[Sec]&amp;PMtbl[Category]&amp;PMtbl[INN]&amp;PMtbl[Specification],0,),0),8),""),"")</f>
        <v/>
      </c>
      <c r="M215" s="307" t="str">
        <f>IF(L215="", "",SETUP!$E$5)</f>
        <v/>
      </c>
      <c r="N215" s="1975"/>
      <c r="O215" s="12"/>
      <c r="P215" s="12"/>
      <c r="Q215" s="12"/>
      <c r="R215" s="12"/>
      <c r="S215" s="1883">
        <f>SUM('Malaria-Equipment &amp; Other HPs'!$O215:$R215)</f>
        <v>0</v>
      </c>
      <c r="T215" s="1884">
        <f>'Malaria-Equipment &amp; Other HPs'!$N215*'Malaria-Equipment &amp; Other HPs'!$S215</f>
        <v>0</v>
      </c>
      <c r="U215" s="1981"/>
      <c r="V215" s="12"/>
      <c r="W215" s="12"/>
      <c r="X215" s="12"/>
      <c r="Y215" s="12"/>
      <c r="Z215" s="1883">
        <f>SUM('Malaria-Equipment &amp; Other HPs'!$V215:$Y215)</f>
        <v>0</v>
      </c>
      <c r="AA215" s="1884">
        <f>'Malaria-Equipment &amp; Other HPs'!$U215*'Malaria-Equipment &amp; Other HPs'!$Z215</f>
        <v>0</v>
      </c>
      <c r="AB215" s="1975"/>
      <c r="AC215" s="12"/>
      <c r="AD215" s="12"/>
      <c r="AE215" s="12"/>
      <c r="AF215" s="12"/>
      <c r="AG215" s="1883">
        <f>SUM('Malaria-Equipment &amp; Other HPs'!$AC215:$AF215)</f>
        <v>0</v>
      </c>
      <c r="AH215" s="1884">
        <f>'Malaria-Equipment &amp; Other HPs'!$AB215*'Malaria-Equipment &amp; Other HPs'!$AG215</f>
        <v>0</v>
      </c>
      <c r="AI215" s="1885">
        <f>'Malaria-Equipment &amp; Other HPs'!$S215+'Malaria-Equipment &amp; Other HPs'!$Z215+'Malaria-Equipment &amp; Other HPs'!$AG215</f>
        <v>0</v>
      </c>
      <c r="AJ215" s="1884">
        <f>'Malaria-Equipment &amp; Other HPs'!$T215+'Malaria-Equipment &amp; Other HPs'!$AA215+'Malaria-Equipment &amp; Other HPs'!$AH215</f>
        <v>0</v>
      </c>
      <c r="AK215" s="1886" t="str">
        <f>IF(A215&lt;&gt;"",IFERROR(INDEX(PMtbl[[WKst]:[Unit of measure*]],MATCH($A$124&amp;$A215&amp;$E215&amp;$H215,INDEX(PMtbl[Sec]&amp;PMtbl[Category]&amp;PMtbl[INN]&amp;PMtbl[Specification],0,),0),7),""),"")</f>
        <v/>
      </c>
      <c r="AL215" s="957"/>
      <c r="AM215" s="1520" t="str">
        <f>IFERROR(INDEX(SETUP!$C$19:$G$62,MATCH((INDEX(PMtbl[[WKst]:[Unit of measure*]],MATCH($A215&amp;$E215&amp;$H215,INDEX(PMtbl[Category]&amp;PMtbl[INN]&amp;PMtbl[Specification],0,),0),3)),SETUP!$D$19:$D$62,0),5),"")</f>
        <v/>
      </c>
      <c r="AN215" s="1494" t="str">
        <f>IFERROR(IF((INDEX(SETUP!$C$19:$G$62,MATCH((INDEX(PMtbl[[WKst]:[Unit of measure*]],MATCH($A215&amp;$E215&amp;$H215,INDEX(PMtbl[Category]&amp;PMtbl[INN]&amp;PMtbl[Specification],0,),0),3)),SETUP!$D$19:$D$62,0),4))="Upfront",0,INDEX(SETUP!$C$19:$G$62,MATCH((INDEX(PMtbl[[WKst]:[Unit of measure*]],MATCH($A215&amp;$E215&amp;$H215,INDEX(PMtbl[Category]&amp;PMtbl[INN]&amp;PMtbl[Specification],0,),0),3)),SETUP!$D$19:$D$62,0),5)),"")</f>
        <v/>
      </c>
    </row>
    <row r="216" spans="1:40" s="198" customFormat="1">
      <c r="A216" s="2950"/>
      <c r="B216" s="2951"/>
      <c r="C216" s="2951"/>
      <c r="D216" s="2952"/>
      <c r="E216" s="3058"/>
      <c r="F216" s="3059"/>
      <c r="G216" s="3060"/>
      <c r="H216" s="3052"/>
      <c r="I216" s="3053"/>
      <c r="J216" s="3053"/>
      <c r="K216" s="3054"/>
      <c r="L216" s="308" t="str">
        <f>IF(A216&lt;&gt;"",IFERROR(INDEX(PMtbl[[WKst]:[Unit of measure*]],MATCH($A$124&amp;$A216&amp;$E216&amp;$H216,INDEX(PMtbl[Sec]&amp;PMtbl[Category]&amp;PMtbl[INN]&amp;PMtbl[Specification],0,),0),8),""),"")</f>
        <v/>
      </c>
      <c r="M216" s="308" t="str">
        <f>IF(L216="", "",SETUP!$E$5)</f>
        <v/>
      </c>
      <c r="N216" s="1976"/>
      <c r="O216" s="1977"/>
      <c r="P216" s="1977"/>
      <c r="Q216" s="1977"/>
      <c r="R216" s="1977"/>
      <c r="S216" s="1887">
        <f>SUM('Malaria-Equipment &amp; Other HPs'!$O216:$R216)</f>
        <v>0</v>
      </c>
      <c r="T216" s="1888">
        <f>'Malaria-Equipment &amp; Other HPs'!$N216*'Malaria-Equipment &amp; Other HPs'!$S216</f>
        <v>0</v>
      </c>
      <c r="U216" s="1982"/>
      <c r="V216" s="1977"/>
      <c r="W216" s="1977"/>
      <c r="X216" s="1977"/>
      <c r="Y216" s="1977"/>
      <c r="Z216" s="1887">
        <f>SUM('Malaria-Equipment &amp; Other HPs'!$V216:$Y216)</f>
        <v>0</v>
      </c>
      <c r="AA216" s="1888">
        <f>'Malaria-Equipment &amp; Other HPs'!$U216*'Malaria-Equipment &amp; Other HPs'!$Z216</f>
        <v>0</v>
      </c>
      <c r="AB216" s="1976"/>
      <c r="AC216" s="1977"/>
      <c r="AD216" s="1977"/>
      <c r="AE216" s="1977"/>
      <c r="AF216" s="1977"/>
      <c r="AG216" s="1887">
        <f>SUM('Malaria-Equipment &amp; Other HPs'!$AC216:$AF216)</f>
        <v>0</v>
      </c>
      <c r="AH216" s="1888">
        <f>'Malaria-Equipment &amp; Other HPs'!$AB216*'Malaria-Equipment &amp; Other HPs'!$AG216</f>
        <v>0</v>
      </c>
      <c r="AI216" s="1889">
        <f>'Malaria-Equipment &amp; Other HPs'!$S216+'Malaria-Equipment &amp; Other HPs'!$Z216+'Malaria-Equipment &amp; Other HPs'!$AG216</f>
        <v>0</v>
      </c>
      <c r="AJ216" s="1888">
        <f>'Malaria-Equipment &amp; Other HPs'!$T216+'Malaria-Equipment &amp; Other HPs'!$AA216+'Malaria-Equipment &amp; Other HPs'!$AH216</f>
        <v>0</v>
      </c>
      <c r="AK216" s="1890" t="str">
        <f>IF(A216&lt;&gt;"",IFERROR(INDEX(PMtbl[[WKst]:[Unit of measure*]],MATCH($A$124&amp;$A216&amp;$E216&amp;$H216,INDEX(PMtbl[Sec]&amp;PMtbl[Category]&amp;PMtbl[INN]&amp;PMtbl[Specification],0,),0),7),""),"")</f>
        <v/>
      </c>
      <c r="AL216" s="956"/>
      <c r="AM216" s="1522" t="str">
        <f>IFERROR(INDEX(SETUP!$C$19:$G$62,MATCH((INDEX(PMtbl[[WKst]:[Unit of measure*]],MATCH($A216&amp;$E216&amp;$H216,INDEX(PMtbl[Category]&amp;PMtbl[INN]&amp;PMtbl[Specification],0,),0),3)),SETUP!$D$19:$D$62,0),5),"")</f>
        <v/>
      </c>
      <c r="AN216" s="1495" t="str">
        <f>IFERROR(IF((INDEX(SETUP!$C$19:$G$62,MATCH((INDEX(PMtbl[[WKst]:[Unit of measure*]],MATCH($A216&amp;$E216&amp;$H216,INDEX(PMtbl[Category]&amp;PMtbl[INN]&amp;PMtbl[Specification],0,),0),3)),SETUP!$D$19:$D$62,0),4))="Upfront",0,INDEX(SETUP!$C$19:$G$62,MATCH((INDEX(PMtbl[[WKst]:[Unit of measure*]],MATCH($A216&amp;$E216&amp;$H216,INDEX(PMtbl[Category]&amp;PMtbl[INN]&amp;PMtbl[Specification],0,),0),3)),SETUP!$D$19:$D$62,0),5)),"")</f>
        <v/>
      </c>
    </row>
    <row r="217" spans="1:40" s="198" customFormat="1">
      <c r="A217" s="3034"/>
      <c r="B217" s="3035"/>
      <c r="C217" s="3035"/>
      <c r="D217" s="3036"/>
      <c r="E217" s="3039"/>
      <c r="F217" s="3040"/>
      <c r="G217" s="3041"/>
      <c r="H217" s="3050"/>
      <c r="I217" s="2728"/>
      <c r="J217" s="2728"/>
      <c r="K217" s="3051"/>
      <c r="L217" s="307" t="str">
        <f>IF(A217&lt;&gt;"",IFERROR(INDEX(PMtbl[[WKst]:[Unit of measure*]],MATCH($A$124&amp;$A217&amp;$E217&amp;$H217,INDEX(PMtbl[Sec]&amp;PMtbl[Category]&amp;PMtbl[INN]&amp;PMtbl[Specification],0,),0),8),""),"")</f>
        <v/>
      </c>
      <c r="M217" s="307" t="str">
        <f>IF(L217="", "",SETUP!$E$5)</f>
        <v/>
      </c>
      <c r="N217" s="1975"/>
      <c r="O217" s="12"/>
      <c r="P217" s="12"/>
      <c r="Q217" s="12"/>
      <c r="R217" s="12"/>
      <c r="S217" s="1883">
        <f>SUM('Malaria-Equipment &amp; Other HPs'!$O217:$R217)</f>
        <v>0</v>
      </c>
      <c r="T217" s="1884">
        <f>'Malaria-Equipment &amp; Other HPs'!$N217*'Malaria-Equipment &amp; Other HPs'!$S217</f>
        <v>0</v>
      </c>
      <c r="U217" s="1981"/>
      <c r="V217" s="12"/>
      <c r="W217" s="12"/>
      <c r="X217" s="12"/>
      <c r="Y217" s="12"/>
      <c r="Z217" s="1883">
        <f>SUM('Malaria-Equipment &amp; Other HPs'!$V217:$Y217)</f>
        <v>0</v>
      </c>
      <c r="AA217" s="1884">
        <f>'Malaria-Equipment &amp; Other HPs'!$U217*'Malaria-Equipment &amp; Other HPs'!$Z217</f>
        <v>0</v>
      </c>
      <c r="AB217" s="1975"/>
      <c r="AC217" s="12"/>
      <c r="AD217" s="12"/>
      <c r="AE217" s="12"/>
      <c r="AF217" s="12"/>
      <c r="AG217" s="1883">
        <f>SUM('Malaria-Equipment &amp; Other HPs'!$AC217:$AF217)</f>
        <v>0</v>
      </c>
      <c r="AH217" s="1884">
        <f>'Malaria-Equipment &amp; Other HPs'!$AB217*'Malaria-Equipment &amp; Other HPs'!$AG217</f>
        <v>0</v>
      </c>
      <c r="AI217" s="1885">
        <f>'Malaria-Equipment &amp; Other HPs'!$S217+'Malaria-Equipment &amp; Other HPs'!$Z217+'Malaria-Equipment &amp; Other HPs'!$AG217</f>
        <v>0</v>
      </c>
      <c r="AJ217" s="1884">
        <f>'Malaria-Equipment &amp; Other HPs'!$T217+'Malaria-Equipment &amp; Other HPs'!$AA217+'Malaria-Equipment &amp; Other HPs'!$AH217</f>
        <v>0</v>
      </c>
      <c r="AK217" s="1886" t="str">
        <f>IF(A217&lt;&gt;"",IFERROR(INDEX(PMtbl[[WKst]:[Unit of measure*]],MATCH($A$124&amp;$A217&amp;$E217&amp;$H217,INDEX(PMtbl[Sec]&amp;PMtbl[Category]&amp;PMtbl[INN]&amp;PMtbl[Specification],0,),0),7),""),"")</f>
        <v/>
      </c>
      <c r="AL217" s="957"/>
      <c r="AM217" s="1520" t="str">
        <f>IFERROR(INDEX(SETUP!$C$19:$G$62,MATCH((INDEX(PMtbl[[WKst]:[Unit of measure*]],MATCH($A217&amp;$E217&amp;$H217,INDEX(PMtbl[Category]&amp;PMtbl[INN]&amp;PMtbl[Specification],0,),0),3)),SETUP!$D$19:$D$62,0),5),"")</f>
        <v/>
      </c>
      <c r="AN217" s="1494" t="str">
        <f>IFERROR(IF((INDEX(SETUP!$C$19:$G$62,MATCH((INDEX(PMtbl[[WKst]:[Unit of measure*]],MATCH($A217&amp;$E217&amp;$H217,INDEX(PMtbl[Category]&amp;PMtbl[INN]&amp;PMtbl[Specification],0,),0),3)),SETUP!$D$19:$D$62,0),4))="Upfront",0,INDEX(SETUP!$C$19:$G$62,MATCH((INDEX(PMtbl[[WKst]:[Unit of measure*]],MATCH($A217&amp;$E217&amp;$H217,INDEX(PMtbl[Category]&amp;PMtbl[INN]&amp;PMtbl[Specification],0,),0),3)),SETUP!$D$19:$D$62,0),5)),"")</f>
        <v/>
      </c>
    </row>
    <row r="218" spans="1:40" s="198" customFormat="1">
      <c r="A218" s="2950"/>
      <c r="B218" s="2951"/>
      <c r="C218" s="2951"/>
      <c r="D218" s="2952"/>
      <c r="E218" s="3058"/>
      <c r="F218" s="3059"/>
      <c r="G218" s="3060"/>
      <c r="H218" s="3052"/>
      <c r="I218" s="3053"/>
      <c r="J218" s="3053"/>
      <c r="K218" s="3054"/>
      <c r="L218" s="308" t="str">
        <f>IF(A218&lt;&gt;"",IFERROR(INDEX(PMtbl[[WKst]:[Unit of measure*]],MATCH($A$124&amp;$A218&amp;$E218&amp;$H218,INDEX(PMtbl[Sec]&amp;PMtbl[Category]&amp;PMtbl[INN]&amp;PMtbl[Specification],0,),0),8),""),"")</f>
        <v/>
      </c>
      <c r="M218" s="308" t="str">
        <f>IF(L218="", "",SETUP!$E$5)</f>
        <v/>
      </c>
      <c r="N218" s="1976"/>
      <c r="O218" s="1977"/>
      <c r="P218" s="1977"/>
      <c r="Q218" s="1977"/>
      <c r="R218" s="1977"/>
      <c r="S218" s="1887">
        <f>SUM('Malaria-Equipment &amp; Other HPs'!$O218:$R218)</f>
        <v>0</v>
      </c>
      <c r="T218" s="1888">
        <f>'Malaria-Equipment &amp; Other HPs'!$N218*'Malaria-Equipment &amp; Other HPs'!$S218</f>
        <v>0</v>
      </c>
      <c r="U218" s="1982"/>
      <c r="V218" s="1977"/>
      <c r="W218" s="1977"/>
      <c r="X218" s="1977"/>
      <c r="Y218" s="1977"/>
      <c r="Z218" s="1887">
        <f>SUM('Malaria-Equipment &amp; Other HPs'!$V218:$Y218)</f>
        <v>0</v>
      </c>
      <c r="AA218" s="1888">
        <f>'Malaria-Equipment &amp; Other HPs'!$U218*'Malaria-Equipment &amp; Other HPs'!$Z218</f>
        <v>0</v>
      </c>
      <c r="AB218" s="1976"/>
      <c r="AC218" s="1977"/>
      <c r="AD218" s="1977"/>
      <c r="AE218" s="1977"/>
      <c r="AF218" s="1977"/>
      <c r="AG218" s="1887">
        <f>SUM('Malaria-Equipment &amp; Other HPs'!$AC218:$AF218)</f>
        <v>0</v>
      </c>
      <c r="AH218" s="1888">
        <f>'Malaria-Equipment &amp; Other HPs'!$AB218*'Malaria-Equipment &amp; Other HPs'!$AG218</f>
        <v>0</v>
      </c>
      <c r="AI218" s="1889">
        <f>'Malaria-Equipment &amp; Other HPs'!$S218+'Malaria-Equipment &amp; Other HPs'!$Z218+'Malaria-Equipment &amp; Other HPs'!$AG218</f>
        <v>0</v>
      </c>
      <c r="AJ218" s="1888">
        <f>'Malaria-Equipment &amp; Other HPs'!$T218+'Malaria-Equipment &amp; Other HPs'!$AA218+'Malaria-Equipment &amp; Other HPs'!$AH218</f>
        <v>0</v>
      </c>
      <c r="AK218" s="1890" t="str">
        <f>IF(A218&lt;&gt;"",IFERROR(INDEX(PMtbl[[WKst]:[Unit of measure*]],MATCH($A$124&amp;$A218&amp;$E218&amp;$H218,INDEX(PMtbl[Sec]&amp;PMtbl[Category]&amp;PMtbl[INN]&amp;PMtbl[Specification],0,),0),7),""),"")</f>
        <v/>
      </c>
      <c r="AL218" s="956"/>
      <c r="AM218" s="1522" t="str">
        <f>IFERROR(INDEX(SETUP!$C$19:$G$62,MATCH((INDEX(PMtbl[[WKst]:[Unit of measure*]],MATCH($A218&amp;$E218&amp;$H218,INDEX(PMtbl[Category]&amp;PMtbl[INN]&amp;PMtbl[Specification],0,),0),3)),SETUP!$D$19:$D$62,0),5),"")</f>
        <v/>
      </c>
      <c r="AN218" s="1495" t="str">
        <f>IFERROR(IF((INDEX(SETUP!$C$19:$G$62,MATCH((INDEX(PMtbl[[WKst]:[Unit of measure*]],MATCH($A218&amp;$E218&amp;$H218,INDEX(PMtbl[Category]&amp;PMtbl[INN]&amp;PMtbl[Specification],0,),0),3)),SETUP!$D$19:$D$62,0),4))="Upfront",0,INDEX(SETUP!$C$19:$G$62,MATCH((INDEX(PMtbl[[WKst]:[Unit of measure*]],MATCH($A218&amp;$E218&amp;$H218,INDEX(PMtbl[Category]&amp;PMtbl[INN]&amp;PMtbl[Specification],0,),0),3)),SETUP!$D$19:$D$62,0),5)),"")</f>
        <v/>
      </c>
    </row>
    <row r="219" spans="1:40" s="198" customFormat="1">
      <c r="A219" s="3034"/>
      <c r="B219" s="3035"/>
      <c r="C219" s="3035"/>
      <c r="D219" s="3036"/>
      <c r="E219" s="3039"/>
      <c r="F219" s="3040"/>
      <c r="G219" s="3041"/>
      <c r="H219" s="3050"/>
      <c r="I219" s="2728"/>
      <c r="J219" s="2728"/>
      <c r="K219" s="3051"/>
      <c r="L219" s="307" t="str">
        <f>IF(A219&lt;&gt;"",IFERROR(INDEX(PMtbl[[WKst]:[Unit of measure*]],MATCH($A$124&amp;$A219&amp;$E219&amp;$H219,INDEX(PMtbl[Sec]&amp;PMtbl[Category]&amp;PMtbl[INN]&amp;PMtbl[Specification],0,),0),8),""),"")</f>
        <v/>
      </c>
      <c r="M219" s="307" t="str">
        <f>IF(L219="", "",SETUP!$E$5)</f>
        <v/>
      </c>
      <c r="N219" s="1975"/>
      <c r="O219" s="12"/>
      <c r="P219" s="12"/>
      <c r="Q219" s="12"/>
      <c r="R219" s="12"/>
      <c r="S219" s="1883">
        <f>SUM('Malaria-Equipment &amp; Other HPs'!$O219:$R219)</f>
        <v>0</v>
      </c>
      <c r="T219" s="1884">
        <f>'Malaria-Equipment &amp; Other HPs'!$N219*'Malaria-Equipment &amp; Other HPs'!$S219</f>
        <v>0</v>
      </c>
      <c r="U219" s="1981"/>
      <c r="V219" s="12"/>
      <c r="W219" s="12"/>
      <c r="X219" s="12"/>
      <c r="Y219" s="12"/>
      <c r="Z219" s="1883">
        <f>SUM('Malaria-Equipment &amp; Other HPs'!$V219:$Y219)</f>
        <v>0</v>
      </c>
      <c r="AA219" s="1884">
        <f>'Malaria-Equipment &amp; Other HPs'!$U219*'Malaria-Equipment &amp; Other HPs'!$Z219</f>
        <v>0</v>
      </c>
      <c r="AB219" s="1975"/>
      <c r="AC219" s="12"/>
      <c r="AD219" s="12"/>
      <c r="AE219" s="12"/>
      <c r="AF219" s="12"/>
      <c r="AG219" s="1883">
        <f>SUM('Malaria-Equipment &amp; Other HPs'!$AC219:$AF219)</f>
        <v>0</v>
      </c>
      <c r="AH219" s="1884">
        <f>'Malaria-Equipment &amp; Other HPs'!$AB219*'Malaria-Equipment &amp; Other HPs'!$AG219</f>
        <v>0</v>
      </c>
      <c r="AI219" s="1885">
        <f>'Malaria-Equipment &amp; Other HPs'!$S219+'Malaria-Equipment &amp; Other HPs'!$Z219+'Malaria-Equipment &amp; Other HPs'!$AG219</f>
        <v>0</v>
      </c>
      <c r="AJ219" s="1884">
        <f>'Malaria-Equipment &amp; Other HPs'!$T219+'Malaria-Equipment &amp; Other HPs'!$AA219+'Malaria-Equipment &amp; Other HPs'!$AH219</f>
        <v>0</v>
      </c>
      <c r="AK219" s="1886" t="str">
        <f>IF(A219&lt;&gt;"",IFERROR(INDEX(PMtbl[[WKst]:[Unit of measure*]],MATCH($A$124&amp;$A219&amp;$E219&amp;$H219,INDEX(PMtbl[Sec]&amp;PMtbl[Category]&amp;PMtbl[INN]&amp;PMtbl[Specification],0,),0),7),""),"")</f>
        <v/>
      </c>
      <c r="AL219" s="957"/>
      <c r="AM219" s="1520" t="str">
        <f>IFERROR(INDEX(SETUP!$C$19:$G$62,MATCH((INDEX(PMtbl[[WKst]:[Unit of measure*]],MATCH($A219&amp;$E219&amp;$H219,INDEX(PMtbl[Category]&amp;PMtbl[INN]&amp;PMtbl[Specification],0,),0),3)),SETUP!$D$19:$D$62,0),5),"")</f>
        <v/>
      </c>
      <c r="AN219" s="1494" t="str">
        <f>IFERROR(IF((INDEX(SETUP!$C$19:$G$62,MATCH((INDEX(PMtbl[[WKst]:[Unit of measure*]],MATCH($A219&amp;$E219&amp;$H219,INDEX(PMtbl[Category]&amp;PMtbl[INN]&amp;PMtbl[Specification],0,),0),3)),SETUP!$D$19:$D$62,0),4))="Upfront",0,INDEX(SETUP!$C$19:$G$62,MATCH((INDEX(PMtbl[[WKst]:[Unit of measure*]],MATCH($A219&amp;$E219&amp;$H219,INDEX(PMtbl[Category]&amp;PMtbl[INN]&amp;PMtbl[Specification],0,),0),3)),SETUP!$D$19:$D$62,0),5)),"")</f>
        <v/>
      </c>
    </row>
    <row r="220" spans="1:40" s="198" customFormat="1">
      <c r="A220" s="2950"/>
      <c r="B220" s="2951"/>
      <c r="C220" s="2951"/>
      <c r="D220" s="2952"/>
      <c r="E220" s="3058"/>
      <c r="F220" s="3059"/>
      <c r="G220" s="3060"/>
      <c r="H220" s="3052"/>
      <c r="I220" s="3053"/>
      <c r="J220" s="3053"/>
      <c r="K220" s="3054"/>
      <c r="L220" s="308" t="str">
        <f>IF(A220&lt;&gt;"",IFERROR(INDEX(PMtbl[[WKst]:[Unit of measure*]],MATCH($A$124&amp;$A220&amp;$E220&amp;$H220,INDEX(PMtbl[Sec]&amp;PMtbl[Category]&amp;PMtbl[INN]&amp;PMtbl[Specification],0,),0),8),""),"")</f>
        <v/>
      </c>
      <c r="M220" s="308" t="str">
        <f>IF(L220="", "",SETUP!$E$5)</f>
        <v/>
      </c>
      <c r="N220" s="1976"/>
      <c r="O220" s="1977"/>
      <c r="P220" s="1977"/>
      <c r="Q220" s="1977"/>
      <c r="R220" s="1977"/>
      <c r="S220" s="1887">
        <f>SUM('Malaria-Equipment &amp; Other HPs'!$O220:$R220)</f>
        <v>0</v>
      </c>
      <c r="T220" s="1888">
        <f>'Malaria-Equipment &amp; Other HPs'!$N220*'Malaria-Equipment &amp; Other HPs'!$S220</f>
        <v>0</v>
      </c>
      <c r="U220" s="1982"/>
      <c r="V220" s="1977"/>
      <c r="W220" s="1977"/>
      <c r="X220" s="1977"/>
      <c r="Y220" s="1977"/>
      <c r="Z220" s="1887">
        <f>SUM('Malaria-Equipment &amp; Other HPs'!$V220:$Y220)</f>
        <v>0</v>
      </c>
      <c r="AA220" s="1888">
        <f>'Malaria-Equipment &amp; Other HPs'!$U220*'Malaria-Equipment &amp; Other HPs'!$Z220</f>
        <v>0</v>
      </c>
      <c r="AB220" s="1976"/>
      <c r="AC220" s="1977"/>
      <c r="AD220" s="1977"/>
      <c r="AE220" s="1977"/>
      <c r="AF220" s="1977"/>
      <c r="AG220" s="1887">
        <f>SUM('Malaria-Equipment &amp; Other HPs'!$AC220:$AF220)</f>
        <v>0</v>
      </c>
      <c r="AH220" s="1888">
        <f>'Malaria-Equipment &amp; Other HPs'!$AB220*'Malaria-Equipment &amp; Other HPs'!$AG220</f>
        <v>0</v>
      </c>
      <c r="AI220" s="1889">
        <f>'Malaria-Equipment &amp; Other HPs'!$S220+'Malaria-Equipment &amp; Other HPs'!$Z220+'Malaria-Equipment &amp; Other HPs'!$AG220</f>
        <v>0</v>
      </c>
      <c r="AJ220" s="1888">
        <f>'Malaria-Equipment &amp; Other HPs'!$T220+'Malaria-Equipment &amp; Other HPs'!$AA220+'Malaria-Equipment &amp; Other HPs'!$AH220</f>
        <v>0</v>
      </c>
      <c r="AK220" s="1890" t="str">
        <f>IF(A220&lt;&gt;"",IFERROR(INDEX(PMtbl[[WKst]:[Unit of measure*]],MATCH($A$124&amp;$A220&amp;$E220&amp;$H220,INDEX(PMtbl[Sec]&amp;PMtbl[Category]&amp;PMtbl[INN]&amp;PMtbl[Specification],0,),0),7),""),"")</f>
        <v/>
      </c>
      <c r="AL220" s="956"/>
      <c r="AM220" s="1522" t="str">
        <f>IFERROR(INDEX(SETUP!$C$19:$G$62,MATCH((INDEX(PMtbl[[WKst]:[Unit of measure*]],MATCH($A220&amp;$E220&amp;$H220,INDEX(PMtbl[Category]&amp;PMtbl[INN]&amp;PMtbl[Specification],0,),0),3)),SETUP!$D$19:$D$62,0),5),"")</f>
        <v/>
      </c>
      <c r="AN220" s="1495" t="str">
        <f>IFERROR(IF((INDEX(SETUP!$C$19:$G$62,MATCH((INDEX(PMtbl[[WKst]:[Unit of measure*]],MATCH($A220&amp;$E220&amp;$H220,INDEX(PMtbl[Category]&amp;PMtbl[INN]&amp;PMtbl[Specification],0,),0),3)),SETUP!$D$19:$D$62,0),4))="Upfront",0,INDEX(SETUP!$C$19:$G$62,MATCH((INDEX(PMtbl[[WKst]:[Unit of measure*]],MATCH($A220&amp;$E220&amp;$H220,INDEX(PMtbl[Category]&amp;PMtbl[INN]&amp;PMtbl[Specification],0,),0),3)),SETUP!$D$19:$D$62,0),5)),"")</f>
        <v/>
      </c>
    </row>
    <row r="221" spans="1:40" s="198" customFormat="1">
      <c r="A221" s="3034"/>
      <c r="B221" s="3035"/>
      <c r="C221" s="3035"/>
      <c r="D221" s="3036"/>
      <c r="E221" s="3039"/>
      <c r="F221" s="3040"/>
      <c r="G221" s="3041"/>
      <c r="H221" s="3050"/>
      <c r="I221" s="2728"/>
      <c r="J221" s="2728"/>
      <c r="K221" s="3051"/>
      <c r="L221" s="307" t="str">
        <f>IF(A221&lt;&gt;"",IFERROR(INDEX(PMtbl[[WKst]:[Unit of measure*]],MATCH($A$124&amp;$A221&amp;$E221&amp;$H221,INDEX(PMtbl[Sec]&amp;PMtbl[Category]&amp;PMtbl[INN]&amp;PMtbl[Specification],0,),0),8),""),"")</f>
        <v/>
      </c>
      <c r="M221" s="307" t="str">
        <f>IF(L221="", "",SETUP!$E$5)</f>
        <v/>
      </c>
      <c r="N221" s="1975"/>
      <c r="O221" s="12"/>
      <c r="P221" s="12"/>
      <c r="Q221" s="12"/>
      <c r="R221" s="12"/>
      <c r="S221" s="1883">
        <f>SUM('Malaria-Equipment &amp; Other HPs'!$O221:$R221)</f>
        <v>0</v>
      </c>
      <c r="T221" s="1884">
        <f>'Malaria-Equipment &amp; Other HPs'!$N221*'Malaria-Equipment &amp; Other HPs'!$S221</f>
        <v>0</v>
      </c>
      <c r="U221" s="1981"/>
      <c r="V221" s="12"/>
      <c r="W221" s="12"/>
      <c r="X221" s="12"/>
      <c r="Y221" s="12"/>
      <c r="Z221" s="1883">
        <f>SUM('Malaria-Equipment &amp; Other HPs'!$V221:$Y221)</f>
        <v>0</v>
      </c>
      <c r="AA221" s="1884">
        <f>'Malaria-Equipment &amp; Other HPs'!$U221*'Malaria-Equipment &amp; Other HPs'!$Z221</f>
        <v>0</v>
      </c>
      <c r="AB221" s="1975"/>
      <c r="AC221" s="12"/>
      <c r="AD221" s="12"/>
      <c r="AE221" s="12"/>
      <c r="AF221" s="12"/>
      <c r="AG221" s="1883">
        <f>SUM('Malaria-Equipment &amp; Other HPs'!$AC221:$AF221)</f>
        <v>0</v>
      </c>
      <c r="AH221" s="1884">
        <f>'Malaria-Equipment &amp; Other HPs'!$AB221*'Malaria-Equipment &amp; Other HPs'!$AG221</f>
        <v>0</v>
      </c>
      <c r="AI221" s="1885">
        <f>'Malaria-Equipment &amp; Other HPs'!$S221+'Malaria-Equipment &amp; Other HPs'!$Z221+'Malaria-Equipment &amp; Other HPs'!$AG221</f>
        <v>0</v>
      </c>
      <c r="AJ221" s="1884">
        <f>'Malaria-Equipment &amp; Other HPs'!$T221+'Malaria-Equipment &amp; Other HPs'!$AA221+'Malaria-Equipment &amp; Other HPs'!$AH221</f>
        <v>0</v>
      </c>
      <c r="AK221" s="1886" t="str">
        <f>IF(A221&lt;&gt;"",IFERROR(INDEX(PMtbl[[WKst]:[Unit of measure*]],MATCH($A$124&amp;$A221&amp;$E221&amp;$H221,INDEX(PMtbl[Sec]&amp;PMtbl[Category]&amp;PMtbl[INN]&amp;PMtbl[Specification],0,),0),7),""),"")</f>
        <v/>
      </c>
      <c r="AL221" s="957"/>
      <c r="AM221" s="1520" t="str">
        <f>IFERROR(INDEX(SETUP!$C$19:$G$62,MATCH((INDEX(PMtbl[[WKst]:[Unit of measure*]],MATCH($A221&amp;$E221&amp;$H221,INDEX(PMtbl[Category]&amp;PMtbl[INN]&amp;PMtbl[Specification],0,),0),3)),SETUP!$D$19:$D$62,0),5),"")</f>
        <v/>
      </c>
      <c r="AN221" s="1494" t="str">
        <f>IFERROR(IF((INDEX(SETUP!$C$19:$G$62,MATCH((INDEX(PMtbl[[WKst]:[Unit of measure*]],MATCH($A221&amp;$E221&amp;$H221,INDEX(PMtbl[Category]&amp;PMtbl[INN]&amp;PMtbl[Specification],0,),0),3)),SETUP!$D$19:$D$62,0),4))="Upfront",0,INDEX(SETUP!$C$19:$G$62,MATCH((INDEX(PMtbl[[WKst]:[Unit of measure*]],MATCH($A221&amp;$E221&amp;$H221,INDEX(PMtbl[Category]&amp;PMtbl[INN]&amp;PMtbl[Specification],0,),0),3)),SETUP!$D$19:$D$62,0),5)),"")</f>
        <v/>
      </c>
    </row>
    <row r="222" spans="1:40" s="198" customFormat="1">
      <c r="A222" s="2950"/>
      <c r="B222" s="2951"/>
      <c r="C222" s="2951"/>
      <c r="D222" s="2952"/>
      <c r="E222" s="3058"/>
      <c r="F222" s="3059"/>
      <c r="G222" s="3060"/>
      <c r="H222" s="3052"/>
      <c r="I222" s="3053"/>
      <c r="J222" s="3053"/>
      <c r="K222" s="3054"/>
      <c r="L222" s="308" t="str">
        <f>IF(A222&lt;&gt;"",IFERROR(INDEX(PMtbl[[WKst]:[Unit of measure*]],MATCH($A$124&amp;$A222&amp;$E222&amp;$H222,INDEX(PMtbl[Sec]&amp;PMtbl[Category]&amp;PMtbl[INN]&amp;PMtbl[Specification],0,),0),8),""),"")</f>
        <v/>
      </c>
      <c r="M222" s="308" t="str">
        <f>IF(L222="", "",SETUP!$E$5)</f>
        <v/>
      </c>
      <c r="N222" s="1976"/>
      <c r="O222" s="1977"/>
      <c r="P222" s="1977"/>
      <c r="Q222" s="1977"/>
      <c r="R222" s="1977"/>
      <c r="S222" s="1887">
        <f>SUM('Malaria-Equipment &amp; Other HPs'!$O222:$R222)</f>
        <v>0</v>
      </c>
      <c r="T222" s="1888">
        <f>'Malaria-Equipment &amp; Other HPs'!$N222*'Malaria-Equipment &amp; Other HPs'!$S222</f>
        <v>0</v>
      </c>
      <c r="U222" s="1982"/>
      <c r="V222" s="1977"/>
      <c r="W222" s="1977"/>
      <c r="X222" s="1977"/>
      <c r="Y222" s="1977"/>
      <c r="Z222" s="1887">
        <f>SUM('Malaria-Equipment &amp; Other HPs'!$V222:$Y222)</f>
        <v>0</v>
      </c>
      <c r="AA222" s="1888">
        <f>'Malaria-Equipment &amp; Other HPs'!$U222*'Malaria-Equipment &amp; Other HPs'!$Z222</f>
        <v>0</v>
      </c>
      <c r="AB222" s="1976"/>
      <c r="AC222" s="1977"/>
      <c r="AD222" s="1977"/>
      <c r="AE222" s="1977"/>
      <c r="AF222" s="1977"/>
      <c r="AG222" s="1887">
        <f>SUM('Malaria-Equipment &amp; Other HPs'!$AC222:$AF222)</f>
        <v>0</v>
      </c>
      <c r="AH222" s="1888">
        <f>'Malaria-Equipment &amp; Other HPs'!$AB222*'Malaria-Equipment &amp; Other HPs'!$AG222</f>
        <v>0</v>
      </c>
      <c r="AI222" s="1889">
        <f>'Malaria-Equipment &amp; Other HPs'!$S222+'Malaria-Equipment &amp; Other HPs'!$Z222+'Malaria-Equipment &amp; Other HPs'!$AG222</f>
        <v>0</v>
      </c>
      <c r="AJ222" s="1888">
        <f>'Malaria-Equipment &amp; Other HPs'!$T222+'Malaria-Equipment &amp; Other HPs'!$AA222+'Malaria-Equipment &amp; Other HPs'!$AH222</f>
        <v>0</v>
      </c>
      <c r="AK222" s="1890" t="str">
        <f>IF(A222&lt;&gt;"",IFERROR(INDEX(PMtbl[[WKst]:[Unit of measure*]],MATCH($A$124&amp;$A222&amp;$E222&amp;$H222,INDEX(PMtbl[Sec]&amp;PMtbl[Category]&amp;PMtbl[INN]&amp;PMtbl[Specification],0,),0),7),""),"")</f>
        <v/>
      </c>
      <c r="AL222" s="956"/>
      <c r="AM222" s="1522" t="str">
        <f>IFERROR(INDEX(SETUP!$C$19:$G$62,MATCH((INDEX(PMtbl[[WKst]:[Unit of measure*]],MATCH($A222&amp;$E222&amp;$H222,INDEX(PMtbl[Category]&amp;PMtbl[INN]&amp;PMtbl[Specification],0,),0),3)),SETUP!$D$19:$D$62,0),5),"")</f>
        <v/>
      </c>
      <c r="AN222" s="1495" t="str">
        <f>IFERROR(IF((INDEX(SETUP!$C$19:$G$62,MATCH((INDEX(PMtbl[[WKst]:[Unit of measure*]],MATCH($A222&amp;$E222&amp;$H222,INDEX(PMtbl[Category]&amp;PMtbl[INN]&amp;PMtbl[Specification],0,),0),3)),SETUP!$D$19:$D$62,0),4))="Upfront",0,INDEX(SETUP!$C$19:$G$62,MATCH((INDEX(PMtbl[[WKst]:[Unit of measure*]],MATCH($A222&amp;$E222&amp;$H222,INDEX(PMtbl[Category]&amp;PMtbl[INN]&amp;PMtbl[Specification],0,),0),3)),SETUP!$D$19:$D$62,0),5)),"")</f>
        <v/>
      </c>
    </row>
    <row r="223" spans="1:40" s="198" customFormat="1">
      <c r="A223" s="3034"/>
      <c r="B223" s="3035"/>
      <c r="C223" s="3035"/>
      <c r="D223" s="3036"/>
      <c r="E223" s="3039"/>
      <c r="F223" s="3040"/>
      <c r="G223" s="3041"/>
      <c r="H223" s="3050"/>
      <c r="I223" s="2728"/>
      <c r="J223" s="2728"/>
      <c r="K223" s="3051"/>
      <c r="L223" s="307" t="str">
        <f>IF(A223&lt;&gt;"",IFERROR(INDEX(PMtbl[[WKst]:[Unit of measure*]],MATCH($A$124&amp;$A223&amp;$E223&amp;$H223,INDEX(PMtbl[Sec]&amp;PMtbl[Category]&amp;PMtbl[INN]&amp;PMtbl[Specification],0,),0),8),""),"")</f>
        <v/>
      </c>
      <c r="M223" s="307" t="str">
        <f>IF(L223="", "",SETUP!$E$5)</f>
        <v/>
      </c>
      <c r="N223" s="1975"/>
      <c r="O223" s="12"/>
      <c r="P223" s="12"/>
      <c r="Q223" s="12"/>
      <c r="R223" s="12"/>
      <c r="S223" s="1883">
        <f>SUM('Malaria-Equipment &amp; Other HPs'!$O223:$R223)</f>
        <v>0</v>
      </c>
      <c r="T223" s="1884">
        <f>'Malaria-Equipment &amp; Other HPs'!$N223*'Malaria-Equipment &amp; Other HPs'!$S223</f>
        <v>0</v>
      </c>
      <c r="U223" s="1981"/>
      <c r="V223" s="12"/>
      <c r="W223" s="12"/>
      <c r="X223" s="12"/>
      <c r="Y223" s="12"/>
      <c r="Z223" s="1883">
        <f>SUM('Malaria-Equipment &amp; Other HPs'!$V223:$Y223)</f>
        <v>0</v>
      </c>
      <c r="AA223" s="1884">
        <f>'Malaria-Equipment &amp; Other HPs'!$U223*'Malaria-Equipment &amp; Other HPs'!$Z223</f>
        <v>0</v>
      </c>
      <c r="AB223" s="1975"/>
      <c r="AC223" s="12"/>
      <c r="AD223" s="12"/>
      <c r="AE223" s="12"/>
      <c r="AF223" s="12"/>
      <c r="AG223" s="1883">
        <f>SUM('Malaria-Equipment &amp; Other HPs'!$AC223:$AF223)</f>
        <v>0</v>
      </c>
      <c r="AH223" s="1884">
        <f>'Malaria-Equipment &amp; Other HPs'!$AB223*'Malaria-Equipment &amp; Other HPs'!$AG223</f>
        <v>0</v>
      </c>
      <c r="AI223" s="1885">
        <f>'Malaria-Equipment &amp; Other HPs'!$S223+'Malaria-Equipment &amp; Other HPs'!$Z223+'Malaria-Equipment &amp; Other HPs'!$AG223</f>
        <v>0</v>
      </c>
      <c r="AJ223" s="1884">
        <f>'Malaria-Equipment &amp; Other HPs'!$T223+'Malaria-Equipment &amp; Other HPs'!$AA223+'Malaria-Equipment &amp; Other HPs'!$AH223</f>
        <v>0</v>
      </c>
      <c r="AK223" s="1886" t="str">
        <f>IF(A223&lt;&gt;"",IFERROR(INDEX(PMtbl[[WKst]:[Unit of measure*]],MATCH($A$124&amp;$A223&amp;$E223&amp;$H223,INDEX(PMtbl[Sec]&amp;PMtbl[Category]&amp;PMtbl[INN]&amp;PMtbl[Specification],0,),0),7),""),"")</f>
        <v/>
      </c>
      <c r="AL223" s="957"/>
      <c r="AM223" s="1520" t="str">
        <f>IFERROR(INDEX(SETUP!$C$19:$G$62,MATCH((INDEX(PMtbl[[WKst]:[Unit of measure*]],MATCH($A223&amp;$E223&amp;$H223,INDEX(PMtbl[Category]&amp;PMtbl[INN]&amp;PMtbl[Specification],0,),0),3)),SETUP!$D$19:$D$62,0),5),"")</f>
        <v/>
      </c>
      <c r="AN223" s="1494" t="str">
        <f>IFERROR(IF((INDEX(SETUP!$C$19:$G$62,MATCH((INDEX(PMtbl[[WKst]:[Unit of measure*]],MATCH($A223&amp;$E223&amp;$H223,INDEX(PMtbl[Category]&amp;PMtbl[INN]&amp;PMtbl[Specification],0,),0),3)),SETUP!$D$19:$D$62,0),4))="Upfront",0,INDEX(SETUP!$C$19:$G$62,MATCH((INDEX(PMtbl[[WKst]:[Unit of measure*]],MATCH($A223&amp;$E223&amp;$H223,INDEX(PMtbl[Category]&amp;PMtbl[INN]&amp;PMtbl[Specification],0,),0),3)),SETUP!$D$19:$D$62,0),5)),"")</f>
        <v/>
      </c>
    </row>
    <row r="224" spans="1:40" s="198" customFormat="1">
      <c r="A224" s="2950"/>
      <c r="B224" s="2951"/>
      <c r="C224" s="2951"/>
      <c r="D224" s="2952"/>
      <c r="E224" s="3058"/>
      <c r="F224" s="3059"/>
      <c r="G224" s="3060"/>
      <c r="H224" s="3052"/>
      <c r="I224" s="3053"/>
      <c r="J224" s="3053"/>
      <c r="K224" s="3054"/>
      <c r="L224" s="308" t="str">
        <f>IF(A224&lt;&gt;"",IFERROR(INDEX(PMtbl[[WKst]:[Unit of measure*]],MATCH($A$124&amp;$A224&amp;$E224&amp;$H224,INDEX(PMtbl[Sec]&amp;PMtbl[Category]&amp;PMtbl[INN]&amp;PMtbl[Specification],0,),0),8),""),"")</f>
        <v/>
      </c>
      <c r="M224" s="308" t="str">
        <f>IF(L224="", "",SETUP!$E$5)</f>
        <v/>
      </c>
      <c r="N224" s="1976"/>
      <c r="O224" s="1977"/>
      <c r="P224" s="1977"/>
      <c r="Q224" s="1977"/>
      <c r="R224" s="1977"/>
      <c r="S224" s="1887">
        <f>SUM('Malaria-Equipment &amp; Other HPs'!$O224:$R224)</f>
        <v>0</v>
      </c>
      <c r="T224" s="1888">
        <f>'Malaria-Equipment &amp; Other HPs'!$N224*'Malaria-Equipment &amp; Other HPs'!$S224</f>
        <v>0</v>
      </c>
      <c r="U224" s="1982"/>
      <c r="V224" s="1977"/>
      <c r="W224" s="1977"/>
      <c r="X224" s="1977"/>
      <c r="Y224" s="1977"/>
      <c r="Z224" s="1887">
        <f>SUM('Malaria-Equipment &amp; Other HPs'!$V224:$Y224)</f>
        <v>0</v>
      </c>
      <c r="AA224" s="1888">
        <f>'Malaria-Equipment &amp; Other HPs'!$U224*'Malaria-Equipment &amp; Other HPs'!$Z224</f>
        <v>0</v>
      </c>
      <c r="AB224" s="1976"/>
      <c r="AC224" s="1977"/>
      <c r="AD224" s="1977"/>
      <c r="AE224" s="1977"/>
      <c r="AF224" s="1977"/>
      <c r="AG224" s="1887">
        <f>SUM('Malaria-Equipment &amp; Other HPs'!$AC224:$AF224)</f>
        <v>0</v>
      </c>
      <c r="AH224" s="1888">
        <f>'Malaria-Equipment &amp; Other HPs'!$AB224*'Malaria-Equipment &amp; Other HPs'!$AG224</f>
        <v>0</v>
      </c>
      <c r="AI224" s="1889">
        <f>'Malaria-Equipment &amp; Other HPs'!$S224+'Malaria-Equipment &amp; Other HPs'!$Z224+'Malaria-Equipment &amp; Other HPs'!$AG224</f>
        <v>0</v>
      </c>
      <c r="AJ224" s="1888">
        <f>'Malaria-Equipment &amp; Other HPs'!$T224+'Malaria-Equipment &amp; Other HPs'!$AA224+'Malaria-Equipment &amp; Other HPs'!$AH224</f>
        <v>0</v>
      </c>
      <c r="AK224" s="1890" t="str">
        <f>IF(A224&lt;&gt;"",IFERROR(INDEX(PMtbl[[WKst]:[Unit of measure*]],MATCH($A$124&amp;$A224&amp;$E224&amp;$H224,INDEX(PMtbl[Sec]&amp;PMtbl[Category]&amp;PMtbl[INN]&amp;PMtbl[Specification],0,),0),7),""),"")</f>
        <v/>
      </c>
      <c r="AL224" s="956"/>
      <c r="AM224" s="1522" t="str">
        <f>IFERROR(INDEX(SETUP!$C$19:$G$62,MATCH((INDEX(PMtbl[[WKst]:[Unit of measure*]],MATCH($A224&amp;$E224&amp;$H224,INDEX(PMtbl[Category]&amp;PMtbl[INN]&amp;PMtbl[Specification],0,),0),3)),SETUP!$D$19:$D$62,0),5),"")</f>
        <v/>
      </c>
      <c r="AN224" s="1495" t="str">
        <f>IFERROR(IF((INDEX(SETUP!$C$19:$G$62,MATCH((INDEX(PMtbl[[WKst]:[Unit of measure*]],MATCH($A224&amp;$E224&amp;$H224,INDEX(PMtbl[Category]&amp;PMtbl[INN]&amp;PMtbl[Specification],0,),0),3)),SETUP!$D$19:$D$62,0),4))="Upfront",0,INDEX(SETUP!$C$19:$G$62,MATCH((INDEX(PMtbl[[WKst]:[Unit of measure*]],MATCH($A224&amp;$E224&amp;$H224,INDEX(PMtbl[Category]&amp;PMtbl[INN]&amp;PMtbl[Specification],0,),0),3)),SETUP!$D$19:$D$62,0),5)),"")</f>
        <v/>
      </c>
    </row>
    <row r="225" spans="1:49" s="198" customFormat="1">
      <c r="A225" s="3034"/>
      <c r="B225" s="3035"/>
      <c r="C225" s="3035"/>
      <c r="D225" s="3036"/>
      <c r="E225" s="3039"/>
      <c r="F225" s="3040"/>
      <c r="G225" s="3041"/>
      <c r="H225" s="3050"/>
      <c r="I225" s="2728"/>
      <c r="J225" s="2728"/>
      <c r="K225" s="3051"/>
      <c r="L225" s="307" t="str">
        <f>IF(A225&lt;&gt;"",IFERROR(INDEX(PMtbl[[WKst]:[Unit of measure*]],MATCH($A$124&amp;$A225&amp;$E225&amp;$H225,INDEX(PMtbl[Sec]&amp;PMtbl[Category]&amp;PMtbl[INN]&amp;PMtbl[Specification],0,),0),8),""),"")</f>
        <v/>
      </c>
      <c r="M225" s="307" t="str">
        <f>IF(L225="", "",SETUP!$E$5)</f>
        <v/>
      </c>
      <c r="N225" s="1975"/>
      <c r="O225" s="12"/>
      <c r="P225" s="12"/>
      <c r="Q225" s="12"/>
      <c r="R225" s="12"/>
      <c r="S225" s="1883">
        <f>SUM('Malaria-Equipment &amp; Other HPs'!$O225:$R225)</f>
        <v>0</v>
      </c>
      <c r="T225" s="1884">
        <f>'Malaria-Equipment &amp; Other HPs'!$N225*'Malaria-Equipment &amp; Other HPs'!$S225</f>
        <v>0</v>
      </c>
      <c r="U225" s="1981"/>
      <c r="V225" s="12"/>
      <c r="W225" s="12"/>
      <c r="X225" s="12"/>
      <c r="Y225" s="12"/>
      <c r="Z225" s="1883">
        <f>SUM('Malaria-Equipment &amp; Other HPs'!$V225:$Y225)</f>
        <v>0</v>
      </c>
      <c r="AA225" s="1884">
        <f>'Malaria-Equipment &amp; Other HPs'!$U225*'Malaria-Equipment &amp; Other HPs'!$Z225</f>
        <v>0</v>
      </c>
      <c r="AB225" s="1975"/>
      <c r="AC225" s="12"/>
      <c r="AD225" s="12"/>
      <c r="AE225" s="12"/>
      <c r="AF225" s="12"/>
      <c r="AG225" s="1883">
        <f>SUM('Malaria-Equipment &amp; Other HPs'!$AC225:$AF225)</f>
        <v>0</v>
      </c>
      <c r="AH225" s="1884">
        <f>'Malaria-Equipment &amp; Other HPs'!$AB225*'Malaria-Equipment &amp; Other HPs'!$AG225</f>
        <v>0</v>
      </c>
      <c r="AI225" s="1885">
        <f>'Malaria-Equipment &amp; Other HPs'!$S225+'Malaria-Equipment &amp; Other HPs'!$Z225+'Malaria-Equipment &amp; Other HPs'!$AG225</f>
        <v>0</v>
      </c>
      <c r="AJ225" s="1884">
        <f>'Malaria-Equipment &amp; Other HPs'!$T225+'Malaria-Equipment &amp; Other HPs'!$AA225+'Malaria-Equipment &amp; Other HPs'!$AH225</f>
        <v>0</v>
      </c>
      <c r="AK225" s="1886" t="str">
        <f>IF(A225&lt;&gt;"",IFERROR(INDEX(PMtbl[[WKst]:[Unit of measure*]],MATCH($A$124&amp;$A225&amp;$E225&amp;$H225,INDEX(PMtbl[Sec]&amp;PMtbl[Category]&amp;PMtbl[INN]&amp;PMtbl[Specification],0,),0),7),""),"")</f>
        <v/>
      </c>
      <c r="AL225" s="957"/>
      <c r="AM225" s="1520" t="str">
        <f>IFERROR(INDEX(SETUP!$C$19:$G$62,MATCH((INDEX(PMtbl[[WKst]:[Unit of measure*]],MATCH($A225&amp;$E225&amp;$H225,INDEX(PMtbl[Category]&amp;PMtbl[INN]&amp;PMtbl[Specification],0,),0),3)),SETUP!$D$19:$D$62,0),5),"")</f>
        <v/>
      </c>
      <c r="AN225" s="1494" t="str">
        <f>IFERROR(IF((INDEX(SETUP!$C$19:$G$62,MATCH((INDEX(PMtbl[[WKst]:[Unit of measure*]],MATCH($A225&amp;$E225&amp;$H225,INDEX(PMtbl[Category]&amp;PMtbl[INN]&amp;PMtbl[Specification],0,),0),3)),SETUP!$D$19:$D$62,0),4))="Upfront",0,INDEX(SETUP!$C$19:$G$62,MATCH((INDEX(PMtbl[[WKst]:[Unit of measure*]],MATCH($A225&amp;$E225&amp;$H225,INDEX(PMtbl[Category]&amp;PMtbl[INN]&amp;PMtbl[Specification],0,),0),3)),SETUP!$D$19:$D$62,0),5)),"")</f>
        <v/>
      </c>
    </row>
    <row r="226" spans="1:49" s="198" customFormat="1">
      <c r="A226" s="2950"/>
      <c r="B226" s="2951"/>
      <c r="C226" s="2951"/>
      <c r="D226" s="2952"/>
      <c r="E226" s="3058"/>
      <c r="F226" s="3059"/>
      <c r="G226" s="3060"/>
      <c r="H226" s="3052"/>
      <c r="I226" s="3053"/>
      <c r="J226" s="3053"/>
      <c r="K226" s="3054"/>
      <c r="L226" s="308" t="str">
        <f>IF(A226&lt;&gt;"",IFERROR(INDEX(PMtbl[[WKst]:[Unit of measure*]],MATCH($A$124&amp;$A226&amp;$E226&amp;$H226,INDEX(PMtbl[Sec]&amp;PMtbl[Category]&amp;PMtbl[INN]&amp;PMtbl[Specification],0,),0),8),""),"")</f>
        <v/>
      </c>
      <c r="M226" s="308" t="str">
        <f>IF(L226="", "",SETUP!$E$5)</f>
        <v/>
      </c>
      <c r="N226" s="1976"/>
      <c r="O226" s="1977"/>
      <c r="P226" s="1977"/>
      <c r="Q226" s="1977"/>
      <c r="R226" s="1977"/>
      <c r="S226" s="1887">
        <f>SUM('Malaria-Equipment &amp; Other HPs'!$O226:$R226)</f>
        <v>0</v>
      </c>
      <c r="T226" s="1888">
        <f>'Malaria-Equipment &amp; Other HPs'!$N226*'Malaria-Equipment &amp; Other HPs'!$S226</f>
        <v>0</v>
      </c>
      <c r="U226" s="1982"/>
      <c r="V226" s="1977"/>
      <c r="W226" s="1977"/>
      <c r="X226" s="1977"/>
      <c r="Y226" s="1977"/>
      <c r="Z226" s="1887">
        <f>SUM('Malaria-Equipment &amp; Other HPs'!$V226:$Y226)</f>
        <v>0</v>
      </c>
      <c r="AA226" s="1888">
        <f>'Malaria-Equipment &amp; Other HPs'!$U226*'Malaria-Equipment &amp; Other HPs'!$Z226</f>
        <v>0</v>
      </c>
      <c r="AB226" s="1976"/>
      <c r="AC226" s="1977"/>
      <c r="AD226" s="1977"/>
      <c r="AE226" s="1977"/>
      <c r="AF226" s="1977"/>
      <c r="AG226" s="1887">
        <f>SUM('Malaria-Equipment &amp; Other HPs'!$AC226:$AF226)</f>
        <v>0</v>
      </c>
      <c r="AH226" s="1888">
        <f>'Malaria-Equipment &amp; Other HPs'!$AB226*'Malaria-Equipment &amp; Other HPs'!$AG226</f>
        <v>0</v>
      </c>
      <c r="AI226" s="1889">
        <f>'Malaria-Equipment &amp; Other HPs'!$S226+'Malaria-Equipment &amp; Other HPs'!$Z226+'Malaria-Equipment &amp; Other HPs'!$AG226</f>
        <v>0</v>
      </c>
      <c r="AJ226" s="1888">
        <f>'Malaria-Equipment &amp; Other HPs'!$T226+'Malaria-Equipment &amp; Other HPs'!$AA226+'Malaria-Equipment &amp; Other HPs'!$AH226</f>
        <v>0</v>
      </c>
      <c r="AK226" s="1890" t="str">
        <f>IF(A226&lt;&gt;"",IFERROR(INDEX(PMtbl[[WKst]:[Unit of measure*]],MATCH($A$124&amp;$A226&amp;$E226&amp;$H226,INDEX(PMtbl[Sec]&amp;PMtbl[Category]&amp;PMtbl[INN]&amp;PMtbl[Specification],0,),0),7),""),"")</f>
        <v/>
      </c>
      <c r="AL226" s="956"/>
      <c r="AM226" s="1522" t="str">
        <f>IFERROR(INDEX(SETUP!$C$19:$G$62,MATCH((INDEX(PMtbl[[WKst]:[Unit of measure*]],MATCH($A226&amp;$E226&amp;$H226,INDEX(PMtbl[Category]&amp;PMtbl[INN]&amp;PMtbl[Specification],0,),0),3)),SETUP!$D$19:$D$62,0),5),"")</f>
        <v/>
      </c>
      <c r="AN226" s="1495" t="str">
        <f>IFERROR(IF((INDEX(SETUP!$C$19:$G$62,MATCH((INDEX(PMtbl[[WKst]:[Unit of measure*]],MATCH($A226&amp;$E226&amp;$H226,INDEX(PMtbl[Category]&amp;PMtbl[INN]&amp;PMtbl[Specification],0,),0),3)),SETUP!$D$19:$D$62,0),4))="Upfront",0,INDEX(SETUP!$C$19:$G$62,MATCH((INDEX(PMtbl[[WKst]:[Unit of measure*]],MATCH($A226&amp;$E226&amp;$H226,INDEX(PMtbl[Category]&amp;PMtbl[INN]&amp;PMtbl[Specification],0,),0),3)),SETUP!$D$19:$D$62,0),5)),"")</f>
        <v/>
      </c>
    </row>
    <row r="227" spans="1:49" s="198" customFormat="1">
      <c r="A227" s="3034"/>
      <c r="B227" s="3035"/>
      <c r="C227" s="3035"/>
      <c r="D227" s="3036"/>
      <c r="E227" s="3039"/>
      <c r="F227" s="3040"/>
      <c r="G227" s="3041"/>
      <c r="H227" s="3050"/>
      <c r="I227" s="2728"/>
      <c r="J227" s="2728"/>
      <c r="K227" s="3051"/>
      <c r="L227" s="307" t="str">
        <f>IF(A227&lt;&gt;"",IFERROR(INDEX(PMtbl[[WKst]:[Unit of measure*]],MATCH($A$124&amp;$A227&amp;$E227&amp;$H227,INDEX(PMtbl[Sec]&amp;PMtbl[Category]&amp;PMtbl[INN]&amp;PMtbl[Specification],0,),0),8),""),"")</f>
        <v/>
      </c>
      <c r="M227" s="307" t="str">
        <f>IF(L227="", "",SETUP!$E$5)</f>
        <v/>
      </c>
      <c r="N227" s="1975"/>
      <c r="O227" s="12"/>
      <c r="P227" s="12"/>
      <c r="Q227" s="12"/>
      <c r="R227" s="12"/>
      <c r="S227" s="1883">
        <f>SUM('Malaria-Equipment &amp; Other HPs'!$O227:$R227)</f>
        <v>0</v>
      </c>
      <c r="T227" s="1884">
        <f>'Malaria-Equipment &amp; Other HPs'!$N227*'Malaria-Equipment &amp; Other HPs'!$S227</f>
        <v>0</v>
      </c>
      <c r="U227" s="1981"/>
      <c r="V227" s="12"/>
      <c r="W227" s="12"/>
      <c r="X227" s="12"/>
      <c r="Y227" s="12"/>
      <c r="Z227" s="1883">
        <f>SUM('Malaria-Equipment &amp; Other HPs'!$V227:$Y227)</f>
        <v>0</v>
      </c>
      <c r="AA227" s="1884">
        <f>'Malaria-Equipment &amp; Other HPs'!$U227*'Malaria-Equipment &amp; Other HPs'!$Z227</f>
        <v>0</v>
      </c>
      <c r="AB227" s="1975"/>
      <c r="AC227" s="12"/>
      <c r="AD227" s="12"/>
      <c r="AE227" s="12"/>
      <c r="AF227" s="12"/>
      <c r="AG227" s="1883">
        <f>SUM('Malaria-Equipment &amp; Other HPs'!$AC227:$AF227)</f>
        <v>0</v>
      </c>
      <c r="AH227" s="1884">
        <f>'Malaria-Equipment &amp; Other HPs'!$AB227*'Malaria-Equipment &amp; Other HPs'!$AG227</f>
        <v>0</v>
      </c>
      <c r="AI227" s="1885">
        <f>'Malaria-Equipment &amp; Other HPs'!$S227+'Malaria-Equipment &amp; Other HPs'!$Z227+'Malaria-Equipment &amp; Other HPs'!$AG227</f>
        <v>0</v>
      </c>
      <c r="AJ227" s="1884">
        <f>'Malaria-Equipment &amp; Other HPs'!$T227+'Malaria-Equipment &amp; Other HPs'!$AA227+'Malaria-Equipment &amp; Other HPs'!$AH227</f>
        <v>0</v>
      </c>
      <c r="AK227" s="1886" t="str">
        <f>IF(A227&lt;&gt;"",IFERROR(INDEX(PMtbl[[WKst]:[Unit of measure*]],MATCH($A$124&amp;$A227&amp;$E227&amp;$H227,INDEX(PMtbl[Sec]&amp;PMtbl[Category]&amp;PMtbl[INN]&amp;PMtbl[Specification],0,),0),7),""),"")</f>
        <v/>
      </c>
      <c r="AL227" s="954"/>
      <c r="AM227" s="1523" t="str">
        <f>IFERROR(INDEX(SETUP!$C$19:$G$62,MATCH((INDEX(PMtbl[[WKst]:[Unit of measure*]],MATCH($A227&amp;$E227&amp;$H227,INDEX(PMtbl[Category]&amp;PMtbl[INN]&amp;PMtbl[Specification],0,),0),3)),SETUP!$D$19:$D$62,0),5),"")</f>
        <v/>
      </c>
      <c r="AN227" s="1494" t="str">
        <f>IFERROR(IF((INDEX(SETUP!$C$19:$G$62,MATCH((INDEX(PMtbl[[WKst]:[Unit of measure*]],MATCH($A227&amp;$E227&amp;$H227,INDEX(PMtbl[Category]&amp;PMtbl[INN]&amp;PMtbl[Specification],0,),0),3)),SETUP!$D$19:$D$62,0),4))="Upfront",0,INDEX(SETUP!$C$19:$G$62,MATCH((INDEX(PMtbl[[WKst]:[Unit of measure*]],MATCH($A227&amp;$E227&amp;$H227,INDEX(PMtbl[Category]&amp;PMtbl[INN]&amp;PMtbl[Specification],0,),0),3)),SETUP!$D$19:$D$62,0),5)),"")</f>
        <v/>
      </c>
    </row>
    <row r="228" spans="1:49" s="198" customFormat="1">
      <c r="A228" s="2950"/>
      <c r="B228" s="2951"/>
      <c r="C228" s="2951"/>
      <c r="D228" s="2952"/>
      <c r="E228" s="3058"/>
      <c r="F228" s="3059"/>
      <c r="G228" s="3060"/>
      <c r="H228" s="3052"/>
      <c r="I228" s="3053"/>
      <c r="J228" s="3053"/>
      <c r="K228" s="3054"/>
      <c r="L228" s="308" t="str">
        <f>IF(A228&lt;&gt;"",IFERROR(INDEX(PMtbl[[WKst]:[Unit of measure*]],MATCH($A$124&amp;$A228&amp;$E228&amp;$H228,INDEX(PMtbl[Sec]&amp;PMtbl[Category]&amp;PMtbl[INN]&amp;PMtbl[Specification],0,),0),8),""),"")</f>
        <v/>
      </c>
      <c r="M228" s="308" t="str">
        <f>IF(L228="", "",SETUP!$E$5)</f>
        <v/>
      </c>
      <c r="N228" s="1976"/>
      <c r="O228" s="1977"/>
      <c r="P228" s="1977"/>
      <c r="Q228" s="1977"/>
      <c r="R228" s="1977"/>
      <c r="S228" s="1887">
        <f>SUM('Malaria-Equipment &amp; Other HPs'!$O228:$R228)</f>
        <v>0</v>
      </c>
      <c r="T228" s="1888">
        <f>'Malaria-Equipment &amp; Other HPs'!$N228*'Malaria-Equipment &amp; Other HPs'!$S228</f>
        <v>0</v>
      </c>
      <c r="U228" s="1982"/>
      <c r="V228" s="1977"/>
      <c r="W228" s="1977"/>
      <c r="X228" s="1977"/>
      <c r="Y228" s="1977"/>
      <c r="Z228" s="1887">
        <f>SUM('Malaria-Equipment &amp; Other HPs'!$V228:$Y228)</f>
        <v>0</v>
      </c>
      <c r="AA228" s="1888">
        <f>'Malaria-Equipment &amp; Other HPs'!$U228*'Malaria-Equipment &amp; Other HPs'!$Z228</f>
        <v>0</v>
      </c>
      <c r="AB228" s="1976"/>
      <c r="AC228" s="1977"/>
      <c r="AD228" s="1977"/>
      <c r="AE228" s="1977"/>
      <c r="AF228" s="1977"/>
      <c r="AG228" s="1887">
        <f>SUM('Malaria-Equipment &amp; Other HPs'!$AC228:$AF228)</f>
        <v>0</v>
      </c>
      <c r="AH228" s="1888">
        <f>'Malaria-Equipment &amp; Other HPs'!$AB228*'Malaria-Equipment &amp; Other HPs'!$AG228</f>
        <v>0</v>
      </c>
      <c r="AI228" s="1889">
        <f>'Malaria-Equipment &amp; Other HPs'!$S228+'Malaria-Equipment &amp; Other HPs'!$Z228+'Malaria-Equipment &amp; Other HPs'!$AG228</f>
        <v>0</v>
      </c>
      <c r="AJ228" s="1888">
        <f>'Malaria-Equipment &amp; Other HPs'!$T228+'Malaria-Equipment &amp; Other HPs'!$AA228+'Malaria-Equipment &amp; Other HPs'!$AH228</f>
        <v>0</v>
      </c>
      <c r="AK228" s="1890" t="str">
        <f>IF(A228&lt;&gt;"",IFERROR(INDEX(PMtbl[[WKst]:[Unit of measure*]],MATCH($A$124&amp;$A228&amp;$E228&amp;$H228,INDEX(PMtbl[Sec]&amp;PMtbl[Category]&amp;PMtbl[INN]&amp;PMtbl[Specification],0,),0),7),""),"")</f>
        <v/>
      </c>
      <c r="AL228" s="956"/>
      <c r="AM228" s="1522" t="str">
        <f>IFERROR(INDEX(SETUP!$C$19:$G$62,MATCH((INDEX(PMtbl[[WKst]:[Unit of measure*]],MATCH($A228&amp;$E228&amp;$H228,INDEX(PMtbl[Category]&amp;PMtbl[INN]&amp;PMtbl[Specification],0,),0),3)),SETUP!$D$19:$D$62,0),5),"")</f>
        <v/>
      </c>
      <c r="AN228" s="1495" t="str">
        <f>IFERROR(IF((INDEX(SETUP!$C$19:$G$62,MATCH((INDEX(PMtbl[[WKst]:[Unit of measure*]],MATCH($A228&amp;$E228&amp;$H228,INDEX(PMtbl[Category]&amp;PMtbl[INN]&amp;PMtbl[Specification],0,),0),3)),SETUP!$D$19:$D$62,0),4))="Upfront",0,INDEX(SETUP!$C$19:$G$62,MATCH((INDEX(PMtbl[[WKst]:[Unit of measure*]],MATCH($A228&amp;$E228&amp;$H228,INDEX(PMtbl[Category]&amp;PMtbl[INN]&amp;PMtbl[Specification],0,),0),3)),SETUP!$D$19:$D$62,0),5)),"")</f>
        <v/>
      </c>
    </row>
    <row r="229" spans="1:49" s="198" customFormat="1">
      <c r="A229" s="3034"/>
      <c r="B229" s="3035"/>
      <c r="C229" s="3035"/>
      <c r="D229" s="3036"/>
      <c r="E229" s="3039"/>
      <c r="F229" s="3040"/>
      <c r="G229" s="3041"/>
      <c r="H229" s="3050"/>
      <c r="I229" s="2728"/>
      <c r="J229" s="2728"/>
      <c r="K229" s="3051"/>
      <c r="L229" s="307" t="str">
        <f>IF(A229&lt;&gt;"",IFERROR(INDEX(PMtbl[[WKst]:[Unit of measure*]],MATCH($A$124&amp;$A229&amp;$E229&amp;$H229,INDEX(PMtbl[Sec]&amp;PMtbl[Category]&amp;PMtbl[INN]&amp;PMtbl[Specification],0,),0),8),""),"")</f>
        <v/>
      </c>
      <c r="M229" s="307" t="str">
        <f>IF(L229="", "",SETUP!$E$5)</f>
        <v/>
      </c>
      <c r="N229" s="1975"/>
      <c r="O229" s="12"/>
      <c r="P229" s="12"/>
      <c r="Q229" s="12"/>
      <c r="R229" s="12"/>
      <c r="S229" s="1883">
        <f>SUM('Malaria-Equipment &amp; Other HPs'!$O229:$R229)</f>
        <v>0</v>
      </c>
      <c r="T229" s="1884">
        <f>'Malaria-Equipment &amp; Other HPs'!$N229*'Malaria-Equipment &amp; Other HPs'!$S229</f>
        <v>0</v>
      </c>
      <c r="U229" s="1981"/>
      <c r="V229" s="12"/>
      <c r="W229" s="12"/>
      <c r="X229" s="12"/>
      <c r="Y229" s="12"/>
      <c r="Z229" s="1883">
        <f>SUM('Malaria-Equipment &amp; Other HPs'!$V229:$Y229)</f>
        <v>0</v>
      </c>
      <c r="AA229" s="1884">
        <f>'Malaria-Equipment &amp; Other HPs'!$U229*'Malaria-Equipment &amp; Other HPs'!$Z229</f>
        <v>0</v>
      </c>
      <c r="AB229" s="1975"/>
      <c r="AC229" s="12"/>
      <c r="AD229" s="12"/>
      <c r="AE229" s="12"/>
      <c r="AF229" s="12"/>
      <c r="AG229" s="1883">
        <f>SUM('Malaria-Equipment &amp; Other HPs'!$AC229:$AF229)</f>
        <v>0</v>
      </c>
      <c r="AH229" s="1884">
        <f>'Malaria-Equipment &amp; Other HPs'!$AB229*'Malaria-Equipment &amp; Other HPs'!$AG229</f>
        <v>0</v>
      </c>
      <c r="AI229" s="1885">
        <f>'Malaria-Equipment &amp; Other HPs'!$S229+'Malaria-Equipment &amp; Other HPs'!$Z229+'Malaria-Equipment &amp; Other HPs'!$AG229</f>
        <v>0</v>
      </c>
      <c r="AJ229" s="1884">
        <f>'Malaria-Equipment &amp; Other HPs'!$T229+'Malaria-Equipment &amp; Other HPs'!$AA229+'Malaria-Equipment &amp; Other HPs'!$AH229</f>
        <v>0</v>
      </c>
      <c r="AK229" s="1886" t="str">
        <f>IF(A229&lt;&gt;"",IFERROR(INDEX(PMtbl[[WKst]:[Unit of measure*]],MATCH($A$124&amp;$A229&amp;$E229&amp;$H229,INDEX(PMtbl[Sec]&amp;PMtbl[Category]&amp;PMtbl[INN]&amp;PMtbl[Specification],0,),0),7),""),"")</f>
        <v/>
      </c>
      <c r="AL229" s="957"/>
      <c r="AM229" s="1520" t="str">
        <f>IFERROR(INDEX(SETUP!$C$19:$G$62,MATCH((INDEX(PMtbl[[WKst]:[Unit of measure*]],MATCH($A229&amp;$E229&amp;$H229,INDEX(PMtbl[Category]&amp;PMtbl[INN]&amp;PMtbl[Specification],0,),0),3)),SETUP!$D$19:$D$62,0),5),"")</f>
        <v/>
      </c>
      <c r="AN229" s="1494" t="str">
        <f>IFERROR(IF((INDEX(SETUP!$C$19:$G$62,MATCH((INDEX(PMtbl[[WKst]:[Unit of measure*]],MATCH($A229&amp;$E229&amp;$H229,INDEX(PMtbl[Category]&amp;PMtbl[INN]&amp;PMtbl[Specification],0,),0),3)),SETUP!$D$19:$D$62,0),4))="Upfront",0,INDEX(SETUP!$C$19:$G$62,MATCH((INDEX(PMtbl[[WKst]:[Unit of measure*]],MATCH($A229&amp;$E229&amp;$H229,INDEX(PMtbl[Category]&amp;PMtbl[INN]&amp;PMtbl[Specification],0,),0),3)),SETUP!$D$19:$D$62,0),5)),"")</f>
        <v/>
      </c>
    </row>
    <row r="230" spans="1:49" s="198" customFormat="1" ht="15" thickBot="1">
      <c r="A230" s="3009"/>
      <c r="B230" s="3010"/>
      <c r="C230" s="3010"/>
      <c r="D230" s="3011"/>
      <c r="E230" s="3055"/>
      <c r="F230" s="3056"/>
      <c r="G230" s="3057"/>
      <c r="H230" s="3061"/>
      <c r="I230" s="3062"/>
      <c r="J230" s="3062"/>
      <c r="K230" s="3063"/>
      <c r="L230" s="309" t="str">
        <f>IF(A230&lt;&gt;"",IFERROR(INDEX(PMtbl[[WKst]:[Unit of measure*]],MATCH($A$124&amp;$A230&amp;$E230&amp;$H230,INDEX(PMtbl[Sec]&amp;PMtbl[Category]&amp;PMtbl[INN]&amp;PMtbl[Specification],0,),0),8),""),"")</f>
        <v/>
      </c>
      <c r="M230" s="309" t="str">
        <f>IF(L230="", "",SETUP!$E$5)</f>
        <v/>
      </c>
      <c r="N230" s="1986"/>
      <c r="O230" s="1987"/>
      <c r="P230" s="1987"/>
      <c r="Q230" s="1987"/>
      <c r="R230" s="1987"/>
      <c r="S230" s="1911">
        <f>SUM('Malaria-Equipment &amp; Other HPs'!$O230:$R230)</f>
        <v>0</v>
      </c>
      <c r="T230" s="1912">
        <f>'Malaria-Equipment &amp; Other HPs'!$N230*'Malaria-Equipment &amp; Other HPs'!$S230</f>
        <v>0</v>
      </c>
      <c r="U230" s="1989"/>
      <c r="V230" s="1987"/>
      <c r="W230" s="1987"/>
      <c r="X230" s="1987"/>
      <c r="Y230" s="1987"/>
      <c r="Z230" s="1911">
        <f>SUM('Malaria-Equipment &amp; Other HPs'!$V230:$Y230)</f>
        <v>0</v>
      </c>
      <c r="AA230" s="1912">
        <f>'Malaria-Equipment &amp; Other HPs'!$U230*'Malaria-Equipment &amp; Other HPs'!$Z230</f>
        <v>0</v>
      </c>
      <c r="AB230" s="1986"/>
      <c r="AC230" s="1987"/>
      <c r="AD230" s="1987"/>
      <c r="AE230" s="1987"/>
      <c r="AF230" s="1987"/>
      <c r="AG230" s="1911">
        <f>SUM('Malaria-Equipment &amp; Other HPs'!$AC230:$AF230)</f>
        <v>0</v>
      </c>
      <c r="AH230" s="1912">
        <f>'Malaria-Equipment &amp; Other HPs'!$AB230*'Malaria-Equipment &amp; Other HPs'!$AG230</f>
        <v>0</v>
      </c>
      <c r="AI230" s="1920">
        <f>'Malaria-Equipment &amp; Other HPs'!$S230+'Malaria-Equipment &amp; Other HPs'!$Z230+'Malaria-Equipment &amp; Other HPs'!$AG230</f>
        <v>0</v>
      </c>
      <c r="AJ230" s="1912">
        <f>'Malaria-Equipment &amp; Other HPs'!$T230+'Malaria-Equipment &amp; Other HPs'!$AA230+'Malaria-Equipment &amp; Other HPs'!$AH230</f>
        <v>0</v>
      </c>
      <c r="AK230" s="1922" t="str">
        <f>IF(A230&lt;&gt;"",IFERROR(INDEX(PMtbl[[WKst]:[Unit of measure*]],MATCH($A$124&amp;$A230&amp;$E230&amp;$H230,INDEX(PMtbl[Sec]&amp;PMtbl[Category]&amp;PMtbl[INN]&amp;PMtbl[Specification],0,),0),7),""),"")</f>
        <v/>
      </c>
      <c r="AL230" s="955"/>
      <c r="AM230" s="1521" t="str">
        <f>IFERROR(INDEX(SETUP!$C$19:$G$62,MATCH((INDEX(PMtbl[[WKst]:[Unit of measure*]],MATCH($A230&amp;$E230&amp;$H230,INDEX(PMtbl[Category]&amp;PMtbl[INN]&amp;PMtbl[Specification],0,),0),3)),SETUP!$D$19:$D$62,0),5),"")</f>
        <v/>
      </c>
      <c r="AN230" s="1496" t="str">
        <f>IFERROR(IF((INDEX(SETUP!$C$19:$G$62,MATCH((INDEX(PMtbl[[WKst]:[Unit of measure*]],MATCH($A230&amp;$E230&amp;$H230,INDEX(PMtbl[Category]&amp;PMtbl[INN]&amp;PMtbl[Specification],0,),0),3)),SETUP!$D$19:$D$62,0),4))="Upfront",0,INDEX(SETUP!$C$19:$G$62,MATCH((INDEX(PMtbl[[WKst]:[Unit of measure*]],MATCH($A230&amp;$E230&amp;$H230,INDEX(PMtbl[Category]&amp;PMtbl[INN]&amp;PMtbl[Specification],0,),0),3)),SETUP!$D$19:$D$62,0),5)),"")</f>
        <v/>
      </c>
    </row>
    <row r="231" spans="1:49">
      <c r="AU231" s="198"/>
      <c r="AV231" s="198"/>
      <c r="AW231" s="198"/>
    </row>
  </sheetData>
  <sheetProtection algorithmName="SHA-512" hashValue="6k0cAOBf2AkjuriJyAn62H+QMxk0AIxk8RTgoD+S2n8N8dMEkFAtVh7smI09wp4ySm4Ptw6VN54Ku9cf+cYlhQ==" saltValue="8QcmSynpBKawNlqD2FKrAw==" spinCount="100000" sheet="1" autoFilter="0"/>
  <mergeCells count="679">
    <mergeCell ref="AN12:AN13"/>
    <mergeCell ref="AN40:AN41"/>
    <mergeCell ref="AN62:AN63"/>
    <mergeCell ref="AN128:AN129"/>
    <mergeCell ref="AX26:BI26"/>
    <mergeCell ref="AX27:BA27"/>
    <mergeCell ref="BB27:BE27"/>
    <mergeCell ref="BF27:BI27"/>
    <mergeCell ref="AL12:AL13"/>
    <mergeCell ref="AL40:AL41"/>
    <mergeCell ref="AL62:AL63"/>
    <mergeCell ref="AL128:AL129"/>
    <mergeCell ref="AM12:AM13"/>
    <mergeCell ref="AM40:AM41"/>
    <mergeCell ref="AM62:AM63"/>
    <mergeCell ref="AM128:AM129"/>
    <mergeCell ref="E75:H75"/>
    <mergeCell ref="E71:H71"/>
    <mergeCell ref="E89:H89"/>
    <mergeCell ref="E215:G215"/>
    <mergeCell ref="H214:K214"/>
    <mergeCell ref="E214:G214"/>
    <mergeCell ref="E213:G213"/>
    <mergeCell ref="H212:K212"/>
    <mergeCell ref="E212:G212"/>
    <mergeCell ref="H213:K213"/>
    <mergeCell ref="E201:G201"/>
    <mergeCell ref="H201:K201"/>
    <mergeCell ref="E202:G202"/>
    <mergeCell ref="H202:K202"/>
    <mergeCell ref="E203:G203"/>
    <mergeCell ref="H203:K203"/>
    <mergeCell ref="H208:K208"/>
    <mergeCell ref="H215:K215"/>
    <mergeCell ref="E72:H72"/>
    <mergeCell ref="I72:K72"/>
    <mergeCell ref="E73:H73"/>
    <mergeCell ref="I73:K73"/>
    <mergeCell ref="E74:H74"/>
    <mergeCell ref="E76:H76"/>
    <mergeCell ref="E47:H47"/>
    <mergeCell ref="I47:K47"/>
    <mergeCell ref="E48:H48"/>
    <mergeCell ref="I48:K48"/>
    <mergeCell ref="E49:H49"/>
    <mergeCell ref="I52:K52"/>
    <mergeCell ref="A38:M38"/>
    <mergeCell ref="A45:D45"/>
    <mergeCell ref="A46:D46"/>
    <mergeCell ref="A47:D47"/>
    <mergeCell ref="A48:D48"/>
    <mergeCell ref="A49:D49"/>
    <mergeCell ref="A50:D50"/>
    <mergeCell ref="A51:D51"/>
    <mergeCell ref="A52:D52"/>
    <mergeCell ref="H220:K220"/>
    <mergeCell ref="E220:G220"/>
    <mergeCell ref="H219:K219"/>
    <mergeCell ref="E219:G219"/>
    <mergeCell ref="H218:K218"/>
    <mergeCell ref="E218:G218"/>
    <mergeCell ref="H217:K217"/>
    <mergeCell ref="E217:G217"/>
    <mergeCell ref="H216:K216"/>
    <mergeCell ref="E216:G216"/>
    <mergeCell ref="P1:Q2"/>
    <mergeCell ref="L12:L13"/>
    <mergeCell ref="G5:G6"/>
    <mergeCell ref="U12:AA12"/>
    <mergeCell ref="I21:K21"/>
    <mergeCell ref="I14:K14"/>
    <mergeCell ref="I19:K19"/>
    <mergeCell ref="E15:H15"/>
    <mergeCell ref="I15:K15"/>
    <mergeCell ref="E16:H16"/>
    <mergeCell ref="I16:K16"/>
    <mergeCell ref="E17:H17"/>
    <mergeCell ref="I17:K17"/>
    <mergeCell ref="M12:M13"/>
    <mergeCell ref="C5:E6"/>
    <mergeCell ref="N1:O2"/>
    <mergeCell ref="A1:K1"/>
    <mergeCell ref="M1:M2"/>
    <mergeCell ref="B3:B4"/>
    <mergeCell ref="C3:E4"/>
    <mergeCell ref="B5:B6"/>
    <mergeCell ref="A8:A9"/>
    <mergeCell ref="A12:D13"/>
    <mergeCell ref="E20:H20"/>
    <mergeCell ref="A19:D19"/>
    <mergeCell ref="A20:D20"/>
    <mergeCell ref="I89:K89"/>
    <mergeCell ref="E86:H86"/>
    <mergeCell ref="I86:K86"/>
    <mergeCell ref="E87:H87"/>
    <mergeCell ref="E40:H41"/>
    <mergeCell ref="I40:K41"/>
    <mergeCell ref="E19:H19"/>
    <mergeCell ref="E32:H32"/>
    <mergeCell ref="E33:H33"/>
    <mergeCell ref="B36:E37"/>
    <mergeCell ref="I32:K32"/>
    <mergeCell ref="A36:A37"/>
    <mergeCell ref="A30:D30"/>
    <mergeCell ref="A31:D31"/>
    <mergeCell ref="A32:D32"/>
    <mergeCell ref="A33:D33"/>
    <mergeCell ref="A40:D41"/>
    <mergeCell ref="I33:K33"/>
    <mergeCell ref="E52:H52"/>
    <mergeCell ref="E22:H22"/>
    <mergeCell ref="I22:K22"/>
    <mergeCell ref="E23:H23"/>
    <mergeCell ref="A14:D14"/>
    <mergeCell ref="A15:D15"/>
    <mergeCell ref="G3:G4"/>
    <mergeCell ref="H3:K4"/>
    <mergeCell ref="H5:K6"/>
    <mergeCell ref="H8:H9"/>
    <mergeCell ref="I8:I9"/>
    <mergeCell ref="J8:J9"/>
    <mergeCell ref="B8:E9"/>
    <mergeCell ref="E12:H13"/>
    <mergeCell ref="I12:K13"/>
    <mergeCell ref="A10:M10"/>
    <mergeCell ref="A16:D16"/>
    <mergeCell ref="A17:D17"/>
    <mergeCell ref="A18:D18"/>
    <mergeCell ref="E18:H18"/>
    <mergeCell ref="I18:K18"/>
    <mergeCell ref="E46:H46"/>
    <mergeCell ref="E43:H43"/>
    <mergeCell ref="I43:K43"/>
    <mergeCell ref="E44:H44"/>
    <mergeCell ref="E45:H45"/>
    <mergeCell ref="A42:D42"/>
    <mergeCell ref="A43:D43"/>
    <mergeCell ref="A44:D44"/>
    <mergeCell ref="A21:D21"/>
    <mergeCell ref="A22:D22"/>
    <mergeCell ref="A23:D23"/>
    <mergeCell ref="A24:D24"/>
    <mergeCell ref="A25:D25"/>
    <mergeCell ref="A26:D26"/>
    <mergeCell ref="A27:D27"/>
    <mergeCell ref="A28:D28"/>
    <mergeCell ref="A29:D29"/>
    <mergeCell ref="I24:K24"/>
    <mergeCell ref="I20:K20"/>
    <mergeCell ref="AI12:AJ12"/>
    <mergeCell ref="H36:H37"/>
    <mergeCell ref="I36:I37"/>
    <mergeCell ref="J36:J37"/>
    <mergeCell ref="E25:H25"/>
    <mergeCell ref="I25:K25"/>
    <mergeCell ref="E26:H26"/>
    <mergeCell ref="I26:K26"/>
    <mergeCell ref="E27:H27"/>
    <mergeCell ref="I27:K27"/>
    <mergeCell ref="E28:H28"/>
    <mergeCell ref="I28:K28"/>
    <mergeCell ref="E29:H29"/>
    <mergeCell ref="I29:K29"/>
    <mergeCell ref="I30:K30"/>
    <mergeCell ref="E30:H30"/>
    <mergeCell ref="E31:H31"/>
    <mergeCell ref="I31:K31"/>
    <mergeCell ref="AB12:AH12"/>
    <mergeCell ref="E21:H21"/>
    <mergeCell ref="N12:T12"/>
    <mergeCell ref="E24:H24"/>
    <mergeCell ref="E14:H14"/>
    <mergeCell ref="I23:K23"/>
    <mergeCell ref="AI40:AJ40"/>
    <mergeCell ref="E42:H42"/>
    <mergeCell ref="I42:K42"/>
    <mergeCell ref="I45:K45"/>
    <mergeCell ref="E56:H56"/>
    <mergeCell ref="I56:K56"/>
    <mergeCell ref="E55:H55"/>
    <mergeCell ref="I55:K55"/>
    <mergeCell ref="I53:K53"/>
    <mergeCell ref="E54:H54"/>
    <mergeCell ref="I54:K54"/>
    <mergeCell ref="E53:H53"/>
    <mergeCell ref="I44:K44"/>
    <mergeCell ref="E50:H50"/>
    <mergeCell ref="AB40:AH40"/>
    <mergeCell ref="I50:K50"/>
    <mergeCell ref="E51:H51"/>
    <mergeCell ref="I46:K46"/>
    <mergeCell ref="L40:L41"/>
    <mergeCell ref="M40:M41"/>
    <mergeCell ref="N40:T40"/>
    <mergeCell ref="U40:AA40"/>
    <mergeCell ref="I51:K51"/>
    <mergeCell ref="I49:K49"/>
    <mergeCell ref="I75:K75"/>
    <mergeCell ref="I76:K76"/>
    <mergeCell ref="I71:K71"/>
    <mergeCell ref="I70:K70"/>
    <mergeCell ref="I65:K65"/>
    <mergeCell ref="I66:K66"/>
    <mergeCell ref="I67:K67"/>
    <mergeCell ref="I74:K74"/>
    <mergeCell ref="I69:K69"/>
    <mergeCell ref="I68:K68"/>
    <mergeCell ref="I79:K79"/>
    <mergeCell ref="E80:H80"/>
    <mergeCell ref="I80:K80"/>
    <mergeCell ref="E81:H81"/>
    <mergeCell ref="I81:K81"/>
    <mergeCell ref="E82:H82"/>
    <mergeCell ref="I82:K82"/>
    <mergeCell ref="E83:H83"/>
    <mergeCell ref="I83:K83"/>
    <mergeCell ref="I95:K95"/>
    <mergeCell ref="E77:H77"/>
    <mergeCell ref="I77:K77"/>
    <mergeCell ref="E78:H78"/>
    <mergeCell ref="I78:K78"/>
    <mergeCell ref="E94:H94"/>
    <mergeCell ref="I94:K94"/>
    <mergeCell ref="E91:H91"/>
    <mergeCell ref="I91:K91"/>
    <mergeCell ref="E92:H92"/>
    <mergeCell ref="I92:K92"/>
    <mergeCell ref="E93:H93"/>
    <mergeCell ref="I93:K93"/>
    <mergeCell ref="E90:H90"/>
    <mergeCell ref="I90:K90"/>
    <mergeCell ref="E88:H88"/>
    <mergeCell ref="E95:H95"/>
    <mergeCell ref="I88:K88"/>
    <mergeCell ref="I87:K87"/>
    <mergeCell ref="E79:H79"/>
    <mergeCell ref="E84:H84"/>
    <mergeCell ref="I84:K84"/>
    <mergeCell ref="E85:H85"/>
    <mergeCell ref="I85:K85"/>
    <mergeCell ref="AI62:AJ62"/>
    <mergeCell ref="E64:H64"/>
    <mergeCell ref="I64:K64"/>
    <mergeCell ref="E65:H65"/>
    <mergeCell ref="E66:H66"/>
    <mergeCell ref="E67:H67"/>
    <mergeCell ref="E68:H68"/>
    <mergeCell ref="E69:H69"/>
    <mergeCell ref="E70:H70"/>
    <mergeCell ref="I62:K63"/>
    <mergeCell ref="M62:M63"/>
    <mergeCell ref="U62:AA62"/>
    <mergeCell ref="AB62:AH62"/>
    <mergeCell ref="L62:L63"/>
    <mergeCell ref="N62:T62"/>
    <mergeCell ref="E62:H63"/>
    <mergeCell ref="AI128:AJ128"/>
    <mergeCell ref="E130:G130"/>
    <mergeCell ref="H130:K130"/>
    <mergeCell ref="E131:G131"/>
    <mergeCell ref="H131:K131"/>
    <mergeCell ref="M128:M129"/>
    <mergeCell ref="E97:H97"/>
    <mergeCell ref="I97:K97"/>
    <mergeCell ref="E98:H98"/>
    <mergeCell ref="I98:K98"/>
    <mergeCell ref="E99:H99"/>
    <mergeCell ref="I99:K99"/>
    <mergeCell ref="E112:H112"/>
    <mergeCell ref="I112:K112"/>
    <mergeCell ref="E107:H107"/>
    <mergeCell ref="I107:K107"/>
    <mergeCell ref="E108:H108"/>
    <mergeCell ref="I108:K108"/>
    <mergeCell ref="E109:H109"/>
    <mergeCell ref="I109:K109"/>
    <mergeCell ref="E116:H116"/>
    <mergeCell ref="I116:K116"/>
    <mergeCell ref="E117:H117"/>
    <mergeCell ref="I117:K117"/>
    <mergeCell ref="H135:K135"/>
    <mergeCell ref="E136:G136"/>
    <mergeCell ref="H136:K136"/>
    <mergeCell ref="E137:G137"/>
    <mergeCell ref="H137:K137"/>
    <mergeCell ref="E132:G132"/>
    <mergeCell ref="H132:K132"/>
    <mergeCell ref="E133:G133"/>
    <mergeCell ref="H133:K133"/>
    <mergeCell ref="E134:G134"/>
    <mergeCell ref="H134:K134"/>
    <mergeCell ref="H141:K141"/>
    <mergeCell ref="E142:G142"/>
    <mergeCell ref="H142:K142"/>
    <mergeCell ref="E143:G143"/>
    <mergeCell ref="H143:K143"/>
    <mergeCell ref="E138:G138"/>
    <mergeCell ref="H138:K138"/>
    <mergeCell ref="E139:G139"/>
    <mergeCell ref="H139:K139"/>
    <mergeCell ref="E140:G140"/>
    <mergeCell ref="H140:K140"/>
    <mergeCell ref="H147:K147"/>
    <mergeCell ref="E148:G148"/>
    <mergeCell ref="H148:K148"/>
    <mergeCell ref="E149:G149"/>
    <mergeCell ref="H149:K149"/>
    <mergeCell ref="E144:G144"/>
    <mergeCell ref="H144:K144"/>
    <mergeCell ref="E145:G145"/>
    <mergeCell ref="H145:K145"/>
    <mergeCell ref="E146:G146"/>
    <mergeCell ref="H146:K146"/>
    <mergeCell ref="E153:G153"/>
    <mergeCell ref="H153:K153"/>
    <mergeCell ref="E154:G154"/>
    <mergeCell ref="H154:K154"/>
    <mergeCell ref="E155:G155"/>
    <mergeCell ref="H155:K155"/>
    <mergeCell ref="E150:G150"/>
    <mergeCell ref="H150:K150"/>
    <mergeCell ref="E151:G151"/>
    <mergeCell ref="H151:K151"/>
    <mergeCell ref="E152:G152"/>
    <mergeCell ref="H152:K152"/>
    <mergeCell ref="E159:G159"/>
    <mergeCell ref="H159:K159"/>
    <mergeCell ref="E160:G160"/>
    <mergeCell ref="H160:K160"/>
    <mergeCell ref="E161:G161"/>
    <mergeCell ref="H161:K161"/>
    <mergeCell ref="E156:G156"/>
    <mergeCell ref="H156:K156"/>
    <mergeCell ref="E157:G157"/>
    <mergeCell ref="H157:K157"/>
    <mergeCell ref="E158:G158"/>
    <mergeCell ref="H158:K158"/>
    <mergeCell ref="E165:G165"/>
    <mergeCell ref="H165:K165"/>
    <mergeCell ref="E166:G166"/>
    <mergeCell ref="H166:K166"/>
    <mergeCell ref="E167:G167"/>
    <mergeCell ref="H167:K167"/>
    <mergeCell ref="E162:G162"/>
    <mergeCell ref="H162:K162"/>
    <mergeCell ref="E163:G163"/>
    <mergeCell ref="H163:K163"/>
    <mergeCell ref="E164:G164"/>
    <mergeCell ref="H164:K164"/>
    <mergeCell ref="H171:K171"/>
    <mergeCell ref="E172:G172"/>
    <mergeCell ref="H172:K172"/>
    <mergeCell ref="E173:G173"/>
    <mergeCell ref="H173:K173"/>
    <mergeCell ref="E168:G168"/>
    <mergeCell ref="H168:K168"/>
    <mergeCell ref="E169:G169"/>
    <mergeCell ref="H169:K169"/>
    <mergeCell ref="E170:G170"/>
    <mergeCell ref="H170:K170"/>
    <mergeCell ref="H177:K177"/>
    <mergeCell ref="E178:G178"/>
    <mergeCell ref="H178:K178"/>
    <mergeCell ref="E179:G179"/>
    <mergeCell ref="H179:K179"/>
    <mergeCell ref="E174:G174"/>
    <mergeCell ref="H174:K174"/>
    <mergeCell ref="E175:G175"/>
    <mergeCell ref="H175:K175"/>
    <mergeCell ref="E176:G176"/>
    <mergeCell ref="H176:K176"/>
    <mergeCell ref="H183:K183"/>
    <mergeCell ref="E184:G184"/>
    <mergeCell ref="H184:K184"/>
    <mergeCell ref="E185:G185"/>
    <mergeCell ref="H185:K185"/>
    <mergeCell ref="E180:G180"/>
    <mergeCell ref="H180:K180"/>
    <mergeCell ref="E181:G181"/>
    <mergeCell ref="H181:K181"/>
    <mergeCell ref="E182:G182"/>
    <mergeCell ref="H182:K182"/>
    <mergeCell ref="H189:K189"/>
    <mergeCell ref="E190:G190"/>
    <mergeCell ref="H190:K190"/>
    <mergeCell ref="E191:G191"/>
    <mergeCell ref="H191:K191"/>
    <mergeCell ref="E186:G186"/>
    <mergeCell ref="H186:K186"/>
    <mergeCell ref="E187:G187"/>
    <mergeCell ref="H187:K187"/>
    <mergeCell ref="E188:G188"/>
    <mergeCell ref="H188:K188"/>
    <mergeCell ref="E195:G195"/>
    <mergeCell ref="H195:K195"/>
    <mergeCell ref="E196:G196"/>
    <mergeCell ref="H196:K196"/>
    <mergeCell ref="E197:G197"/>
    <mergeCell ref="H197:K197"/>
    <mergeCell ref="E192:G192"/>
    <mergeCell ref="H192:K192"/>
    <mergeCell ref="E193:G193"/>
    <mergeCell ref="H193:K193"/>
    <mergeCell ref="E194:G194"/>
    <mergeCell ref="H194:K194"/>
    <mergeCell ref="H230:K230"/>
    <mergeCell ref="E225:G225"/>
    <mergeCell ref="H225:K225"/>
    <mergeCell ref="E226:G226"/>
    <mergeCell ref="H226:K226"/>
    <mergeCell ref="E227:G227"/>
    <mergeCell ref="H227:K227"/>
    <mergeCell ref="E222:G222"/>
    <mergeCell ref="H222:K222"/>
    <mergeCell ref="E223:G223"/>
    <mergeCell ref="H223:K223"/>
    <mergeCell ref="E224:G224"/>
    <mergeCell ref="H224:K224"/>
    <mergeCell ref="E228:G228"/>
    <mergeCell ref="H228:K228"/>
    <mergeCell ref="E229:G229"/>
    <mergeCell ref="H229:K229"/>
    <mergeCell ref="A117:D117"/>
    <mergeCell ref="A116:D116"/>
    <mergeCell ref="A115:D115"/>
    <mergeCell ref="A114:D114"/>
    <mergeCell ref="A119:D119"/>
    <mergeCell ref="A118:D118"/>
    <mergeCell ref="A121:D121"/>
    <mergeCell ref="A120:D120"/>
    <mergeCell ref="E230:G230"/>
    <mergeCell ref="E209:G209"/>
    <mergeCell ref="E204:G204"/>
    <mergeCell ref="E205:G205"/>
    <mergeCell ref="E206:G206"/>
    <mergeCell ref="E211:G211"/>
    <mergeCell ref="E210:G210"/>
    <mergeCell ref="E198:G198"/>
    <mergeCell ref="E199:G199"/>
    <mergeCell ref="E200:G200"/>
    <mergeCell ref="E207:G207"/>
    <mergeCell ref="E208:G208"/>
    <mergeCell ref="E189:G189"/>
    <mergeCell ref="E183:G183"/>
    <mergeCell ref="E177:G177"/>
    <mergeCell ref="E171:G171"/>
    <mergeCell ref="H221:K221"/>
    <mergeCell ref="E221:G221"/>
    <mergeCell ref="E118:H118"/>
    <mergeCell ref="I113:K113"/>
    <mergeCell ref="E114:H114"/>
    <mergeCell ref="I114:K114"/>
    <mergeCell ref="E115:H115"/>
    <mergeCell ref="I115:K115"/>
    <mergeCell ref="E106:H106"/>
    <mergeCell ref="I106:K106"/>
    <mergeCell ref="E110:H110"/>
    <mergeCell ref="I110:K110"/>
    <mergeCell ref="E111:H111"/>
    <mergeCell ref="I111:K111"/>
    <mergeCell ref="H209:K209"/>
    <mergeCell ref="H204:K204"/>
    <mergeCell ref="H205:K205"/>
    <mergeCell ref="H206:K206"/>
    <mergeCell ref="H211:K211"/>
    <mergeCell ref="H210:K210"/>
    <mergeCell ref="H198:K198"/>
    <mergeCell ref="H199:K199"/>
    <mergeCell ref="H200:K200"/>
    <mergeCell ref="H207:K207"/>
    <mergeCell ref="E96:H96"/>
    <mergeCell ref="I96:K96"/>
    <mergeCell ref="E103:H103"/>
    <mergeCell ref="I103:K103"/>
    <mergeCell ref="E104:H104"/>
    <mergeCell ref="E122:H122"/>
    <mergeCell ref="I122:K122"/>
    <mergeCell ref="E119:H119"/>
    <mergeCell ref="I119:K119"/>
    <mergeCell ref="E120:H120"/>
    <mergeCell ref="I120:K120"/>
    <mergeCell ref="E121:H121"/>
    <mergeCell ref="I121:K121"/>
    <mergeCell ref="E105:H105"/>
    <mergeCell ref="I105:K105"/>
    <mergeCell ref="E100:H100"/>
    <mergeCell ref="I100:K100"/>
    <mergeCell ref="E101:H101"/>
    <mergeCell ref="I101:K101"/>
    <mergeCell ref="E102:H102"/>
    <mergeCell ref="I102:K102"/>
    <mergeCell ref="I104:K104"/>
    <mergeCell ref="I118:K118"/>
    <mergeCell ref="E113:H113"/>
    <mergeCell ref="N128:T128"/>
    <mergeCell ref="A124:A125"/>
    <mergeCell ref="B124:E125"/>
    <mergeCell ref="E128:G129"/>
    <mergeCell ref="H128:K129"/>
    <mergeCell ref="L128:L129"/>
    <mergeCell ref="H124:H125"/>
    <mergeCell ref="U128:AA128"/>
    <mergeCell ref="AB128:AH128"/>
    <mergeCell ref="I124:I125"/>
    <mergeCell ref="J124:J125"/>
    <mergeCell ref="A126:M126"/>
    <mergeCell ref="A53:D53"/>
    <mergeCell ref="A54:D54"/>
    <mergeCell ref="A55:D55"/>
    <mergeCell ref="A56:D56"/>
    <mergeCell ref="A62:D63"/>
    <mergeCell ref="A64:D64"/>
    <mergeCell ref="A65:D65"/>
    <mergeCell ref="A66:D66"/>
    <mergeCell ref="A67:D67"/>
    <mergeCell ref="A68:D68"/>
    <mergeCell ref="A58:A59"/>
    <mergeCell ref="A60:M60"/>
    <mergeCell ref="H58:H59"/>
    <mergeCell ref="I58:I59"/>
    <mergeCell ref="J58:J59"/>
    <mergeCell ref="B58:E59"/>
    <mergeCell ref="F58:G58"/>
    <mergeCell ref="F59:G59"/>
    <mergeCell ref="A69:D69"/>
    <mergeCell ref="A70:D70"/>
    <mergeCell ref="A71:D71"/>
    <mergeCell ref="A72:D72"/>
    <mergeCell ref="A73:D73"/>
    <mergeCell ref="A74:D74"/>
    <mergeCell ref="A75:D75"/>
    <mergeCell ref="A76:D76"/>
    <mergeCell ref="A77:D77"/>
    <mergeCell ref="A78:D78"/>
    <mergeCell ref="A83:D83"/>
    <mergeCell ref="A82:D82"/>
    <mergeCell ref="A81:D81"/>
    <mergeCell ref="A80:D80"/>
    <mergeCell ref="A79:D79"/>
    <mergeCell ref="A85:D85"/>
    <mergeCell ref="A84:D84"/>
    <mergeCell ref="A101:D101"/>
    <mergeCell ref="A100:D100"/>
    <mergeCell ref="A99:D99"/>
    <mergeCell ref="A98:D98"/>
    <mergeCell ref="A97:D97"/>
    <mergeCell ref="A96:D96"/>
    <mergeCell ref="A95:D95"/>
    <mergeCell ref="A94:D94"/>
    <mergeCell ref="A93:D93"/>
    <mergeCell ref="A92:D92"/>
    <mergeCell ref="A91:D91"/>
    <mergeCell ref="A90:D90"/>
    <mergeCell ref="A89:D89"/>
    <mergeCell ref="A88:D88"/>
    <mergeCell ref="A87:D87"/>
    <mergeCell ref="A86:D86"/>
    <mergeCell ref="A105:D105"/>
    <mergeCell ref="A104:D104"/>
    <mergeCell ref="A103:D103"/>
    <mergeCell ref="A102:D102"/>
    <mergeCell ref="A113:D113"/>
    <mergeCell ref="A112:D112"/>
    <mergeCell ref="A111:D111"/>
    <mergeCell ref="A110:D110"/>
    <mergeCell ref="A109:D109"/>
    <mergeCell ref="A108:D108"/>
    <mergeCell ref="A107:D107"/>
    <mergeCell ref="A106:D106"/>
    <mergeCell ref="A145:D145"/>
    <mergeCell ref="A146:D146"/>
    <mergeCell ref="A147:D147"/>
    <mergeCell ref="A148:D148"/>
    <mergeCell ref="A149:D149"/>
    <mergeCell ref="A122:D122"/>
    <mergeCell ref="E135:G135"/>
    <mergeCell ref="A128:D129"/>
    <mergeCell ref="A130:D130"/>
    <mergeCell ref="A131:D131"/>
    <mergeCell ref="A132:D132"/>
    <mergeCell ref="A133:D133"/>
    <mergeCell ref="A134:D134"/>
    <mergeCell ref="A135:D135"/>
    <mergeCell ref="E147:G147"/>
    <mergeCell ref="E141:G141"/>
    <mergeCell ref="A136:D136"/>
    <mergeCell ref="A137:D137"/>
    <mergeCell ref="A138:D138"/>
    <mergeCell ref="A139:D139"/>
    <mergeCell ref="A140:D140"/>
    <mergeCell ref="A141:D141"/>
    <mergeCell ref="A142:D142"/>
    <mergeCell ref="A143:D143"/>
    <mergeCell ref="A185:D185"/>
    <mergeCell ref="A153:D153"/>
    <mergeCell ref="A154:D154"/>
    <mergeCell ref="A155:D155"/>
    <mergeCell ref="A156:D156"/>
    <mergeCell ref="A157:D157"/>
    <mergeCell ref="A158:D158"/>
    <mergeCell ref="A159:D159"/>
    <mergeCell ref="A160:D160"/>
    <mergeCell ref="A161:D161"/>
    <mergeCell ref="AX11:BI11"/>
    <mergeCell ref="AX12:BA12"/>
    <mergeCell ref="BB12:BE12"/>
    <mergeCell ref="BF12:BI12"/>
    <mergeCell ref="A186:D186"/>
    <mergeCell ref="A187:D187"/>
    <mergeCell ref="A188:D188"/>
    <mergeCell ref="A189:D189"/>
    <mergeCell ref="A190:D190"/>
    <mergeCell ref="A162:D162"/>
    <mergeCell ref="A163:D163"/>
    <mergeCell ref="A164:D164"/>
    <mergeCell ref="A165:D165"/>
    <mergeCell ref="A166:D166"/>
    <mergeCell ref="A167:D167"/>
    <mergeCell ref="A168:D168"/>
    <mergeCell ref="A169:D169"/>
    <mergeCell ref="A170:D170"/>
    <mergeCell ref="A171:D171"/>
    <mergeCell ref="A172:D172"/>
    <mergeCell ref="A173:D173"/>
    <mergeCell ref="A150:D150"/>
    <mergeCell ref="A151:D151"/>
    <mergeCell ref="A152:D152"/>
    <mergeCell ref="A144:D144"/>
    <mergeCell ref="A195:D195"/>
    <mergeCell ref="A196:D196"/>
    <mergeCell ref="A197:D197"/>
    <mergeCell ref="A198:D198"/>
    <mergeCell ref="A199:D199"/>
    <mergeCell ref="A200:D200"/>
    <mergeCell ref="A201:D201"/>
    <mergeCell ref="A202:D202"/>
    <mergeCell ref="A191:D191"/>
    <mergeCell ref="A192:D192"/>
    <mergeCell ref="A193:D193"/>
    <mergeCell ref="A194:D194"/>
    <mergeCell ref="A174:D174"/>
    <mergeCell ref="A175:D175"/>
    <mergeCell ref="A176:D176"/>
    <mergeCell ref="A177:D177"/>
    <mergeCell ref="A178:D178"/>
    <mergeCell ref="A179:D179"/>
    <mergeCell ref="A180:D180"/>
    <mergeCell ref="A181:D181"/>
    <mergeCell ref="A182:D182"/>
    <mergeCell ref="A183:D183"/>
    <mergeCell ref="A184:D184"/>
    <mergeCell ref="A203:D203"/>
    <mergeCell ref="A204:D204"/>
    <mergeCell ref="A205:D205"/>
    <mergeCell ref="A206:D206"/>
    <mergeCell ref="A207:D207"/>
    <mergeCell ref="A208:D208"/>
    <mergeCell ref="A209:D209"/>
    <mergeCell ref="A210:D210"/>
    <mergeCell ref="A211:D211"/>
    <mergeCell ref="A212:D212"/>
    <mergeCell ref="A213:D213"/>
    <mergeCell ref="A214:D214"/>
    <mergeCell ref="A215:D215"/>
    <mergeCell ref="A216:D216"/>
    <mergeCell ref="A217:D217"/>
    <mergeCell ref="A218:D218"/>
    <mergeCell ref="A219:D219"/>
    <mergeCell ref="A220:D220"/>
    <mergeCell ref="A230:D230"/>
    <mergeCell ref="A221:D221"/>
    <mergeCell ref="A222:D222"/>
    <mergeCell ref="A223:D223"/>
    <mergeCell ref="A224:D224"/>
    <mergeCell ref="A225:D225"/>
    <mergeCell ref="A226:D226"/>
    <mergeCell ref="A227:D227"/>
    <mergeCell ref="A228:D228"/>
    <mergeCell ref="A229:D229"/>
  </mergeCells>
  <conditionalFormatting sqref="A14:K33">
    <cfRule type="expression" dxfId="681" priority="5">
      <formula>AND($I14&lt;&gt;"",$L14="")</formula>
    </cfRule>
  </conditionalFormatting>
  <conditionalFormatting sqref="A42:K46 A48:K56 E47:K47">
    <cfRule type="expression" dxfId="680" priority="4">
      <formula>AND($I42&lt;&gt;"",$L42="")</formula>
    </cfRule>
  </conditionalFormatting>
  <conditionalFormatting sqref="A64:K122">
    <cfRule type="expression" dxfId="679" priority="3">
      <formula>AND($I64&lt;&gt;"",$L64="")</formula>
    </cfRule>
  </conditionalFormatting>
  <conditionalFormatting sqref="A130:K230">
    <cfRule type="expression" dxfId="678" priority="2">
      <formula>AND($H130&lt;&gt;"",$L130="")</formula>
    </cfRule>
  </conditionalFormatting>
  <conditionalFormatting sqref="A47:D47">
    <cfRule type="expression" dxfId="677" priority="1">
      <formula>AND($I47&lt;&gt;"",$L47="")</formula>
    </cfRule>
  </conditionalFormatting>
  <dataValidations count="14">
    <dataValidation type="decimal" allowBlank="1" showInputMessage="1" showErrorMessage="1" sqref="AG64:AH122 AG14:AH33 S42:U56 N14:N33 S14:U33 Z14:AB33 AG42:AH56 Z42:AB56 N42:N56 N64:N122 S64:U122 Z64:AB122 AG130:AH230 Z130:AB230 N130:N230 S130:U230" xr:uid="{00000000-0002-0000-0E00-000000000000}">
      <formula1>0</formula1>
      <formula2>1E+29</formula2>
    </dataValidation>
    <dataValidation type="list" allowBlank="1" showInputMessage="1" showErrorMessage="1" sqref="A14:D33" xr:uid="{00000000-0002-0000-0E00-000001000000}">
      <formula1>ML2S1T1C1</formula1>
    </dataValidation>
    <dataValidation type="list" allowBlank="1" showInputMessage="1" showErrorMessage="1" sqref="E14:H33" xr:uid="{00000000-0002-0000-0E00-000002000000}">
      <formula1>ML2S1T1C2</formula1>
    </dataValidation>
    <dataValidation type="list" allowBlank="1" showInputMessage="1" showErrorMessage="1" sqref="I14:K33" xr:uid="{00000000-0002-0000-0E00-000003000000}">
      <formula1>ML2S1T1C3</formula1>
    </dataValidation>
    <dataValidation type="list" allowBlank="1" showInputMessage="1" showErrorMessage="1" sqref="A42:D56" xr:uid="{00000000-0002-0000-0E00-000004000000}">
      <formula1>ML2S2T1C1</formula1>
    </dataValidation>
    <dataValidation type="list" allowBlank="1" showInputMessage="1" showErrorMessage="1" sqref="E42:H56" xr:uid="{00000000-0002-0000-0E00-000005000000}">
      <formula1>ML2S2T1C2</formula1>
    </dataValidation>
    <dataValidation type="list" allowBlank="1" showInputMessage="1" showErrorMessage="1" sqref="I42:K56" xr:uid="{00000000-0002-0000-0E00-000006000000}">
      <formula1>ML2S2T1C3</formula1>
    </dataValidation>
    <dataValidation type="list" allowBlank="1" showInputMessage="1" showErrorMessage="1" sqref="A64:D122" xr:uid="{00000000-0002-0000-0E00-000007000000}">
      <formula1>ML2S3T1C1</formula1>
    </dataValidation>
    <dataValidation type="list" allowBlank="1" showInputMessage="1" showErrorMessage="1" sqref="E64:H122" xr:uid="{00000000-0002-0000-0E00-000008000000}">
      <formula1>ML2S3T1C2</formula1>
    </dataValidation>
    <dataValidation type="list" allowBlank="1" showInputMessage="1" showErrorMessage="1" sqref="I64:K122" xr:uid="{00000000-0002-0000-0E00-000009000000}">
      <formula1>ML2S3T1C3</formula1>
    </dataValidation>
    <dataValidation type="list" allowBlank="1" showInputMessage="1" showErrorMessage="1" sqref="A130:D230" xr:uid="{00000000-0002-0000-0E00-00000A000000}">
      <formula1>ML2S4T1C1</formula1>
    </dataValidation>
    <dataValidation type="list" allowBlank="1" showInputMessage="1" showErrorMessage="1" sqref="E130:G230" xr:uid="{00000000-0002-0000-0E00-00000B000000}">
      <formula1>ML2S4T1C2</formula1>
    </dataValidation>
    <dataValidation type="list" allowBlank="1" showInputMessage="1" showErrorMessage="1" sqref="H130:K230" xr:uid="{00000000-0002-0000-0E00-00000C000000}">
      <formula1>ML2S4T1C3</formula1>
    </dataValidation>
    <dataValidation type="whole" operator="greaterThanOrEqual" allowBlank="1" showInputMessage="1" showErrorMessage="1" error="Do not input value in Fractions" sqref="O14:R33 V14:Y33 AC14:AF33 AC42:AF56 V42:Y56 O42:R56 O64:R122 V64:Y122 AC64:AF122 AC130:AF230 V130:Y230 O130:R230" xr:uid="{00000000-0002-0000-0E00-00000D000000}">
      <formula1>0</formula1>
    </dataValidation>
  </dataValidations>
  <hyperlinks>
    <hyperlink ref="N1:O2" location="'Malaria-Key Info'!A1" display="Back to Malaria key info" xr:uid="{00000000-0004-0000-0E00-000000000000}"/>
    <hyperlink ref="H8:H9" location="'Malaria-Equipment &amp; Other HPs'!A42" display="'Malaria-Equipment &amp; Other HPs'!A42" xr:uid="{00000000-0004-0000-0E00-000001000000}"/>
    <hyperlink ref="I8:I9" location="'Malaria-Equipment &amp; Other HPs'!A64" display="'Malaria-Equipment &amp; Other HPs'!A64" xr:uid="{00000000-0004-0000-0E00-000002000000}"/>
    <hyperlink ref="P1:Q2" location="'Malaria-Pharmaceuticals'!A1" display="Back to Malaria-Pharmaceuticals" xr:uid="{00000000-0004-0000-0E00-000003000000}"/>
    <hyperlink ref="J36:J37" location="'Malaria-Equipment &amp; Other HPs'!A130" display="'Malaria-Equipment &amp; Other HPs'!A130" xr:uid="{00000000-0004-0000-0E00-000004000000}"/>
    <hyperlink ref="I36:I37" location="'Malaria-Equipment &amp; Other HPs'!A64" display="'Malaria-Equipment &amp; Other HPs'!A64" xr:uid="{00000000-0004-0000-0E00-000005000000}"/>
    <hyperlink ref="J124:J125" location="'Malaria-Equipment &amp; Other HPs'!A64" display="'Malaria-Equipment &amp; Other HPs'!A64" xr:uid="{00000000-0004-0000-0E00-000006000000}"/>
    <hyperlink ref="I58:I59" location="'Malaria-Equipment &amp; Other HPs'!A42" display="'Malaria-Equipment &amp; Other HPs'!A42" xr:uid="{00000000-0004-0000-0E00-000007000000}"/>
    <hyperlink ref="I124:I125" location="'Malaria-Equipment &amp; Other HPs'!A42" display="'Malaria-Equipment &amp; Other HPs'!A42" xr:uid="{00000000-0004-0000-0E00-000008000000}"/>
    <hyperlink ref="J8:J9" location="'Malaria-Equipment &amp; Other HPs'!A130" display="'Malaria-Equipment &amp; Other HPs'!A130" xr:uid="{00000000-0004-0000-0E00-000009000000}"/>
    <hyperlink ref="J58:J59" location="'Malaria-Equipment &amp; Other HPs'!A130" display="'Malaria-Equipment &amp; Other HPs'!A130" xr:uid="{00000000-0004-0000-0E00-00000A000000}"/>
    <hyperlink ref="H36:H37" location="'Malaria-Equipment &amp; Other HPs'!A1" display="'Malaria-Equipment &amp; Other HPs'!A1" xr:uid="{00000000-0004-0000-0E00-00000B000000}"/>
    <hyperlink ref="H58:H59" location="'Malaria-Equipment &amp; Other HPs'!A1" display="'Malaria-Equipment &amp; Other HPs'!A1" xr:uid="{00000000-0004-0000-0E00-00000C000000}"/>
    <hyperlink ref="H124:H125" location="'Malaria-Equipment &amp; Other HPs'!A1" display="'Malaria-Equipment &amp; Other HPs'!A1" xr:uid="{00000000-0004-0000-0E00-00000D000000}"/>
  </hyperlinks>
  <pageMargins left="0.7" right="0.7" top="0.75" bottom="0.75" header="0.3" footer="0.3"/>
  <pageSetup paperSize="9" orientation="portrait" r:id="rId1"/>
  <ignoredErrors>
    <ignoredError sqref="AN64:AN122 AM14 AM15:AM33 AM42:AM56 AM64:AM122 AM131:AM230"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CC0099"/>
  </sheetPr>
  <dimension ref="A1:BH92"/>
  <sheetViews>
    <sheetView showGridLines="0" zoomScale="85" zoomScaleNormal="85" workbookViewId="0">
      <selection activeCell="A14" sqref="A14:B14"/>
    </sheetView>
  </sheetViews>
  <sheetFormatPr baseColWidth="10" defaultColWidth="10.453125" defaultRowHeight="13"/>
  <cols>
    <col min="1" max="1" width="10.453125" style="1593"/>
    <col min="2" max="2" width="23.7265625" style="1593" customWidth="1"/>
    <col min="3" max="3" width="37.26953125" style="1593" customWidth="1"/>
    <col min="4" max="4" width="43" style="1593" customWidth="1"/>
    <col min="5" max="5" width="15" style="1593" bestFit="1" customWidth="1"/>
    <col min="6" max="6" width="15.54296875" style="1593" bestFit="1" customWidth="1"/>
    <col min="7" max="7" width="18.26953125" style="1593" customWidth="1"/>
    <col min="8" max="24" width="14.7265625" style="1593" customWidth="1"/>
    <col min="25" max="27" width="15.7265625" style="1593" customWidth="1"/>
    <col min="28" max="29" width="13" style="1593" customWidth="1"/>
    <col min="30" max="30" width="18.26953125" style="1593" customWidth="1"/>
    <col min="31" max="31" width="51.453125" style="1593" customWidth="1"/>
    <col min="32" max="32" width="11.453125" style="1593" customWidth="1"/>
    <col min="33" max="33" width="10.453125" style="1593" hidden="1" customWidth="1"/>
    <col min="34" max="44" width="10.453125" style="1593"/>
    <col min="45" max="45" width="0" style="1593" hidden="1" customWidth="1"/>
    <col min="46" max="46" width="10.453125" style="1593" hidden="1" customWidth="1"/>
    <col min="47" max="47" width="9" style="1593" hidden="1" customWidth="1"/>
    <col min="48" max="48" width="20.7265625" style="1593" hidden="1" customWidth="1"/>
    <col min="49" max="59" width="14.26953125" style="1593" hidden="1" customWidth="1"/>
    <col min="60" max="60" width="10.453125" style="1593" hidden="1" customWidth="1"/>
    <col min="61" max="16384" width="10.453125" style="1593"/>
  </cols>
  <sheetData>
    <row r="1" spans="1:60" ht="24" customHeight="1" thickBot="1">
      <c r="A1" s="3114" t="s">
        <v>3074</v>
      </c>
      <c r="B1" s="3115"/>
      <c r="C1" s="3115"/>
      <c r="D1" s="3115"/>
      <c r="E1" s="3115"/>
      <c r="F1" s="3115"/>
      <c r="G1" s="3116"/>
      <c r="H1" s="1626"/>
      <c r="I1" s="1626"/>
      <c r="K1" s="1594"/>
      <c r="L1" s="1595"/>
      <c r="M1" s="1595"/>
      <c r="N1" s="1595"/>
      <c r="O1" s="1595"/>
      <c r="P1" s="1595"/>
      <c r="Q1" s="1595"/>
      <c r="R1" s="1595"/>
      <c r="S1" s="1595"/>
      <c r="T1" s="1595"/>
      <c r="U1" s="1595"/>
      <c r="V1" s="1595"/>
      <c r="W1" s="1595"/>
      <c r="X1" s="1595"/>
      <c r="Y1" s="1595"/>
      <c r="Z1" s="1595"/>
      <c r="AA1" s="1595"/>
      <c r="AB1" s="1595"/>
      <c r="AC1" s="1595"/>
      <c r="AD1" s="1595"/>
      <c r="AE1" s="1595"/>
    </row>
    <row r="2" spans="1:60" ht="13.5" thickBot="1">
      <c r="A2" s="1596"/>
      <c r="B2" s="1596"/>
      <c r="C2" s="1596"/>
      <c r="D2" s="1596"/>
      <c r="E2" s="1596"/>
      <c r="F2" s="1596"/>
      <c r="G2" s="1597"/>
      <c r="H2" s="1626"/>
      <c r="I2" s="1626"/>
      <c r="J2" s="1626"/>
      <c r="K2" s="1594"/>
      <c r="L2" s="1595"/>
      <c r="M2" s="1595"/>
      <c r="N2" s="1595"/>
      <c r="O2" s="1595"/>
      <c r="P2" s="1595"/>
      <c r="Q2" s="1595"/>
      <c r="R2" s="1595"/>
      <c r="S2" s="1595"/>
      <c r="T2" s="1595"/>
      <c r="U2" s="1595"/>
      <c r="V2" s="1595"/>
      <c r="W2" s="1595"/>
      <c r="X2" s="1595"/>
      <c r="Y2" s="1595"/>
      <c r="Z2" s="1595"/>
      <c r="AA2" s="1595"/>
      <c r="AB2" s="1595"/>
      <c r="AC2" s="1595"/>
      <c r="AD2" s="1595"/>
      <c r="AE2" s="1595"/>
    </row>
    <row r="3" spans="1:60" ht="15" customHeight="1" thickBot="1">
      <c r="A3" s="1629"/>
      <c r="B3" s="3119" t="s">
        <v>1</v>
      </c>
      <c r="C3" s="3121" t="str">
        <f>SETUP!$E$3</f>
        <v>El Salvador</v>
      </c>
      <c r="D3" s="3121"/>
      <c r="E3" s="3123" t="s">
        <v>2</v>
      </c>
      <c r="F3" s="3125" t="str">
        <f>GRAN_NO</f>
        <v>SLV-H-MOH</v>
      </c>
      <c r="G3" s="3126"/>
      <c r="I3" s="1605"/>
      <c r="J3" s="1594"/>
      <c r="K3" s="1595"/>
      <c r="L3" s="1595"/>
      <c r="M3" s="1595"/>
      <c r="N3" s="1598"/>
      <c r="O3" s="1598"/>
      <c r="P3" s="1598"/>
      <c r="Q3" s="1598"/>
      <c r="R3" s="1595"/>
      <c r="S3" s="1595"/>
      <c r="T3" s="1595"/>
      <c r="U3" s="1595"/>
      <c r="V3" s="1595"/>
      <c r="W3" s="1595"/>
      <c r="X3" s="1595"/>
      <c r="Y3" s="1595"/>
      <c r="Z3" s="1595"/>
      <c r="AA3" s="1595"/>
      <c r="AB3" s="1595"/>
      <c r="AC3" s="1595"/>
      <c r="AD3" s="1595"/>
      <c r="AE3" s="1595"/>
      <c r="AF3" s="1599"/>
    </row>
    <row r="4" spans="1:60" ht="15.75" customHeight="1" thickTop="1" thickBot="1">
      <c r="A4" s="1630"/>
      <c r="B4" s="3120"/>
      <c r="C4" s="3122"/>
      <c r="D4" s="3122"/>
      <c r="E4" s="3124"/>
      <c r="F4" s="3127"/>
      <c r="G4" s="3128"/>
      <c r="I4" s="1594"/>
      <c r="J4" s="1600" t="str">
        <f>SUBSTITUTE(SUBSTITUTE(SUBSTITUTE(SUBSTITUTE(SUBSTITUTE(SUBSTITUTE(SUBSTITUTE(SUBSTITUTE(SUBSTITUTE(SUBSTITUTE(SUBSTITUTE(C14,",",""),":",""),"/"," "),"(",""),")",""),"-"," "),"  "," ")," ","_"),"&amp;",""),"__","_"),"+","_")</f>
        <v/>
      </c>
      <c r="K4" s="1595"/>
      <c r="L4" s="1595"/>
      <c r="M4" s="1595"/>
      <c r="N4" s="1598"/>
      <c r="O4" s="1595"/>
      <c r="P4" s="1595"/>
      <c r="Q4" s="1595"/>
      <c r="R4" s="1595"/>
      <c r="S4" s="1595"/>
      <c r="T4" s="1595"/>
      <c r="U4" s="1595"/>
      <c r="V4" s="1595"/>
      <c r="W4" s="1595"/>
      <c r="X4" s="1595"/>
      <c r="Y4" s="1595"/>
      <c r="Z4" s="1595"/>
      <c r="AA4" s="1595"/>
      <c r="AB4" s="1595"/>
      <c r="AC4" s="1595"/>
      <c r="AD4" s="1595"/>
      <c r="AE4" s="1595"/>
      <c r="AF4" s="1595"/>
    </row>
    <row r="5" spans="1:60" ht="14" thickTop="1" thickBot="1">
      <c r="A5" s="1630"/>
      <c r="B5" s="3129" t="s">
        <v>3</v>
      </c>
      <c r="C5" s="3131" t="str">
        <f>SETUP!$E$6</f>
        <v>HIV</v>
      </c>
      <c r="D5" s="3131"/>
      <c r="E5" s="3133" t="s">
        <v>4</v>
      </c>
      <c r="F5" s="3135" t="str">
        <f>SETUP!E7</f>
        <v>Ministry of Health of the Republic of El Salvador</v>
      </c>
      <c r="G5" s="3136"/>
      <c r="I5" s="1594"/>
      <c r="J5" s="1594"/>
      <c r="K5" s="1595"/>
      <c r="L5" s="1595"/>
      <c r="M5" s="1595"/>
      <c r="N5" s="1595"/>
      <c r="O5" s="1595"/>
      <c r="P5" s="1595"/>
      <c r="Q5" s="1595"/>
      <c r="R5" s="1595"/>
      <c r="S5" s="1595"/>
      <c r="T5" s="1595"/>
      <c r="U5" s="1595"/>
      <c r="V5" s="1595"/>
      <c r="W5" s="1595"/>
      <c r="X5" s="1595"/>
      <c r="Y5" s="1595"/>
      <c r="Z5" s="1595"/>
      <c r="AA5" s="1595"/>
      <c r="AB5" s="1595"/>
      <c r="AC5" s="1595"/>
      <c r="AD5" s="1595"/>
      <c r="AE5" s="1595"/>
      <c r="AF5" s="1595"/>
    </row>
    <row r="6" spans="1:60" ht="14" thickTop="1" thickBot="1">
      <c r="A6" s="1631"/>
      <c r="B6" s="3130"/>
      <c r="C6" s="3132"/>
      <c r="D6" s="3132"/>
      <c r="E6" s="3134"/>
      <c r="F6" s="3137"/>
      <c r="G6" s="3138"/>
      <c r="I6" s="1594"/>
      <c r="J6" s="1594"/>
      <c r="K6" s="1594"/>
      <c r="L6" s="1595"/>
      <c r="M6" s="1595"/>
      <c r="N6" s="1595"/>
      <c r="O6" s="1595"/>
      <c r="P6" s="1595"/>
      <c r="Q6" s="1595"/>
      <c r="R6" s="1595"/>
      <c r="S6" s="1595"/>
      <c r="T6" s="1595"/>
      <c r="U6" s="1595"/>
      <c r="V6" s="1595"/>
      <c r="W6" s="1595"/>
      <c r="X6" s="1595"/>
      <c r="Y6" s="1595"/>
      <c r="Z6" s="1595"/>
      <c r="AA6" s="1595"/>
      <c r="AB6" s="1595"/>
      <c r="AC6" s="1595"/>
      <c r="AD6" s="1595"/>
      <c r="AE6" s="1595"/>
      <c r="AF6" s="1595"/>
    </row>
    <row r="7" spans="1:60">
      <c r="A7" s="1575" t="str">
        <f ca="1">MID(CELL("filename",A1),FIND("]",CELL("filename",A1))+1,255)</f>
        <v>COVID</v>
      </c>
      <c r="B7" s="1601"/>
      <c r="C7" s="1602"/>
      <c r="D7" s="1602"/>
      <c r="E7" s="1603"/>
      <c r="F7" s="1604"/>
      <c r="G7" s="1604"/>
      <c r="I7" s="1605"/>
      <c r="J7" s="1605"/>
      <c r="K7" s="1594"/>
      <c r="L7" s="1595"/>
      <c r="M7" s="1595"/>
      <c r="N7" s="1595"/>
      <c r="O7" s="1595"/>
      <c r="P7" s="1595"/>
      <c r="Q7" s="1595"/>
      <c r="R7" s="1595"/>
      <c r="S7" s="1595"/>
      <c r="T7" s="1595"/>
      <c r="U7" s="1595"/>
      <c r="V7" s="1595"/>
      <c r="W7" s="1595"/>
      <c r="X7" s="1595"/>
      <c r="Y7" s="1595"/>
      <c r="Z7" s="1595"/>
      <c r="AA7" s="1595"/>
      <c r="AB7" s="1595"/>
      <c r="AC7" s="1595"/>
      <c r="AD7" s="1595"/>
      <c r="AE7" s="1595"/>
      <c r="AF7" s="1595"/>
    </row>
    <row r="8" spans="1:60" ht="15" customHeight="1">
      <c r="A8" s="3139">
        <v>1</v>
      </c>
      <c r="B8" s="3141" t="s">
        <v>3075</v>
      </c>
      <c r="C8" s="3141"/>
      <c r="D8" s="3141"/>
      <c r="E8" s="3141"/>
      <c r="F8" s="3142"/>
      <c r="G8" s="1595"/>
      <c r="H8" s="1595"/>
      <c r="I8" s="1595"/>
      <c r="J8" s="1595"/>
      <c r="K8" s="1595"/>
      <c r="L8" s="1595"/>
      <c r="M8" s="1595"/>
      <c r="N8" s="1606"/>
      <c r="O8" s="1594"/>
      <c r="P8" s="1595"/>
      <c r="Q8" s="1595"/>
      <c r="R8" s="1595"/>
      <c r="S8" s="1595"/>
      <c r="T8" s="1595"/>
      <c r="U8" s="1595"/>
      <c r="V8" s="1595"/>
      <c r="W8" s="1595"/>
      <c r="X8" s="1595"/>
      <c r="Y8" s="1595"/>
      <c r="Z8" s="1595"/>
      <c r="AA8" s="1595"/>
      <c r="AB8" s="1595"/>
      <c r="AC8" s="1595"/>
      <c r="AD8" s="1595"/>
      <c r="AE8" s="1595"/>
      <c r="AF8" s="1595"/>
    </row>
    <row r="9" spans="1:60" ht="15" customHeight="1">
      <c r="A9" s="3140"/>
      <c r="B9" s="3143"/>
      <c r="C9" s="3143"/>
      <c r="D9" s="3143"/>
      <c r="E9" s="3143"/>
      <c r="F9" s="3144"/>
      <c r="G9" s="1595"/>
      <c r="H9" s="1595"/>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row>
    <row r="10" spans="1:60" ht="116.25" customHeight="1">
      <c r="A10" s="3145" t="s">
        <v>2538</v>
      </c>
      <c r="B10" s="3146"/>
      <c r="C10" s="3146"/>
      <c r="D10" s="3146"/>
      <c r="E10" s="3146"/>
      <c r="F10" s="3146"/>
      <c r="G10" s="3146"/>
      <c r="H10" s="3146"/>
      <c r="I10" s="3146"/>
      <c r="J10" s="3146"/>
      <c r="K10" s="3146"/>
      <c r="L10" s="3146"/>
      <c r="M10" s="3147"/>
      <c r="N10" s="1595"/>
      <c r="O10" s="1595"/>
      <c r="P10" s="1595"/>
      <c r="Q10" s="1595"/>
      <c r="R10" s="1595"/>
      <c r="S10" s="1595"/>
      <c r="T10" s="1595"/>
      <c r="U10" s="1595"/>
      <c r="V10" s="1595"/>
      <c r="W10" s="1595"/>
      <c r="X10" s="1595"/>
      <c r="Y10" s="1595"/>
      <c r="Z10" s="1595"/>
      <c r="AA10" s="1595"/>
      <c r="AB10" s="1595"/>
      <c r="AC10" s="1595"/>
      <c r="AD10" s="1595"/>
      <c r="AE10" s="1595"/>
      <c r="AF10" s="1595"/>
    </row>
    <row r="11" spans="1:60" ht="13.5" thickBot="1">
      <c r="A11" s="1607"/>
      <c r="B11" s="1607"/>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S11" s="1608"/>
      <c r="AT11" s="1608"/>
      <c r="AU11" s="1608"/>
      <c r="AV11" s="1608"/>
      <c r="AW11" s="1608"/>
      <c r="AX11" s="1608"/>
      <c r="AY11" s="1608"/>
      <c r="AZ11" s="1608"/>
      <c r="BA11" s="1608"/>
      <c r="BB11" s="1608"/>
      <c r="BC11" s="1608"/>
      <c r="BD11" s="1608"/>
      <c r="BE11" s="1608"/>
      <c r="BF11" s="1608"/>
      <c r="BG11" s="1608"/>
    </row>
    <row r="12" spans="1:60" ht="13.5" thickBot="1">
      <c r="A12" s="3148" t="s">
        <v>1028</v>
      </c>
      <c r="B12" s="3148"/>
      <c r="C12" s="3148" t="s">
        <v>4169</v>
      </c>
      <c r="D12" s="3111" t="s">
        <v>188</v>
      </c>
      <c r="E12" s="3148" t="s">
        <v>142</v>
      </c>
      <c r="F12" s="3148" t="s">
        <v>49</v>
      </c>
      <c r="G12" s="3154">
        <f>IF(ISBLANK(IMP_ST_DATE),"Please fill setup",IF(MO_CHECK&gt;3,"Y1",YEAR(IMP_ST_DATE)))</f>
        <v>2022</v>
      </c>
      <c r="H12" s="3148"/>
      <c r="I12" s="3148"/>
      <c r="J12" s="3148"/>
      <c r="K12" s="3148"/>
      <c r="L12" s="3148"/>
      <c r="M12" s="3154"/>
      <c r="N12" s="3154">
        <f>IF(G12="Y1","Y2",IF(ISBLANK(IMP_ST_DATE),"Please fill setup",YEAR(IMP_ST_DATE)+1))</f>
        <v>2023</v>
      </c>
      <c r="O12" s="3148"/>
      <c r="P12" s="3148"/>
      <c r="Q12" s="3148"/>
      <c r="R12" s="3148"/>
      <c r="S12" s="3148"/>
      <c r="T12" s="3154"/>
      <c r="U12" s="3154">
        <f>IF(G12="Y1","Y3",IF(ISBLANK(IMP_ST_DATE),"Please fill setup",YEAR(IMP_ST_DATE)+2))</f>
        <v>2024</v>
      </c>
      <c r="V12" s="3148"/>
      <c r="W12" s="3148"/>
      <c r="X12" s="3148"/>
      <c r="Y12" s="3148"/>
      <c r="Z12" s="3148"/>
      <c r="AA12" s="3154"/>
      <c r="AB12" s="3148" t="s">
        <v>3106</v>
      </c>
      <c r="AC12" s="3148"/>
      <c r="AD12" s="1632" t="s">
        <v>144</v>
      </c>
      <c r="AE12" s="3148" t="s">
        <v>2503</v>
      </c>
      <c r="AF12" s="3111" t="s">
        <v>2671</v>
      </c>
      <c r="AG12" s="3148" t="s">
        <v>3054</v>
      </c>
      <c r="AS12" s="1608"/>
      <c r="AT12" s="1608"/>
      <c r="AU12" s="1609"/>
      <c r="AV12" s="3149">
        <f>G12</f>
        <v>2022</v>
      </c>
      <c r="AW12" s="3149"/>
      <c r="AX12" s="3149"/>
      <c r="AY12" s="3149"/>
      <c r="AZ12" s="3149">
        <f>N12</f>
        <v>2023</v>
      </c>
      <c r="BA12" s="3149"/>
      <c r="BB12" s="3149"/>
      <c r="BC12" s="3149"/>
      <c r="BD12" s="3149">
        <f>U12</f>
        <v>2024</v>
      </c>
      <c r="BE12" s="3149"/>
      <c r="BF12" s="3149"/>
      <c r="BG12" s="3149"/>
    </row>
    <row r="13" spans="1:60" s="1610" customFormat="1" ht="13.5" thickBot="1">
      <c r="A13" s="3148"/>
      <c r="B13" s="3148"/>
      <c r="C13" s="3148"/>
      <c r="D13" s="3111"/>
      <c r="E13" s="3148"/>
      <c r="F13" s="3156"/>
      <c r="G13" s="1657" t="s">
        <v>189</v>
      </c>
      <c r="H13" s="1657" t="s">
        <v>146</v>
      </c>
      <c r="I13" s="1657" t="s">
        <v>147</v>
      </c>
      <c r="J13" s="1657" t="s">
        <v>148</v>
      </c>
      <c r="K13" s="1657" t="s">
        <v>149</v>
      </c>
      <c r="L13" s="1657" t="s">
        <v>150</v>
      </c>
      <c r="M13" s="1656" t="s">
        <v>151</v>
      </c>
      <c r="N13" s="1655" t="s">
        <v>152</v>
      </c>
      <c r="O13" s="1657" t="s">
        <v>153</v>
      </c>
      <c r="P13" s="1657" t="s">
        <v>154</v>
      </c>
      <c r="Q13" s="1657" t="s">
        <v>155</v>
      </c>
      <c r="R13" s="1657" t="s">
        <v>156</v>
      </c>
      <c r="S13" s="1657" t="s">
        <v>157</v>
      </c>
      <c r="T13" s="1656" t="s">
        <v>158</v>
      </c>
      <c r="U13" s="1655" t="s">
        <v>159</v>
      </c>
      <c r="V13" s="1657" t="s">
        <v>160</v>
      </c>
      <c r="W13" s="1657" t="s">
        <v>161</v>
      </c>
      <c r="X13" s="1657" t="s">
        <v>162</v>
      </c>
      <c r="Y13" s="1657" t="s">
        <v>163</v>
      </c>
      <c r="Z13" s="1657" t="s">
        <v>164</v>
      </c>
      <c r="AA13" s="1656" t="s">
        <v>165</v>
      </c>
      <c r="AB13" s="1655" t="s">
        <v>166</v>
      </c>
      <c r="AC13" s="1656" t="s">
        <v>167</v>
      </c>
      <c r="AD13" s="1633" t="s">
        <v>168</v>
      </c>
      <c r="AE13" s="3155"/>
      <c r="AF13" s="3111"/>
      <c r="AG13" s="3148"/>
      <c r="AN13" s="1593"/>
      <c r="AS13" s="1611" t="s">
        <v>2586</v>
      </c>
      <c r="AT13" s="1611" t="s">
        <v>2671</v>
      </c>
      <c r="AU13" s="1612" t="s">
        <v>416</v>
      </c>
      <c r="AV13" s="1613" t="s">
        <v>1213</v>
      </c>
      <c r="AW13" s="1613" t="s">
        <v>1214</v>
      </c>
      <c r="AX13" s="1613" t="s">
        <v>1215</v>
      </c>
      <c r="AY13" s="1613" t="s">
        <v>1216</v>
      </c>
      <c r="AZ13" s="1613" t="s">
        <v>1217</v>
      </c>
      <c r="BA13" s="1613" t="s">
        <v>1218</v>
      </c>
      <c r="BB13" s="1613" t="s">
        <v>1220</v>
      </c>
      <c r="BC13" s="1613" t="s">
        <v>1221</v>
      </c>
      <c r="BD13" s="1613" t="s">
        <v>1222</v>
      </c>
      <c r="BE13" s="1613" t="s">
        <v>1223</v>
      </c>
      <c r="BF13" s="1613" t="s">
        <v>1219</v>
      </c>
      <c r="BG13" s="1613" t="s">
        <v>1224</v>
      </c>
      <c r="BH13" s="1610" t="s">
        <v>2498</v>
      </c>
    </row>
    <row r="14" spans="1:60" s="1614" customFormat="1">
      <c r="A14" s="3152"/>
      <c r="B14" s="3153"/>
      <c r="C14" s="1700"/>
      <c r="D14" s="1661"/>
      <c r="E14" s="1662" t="str">
        <f>IF(A14&lt;&gt;"",IFERROR(INDEX(PMtbl[[WKst]:[Unit of measure*]],MATCH($A14&amp;$C14&amp;$D14,INDEX(PMtbl[Category]&amp;PMtbl[INN]&amp;PMtbl[Specification],0,),0),8),""),"")</f>
        <v/>
      </c>
      <c r="F14" s="1663" t="str">
        <f>IF(E14="", "",SETUP!$E$5)</f>
        <v/>
      </c>
      <c r="G14" s="1733"/>
      <c r="H14" s="1734"/>
      <c r="I14" s="1734"/>
      <c r="J14" s="1734"/>
      <c r="K14" s="1734"/>
      <c r="L14" s="1664">
        <f>SUM(Table69121385[[#This Row],[Y1 Q1 quantity]:[Y1 Q4 quantity]])</f>
        <v>0</v>
      </c>
      <c r="M14" s="1665">
        <f>Table69121385[[#This Row],[Y1 Total quantity]]*Table69121385[[#This Row],[Y1 Unit cost]]</f>
        <v>0</v>
      </c>
      <c r="N14" s="1741"/>
      <c r="O14" s="1738"/>
      <c r="P14" s="1738"/>
      <c r="Q14" s="1738"/>
      <c r="R14" s="1738"/>
      <c r="S14" s="1666">
        <f>SUM(Table69121385[[#This Row],[Y2 Q1 quantity]:[Y2 Q4 quantity]])</f>
        <v>0</v>
      </c>
      <c r="T14" s="1665">
        <f>Table69121385[[#This Row],[Y2 Total quantity]]*Table69121385[[#This Row],[Y2 Unit cost]]</f>
        <v>0</v>
      </c>
      <c r="U14" s="1741"/>
      <c r="V14" s="1738"/>
      <c r="W14" s="1738"/>
      <c r="X14" s="1738"/>
      <c r="Y14" s="1738"/>
      <c r="Z14" s="1666">
        <f>SUM(Table69121385[[#This Row],[Y3 Q1 quantity]:[Y3 Q4 quantity]])</f>
        <v>0</v>
      </c>
      <c r="AA14" s="1667">
        <f>Table69121385[[#This Row],[Y3 Unit cost]]*Table69121385[[#This Row],[Y3 Total quantity]]</f>
        <v>0</v>
      </c>
      <c r="AB14" s="1668">
        <f>Table69121385[[#This Row],[Y1 Total quantity]]+Table69121385[[#This Row],[Y2 Total quantity]]+Table69121385[[#This Row],[Y3 Total quantity]]</f>
        <v>0</v>
      </c>
      <c r="AC14" s="1665">
        <f>Table69121385[[#This Row],[Y1 Total cost]]+Table69121385[[#This Row],[Y2 Total cost]]+Table69121385[[#This Row],[Y3 Total cost]]</f>
        <v>0</v>
      </c>
      <c r="AD14" s="1669" t="str">
        <f>IF(A14&lt;&gt;"",IFERROR(INDEX(PMtbl[[WKst]:[Unit of measure*]],MATCH($A14&amp;$C14&amp;$D14,INDEX(PMtbl[Category]&amp;PMtbl[INN]&amp;PMtbl[Specification],0,),0),7),""),"")</f>
        <v/>
      </c>
      <c r="AE14" s="1660"/>
      <c r="AF14" s="1670" t="str">
        <f>IFERROR(INDEX(SETUP!$C$19:$G$62,MATCH((INDEX(PMtbl[[WKst]:[Unit of measure*]],MATCH($A14&amp;$C14&amp;$D14,INDEX(PMtbl[Category]&amp;PMtbl[INN]&amp;PMtbl[Specification],0,),0),3)),SETUP!$D$19:$D$62,0),5),"")</f>
        <v/>
      </c>
      <c r="AG14" s="1639" t="str">
        <f>IFERROR(IF((INDEX(SETUP!$C$19:$G$62,MATCH((INDEX(PMtbl[[WKst]:[Unit of measure*]],MATCH($A14&amp;$C14&amp;$D14,INDEX(PMtbl[Category]&amp;PMtbl[INN]&amp;PMtbl[Specification],0,),0),3)),SETUP!$D$19:$D$62,0),4))="Upfront",0,INDEX(SETUP!$C$19:$G$62,MATCH((INDEX(PMtbl[[WKst]:[Unit of measure*]],MATCH($A14&amp;$C14&amp;$D14,INDEX(PMtbl[Category]&amp;PMtbl[INN]&amp;PMtbl[Specification],0,),0),3)),SETUP!$D$19:$D$62,0),5)),"")</f>
        <v/>
      </c>
      <c r="AN14" s="1615"/>
      <c r="AS14" s="1616">
        <v>1</v>
      </c>
      <c r="AT14" s="1616">
        <f>IFERROR(VLOOKUP($AU14,$AD$12:$AG$58,4,FALSE),0)</f>
        <v>0</v>
      </c>
      <c r="AU14" s="1616">
        <v>4.7</v>
      </c>
      <c r="AV14" s="1617">
        <f>SUMPRODUCT(($AD$14:$AD$58=$AU14)*($G$14:$G$58)*((H$14:H$58)))</f>
        <v>0</v>
      </c>
      <c r="AW14" s="1617">
        <f>SUMPRODUCT(($AD$14:$AD$58=$AU14)*($G$14:$G$58)*((I$14:I$58)))</f>
        <v>0</v>
      </c>
      <c r="AX14" s="1617">
        <f>SUMPRODUCT(($AD$14:$AD$58=$AU14)*($G$14:$G$58)*((J$14:J$58)))</f>
        <v>0</v>
      </c>
      <c r="AY14" s="1617">
        <f>SUMPRODUCT(($AD$14:$AD$58=$AU14)*($G$14:$G$58)*((K$14:K$58)))</f>
        <v>0</v>
      </c>
      <c r="AZ14" s="1617">
        <f>SUMPRODUCT(($AD$14:$AD$58=$AU14)*($N$14:$N$58)*((O$14:O$58)))</f>
        <v>0</v>
      </c>
      <c r="BA14" s="1617">
        <f>SUMPRODUCT(($AD$14:$AD$58=$AU14)*($N$14:$N$58)*((P$14:P$58)))</f>
        <v>0</v>
      </c>
      <c r="BB14" s="1617">
        <f>SUMPRODUCT(($AD$14:$AD$58=$AU14)*($N$14:$N$58)*((Q$14:Q$58)))</f>
        <v>0</v>
      </c>
      <c r="BC14" s="1617">
        <f>SUMPRODUCT(($AD$14:$AD$58=$AU14)*($N$14:$N$58)*((R$14:R$58)))</f>
        <v>0</v>
      </c>
      <c r="BD14" s="1617">
        <f>SUMPRODUCT(($AD$14:$AD$58=$AU14)*($U$14:$U$58)*((V$14:V$58)))</f>
        <v>0</v>
      </c>
      <c r="BE14" s="1617">
        <f>SUMPRODUCT(($AD$14:$AD$58=$AU14)*($U$14:$U$58)*((W$14:W$58)))</f>
        <v>0</v>
      </c>
      <c r="BF14" s="1617">
        <f>SUMPRODUCT(($AD$14:$AD$58=$AU14)*($U$14:$U$58)*((X$14:X$58)))</f>
        <v>0</v>
      </c>
      <c r="BG14" s="1617">
        <f>SUMPRODUCT(($AD$14:$AD$58=$AU14)*($U$14:$U$58)*((Y$14:Y$58)))</f>
        <v>0</v>
      </c>
      <c r="BH14" s="1618">
        <f>SUM(AV14:BG14)</f>
        <v>0</v>
      </c>
    </row>
    <row r="15" spans="1:60">
      <c r="A15" s="3150"/>
      <c r="B15" s="3151"/>
      <c r="C15" s="1643"/>
      <c r="D15" s="1634"/>
      <c r="E15" s="1635" t="str">
        <f>IF(A15&lt;&gt;"",IFERROR(INDEX(PMtbl[[WKst]:[Unit of measure*]],MATCH($A15&amp;$C15&amp;$D15,INDEX(PMtbl[Category]&amp;PMtbl[INN]&amp;PMtbl[Specification],0,),0),8),""),"")</f>
        <v/>
      </c>
      <c r="F15" s="1608" t="str">
        <f>IF(E15="", "",SETUP!$E$5)</f>
        <v/>
      </c>
      <c r="G15" s="1735"/>
      <c r="H15" s="1736"/>
      <c r="I15" s="1736"/>
      <c r="J15" s="1736"/>
      <c r="K15" s="1736"/>
      <c r="L15" s="1619">
        <f>SUM(Table69121385[[#This Row],[Y1 Q1 quantity]:[Y1 Q4 quantity]])</f>
        <v>0</v>
      </c>
      <c r="M15" s="1636">
        <f>Table69121385[[#This Row],[Y1 Total quantity]]*Table69121385[[#This Row],[Y1 Unit cost]]</f>
        <v>0</v>
      </c>
      <c r="N15" s="1742"/>
      <c r="O15" s="1736"/>
      <c r="P15" s="1736"/>
      <c r="Q15" s="1736"/>
      <c r="R15" s="1736"/>
      <c r="S15" s="1619">
        <f>SUM(Table69121385[[#This Row],[Y2 Q1 quantity]:[Y2 Q4 quantity]])</f>
        <v>0</v>
      </c>
      <c r="T15" s="1636">
        <f>Table69121385[[#This Row],[Y2 Total quantity]]*Table69121385[[#This Row],[Y2 Unit cost]]</f>
        <v>0</v>
      </c>
      <c r="U15" s="1742"/>
      <c r="V15" s="1736"/>
      <c r="W15" s="1736"/>
      <c r="X15" s="1736"/>
      <c r="Y15" s="1736"/>
      <c r="Z15" s="1619">
        <f>SUM(Table69121385[[#This Row],[Y3 Q1 quantity]:[Y3 Q4 quantity]])</f>
        <v>0</v>
      </c>
      <c r="AA15" s="1620">
        <f>Table69121385[[#This Row],[Y3 Unit cost]]*Table69121385[[#This Row],[Y3 Total quantity]]</f>
        <v>0</v>
      </c>
      <c r="AB15" s="1638">
        <f>Table69121385[[#This Row],[Y1 Total quantity]]+Table69121385[[#This Row],[Y2 Total quantity]]+Table69121385[[#This Row],[Y3 Total quantity]]</f>
        <v>0</v>
      </c>
      <c r="AC15" s="1636">
        <f>Table69121385[[#This Row],[Y1 Total cost]]+Table69121385[[#This Row],[Y2 Total cost]]+Table69121385[[#This Row],[Y3 Total cost]]</f>
        <v>0</v>
      </c>
      <c r="AD15" s="1637" t="str">
        <f>IF(A15&lt;&gt;"",IFERROR(INDEX(PMtbl[[WKst]:[Unit of measure*]],MATCH($A15&amp;$C15&amp;$D15,INDEX(PMtbl[Category]&amp;PMtbl[INN]&amp;PMtbl[Specification],0,),0),7),""),"")</f>
        <v/>
      </c>
      <c r="AE15" s="1643"/>
      <c r="AF15" s="1642" t="str">
        <f>IFERROR(INDEX(SETUP!$C$19:$G$62,MATCH((INDEX(PMtbl[[WKst]:[Unit of measure*]],MATCH($A15&amp;$C15&amp;$D15,INDEX(PMtbl[Category]&amp;PMtbl[INN]&amp;PMtbl[Specification],0,),0),3)),SETUP!$D$19:$D$62,0),5),"")</f>
        <v/>
      </c>
      <c r="AG15" s="1640" t="str">
        <f>IFERROR(IF((INDEX(SETUP!$C$19:$G$62,MATCH((INDEX(PMtbl[[WKst]:[Unit of measure*]],MATCH($A15&amp;$C15&amp;$D15,INDEX(PMtbl[Category]&amp;PMtbl[INN]&amp;PMtbl[Specification],0,),0),3)),SETUP!$D$19:$D$62,0),4))="Upfront",0,INDEX(SETUP!$C$19:$G$62,MATCH((INDEX(PMtbl[[WKst]:[Unit of measure*]],MATCH($A15&amp;$C15&amp;$D15,INDEX(PMtbl[Category]&amp;PMtbl[INN]&amp;PMtbl[Specification],0,),0),3)),SETUP!$D$19:$D$62,0),5)),"")</f>
        <v/>
      </c>
      <c r="AN15" s="1615"/>
      <c r="AS15" s="1616">
        <v>1</v>
      </c>
      <c r="AT15" s="1616">
        <f t="shared" ref="AT15:AT19" si="0">IFERROR(VLOOKUP($AU15,$AD$12:$AG$58,4,FALSE),0)</f>
        <v>0</v>
      </c>
      <c r="AU15" s="1616">
        <v>5.6</v>
      </c>
      <c r="AV15" s="1617">
        <f t="shared" ref="AV15:AV18" si="1">SUMPRODUCT(($AD$14:$AD$58=$AU15)*($G$14:$G$58)*((H$14:H$58)))</f>
        <v>0</v>
      </c>
      <c r="AW15" s="1617">
        <f t="shared" ref="AW15:AW18" si="2">SUMPRODUCT(($AD$14:$AD$58=$AU15)*($G$14:$G$58)*((I$14:I$58)))</f>
        <v>0</v>
      </c>
      <c r="AX15" s="1617">
        <f t="shared" ref="AX15:AX18" si="3">SUMPRODUCT(($AD$14:$AD$58=$AU15)*($G$14:$G$58)*((J$14:J$58)))</f>
        <v>0</v>
      </c>
      <c r="AY15" s="1617">
        <f t="shared" ref="AY15:AY18" si="4">SUMPRODUCT(($AD$14:$AD$58=$AU15)*($G$14:$G$58)*((K$14:K$58)))</f>
        <v>0</v>
      </c>
      <c r="AZ15" s="1617">
        <f t="shared" ref="AZ15:AZ18" si="5">SUMPRODUCT(($AD$14:$AD$58=$AU15)*($N$14:$N$58)*((O$14:O$58)))</f>
        <v>0</v>
      </c>
      <c r="BA15" s="1617">
        <f t="shared" ref="BA15:BA18" si="6">SUMPRODUCT(($AD$14:$AD$58=$AU15)*($N$14:$N$58)*((P$14:P$58)))</f>
        <v>0</v>
      </c>
      <c r="BB15" s="1617">
        <f t="shared" ref="BB15:BB18" si="7">SUMPRODUCT(($AD$14:$AD$58=$AU15)*($N$14:$N$58)*((Q$14:Q$58)))</f>
        <v>0</v>
      </c>
      <c r="BC15" s="1617">
        <f t="shared" ref="BC15:BC18" si="8">SUMPRODUCT(($AD$14:$AD$58=$AU15)*($N$14:$N$58)*((R$14:R$58)))</f>
        <v>0</v>
      </c>
      <c r="BD15" s="1617">
        <f t="shared" ref="BD15:BD18" si="9">SUMPRODUCT(($AD$14:$AD$58=$AU15)*($U$14:$U$58)*((V$14:V$58)))</f>
        <v>0</v>
      </c>
      <c r="BE15" s="1617">
        <f t="shared" ref="BE15:BE18" si="10">SUMPRODUCT(($AD$14:$AD$58=$AU15)*($U$14:$U$58)*((W$14:W$58)))</f>
        <v>0</v>
      </c>
      <c r="BF15" s="1617">
        <f t="shared" ref="BF15:BF18" si="11">SUMPRODUCT(($AD$14:$AD$58=$AU15)*($U$14:$U$58)*((X$14:X$58)))</f>
        <v>0</v>
      </c>
      <c r="BG15" s="1617">
        <f t="shared" ref="BG15:BG18" si="12">SUMPRODUCT(($AD$14:$AD$58=$AU15)*($U$14:$U$58)*((Y$14:Y$58)))</f>
        <v>0</v>
      </c>
      <c r="BH15" s="1618">
        <f>SUM(AV15:BG15)</f>
        <v>0</v>
      </c>
    </row>
    <row r="16" spans="1:60">
      <c r="A16" s="3152"/>
      <c r="B16" s="3153"/>
      <c r="C16" s="1660"/>
      <c r="D16" s="1671"/>
      <c r="E16" s="1672" t="str">
        <f>IF(A16&lt;&gt;"",IFERROR(INDEX(PMtbl[[WKst]:[Unit of measure*]],MATCH($A16&amp;$C16&amp;$D16,INDEX(PMtbl[Category]&amp;PMtbl[INN]&amp;PMtbl[Specification],0,),0),8),""),"")</f>
        <v/>
      </c>
      <c r="F16" s="1663" t="str">
        <f>IF(E16="", "",SETUP!$E$5)</f>
        <v/>
      </c>
      <c r="G16" s="1737"/>
      <c r="H16" s="1738"/>
      <c r="I16" s="1738"/>
      <c r="J16" s="1738"/>
      <c r="K16" s="1738"/>
      <c r="L16" s="1666">
        <f>SUM(Table69121385[[#This Row],[Y1 Q1 quantity]:[Y1 Q4 quantity]])</f>
        <v>0</v>
      </c>
      <c r="M16" s="1673">
        <f>Table69121385[[#This Row],[Y1 Total quantity]]*Table69121385[[#This Row],[Y1 Unit cost]]</f>
        <v>0</v>
      </c>
      <c r="N16" s="1741"/>
      <c r="O16" s="1738"/>
      <c r="P16" s="1738"/>
      <c r="Q16" s="1738"/>
      <c r="R16" s="1738"/>
      <c r="S16" s="1666">
        <f>SUM(Table69121385[[#This Row],[Y2 Q1 quantity]:[Y2 Q4 quantity]])</f>
        <v>0</v>
      </c>
      <c r="T16" s="1673">
        <f>Table69121385[[#This Row],[Y2 Total quantity]]*Table69121385[[#This Row],[Y2 Unit cost]]</f>
        <v>0</v>
      </c>
      <c r="U16" s="1741"/>
      <c r="V16" s="1738"/>
      <c r="W16" s="1738"/>
      <c r="X16" s="1738"/>
      <c r="Y16" s="1738"/>
      <c r="Z16" s="1666">
        <f>SUM(Table69121385[[#This Row],[Y3 Q1 quantity]:[Y3 Q4 quantity]])</f>
        <v>0</v>
      </c>
      <c r="AA16" s="1667">
        <f>Table69121385[[#This Row],[Y3 Unit cost]]*Table69121385[[#This Row],[Y3 Total quantity]]</f>
        <v>0</v>
      </c>
      <c r="AB16" s="1674">
        <f>Table69121385[[#This Row],[Y1 Total quantity]]+Table69121385[[#This Row],[Y2 Total quantity]]+Table69121385[[#This Row],[Y3 Total quantity]]</f>
        <v>0</v>
      </c>
      <c r="AC16" s="1673">
        <f>Table69121385[[#This Row],[Y1 Total cost]]+Table69121385[[#This Row],[Y2 Total cost]]+Table69121385[[#This Row],[Y3 Total cost]]</f>
        <v>0</v>
      </c>
      <c r="AD16" s="1669" t="str">
        <f>IF(A16&lt;&gt;"",IFERROR(INDEX(PMtbl[[WKst]:[Unit of measure*]],MATCH($A16&amp;$C16&amp;$D16,INDEX(PMtbl[Category]&amp;PMtbl[INN]&amp;PMtbl[Specification],0,),0),7),""),"")</f>
        <v/>
      </c>
      <c r="AE16" s="1660"/>
      <c r="AF16" s="1675" t="str">
        <f>IFERROR(INDEX(SETUP!$C$19:$G$62,MATCH((INDEX(PMtbl[[WKst]:[Unit of measure*]],MATCH($A16&amp;$C16&amp;$D16,INDEX(PMtbl[Category]&amp;PMtbl[INN]&amp;PMtbl[Specification],0,),0),3)),SETUP!$D$19:$D$62,0),5),"")</f>
        <v/>
      </c>
      <c r="AG16" s="1639" t="str">
        <f>IFERROR(IF((INDEX(SETUP!$C$19:$G$62,MATCH((INDEX(PMtbl[[WKst]:[Unit of measure*]],MATCH($A16&amp;$C16&amp;$D16,INDEX(PMtbl[Category]&amp;PMtbl[INN]&amp;PMtbl[Specification],0,),0),3)),SETUP!$D$19:$D$62,0),4))="Upfront",0,INDEX(SETUP!$C$19:$G$62,MATCH((INDEX(PMtbl[[WKst]:[Unit of measure*]],MATCH($A16&amp;$C16&amp;$D16,INDEX(PMtbl[Category]&amp;PMtbl[INN]&amp;PMtbl[Specification],0,),0),3)),SETUP!$D$19:$D$62,0),5)),"")</f>
        <v/>
      </c>
      <c r="AN16" s="1615"/>
      <c r="AS16" s="1616">
        <v>1</v>
      </c>
      <c r="AT16" s="1616">
        <f t="shared" si="0"/>
        <v>0</v>
      </c>
      <c r="AU16" s="1616">
        <v>5.8</v>
      </c>
      <c r="AV16" s="1617">
        <f t="shared" si="1"/>
        <v>0</v>
      </c>
      <c r="AW16" s="1617">
        <f t="shared" si="2"/>
        <v>0</v>
      </c>
      <c r="AX16" s="1617">
        <f t="shared" si="3"/>
        <v>0</v>
      </c>
      <c r="AY16" s="1617">
        <f t="shared" si="4"/>
        <v>0</v>
      </c>
      <c r="AZ16" s="1617">
        <f t="shared" si="5"/>
        <v>0</v>
      </c>
      <c r="BA16" s="1617">
        <f t="shared" si="6"/>
        <v>0</v>
      </c>
      <c r="BB16" s="1617">
        <f t="shared" si="7"/>
        <v>0</v>
      </c>
      <c r="BC16" s="1617">
        <f t="shared" si="8"/>
        <v>0</v>
      </c>
      <c r="BD16" s="1617">
        <f t="shared" si="9"/>
        <v>0</v>
      </c>
      <c r="BE16" s="1617">
        <f t="shared" si="10"/>
        <v>0</v>
      </c>
      <c r="BF16" s="1617">
        <f t="shared" si="11"/>
        <v>0</v>
      </c>
      <c r="BG16" s="1617">
        <f t="shared" si="12"/>
        <v>0</v>
      </c>
      <c r="BH16" s="1618">
        <f>SUM(AV16:BG16)</f>
        <v>0</v>
      </c>
    </row>
    <row r="17" spans="1:60">
      <c r="A17" s="3150"/>
      <c r="B17" s="3151"/>
      <c r="C17" s="1643"/>
      <c r="D17" s="1634"/>
      <c r="E17" s="1635" t="str">
        <f>IF(A17&lt;&gt;"",IFERROR(INDEX(PMtbl[[WKst]:[Unit of measure*]],MATCH($A17&amp;$C17&amp;$D17,INDEX(PMtbl[Category]&amp;PMtbl[INN]&amp;PMtbl[Specification],0,),0),8),""),"")</f>
        <v/>
      </c>
      <c r="F17" s="1608" t="str">
        <f>IF(E17="", "",SETUP!$E$5)</f>
        <v/>
      </c>
      <c r="G17" s="1735"/>
      <c r="H17" s="1736"/>
      <c r="I17" s="1736"/>
      <c r="J17" s="1736"/>
      <c r="K17" s="1736"/>
      <c r="L17" s="1619">
        <f>SUM(Table69121385[[#This Row],[Y1 Q1 quantity]:[Y1 Q4 quantity]])</f>
        <v>0</v>
      </c>
      <c r="M17" s="1636">
        <f>Table69121385[[#This Row],[Y1 Total quantity]]*Table69121385[[#This Row],[Y1 Unit cost]]</f>
        <v>0</v>
      </c>
      <c r="N17" s="1742"/>
      <c r="O17" s="1736"/>
      <c r="P17" s="1736"/>
      <c r="Q17" s="1736"/>
      <c r="R17" s="1736"/>
      <c r="S17" s="1619">
        <f>SUM(Table69121385[[#This Row],[Y2 Q1 quantity]:[Y2 Q4 quantity]])</f>
        <v>0</v>
      </c>
      <c r="T17" s="1636">
        <f>Table69121385[[#This Row],[Y2 Total quantity]]*Table69121385[[#This Row],[Y2 Unit cost]]</f>
        <v>0</v>
      </c>
      <c r="U17" s="1742"/>
      <c r="V17" s="1736"/>
      <c r="W17" s="1736"/>
      <c r="X17" s="1736"/>
      <c r="Y17" s="1736"/>
      <c r="Z17" s="1619">
        <f>SUM(Table69121385[[#This Row],[Y3 Q1 quantity]:[Y3 Q4 quantity]])</f>
        <v>0</v>
      </c>
      <c r="AA17" s="1620">
        <f>Table69121385[[#This Row],[Y3 Unit cost]]*Table69121385[[#This Row],[Y3 Total quantity]]</f>
        <v>0</v>
      </c>
      <c r="AB17" s="1638">
        <f>Table69121385[[#This Row],[Y1 Total quantity]]+Table69121385[[#This Row],[Y2 Total quantity]]+Table69121385[[#This Row],[Y3 Total quantity]]</f>
        <v>0</v>
      </c>
      <c r="AC17" s="1636">
        <f>Table69121385[[#This Row],[Y1 Total cost]]+Table69121385[[#This Row],[Y2 Total cost]]+Table69121385[[#This Row],[Y3 Total cost]]</f>
        <v>0</v>
      </c>
      <c r="AD17" s="1637" t="str">
        <f>IF(A17&lt;&gt;"",IFERROR(INDEX(PMtbl[[WKst]:[Unit of measure*]],MATCH($A17&amp;$C17&amp;$D17,INDEX(PMtbl[Category]&amp;PMtbl[INN]&amp;PMtbl[Specification],0,),0),7),""),"")</f>
        <v/>
      </c>
      <c r="AE17" s="1643"/>
      <c r="AF17" s="1642" t="str">
        <f>IFERROR(INDEX(SETUP!$C$19:$G$62,MATCH((INDEX(PMtbl[[WKst]:[Unit of measure*]],MATCH($A17&amp;$C17&amp;$D17,INDEX(PMtbl[Category]&amp;PMtbl[INN]&amp;PMtbl[Specification],0,),0),3)),SETUP!$D$19:$D$62,0),5),"")</f>
        <v/>
      </c>
      <c r="AG17" s="1640" t="str">
        <f>IFERROR(IF((INDEX(SETUP!$C$19:$G$62,MATCH((INDEX(PMtbl[[WKst]:[Unit of measure*]],MATCH($A17&amp;$C17&amp;$D17,INDEX(PMtbl[Category]&amp;PMtbl[INN]&amp;PMtbl[Specification],0,),0),3)),SETUP!$D$19:$D$62,0),4))="Upfront",0,INDEX(SETUP!$C$19:$G$62,MATCH((INDEX(PMtbl[[WKst]:[Unit of measure*]],MATCH($A17&amp;$C17&amp;$D17,INDEX(PMtbl[Category]&amp;PMtbl[INN]&amp;PMtbl[Specification],0,),0),3)),SETUP!$D$19:$D$62,0),5)),"")</f>
        <v/>
      </c>
      <c r="AN17" s="1615"/>
      <c r="AS17" s="1623">
        <v>1</v>
      </c>
      <c r="AT17" s="1623">
        <f t="shared" si="0"/>
        <v>0</v>
      </c>
      <c r="AU17" s="1623">
        <v>6.5</v>
      </c>
      <c r="AV17" s="1624">
        <f t="shared" si="1"/>
        <v>0</v>
      </c>
      <c r="AW17" s="1624">
        <f t="shared" si="2"/>
        <v>0</v>
      </c>
      <c r="AX17" s="1624">
        <f t="shared" si="3"/>
        <v>0</v>
      </c>
      <c r="AY17" s="1624">
        <f t="shared" si="4"/>
        <v>0</v>
      </c>
      <c r="AZ17" s="1624">
        <f t="shared" si="5"/>
        <v>0</v>
      </c>
      <c r="BA17" s="1624">
        <f t="shared" si="6"/>
        <v>0</v>
      </c>
      <c r="BB17" s="1624">
        <f t="shared" si="7"/>
        <v>0</v>
      </c>
      <c r="BC17" s="1624">
        <f t="shared" si="8"/>
        <v>0</v>
      </c>
      <c r="BD17" s="1624">
        <f t="shared" si="9"/>
        <v>0</v>
      </c>
      <c r="BE17" s="1624">
        <f t="shared" si="10"/>
        <v>0</v>
      </c>
      <c r="BF17" s="1624">
        <f t="shared" si="11"/>
        <v>0</v>
      </c>
      <c r="BG17" s="1624">
        <f t="shared" si="12"/>
        <v>0</v>
      </c>
      <c r="BH17" s="1625">
        <f>SUM(AV17:BG17)</f>
        <v>0</v>
      </c>
    </row>
    <row r="18" spans="1:60">
      <c r="A18" s="3112"/>
      <c r="B18" s="3113"/>
      <c r="C18" s="1660"/>
      <c r="D18" s="1671"/>
      <c r="E18" s="1672" t="str">
        <f>IF(A18&lt;&gt;"",IFERROR(INDEX(PMtbl[[WKst]:[Unit of measure*]],MATCH($A18&amp;$C18&amp;$D18,INDEX(PMtbl[Category]&amp;PMtbl[INN]&amp;PMtbl[Specification],0,),0),8),""),"")</f>
        <v/>
      </c>
      <c r="F18" s="1663" t="str">
        <f>IF(E18="", "",SETUP!$E$5)</f>
        <v/>
      </c>
      <c r="G18" s="1737"/>
      <c r="H18" s="1738"/>
      <c r="I18" s="1738"/>
      <c r="J18" s="1738"/>
      <c r="K18" s="1738"/>
      <c r="L18" s="1666">
        <f>SUM(Table69121385[[#This Row],[Y1 Q1 quantity]:[Y1 Q4 quantity]])</f>
        <v>0</v>
      </c>
      <c r="M18" s="1673">
        <f>Table69121385[[#This Row],[Y1 Total quantity]]*Table69121385[[#This Row],[Y1 Unit cost]]</f>
        <v>0</v>
      </c>
      <c r="N18" s="1741"/>
      <c r="O18" s="1738"/>
      <c r="P18" s="1738"/>
      <c r="Q18" s="1738"/>
      <c r="R18" s="1738"/>
      <c r="S18" s="1666">
        <f>SUM(Table69121385[[#This Row],[Y2 Q1 quantity]:[Y2 Q4 quantity]])</f>
        <v>0</v>
      </c>
      <c r="T18" s="1673">
        <f>Table69121385[[#This Row],[Y2 Total quantity]]*Table69121385[[#This Row],[Y2 Unit cost]]</f>
        <v>0</v>
      </c>
      <c r="U18" s="1741"/>
      <c r="V18" s="1738"/>
      <c r="W18" s="1738"/>
      <c r="X18" s="1738"/>
      <c r="Y18" s="1738"/>
      <c r="Z18" s="1666">
        <f>SUM(Table69121385[[#This Row],[Y3 Q1 quantity]:[Y3 Q4 quantity]])</f>
        <v>0</v>
      </c>
      <c r="AA18" s="1667">
        <f>Table69121385[[#This Row],[Y3 Unit cost]]*Table69121385[[#This Row],[Y3 Total quantity]]</f>
        <v>0</v>
      </c>
      <c r="AB18" s="1674">
        <f>Table69121385[[#This Row],[Y1 Total quantity]]+Table69121385[[#This Row],[Y2 Total quantity]]+Table69121385[[#This Row],[Y3 Total quantity]]</f>
        <v>0</v>
      </c>
      <c r="AC18" s="1673">
        <f>Table69121385[[#This Row],[Y1 Total cost]]+Table69121385[[#This Row],[Y2 Total cost]]+Table69121385[[#This Row],[Y3 Total cost]]</f>
        <v>0</v>
      </c>
      <c r="AD18" s="1669" t="str">
        <f>IF(A18&lt;&gt;"",IFERROR(INDEX(PMtbl[[WKst]:[Unit of measure*]],MATCH($A18&amp;$C18&amp;$D18,INDEX(PMtbl[Category]&amp;PMtbl[INN]&amp;PMtbl[Specification],0,),0),7),""),"")</f>
        <v/>
      </c>
      <c r="AE18" s="1660"/>
      <c r="AF18" s="1675" t="str">
        <f>IFERROR(INDEX(SETUP!$C$19:$G$62,MATCH((INDEX(PMtbl[[WKst]:[Unit of measure*]],MATCH($A18&amp;$C18&amp;$D18,INDEX(PMtbl[Category]&amp;PMtbl[INN]&amp;PMtbl[Specification],0,),0),3)),SETUP!$D$19:$D$62,0),5),"")</f>
        <v/>
      </c>
      <c r="AG18" s="1639" t="str">
        <f>IFERROR(IF((INDEX(SETUP!$C$19:$G$62,MATCH((INDEX(PMtbl[[WKst]:[Unit of measure*]],MATCH($A18&amp;$C18&amp;$D18,INDEX(PMtbl[Category]&amp;PMtbl[INN]&amp;PMtbl[Specification],0,),0),3)),SETUP!$D$19:$D$62,0),4))="Upfront",0,INDEX(SETUP!$C$19:$G$62,MATCH((INDEX(PMtbl[[WKst]:[Unit of measure*]],MATCH($A18&amp;$C18&amp;$D18,INDEX(PMtbl[Category]&amp;PMtbl[INN]&amp;PMtbl[Specification],0,),0),3)),SETUP!$D$19:$D$62,0),5)),"")</f>
        <v/>
      </c>
      <c r="AN18" s="1615"/>
      <c r="AS18" s="1616">
        <v>1</v>
      </c>
      <c r="AT18" s="1616">
        <f t="shared" si="0"/>
        <v>0</v>
      </c>
      <c r="AU18" s="1616">
        <v>6.6</v>
      </c>
      <c r="AV18" s="1617">
        <f t="shared" si="1"/>
        <v>0</v>
      </c>
      <c r="AW18" s="1617">
        <f t="shared" si="2"/>
        <v>0</v>
      </c>
      <c r="AX18" s="1617">
        <f t="shared" si="3"/>
        <v>0</v>
      </c>
      <c r="AY18" s="1617">
        <f t="shared" si="4"/>
        <v>0</v>
      </c>
      <c r="AZ18" s="1617">
        <f t="shared" si="5"/>
        <v>0</v>
      </c>
      <c r="BA18" s="1617">
        <f t="shared" si="6"/>
        <v>0</v>
      </c>
      <c r="BB18" s="1617">
        <f t="shared" si="7"/>
        <v>0</v>
      </c>
      <c r="BC18" s="1617">
        <f t="shared" si="8"/>
        <v>0</v>
      </c>
      <c r="BD18" s="1617">
        <f t="shared" si="9"/>
        <v>0</v>
      </c>
      <c r="BE18" s="1617">
        <f t="shared" si="10"/>
        <v>0</v>
      </c>
      <c r="BF18" s="1617">
        <f t="shared" si="11"/>
        <v>0</v>
      </c>
      <c r="BG18" s="1617">
        <f t="shared" si="12"/>
        <v>0</v>
      </c>
      <c r="BH18" s="1618">
        <f>SUM(AV18:BG18)</f>
        <v>0</v>
      </c>
    </row>
    <row r="19" spans="1:60">
      <c r="A19" s="3150"/>
      <c r="B19" s="3151"/>
      <c r="C19" s="1643"/>
      <c r="D19" s="1634"/>
      <c r="E19" s="1635" t="str">
        <f>IF(A19&lt;&gt;"",IFERROR(INDEX(PMtbl[[WKst]:[Unit of measure*]],MATCH($A19&amp;$C19&amp;$D19,INDEX(PMtbl[Category]&amp;PMtbl[INN]&amp;PMtbl[Specification],0,),0),8),""),"")</f>
        <v/>
      </c>
      <c r="F19" s="1608" t="str">
        <f>IF(E19="", "",SETUP!$E$5)</f>
        <v/>
      </c>
      <c r="G19" s="1735"/>
      <c r="H19" s="1736"/>
      <c r="I19" s="1736"/>
      <c r="J19" s="1736"/>
      <c r="K19" s="1736"/>
      <c r="L19" s="1619">
        <f>SUM(Table69121385[[#This Row],[Y1 Q1 quantity]:[Y1 Q4 quantity]])</f>
        <v>0</v>
      </c>
      <c r="M19" s="1636">
        <f>Table69121385[[#This Row],[Y1 Total quantity]]*Table69121385[[#This Row],[Y1 Unit cost]]</f>
        <v>0</v>
      </c>
      <c r="N19" s="1742"/>
      <c r="O19" s="1736"/>
      <c r="P19" s="1736"/>
      <c r="Q19" s="1736"/>
      <c r="R19" s="1736"/>
      <c r="S19" s="1619">
        <f>SUM(Table69121385[[#This Row],[Y2 Q1 quantity]:[Y2 Q4 quantity]])</f>
        <v>0</v>
      </c>
      <c r="T19" s="1636">
        <f>Table69121385[[#This Row],[Y2 Total quantity]]*Table69121385[[#This Row],[Y2 Unit cost]]</f>
        <v>0</v>
      </c>
      <c r="U19" s="1742"/>
      <c r="V19" s="1736"/>
      <c r="W19" s="1736"/>
      <c r="X19" s="1736"/>
      <c r="Y19" s="1736"/>
      <c r="Z19" s="1619">
        <f>SUM(Table69121385[[#This Row],[Y3 Q1 quantity]:[Y3 Q4 quantity]])</f>
        <v>0</v>
      </c>
      <c r="AA19" s="1620">
        <f>Table69121385[[#This Row],[Y3 Unit cost]]*Table69121385[[#This Row],[Y3 Total quantity]]</f>
        <v>0</v>
      </c>
      <c r="AB19" s="1638">
        <f>Table69121385[[#This Row],[Y1 Total quantity]]+Table69121385[[#This Row],[Y2 Total quantity]]+Table69121385[[#This Row],[Y3 Total quantity]]</f>
        <v>0</v>
      </c>
      <c r="AC19" s="1636">
        <f>Table69121385[[#This Row],[Y1 Total cost]]+Table69121385[[#This Row],[Y2 Total cost]]+Table69121385[[#This Row],[Y3 Total cost]]</f>
        <v>0</v>
      </c>
      <c r="AD19" s="1637" t="str">
        <f>IF(A19&lt;&gt;"",IFERROR(INDEX(PMtbl[[WKst]:[Unit of measure*]],MATCH($A19&amp;$C19&amp;$D19,INDEX(PMtbl[Category]&amp;PMtbl[INN]&amp;PMtbl[Specification],0,),0),7),""),"")</f>
        <v/>
      </c>
      <c r="AE19" s="1643"/>
      <c r="AF19" s="1642" t="str">
        <f>IFERROR(INDEX(SETUP!$C$19:$G$62,MATCH((INDEX(PMtbl[[WKst]:[Unit of measure*]],MATCH($A19&amp;$C19&amp;$D19,INDEX(PMtbl[Category]&amp;PMtbl[INN]&amp;PMtbl[Specification],0,),0),3)),SETUP!$D$19:$D$62,0),5),"")</f>
        <v/>
      </c>
      <c r="AG19" s="1640" t="str">
        <f>IFERROR(IF((INDEX(SETUP!$C$19:$G$62,MATCH((INDEX(PMtbl[[WKst]:[Unit of measure*]],MATCH($A19&amp;$C19&amp;$D19,INDEX(PMtbl[Category]&amp;PMtbl[INN]&amp;PMtbl[Specification],0,),0),3)),SETUP!$D$19:$D$62,0),4))="Upfront",0,INDEX(SETUP!$C$19:$G$62,MATCH((INDEX(PMtbl[[WKst]:[Unit of measure*]],MATCH($A19&amp;$C19&amp;$D19,INDEX(PMtbl[Category]&amp;PMtbl[INN]&amp;PMtbl[Specification],0,),0),3)),SETUP!$D$19:$D$62,0),5)),"")</f>
        <v/>
      </c>
      <c r="AN19" s="1615"/>
      <c r="AS19" s="1621">
        <v>1</v>
      </c>
      <c r="AT19" s="1616">
        <f t="shared" si="0"/>
        <v>0</v>
      </c>
      <c r="AU19" s="1621"/>
      <c r="AV19" s="1621"/>
      <c r="AW19" s="1621"/>
      <c r="AX19" s="1621"/>
      <c r="AY19" s="1621"/>
      <c r="AZ19" s="1621"/>
      <c r="BA19" s="1621"/>
      <c r="BB19" s="1621"/>
      <c r="BC19" s="1621"/>
      <c r="BD19" s="1621"/>
      <c r="BE19" s="1621"/>
      <c r="BF19" s="1621"/>
      <c r="BG19" s="1621"/>
    </row>
    <row r="20" spans="1:60">
      <c r="A20" s="3112"/>
      <c r="B20" s="3113"/>
      <c r="C20" s="1660"/>
      <c r="D20" s="1671"/>
      <c r="E20" s="1672" t="str">
        <f>IF(A20&lt;&gt;"",IFERROR(INDEX(PMtbl[[WKst]:[Unit of measure*]],MATCH($A20&amp;$C20&amp;$D20,INDEX(PMtbl[Category]&amp;PMtbl[INN]&amp;PMtbl[Specification],0,),0),8),""),"")</f>
        <v/>
      </c>
      <c r="F20" s="1663" t="str">
        <f>IF(E20="", "",SETUP!$E$5)</f>
        <v/>
      </c>
      <c r="G20" s="1737"/>
      <c r="H20" s="1738"/>
      <c r="I20" s="1738"/>
      <c r="J20" s="1738"/>
      <c r="K20" s="1738"/>
      <c r="L20" s="1666">
        <f>SUM(Table69121385[[#This Row],[Y1 Q1 quantity]:[Y1 Q4 quantity]])</f>
        <v>0</v>
      </c>
      <c r="M20" s="1673">
        <f>Table69121385[[#This Row],[Y1 Total quantity]]*Table69121385[[#This Row],[Y1 Unit cost]]</f>
        <v>0</v>
      </c>
      <c r="N20" s="1741"/>
      <c r="O20" s="1738"/>
      <c r="P20" s="1738"/>
      <c r="Q20" s="1738"/>
      <c r="R20" s="1738"/>
      <c r="S20" s="1666">
        <f>SUM(Table69121385[[#This Row],[Y2 Q1 quantity]:[Y2 Q4 quantity]])</f>
        <v>0</v>
      </c>
      <c r="T20" s="1673">
        <f>Table69121385[[#This Row],[Y2 Total quantity]]*Table69121385[[#This Row],[Y2 Unit cost]]</f>
        <v>0</v>
      </c>
      <c r="U20" s="1741"/>
      <c r="V20" s="1738"/>
      <c r="W20" s="1738"/>
      <c r="X20" s="1738"/>
      <c r="Y20" s="1738"/>
      <c r="Z20" s="1666">
        <f>SUM(Table69121385[[#This Row],[Y3 Q1 quantity]:[Y3 Q4 quantity]])</f>
        <v>0</v>
      </c>
      <c r="AA20" s="1667">
        <f>Table69121385[[#This Row],[Y3 Unit cost]]*Table69121385[[#This Row],[Y3 Total quantity]]</f>
        <v>0</v>
      </c>
      <c r="AB20" s="1674">
        <f>Table69121385[[#This Row],[Y1 Total quantity]]+Table69121385[[#This Row],[Y2 Total quantity]]+Table69121385[[#This Row],[Y3 Total quantity]]</f>
        <v>0</v>
      </c>
      <c r="AC20" s="1673">
        <f>Table69121385[[#This Row],[Y1 Total cost]]+Table69121385[[#This Row],[Y2 Total cost]]+Table69121385[[#This Row],[Y3 Total cost]]</f>
        <v>0</v>
      </c>
      <c r="AD20" s="1669" t="str">
        <f>IF(A20&lt;&gt;"",IFERROR(INDEX(PMtbl[[WKst]:[Unit of measure*]],MATCH($A20&amp;$C20&amp;$D20,INDEX(PMtbl[Category]&amp;PMtbl[INN]&amp;PMtbl[Specification],0,),0),7),""),"")</f>
        <v/>
      </c>
      <c r="AE20" s="1660"/>
      <c r="AF20" s="1675" t="str">
        <f>IFERROR(INDEX(SETUP!$C$19:$G$62,MATCH((INDEX(PMtbl[[WKst]:[Unit of measure*]],MATCH($A20&amp;$C20&amp;$D20,INDEX(PMtbl[Category]&amp;PMtbl[INN]&amp;PMtbl[Specification],0,),0),3)),SETUP!$D$19:$D$62,0),5),"")</f>
        <v/>
      </c>
      <c r="AG20" s="1639" t="str">
        <f>IFERROR(IF((INDEX(SETUP!$C$19:$G$62,MATCH((INDEX(PMtbl[[WKst]:[Unit of measure*]],MATCH($A20&amp;$C20&amp;$D20,INDEX(PMtbl[Category]&amp;PMtbl[INN]&amp;PMtbl[Specification],0,),0),3)),SETUP!$D$19:$D$62,0),4))="Upfront",0,INDEX(SETUP!$C$19:$G$62,MATCH((INDEX(PMtbl[[WKst]:[Unit of measure*]],MATCH($A20&amp;$C20&amp;$D20,INDEX(PMtbl[Category]&amp;PMtbl[INN]&amp;PMtbl[Specification],0,),0),3)),SETUP!$D$19:$D$62,0),5)),"")</f>
        <v/>
      </c>
      <c r="AN20" s="1615"/>
      <c r="AV20" s="1592">
        <f>SUM(AV14:AV19)</f>
        <v>0</v>
      </c>
      <c r="AW20" s="1592">
        <f t="shared" ref="AW20:BH20" si="13">SUM(AW14:AW19)</f>
        <v>0</v>
      </c>
      <c r="AX20" s="1592">
        <f t="shared" si="13"/>
        <v>0</v>
      </c>
      <c r="AY20" s="1592">
        <f t="shared" si="13"/>
        <v>0</v>
      </c>
      <c r="AZ20" s="1592">
        <f t="shared" si="13"/>
        <v>0</v>
      </c>
      <c r="BA20" s="1592">
        <f t="shared" si="13"/>
        <v>0</v>
      </c>
      <c r="BB20" s="1592">
        <f t="shared" si="13"/>
        <v>0</v>
      </c>
      <c r="BC20" s="1592">
        <f t="shared" si="13"/>
        <v>0</v>
      </c>
      <c r="BD20" s="1592">
        <f t="shared" si="13"/>
        <v>0</v>
      </c>
      <c r="BE20" s="1592">
        <f t="shared" si="13"/>
        <v>0</v>
      </c>
      <c r="BF20" s="1592">
        <f t="shared" si="13"/>
        <v>0</v>
      </c>
      <c r="BG20" s="1592">
        <f t="shared" si="13"/>
        <v>0</v>
      </c>
      <c r="BH20" s="1592">
        <f t="shared" si="13"/>
        <v>0</v>
      </c>
    </row>
    <row r="21" spans="1:60">
      <c r="A21" s="3150"/>
      <c r="B21" s="3151"/>
      <c r="C21" s="1643"/>
      <c r="D21" s="1634"/>
      <c r="E21" s="1635" t="str">
        <f>IF(A21&lt;&gt;"",IFERROR(INDEX(PMtbl[[WKst]:[Unit of measure*]],MATCH($A21&amp;$C21&amp;$D21,INDEX(PMtbl[Category]&amp;PMtbl[INN]&amp;PMtbl[Specification],0,),0),8),""),"")</f>
        <v/>
      </c>
      <c r="F21" s="1608" t="str">
        <f>IF(E21="", "",SETUP!$E$5)</f>
        <v/>
      </c>
      <c r="G21" s="1735"/>
      <c r="H21" s="1736"/>
      <c r="I21" s="1736"/>
      <c r="J21" s="1736"/>
      <c r="K21" s="1736"/>
      <c r="L21" s="1619">
        <f>SUM(Table69121385[[#This Row],[Y1 Q1 quantity]:[Y1 Q4 quantity]])</f>
        <v>0</v>
      </c>
      <c r="M21" s="1636">
        <f>Table69121385[[#This Row],[Y1 Total quantity]]*Table69121385[[#This Row],[Y1 Unit cost]]</f>
        <v>0</v>
      </c>
      <c r="N21" s="1742"/>
      <c r="O21" s="1736"/>
      <c r="P21" s="1736"/>
      <c r="Q21" s="1736"/>
      <c r="R21" s="1736"/>
      <c r="S21" s="1619">
        <f>SUM(Table69121385[[#This Row],[Y2 Q1 quantity]:[Y2 Q4 quantity]])</f>
        <v>0</v>
      </c>
      <c r="T21" s="1636">
        <f>Table69121385[[#This Row],[Y2 Total quantity]]*Table69121385[[#This Row],[Y2 Unit cost]]</f>
        <v>0</v>
      </c>
      <c r="U21" s="1742"/>
      <c r="V21" s="1736"/>
      <c r="W21" s="1736"/>
      <c r="X21" s="1736"/>
      <c r="Y21" s="1736"/>
      <c r="Z21" s="1619">
        <f>SUM(Table69121385[[#This Row],[Y3 Q1 quantity]:[Y3 Q4 quantity]])</f>
        <v>0</v>
      </c>
      <c r="AA21" s="1620">
        <f>Table69121385[[#This Row],[Y3 Unit cost]]*Table69121385[[#This Row],[Y3 Total quantity]]</f>
        <v>0</v>
      </c>
      <c r="AB21" s="1638">
        <f>Table69121385[[#This Row],[Y1 Total quantity]]+Table69121385[[#This Row],[Y2 Total quantity]]+Table69121385[[#This Row],[Y3 Total quantity]]</f>
        <v>0</v>
      </c>
      <c r="AC21" s="1636">
        <f>Table69121385[[#This Row],[Y1 Total cost]]+Table69121385[[#This Row],[Y2 Total cost]]+Table69121385[[#This Row],[Y3 Total cost]]</f>
        <v>0</v>
      </c>
      <c r="AD21" s="1637" t="str">
        <f>IF(A21&lt;&gt;"",IFERROR(INDEX(PMtbl[[WKst]:[Unit of measure*]],MATCH($A21&amp;$C21&amp;$D21,INDEX(PMtbl[Category]&amp;PMtbl[INN]&amp;PMtbl[Specification],0,),0),7),""),"")</f>
        <v/>
      </c>
      <c r="AE21" s="1643"/>
      <c r="AF21" s="1642" t="str">
        <f>IFERROR(INDEX(SETUP!$C$19:$G$62,MATCH((INDEX(PMtbl[[WKst]:[Unit of measure*]],MATCH($A21&amp;$C21&amp;$D21,INDEX(PMtbl[Category]&amp;PMtbl[INN]&amp;PMtbl[Specification],0,),0),3)),SETUP!$D$19:$D$62,0),5),"")</f>
        <v/>
      </c>
      <c r="AG21" s="1640" t="str">
        <f>IFERROR(IF((INDEX(SETUP!$C$19:$G$62,MATCH((INDEX(PMtbl[[WKst]:[Unit of measure*]],MATCH($A21&amp;$C21&amp;$D21,INDEX(PMtbl[Category]&amp;PMtbl[INN]&amp;PMtbl[Specification],0,),0),3)),SETUP!$D$19:$D$62,0),4))="Upfront",0,INDEX(SETUP!$C$19:$G$62,MATCH((INDEX(PMtbl[[WKst]:[Unit of measure*]],MATCH($A21&amp;$C21&amp;$D21,INDEX(PMtbl[Category]&amp;PMtbl[INN]&amp;PMtbl[Specification],0,),0),3)),SETUP!$D$19:$D$62,0),5)),"")</f>
        <v/>
      </c>
      <c r="AN21" s="1615"/>
    </row>
    <row r="22" spans="1:60">
      <c r="A22" s="3112"/>
      <c r="B22" s="3113"/>
      <c r="C22" s="1660"/>
      <c r="D22" s="1671"/>
      <c r="E22" s="1672" t="str">
        <f>IF(A22&lt;&gt;"",IFERROR(INDEX(PMtbl[[WKst]:[Unit of measure*]],MATCH($A22&amp;$C22&amp;$D22,INDEX(PMtbl[Category]&amp;PMtbl[INN]&amp;PMtbl[Specification],0,),0),8),""),"")</f>
        <v/>
      </c>
      <c r="F22" s="1663" t="str">
        <f>IF(E22="", "",SETUP!$E$5)</f>
        <v/>
      </c>
      <c r="G22" s="1737"/>
      <c r="H22" s="1738"/>
      <c r="I22" s="1738"/>
      <c r="J22" s="1738"/>
      <c r="K22" s="1738"/>
      <c r="L22" s="1666">
        <f>SUM(Table69121385[[#This Row],[Y1 Q1 quantity]:[Y1 Q4 quantity]])</f>
        <v>0</v>
      </c>
      <c r="M22" s="1673">
        <f>Table69121385[[#This Row],[Y1 Total quantity]]*Table69121385[[#This Row],[Y1 Unit cost]]</f>
        <v>0</v>
      </c>
      <c r="N22" s="1741"/>
      <c r="O22" s="1738"/>
      <c r="P22" s="1738"/>
      <c r="Q22" s="1738"/>
      <c r="R22" s="1738"/>
      <c r="S22" s="1666">
        <f>SUM(Table69121385[[#This Row],[Y2 Q1 quantity]:[Y2 Q4 quantity]])</f>
        <v>0</v>
      </c>
      <c r="T22" s="1673">
        <f>Table69121385[[#This Row],[Y2 Total quantity]]*Table69121385[[#This Row],[Y2 Unit cost]]</f>
        <v>0</v>
      </c>
      <c r="U22" s="1741"/>
      <c r="V22" s="1738"/>
      <c r="W22" s="1738"/>
      <c r="X22" s="1738"/>
      <c r="Y22" s="1738"/>
      <c r="Z22" s="1666">
        <f>SUM(Table69121385[[#This Row],[Y3 Q1 quantity]:[Y3 Q4 quantity]])</f>
        <v>0</v>
      </c>
      <c r="AA22" s="1667">
        <f>Table69121385[[#This Row],[Y3 Unit cost]]*Table69121385[[#This Row],[Y3 Total quantity]]</f>
        <v>0</v>
      </c>
      <c r="AB22" s="1674">
        <f>Table69121385[[#This Row],[Y1 Total quantity]]+Table69121385[[#This Row],[Y2 Total quantity]]+Table69121385[[#This Row],[Y3 Total quantity]]</f>
        <v>0</v>
      </c>
      <c r="AC22" s="1673">
        <f>Table69121385[[#This Row],[Y1 Total cost]]+Table69121385[[#This Row],[Y2 Total cost]]+Table69121385[[#This Row],[Y3 Total cost]]</f>
        <v>0</v>
      </c>
      <c r="AD22" s="1669" t="str">
        <f>IF(A22&lt;&gt;"",IFERROR(INDEX(PMtbl[[WKst]:[Unit of measure*]],MATCH($A22&amp;$C22&amp;$D22,INDEX(PMtbl[Category]&amp;PMtbl[INN]&amp;PMtbl[Specification],0,),0),7),""),"")</f>
        <v/>
      </c>
      <c r="AE22" s="1660"/>
      <c r="AF22" s="1675" t="str">
        <f>IFERROR(INDEX(SETUP!$C$19:$G$62,MATCH((INDEX(PMtbl[[WKst]:[Unit of measure*]],MATCH($A22&amp;$C22&amp;$D22,INDEX(PMtbl[Category]&amp;PMtbl[INN]&amp;PMtbl[Specification],0,),0),3)),SETUP!$D$19:$D$62,0),5),"")</f>
        <v/>
      </c>
      <c r="AG22" s="1639" t="str">
        <f>IFERROR(IF((INDEX(SETUP!$C$19:$G$62,MATCH((INDEX(PMtbl[[WKst]:[Unit of measure*]],MATCH($A22&amp;$C22&amp;$D22,INDEX(PMtbl[Category]&amp;PMtbl[INN]&amp;PMtbl[Specification],0,),0),3)),SETUP!$D$19:$D$62,0),4))="Upfront",0,INDEX(SETUP!$C$19:$G$62,MATCH((INDEX(PMtbl[[WKst]:[Unit of measure*]],MATCH($A22&amp;$C22&amp;$D22,INDEX(PMtbl[Category]&amp;PMtbl[INN]&amp;PMtbl[Specification],0,),0),3)),SETUP!$D$19:$D$62,0),5)),"")</f>
        <v/>
      </c>
      <c r="AN22" s="1615"/>
      <c r="AS22" s="1658">
        <v>1</v>
      </c>
      <c r="AT22" s="1658">
        <f>IFERROR(VLOOKUP($AU17,$AD$12:$AG$58,4,FALSE),0)</f>
        <v>0</v>
      </c>
      <c r="AU22" s="1658">
        <v>6.5</v>
      </c>
      <c r="AV22" s="1659">
        <f>AV17</f>
        <v>0</v>
      </c>
      <c r="AW22" s="1659">
        <f t="shared" ref="AW22:BH22" si="14">AW17</f>
        <v>0</v>
      </c>
      <c r="AX22" s="1659">
        <f t="shared" si="14"/>
        <v>0</v>
      </c>
      <c r="AY22" s="1659">
        <f t="shared" si="14"/>
        <v>0</v>
      </c>
      <c r="AZ22" s="1659">
        <f t="shared" si="14"/>
        <v>0</v>
      </c>
      <c r="BA22" s="1659">
        <f t="shared" si="14"/>
        <v>0</v>
      </c>
      <c r="BB22" s="1659">
        <f t="shared" si="14"/>
        <v>0</v>
      </c>
      <c r="BC22" s="1659">
        <f t="shared" si="14"/>
        <v>0</v>
      </c>
      <c r="BD22" s="1659">
        <f t="shared" si="14"/>
        <v>0</v>
      </c>
      <c r="BE22" s="1659">
        <f t="shared" si="14"/>
        <v>0</v>
      </c>
      <c r="BF22" s="1659">
        <f t="shared" si="14"/>
        <v>0</v>
      </c>
      <c r="BG22" s="1659">
        <f t="shared" si="14"/>
        <v>0</v>
      </c>
      <c r="BH22" s="1659">
        <f t="shared" si="14"/>
        <v>0</v>
      </c>
    </row>
    <row r="23" spans="1:60">
      <c r="A23" s="3150"/>
      <c r="B23" s="3151"/>
      <c r="C23" s="1643"/>
      <c r="D23" s="1634"/>
      <c r="E23" s="1635" t="str">
        <f>IF(A23&lt;&gt;"",IFERROR(INDEX(PMtbl[[WKst]:[Unit of measure*]],MATCH($A23&amp;$C23&amp;$D23,INDEX(PMtbl[Category]&amp;PMtbl[INN]&amp;PMtbl[Specification],0,),0),8),""),"")</f>
        <v/>
      </c>
      <c r="F23" s="1608" t="str">
        <f>IF(E23="", "",SETUP!$E$5)</f>
        <v/>
      </c>
      <c r="G23" s="1735"/>
      <c r="H23" s="1736"/>
      <c r="I23" s="1736"/>
      <c r="J23" s="1736"/>
      <c r="K23" s="1736"/>
      <c r="L23" s="1619">
        <f>SUM(Table69121385[[#This Row],[Y1 Q1 quantity]:[Y1 Q4 quantity]])</f>
        <v>0</v>
      </c>
      <c r="M23" s="1636">
        <f>Table69121385[[#This Row],[Y1 Total quantity]]*Table69121385[[#This Row],[Y1 Unit cost]]</f>
        <v>0</v>
      </c>
      <c r="N23" s="1742"/>
      <c r="O23" s="1736"/>
      <c r="P23" s="1736"/>
      <c r="Q23" s="1736"/>
      <c r="R23" s="1736"/>
      <c r="S23" s="1619">
        <f>SUM(Table69121385[[#This Row],[Y2 Q1 quantity]:[Y2 Q4 quantity]])</f>
        <v>0</v>
      </c>
      <c r="T23" s="1636">
        <f>Table69121385[[#This Row],[Y2 Total quantity]]*Table69121385[[#This Row],[Y2 Unit cost]]</f>
        <v>0</v>
      </c>
      <c r="U23" s="1742"/>
      <c r="V23" s="1736"/>
      <c r="W23" s="1736"/>
      <c r="X23" s="1736"/>
      <c r="Y23" s="1736"/>
      <c r="Z23" s="1619">
        <f>SUM(Table69121385[[#This Row],[Y3 Q1 quantity]:[Y3 Q4 quantity]])</f>
        <v>0</v>
      </c>
      <c r="AA23" s="1620">
        <f>Table69121385[[#This Row],[Y3 Unit cost]]*Table69121385[[#This Row],[Y3 Total quantity]]</f>
        <v>0</v>
      </c>
      <c r="AB23" s="1638">
        <f>Table69121385[[#This Row],[Y1 Total quantity]]+Table69121385[[#This Row],[Y2 Total quantity]]+Table69121385[[#This Row],[Y3 Total quantity]]</f>
        <v>0</v>
      </c>
      <c r="AC23" s="1636">
        <f>Table69121385[[#This Row],[Y1 Total cost]]+Table69121385[[#This Row],[Y2 Total cost]]+Table69121385[[#This Row],[Y3 Total cost]]</f>
        <v>0</v>
      </c>
      <c r="AD23" s="1637" t="str">
        <f>IF(A23&lt;&gt;"",IFERROR(INDEX(PMtbl[[WKst]:[Unit of measure*]],MATCH($A23&amp;$C23&amp;$D23,INDEX(PMtbl[Category]&amp;PMtbl[INN]&amp;PMtbl[Specification],0,),0),7),""),"")</f>
        <v/>
      </c>
      <c r="AE23" s="1643"/>
      <c r="AF23" s="1642" t="str">
        <f>IFERROR(INDEX(SETUP!$C$19:$G$62,MATCH((INDEX(PMtbl[[WKst]:[Unit of measure*]],MATCH($A23&amp;$C23&amp;$D23,INDEX(PMtbl[Category]&amp;PMtbl[INN]&amp;PMtbl[Specification],0,),0),3)),SETUP!$D$19:$D$62,0),5),"")</f>
        <v/>
      </c>
      <c r="AG23" s="1640" t="str">
        <f>IFERROR(IF((INDEX(SETUP!$C$19:$G$62,MATCH((INDEX(PMtbl[[WKst]:[Unit of measure*]],MATCH($A23&amp;$C23&amp;$D23,INDEX(PMtbl[Category]&amp;PMtbl[INN]&amp;PMtbl[Specification],0,),0),3)),SETUP!$D$19:$D$62,0),4))="Upfront",0,INDEX(SETUP!$C$19:$G$62,MATCH((INDEX(PMtbl[[WKst]:[Unit of measure*]],MATCH($A23&amp;$C23&amp;$D23,INDEX(PMtbl[Category]&amp;PMtbl[INN]&amp;PMtbl[Specification],0,),0),3)),SETUP!$D$19:$D$62,0),5)),"")</f>
        <v/>
      </c>
      <c r="AN23" s="1615"/>
    </row>
    <row r="24" spans="1:60">
      <c r="A24" s="3112"/>
      <c r="B24" s="3113"/>
      <c r="C24" s="1660"/>
      <c r="D24" s="1671"/>
      <c r="E24" s="1672" t="str">
        <f>IF(A24&lt;&gt;"",IFERROR(INDEX(PMtbl[[WKst]:[Unit of measure*]],MATCH($A24&amp;$C24&amp;$D24,INDEX(PMtbl[Category]&amp;PMtbl[INN]&amp;PMtbl[Specification],0,),0),8),""),"")</f>
        <v/>
      </c>
      <c r="F24" s="1663" t="str">
        <f>IF(E24="", "",SETUP!$E$5)</f>
        <v/>
      </c>
      <c r="G24" s="1737"/>
      <c r="H24" s="1738"/>
      <c r="I24" s="1738"/>
      <c r="J24" s="1738"/>
      <c r="K24" s="1738"/>
      <c r="L24" s="1666">
        <f>SUM(Table69121385[[#This Row],[Y1 Q1 quantity]:[Y1 Q4 quantity]])</f>
        <v>0</v>
      </c>
      <c r="M24" s="1673">
        <f>Table69121385[[#This Row],[Y1 Total quantity]]*Table69121385[[#This Row],[Y1 Unit cost]]</f>
        <v>0</v>
      </c>
      <c r="N24" s="1741"/>
      <c r="O24" s="1738"/>
      <c r="P24" s="1738"/>
      <c r="Q24" s="1738"/>
      <c r="R24" s="1738"/>
      <c r="S24" s="1666">
        <f>SUM(Table69121385[[#This Row],[Y2 Q1 quantity]:[Y2 Q4 quantity]])</f>
        <v>0</v>
      </c>
      <c r="T24" s="1673">
        <f>Table69121385[[#This Row],[Y2 Total quantity]]*Table69121385[[#This Row],[Y2 Unit cost]]</f>
        <v>0</v>
      </c>
      <c r="U24" s="1741"/>
      <c r="V24" s="1738"/>
      <c r="W24" s="1738"/>
      <c r="X24" s="1738"/>
      <c r="Y24" s="1738"/>
      <c r="Z24" s="1666">
        <f>SUM(Table69121385[[#This Row],[Y3 Q1 quantity]:[Y3 Q4 quantity]])</f>
        <v>0</v>
      </c>
      <c r="AA24" s="1667">
        <f>Table69121385[[#This Row],[Y3 Unit cost]]*Table69121385[[#This Row],[Y3 Total quantity]]</f>
        <v>0</v>
      </c>
      <c r="AB24" s="1674">
        <f>Table69121385[[#This Row],[Y1 Total quantity]]+Table69121385[[#This Row],[Y2 Total quantity]]+Table69121385[[#This Row],[Y3 Total quantity]]</f>
        <v>0</v>
      </c>
      <c r="AC24" s="1673">
        <f>Table69121385[[#This Row],[Y1 Total cost]]+Table69121385[[#This Row],[Y2 Total cost]]+Table69121385[[#This Row],[Y3 Total cost]]</f>
        <v>0</v>
      </c>
      <c r="AD24" s="1669" t="str">
        <f>IF(A24&lt;&gt;"",IFERROR(INDEX(PMtbl[[WKst]:[Unit of measure*]],MATCH($A24&amp;$C24&amp;$D24,INDEX(PMtbl[Category]&amp;PMtbl[INN]&amp;PMtbl[Specification],0,),0),7),""),"")</f>
        <v/>
      </c>
      <c r="AE24" s="1660"/>
      <c r="AF24" s="1675" t="str">
        <f>IFERROR(INDEX(SETUP!$C$19:$G$62,MATCH((INDEX(PMtbl[[WKst]:[Unit of measure*]],MATCH($A24&amp;$C24&amp;$D24,INDEX(PMtbl[Category]&amp;PMtbl[INN]&amp;PMtbl[Specification],0,),0),3)),SETUP!$D$19:$D$62,0),5),"")</f>
        <v/>
      </c>
      <c r="AG24" s="1639" t="str">
        <f>IFERROR(IF((INDEX(SETUP!$C$19:$G$62,MATCH((INDEX(PMtbl[[WKst]:[Unit of measure*]],MATCH($A24&amp;$C24&amp;$D24,INDEX(PMtbl[Category]&amp;PMtbl[INN]&amp;PMtbl[Specification],0,),0),3)),SETUP!$D$19:$D$62,0),4))="Upfront",0,INDEX(SETUP!$C$19:$G$62,MATCH((INDEX(PMtbl[[WKst]:[Unit of measure*]],MATCH($A24&amp;$C24&amp;$D24,INDEX(PMtbl[Category]&amp;PMtbl[INN]&amp;PMtbl[Specification],0,),0),3)),SETUP!$D$19:$D$62,0),5)),"")</f>
        <v/>
      </c>
      <c r="AN24" s="1615"/>
    </row>
    <row r="25" spans="1:60">
      <c r="A25" s="3150"/>
      <c r="B25" s="3151"/>
      <c r="C25" s="1643"/>
      <c r="D25" s="1634"/>
      <c r="E25" s="1635" t="str">
        <f>IF(A25&lt;&gt;"",IFERROR(INDEX(PMtbl[[WKst]:[Unit of measure*]],MATCH($A25&amp;$C25&amp;$D25,INDEX(PMtbl[Category]&amp;PMtbl[INN]&amp;PMtbl[Specification],0,),0),8),""),"")</f>
        <v/>
      </c>
      <c r="F25" s="1608" t="str">
        <f>IF(E25="", "",SETUP!$E$5)</f>
        <v/>
      </c>
      <c r="G25" s="1735"/>
      <c r="H25" s="1736"/>
      <c r="I25" s="1736"/>
      <c r="J25" s="1736"/>
      <c r="K25" s="1736"/>
      <c r="L25" s="1619">
        <f>SUM(Table69121385[[#This Row],[Y1 Q1 quantity]:[Y1 Q4 quantity]])</f>
        <v>0</v>
      </c>
      <c r="M25" s="1636">
        <f>Table69121385[[#This Row],[Y1 Total quantity]]*Table69121385[[#This Row],[Y1 Unit cost]]</f>
        <v>0</v>
      </c>
      <c r="N25" s="1742"/>
      <c r="O25" s="1736"/>
      <c r="P25" s="1736"/>
      <c r="Q25" s="1736"/>
      <c r="R25" s="1736"/>
      <c r="S25" s="1619">
        <f>SUM(Table69121385[[#This Row],[Y2 Q1 quantity]:[Y2 Q4 quantity]])</f>
        <v>0</v>
      </c>
      <c r="T25" s="1636">
        <f>Table69121385[[#This Row],[Y2 Total quantity]]*Table69121385[[#This Row],[Y2 Unit cost]]</f>
        <v>0</v>
      </c>
      <c r="U25" s="1742"/>
      <c r="V25" s="1736"/>
      <c r="W25" s="1736"/>
      <c r="X25" s="1736"/>
      <c r="Y25" s="1736"/>
      <c r="Z25" s="1619">
        <f>SUM(Table69121385[[#This Row],[Y3 Q1 quantity]:[Y3 Q4 quantity]])</f>
        <v>0</v>
      </c>
      <c r="AA25" s="1620">
        <f>Table69121385[[#This Row],[Y3 Unit cost]]*Table69121385[[#This Row],[Y3 Total quantity]]</f>
        <v>0</v>
      </c>
      <c r="AB25" s="1638">
        <f>Table69121385[[#This Row],[Y1 Total quantity]]+Table69121385[[#This Row],[Y2 Total quantity]]+Table69121385[[#This Row],[Y3 Total quantity]]</f>
        <v>0</v>
      </c>
      <c r="AC25" s="1636">
        <f>Table69121385[[#This Row],[Y1 Total cost]]+Table69121385[[#This Row],[Y2 Total cost]]+Table69121385[[#This Row],[Y3 Total cost]]</f>
        <v>0</v>
      </c>
      <c r="AD25" s="1637" t="str">
        <f>IF(A25&lt;&gt;"",IFERROR(INDEX(PMtbl[[WKst]:[Unit of measure*]],MATCH($A25&amp;$C25&amp;$D25,INDEX(PMtbl[Category]&amp;PMtbl[INN]&amp;PMtbl[Specification],0,),0),7),""),"")</f>
        <v/>
      </c>
      <c r="AE25" s="1643"/>
      <c r="AF25" s="1642" t="str">
        <f>IFERROR(INDEX(SETUP!$C$19:$G$62,MATCH((INDEX(PMtbl[[WKst]:[Unit of measure*]],MATCH($A25&amp;$C25&amp;$D25,INDEX(PMtbl[Category]&amp;PMtbl[INN]&amp;PMtbl[Specification],0,),0),3)),SETUP!$D$19:$D$62,0),5),"")</f>
        <v/>
      </c>
      <c r="AG25" s="1640" t="str">
        <f>IFERROR(IF((INDEX(SETUP!$C$19:$G$62,MATCH((INDEX(PMtbl[[WKst]:[Unit of measure*]],MATCH($A25&amp;$C25&amp;$D25,INDEX(PMtbl[Category]&amp;PMtbl[INN]&amp;PMtbl[Specification],0,),0),3)),SETUP!$D$19:$D$62,0),4))="Upfront",0,INDEX(SETUP!$C$19:$G$62,MATCH((INDEX(PMtbl[[WKst]:[Unit of measure*]],MATCH($A25&amp;$C25&amp;$D25,INDEX(PMtbl[Category]&amp;PMtbl[INN]&amp;PMtbl[Specification],0,),0),3)),SETUP!$D$19:$D$62,0),5)),"")</f>
        <v/>
      </c>
      <c r="AN25" s="1615"/>
    </row>
    <row r="26" spans="1:60">
      <c r="A26" s="3112"/>
      <c r="B26" s="3113"/>
      <c r="C26" s="1660"/>
      <c r="D26" s="1671"/>
      <c r="E26" s="1672" t="str">
        <f>IF(A26&lt;&gt;"",IFERROR(INDEX(PMtbl[[WKst]:[Unit of measure*]],MATCH($A26&amp;$C26&amp;$D26,INDEX(PMtbl[Category]&amp;PMtbl[INN]&amp;PMtbl[Specification],0,),0),8),""),"")</f>
        <v/>
      </c>
      <c r="F26" s="1663" t="str">
        <f>IF(E26="", "",SETUP!$E$5)</f>
        <v/>
      </c>
      <c r="G26" s="1737"/>
      <c r="H26" s="1738"/>
      <c r="I26" s="1738"/>
      <c r="J26" s="1738"/>
      <c r="K26" s="1738"/>
      <c r="L26" s="1666">
        <f>SUM(Table69121385[[#This Row],[Y1 Q1 quantity]:[Y1 Q4 quantity]])</f>
        <v>0</v>
      </c>
      <c r="M26" s="1673">
        <f>Table69121385[[#This Row],[Y1 Total quantity]]*Table69121385[[#This Row],[Y1 Unit cost]]</f>
        <v>0</v>
      </c>
      <c r="N26" s="1741"/>
      <c r="O26" s="1738"/>
      <c r="P26" s="1738"/>
      <c r="Q26" s="1738"/>
      <c r="R26" s="1738"/>
      <c r="S26" s="1666">
        <f>SUM(Table69121385[[#This Row],[Y2 Q1 quantity]:[Y2 Q4 quantity]])</f>
        <v>0</v>
      </c>
      <c r="T26" s="1673">
        <f>Table69121385[[#This Row],[Y2 Total quantity]]*Table69121385[[#This Row],[Y2 Unit cost]]</f>
        <v>0</v>
      </c>
      <c r="U26" s="1741"/>
      <c r="V26" s="1738"/>
      <c r="W26" s="1738"/>
      <c r="X26" s="1738"/>
      <c r="Y26" s="1738"/>
      <c r="Z26" s="1666">
        <f>SUM(Table69121385[[#This Row],[Y3 Q1 quantity]:[Y3 Q4 quantity]])</f>
        <v>0</v>
      </c>
      <c r="AA26" s="1667">
        <f>Table69121385[[#This Row],[Y3 Unit cost]]*Table69121385[[#This Row],[Y3 Total quantity]]</f>
        <v>0</v>
      </c>
      <c r="AB26" s="1674">
        <f>Table69121385[[#This Row],[Y1 Total quantity]]+Table69121385[[#This Row],[Y2 Total quantity]]+Table69121385[[#This Row],[Y3 Total quantity]]</f>
        <v>0</v>
      </c>
      <c r="AC26" s="1673">
        <f>Table69121385[[#This Row],[Y1 Total cost]]+Table69121385[[#This Row],[Y2 Total cost]]+Table69121385[[#This Row],[Y3 Total cost]]</f>
        <v>0</v>
      </c>
      <c r="AD26" s="1669" t="str">
        <f>IF(A26&lt;&gt;"",IFERROR(INDEX(PMtbl[[WKst]:[Unit of measure*]],MATCH($A26&amp;$C26&amp;$D26,INDEX(PMtbl[Category]&amp;PMtbl[INN]&amp;PMtbl[Specification],0,),0),7),""),"")</f>
        <v/>
      </c>
      <c r="AE26" s="1660"/>
      <c r="AF26" s="1675" t="str">
        <f>IFERROR(INDEX(SETUP!$C$19:$G$62,MATCH((INDEX(PMtbl[[WKst]:[Unit of measure*]],MATCH($A26&amp;$C26&amp;$D26,INDEX(PMtbl[Category]&amp;PMtbl[INN]&amp;PMtbl[Specification],0,),0),3)),SETUP!$D$19:$D$62,0),5),"")</f>
        <v/>
      </c>
      <c r="AG26" s="1639" t="str">
        <f>IFERROR(IF((INDEX(SETUP!$C$19:$G$62,MATCH((INDEX(PMtbl[[WKst]:[Unit of measure*]],MATCH($A26&amp;$C26&amp;$D26,INDEX(PMtbl[Category]&amp;PMtbl[INN]&amp;PMtbl[Specification],0,),0),3)),SETUP!$D$19:$D$62,0),4))="Upfront",0,INDEX(SETUP!$C$19:$G$62,MATCH((INDEX(PMtbl[[WKst]:[Unit of measure*]],MATCH($A26&amp;$C26&amp;$D26,INDEX(PMtbl[Category]&amp;PMtbl[INN]&amp;PMtbl[Specification],0,),0),3)),SETUP!$D$19:$D$62,0),5)),"")</f>
        <v/>
      </c>
      <c r="AN26" s="1615"/>
    </row>
    <row r="27" spans="1:60">
      <c r="A27" s="3150"/>
      <c r="B27" s="3151"/>
      <c r="C27" s="1643"/>
      <c r="D27" s="1634"/>
      <c r="E27" s="1635" t="str">
        <f>IF(A27&lt;&gt;"",IFERROR(INDEX(PMtbl[[WKst]:[Unit of measure*]],MATCH($A27&amp;$C27&amp;$D27,INDEX(PMtbl[Category]&amp;PMtbl[INN]&amp;PMtbl[Specification],0,),0),8),""),"")</f>
        <v/>
      </c>
      <c r="F27" s="1608" t="str">
        <f>IF(E27="", "",SETUP!$E$5)</f>
        <v/>
      </c>
      <c r="G27" s="1735"/>
      <c r="H27" s="1736"/>
      <c r="I27" s="1736"/>
      <c r="J27" s="1736"/>
      <c r="K27" s="1736"/>
      <c r="L27" s="1619">
        <f>SUM(Table69121385[[#This Row],[Y1 Q1 quantity]:[Y1 Q4 quantity]])</f>
        <v>0</v>
      </c>
      <c r="M27" s="1636">
        <f>Table69121385[[#This Row],[Y1 Total quantity]]*Table69121385[[#This Row],[Y1 Unit cost]]</f>
        <v>0</v>
      </c>
      <c r="N27" s="1742"/>
      <c r="O27" s="1736"/>
      <c r="P27" s="1736"/>
      <c r="Q27" s="1736"/>
      <c r="R27" s="1736"/>
      <c r="S27" s="1619">
        <f>SUM(Table69121385[[#This Row],[Y2 Q1 quantity]:[Y2 Q4 quantity]])</f>
        <v>0</v>
      </c>
      <c r="T27" s="1636">
        <f>Table69121385[[#This Row],[Y2 Total quantity]]*Table69121385[[#This Row],[Y2 Unit cost]]</f>
        <v>0</v>
      </c>
      <c r="U27" s="1742"/>
      <c r="V27" s="1736"/>
      <c r="W27" s="1736"/>
      <c r="X27" s="1736"/>
      <c r="Y27" s="1736"/>
      <c r="Z27" s="1619">
        <f>SUM(Table69121385[[#This Row],[Y3 Q1 quantity]:[Y3 Q4 quantity]])</f>
        <v>0</v>
      </c>
      <c r="AA27" s="1620">
        <f>Table69121385[[#This Row],[Y3 Unit cost]]*Table69121385[[#This Row],[Y3 Total quantity]]</f>
        <v>0</v>
      </c>
      <c r="AB27" s="1638">
        <f>Table69121385[[#This Row],[Y1 Total quantity]]+Table69121385[[#This Row],[Y2 Total quantity]]+Table69121385[[#This Row],[Y3 Total quantity]]</f>
        <v>0</v>
      </c>
      <c r="AC27" s="1636">
        <f>Table69121385[[#This Row],[Y1 Total cost]]+Table69121385[[#This Row],[Y2 Total cost]]+Table69121385[[#This Row],[Y3 Total cost]]</f>
        <v>0</v>
      </c>
      <c r="AD27" s="1637" t="str">
        <f>IF(A27&lt;&gt;"",IFERROR(INDEX(PMtbl[[WKst]:[Unit of measure*]],MATCH($A27&amp;$C27&amp;$D27,INDEX(PMtbl[Category]&amp;PMtbl[INN]&amp;PMtbl[Specification],0,),0),7),""),"")</f>
        <v/>
      </c>
      <c r="AE27" s="1643"/>
      <c r="AF27" s="1642" t="str">
        <f>IFERROR(INDEX(SETUP!$C$19:$G$62,MATCH((INDEX(PMtbl[[WKst]:[Unit of measure*]],MATCH($A27&amp;$C27&amp;$D27,INDEX(PMtbl[Category]&amp;PMtbl[INN]&amp;PMtbl[Specification],0,),0),3)),SETUP!$D$19:$D$62,0),5),"")</f>
        <v/>
      </c>
      <c r="AG27" s="1640" t="str">
        <f>IFERROR(IF((INDEX(SETUP!$C$19:$G$62,MATCH((INDEX(PMtbl[[WKst]:[Unit of measure*]],MATCH($A27&amp;$C27&amp;$D27,INDEX(PMtbl[Category]&amp;PMtbl[INN]&amp;PMtbl[Specification],0,),0),3)),SETUP!$D$19:$D$62,0),4))="Upfront",0,INDEX(SETUP!$C$19:$G$62,MATCH((INDEX(PMtbl[[WKst]:[Unit of measure*]],MATCH($A27&amp;$C27&amp;$D27,INDEX(PMtbl[Category]&amp;PMtbl[INN]&amp;PMtbl[Specification],0,),0),3)),SETUP!$D$19:$D$62,0),5)),"")</f>
        <v/>
      </c>
      <c r="AN27" s="1615"/>
    </row>
    <row r="28" spans="1:60">
      <c r="A28" s="3112"/>
      <c r="B28" s="3113"/>
      <c r="C28" s="1660"/>
      <c r="D28" s="1671"/>
      <c r="E28" s="1672" t="str">
        <f>IF(A28&lt;&gt;"",IFERROR(INDEX(PMtbl[[WKst]:[Unit of measure*]],MATCH($A28&amp;$C28&amp;$D28,INDEX(PMtbl[Category]&amp;PMtbl[INN]&amp;PMtbl[Specification],0,),0),8),""),"")</f>
        <v/>
      </c>
      <c r="F28" s="1663" t="str">
        <f>IF(E28="", "",SETUP!$E$5)</f>
        <v/>
      </c>
      <c r="G28" s="1737"/>
      <c r="H28" s="1738"/>
      <c r="I28" s="1738"/>
      <c r="J28" s="1738"/>
      <c r="K28" s="1738"/>
      <c r="L28" s="1666">
        <f>SUM(Table69121385[[#This Row],[Y1 Q1 quantity]:[Y1 Q4 quantity]])</f>
        <v>0</v>
      </c>
      <c r="M28" s="1673">
        <f>Table69121385[[#This Row],[Y1 Total quantity]]*Table69121385[[#This Row],[Y1 Unit cost]]</f>
        <v>0</v>
      </c>
      <c r="N28" s="1741"/>
      <c r="O28" s="1738"/>
      <c r="P28" s="1738"/>
      <c r="Q28" s="1738"/>
      <c r="R28" s="1738"/>
      <c r="S28" s="1666">
        <f>SUM(Table69121385[[#This Row],[Y2 Q1 quantity]:[Y2 Q4 quantity]])</f>
        <v>0</v>
      </c>
      <c r="T28" s="1673">
        <f>Table69121385[[#This Row],[Y2 Total quantity]]*Table69121385[[#This Row],[Y2 Unit cost]]</f>
        <v>0</v>
      </c>
      <c r="U28" s="1741"/>
      <c r="V28" s="1738"/>
      <c r="W28" s="1738"/>
      <c r="X28" s="1738"/>
      <c r="Y28" s="1738"/>
      <c r="Z28" s="1666">
        <f>SUM(Table69121385[[#This Row],[Y3 Q1 quantity]:[Y3 Q4 quantity]])</f>
        <v>0</v>
      </c>
      <c r="AA28" s="1667">
        <f>Table69121385[[#This Row],[Y3 Unit cost]]*Table69121385[[#This Row],[Y3 Total quantity]]</f>
        <v>0</v>
      </c>
      <c r="AB28" s="1674">
        <f>Table69121385[[#This Row],[Y1 Total quantity]]+Table69121385[[#This Row],[Y2 Total quantity]]+Table69121385[[#This Row],[Y3 Total quantity]]</f>
        <v>0</v>
      </c>
      <c r="AC28" s="1673">
        <f>Table69121385[[#This Row],[Y1 Total cost]]+Table69121385[[#This Row],[Y2 Total cost]]+Table69121385[[#This Row],[Y3 Total cost]]</f>
        <v>0</v>
      </c>
      <c r="AD28" s="1669" t="str">
        <f>IF(A28&lt;&gt;"",IFERROR(INDEX(PMtbl[[WKst]:[Unit of measure*]],MATCH($A28&amp;$C28&amp;$D28,INDEX(PMtbl[Category]&amp;PMtbl[INN]&amp;PMtbl[Specification],0,),0),7),""),"")</f>
        <v/>
      </c>
      <c r="AE28" s="1660"/>
      <c r="AF28" s="1675" t="str">
        <f>IFERROR(INDEX(SETUP!$C$19:$G$62,MATCH((INDEX(PMtbl[[WKst]:[Unit of measure*]],MATCH($A28&amp;$C28&amp;$D28,INDEX(PMtbl[Category]&amp;PMtbl[INN]&amp;PMtbl[Specification],0,),0),3)),SETUP!$D$19:$D$62,0),5),"")</f>
        <v/>
      </c>
      <c r="AG28" s="1639" t="str">
        <f>IFERROR(IF((INDEX(SETUP!$C$19:$G$62,MATCH((INDEX(PMtbl[[WKst]:[Unit of measure*]],MATCH($A28&amp;$C28&amp;$D28,INDEX(PMtbl[Category]&amp;PMtbl[INN]&amp;PMtbl[Specification],0,),0),3)),SETUP!$D$19:$D$62,0),4))="Upfront",0,INDEX(SETUP!$C$19:$G$62,MATCH((INDEX(PMtbl[[WKst]:[Unit of measure*]],MATCH($A28&amp;$C28&amp;$D28,INDEX(PMtbl[Category]&amp;PMtbl[INN]&amp;PMtbl[Specification],0,),0),3)),SETUP!$D$19:$D$62,0),5)),"")</f>
        <v/>
      </c>
      <c r="AN28" s="1615"/>
    </row>
    <row r="29" spans="1:60">
      <c r="A29" s="3150"/>
      <c r="B29" s="3151"/>
      <c r="C29" s="1643"/>
      <c r="D29" s="1634"/>
      <c r="E29" s="1635" t="str">
        <f>IF(A29&lt;&gt;"",IFERROR(INDEX(PMtbl[[WKst]:[Unit of measure*]],MATCH($A29&amp;$C29&amp;$D29,INDEX(PMtbl[Category]&amp;PMtbl[INN]&amp;PMtbl[Specification],0,),0),8),""),"")</f>
        <v/>
      </c>
      <c r="F29" s="1608" t="str">
        <f>IF(E29="", "",SETUP!$E$5)</f>
        <v/>
      </c>
      <c r="G29" s="1735"/>
      <c r="H29" s="1736"/>
      <c r="I29" s="1736"/>
      <c r="J29" s="1736"/>
      <c r="K29" s="1736"/>
      <c r="L29" s="1619">
        <f>SUM(Table69121385[[#This Row],[Y1 Q1 quantity]:[Y1 Q4 quantity]])</f>
        <v>0</v>
      </c>
      <c r="M29" s="1636">
        <f>Table69121385[[#This Row],[Y1 Total quantity]]*Table69121385[[#This Row],[Y1 Unit cost]]</f>
        <v>0</v>
      </c>
      <c r="N29" s="1742"/>
      <c r="O29" s="1736"/>
      <c r="P29" s="1736"/>
      <c r="Q29" s="1736"/>
      <c r="R29" s="1736"/>
      <c r="S29" s="1619">
        <f>SUM(Table69121385[[#This Row],[Y2 Q1 quantity]:[Y2 Q4 quantity]])</f>
        <v>0</v>
      </c>
      <c r="T29" s="1636">
        <f>Table69121385[[#This Row],[Y2 Total quantity]]*Table69121385[[#This Row],[Y2 Unit cost]]</f>
        <v>0</v>
      </c>
      <c r="U29" s="1742"/>
      <c r="V29" s="1736"/>
      <c r="W29" s="1736"/>
      <c r="X29" s="1736"/>
      <c r="Y29" s="1736"/>
      <c r="Z29" s="1619">
        <f>SUM(Table69121385[[#This Row],[Y3 Q1 quantity]:[Y3 Q4 quantity]])</f>
        <v>0</v>
      </c>
      <c r="AA29" s="1620">
        <f>Table69121385[[#This Row],[Y3 Unit cost]]*Table69121385[[#This Row],[Y3 Total quantity]]</f>
        <v>0</v>
      </c>
      <c r="AB29" s="1638">
        <f>Table69121385[[#This Row],[Y1 Total quantity]]+Table69121385[[#This Row],[Y2 Total quantity]]+Table69121385[[#This Row],[Y3 Total quantity]]</f>
        <v>0</v>
      </c>
      <c r="AC29" s="1636">
        <f>Table69121385[[#This Row],[Y1 Total cost]]+Table69121385[[#This Row],[Y2 Total cost]]+Table69121385[[#This Row],[Y3 Total cost]]</f>
        <v>0</v>
      </c>
      <c r="AD29" s="1637" t="str">
        <f>IF(A29&lt;&gt;"",IFERROR(INDEX(PMtbl[[WKst]:[Unit of measure*]],MATCH($A29&amp;$C29&amp;$D29,INDEX(PMtbl[Category]&amp;PMtbl[INN]&amp;PMtbl[Specification],0,),0),7),""),"")</f>
        <v/>
      </c>
      <c r="AE29" s="1643"/>
      <c r="AF29" s="1642" t="str">
        <f>IFERROR(INDEX(SETUP!$C$19:$G$62,MATCH((INDEX(PMtbl[[WKst]:[Unit of measure*]],MATCH($A29&amp;$C29&amp;$D29,INDEX(PMtbl[Category]&amp;PMtbl[INN]&amp;PMtbl[Specification],0,),0),3)),SETUP!$D$19:$D$62,0),5),"")</f>
        <v/>
      </c>
      <c r="AG29" s="1640" t="str">
        <f>IFERROR(IF((INDEX(SETUP!$C$19:$G$62,MATCH((INDEX(PMtbl[[WKst]:[Unit of measure*]],MATCH($A29&amp;$C29&amp;$D29,INDEX(PMtbl[Category]&amp;PMtbl[INN]&amp;PMtbl[Specification],0,),0),3)),SETUP!$D$19:$D$62,0),4))="Upfront",0,INDEX(SETUP!$C$19:$G$62,MATCH((INDEX(PMtbl[[WKst]:[Unit of measure*]],MATCH($A29&amp;$C29&amp;$D29,INDEX(PMtbl[Category]&amp;PMtbl[INN]&amp;PMtbl[Specification],0,),0),3)),SETUP!$D$19:$D$62,0),5)),"")</f>
        <v/>
      </c>
      <c r="AN29" s="1615"/>
    </row>
    <row r="30" spans="1:60">
      <c r="A30" s="3112"/>
      <c r="B30" s="3113"/>
      <c r="C30" s="1660"/>
      <c r="D30" s="1671"/>
      <c r="E30" s="1672" t="str">
        <f>IF(A30&lt;&gt;"",IFERROR(INDEX(PMtbl[[WKst]:[Unit of measure*]],MATCH($A30&amp;$C30&amp;$D30,INDEX(PMtbl[Category]&amp;PMtbl[INN]&amp;PMtbl[Specification],0,),0),8),""),"")</f>
        <v/>
      </c>
      <c r="F30" s="1663" t="str">
        <f>IF(E30="", "",SETUP!$E$5)</f>
        <v/>
      </c>
      <c r="G30" s="1737"/>
      <c r="H30" s="1738"/>
      <c r="I30" s="1738"/>
      <c r="J30" s="1738"/>
      <c r="K30" s="1738"/>
      <c r="L30" s="1666">
        <f>SUM(Table69121385[[#This Row],[Y1 Q1 quantity]:[Y1 Q4 quantity]])</f>
        <v>0</v>
      </c>
      <c r="M30" s="1673">
        <f>Table69121385[[#This Row],[Y1 Total quantity]]*Table69121385[[#This Row],[Y1 Unit cost]]</f>
        <v>0</v>
      </c>
      <c r="N30" s="1741"/>
      <c r="O30" s="1738"/>
      <c r="P30" s="1738"/>
      <c r="Q30" s="1738"/>
      <c r="R30" s="1738"/>
      <c r="S30" s="1666">
        <f>SUM(Table69121385[[#This Row],[Y2 Q1 quantity]:[Y2 Q4 quantity]])</f>
        <v>0</v>
      </c>
      <c r="T30" s="1673">
        <f>Table69121385[[#This Row],[Y2 Total quantity]]*Table69121385[[#This Row],[Y2 Unit cost]]</f>
        <v>0</v>
      </c>
      <c r="U30" s="1741"/>
      <c r="V30" s="1738"/>
      <c r="W30" s="1738"/>
      <c r="X30" s="1738"/>
      <c r="Y30" s="1738"/>
      <c r="Z30" s="1666">
        <f>SUM(Table69121385[[#This Row],[Y3 Q1 quantity]:[Y3 Q4 quantity]])</f>
        <v>0</v>
      </c>
      <c r="AA30" s="1667">
        <f>Table69121385[[#This Row],[Y3 Unit cost]]*Table69121385[[#This Row],[Y3 Total quantity]]</f>
        <v>0</v>
      </c>
      <c r="AB30" s="1674">
        <f>Table69121385[[#This Row],[Y1 Total quantity]]+Table69121385[[#This Row],[Y2 Total quantity]]+Table69121385[[#This Row],[Y3 Total quantity]]</f>
        <v>0</v>
      </c>
      <c r="AC30" s="1673">
        <f>Table69121385[[#This Row],[Y1 Total cost]]+Table69121385[[#This Row],[Y2 Total cost]]+Table69121385[[#This Row],[Y3 Total cost]]</f>
        <v>0</v>
      </c>
      <c r="AD30" s="1669" t="str">
        <f>IF(A30&lt;&gt;"",IFERROR(INDEX(PMtbl[[WKst]:[Unit of measure*]],MATCH($A30&amp;$C30&amp;$D30,INDEX(PMtbl[Category]&amp;PMtbl[INN]&amp;PMtbl[Specification],0,),0),7),""),"")</f>
        <v/>
      </c>
      <c r="AE30" s="1660"/>
      <c r="AF30" s="1675" t="str">
        <f>IFERROR(INDEX(SETUP!$C$19:$G$62,MATCH((INDEX(PMtbl[[WKst]:[Unit of measure*]],MATCH($A30&amp;$C30&amp;$D30,INDEX(PMtbl[Category]&amp;PMtbl[INN]&amp;PMtbl[Specification],0,),0),3)),SETUP!$D$19:$D$62,0),5),"")</f>
        <v/>
      </c>
      <c r="AG30" s="1639" t="str">
        <f>IFERROR(IF((INDEX(SETUP!$C$19:$G$62,MATCH((INDEX(PMtbl[[WKst]:[Unit of measure*]],MATCH($A30&amp;$C30&amp;$D30,INDEX(PMtbl[Category]&amp;PMtbl[INN]&amp;PMtbl[Specification],0,),0),3)),SETUP!$D$19:$D$62,0),4))="Upfront",0,INDEX(SETUP!$C$19:$G$62,MATCH((INDEX(PMtbl[[WKst]:[Unit of measure*]],MATCH($A30&amp;$C30&amp;$D30,INDEX(PMtbl[Category]&amp;PMtbl[INN]&amp;PMtbl[Specification],0,),0),3)),SETUP!$D$19:$D$62,0),5)),"")</f>
        <v/>
      </c>
      <c r="AN30" s="1615"/>
    </row>
    <row r="31" spans="1:60">
      <c r="A31" s="3150"/>
      <c r="B31" s="3151"/>
      <c r="C31" s="1643"/>
      <c r="D31" s="1634"/>
      <c r="E31" s="1635" t="str">
        <f>IF(A31&lt;&gt;"",IFERROR(INDEX(PMtbl[[WKst]:[Unit of measure*]],MATCH($A31&amp;$C31&amp;$D31,INDEX(PMtbl[Category]&amp;PMtbl[INN]&amp;PMtbl[Specification],0,),0),8),""),"")</f>
        <v/>
      </c>
      <c r="F31" s="1608" t="str">
        <f>IF(E31="", "",SETUP!$E$5)</f>
        <v/>
      </c>
      <c r="G31" s="1735"/>
      <c r="H31" s="1736"/>
      <c r="I31" s="1736"/>
      <c r="J31" s="1736"/>
      <c r="K31" s="1736"/>
      <c r="L31" s="1619">
        <f>SUM(Table69121385[[#This Row],[Y1 Q1 quantity]:[Y1 Q4 quantity]])</f>
        <v>0</v>
      </c>
      <c r="M31" s="1636">
        <f>Table69121385[[#This Row],[Y1 Total quantity]]*Table69121385[[#This Row],[Y1 Unit cost]]</f>
        <v>0</v>
      </c>
      <c r="N31" s="1742"/>
      <c r="O31" s="1736"/>
      <c r="P31" s="1736"/>
      <c r="Q31" s="1736"/>
      <c r="R31" s="1736"/>
      <c r="S31" s="1619">
        <f>SUM(Table69121385[[#This Row],[Y2 Q1 quantity]:[Y2 Q4 quantity]])</f>
        <v>0</v>
      </c>
      <c r="T31" s="1636">
        <f>Table69121385[[#This Row],[Y2 Total quantity]]*Table69121385[[#This Row],[Y2 Unit cost]]</f>
        <v>0</v>
      </c>
      <c r="U31" s="1742"/>
      <c r="V31" s="1736"/>
      <c r="W31" s="1736"/>
      <c r="X31" s="1736"/>
      <c r="Y31" s="1736"/>
      <c r="Z31" s="1619">
        <f>SUM(Table69121385[[#This Row],[Y3 Q1 quantity]:[Y3 Q4 quantity]])</f>
        <v>0</v>
      </c>
      <c r="AA31" s="1620">
        <f>Table69121385[[#This Row],[Y3 Unit cost]]*Table69121385[[#This Row],[Y3 Total quantity]]</f>
        <v>0</v>
      </c>
      <c r="AB31" s="1638">
        <f>Table69121385[[#This Row],[Y1 Total quantity]]+Table69121385[[#This Row],[Y2 Total quantity]]+Table69121385[[#This Row],[Y3 Total quantity]]</f>
        <v>0</v>
      </c>
      <c r="AC31" s="1636">
        <f>Table69121385[[#This Row],[Y1 Total cost]]+Table69121385[[#This Row],[Y2 Total cost]]+Table69121385[[#This Row],[Y3 Total cost]]</f>
        <v>0</v>
      </c>
      <c r="AD31" s="1637" t="str">
        <f>IF(A31&lt;&gt;"",IFERROR(INDEX(PMtbl[[WKst]:[Unit of measure*]],MATCH($A31&amp;$C31&amp;$D31,INDEX(PMtbl[Category]&amp;PMtbl[INN]&amp;PMtbl[Specification],0,),0),7),""),"")</f>
        <v/>
      </c>
      <c r="AE31" s="1643"/>
      <c r="AF31" s="1642" t="str">
        <f>IFERROR(INDEX(SETUP!$C$19:$G$62,MATCH((INDEX(PMtbl[[WKst]:[Unit of measure*]],MATCH($A31&amp;$C31&amp;$D31,INDEX(PMtbl[Category]&amp;PMtbl[INN]&amp;PMtbl[Specification],0,),0),3)),SETUP!$D$19:$D$62,0),5),"")</f>
        <v/>
      </c>
      <c r="AG31" s="1640" t="str">
        <f>IFERROR(IF((INDEX(SETUP!$C$19:$G$62,MATCH((INDEX(PMtbl[[WKst]:[Unit of measure*]],MATCH($A31&amp;$C31&amp;$D31,INDEX(PMtbl[Category]&amp;PMtbl[INN]&amp;PMtbl[Specification],0,),0),3)),SETUP!$D$19:$D$62,0),4))="Upfront",0,INDEX(SETUP!$C$19:$G$62,MATCH((INDEX(PMtbl[[WKst]:[Unit of measure*]],MATCH($A31&amp;$C31&amp;$D31,INDEX(PMtbl[Category]&amp;PMtbl[INN]&amp;PMtbl[Specification],0,),0),3)),SETUP!$D$19:$D$62,0),5)),"")</f>
        <v/>
      </c>
      <c r="AN31" s="1615"/>
    </row>
    <row r="32" spans="1:60">
      <c r="A32" s="3112"/>
      <c r="B32" s="3113"/>
      <c r="C32" s="1660"/>
      <c r="D32" s="1671"/>
      <c r="E32" s="1672" t="str">
        <f>IF(A32&lt;&gt;"",IFERROR(INDEX(PMtbl[[WKst]:[Unit of measure*]],MATCH($A32&amp;$C32&amp;$D32,INDEX(PMtbl[Category]&amp;PMtbl[INN]&amp;PMtbl[Specification],0,),0),8),""),"")</f>
        <v/>
      </c>
      <c r="F32" s="1663" t="str">
        <f>IF(E32="", "",SETUP!$E$5)</f>
        <v/>
      </c>
      <c r="G32" s="1737"/>
      <c r="H32" s="1738"/>
      <c r="I32" s="1738"/>
      <c r="J32" s="1738"/>
      <c r="K32" s="1738"/>
      <c r="L32" s="1666">
        <f>SUM(Table69121385[[#This Row],[Y1 Q1 quantity]:[Y1 Q4 quantity]])</f>
        <v>0</v>
      </c>
      <c r="M32" s="1673">
        <f>Table69121385[[#This Row],[Y1 Total quantity]]*Table69121385[[#This Row],[Y1 Unit cost]]</f>
        <v>0</v>
      </c>
      <c r="N32" s="1741"/>
      <c r="O32" s="1738"/>
      <c r="P32" s="1738"/>
      <c r="Q32" s="1738"/>
      <c r="R32" s="1738"/>
      <c r="S32" s="1666">
        <f>SUM(Table69121385[[#This Row],[Y2 Q1 quantity]:[Y2 Q4 quantity]])</f>
        <v>0</v>
      </c>
      <c r="T32" s="1673">
        <f>Table69121385[[#This Row],[Y2 Total quantity]]*Table69121385[[#This Row],[Y2 Unit cost]]</f>
        <v>0</v>
      </c>
      <c r="U32" s="1741"/>
      <c r="V32" s="1738"/>
      <c r="W32" s="1738"/>
      <c r="X32" s="1738"/>
      <c r="Y32" s="1738"/>
      <c r="Z32" s="1666">
        <f>SUM(Table69121385[[#This Row],[Y3 Q1 quantity]:[Y3 Q4 quantity]])</f>
        <v>0</v>
      </c>
      <c r="AA32" s="1667">
        <f>Table69121385[[#This Row],[Y3 Unit cost]]*Table69121385[[#This Row],[Y3 Total quantity]]</f>
        <v>0</v>
      </c>
      <c r="AB32" s="1674">
        <f>Table69121385[[#This Row],[Y1 Total quantity]]+Table69121385[[#This Row],[Y2 Total quantity]]+Table69121385[[#This Row],[Y3 Total quantity]]</f>
        <v>0</v>
      </c>
      <c r="AC32" s="1673">
        <f>Table69121385[[#This Row],[Y1 Total cost]]+Table69121385[[#This Row],[Y2 Total cost]]+Table69121385[[#This Row],[Y3 Total cost]]</f>
        <v>0</v>
      </c>
      <c r="AD32" s="1669" t="str">
        <f>IF(A32&lt;&gt;"",IFERROR(INDEX(PMtbl[[WKst]:[Unit of measure*]],MATCH($A32&amp;$C32&amp;$D32,INDEX(PMtbl[Category]&amp;PMtbl[INN]&amp;PMtbl[Specification],0,),0),7),""),"")</f>
        <v/>
      </c>
      <c r="AE32" s="1660"/>
      <c r="AF32" s="1675" t="str">
        <f>IFERROR(INDEX(SETUP!$C$19:$G$62,MATCH((INDEX(PMtbl[[WKst]:[Unit of measure*]],MATCH($A32&amp;$C32&amp;$D32,INDEX(PMtbl[Category]&amp;PMtbl[INN]&amp;PMtbl[Specification],0,),0),3)),SETUP!$D$19:$D$62,0),5),"")</f>
        <v/>
      </c>
      <c r="AG32" s="1639" t="str">
        <f>IFERROR(IF((INDEX(SETUP!$C$19:$G$62,MATCH((INDEX(PMtbl[[WKst]:[Unit of measure*]],MATCH($A32&amp;$C32&amp;$D32,INDEX(PMtbl[Category]&amp;PMtbl[INN]&amp;PMtbl[Specification],0,),0),3)),SETUP!$D$19:$D$62,0),4))="Upfront",0,INDEX(SETUP!$C$19:$G$62,MATCH((INDEX(PMtbl[[WKst]:[Unit of measure*]],MATCH($A32&amp;$C32&amp;$D32,INDEX(PMtbl[Category]&amp;PMtbl[INN]&amp;PMtbl[Specification],0,),0),3)),SETUP!$D$19:$D$62,0),5)),"")</f>
        <v/>
      </c>
      <c r="AN32" s="1615"/>
    </row>
    <row r="33" spans="1:40">
      <c r="A33" s="3150"/>
      <c r="B33" s="3151"/>
      <c r="C33" s="1643"/>
      <c r="D33" s="1634"/>
      <c r="E33" s="1635" t="str">
        <f>IF(A33&lt;&gt;"",IFERROR(INDEX(PMtbl[[WKst]:[Unit of measure*]],MATCH($A33&amp;$C33&amp;$D33,INDEX(PMtbl[Category]&amp;PMtbl[INN]&amp;PMtbl[Specification],0,),0),8),""),"")</f>
        <v/>
      </c>
      <c r="F33" s="1608" t="str">
        <f>IF(E33="", "",SETUP!$E$5)</f>
        <v/>
      </c>
      <c r="G33" s="1735"/>
      <c r="H33" s="1736"/>
      <c r="I33" s="1736"/>
      <c r="J33" s="1736"/>
      <c r="K33" s="1736"/>
      <c r="L33" s="1619">
        <f>SUM(Table69121385[[#This Row],[Y1 Q1 quantity]:[Y1 Q4 quantity]])</f>
        <v>0</v>
      </c>
      <c r="M33" s="1636">
        <f>Table69121385[[#This Row],[Y1 Total quantity]]*Table69121385[[#This Row],[Y1 Unit cost]]</f>
        <v>0</v>
      </c>
      <c r="N33" s="1742"/>
      <c r="O33" s="1736"/>
      <c r="P33" s="1736"/>
      <c r="Q33" s="1736"/>
      <c r="R33" s="1736"/>
      <c r="S33" s="1619">
        <f>SUM(Table69121385[[#This Row],[Y2 Q1 quantity]:[Y2 Q4 quantity]])</f>
        <v>0</v>
      </c>
      <c r="T33" s="1636">
        <f>Table69121385[[#This Row],[Y2 Total quantity]]*Table69121385[[#This Row],[Y2 Unit cost]]</f>
        <v>0</v>
      </c>
      <c r="U33" s="1742"/>
      <c r="V33" s="1736"/>
      <c r="W33" s="1736"/>
      <c r="X33" s="1736"/>
      <c r="Y33" s="1736"/>
      <c r="Z33" s="1619">
        <f>SUM(Table69121385[[#This Row],[Y3 Q1 quantity]:[Y3 Q4 quantity]])</f>
        <v>0</v>
      </c>
      <c r="AA33" s="1620">
        <f>Table69121385[[#This Row],[Y3 Unit cost]]*Table69121385[[#This Row],[Y3 Total quantity]]</f>
        <v>0</v>
      </c>
      <c r="AB33" s="1638">
        <f>Table69121385[[#This Row],[Y1 Total quantity]]+Table69121385[[#This Row],[Y2 Total quantity]]+Table69121385[[#This Row],[Y3 Total quantity]]</f>
        <v>0</v>
      </c>
      <c r="AC33" s="1636">
        <f>Table69121385[[#This Row],[Y1 Total cost]]+Table69121385[[#This Row],[Y2 Total cost]]+Table69121385[[#This Row],[Y3 Total cost]]</f>
        <v>0</v>
      </c>
      <c r="AD33" s="1637" t="str">
        <f>IF(A33&lt;&gt;"",IFERROR(INDEX(PMtbl[[WKst]:[Unit of measure*]],MATCH($A33&amp;$C33&amp;$D33,INDEX(PMtbl[Category]&amp;PMtbl[INN]&amp;PMtbl[Specification],0,),0),7),""),"")</f>
        <v/>
      </c>
      <c r="AE33" s="1643"/>
      <c r="AF33" s="1642" t="str">
        <f>IFERROR(INDEX(SETUP!$C$19:$G$62,MATCH((INDEX(PMtbl[[WKst]:[Unit of measure*]],MATCH($A33&amp;$C33&amp;$D33,INDEX(PMtbl[Category]&amp;PMtbl[INN]&amp;PMtbl[Specification],0,),0),3)),SETUP!$D$19:$D$62,0),5),"")</f>
        <v/>
      </c>
      <c r="AG33" s="1640" t="str">
        <f>IFERROR(IF((INDEX(SETUP!$C$19:$G$62,MATCH((INDEX(PMtbl[[WKst]:[Unit of measure*]],MATCH($A33&amp;$C33&amp;$D33,INDEX(PMtbl[Category]&amp;PMtbl[INN]&amp;PMtbl[Specification],0,),0),3)),SETUP!$D$19:$D$62,0),4))="Upfront",0,INDEX(SETUP!$C$19:$G$62,MATCH((INDEX(PMtbl[[WKst]:[Unit of measure*]],MATCH($A33&amp;$C33&amp;$D33,INDEX(PMtbl[Category]&amp;PMtbl[INN]&amp;PMtbl[Specification],0,),0),3)),SETUP!$D$19:$D$62,0),5)),"")</f>
        <v/>
      </c>
      <c r="AN33" s="1615"/>
    </row>
    <row r="34" spans="1:40">
      <c r="A34" s="3112"/>
      <c r="B34" s="3113"/>
      <c r="C34" s="1660"/>
      <c r="D34" s="1671"/>
      <c r="E34" s="1672" t="str">
        <f>IF(A34&lt;&gt;"",IFERROR(INDEX(PMtbl[[WKst]:[Unit of measure*]],MATCH($A34&amp;$C34&amp;$D34,INDEX(PMtbl[Category]&amp;PMtbl[INN]&amp;PMtbl[Specification],0,),0),8),""),"")</f>
        <v/>
      </c>
      <c r="F34" s="1663" t="str">
        <f>IF(E34="", "",SETUP!$E$5)</f>
        <v/>
      </c>
      <c r="G34" s="1737"/>
      <c r="H34" s="1738"/>
      <c r="I34" s="1738"/>
      <c r="J34" s="1738"/>
      <c r="K34" s="1738"/>
      <c r="L34" s="1666">
        <f>SUM(Table69121385[[#This Row],[Y1 Q1 quantity]:[Y1 Q4 quantity]])</f>
        <v>0</v>
      </c>
      <c r="M34" s="1673">
        <f>Table69121385[[#This Row],[Y1 Total quantity]]*Table69121385[[#This Row],[Y1 Unit cost]]</f>
        <v>0</v>
      </c>
      <c r="N34" s="1741"/>
      <c r="O34" s="1738"/>
      <c r="P34" s="1738"/>
      <c r="Q34" s="1738"/>
      <c r="R34" s="1738"/>
      <c r="S34" s="1666">
        <f>SUM(Table69121385[[#This Row],[Y2 Q1 quantity]:[Y2 Q4 quantity]])</f>
        <v>0</v>
      </c>
      <c r="T34" s="1673">
        <f>Table69121385[[#This Row],[Y2 Total quantity]]*Table69121385[[#This Row],[Y2 Unit cost]]</f>
        <v>0</v>
      </c>
      <c r="U34" s="1741"/>
      <c r="V34" s="1738"/>
      <c r="W34" s="1738"/>
      <c r="X34" s="1738"/>
      <c r="Y34" s="1738"/>
      <c r="Z34" s="1666">
        <f>SUM(Table69121385[[#This Row],[Y3 Q1 quantity]:[Y3 Q4 quantity]])</f>
        <v>0</v>
      </c>
      <c r="AA34" s="1667">
        <f>Table69121385[[#This Row],[Y3 Unit cost]]*Table69121385[[#This Row],[Y3 Total quantity]]</f>
        <v>0</v>
      </c>
      <c r="AB34" s="1674">
        <f>Table69121385[[#This Row],[Y1 Total quantity]]+Table69121385[[#This Row],[Y2 Total quantity]]+Table69121385[[#This Row],[Y3 Total quantity]]</f>
        <v>0</v>
      </c>
      <c r="AC34" s="1673">
        <f>Table69121385[[#This Row],[Y1 Total cost]]+Table69121385[[#This Row],[Y2 Total cost]]+Table69121385[[#This Row],[Y3 Total cost]]</f>
        <v>0</v>
      </c>
      <c r="AD34" s="1669" t="str">
        <f>IF(A34&lt;&gt;"",IFERROR(INDEX(PMtbl[[WKst]:[Unit of measure*]],MATCH($A34&amp;$C34&amp;$D34,INDEX(PMtbl[Category]&amp;PMtbl[INN]&amp;PMtbl[Specification],0,),0),7),""),"")</f>
        <v/>
      </c>
      <c r="AE34" s="1660"/>
      <c r="AF34" s="1675" t="str">
        <f>IFERROR(INDEX(SETUP!$C$19:$G$62,MATCH((INDEX(PMtbl[[WKst]:[Unit of measure*]],MATCH($A34&amp;$C34&amp;$D34,INDEX(PMtbl[Category]&amp;PMtbl[INN]&amp;PMtbl[Specification],0,),0),3)),SETUP!$D$19:$D$62,0),5),"")</f>
        <v/>
      </c>
      <c r="AG34" s="1639" t="str">
        <f>IFERROR(IF((INDEX(SETUP!$C$19:$G$62,MATCH((INDEX(PMtbl[[WKst]:[Unit of measure*]],MATCH($A34&amp;$C34&amp;$D34,INDEX(PMtbl[Category]&amp;PMtbl[INN]&amp;PMtbl[Specification],0,),0),3)),SETUP!$D$19:$D$62,0),4))="Upfront",0,INDEX(SETUP!$C$19:$G$62,MATCH((INDEX(PMtbl[[WKst]:[Unit of measure*]],MATCH($A34&amp;$C34&amp;$D34,INDEX(PMtbl[Category]&amp;PMtbl[INN]&amp;PMtbl[Specification],0,),0),3)),SETUP!$D$19:$D$62,0),5)),"")</f>
        <v/>
      </c>
      <c r="AN34" s="1615"/>
    </row>
    <row r="35" spans="1:40">
      <c r="A35" s="3150"/>
      <c r="B35" s="3151"/>
      <c r="C35" s="1643"/>
      <c r="D35" s="1634"/>
      <c r="E35" s="1635" t="str">
        <f>IF(A35&lt;&gt;"",IFERROR(INDEX(PMtbl[[WKst]:[Unit of measure*]],MATCH($A35&amp;$C35&amp;$D35,INDEX(PMtbl[Category]&amp;PMtbl[INN]&amp;PMtbl[Specification],0,),0),8),""),"")</f>
        <v/>
      </c>
      <c r="F35" s="1608" t="str">
        <f>IF(E35="", "",SETUP!$E$5)</f>
        <v/>
      </c>
      <c r="G35" s="1735"/>
      <c r="H35" s="1736"/>
      <c r="I35" s="1736"/>
      <c r="J35" s="1736"/>
      <c r="K35" s="1736"/>
      <c r="L35" s="1619">
        <f>SUM(Table69121385[[#This Row],[Y1 Q1 quantity]:[Y1 Q4 quantity]])</f>
        <v>0</v>
      </c>
      <c r="M35" s="1636">
        <f>Table69121385[[#This Row],[Y1 Total quantity]]*Table69121385[[#This Row],[Y1 Unit cost]]</f>
        <v>0</v>
      </c>
      <c r="N35" s="1742"/>
      <c r="O35" s="1736"/>
      <c r="P35" s="1736"/>
      <c r="Q35" s="1736"/>
      <c r="R35" s="1736"/>
      <c r="S35" s="1619">
        <f>SUM(Table69121385[[#This Row],[Y2 Q1 quantity]:[Y2 Q4 quantity]])</f>
        <v>0</v>
      </c>
      <c r="T35" s="1636">
        <f>Table69121385[[#This Row],[Y2 Total quantity]]*Table69121385[[#This Row],[Y2 Unit cost]]</f>
        <v>0</v>
      </c>
      <c r="U35" s="1742"/>
      <c r="V35" s="1736"/>
      <c r="W35" s="1736"/>
      <c r="X35" s="1736"/>
      <c r="Y35" s="1736"/>
      <c r="Z35" s="1619">
        <f>SUM(Table69121385[[#This Row],[Y3 Q1 quantity]:[Y3 Q4 quantity]])</f>
        <v>0</v>
      </c>
      <c r="AA35" s="1620">
        <f>Table69121385[[#This Row],[Y3 Unit cost]]*Table69121385[[#This Row],[Y3 Total quantity]]</f>
        <v>0</v>
      </c>
      <c r="AB35" s="1638">
        <f>Table69121385[[#This Row],[Y1 Total quantity]]+Table69121385[[#This Row],[Y2 Total quantity]]+Table69121385[[#This Row],[Y3 Total quantity]]</f>
        <v>0</v>
      </c>
      <c r="AC35" s="1636">
        <f>Table69121385[[#This Row],[Y1 Total cost]]+Table69121385[[#This Row],[Y2 Total cost]]+Table69121385[[#This Row],[Y3 Total cost]]</f>
        <v>0</v>
      </c>
      <c r="AD35" s="1637" t="str">
        <f>IF(A35&lt;&gt;"",IFERROR(INDEX(PMtbl[[WKst]:[Unit of measure*]],MATCH($A35&amp;$C35&amp;$D35,INDEX(PMtbl[Category]&amp;PMtbl[INN]&amp;PMtbl[Specification],0,),0),7),""),"")</f>
        <v/>
      </c>
      <c r="AE35" s="1643"/>
      <c r="AF35" s="1642" t="str">
        <f>IFERROR(INDEX(SETUP!$C$19:$G$62,MATCH((INDEX(PMtbl[[WKst]:[Unit of measure*]],MATCH($A35&amp;$C35&amp;$D35,INDEX(PMtbl[Category]&amp;PMtbl[INN]&amp;PMtbl[Specification],0,),0),3)),SETUP!$D$19:$D$62,0),5),"")</f>
        <v/>
      </c>
      <c r="AG35" s="1640" t="str">
        <f>IFERROR(IF((INDEX(SETUP!$C$19:$G$62,MATCH((INDEX(PMtbl[[WKst]:[Unit of measure*]],MATCH($A35&amp;$C35&amp;$D35,INDEX(PMtbl[Category]&amp;PMtbl[INN]&amp;PMtbl[Specification],0,),0),3)),SETUP!$D$19:$D$62,0),4))="Upfront",0,INDEX(SETUP!$C$19:$G$62,MATCH((INDEX(PMtbl[[WKst]:[Unit of measure*]],MATCH($A35&amp;$C35&amp;$D35,INDEX(PMtbl[Category]&amp;PMtbl[INN]&amp;PMtbl[Specification],0,),0),3)),SETUP!$D$19:$D$62,0),5)),"")</f>
        <v/>
      </c>
      <c r="AN35" s="1615"/>
    </row>
    <row r="36" spans="1:40">
      <c r="A36" s="3112"/>
      <c r="B36" s="3113"/>
      <c r="C36" s="1660"/>
      <c r="D36" s="1671"/>
      <c r="E36" s="1672" t="str">
        <f>IF(A36&lt;&gt;"",IFERROR(INDEX(PMtbl[[WKst]:[Unit of measure*]],MATCH($A36&amp;$C36&amp;$D36,INDEX(PMtbl[Category]&amp;PMtbl[INN]&amp;PMtbl[Specification],0,),0),8),""),"")</f>
        <v/>
      </c>
      <c r="F36" s="1663" t="str">
        <f>IF(E36="", "",SETUP!$E$5)</f>
        <v/>
      </c>
      <c r="G36" s="1737"/>
      <c r="H36" s="1738"/>
      <c r="I36" s="1738"/>
      <c r="J36" s="1738"/>
      <c r="K36" s="1738"/>
      <c r="L36" s="1666">
        <f>SUM(Table69121385[[#This Row],[Y1 Q1 quantity]:[Y1 Q4 quantity]])</f>
        <v>0</v>
      </c>
      <c r="M36" s="1673">
        <f>Table69121385[[#This Row],[Y1 Total quantity]]*Table69121385[[#This Row],[Y1 Unit cost]]</f>
        <v>0</v>
      </c>
      <c r="N36" s="1741"/>
      <c r="O36" s="1738"/>
      <c r="P36" s="1738"/>
      <c r="Q36" s="1738"/>
      <c r="R36" s="1738"/>
      <c r="S36" s="1666">
        <f>SUM(Table69121385[[#This Row],[Y2 Q1 quantity]:[Y2 Q4 quantity]])</f>
        <v>0</v>
      </c>
      <c r="T36" s="1673">
        <f>Table69121385[[#This Row],[Y2 Total quantity]]*Table69121385[[#This Row],[Y2 Unit cost]]</f>
        <v>0</v>
      </c>
      <c r="U36" s="1741"/>
      <c r="V36" s="1738"/>
      <c r="W36" s="1738"/>
      <c r="X36" s="1738"/>
      <c r="Y36" s="1738"/>
      <c r="Z36" s="1666">
        <f>SUM(Table69121385[[#This Row],[Y3 Q1 quantity]:[Y3 Q4 quantity]])</f>
        <v>0</v>
      </c>
      <c r="AA36" s="1667">
        <f>Table69121385[[#This Row],[Y3 Unit cost]]*Table69121385[[#This Row],[Y3 Total quantity]]</f>
        <v>0</v>
      </c>
      <c r="AB36" s="1674">
        <f>Table69121385[[#This Row],[Y1 Total quantity]]+Table69121385[[#This Row],[Y2 Total quantity]]+Table69121385[[#This Row],[Y3 Total quantity]]</f>
        <v>0</v>
      </c>
      <c r="AC36" s="1673">
        <f>Table69121385[[#This Row],[Y1 Total cost]]+Table69121385[[#This Row],[Y2 Total cost]]+Table69121385[[#This Row],[Y3 Total cost]]</f>
        <v>0</v>
      </c>
      <c r="AD36" s="1669" t="str">
        <f>IF(A36&lt;&gt;"",IFERROR(INDEX(PMtbl[[WKst]:[Unit of measure*]],MATCH($A36&amp;$C36&amp;$D36,INDEX(PMtbl[Category]&amp;PMtbl[INN]&amp;PMtbl[Specification],0,),0),7),""),"")</f>
        <v/>
      </c>
      <c r="AE36" s="1660"/>
      <c r="AF36" s="1675" t="str">
        <f>IFERROR(INDEX(SETUP!$C$19:$G$62,MATCH((INDEX(PMtbl[[WKst]:[Unit of measure*]],MATCH($A36&amp;$C36&amp;$D36,INDEX(PMtbl[Category]&amp;PMtbl[INN]&amp;PMtbl[Specification],0,),0),3)),SETUP!$D$19:$D$62,0),5),"")</f>
        <v/>
      </c>
      <c r="AG36" s="1639" t="str">
        <f>IFERROR(IF((INDEX(SETUP!$C$19:$G$62,MATCH((INDEX(PMtbl[[WKst]:[Unit of measure*]],MATCH($A36&amp;$C36&amp;$D36,INDEX(PMtbl[Category]&amp;PMtbl[INN]&amp;PMtbl[Specification],0,),0),3)),SETUP!$D$19:$D$62,0),4))="Upfront",0,INDEX(SETUP!$C$19:$G$62,MATCH((INDEX(PMtbl[[WKst]:[Unit of measure*]],MATCH($A36&amp;$C36&amp;$D36,INDEX(PMtbl[Category]&amp;PMtbl[INN]&amp;PMtbl[Specification],0,),0),3)),SETUP!$D$19:$D$62,0),5)),"")</f>
        <v/>
      </c>
      <c r="AN36" s="1615"/>
    </row>
    <row r="37" spans="1:40">
      <c r="A37" s="3150"/>
      <c r="B37" s="3151"/>
      <c r="C37" s="1643"/>
      <c r="D37" s="1634"/>
      <c r="E37" s="1635" t="str">
        <f>IF(A37&lt;&gt;"",IFERROR(INDEX(PMtbl[[WKst]:[Unit of measure*]],MATCH($A37&amp;$C37&amp;$D37,INDEX(PMtbl[Category]&amp;PMtbl[INN]&amp;PMtbl[Specification],0,),0),8),""),"")</f>
        <v/>
      </c>
      <c r="F37" s="1608" t="str">
        <f>IF(E37="", "",SETUP!$E$5)</f>
        <v/>
      </c>
      <c r="G37" s="1735"/>
      <c r="H37" s="1736"/>
      <c r="I37" s="1736"/>
      <c r="J37" s="1736"/>
      <c r="K37" s="1736"/>
      <c r="L37" s="1619">
        <f>SUM(Table69121385[[#This Row],[Y1 Q1 quantity]:[Y1 Q4 quantity]])</f>
        <v>0</v>
      </c>
      <c r="M37" s="1636">
        <f>Table69121385[[#This Row],[Y1 Total quantity]]*Table69121385[[#This Row],[Y1 Unit cost]]</f>
        <v>0</v>
      </c>
      <c r="N37" s="1742"/>
      <c r="O37" s="1736"/>
      <c r="P37" s="1736"/>
      <c r="Q37" s="1736"/>
      <c r="R37" s="1736"/>
      <c r="S37" s="1619">
        <f>SUM(Table69121385[[#This Row],[Y2 Q1 quantity]:[Y2 Q4 quantity]])</f>
        <v>0</v>
      </c>
      <c r="T37" s="1636">
        <f>Table69121385[[#This Row],[Y2 Total quantity]]*Table69121385[[#This Row],[Y2 Unit cost]]</f>
        <v>0</v>
      </c>
      <c r="U37" s="1742"/>
      <c r="V37" s="1736"/>
      <c r="W37" s="1736"/>
      <c r="X37" s="1736"/>
      <c r="Y37" s="1736"/>
      <c r="Z37" s="1619">
        <f>SUM(Table69121385[[#This Row],[Y3 Q1 quantity]:[Y3 Q4 quantity]])</f>
        <v>0</v>
      </c>
      <c r="AA37" s="1620">
        <f>Table69121385[[#This Row],[Y3 Unit cost]]*Table69121385[[#This Row],[Y3 Total quantity]]</f>
        <v>0</v>
      </c>
      <c r="AB37" s="1638">
        <f>Table69121385[[#This Row],[Y1 Total quantity]]+Table69121385[[#This Row],[Y2 Total quantity]]+Table69121385[[#This Row],[Y3 Total quantity]]</f>
        <v>0</v>
      </c>
      <c r="AC37" s="1636">
        <f>Table69121385[[#This Row],[Y1 Total cost]]+Table69121385[[#This Row],[Y2 Total cost]]+Table69121385[[#This Row],[Y3 Total cost]]</f>
        <v>0</v>
      </c>
      <c r="AD37" s="1637" t="str">
        <f>IF(A37&lt;&gt;"",IFERROR(INDEX(PMtbl[[WKst]:[Unit of measure*]],MATCH($A37&amp;$C37&amp;$D37,INDEX(PMtbl[Category]&amp;PMtbl[INN]&amp;PMtbl[Specification],0,),0),7),""),"")</f>
        <v/>
      </c>
      <c r="AE37" s="1643"/>
      <c r="AF37" s="1642" t="str">
        <f>IFERROR(INDEX(SETUP!$C$19:$G$62,MATCH((INDEX(PMtbl[[WKst]:[Unit of measure*]],MATCH($A37&amp;$C37&amp;$D37,INDEX(PMtbl[Category]&amp;PMtbl[INN]&amp;PMtbl[Specification],0,),0),3)),SETUP!$D$19:$D$62,0),5),"")</f>
        <v/>
      </c>
      <c r="AG37" s="1640" t="str">
        <f>IFERROR(IF((INDEX(SETUP!$C$19:$G$62,MATCH((INDEX(PMtbl[[WKst]:[Unit of measure*]],MATCH($A37&amp;$C37&amp;$D37,INDEX(PMtbl[Category]&amp;PMtbl[INN]&amp;PMtbl[Specification],0,),0),3)),SETUP!$D$19:$D$62,0),4))="Upfront",0,INDEX(SETUP!$C$19:$G$62,MATCH((INDEX(PMtbl[[WKst]:[Unit of measure*]],MATCH($A37&amp;$C37&amp;$D37,INDEX(PMtbl[Category]&amp;PMtbl[INN]&amp;PMtbl[Specification],0,),0),3)),SETUP!$D$19:$D$62,0),5)),"")</f>
        <v/>
      </c>
      <c r="AN37" s="1615"/>
    </row>
    <row r="38" spans="1:40">
      <c r="A38" s="3112"/>
      <c r="B38" s="3113"/>
      <c r="C38" s="1660"/>
      <c r="D38" s="1671"/>
      <c r="E38" s="1672" t="str">
        <f>IF(A38&lt;&gt;"",IFERROR(INDEX(PMtbl[[WKst]:[Unit of measure*]],MATCH($A38&amp;$C38&amp;$D38,INDEX(PMtbl[Category]&amp;PMtbl[INN]&amp;PMtbl[Specification],0,),0),8),""),"")</f>
        <v/>
      </c>
      <c r="F38" s="1663" t="str">
        <f>IF(E38="", "",SETUP!$E$5)</f>
        <v/>
      </c>
      <c r="G38" s="1737"/>
      <c r="H38" s="1738"/>
      <c r="I38" s="1738"/>
      <c r="J38" s="1738"/>
      <c r="K38" s="1738"/>
      <c r="L38" s="1666">
        <f>SUM(Table69121385[[#This Row],[Y1 Q1 quantity]:[Y1 Q4 quantity]])</f>
        <v>0</v>
      </c>
      <c r="M38" s="1673">
        <f>Table69121385[[#This Row],[Y1 Total quantity]]*Table69121385[[#This Row],[Y1 Unit cost]]</f>
        <v>0</v>
      </c>
      <c r="N38" s="1741"/>
      <c r="O38" s="1738"/>
      <c r="P38" s="1738"/>
      <c r="Q38" s="1738"/>
      <c r="R38" s="1738"/>
      <c r="S38" s="1666">
        <f>SUM(Table69121385[[#This Row],[Y2 Q1 quantity]:[Y2 Q4 quantity]])</f>
        <v>0</v>
      </c>
      <c r="T38" s="1673">
        <f>Table69121385[[#This Row],[Y2 Total quantity]]*Table69121385[[#This Row],[Y2 Unit cost]]</f>
        <v>0</v>
      </c>
      <c r="U38" s="1741"/>
      <c r="V38" s="1738"/>
      <c r="W38" s="1738"/>
      <c r="X38" s="1738"/>
      <c r="Y38" s="1738"/>
      <c r="Z38" s="1666">
        <f>SUM(Table69121385[[#This Row],[Y3 Q1 quantity]:[Y3 Q4 quantity]])</f>
        <v>0</v>
      </c>
      <c r="AA38" s="1667">
        <f>Table69121385[[#This Row],[Y3 Unit cost]]*Table69121385[[#This Row],[Y3 Total quantity]]</f>
        <v>0</v>
      </c>
      <c r="AB38" s="1674">
        <f>Table69121385[[#This Row],[Y1 Total quantity]]+Table69121385[[#This Row],[Y2 Total quantity]]+Table69121385[[#This Row],[Y3 Total quantity]]</f>
        <v>0</v>
      </c>
      <c r="AC38" s="1673">
        <f>Table69121385[[#This Row],[Y1 Total cost]]+Table69121385[[#This Row],[Y2 Total cost]]+Table69121385[[#This Row],[Y3 Total cost]]</f>
        <v>0</v>
      </c>
      <c r="AD38" s="1669" t="str">
        <f>IF(A38&lt;&gt;"",IFERROR(INDEX(PMtbl[[WKst]:[Unit of measure*]],MATCH($A38&amp;$C38&amp;$D38,INDEX(PMtbl[Category]&amp;PMtbl[INN]&amp;PMtbl[Specification],0,),0),7),""),"")</f>
        <v/>
      </c>
      <c r="AE38" s="1660"/>
      <c r="AF38" s="1675" t="str">
        <f>IFERROR(INDEX(SETUP!$C$19:$G$62,MATCH((INDEX(PMtbl[[WKst]:[Unit of measure*]],MATCH($A38&amp;$C38&amp;$D38,INDEX(PMtbl[Category]&amp;PMtbl[INN]&amp;PMtbl[Specification],0,),0),3)),SETUP!$D$19:$D$62,0),5),"")</f>
        <v/>
      </c>
      <c r="AG38" s="1639" t="str">
        <f>IFERROR(IF((INDEX(SETUP!$C$19:$G$62,MATCH((INDEX(PMtbl[[WKst]:[Unit of measure*]],MATCH($A38&amp;$C38&amp;$D38,INDEX(PMtbl[Category]&amp;PMtbl[INN]&amp;PMtbl[Specification],0,),0),3)),SETUP!$D$19:$D$62,0),4))="Upfront",0,INDEX(SETUP!$C$19:$G$62,MATCH((INDEX(PMtbl[[WKst]:[Unit of measure*]],MATCH($A38&amp;$C38&amp;$D38,INDEX(PMtbl[Category]&amp;PMtbl[INN]&amp;PMtbl[Specification],0,),0),3)),SETUP!$D$19:$D$62,0),5)),"")</f>
        <v/>
      </c>
      <c r="AN38" s="1615"/>
    </row>
    <row r="39" spans="1:40">
      <c r="A39" s="3150"/>
      <c r="B39" s="3151"/>
      <c r="C39" s="1643"/>
      <c r="D39" s="1634"/>
      <c r="E39" s="1635" t="str">
        <f>IF(A39&lt;&gt;"",IFERROR(INDEX(PMtbl[[WKst]:[Unit of measure*]],MATCH($A39&amp;$C39&amp;$D39,INDEX(PMtbl[Category]&amp;PMtbl[INN]&amp;PMtbl[Specification],0,),0),8),""),"")</f>
        <v/>
      </c>
      <c r="F39" s="1608" t="str">
        <f>IF(E39="", "",SETUP!$E$5)</f>
        <v/>
      </c>
      <c r="G39" s="1735"/>
      <c r="H39" s="1736"/>
      <c r="I39" s="1736"/>
      <c r="J39" s="1736"/>
      <c r="K39" s="1736"/>
      <c r="L39" s="1619">
        <f>SUM(Table69121385[[#This Row],[Y1 Q1 quantity]:[Y1 Q4 quantity]])</f>
        <v>0</v>
      </c>
      <c r="M39" s="1636">
        <f>Table69121385[[#This Row],[Y1 Total quantity]]*Table69121385[[#This Row],[Y1 Unit cost]]</f>
        <v>0</v>
      </c>
      <c r="N39" s="1742"/>
      <c r="O39" s="1736"/>
      <c r="P39" s="1736"/>
      <c r="Q39" s="1736"/>
      <c r="R39" s="1736"/>
      <c r="S39" s="1619">
        <f>SUM(Table69121385[[#This Row],[Y2 Q1 quantity]:[Y2 Q4 quantity]])</f>
        <v>0</v>
      </c>
      <c r="T39" s="1636">
        <f>Table69121385[[#This Row],[Y2 Total quantity]]*Table69121385[[#This Row],[Y2 Unit cost]]</f>
        <v>0</v>
      </c>
      <c r="U39" s="1742"/>
      <c r="V39" s="1736"/>
      <c r="W39" s="1736"/>
      <c r="X39" s="1736"/>
      <c r="Y39" s="1736"/>
      <c r="Z39" s="1619">
        <f>SUM(Table69121385[[#This Row],[Y3 Q1 quantity]:[Y3 Q4 quantity]])</f>
        <v>0</v>
      </c>
      <c r="AA39" s="1620">
        <f>Table69121385[[#This Row],[Y3 Unit cost]]*Table69121385[[#This Row],[Y3 Total quantity]]</f>
        <v>0</v>
      </c>
      <c r="AB39" s="1638">
        <f>Table69121385[[#This Row],[Y1 Total quantity]]+Table69121385[[#This Row],[Y2 Total quantity]]+Table69121385[[#This Row],[Y3 Total quantity]]</f>
        <v>0</v>
      </c>
      <c r="AC39" s="1636">
        <f>Table69121385[[#This Row],[Y1 Total cost]]+Table69121385[[#This Row],[Y2 Total cost]]+Table69121385[[#This Row],[Y3 Total cost]]</f>
        <v>0</v>
      </c>
      <c r="AD39" s="1637" t="str">
        <f>IF(A39&lt;&gt;"",IFERROR(INDEX(PMtbl[[WKst]:[Unit of measure*]],MATCH($A39&amp;$C39&amp;$D39,INDEX(PMtbl[Category]&amp;PMtbl[INN]&amp;PMtbl[Specification],0,),0),7),""),"")</f>
        <v/>
      </c>
      <c r="AE39" s="1643"/>
      <c r="AF39" s="1642" t="str">
        <f>IFERROR(INDEX(SETUP!$C$19:$G$62,MATCH((INDEX(PMtbl[[WKst]:[Unit of measure*]],MATCH($A39&amp;$C39&amp;$D39,INDEX(PMtbl[Category]&amp;PMtbl[INN]&amp;PMtbl[Specification],0,),0),3)),SETUP!$D$19:$D$62,0),5),"")</f>
        <v/>
      </c>
      <c r="AG39" s="1640" t="str">
        <f>IFERROR(IF((INDEX(SETUP!$C$19:$G$62,MATCH((INDEX(PMtbl[[WKst]:[Unit of measure*]],MATCH($A39&amp;$C39&amp;$D39,INDEX(PMtbl[Category]&amp;PMtbl[INN]&amp;PMtbl[Specification],0,),0),3)),SETUP!$D$19:$D$62,0),4))="Upfront",0,INDEX(SETUP!$C$19:$G$62,MATCH((INDEX(PMtbl[[WKst]:[Unit of measure*]],MATCH($A39&amp;$C39&amp;$D39,INDEX(PMtbl[Category]&amp;PMtbl[INN]&amp;PMtbl[Specification],0,),0),3)),SETUP!$D$19:$D$62,0),5)),"")</f>
        <v/>
      </c>
      <c r="AN39" s="1615"/>
    </row>
    <row r="40" spans="1:40">
      <c r="A40" s="3112"/>
      <c r="B40" s="3113"/>
      <c r="C40" s="1660"/>
      <c r="D40" s="1671"/>
      <c r="E40" s="1672" t="str">
        <f>IF(A40&lt;&gt;"",IFERROR(INDEX(PMtbl[[WKst]:[Unit of measure*]],MATCH($A40&amp;$C40&amp;$D40,INDEX(PMtbl[Category]&amp;PMtbl[INN]&amp;PMtbl[Specification],0,),0),8),""),"")</f>
        <v/>
      </c>
      <c r="F40" s="1663" t="str">
        <f>IF(E40="", "",SETUP!$E$5)</f>
        <v/>
      </c>
      <c r="G40" s="1737"/>
      <c r="H40" s="1738"/>
      <c r="I40" s="1738"/>
      <c r="J40" s="1738"/>
      <c r="K40" s="1738"/>
      <c r="L40" s="1666">
        <f>SUM(Table69121385[[#This Row],[Y1 Q1 quantity]:[Y1 Q4 quantity]])</f>
        <v>0</v>
      </c>
      <c r="M40" s="1673">
        <f>Table69121385[[#This Row],[Y1 Total quantity]]*Table69121385[[#This Row],[Y1 Unit cost]]</f>
        <v>0</v>
      </c>
      <c r="N40" s="1741"/>
      <c r="O40" s="1738"/>
      <c r="P40" s="1738"/>
      <c r="Q40" s="1738"/>
      <c r="R40" s="1738"/>
      <c r="S40" s="1666">
        <f>SUM(Table69121385[[#This Row],[Y2 Q1 quantity]:[Y2 Q4 quantity]])</f>
        <v>0</v>
      </c>
      <c r="T40" s="1673">
        <f>Table69121385[[#This Row],[Y2 Total quantity]]*Table69121385[[#This Row],[Y2 Unit cost]]</f>
        <v>0</v>
      </c>
      <c r="U40" s="1741"/>
      <c r="V40" s="1738"/>
      <c r="W40" s="1738"/>
      <c r="X40" s="1738"/>
      <c r="Y40" s="1738"/>
      <c r="Z40" s="1666">
        <f>SUM(Table69121385[[#This Row],[Y3 Q1 quantity]:[Y3 Q4 quantity]])</f>
        <v>0</v>
      </c>
      <c r="AA40" s="1667">
        <f>Table69121385[[#This Row],[Y3 Unit cost]]*Table69121385[[#This Row],[Y3 Total quantity]]</f>
        <v>0</v>
      </c>
      <c r="AB40" s="1674">
        <f>Table69121385[[#This Row],[Y1 Total quantity]]+Table69121385[[#This Row],[Y2 Total quantity]]+Table69121385[[#This Row],[Y3 Total quantity]]</f>
        <v>0</v>
      </c>
      <c r="AC40" s="1673">
        <f>Table69121385[[#This Row],[Y1 Total cost]]+Table69121385[[#This Row],[Y2 Total cost]]+Table69121385[[#This Row],[Y3 Total cost]]</f>
        <v>0</v>
      </c>
      <c r="AD40" s="1669" t="str">
        <f>IF(A40&lt;&gt;"",IFERROR(INDEX(PMtbl[[WKst]:[Unit of measure*]],MATCH($A40&amp;$C40&amp;$D40,INDEX(PMtbl[Category]&amp;PMtbl[INN]&amp;PMtbl[Specification],0,),0),7),""),"")</f>
        <v/>
      </c>
      <c r="AE40" s="1660"/>
      <c r="AF40" s="1675" t="str">
        <f>IFERROR(INDEX(SETUP!$C$19:$G$62,MATCH((INDEX(PMtbl[[WKst]:[Unit of measure*]],MATCH($A40&amp;$C40&amp;$D40,INDEX(PMtbl[Category]&amp;PMtbl[INN]&amp;PMtbl[Specification],0,),0),3)),SETUP!$D$19:$D$62,0),5),"")</f>
        <v/>
      </c>
      <c r="AG40" s="1639" t="str">
        <f>IFERROR(IF((INDEX(SETUP!$C$19:$G$62,MATCH((INDEX(PMtbl[[WKst]:[Unit of measure*]],MATCH($A40&amp;$C40&amp;$D40,INDEX(PMtbl[Category]&amp;PMtbl[INN]&amp;PMtbl[Specification],0,),0),3)),SETUP!$D$19:$D$62,0),4))="Upfront",0,INDEX(SETUP!$C$19:$G$62,MATCH((INDEX(PMtbl[[WKst]:[Unit of measure*]],MATCH($A40&amp;$C40&amp;$D40,INDEX(PMtbl[Category]&amp;PMtbl[INN]&amp;PMtbl[Specification],0,),0),3)),SETUP!$D$19:$D$62,0),5)),"")</f>
        <v/>
      </c>
      <c r="AN40" s="1615"/>
    </row>
    <row r="41" spans="1:40">
      <c r="A41" s="3150"/>
      <c r="B41" s="3151"/>
      <c r="C41" s="1643"/>
      <c r="D41" s="1634"/>
      <c r="E41" s="1635" t="str">
        <f>IF(A41&lt;&gt;"",IFERROR(INDEX(PMtbl[[WKst]:[Unit of measure*]],MATCH($A41&amp;$C41&amp;$D41,INDEX(PMtbl[Category]&amp;PMtbl[INN]&amp;PMtbl[Specification],0,),0),8),""),"")</f>
        <v/>
      </c>
      <c r="F41" s="1608" t="str">
        <f>IF(E41="", "",SETUP!$E$5)</f>
        <v/>
      </c>
      <c r="G41" s="1735"/>
      <c r="H41" s="1736"/>
      <c r="I41" s="1736"/>
      <c r="J41" s="1736"/>
      <c r="K41" s="1736"/>
      <c r="L41" s="1619">
        <f>SUM(Table69121385[[#This Row],[Y1 Q1 quantity]:[Y1 Q4 quantity]])</f>
        <v>0</v>
      </c>
      <c r="M41" s="1636">
        <f>Table69121385[[#This Row],[Y1 Total quantity]]*Table69121385[[#This Row],[Y1 Unit cost]]</f>
        <v>0</v>
      </c>
      <c r="N41" s="1742"/>
      <c r="O41" s="1736"/>
      <c r="P41" s="1736"/>
      <c r="Q41" s="1736"/>
      <c r="R41" s="1736"/>
      <c r="S41" s="1619">
        <f>SUM(Table69121385[[#This Row],[Y2 Q1 quantity]:[Y2 Q4 quantity]])</f>
        <v>0</v>
      </c>
      <c r="T41" s="1636">
        <f>Table69121385[[#This Row],[Y2 Total quantity]]*Table69121385[[#This Row],[Y2 Unit cost]]</f>
        <v>0</v>
      </c>
      <c r="U41" s="1742"/>
      <c r="V41" s="1736"/>
      <c r="W41" s="1736"/>
      <c r="X41" s="1736"/>
      <c r="Y41" s="1736"/>
      <c r="Z41" s="1619">
        <f>SUM(Table69121385[[#This Row],[Y3 Q1 quantity]:[Y3 Q4 quantity]])</f>
        <v>0</v>
      </c>
      <c r="AA41" s="1620">
        <f>Table69121385[[#This Row],[Y3 Unit cost]]*Table69121385[[#This Row],[Y3 Total quantity]]</f>
        <v>0</v>
      </c>
      <c r="AB41" s="1638">
        <f>Table69121385[[#This Row],[Y1 Total quantity]]+Table69121385[[#This Row],[Y2 Total quantity]]+Table69121385[[#This Row],[Y3 Total quantity]]</f>
        <v>0</v>
      </c>
      <c r="AC41" s="1636">
        <f>Table69121385[[#This Row],[Y1 Total cost]]+Table69121385[[#This Row],[Y2 Total cost]]+Table69121385[[#This Row],[Y3 Total cost]]</f>
        <v>0</v>
      </c>
      <c r="AD41" s="1637" t="str">
        <f>IF(A41&lt;&gt;"",IFERROR(INDEX(PMtbl[[WKst]:[Unit of measure*]],MATCH($A41&amp;$C41&amp;$D41,INDEX(PMtbl[Category]&amp;PMtbl[INN]&amp;PMtbl[Specification],0,),0),7),""),"")</f>
        <v/>
      </c>
      <c r="AE41" s="1643"/>
      <c r="AF41" s="1642" t="str">
        <f>IFERROR(INDEX(SETUP!$C$19:$G$62,MATCH((INDEX(PMtbl[[WKst]:[Unit of measure*]],MATCH($A41&amp;$C41&amp;$D41,INDEX(PMtbl[Category]&amp;PMtbl[INN]&amp;PMtbl[Specification],0,),0),3)),SETUP!$D$19:$D$62,0),5),"")</f>
        <v/>
      </c>
      <c r="AG41" s="1640" t="str">
        <f>IFERROR(IF((INDEX(SETUP!$C$19:$G$62,MATCH((INDEX(PMtbl[[WKst]:[Unit of measure*]],MATCH($A41&amp;$C41&amp;$D41,INDEX(PMtbl[Category]&amp;PMtbl[INN]&amp;PMtbl[Specification],0,),0),3)),SETUP!$D$19:$D$62,0),4))="Upfront",0,INDEX(SETUP!$C$19:$G$62,MATCH((INDEX(PMtbl[[WKst]:[Unit of measure*]],MATCH($A41&amp;$C41&amp;$D41,INDEX(PMtbl[Category]&amp;PMtbl[INN]&amp;PMtbl[Specification],0,),0),3)),SETUP!$D$19:$D$62,0),5)),"")</f>
        <v/>
      </c>
      <c r="AN41" s="1615"/>
    </row>
    <row r="42" spans="1:40">
      <c r="A42" s="3112"/>
      <c r="B42" s="3113"/>
      <c r="C42" s="1660"/>
      <c r="D42" s="1671"/>
      <c r="E42" s="1672" t="str">
        <f>IF(A42&lt;&gt;"",IFERROR(INDEX(PMtbl[[WKst]:[Unit of measure*]],MATCH($A42&amp;$C42&amp;$D42,INDEX(PMtbl[Category]&amp;PMtbl[INN]&amp;PMtbl[Specification],0,),0),8),""),"")</f>
        <v/>
      </c>
      <c r="F42" s="1663" t="str">
        <f>IF(E42="", "",SETUP!$E$5)</f>
        <v/>
      </c>
      <c r="G42" s="1737"/>
      <c r="H42" s="1738"/>
      <c r="I42" s="1738"/>
      <c r="J42" s="1738"/>
      <c r="K42" s="1738"/>
      <c r="L42" s="1666">
        <f>SUM(Table69121385[[#This Row],[Y1 Q1 quantity]:[Y1 Q4 quantity]])</f>
        <v>0</v>
      </c>
      <c r="M42" s="1673">
        <f>Table69121385[[#This Row],[Y1 Total quantity]]*Table69121385[[#This Row],[Y1 Unit cost]]</f>
        <v>0</v>
      </c>
      <c r="N42" s="1741"/>
      <c r="O42" s="1738"/>
      <c r="P42" s="1738"/>
      <c r="Q42" s="1738"/>
      <c r="R42" s="1738"/>
      <c r="S42" s="1666">
        <f>SUM(Table69121385[[#This Row],[Y2 Q1 quantity]:[Y2 Q4 quantity]])</f>
        <v>0</v>
      </c>
      <c r="T42" s="1673">
        <f>Table69121385[[#This Row],[Y2 Total quantity]]*Table69121385[[#This Row],[Y2 Unit cost]]</f>
        <v>0</v>
      </c>
      <c r="U42" s="1741"/>
      <c r="V42" s="1738"/>
      <c r="W42" s="1738"/>
      <c r="X42" s="1738"/>
      <c r="Y42" s="1738"/>
      <c r="Z42" s="1666">
        <f>SUM(Table69121385[[#This Row],[Y3 Q1 quantity]:[Y3 Q4 quantity]])</f>
        <v>0</v>
      </c>
      <c r="AA42" s="1667">
        <f>Table69121385[[#This Row],[Y3 Unit cost]]*Table69121385[[#This Row],[Y3 Total quantity]]</f>
        <v>0</v>
      </c>
      <c r="AB42" s="1674">
        <f>Table69121385[[#This Row],[Y1 Total quantity]]+Table69121385[[#This Row],[Y2 Total quantity]]+Table69121385[[#This Row],[Y3 Total quantity]]</f>
        <v>0</v>
      </c>
      <c r="AC42" s="1673">
        <f>Table69121385[[#This Row],[Y1 Total cost]]+Table69121385[[#This Row],[Y2 Total cost]]+Table69121385[[#This Row],[Y3 Total cost]]</f>
        <v>0</v>
      </c>
      <c r="AD42" s="1669" t="str">
        <f>IF(A42&lt;&gt;"",IFERROR(INDEX(PMtbl[[WKst]:[Unit of measure*]],MATCH($A42&amp;$C42&amp;$D42,INDEX(PMtbl[Category]&amp;PMtbl[INN]&amp;PMtbl[Specification],0,),0),7),""),"")</f>
        <v/>
      </c>
      <c r="AE42" s="1660"/>
      <c r="AF42" s="1675" t="str">
        <f>IFERROR(INDEX(SETUP!$C$19:$G$62,MATCH((INDEX(PMtbl[[WKst]:[Unit of measure*]],MATCH($A42&amp;$C42&amp;$D42,INDEX(PMtbl[Category]&amp;PMtbl[INN]&amp;PMtbl[Specification],0,),0),3)),SETUP!$D$19:$D$62,0),5),"")</f>
        <v/>
      </c>
      <c r="AG42" s="1639" t="str">
        <f>IFERROR(IF((INDEX(SETUP!$C$19:$G$62,MATCH((INDEX(PMtbl[[WKst]:[Unit of measure*]],MATCH($A42&amp;$C42&amp;$D42,INDEX(PMtbl[Category]&amp;PMtbl[INN]&amp;PMtbl[Specification],0,),0),3)),SETUP!$D$19:$D$62,0),4))="Upfront",0,INDEX(SETUP!$C$19:$G$62,MATCH((INDEX(PMtbl[[WKst]:[Unit of measure*]],MATCH($A42&amp;$C42&amp;$D42,INDEX(PMtbl[Category]&amp;PMtbl[INN]&amp;PMtbl[Specification],0,),0),3)),SETUP!$D$19:$D$62,0),5)),"")</f>
        <v/>
      </c>
      <c r="AN42" s="1615"/>
    </row>
    <row r="43" spans="1:40">
      <c r="A43" s="3150"/>
      <c r="B43" s="3151"/>
      <c r="C43" s="1643"/>
      <c r="D43" s="1634"/>
      <c r="E43" s="1635" t="str">
        <f>IF(A43&lt;&gt;"",IFERROR(INDEX(PMtbl[[WKst]:[Unit of measure*]],MATCH($A43&amp;$C43&amp;$D43,INDEX(PMtbl[Category]&amp;PMtbl[INN]&amp;PMtbl[Specification],0,),0),8),""),"")</f>
        <v/>
      </c>
      <c r="F43" s="1608" t="str">
        <f>IF(E43="", "",SETUP!$E$5)</f>
        <v/>
      </c>
      <c r="G43" s="1735"/>
      <c r="H43" s="1736"/>
      <c r="I43" s="1736"/>
      <c r="J43" s="1736"/>
      <c r="K43" s="1736"/>
      <c r="L43" s="1619">
        <f>SUM(Table69121385[[#This Row],[Y1 Q1 quantity]:[Y1 Q4 quantity]])</f>
        <v>0</v>
      </c>
      <c r="M43" s="1636">
        <f>Table69121385[[#This Row],[Y1 Total quantity]]*Table69121385[[#This Row],[Y1 Unit cost]]</f>
        <v>0</v>
      </c>
      <c r="N43" s="1742"/>
      <c r="O43" s="1736"/>
      <c r="P43" s="1736"/>
      <c r="Q43" s="1736"/>
      <c r="R43" s="1736"/>
      <c r="S43" s="1619">
        <f>SUM(Table69121385[[#This Row],[Y2 Q1 quantity]:[Y2 Q4 quantity]])</f>
        <v>0</v>
      </c>
      <c r="T43" s="1636">
        <f>Table69121385[[#This Row],[Y2 Total quantity]]*Table69121385[[#This Row],[Y2 Unit cost]]</f>
        <v>0</v>
      </c>
      <c r="U43" s="1742"/>
      <c r="V43" s="1736"/>
      <c r="W43" s="1736"/>
      <c r="X43" s="1736"/>
      <c r="Y43" s="1736"/>
      <c r="Z43" s="1619">
        <f>SUM(Table69121385[[#This Row],[Y3 Q1 quantity]:[Y3 Q4 quantity]])</f>
        <v>0</v>
      </c>
      <c r="AA43" s="1620">
        <f>Table69121385[[#This Row],[Y3 Unit cost]]*Table69121385[[#This Row],[Y3 Total quantity]]</f>
        <v>0</v>
      </c>
      <c r="AB43" s="1638">
        <f>Table69121385[[#This Row],[Y1 Total quantity]]+Table69121385[[#This Row],[Y2 Total quantity]]+Table69121385[[#This Row],[Y3 Total quantity]]</f>
        <v>0</v>
      </c>
      <c r="AC43" s="1636">
        <f>Table69121385[[#This Row],[Y1 Total cost]]+Table69121385[[#This Row],[Y2 Total cost]]+Table69121385[[#This Row],[Y3 Total cost]]</f>
        <v>0</v>
      </c>
      <c r="AD43" s="1637" t="str">
        <f>IF(A43&lt;&gt;"",IFERROR(INDEX(PMtbl[[WKst]:[Unit of measure*]],MATCH($A43&amp;$C43&amp;$D43,INDEX(PMtbl[Category]&amp;PMtbl[INN]&amp;PMtbl[Specification],0,),0),7),""),"")</f>
        <v/>
      </c>
      <c r="AE43" s="1643"/>
      <c r="AF43" s="1642" t="str">
        <f>IFERROR(INDEX(SETUP!$C$19:$G$62,MATCH((INDEX(PMtbl[[WKst]:[Unit of measure*]],MATCH($A43&amp;$C43&amp;$D43,INDEX(PMtbl[Category]&amp;PMtbl[INN]&amp;PMtbl[Specification],0,),0),3)),SETUP!$D$19:$D$62,0),5),"")</f>
        <v/>
      </c>
      <c r="AG43" s="1640" t="str">
        <f>IFERROR(IF((INDEX(SETUP!$C$19:$G$62,MATCH((INDEX(PMtbl[[WKst]:[Unit of measure*]],MATCH($A43&amp;$C43&amp;$D43,INDEX(PMtbl[Category]&amp;PMtbl[INN]&amp;PMtbl[Specification],0,),0),3)),SETUP!$D$19:$D$62,0),4))="Upfront",0,INDEX(SETUP!$C$19:$G$62,MATCH((INDEX(PMtbl[[WKst]:[Unit of measure*]],MATCH($A43&amp;$C43&amp;$D43,INDEX(PMtbl[Category]&amp;PMtbl[INN]&amp;PMtbl[Specification],0,),0),3)),SETUP!$D$19:$D$62,0),5)),"")</f>
        <v/>
      </c>
      <c r="AN43" s="1615"/>
    </row>
    <row r="44" spans="1:40">
      <c r="A44" s="3112"/>
      <c r="B44" s="3113"/>
      <c r="C44" s="1660"/>
      <c r="D44" s="1671"/>
      <c r="E44" s="1672" t="str">
        <f>IF(A44&lt;&gt;"",IFERROR(INDEX(PMtbl[[WKst]:[Unit of measure*]],MATCH($A44&amp;$C44&amp;$D44,INDEX(PMtbl[Category]&amp;PMtbl[INN]&amp;PMtbl[Specification],0,),0),8),""),"")</f>
        <v/>
      </c>
      <c r="F44" s="1663" t="str">
        <f>IF(E44="", "",SETUP!$E$5)</f>
        <v/>
      </c>
      <c r="G44" s="1737"/>
      <c r="H44" s="1738"/>
      <c r="I44" s="1738"/>
      <c r="J44" s="1738"/>
      <c r="K44" s="1738"/>
      <c r="L44" s="1666">
        <f>SUM(Table69121385[[#This Row],[Y1 Q1 quantity]:[Y1 Q4 quantity]])</f>
        <v>0</v>
      </c>
      <c r="M44" s="1673">
        <f>Table69121385[[#This Row],[Y1 Total quantity]]*Table69121385[[#This Row],[Y1 Unit cost]]</f>
        <v>0</v>
      </c>
      <c r="N44" s="1741"/>
      <c r="O44" s="1738"/>
      <c r="P44" s="1738"/>
      <c r="Q44" s="1738"/>
      <c r="R44" s="1738"/>
      <c r="S44" s="1666">
        <f>SUM(Table69121385[[#This Row],[Y2 Q1 quantity]:[Y2 Q4 quantity]])</f>
        <v>0</v>
      </c>
      <c r="T44" s="1673">
        <f>Table69121385[[#This Row],[Y2 Total quantity]]*Table69121385[[#This Row],[Y2 Unit cost]]</f>
        <v>0</v>
      </c>
      <c r="U44" s="1741"/>
      <c r="V44" s="1738"/>
      <c r="W44" s="1738"/>
      <c r="X44" s="1738"/>
      <c r="Y44" s="1738"/>
      <c r="Z44" s="1666">
        <f>SUM(Table69121385[[#This Row],[Y3 Q1 quantity]:[Y3 Q4 quantity]])</f>
        <v>0</v>
      </c>
      <c r="AA44" s="1667">
        <f>Table69121385[[#This Row],[Y3 Unit cost]]*Table69121385[[#This Row],[Y3 Total quantity]]</f>
        <v>0</v>
      </c>
      <c r="AB44" s="1674">
        <f>Table69121385[[#This Row],[Y1 Total quantity]]+Table69121385[[#This Row],[Y2 Total quantity]]+Table69121385[[#This Row],[Y3 Total quantity]]</f>
        <v>0</v>
      </c>
      <c r="AC44" s="1673">
        <f>Table69121385[[#This Row],[Y1 Total cost]]+Table69121385[[#This Row],[Y2 Total cost]]+Table69121385[[#This Row],[Y3 Total cost]]</f>
        <v>0</v>
      </c>
      <c r="AD44" s="1669" t="str">
        <f>IF(A44&lt;&gt;"",IFERROR(INDEX(PMtbl[[WKst]:[Unit of measure*]],MATCH($A44&amp;$C44&amp;$D44,INDEX(PMtbl[Category]&amp;PMtbl[INN]&amp;PMtbl[Specification],0,),0),7),""),"")</f>
        <v/>
      </c>
      <c r="AE44" s="1660"/>
      <c r="AF44" s="1675" t="str">
        <f>IFERROR(INDEX(SETUP!$C$19:$G$62,MATCH((INDEX(PMtbl[[WKst]:[Unit of measure*]],MATCH($A44&amp;$C44&amp;$D44,INDEX(PMtbl[Category]&amp;PMtbl[INN]&amp;PMtbl[Specification],0,),0),3)),SETUP!$D$19:$D$62,0),5),"")</f>
        <v/>
      </c>
      <c r="AG44" s="1639" t="str">
        <f>IFERROR(IF((INDEX(SETUP!$C$19:$G$62,MATCH((INDEX(PMtbl[[WKst]:[Unit of measure*]],MATCH($A44&amp;$C44&amp;$D44,INDEX(PMtbl[Category]&amp;PMtbl[INN]&amp;PMtbl[Specification],0,),0),3)),SETUP!$D$19:$D$62,0),4))="Upfront",0,INDEX(SETUP!$C$19:$G$62,MATCH((INDEX(PMtbl[[WKst]:[Unit of measure*]],MATCH($A44&amp;$C44&amp;$D44,INDEX(PMtbl[Category]&amp;PMtbl[INN]&amp;PMtbl[Specification],0,),0),3)),SETUP!$D$19:$D$62,0),5)),"")</f>
        <v/>
      </c>
      <c r="AN44" s="1615"/>
    </row>
    <row r="45" spans="1:40">
      <c r="A45" s="3150"/>
      <c r="B45" s="3151"/>
      <c r="C45" s="1643"/>
      <c r="D45" s="1634"/>
      <c r="E45" s="1635" t="str">
        <f>IF(A45&lt;&gt;"",IFERROR(INDEX(PMtbl[[WKst]:[Unit of measure*]],MATCH($A45&amp;$C45&amp;$D45,INDEX(PMtbl[Category]&amp;PMtbl[INN]&amp;PMtbl[Specification],0,),0),8),""),"")</f>
        <v/>
      </c>
      <c r="F45" s="1608" t="str">
        <f>IF(E45="", "",SETUP!$E$5)</f>
        <v/>
      </c>
      <c r="G45" s="1735"/>
      <c r="H45" s="1736"/>
      <c r="I45" s="1736"/>
      <c r="J45" s="1736"/>
      <c r="K45" s="1736"/>
      <c r="L45" s="1619">
        <f>SUM(Table69121385[[#This Row],[Y1 Q1 quantity]:[Y1 Q4 quantity]])</f>
        <v>0</v>
      </c>
      <c r="M45" s="1636">
        <f>Table69121385[[#This Row],[Y1 Total quantity]]*Table69121385[[#This Row],[Y1 Unit cost]]</f>
        <v>0</v>
      </c>
      <c r="N45" s="1742"/>
      <c r="O45" s="1736"/>
      <c r="P45" s="1736"/>
      <c r="Q45" s="1736"/>
      <c r="R45" s="1736"/>
      <c r="S45" s="1619">
        <f>SUM(Table69121385[[#This Row],[Y2 Q1 quantity]:[Y2 Q4 quantity]])</f>
        <v>0</v>
      </c>
      <c r="T45" s="1636">
        <f>Table69121385[[#This Row],[Y2 Total quantity]]*Table69121385[[#This Row],[Y2 Unit cost]]</f>
        <v>0</v>
      </c>
      <c r="U45" s="1742"/>
      <c r="V45" s="1736"/>
      <c r="W45" s="1736"/>
      <c r="X45" s="1736"/>
      <c r="Y45" s="1736"/>
      <c r="Z45" s="1619">
        <f>SUM(Table69121385[[#This Row],[Y3 Q1 quantity]:[Y3 Q4 quantity]])</f>
        <v>0</v>
      </c>
      <c r="AA45" s="1620">
        <f>Table69121385[[#This Row],[Y3 Unit cost]]*Table69121385[[#This Row],[Y3 Total quantity]]</f>
        <v>0</v>
      </c>
      <c r="AB45" s="1638">
        <f>Table69121385[[#This Row],[Y1 Total quantity]]+Table69121385[[#This Row],[Y2 Total quantity]]+Table69121385[[#This Row],[Y3 Total quantity]]</f>
        <v>0</v>
      </c>
      <c r="AC45" s="1636">
        <f>Table69121385[[#This Row],[Y1 Total cost]]+Table69121385[[#This Row],[Y2 Total cost]]+Table69121385[[#This Row],[Y3 Total cost]]</f>
        <v>0</v>
      </c>
      <c r="AD45" s="1637" t="str">
        <f>IF(A45&lt;&gt;"",IFERROR(INDEX(PMtbl[[WKst]:[Unit of measure*]],MATCH($A45&amp;$C45&amp;$D45,INDEX(PMtbl[Category]&amp;PMtbl[INN]&amp;PMtbl[Specification],0,),0),7),""),"")</f>
        <v/>
      </c>
      <c r="AE45" s="1643"/>
      <c r="AF45" s="1642" t="str">
        <f>IFERROR(INDEX(SETUP!$C$19:$G$62,MATCH((INDEX(PMtbl[[WKst]:[Unit of measure*]],MATCH($A45&amp;$C45&amp;$D45,INDEX(PMtbl[Category]&amp;PMtbl[INN]&amp;PMtbl[Specification],0,),0),3)),SETUP!$D$19:$D$62,0),5),"")</f>
        <v/>
      </c>
      <c r="AG45" s="1640" t="str">
        <f>IFERROR(IF((INDEX(SETUP!$C$19:$G$62,MATCH((INDEX(PMtbl[[WKst]:[Unit of measure*]],MATCH($A45&amp;$C45&amp;$D45,INDEX(PMtbl[Category]&amp;PMtbl[INN]&amp;PMtbl[Specification],0,),0),3)),SETUP!$D$19:$D$62,0),4))="Upfront",0,INDEX(SETUP!$C$19:$G$62,MATCH((INDEX(PMtbl[[WKst]:[Unit of measure*]],MATCH($A45&amp;$C45&amp;$D45,INDEX(PMtbl[Category]&amp;PMtbl[INN]&amp;PMtbl[Specification],0,),0),3)),SETUP!$D$19:$D$62,0),5)),"")</f>
        <v/>
      </c>
      <c r="AN45" s="1615"/>
    </row>
    <row r="46" spans="1:40">
      <c r="A46" s="3112"/>
      <c r="B46" s="3113"/>
      <c r="C46" s="1660"/>
      <c r="D46" s="1671"/>
      <c r="E46" s="1672" t="str">
        <f>IF(A46&lt;&gt;"",IFERROR(INDEX(PMtbl[[WKst]:[Unit of measure*]],MATCH($A46&amp;$C46&amp;$D46,INDEX(PMtbl[Category]&amp;PMtbl[INN]&amp;PMtbl[Specification],0,),0),8),""),"")</f>
        <v/>
      </c>
      <c r="F46" s="1663" t="str">
        <f>IF(E46="", "",SETUP!$E$5)</f>
        <v/>
      </c>
      <c r="G46" s="1737"/>
      <c r="H46" s="1738"/>
      <c r="I46" s="1738"/>
      <c r="J46" s="1738"/>
      <c r="K46" s="1738"/>
      <c r="L46" s="1666">
        <f>SUM(Table69121385[[#This Row],[Y1 Q1 quantity]:[Y1 Q4 quantity]])</f>
        <v>0</v>
      </c>
      <c r="M46" s="1673">
        <f>Table69121385[[#This Row],[Y1 Total quantity]]*Table69121385[[#This Row],[Y1 Unit cost]]</f>
        <v>0</v>
      </c>
      <c r="N46" s="1741"/>
      <c r="O46" s="1738"/>
      <c r="P46" s="1738"/>
      <c r="Q46" s="1738"/>
      <c r="R46" s="1738"/>
      <c r="S46" s="1666">
        <f>SUM(Table69121385[[#This Row],[Y2 Q1 quantity]:[Y2 Q4 quantity]])</f>
        <v>0</v>
      </c>
      <c r="T46" s="1673">
        <f>Table69121385[[#This Row],[Y2 Total quantity]]*Table69121385[[#This Row],[Y2 Unit cost]]</f>
        <v>0</v>
      </c>
      <c r="U46" s="1741"/>
      <c r="V46" s="1738"/>
      <c r="W46" s="1738"/>
      <c r="X46" s="1738"/>
      <c r="Y46" s="1738"/>
      <c r="Z46" s="1666">
        <f>SUM(Table69121385[[#This Row],[Y3 Q1 quantity]:[Y3 Q4 quantity]])</f>
        <v>0</v>
      </c>
      <c r="AA46" s="1667">
        <f>Table69121385[[#This Row],[Y3 Unit cost]]*Table69121385[[#This Row],[Y3 Total quantity]]</f>
        <v>0</v>
      </c>
      <c r="AB46" s="1674">
        <f>Table69121385[[#This Row],[Y1 Total quantity]]+Table69121385[[#This Row],[Y2 Total quantity]]+Table69121385[[#This Row],[Y3 Total quantity]]</f>
        <v>0</v>
      </c>
      <c r="AC46" s="1673">
        <f>Table69121385[[#This Row],[Y1 Total cost]]+Table69121385[[#This Row],[Y2 Total cost]]+Table69121385[[#This Row],[Y3 Total cost]]</f>
        <v>0</v>
      </c>
      <c r="AD46" s="1669" t="str">
        <f>IF(A46&lt;&gt;"",IFERROR(INDEX(PMtbl[[WKst]:[Unit of measure*]],MATCH($A46&amp;$C46&amp;$D46,INDEX(PMtbl[Category]&amp;PMtbl[INN]&amp;PMtbl[Specification],0,),0),7),""),"")</f>
        <v/>
      </c>
      <c r="AE46" s="1660"/>
      <c r="AF46" s="1675" t="str">
        <f>IFERROR(INDEX(SETUP!$C$19:$G$62,MATCH((INDEX(PMtbl[[WKst]:[Unit of measure*]],MATCH($A46&amp;$C46&amp;$D46,INDEX(PMtbl[Category]&amp;PMtbl[INN]&amp;PMtbl[Specification],0,),0),3)),SETUP!$D$19:$D$62,0),5),"")</f>
        <v/>
      </c>
      <c r="AG46" s="1639" t="str">
        <f>IFERROR(IF((INDEX(SETUP!$C$19:$G$62,MATCH((INDEX(PMtbl[[WKst]:[Unit of measure*]],MATCH($A46&amp;$C46&amp;$D46,INDEX(PMtbl[Category]&amp;PMtbl[INN]&amp;PMtbl[Specification],0,),0),3)),SETUP!$D$19:$D$62,0),4))="Upfront",0,INDEX(SETUP!$C$19:$G$62,MATCH((INDEX(PMtbl[[WKst]:[Unit of measure*]],MATCH($A46&amp;$C46&amp;$D46,INDEX(PMtbl[Category]&amp;PMtbl[INN]&amp;PMtbl[Specification],0,),0),3)),SETUP!$D$19:$D$62,0),5)),"")</f>
        <v/>
      </c>
      <c r="AN46" s="1615"/>
    </row>
    <row r="47" spans="1:40">
      <c r="A47" s="3150"/>
      <c r="B47" s="3151"/>
      <c r="C47" s="1643"/>
      <c r="D47" s="1634"/>
      <c r="E47" s="1635" t="str">
        <f>IF(A47&lt;&gt;"",IFERROR(INDEX(PMtbl[[WKst]:[Unit of measure*]],MATCH($A47&amp;$C47&amp;$D47,INDEX(PMtbl[Category]&amp;PMtbl[INN]&amp;PMtbl[Specification],0,),0),8),""),"")</f>
        <v/>
      </c>
      <c r="F47" s="1608" t="str">
        <f>IF(E47="", "",SETUP!$E$5)</f>
        <v/>
      </c>
      <c r="G47" s="1735"/>
      <c r="H47" s="1736"/>
      <c r="I47" s="1736"/>
      <c r="J47" s="1736"/>
      <c r="K47" s="1736"/>
      <c r="L47" s="1619">
        <f>SUM(Table69121385[[#This Row],[Y1 Q1 quantity]:[Y1 Q4 quantity]])</f>
        <v>0</v>
      </c>
      <c r="M47" s="1636">
        <f>Table69121385[[#This Row],[Y1 Total quantity]]*Table69121385[[#This Row],[Y1 Unit cost]]</f>
        <v>0</v>
      </c>
      <c r="N47" s="1742"/>
      <c r="O47" s="1736"/>
      <c r="P47" s="1736"/>
      <c r="Q47" s="1736"/>
      <c r="R47" s="1736"/>
      <c r="S47" s="1619">
        <f>SUM(Table69121385[[#This Row],[Y2 Q1 quantity]:[Y2 Q4 quantity]])</f>
        <v>0</v>
      </c>
      <c r="T47" s="1636">
        <f>Table69121385[[#This Row],[Y2 Total quantity]]*Table69121385[[#This Row],[Y2 Unit cost]]</f>
        <v>0</v>
      </c>
      <c r="U47" s="1742"/>
      <c r="V47" s="1736"/>
      <c r="W47" s="1736"/>
      <c r="X47" s="1736"/>
      <c r="Y47" s="1736"/>
      <c r="Z47" s="1619">
        <f>SUM(Table69121385[[#This Row],[Y3 Q1 quantity]:[Y3 Q4 quantity]])</f>
        <v>0</v>
      </c>
      <c r="AA47" s="1620">
        <f>Table69121385[[#This Row],[Y3 Unit cost]]*Table69121385[[#This Row],[Y3 Total quantity]]</f>
        <v>0</v>
      </c>
      <c r="AB47" s="1638">
        <f>Table69121385[[#This Row],[Y1 Total quantity]]+Table69121385[[#This Row],[Y2 Total quantity]]+Table69121385[[#This Row],[Y3 Total quantity]]</f>
        <v>0</v>
      </c>
      <c r="AC47" s="1636">
        <f>Table69121385[[#This Row],[Y1 Total cost]]+Table69121385[[#This Row],[Y2 Total cost]]+Table69121385[[#This Row],[Y3 Total cost]]</f>
        <v>0</v>
      </c>
      <c r="AD47" s="1637" t="str">
        <f>IF(A47&lt;&gt;"",IFERROR(INDEX(PMtbl[[WKst]:[Unit of measure*]],MATCH($A47&amp;$C47&amp;$D47,INDEX(PMtbl[Category]&amp;PMtbl[INN]&amp;PMtbl[Specification],0,),0),7),""),"")</f>
        <v/>
      </c>
      <c r="AE47" s="1643"/>
      <c r="AF47" s="1642" t="str">
        <f>IFERROR(INDEX(SETUP!$C$19:$G$62,MATCH((INDEX(PMtbl[[WKst]:[Unit of measure*]],MATCH($A47&amp;$C47&amp;$D47,INDEX(PMtbl[Category]&amp;PMtbl[INN]&amp;PMtbl[Specification],0,),0),3)),SETUP!$D$19:$D$62,0),5),"")</f>
        <v/>
      </c>
      <c r="AG47" s="1640" t="str">
        <f>IFERROR(IF((INDEX(SETUP!$C$19:$G$62,MATCH((INDEX(PMtbl[[WKst]:[Unit of measure*]],MATCH($A47&amp;$C47&amp;$D47,INDEX(PMtbl[Category]&amp;PMtbl[INN]&amp;PMtbl[Specification],0,),0),3)),SETUP!$D$19:$D$62,0),4))="Upfront",0,INDEX(SETUP!$C$19:$G$62,MATCH((INDEX(PMtbl[[WKst]:[Unit of measure*]],MATCH($A47&amp;$C47&amp;$D47,INDEX(PMtbl[Category]&amp;PMtbl[INN]&amp;PMtbl[Specification],0,),0),3)),SETUP!$D$19:$D$62,0),5)),"")</f>
        <v/>
      </c>
      <c r="AN47" s="1615"/>
    </row>
    <row r="48" spans="1:40">
      <c r="A48" s="3112"/>
      <c r="B48" s="3113"/>
      <c r="C48" s="1660"/>
      <c r="D48" s="1671"/>
      <c r="E48" s="1672" t="str">
        <f>IF(A48&lt;&gt;"",IFERROR(INDEX(PMtbl[[WKst]:[Unit of measure*]],MATCH($A48&amp;$C48&amp;$D48,INDEX(PMtbl[Category]&amp;PMtbl[INN]&amp;PMtbl[Specification],0,),0),8),""),"")</f>
        <v/>
      </c>
      <c r="F48" s="1663" t="str">
        <f>IF(E48="", "",SETUP!$E$5)</f>
        <v/>
      </c>
      <c r="G48" s="1737"/>
      <c r="H48" s="1738"/>
      <c r="I48" s="1738"/>
      <c r="J48" s="1738"/>
      <c r="K48" s="1738"/>
      <c r="L48" s="1666">
        <f>SUM(Table69121385[[#This Row],[Y1 Q1 quantity]:[Y1 Q4 quantity]])</f>
        <v>0</v>
      </c>
      <c r="M48" s="1673">
        <f>Table69121385[[#This Row],[Y1 Total quantity]]*Table69121385[[#This Row],[Y1 Unit cost]]</f>
        <v>0</v>
      </c>
      <c r="N48" s="1741"/>
      <c r="O48" s="1738"/>
      <c r="P48" s="1738"/>
      <c r="Q48" s="1738"/>
      <c r="R48" s="1738"/>
      <c r="S48" s="1666">
        <f>SUM(Table69121385[[#This Row],[Y2 Q1 quantity]:[Y2 Q4 quantity]])</f>
        <v>0</v>
      </c>
      <c r="T48" s="1673">
        <f>Table69121385[[#This Row],[Y2 Total quantity]]*Table69121385[[#This Row],[Y2 Unit cost]]</f>
        <v>0</v>
      </c>
      <c r="U48" s="1741"/>
      <c r="V48" s="1738"/>
      <c r="W48" s="1738"/>
      <c r="X48" s="1738"/>
      <c r="Y48" s="1738"/>
      <c r="Z48" s="1666">
        <f>SUM(Table69121385[[#This Row],[Y3 Q1 quantity]:[Y3 Q4 quantity]])</f>
        <v>0</v>
      </c>
      <c r="AA48" s="1667">
        <f>Table69121385[[#This Row],[Y3 Unit cost]]*Table69121385[[#This Row],[Y3 Total quantity]]</f>
        <v>0</v>
      </c>
      <c r="AB48" s="1674">
        <f>Table69121385[[#This Row],[Y1 Total quantity]]+Table69121385[[#This Row],[Y2 Total quantity]]+Table69121385[[#This Row],[Y3 Total quantity]]</f>
        <v>0</v>
      </c>
      <c r="AC48" s="1673">
        <f>Table69121385[[#This Row],[Y1 Total cost]]+Table69121385[[#This Row],[Y2 Total cost]]+Table69121385[[#This Row],[Y3 Total cost]]</f>
        <v>0</v>
      </c>
      <c r="AD48" s="1669" t="str">
        <f>IF(A48&lt;&gt;"",IFERROR(INDEX(PMtbl[[WKst]:[Unit of measure*]],MATCH($A48&amp;$C48&amp;$D48,INDEX(PMtbl[Category]&amp;PMtbl[INN]&amp;PMtbl[Specification],0,),0),7),""),"")</f>
        <v/>
      </c>
      <c r="AE48" s="1660"/>
      <c r="AF48" s="1675" t="str">
        <f>IFERROR(INDEX(SETUP!$C$19:$G$62,MATCH((INDEX(PMtbl[[WKst]:[Unit of measure*]],MATCH($A48&amp;$C48&amp;$D48,INDEX(PMtbl[Category]&amp;PMtbl[INN]&amp;PMtbl[Specification],0,),0),3)),SETUP!$D$19:$D$62,0),5),"")</f>
        <v/>
      </c>
      <c r="AG48" s="1639" t="str">
        <f>IFERROR(IF((INDEX(SETUP!$C$19:$G$62,MATCH((INDEX(PMtbl[[WKst]:[Unit of measure*]],MATCH($A48&amp;$C48&amp;$D48,INDEX(PMtbl[Category]&amp;PMtbl[INN]&amp;PMtbl[Specification],0,),0),3)),SETUP!$D$19:$D$62,0),4))="Upfront",0,INDEX(SETUP!$C$19:$G$62,MATCH((INDEX(PMtbl[[WKst]:[Unit of measure*]],MATCH($A48&amp;$C48&amp;$D48,INDEX(PMtbl[Category]&amp;PMtbl[INN]&amp;PMtbl[Specification],0,),0),3)),SETUP!$D$19:$D$62,0),5)),"")</f>
        <v/>
      </c>
      <c r="AN48" s="1615"/>
    </row>
    <row r="49" spans="1:47">
      <c r="A49" s="3150"/>
      <c r="B49" s="3151"/>
      <c r="C49" s="1643"/>
      <c r="D49" s="1634"/>
      <c r="E49" s="1635" t="str">
        <f>IF(A49&lt;&gt;"",IFERROR(INDEX(PMtbl[[WKst]:[Unit of measure*]],MATCH($A49&amp;$C49&amp;$D49,INDEX(PMtbl[Category]&amp;PMtbl[INN]&amp;PMtbl[Specification],0,),0),8),""),"")</f>
        <v/>
      </c>
      <c r="F49" s="1608" t="str">
        <f>IF(E49="", "",SETUP!$E$5)</f>
        <v/>
      </c>
      <c r="G49" s="1735"/>
      <c r="H49" s="1736"/>
      <c r="I49" s="1736"/>
      <c r="J49" s="1736"/>
      <c r="K49" s="1736"/>
      <c r="L49" s="1619">
        <f>SUM(Table69121385[[#This Row],[Y1 Q1 quantity]:[Y1 Q4 quantity]])</f>
        <v>0</v>
      </c>
      <c r="M49" s="1636">
        <f>Table69121385[[#This Row],[Y1 Total quantity]]*Table69121385[[#This Row],[Y1 Unit cost]]</f>
        <v>0</v>
      </c>
      <c r="N49" s="1742"/>
      <c r="O49" s="1736"/>
      <c r="P49" s="1736"/>
      <c r="Q49" s="1736"/>
      <c r="R49" s="1736"/>
      <c r="S49" s="1619">
        <f>SUM(Table69121385[[#This Row],[Y2 Q1 quantity]:[Y2 Q4 quantity]])</f>
        <v>0</v>
      </c>
      <c r="T49" s="1636">
        <f>Table69121385[[#This Row],[Y2 Total quantity]]*Table69121385[[#This Row],[Y2 Unit cost]]</f>
        <v>0</v>
      </c>
      <c r="U49" s="1742"/>
      <c r="V49" s="1736"/>
      <c r="W49" s="1736"/>
      <c r="X49" s="1736"/>
      <c r="Y49" s="1736"/>
      <c r="Z49" s="1619">
        <f>SUM(Table69121385[[#This Row],[Y3 Q1 quantity]:[Y3 Q4 quantity]])</f>
        <v>0</v>
      </c>
      <c r="AA49" s="1620">
        <f>Table69121385[[#This Row],[Y3 Unit cost]]*Table69121385[[#This Row],[Y3 Total quantity]]</f>
        <v>0</v>
      </c>
      <c r="AB49" s="1638">
        <f>Table69121385[[#This Row],[Y1 Total quantity]]+Table69121385[[#This Row],[Y2 Total quantity]]+Table69121385[[#This Row],[Y3 Total quantity]]</f>
        <v>0</v>
      </c>
      <c r="AC49" s="1636">
        <f>Table69121385[[#This Row],[Y1 Total cost]]+Table69121385[[#This Row],[Y2 Total cost]]+Table69121385[[#This Row],[Y3 Total cost]]</f>
        <v>0</v>
      </c>
      <c r="AD49" s="1637" t="str">
        <f>IF(A49&lt;&gt;"",IFERROR(INDEX(PMtbl[[WKst]:[Unit of measure*]],MATCH($A49&amp;$C49&amp;$D49,INDEX(PMtbl[Category]&amp;PMtbl[INN]&amp;PMtbl[Specification],0,),0),7),""),"")</f>
        <v/>
      </c>
      <c r="AE49" s="1643"/>
      <c r="AF49" s="1642" t="str">
        <f>IFERROR(INDEX(SETUP!$C$19:$G$62,MATCH((INDEX(PMtbl[[WKst]:[Unit of measure*]],MATCH($A49&amp;$C49&amp;$D49,INDEX(PMtbl[Category]&amp;PMtbl[INN]&amp;PMtbl[Specification],0,),0),3)),SETUP!$D$19:$D$62,0),5),"")</f>
        <v/>
      </c>
      <c r="AG49" s="1640" t="str">
        <f>IFERROR(IF((INDEX(SETUP!$C$19:$G$62,MATCH((INDEX(PMtbl[[WKst]:[Unit of measure*]],MATCH($A49&amp;$C49&amp;$D49,INDEX(PMtbl[Category]&amp;PMtbl[INN]&amp;PMtbl[Specification],0,),0),3)),SETUP!$D$19:$D$62,0),4))="Upfront",0,INDEX(SETUP!$C$19:$G$62,MATCH((INDEX(PMtbl[[WKst]:[Unit of measure*]],MATCH($A49&amp;$C49&amp;$D49,INDEX(PMtbl[Category]&amp;PMtbl[INN]&amp;PMtbl[Specification],0,),0),3)),SETUP!$D$19:$D$62,0),5)),"")</f>
        <v/>
      </c>
      <c r="AN49" s="1615"/>
    </row>
    <row r="50" spans="1:47">
      <c r="A50" s="3112"/>
      <c r="B50" s="3113"/>
      <c r="C50" s="1660"/>
      <c r="D50" s="1671"/>
      <c r="E50" s="1672" t="str">
        <f>IF(A50&lt;&gt;"",IFERROR(INDEX(PMtbl[[WKst]:[Unit of measure*]],MATCH($A50&amp;$C50&amp;$D50,INDEX(PMtbl[Category]&amp;PMtbl[INN]&amp;PMtbl[Specification],0,),0),8),""),"")</f>
        <v/>
      </c>
      <c r="F50" s="1663" t="str">
        <f>IF(E50="", "",SETUP!$E$5)</f>
        <v/>
      </c>
      <c r="G50" s="1737"/>
      <c r="H50" s="1738"/>
      <c r="I50" s="1738"/>
      <c r="J50" s="1738"/>
      <c r="K50" s="1738"/>
      <c r="L50" s="1666">
        <f>SUM(Table69121385[[#This Row],[Y1 Q1 quantity]:[Y1 Q4 quantity]])</f>
        <v>0</v>
      </c>
      <c r="M50" s="1673">
        <f>Table69121385[[#This Row],[Y1 Total quantity]]*Table69121385[[#This Row],[Y1 Unit cost]]</f>
        <v>0</v>
      </c>
      <c r="N50" s="1741"/>
      <c r="O50" s="1738"/>
      <c r="P50" s="1738"/>
      <c r="Q50" s="1738"/>
      <c r="R50" s="1738"/>
      <c r="S50" s="1666">
        <f>SUM(Table69121385[[#This Row],[Y2 Q1 quantity]:[Y2 Q4 quantity]])</f>
        <v>0</v>
      </c>
      <c r="T50" s="1673">
        <f>Table69121385[[#This Row],[Y2 Total quantity]]*Table69121385[[#This Row],[Y2 Unit cost]]</f>
        <v>0</v>
      </c>
      <c r="U50" s="1741"/>
      <c r="V50" s="1738"/>
      <c r="W50" s="1738"/>
      <c r="X50" s="1738"/>
      <c r="Y50" s="1738"/>
      <c r="Z50" s="1666">
        <f>SUM(Table69121385[[#This Row],[Y3 Q1 quantity]:[Y3 Q4 quantity]])</f>
        <v>0</v>
      </c>
      <c r="AA50" s="1667">
        <f>Table69121385[[#This Row],[Y3 Unit cost]]*Table69121385[[#This Row],[Y3 Total quantity]]</f>
        <v>0</v>
      </c>
      <c r="AB50" s="1674">
        <f>Table69121385[[#This Row],[Y1 Total quantity]]+Table69121385[[#This Row],[Y2 Total quantity]]+Table69121385[[#This Row],[Y3 Total quantity]]</f>
        <v>0</v>
      </c>
      <c r="AC50" s="1673">
        <f>Table69121385[[#This Row],[Y1 Total cost]]+Table69121385[[#This Row],[Y2 Total cost]]+Table69121385[[#This Row],[Y3 Total cost]]</f>
        <v>0</v>
      </c>
      <c r="AD50" s="1669" t="str">
        <f>IF(A50&lt;&gt;"",IFERROR(INDEX(PMtbl[[WKst]:[Unit of measure*]],MATCH($A50&amp;$C50&amp;$D50,INDEX(PMtbl[Category]&amp;PMtbl[INN]&amp;PMtbl[Specification],0,),0),7),""),"")</f>
        <v/>
      </c>
      <c r="AE50" s="1660"/>
      <c r="AF50" s="1675" t="str">
        <f>IFERROR(INDEX(SETUP!$C$19:$G$62,MATCH((INDEX(PMtbl[[WKst]:[Unit of measure*]],MATCH($A50&amp;$C50&amp;$D50,INDEX(PMtbl[Category]&amp;PMtbl[INN]&amp;PMtbl[Specification],0,),0),3)),SETUP!$D$19:$D$62,0),5),"")</f>
        <v/>
      </c>
      <c r="AG50" s="1639" t="str">
        <f>IFERROR(IF((INDEX(SETUP!$C$19:$G$62,MATCH((INDEX(PMtbl[[WKst]:[Unit of measure*]],MATCH($A50&amp;$C50&amp;$D50,INDEX(PMtbl[Category]&amp;PMtbl[INN]&amp;PMtbl[Specification],0,),0),3)),SETUP!$D$19:$D$62,0),4))="Upfront",0,INDEX(SETUP!$C$19:$G$62,MATCH((INDEX(PMtbl[[WKst]:[Unit of measure*]],MATCH($A50&amp;$C50&amp;$D50,INDEX(PMtbl[Category]&amp;PMtbl[INN]&amp;PMtbl[Specification],0,),0),3)),SETUP!$D$19:$D$62,0),5)),"")</f>
        <v/>
      </c>
      <c r="AN50" s="1615"/>
    </row>
    <row r="51" spans="1:47">
      <c r="A51" s="3150"/>
      <c r="B51" s="3151"/>
      <c r="C51" s="1643"/>
      <c r="D51" s="1634"/>
      <c r="E51" s="1635" t="str">
        <f>IF(A51&lt;&gt;"",IFERROR(INDEX(PMtbl[[WKst]:[Unit of measure*]],MATCH($A51&amp;$C51&amp;$D51,INDEX(PMtbl[Category]&amp;PMtbl[INN]&amp;PMtbl[Specification],0,),0),8),""),"")</f>
        <v/>
      </c>
      <c r="F51" s="1608" t="str">
        <f>IF(E51="", "",SETUP!$E$5)</f>
        <v/>
      </c>
      <c r="G51" s="1735"/>
      <c r="H51" s="1736"/>
      <c r="I51" s="1736"/>
      <c r="J51" s="1736"/>
      <c r="K51" s="1736"/>
      <c r="L51" s="1619">
        <f>SUM(Table69121385[[#This Row],[Y1 Q1 quantity]:[Y1 Q4 quantity]])</f>
        <v>0</v>
      </c>
      <c r="M51" s="1636">
        <f>Table69121385[[#This Row],[Y1 Total quantity]]*Table69121385[[#This Row],[Y1 Unit cost]]</f>
        <v>0</v>
      </c>
      <c r="N51" s="1742"/>
      <c r="O51" s="1736"/>
      <c r="P51" s="1736"/>
      <c r="Q51" s="1736"/>
      <c r="R51" s="1736"/>
      <c r="S51" s="1619">
        <f>SUM(Table69121385[[#This Row],[Y2 Q1 quantity]:[Y2 Q4 quantity]])</f>
        <v>0</v>
      </c>
      <c r="T51" s="1636">
        <f>Table69121385[[#This Row],[Y2 Total quantity]]*Table69121385[[#This Row],[Y2 Unit cost]]</f>
        <v>0</v>
      </c>
      <c r="U51" s="1742"/>
      <c r="V51" s="1736"/>
      <c r="W51" s="1736"/>
      <c r="X51" s="1736"/>
      <c r="Y51" s="1736"/>
      <c r="Z51" s="1619">
        <f>SUM(Table69121385[[#This Row],[Y3 Q1 quantity]:[Y3 Q4 quantity]])</f>
        <v>0</v>
      </c>
      <c r="AA51" s="1620">
        <f>Table69121385[[#This Row],[Y3 Unit cost]]*Table69121385[[#This Row],[Y3 Total quantity]]</f>
        <v>0</v>
      </c>
      <c r="AB51" s="1638">
        <f>Table69121385[[#This Row],[Y1 Total quantity]]+Table69121385[[#This Row],[Y2 Total quantity]]+Table69121385[[#This Row],[Y3 Total quantity]]</f>
        <v>0</v>
      </c>
      <c r="AC51" s="1636">
        <f>Table69121385[[#This Row],[Y1 Total cost]]+Table69121385[[#This Row],[Y2 Total cost]]+Table69121385[[#This Row],[Y3 Total cost]]</f>
        <v>0</v>
      </c>
      <c r="AD51" s="1637" t="str">
        <f>IF(A51&lt;&gt;"",IFERROR(INDEX(PMtbl[[WKst]:[Unit of measure*]],MATCH($A51&amp;$C51&amp;$D51,INDEX(PMtbl[Category]&amp;PMtbl[INN]&amp;PMtbl[Specification],0,),0),7),""),"")</f>
        <v/>
      </c>
      <c r="AE51" s="1643"/>
      <c r="AF51" s="1642" t="str">
        <f>IFERROR(INDEX(SETUP!$C$19:$G$62,MATCH((INDEX(PMtbl[[WKst]:[Unit of measure*]],MATCH($A51&amp;$C51&amp;$D51,INDEX(PMtbl[Category]&amp;PMtbl[INN]&amp;PMtbl[Specification],0,),0),3)),SETUP!$D$19:$D$62,0),5),"")</f>
        <v/>
      </c>
      <c r="AG51" s="1640" t="str">
        <f>IFERROR(IF((INDEX(SETUP!$C$19:$G$62,MATCH((INDEX(PMtbl[[WKst]:[Unit of measure*]],MATCH($A51&amp;$C51&amp;$D51,INDEX(PMtbl[Category]&amp;PMtbl[INN]&amp;PMtbl[Specification],0,),0),3)),SETUP!$D$19:$D$62,0),4))="Upfront",0,INDEX(SETUP!$C$19:$G$62,MATCH((INDEX(PMtbl[[WKst]:[Unit of measure*]],MATCH($A51&amp;$C51&amp;$D51,INDEX(PMtbl[Category]&amp;PMtbl[INN]&amp;PMtbl[Specification],0,),0),3)),SETUP!$D$19:$D$62,0),5)),"")</f>
        <v/>
      </c>
      <c r="AN51" s="1615"/>
    </row>
    <row r="52" spans="1:47">
      <c r="A52" s="3112"/>
      <c r="B52" s="3113"/>
      <c r="C52" s="1660"/>
      <c r="D52" s="1671"/>
      <c r="E52" s="1672" t="str">
        <f>IF(A52&lt;&gt;"",IFERROR(INDEX(PMtbl[[WKst]:[Unit of measure*]],MATCH($A52&amp;$C52&amp;$D52,INDEX(PMtbl[Category]&amp;PMtbl[INN]&amp;PMtbl[Specification],0,),0),8),""),"")</f>
        <v/>
      </c>
      <c r="F52" s="1663" t="str">
        <f>IF(E52="", "",SETUP!$E$5)</f>
        <v/>
      </c>
      <c r="G52" s="1737"/>
      <c r="H52" s="1738"/>
      <c r="I52" s="1738"/>
      <c r="J52" s="1738"/>
      <c r="K52" s="1738"/>
      <c r="L52" s="1666">
        <f>SUM(Table69121385[[#This Row],[Y1 Q1 quantity]:[Y1 Q4 quantity]])</f>
        <v>0</v>
      </c>
      <c r="M52" s="1673">
        <f>Table69121385[[#This Row],[Y1 Total quantity]]*Table69121385[[#This Row],[Y1 Unit cost]]</f>
        <v>0</v>
      </c>
      <c r="N52" s="1741"/>
      <c r="O52" s="1738"/>
      <c r="P52" s="1738"/>
      <c r="Q52" s="1738"/>
      <c r="R52" s="1738"/>
      <c r="S52" s="1666">
        <f>SUM(Table69121385[[#This Row],[Y2 Q1 quantity]:[Y2 Q4 quantity]])</f>
        <v>0</v>
      </c>
      <c r="T52" s="1673">
        <f>Table69121385[[#This Row],[Y2 Total quantity]]*Table69121385[[#This Row],[Y2 Unit cost]]</f>
        <v>0</v>
      </c>
      <c r="U52" s="1741"/>
      <c r="V52" s="1738"/>
      <c r="W52" s="1738"/>
      <c r="X52" s="1738"/>
      <c r="Y52" s="1738"/>
      <c r="Z52" s="1666">
        <f>SUM(Table69121385[[#This Row],[Y3 Q1 quantity]:[Y3 Q4 quantity]])</f>
        <v>0</v>
      </c>
      <c r="AA52" s="1667">
        <f>Table69121385[[#This Row],[Y3 Unit cost]]*Table69121385[[#This Row],[Y3 Total quantity]]</f>
        <v>0</v>
      </c>
      <c r="AB52" s="1674">
        <f>Table69121385[[#This Row],[Y1 Total quantity]]+Table69121385[[#This Row],[Y2 Total quantity]]+Table69121385[[#This Row],[Y3 Total quantity]]</f>
        <v>0</v>
      </c>
      <c r="AC52" s="1673">
        <f>Table69121385[[#This Row],[Y1 Total cost]]+Table69121385[[#This Row],[Y2 Total cost]]+Table69121385[[#This Row],[Y3 Total cost]]</f>
        <v>0</v>
      </c>
      <c r="AD52" s="1669" t="str">
        <f>IF(A52&lt;&gt;"",IFERROR(INDEX(PMtbl[[WKst]:[Unit of measure*]],MATCH($A52&amp;$C52&amp;$D52,INDEX(PMtbl[Category]&amp;PMtbl[INN]&amp;PMtbl[Specification],0,),0),7),""),"")</f>
        <v/>
      </c>
      <c r="AE52" s="1660"/>
      <c r="AF52" s="1675" t="str">
        <f>IFERROR(INDEX(SETUP!$C$19:$G$62,MATCH((INDEX(PMtbl[[WKst]:[Unit of measure*]],MATCH($A52&amp;$C52&amp;$D52,INDEX(PMtbl[Category]&amp;PMtbl[INN]&amp;PMtbl[Specification],0,),0),3)),SETUP!$D$19:$D$62,0),5),"")</f>
        <v/>
      </c>
      <c r="AG52" s="1639" t="str">
        <f>IFERROR(IF((INDEX(SETUP!$C$19:$G$62,MATCH((INDEX(PMtbl[[WKst]:[Unit of measure*]],MATCH($A52&amp;$C52&amp;$D52,INDEX(PMtbl[Category]&amp;PMtbl[INN]&amp;PMtbl[Specification],0,),0),3)),SETUP!$D$19:$D$62,0),4))="Upfront",0,INDEX(SETUP!$C$19:$G$62,MATCH((INDEX(PMtbl[[WKst]:[Unit of measure*]],MATCH($A52&amp;$C52&amp;$D52,INDEX(PMtbl[Category]&amp;PMtbl[INN]&amp;PMtbl[Specification],0,),0),3)),SETUP!$D$19:$D$62,0),5)),"")</f>
        <v/>
      </c>
      <c r="AN52" s="1615"/>
    </row>
    <row r="53" spans="1:47">
      <c r="A53" s="3150"/>
      <c r="B53" s="3151"/>
      <c r="C53" s="1643"/>
      <c r="D53" s="1634"/>
      <c r="E53" s="1635" t="str">
        <f>IF(A53&lt;&gt;"",IFERROR(INDEX(PMtbl[[WKst]:[Unit of measure*]],MATCH($A53&amp;$C53&amp;$D53,INDEX(PMtbl[Category]&amp;PMtbl[INN]&amp;PMtbl[Specification],0,),0),8),""),"")</f>
        <v/>
      </c>
      <c r="F53" s="1608" t="str">
        <f>IF(E53="", "",SETUP!$E$5)</f>
        <v/>
      </c>
      <c r="G53" s="1735"/>
      <c r="H53" s="1736"/>
      <c r="I53" s="1736"/>
      <c r="J53" s="1736"/>
      <c r="K53" s="1736"/>
      <c r="L53" s="1619">
        <f>SUM(Table69121385[[#This Row],[Y1 Q1 quantity]:[Y1 Q4 quantity]])</f>
        <v>0</v>
      </c>
      <c r="M53" s="1636">
        <f>Table69121385[[#This Row],[Y1 Total quantity]]*Table69121385[[#This Row],[Y1 Unit cost]]</f>
        <v>0</v>
      </c>
      <c r="N53" s="1742"/>
      <c r="O53" s="1736"/>
      <c r="P53" s="1736"/>
      <c r="Q53" s="1736"/>
      <c r="R53" s="1736"/>
      <c r="S53" s="1619">
        <f>SUM(Table69121385[[#This Row],[Y2 Q1 quantity]:[Y2 Q4 quantity]])</f>
        <v>0</v>
      </c>
      <c r="T53" s="1636">
        <f>Table69121385[[#This Row],[Y2 Total quantity]]*Table69121385[[#This Row],[Y2 Unit cost]]</f>
        <v>0</v>
      </c>
      <c r="U53" s="1742"/>
      <c r="V53" s="1736"/>
      <c r="W53" s="1736"/>
      <c r="X53" s="1736"/>
      <c r="Y53" s="1736"/>
      <c r="Z53" s="1619">
        <f>SUM(Table69121385[[#This Row],[Y3 Q1 quantity]:[Y3 Q4 quantity]])</f>
        <v>0</v>
      </c>
      <c r="AA53" s="1620">
        <f>Table69121385[[#This Row],[Y3 Unit cost]]*Table69121385[[#This Row],[Y3 Total quantity]]</f>
        <v>0</v>
      </c>
      <c r="AB53" s="1638">
        <f>Table69121385[[#This Row],[Y1 Total quantity]]+Table69121385[[#This Row],[Y2 Total quantity]]+Table69121385[[#This Row],[Y3 Total quantity]]</f>
        <v>0</v>
      </c>
      <c r="AC53" s="1636">
        <f>Table69121385[[#This Row],[Y1 Total cost]]+Table69121385[[#This Row],[Y2 Total cost]]+Table69121385[[#This Row],[Y3 Total cost]]</f>
        <v>0</v>
      </c>
      <c r="AD53" s="1637" t="str">
        <f>IF(A53&lt;&gt;"",IFERROR(INDEX(PMtbl[[WKst]:[Unit of measure*]],MATCH($A53&amp;$C53&amp;$D53,INDEX(PMtbl[Category]&amp;PMtbl[INN]&amp;PMtbl[Specification],0,),0),7),""),"")</f>
        <v/>
      </c>
      <c r="AE53" s="1643"/>
      <c r="AF53" s="1642" t="str">
        <f>IFERROR(INDEX(SETUP!$C$19:$G$62,MATCH((INDEX(PMtbl[[WKst]:[Unit of measure*]],MATCH($A53&amp;$C53&amp;$D53,INDEX(PMtbl[Category]&amp;PMtbl[INN]&amp;PMtbl[Specification],0,),0),3)),SETUP!$D$19:$D$62,0),5),"")</f>
        <v/>
      </c>
      <c r="AG53" s="1640" t="str">
        <f>IFERROR(IF((INDEX(SETUP!$C$19:$G$62,MATCH((INDEX(PMtbl[[WKst]:[Unit of measure*]],MATCH($A53&amp;$C53&amp;$D53,INDEX(PMtbl[Category]&amp;PMtbl[INN]&amp;PMtbl[Specification],0,),0),3)),SETUP!$D$19:$D$62,0),4))="Upfront",0,INDEX(SETUP!$C$19:$G$62,MATCH((INDEX(PMtbl[[WKst]:[Unit of measure*]],MATCH($A53&amp;$C53&amp;$D53,INDEX(PMtbl[Category]&amp;PMtbl[INN]&amp;PMtbl[Specification],0,),0),3)),SETUP!$D$19:$D$62,0),5)),"")</f>
        <v/>
      </c>
      <c r="AN53" s="1615"/>
    </row>
    <row r="54" spans="1:47">
      <c r="A54" s="3112"/>
      <c r="B54" s="3113"/>
      <c r="C54" s="1660"/>
      <c r="D54" s="1671"/>
      <c r="E54" s="1672" t="str">
        <f>IF(A54&lt;&gt;"",IFERROR(INDEX(PMtbl[[WKst]:[Unit of measure*]],MATCH($A54&amp;$C54&amp;$D54,INDEX(PMtbl[Category]&amp;PMtbl[INN]&amp;PMtbl[Specification],0,),0),8),""),"")</f>
        <v/>
      </c>
      <c r="F54" s="1663" t="str">
        <f>IF(E54="", "",SETUP!$E$5)</f>
        <v/>
      </c>
      <c r="G54" s="1737"/>
      <c r="H54" s="1738"/>
      <c r="I54" s="1738"/>
      <c r="J54" s="1738"/>
      <c r="K54" s="1738"/>
      <c r="L54" s="1666">
        <f>SUM(Table69121385[[#This Row],[Y1 Q1 quantity]:[Y1 Q4 quantity]])</f>
        <v>0</v>
      </c>
      <c r="M54" s="1673">
        <f>Table69121385[[#This Row],[Y1 Total quantity]]*Table69121385[[#This Row],[Y1 Unit cost]]</f>
        <v>0</v>
      </c>
      <c r="N54" s="1741"/>
      <c r="O54" s="1738"/>
      <c r="P54" s="1738"/>
      <c r="Q54" s="1738"/>
      <c r="R54" s="1738"/>
      <c r="S54" s="1666">
        <f>SUM(Table69121385[[#This Row],[Y2 Q1 quantity]:[Y2 Q4 quantity]])</f>
        <v>0</v>
      </c>
      <c r="T54" s="1673">
        <f>Table69121385[[#This Row],[Y2 Total quantity]]*Table69121385[[#This Row],[Y2 Unit cost]]</f>
        <v>0</v>
      </c>
      <c r="U54" s="1741"/>
      <c r="V54" s="1738"/>
      <c r="W54" s="1738"/>
      <c r="X54" s="1738"/>
      <c r="Y54" s="1738"/>
      <c r="Z54" s="1666">
        <f>SUM(Table69121385[[#This Row],[Y3 Q1 quantity]:[Y3 Q4 quantity]])</f>
        <v>0</v>
      </c>
      <c r="AA54" s="1667">
        <f>Table69121385[[#This Row],[Y3 Unit cost]]*Table69121385[[#This Row],[Y3 Total quantity]]</f>
        <v>0</v>
      </c>
      <c r="AB54" s="1674">
        <f>Table69121385[[#This Row],[Y1 Total quantity]]+Table69121385[[#This Row],[Y2 Total quantity]]+Table69121385[[#This Row],[Y3 Total quantity]]</f>
        <v>0</v>
      </c>
      <c r="AC54" s="1673">
        <f>Table69121385[[#This Row],[Y1 Total cost]]+Table69121385[[#This Row],[Y2 Total cost]]+Table69121385[[#This Row],[Y3 Total cost]]</f>
        <v>0</v>
      </c>
      <c r="AD54" s="1669" t="str">
        <f>IF(A54&lt;&gt;"",IFERROR(INDEX(PMtbl[[WKst]:[Unit of measure*]],MATCH($A54&amp;$C54&amp;$D54,INDEX(PMtbl[Category]&amp;PMtbl[INN]&amp;PMtbl[Specification],0,),0),7),""),"")</f>
        <v/>
      </c>
      <c r="AE54" s="1660"/>
      <c r="AF54" s="1675" t="str">
        <f>IFERROR(INDEX(SETUP!$C$19:$G$62,MATCH((INDEX(PMtbl[[WKst]:[Unit of measure*]],MATCH($A54&amp;$C54&amp;$D54,INDEX(PMtbl[Category]&amp;PMtbl[INN]&amp;PMtbl[Specification],0,),0),3)),SETUP!$D$19:$D$62,0),5),"")</f>
        <v/>
      </c>
      <c r="AG54" s="1639" t="str">
        <f>IFERROR(IF((INDEX(SETUP!$C$19:$G$62,MATCH((INDEX(PMtbl[[WKst]:[Unit of measure*]],MATCH($A54&amp;$C54&amp;$D54,INDEX(PMtbl[Category]&amp;PMtbl[INN]&amp;PMtbl[Specification],0,),0),3)),SETUP!$D$19:$D$62,0),4))="Upfront",0,INDEX(SETUP!$C$19:$G$62,MATCH((INDEX(PMtbl[[WKst]:[Unit of measure*]],MATCH($A54&amp;$C54&amp;$D54,INDEX(PMtbl[Category]&amp;PMtbl[INN]&amp;PMtbl[Specification],0,),0),3)),SETUP!$D$19:$D$62,0),5)),"")</f>
        <v/>
      </c>
      <c r="AN54" s="1615"/>
    </row>
    <row r="55" spans="1:47">
      <c r="A55" s="3150"/>
      <c r="B55" s="3151"/>
      <c r="C55" s="1643"/>
      <c r="D55" s="1634"/>
      <c r="E55" s="1635" t="str">
        <f>IF(A55&lt;&gt;"",IFERROR(INDEX(PMtbl[[WKst]:[Unit of measure*]],MATCH($A55&amp;$C55&amp;$D55,INDEX(PMtbl[Category]&amp;PMtbl[INN]&amp;PMtbl[Specification],0,),0),8),""),"")</f>
        <v/>
      </c>
      <c r="F55" s="1608" t="str">
        <f>IF(E55="", "",SETUP!$E$5)</f>
        <v/>
      </c>
      <c r="G55" s="1735"/>
      <c r="H55" s="1736"/>
      <c r="I55" s="1736"/>
      <c r="J55" s="1736"/>
      <c r="K55" s="1736"/>
      <c r="L55" s="1619">
        <f>SUM(Table69121385[[#This Row],[Y1 Q1 quantity]:[Y1 Q4 quantity]])</f>
        <v>0</v>
      </c>
      <c r="M55" s="1636">
        <f>Table69121385[[#This Row],[Y1 Total quantity]]*Table69121385[[#This Row],[Y1 Unit cost]]</f>
        <v>0</v>
      </c>
      <c r="N55" s="1742"/>
      <c r="O55" s="1736"/>
      <c r="P55" s="1736"/>
      <c r="Q55" s="1736"/>
      <c r="R55" s="1736"/>
      <c r="S55" s="1619">
        <f>SUM(Table69121385[[#This Row],[Y2 Q1 quantity]:[Y2 Q4 quantity]])</f>
        <v>0</v>
      </c>
      <c r="T55" s="1636">
        <f>Table69121385[[#This Row],[Y2 Total quantity]]*Table69121385[[#This Row],[Y2 Unit cost]]</f>
        <v>0</v>
      </c>
      <c r="U55" s="1742"/>
      <c r="V55" s="1736"/>
      <c r="W55" s="1736"/>
      <c r="X55" s="1736"/>
      <c r="Y55" s="1736"/>
      <c r="Z55" s="1619">
        <f>SUM(Table69121385[[#This Row],[Y3 Q1 quantity]:[Y3 Q4 quantity]])</f>
        <v>0</v>
      </c>
      <c r="AA55" s="1620">
        <f>Table69121385[[#This Row],[Y3 Unit cost]]*Table69121385[[#This Row],[Y3 Total quantity]]</f>
        <v>0</v>
      </c>
      <c r="AB55" s="1638">
        <f>Table69121385[[#This Row],[Y1 Total quantity]]+Table69121385[[#This Row],[Y2 Total quantity]]+Table69121385[[#This Row],[Y3 Total quantity]]</f>
        <v>0</v>
      </c>
      <c r="AC55" s="1636">
        <f>Table69121385[[#This Row],[Y1 Total cost]]+Table69121385[[#This Row],[Y2 Total cost]]+Table69121385[[#This Row],[Y3 Total cost]]</f>
        <v>0</v>
      </c>
      <c r="AD55" s="1637" t="str">
        <f>IF(A55&lt;&gt;"",IFERROR(INDEX(PMtbl[[WKst]:[Unit of measure*]],MATCH($A55&amp;$C55&amp;$D55,INDEX(PMtbl[Category]&amp;PMtbl[INN]&amp;PMtbl[Specification],0,),0),7),""),"")</f>
        <v/>
      </c>
      <c r="AE55" s="1643"/>
      <c r="AF55" s="1642" t="str">
        <f>IFERROR(INDEX(SETUP!$C$19:$G$62,MATCH((INDEX(PMtbl[[WKst]:[Unit of measure*]],MATCH($A55&amp;$C55&amp;$D55,INDEX(PMtbl[Category]&amp;PMtbl[INN]&amp;PMtbl[Specification],0,),0),3)),SETUP!$D$19:$D$62,0),5),"")</f>
        <v/>
      </c>
      <c r="AG55" s="1640" t="str">
        <f>IFERROR(IF((INDEX(SETUP!$C$19:$G$62,MATCH((INDEX(PMtbl[[WKst]:[Unit of measure*]],MATCH($A55&amp;$C55&amp;$D55,INDEX(PMtbl[Category]&amp;PMtbl[INN]&amp;PMtbl[Specification],0,),0),3)),SETUP!$D$19:$D$62,0),4))="Upfront",0,INDEX(SETUP!$C$19:$G$62,MATCH((INDEX(PMtbl[[WKst]:[Unit of measure*]],MATCH($A55&amp;$C55&amp;$D55,INDEX(PMtbl[Category]&amp;PMtbl[INN]&amp;PMtbl[Specification],0,),0),3)),SETUP!$D$19:$D$62,0),5)),"")</f>
        <v/>
      </c>
      <c r="AN55" s="1615"/>
    </row>
    <row r="56" spans="1:47">
      <c r="A56" s="3112"/>
      <c r="B56" s="3113"/>
      <c r="C56" s="1660"/>
      <c r="D56" s="1671"/>
      <c r="E56" s="1672" t="str">
        <f>IF(A56&lt;&gt;"",IFERROR(INDEX(PMtbl[[WKst]:[Unit of measure*]],MATCH($A56&amp;$C56&amp;$D56,INDEX(PMtbl[Category]&amp;PMtbl[INN]&amp;PMtbl[Specification],0,),0),8),""),"")</f>
        <v/>
      </c>
      <c r="F56" s="1663" t="str">
        <f>IF(E56="", "",SETUP!$E$5)</f>
        <v/>
      </c>
      <c r="G56" s="1737"/>
      <c r="H56" s="1738"/>
      <c r="I56" s="1738"/>
      <c r="J56" s="1738"/>
      <c r="K56" s="1738"/>
      <c r="L56" s="1666">
        <f>SUM(Table69121385[[#This Row],[Y1 Q1 quantity]:[Y1 Q4 quantity]])</f>
        <v>0</v>
      </c>
      <c r="M56" s="1673">
        <f>Table69121385[[#This Row],[Y1 Total quantity]]*Table69121385[[#This Row],[Y1 Unit cost]]</f>
        <v>0</v>
      </c>
      <c r="N56" s="1741"/>
      <c r="O56" s="1738"/>
      <c r="P56" s="1738"/>
      <c r="Q56" s="1738"/>
      <c r="R56" s="1738"/>
      <c r="S56" s="1666">
        <f>SUM(Table69121385[[#This Row],[Y2 Q1 quantity]:[Y2 Q4 quantity]])</f>
        <v>0</v>
      </c>
      <c r="T56" s="1673">
        <f>Table69121385[[#This Row],[Y2 Total quantity]]*Table69121385[[#This Row],[Y2 Unit cost]]</f>
        <v>0</v>
      </c>
      <c r="U56" s="1741"/>
      <c r="V56" s="1738"/>
      <c r="W56" s="1738"/>
      <c r="X56" s="1738"/>
      <c r="Y56" s="1738"/>
      <c r="Z56" s="1666">
        <f>SUM(Table69121385[[#This Row],[Y3 Q1 quantity]:[Y3 Q4 quantity]])</f>
        <v>0</v>
      </c>
      <c r="AA56" s="1667">
        <f>Table69121385[[#This Row],[Y3 Unit cost]]*Table69121385[[#This Row],[Y3 Total quantity]]</f>
        <v>0</v>
      </c>
      <c r="AB56" s="1674">
        <f>Table69121385[[#This Row],[Y1 Total quantity]]+Table69121385[[#This Row],[Y2 Total quantity]]+Table69121385[[#This Row],[Y3 Total quantity]]</f>
        <v>0</v>
      </c>
      <c r="AC56" s="1673">
        <f>Table69121385[[#This Row],[Y1 Total cost]]+Table69121385[[#This Row],[Y2 Total cost]]+Table69121385[[#This Row],[Y3 Total cost]]</f>
        <v>0</v>
      </c>
      <c r="AD56" s="1669" t="str">
        <f>IF(A56&lt;&gt;"",IFERROR(INDEX(PMtbl[[WKst]:[Unit of measure*]],MATCH($A56&amp;$C56&amp;$D56,INDEX(PMtbl[Category]&amp;PMtbl[INN]&amp;PMtbl[Specification],0,),0),7),""),"")</f>
        <v/>
      </c>
      <c r="AE56" s="1660"/>
      <c r="AF56" s="1675" t="str">
        <f>IFERROR(INDEX(SETUP!$C$19:$G$62,MATCH((INDEX(PMtbl[[WKst]:[Unit of measure*]],MATCH($A56&amp;$C56&amp;$D56,INDEX(PMtbl[Category]&amp;PMtbl[INN]&amp;PMtbl[Specification],0,),0),3)),SETUP!$D$19:$D$62,0),5),"")</f>
        <v/>
      </c>
      <c r="AG56" s="1639" t="str">
        <f>IFERROR(IF((INDEX(SETUP!$C$19:$G$62,MATCH((INDEX(PMtbl[[WKst]:[Unit of measure*]],MATCH($A56&amp;$C56&amp;$D56,INDEX(PMtbl[Category]&amp;PMtbl[INN]&amp;PMtbl[Specification],0,),0),3)),SETUP!$D$19:$D$62,0),4))="Upfront",0,INDEX(SETUP!$C$19:$G$62,MATCH((INDEX(PMtbl[[WKst]:[Unit of measure*]],MATCH($A56&amp;$C56&amp;$D56,INDEX(PMtbl[Category]&amp;PMtbl[INN]&amp;PMtbl[Specification],0,),0),3)),SETUP!$D$19:$D$62,0),5)),"")</f>
        <v/>
      </c>
      <c r="AN56" s="1615"/>
    </row>
    <row r="57" spans="1:47">
      <c r="A57" s="3150"/>
      <c r="B57" s="3151"/>
      <c r="C57" s="1643"/>
      <c r="D57" s="1634"/>
      <c r="E57" s="1635" t="str">
        <f>IF(A57&lt;&gt;"",IFERROR(INDEX(PMtbl[[WKst]:[Unit of measure*]],MATCH($A57&amp;$C57&amp;$D57,INDEX(PMtbl[Category]&amp;PMtbl[INN]&amp;PMtbl[Specification],0,),0),8),""),"")</f>
        <v/>
      </c>
      <c r="F57" s="1608" t="str">
        <f>IF(E57="", "",SETUP!$E$5)</f>
        <v/>
      </c>
      <c r="G57" s="1735"/>
      <c r="H57" s="1736"/>
      <c r="I57" s="1736"/>
      <c r="J57" s="1736"/>
      <c r="K57" s="1736"/>
      <c r="L57" s="1619">
        <f>SUM(Table69121385[[#This Row],[Y1 Q1 quantity]:[Y1 Q4 quantity]])</f>
        <v>0</v>
      </c>
      <c r="M57" s="1636">
        <f>Table69121385[[#This Row],[Y1 Total quantity]]*Table69121385[[#This Row],[Y1 Unit cost]]</f>
        <v>0</v>
      </c>
      <c r="N57" s="1742"/>
      <c r="O57" s="1736"/>
      <c r="P57" s="1736"/>
      <c r="Q57" s="1736"/>
      <c r="R57" s="1736"/>
      <c r="S57" s="1619">
        <f>SUM(Table69121385[[#This Row],[Y2 Q1 quantity]:[Y2 Q4 quantity]])</f>
        <v>0</v>
      </c>
      <c r="T57" s="1636">
        <f>Table69121385[[#This Row],[Y2 Total quantity]]*Table69121385[[#This Row],[Y2 Unit cost]]</f>
        <v>0</v>
      </c>
      <c r="U57" s="1742"/>
      <c r="V57" s="1736"/>
      <c r="W57" s="1736"/>
      <c r="X57" s="1736"/>
      <c r="Y57" s="1736"/>
      <c r="Z57" s="1619">
        <f>SUM(Table69121385[[#This Row],[Y3 Q1 quantity]:[Y3 Q4 quantity]])</f>
        <v>0</v>
      </c>
      <c r="AA57" s="1620">
        <f>Table69121385[[#This Row],[Y3 Unit cost]]*Table69121385[[#This Row],[Y3 Total quantity]]</f>
        <v>0</v>
      </c>
      <c r="AB57" s="1638">
        <f>Table69121385[[#This Row],[Y1 Total quantity]]+Table69121385[[#This Row],[Y2 Total quantity]]+Table69121385[[#This Row],[Y3 Total quantity]]</f>
        <v>0</v>
      </c>
      <c r="AC57" s="1636">
        <f>Table69121385[[#This Row],[Y1 Total cost]]+Table69121385[[#This Row],[Y2 Total cost]]+Table69121385[[#This Row],[Y3 Total cost]]</f>
        <v>0</v>
      </c>
      <c r="AD57" s="1637" t="str">
        <f>IF(A57&lt;&gt;"",IFERROR(INDEX(PMtbl[[WKst]:[Unit of measure*]],MATCH($A57&amp;$C57&amp;$D57,INDEX(PMtbl[Category]&amp;PMtbl[INN]&amp;PMtbl[Specification],0,),0),7),""),"")</f>
        <v/>
      </c>
      <c r="AE57" s="1643"/>
      <c r="AF57" s="1642" t="str">
        <f>IFERROR(INDEX(SETUP!$C$19:$G$62,MATCH((INDEX(PMtbl[[WKst]:[Unit of measure*]],MATCH($A57&amp;$C57&amp;$D57,INDEX(PMtbl[Category]&amp;PMtbl[INN]&amp;PMtbl[Specification],0,),0),3)),SETUP!$D$19:$D$62,0),5),"")</f>
        <v/>
      </c>
      <c r="AG57" s="1640" t="str">
        <f>IFERROR(IF((INDEX(SETUP!$C$19:$G$62,MATCH((INDEX(PMtbl[[WKst]:[Unit of measure*]],MATCH($A57&amp;$C57&amp;$D57,INDEX(PMtbl[Category]&amp;PMtbl[INN]&amp;PMtbl[Specification],0,),0),3)),SETUP!$D$19:$D$62,0),4))="Upfront",0,INDEX(SETUP!$C$19:$G$62,MATCH((INDEX(PMtbl[[WKst]:[Unit of measure*]],MATCH($A57&amp;$C57&amp;$D57,INDEX(PMtbl[Category]&amp;PMtbl[INN]&amp;PMtbl[Specification],0,),0),3)),SETUP!$D$19:$D$62,0),5)),"")</f>
        <v/>
      </c>
      <c r="AN57" s="1615"/>
    </row>
    <row r="58" spans="1:47" ht="13.5" thickBot="1">
      <c r="A58" s="3161"/>
      <c r="B58" s="3162"/>
      <c r="C58" s="1676"/>
      <c r="D58" s="1677"/>
      <c r="E58" s="1678" t="str">
        <f>IF(A58&lt;&gt;"",IFERROR(INDEX(PMtbl[[WKst]:[Unit of measure*]],MATCH($A58&amp;$C58&amp;$D58,INDEX(PMtbl[Category]&amp;PMtbl[INN]&amp;PMtbl[Specification],0,),0),8),""),"")</f>
        <v/>
      </c>
      <c r="F58" s="1679" t="str">
        <f>IF(E58="", "",SETUP!$E$5)</f>
        <v/>
      </c>
      <c r="G58" s="1739"/>
      <c r="H58" s="1740"/>
      <c r="I58" s="1740"/>
      <c r="J58" s="1740"/>
      <c r="K58" s="1740"/>
      <c r="L58" s="1680">
        <f>SUM(Table69121385[[#This Row],[Y1 Q1 quantity]:[Y1 Q4 quantity]])</f>
        <v>0</v>
      </c>
      <c r="M58" s="1681">
        <f>Table69121385[[#This Row],[Y1 Total quantity]]*Table69121385[[#This Row],[Y1 Unit cost]]</f>
        <v>0</v>
      </c>
      <c r="N58" s="1743"/>
      <c r="O58" s="1740"/>
      <c r="P58" s="1740"/>
      <c r="Q58" s="1740"/>
      <c r="R58" s="1740"/>
      <c r="S58" s="1680">
        <f>SUM(Table69121385[[#This Row],[Y2 Q1 quantity]:[Y2 Q4 quantity]])</f>
        <v>0</v>
      </c>
      <c r="T58" s="1681">
        <f>Table69121385[[#This Row],[Y2 Total quantity]]*Table69121385[[#This Row],[Y2 Unit cost]]</f>
        <v>0</v>
      </c>
      <c r="U58" s="1743"/>
      <c r="V58" s="1740"/>
      <c r="W58" s="1740"/>
      <c r="X58" s="1740"/>
      <c r="Y58" s="1740"/>
      <c r="Z58" s="1680">
        <f>SUM(Table69121385[[#This Row],[Y3 Q1 quantity]:[Y3 Q4 quantity]])</f>
        <v>0</v>
      </c>
      <c r="AA58" s="1682">
        <f>Table69121385[[#This Row],[Y3 Unit cost]]*Table69121385[[#This Row],[Y3 Total quantity]]</f>
        <v>0</v>
      </c>
      <c r="AB58" s="1683">
        <f>Table69121385[[#This Row],[Y1 Total quantity]]+Table69121385[[#This Row],[Y2 Total quantity]]+Table69121385[[#This Row],[Y3 Total quantity]]</f>
        <v>0</v>
      </c>
      <c r="AC58" s="1681">
        <f>Table69121385[[#This Row],[Y1 Total cost]]+Table69121385[[#This Row],[Y2 Total cost]]+Table69121385[[#This Row],[Y3 Total cost]]</f>
        <v>0</v>
      </c>
      <c r="AD58" s="1684" t="str">
        <f>IF(A58&lt;&gt;"",IFERROR(INDEX(PMtbl[[WKst]:[Unit of measure*]],MATCH($A58&amp;$C58&amp;$D58,INDEX(PMtbl[Category]&amp;PMtbl[INN]&amp;PMtbl[Specification],0,),0),7),""),"")</f>
        <v/>
      </c>
      <c r="AE58" s="2063"/>
      <c r="AF58" s="1685" t="str">
        <f>IFERROR(INDEX(SETUP!$C$19:$G$62,MATCH((INDEX(PMtbl[[WKst]:[Unit of measure*]],MATCH($A58&amp;$C58&amp;$D58,INDEX(PMtbl[Category]&amp;PMtbl[INN]&amp;PMtbl[Specification],0,),0),3)),SETUP!$D$19:$D$62,0),5),"")</f>
        <v/>
      </c>
      <c r="AG58" s="1641" t="str">
        <f>IFERROR(IF((INDEX(SETUP!$C$19:$G$62,MATCH((INDEX(PMtbl[[WKst]:[Unit of measure*]],MATCH($A58&amp;$C58&amp;$D58,INDEX(PMtbl[Category]&amp;PMtbl[INN]&amp;PMtbl[Specification],0,),0),3)),SETUP!$D$19:$D$62,0),4))="Upfront",0,INDEX(SETUP!$C$19:$G$62,MATCH((INDEX(PMtbl[[WKst]:[Unit of measure*]],MATCH($A58&amp;$C58&amp;$D58,INDEX(PMtbl[Category]&amp;PMtbl[INN]&amp;PMtbl[Specification],0,),0),3)),SETUP!$D$19:$D$62,0),5)),"")</f>
        <v/>
      </c>
      <c r="AN58" s="1615"/>
    </row>
    <row r="59" spans="1:47">
      <c r="AN59" s="1615"/>
    </row>
    <row r="60" spans="1:47">
      <c r="E60" s="1715">
        <f>SUMPRODUCT(($A$14:$B$58=$C67)*($AD$14:$AD$58&lt;&gt;6.5)*($G$14:$G$58)*(H$14:H$58))*$D67</f>
        <v>0</v>
      </c>
      <c r="G60" s="1627"/>
      <c r="AC60" s="1628"/>
      <c r="AN60" s="1615"/>
    </row>
    <row r="61" spans="1:47" ht="13.5" thickBot="1">
      <c r="AN61" s="1615"/>
    </row>
    <row r="62" spans="1:47" ht="15" customHeight="1">
      <c r="A62" s="3163">
        <v>2</v>
      </c>
      <c r="B62" s="3163" t="s">
        <v>3076</v>
      </c>
      <c r="C62" s="3163"/>
      <c r="D62" s="3117" t="s">
        <v>3084</v>
      </c>
      <c r="E62" s="3171">
        <f>G12</f>
        <v>2022</v>
      </c>
      <c r="F62" s="3172"/>
      <c r="G62" s="3172"/>
      <c r="H62" s="3173"/>
      <c r="I62" s="3171">
        <f>N12</f>
        <v>2023</v>
      </c>
      <c r="J62" s="3172"/>
      <c r="K62" s="3172"/>
      <c r="L62" s="3173"/>
      <c r="M62" s="3171">
        <f>U12</f>
        <v>2024</v>
      </c>
      <c r="N62" s="3172"/>
      <c r="O62" s="3172"/>
      <c r="P62" s="3173"/>
      <c r="Q62" s="3166" t="s">
        <v>3102</v>
      </c>
      <c r="R62" s="3166" t="s">
        <v>3105</v>
      </c>
      <c r="S62" s="3166" t="s">
        <v>3104</v>
      </c>
      <c r="T62" s="3166" t="s">
        <v>3103</v>
      </c>
      <c r="U62" s="3168" t="s">
        <v>3054</v>
      </c>
      <c r="V62" s="3165" t="s">
        <v>3107</v>
      </c>
      <c r="AD62" s="1595"/>
      <c r="AE62" s="1595"/>
      <c r="AF62" s="1595"/>
    </row>
    <row r="63" spans="1:47" ht="15" customHeight="1" thickBot="1">
      <c r="A63" s="3164"/>
      <c r="B63" s="3164"/>
      <c r="C63" s="3170"/>
      <c r="D63" s="3118"/>
      <c r="E63" s="3174"/>
      <c r="F63" s="3175"/>
      <c r="G63" s="3175"/>
      <c r="H63" s="3176"/>
      <c r="I63" s="3174"/>
      <c r="J63" s="3175"/>
      <c r="K63" s="3175"/>
      <c r="L63" s="3176"/>
      <c r="M63" s="3174"/>
      <c r="N63" s="3175"/>
      <c r="O63" s="3175"/>
      <c r="P63" s="3176"/>
      <c r="Q63" s="3167"/>
      <c r="R63" s="3167"/>
      <c r="S63" s="3167"/>
      <c r="T63" s="3167"/>
      <c r="U63" s="3169"/>
      <c r="V63" s="3165"/>
      <c r="AD63" s="1595"/>
      <c r="AE63" s="1595"/>
      <c r="AF63" s="1595"/>
    </row>
    <row r="64" spans="1:47" ht="13.5" thickBot="1">
      <c r="A64" s="3159" t="s">
        <v>3077</v>
      </c>
      <c r="B64" s="3160"/>
      <c r="C64" s="1704" t="s">
        <v>2694</v>
      </c>
      <c r="D64" s="1695">
        <v>0</v>
      </c>
      <c r="E64" s="1705">
        <f>SUMPRODUCT(($A$14:$B$58=$C64)*($G$14:$G$58)*(H$14:H$58))*$D64</f>
        <v>0</v>
      </c>
      <c r="F64" s="1705">
        <f>SUMPRODUCT(($A$14:$B$58=$C64)*($G$14:$G$58)*(I$14:I$58))*$D64</f>
        <v>0</v>
      </c>
      <c r="G64" s="1705">
        <f>SUMPRODUCT(($A$14:$B$58=$C64)*($G$14:$G$58)*(J$14:J$58))*$D64</f>
        <v>0</v>
      </c>
      <c r="H64" s="1705">
        <f>SUMPRODUCT(($A$14:$B$58=$C64)*($G$14:$G$58)*(K$14:K$58))*$D64</f>
        <v>0</v>
      </c>
      <c r="I64" s="1706">
        <f t="shared" ref="I64:I90" si="15">SUMPRODUCT(($A$14:$B$58=$C64)*($N$14:$N$58)*(O$14:O$58))*$D64</f>
        <v>0</v>
      </c>
      <c r="J64" s="1706">
        <f t="shared" ref="J64:J90" si="16">SUMPRODUCT(($A$14:$B$58=$C64)*($N$14:$N$58)*(P$14:P$58))*$D64</f>
        <v>0</v>
      </c>
      <c r="K64" s="1706">
        <f t="shared" ref="K64:K90" si="17">SUMPRODUCT(($A$14:$B$58=$C64)*($N$14:$N$58)*(Q$14:Q$58))*$D64</f>
        <v>0</v>
      </c>
      <c r="L64" s="1706">
        <f t="shared" ref="L64:L90" si="18">SUMPRODUCT(($A$14:$B$58=$C64)*($N$14:$N$58)*(R$14:R$58))*$D64</f>
        <v>0</v>
      </c>
      <c r="M64" s="1706">
        <f t="shared" ref="M64:M90" si="19">SUMPRODUCT(($A$14:$B$58=$C64)*($U$14:$U$58)*(V$14:V$58))*$D64</f>
        <v>0</v>
      </c>
      <c r="N64" s="1706">
        <f t="shared" ref="N64:N90" si="20">SUMPRODUCT(($A$14:$B$58=$C64)*($U$14:$U$58)*(W$14:W$58))*$D64</f>
        <v>0</v>
      </c>
      <c r="O64" s="1706">
        <f t="shared" ref="O64:O90" si="21">SUMPRODUCT(($A$14:$B$58=$C64)*($U$14:$U$58)*(X$14:X$58))*$D64</f>
        <v>0</v>
      </c>
      <c r="P64" s="1706">
        <f t="shared" ref="P64:P90" si="22">SUMPRODUCT(($A$14:$B$58=$C64)*($U$14:$U$58)*(Y$14:Y$58))*$D64</f>
        <v>0</v>
      </c>
      <c r="Q64" s="1687">
        <f>R64+S64+T64</f>
        <v>0</v>
      </c>
      <c r="R64" s="1744">
        <f t="shared" ref="R64:R91" si="23">SUM(E64:H64)</f>
        <v>0</v>
      </c>
      <c r="S64" s="1744">
        <f t="shared" ref="S64:S91" si="24">SUM(I64:L64)</f>
        <v>0</v>
      </c>
      <c r="T64" s="1745">
        <f t="shared" ref="T64:T91" si="25">SUM(M64:P64)</f>
        <v>0</v>
      </c>
      <c r="U64" s="1707">
        <f>IFERROR(IF((INDEX(SETUP!$C$19:$G$62,MATCH((INDEX(PMtbl[[WKst]:[Unit of measure*]],MATCH($C64,INDEX(PMtbl[Category],0,),0),3)),SETUP!$D$19:$D$62,0),4))="Upfront",0,INDEX(SETUP!$C$19:$G$62,MATCH((INDEX(PMtbl[[WKst]:[Unit of measure*]],MATCH($C64,INDEX(PMtbl[Category],0,),0),3)),SETUP!$D$19:$D$62,0),5)),"")</f>
        <v>0</v>
      </c>
      <c r="V64" s="1708">
        <v>7.1</v>
      </c>
      <c r="AD64" s="1595"/>
      <c r="AE64" s="1595"/>
      <c r="AU64" s="1610"/>
    </row>
    <row r="65" spans="1:59" ht="13.5" thickBot="1">
      <c r="A65" s="3157"/>
      <c r="B65" s="3158"/>
      <c r="C65" s="1644" t="s">
        <v>3073</v>
      </c>
      <c r="D65" s="1696">
        <v>0</v>
      </c>
      <c r="E65" s="1688">
        <f t="shared" ref="E65:E90" si="26">SUMPRODUCT(($A$14:$B$58=$C65)*($G$14:$G$58)*(H$14:H$58))*$D65</f>
        <v>0</v>
      </c>
      <c r="F65" s="1688">
        <f t="shared" ref="F65:F90" si="27">SUMPRODUCT(($A$14:$B$58=$C65)*($G$14:$G$58)*(I$14:I$58))*$D65</f>
        <v>0</v>
      </c>
      <c r="G65" s="1688">
        <f t="shared" ref="G65:G90" si="28">SUMPRODUCT(($A$14:$B$58=$C65)*($G$14:$G$58)*(J$14:J$58))*$D65</f>
        <v>0</v>
      </c>
      <c r="H65" s="1688">
        <f t="shared" ref="H65:H90" si="29">SUMPRODUCT(($A$14:$B$58=$C65)*($G$14:$G$58)*(K$14:K$58))*$D65</f>
        <v>0</v>
      </c>
      <c r="I65" s="1688">
        <f t="shared" si="15"/>
        <v>0</v>
      </c>
      <c r="J65" s="1688">
        <f t="shared" si="16"/>
        <v>0</v>
      </c>
      <c r="K65" s="1688">
        <f t="shared" si="17"/>
        <v>0</v>
      </c>
      <c r="L65" s="1688">
        <f t="shared" si="18"/>
        <v>0</v>
      </c>
      <c r="M65" s="1688">
        <f t="shared" si="19"/>
        <v>0</v>
      </c>
      <c r="N65" s="1688">
        <f t="shared" si="20"/>
        <v>0</v>
      </c>
      <c r="O65" s="1688">
        <f t="shared" si="21"/>
        <v>0</v>
      </c>
      <c r="P65" s="1688">
        <f t="shared" si="22"/>
        <v>0</v>
      </c>
      <c r="Q65" s="1689">
        <f t="shared" ref="Q65:Q91" si="30">R65+S65+T65</f>
        <v>0</v>
      </c>
      <c r="R65" s="1746">
        <f t="shared" si="23"/>
        <v>0</v>
      </c>
      <c r="S65" s="1746">
        <f t="shared" si="24"/>
        <v>0</v>
      </c>
      <c r="T65" s="1747">
        <f t="shared" si="25"/>
        <v>0</v>
      </c>
      <c r="U65" s="1707">
        <f>IFERROR(IF((INDEX(SETUP!$C$19:$G$62,MATCH((INDEX(PMtbl[[WKst]:[Unit of measure*]],MATCH($C65,INDEX(PMtbl[Category],0,),0),3)),SETUP!$D$19:$D$62,0),4))="Upfront",0,INDEX(SETUP!$C$19:$G$62,MATCH((INDEX(PMtbl[[WKst]:[Unit of measure*]],MATCH($C65,INDEX(PMtbl[Category],0,),0),3)),SETUP!$D$19:$D$62,0),5)),"")</f>
        <v>0</v>
      </c>
      <c r="V65" s="1708">
        <v>7.1</v>
      </c>
      <c r="AD65" s="1595"/>
      <c r="AE65" s="1595"/>
      <c r="AU65" s="1610"/>
    </row>
    <row r="66" spans="1:59" ht="13.5" thickBot="1">
      <c r="A66" s="3157"/>
      <c r="B66" s="3158"/>
      <c r="C66" s="1644" t="s">
        <v>2701</v>
      </c>
      <c r="D66" s="1696">
        <v>0</v>
      </c>
      <c r="E66" s="1688">
        <f t="shared" si="26"/>
        <v>0</v>
      </c>
      <c r="F66" s="1688">
        <f t="shared" si="27"/>
        <v>0</v>
      </c>
      <c r="G66" s="1688">
        <f t="shared" si="28"/>
        <v>0</v>
      </c>
      <c r="H66" s="1688">
        <f t="shared" si="29"/>
        <v>0</v>
      </c>
      <c r="I66" s="1688">
        <f t="shared" si="15"/>
        <v>0</v>
      </c>
      <c r="J66" s="1688">
        <f t="shared" si="16"/>
        <v>0</v>
      </c>
      <c r="K66" s="1688">
        <f t="shared" si="17"/>
        <v>0</v>
      </c>
      <c r="L66" s="1688">
        <f t="shared" si="18"/>
        <v>0</v>
      </c>
      <c r="M66" s="1688">
        <f t="shared" si="19"/>
        <v>0</v>
      </c>
      <c r="N66" s="1688">
        <f t="shared" si="20"/>
        <v>0</v>
      </c>
      <c r="O66" s="1688">
        <f t="shared" si="21"/>
        <v>0</v>
      </c>
      <c r="P66" s="1688">
        <f t="shared" si="22"/>
        <v>0</v>
      </c>
      <c r="Q66" s="1689">
        <f t="shared" si="30"/>
        <v>0</v>
      </c>
      <c r="R66" s="1748">
        <f t="shared" si="23"/>
        <v>0</v>
      </c>
      <c r="S66" s="1748">
        <f t="shared" si="24"/>
        <v>0</v>
      </c>
      <c r="T66" s="1749">
        <f t="shared" si="25"/>
        <v>0</v>
      </c>
      <c r="U66" s="1707">
        <f>IFERROR(IF((INDEX(SETUP!$C$19:$G$62,MATCH((INDEX(PMtbl[[WKst]:[Unit of measure*]],MATCH($C66,INDEX(PMtbl[Category],0,),0),3)),SETUP!$D$19:$D$62,0),4))="Upfront",0,INDEX(SETUP!$C$19:$G$62,MATCH((INDEX(PMtbl[[WKst]:[Unit of measure*]],MATCH($C66,INDEX(PMtbl[Category],0,),0),3)),SETUP!$D$19:$D$62,0),5)),"")</f>
        <v>0</v>
      </c>
      <c r="V66" s="1708">
        <v>7.1</v>
      </c>
      <c r="AD66" s="1595"/>
      <c r="AE66" s="1595"/>
      <c r="AU66" s="1610"/>
    </row>
    <row r="67" spans="1:59" s="1610" customFormat="1" ht="13.5" thickBot="1">
      <c r="A67" s="3157"/>
      <c r="B67" s="3158"/>
      <c r="C67" s="1645" t="s">
        <v>2692</v>
      </c>
      <c r="D67" s="1697">
        <v>0</v>
      </c>
      <c r="E67" s="1690">
        <f>SUMPRODUCT(($A$14:$B$58=$C67)*($AD$14:$AD$58&lt;&gt;6.5)*($G$14:$G$58)*(H$14:H$58))*$D67</f>
        <v>0</v>
      </c>
      <c r="F67" s="1690">
        <f>SUMPRODUCT(($A$14:$B$58=$C67)*($AD$14:$AD$58&lt;&gt;6.5)*($G$14:$G$58)*(I$14:I$58))*$D67</f>
        <v>0</v>
      </c>
      <c r="G67" s="1690">
        <f>SUMPRODUCT(($A$14:$B$58=$C67)*($AD$14:$AD$58&lt;&gt;6.5)*($G$14:$G$58)*(J$14:J$58))*$D67</f>
        <v>0</v>
      </c>
      <c r="H67" s="1690">
        <f>SUMPRODUCT(($A$14:$B$58=$C67)*($AD$14:$AD$58&lt;&gt;6.5)*($G$14:$G$58)*(K$14:K$58))*$D67</f>
        <v>0</v>
      </c>
      <c r="I67" s="1690">
        <f>SUMPRODUCT(($A$14:$B$58=$C67)*($AD$14:$AD$58&lt;&gt;6.5)*($N$14:$N$58)*(O$14:O$58))*$D67</f>
        <v>0</v>
      </c>
      <c r="J67" s="1690">
        <f>SUMPRODUCT(($A$14:$B$58=$C67)*($AD$14:$AD$58&lt;&gt;6.5)*($N$14:$N$58)*(P$14:P$58))*$D67</f>
        <v>0</v>
      </c>
      <c r="K67" s="1690">
        <f>SUMPRODUCT(($A$14:$B$58=$C67)*($AD$14:$AD$58&lt;&gt;6.5)*($N$14:$N$58)*(Q$14:Q$58))*$D67</f>
        <v>0</v>
      </c>
      <c r="L67" s="1690">
        <f>SUMPRODUCT(($A$14:$B$58=$C67)*($AD$14:$AD$58&lt;&gt;6.5)*($N$14:$N$58)*(R$14:R$58))*$D67</f>
        <v>0</v>
      </c>
      <c r="M67" s="1690">
        <f>SUMPRODUCT(($A$14:$B$58=$C67)*($AD$14:$AD$58&lt;&gt;6.5)*($U$14:$U$58)*(V$14:V$58))*$D67</f>
        <v>0</v>
      </c>
      <c r="N67" s="1690">
        <f>SUMPRODUCT(($A$14:$B$58=$C67)*($AD$14:$AD$58&lt;&gt;6.5)*($U$14:$U$58)*(W$14:W$58))*$D67</f>
        <v>0</v>
      </c>
      <c r="O67" s="1690">
        <f>SUMPRODUCT(($A$14:$B$58=$C67)*($AD$14:$AD$58&lt;&gt;6.5)*($U$14:$U$58)*(X$14:X$58))*$D67</f>
        <v>0</v>
      </c>
      <c r="P67" s="1688">
        <f>SUMPRODUCT(($A$14:$B$58=$C67)*($AD$14:$AD$58&lt;&gt;6.5)*($U$14:$U$58)*(Y$14:Y$58))*$D67</f>
        <v>0</v>
      </c>
      <c r="Q67" s="1691">
        <f t="shared" si="30"/>
        <v>0</v>
      </c>
      <c r="R67" s="1750">
        <f t="shared" si="23"/>
        <v>0</v>
      </c>
      <c r="S67" s="1750">
        <f t="shared" si="24"/>
        <v>0</v>
      </c>
      <c r="T67" s="1751">
        <f t="shared" si="25"/>
        <v>0</v>
      </c>
      <c r="U67" s="1707">
        <f>IFERROR(IF((INDEX(SETUP!$C$19:$G$62,MATCH((INDEX(PMtbl[[WKst]:[Unit of measure*]],MATCH($C67,INDEX(PMtbl[Category],0,),0),3)),SETUP!$D$19:$D$62,0),4))="Upfront",0,INDEX(SETUP!$C$19:$G$62,MATCH((INDEX(PMtbl[[WKst]:[Unit of measure*]],MATCH($C67,INDEX(PMtbl[Category],0,),0),3)),SETUP!$D$19:$D$62,0),5)),"")</f>
        <v>0</v>
      </c>
      <c r="V67" s="1708">
        <v>7.1</v>
      </c>
      <c r="AD67" s="1595"/>
      <c r="AE67" s="1595"/>
      <c r="AN67" s="1593"/>
      <c r="AU67" s="1622"/>
      <c r="AV67" s="1593"/>
      <c r="AW67" s="1593"/>
      <c r="AX67" s="1593"/>
      <c r="AY67" s="1593"/>
      <c r="AZ67" s="1593"/>
      <c r="BA67" s="1593"/>
      <c r="BB67" s="1593"/>
      <c r="BC67" s="1593"/>
      <c r="BD67" s="1593"/>
      <c r="BE67" s="1593"/>
      <c r="BF67" s="1593"/>
      <c r="BG67" s="1593"/>
    </row>
    <row r="68" spans="1:59" ht="13.5" thickBot="1">
      <c r="A68" s="3157" t="s">
        <v>3078</v>
      </c>
      <c r="B68" s="3158"/>
      <c r="C68" s="1704" t="s">
        <v>2694</v>
      </c>
      <c r="D68" s="1695">
        <v>0</v>
      </c>
      <c r="E68" s="1706">
        <f t="shared" si="26"/>
        <v>0</v>
      </c>
      <c r="F68" s="1706">
        <f t="shared" si="27"/>
        <v>0</v>
      </c>
      <c r="G68" s="1706">
        <f t="shared" si="28"/>
        <v>0</v>
      </c>
      <c r="H68" s="1706">
        <f t="shared" si="29"/>
        <v>0</v>
      </c>
      <c r="I68" s="1706">
        <f t="shared" si="15"/>
        <v>0</v>
      </c>
      <c r="J68" s="1706">
        <f t="shared" si="16"/>
        <v>0</v>
      </c>
      <c r="K68" s="1706">
        <f t="shared" si="17"/>
        <v>0</v>
      </c>
      <c r="L68" s="1706">
        <f t="shared" si="18"/>
        <v>0</v>
      </c>
      <c r="M68" s="1706">
        <f t="shared" si="19"/>
        <v>0</v>
      </c>
      <c r="N68" s="1706">
        <f t="shared" si="20"/>
        <v>0</v>
      </c>
      <c r="O68" s="1706">
        <f t="shared" si="21"/>
        <v>0</v>
      </c>
      <c r="P68" s="1706">
        <f t="shared" si="22"/>
        <v>0</v>
      </c>
      <c r="Q68" s="1687">
        <f t="shared" si="30"/>
        <v>0</v>
      </c>
      <c r="R68" s="1752">
        <f t="shared" si="23"/>
        <v>0</v>
      </c>
      <c r="S68" s="1752">
        <f t="shared" si="24"/>
        <v>0</v>
      </c>
      <c r="T68" s="1753">
        <f t="shared" si="25"/>
        <v>0</v>
      </c>
      <c r="U68" s="1707">
        <f>IFERROR(IF((INDEX(SETUP!$C$19:$G$62,MATCH((INDEX(PMtbl[[WKst]:[Unit of measure*]],MATCH($C68,INDEX(PMtbl[Category],0,),0),3)),SETUP!$D$19:$D$62,0),4))="Upfront",0,INDEX(SETUP!$C$19:$G$62,MATCH((INDEX(PMtbl[[WKst]:[Unit of measure*]],MATCH($C68,INDEX(PMtbl[Category],0,),0),3)),SETUP!$D$19:$D$62,0),5)),"")</f>
        <v>0</v>
      </c>
      <c r="V68" s="1708">
        <v>7.2</v>
      </c>
      <c r="AD68" s="1595"/>
      <c r="AE68" s="1595"/>
      <c r="AU68" s="1610"/>
    </row>
    <row r="69" spans="1:59" ht="13.5" thickBot="1">
      <c r="A69" s="3157"/>
      <c r="B69" s="3158"/>
      <c r="C69" s="1644" t="s">
        <v>3073</v>
      </c>
      <c r="D69" s="1696">
        <v>0</v>
      </c>
      <c r="E69" s="1688">
        <f t="shared" si="26"/>
        <v>0</v>
      </c>
      <c r="F69" s="1688">
        <f t="shared" si="27"/>
        <v>0</v>
      </c>
      <c r="G69" s="1688">
        <f t="shared" si="28"/>
        <v>0</v>
      </c>
      <c r="H69" s="1688">
        <f t="shared" si="29"/>
        <v>0</v>
      </c>
      <c r="I69" s="1688">
        <f t="shared" si="15"/>
        <v>0</v>
      </c>
      <c r="J69" s="1688">
        <f t="shared" si="16"/>
        <v>0</v>
      </c>
      <c r="K69" s="1688">
        <f t="shared" si="17"/>
        <v>0</v>
      </c>
      <c r="L69" s="1688">
        <f t="shared" si="18"/>
        <v>0</v>
      </c>
      <c r="M69" s="1688">
        <f t="shared" si="19"/>
        <v>0</v>
      </c>
      <c r="N69" s="1688">
        <f t="shared" si="20"/>
        <v>0</v>
      </c>
      <c r="O69" s="1688">
        <f t="shared" si="21"/>
        <v>0</v>
      </c>
      <c r="P69" s="1688">
        <f t="shared" si="22"/>
        <v>0</v>
      </c>
      <c r="Q69" s="1689">
        <f t="shared" si="30"/>
        <v>0</v>
      </c>
      <c r="R69" s="1748">
        <f t="shared" si="23"/>
        <v>0</v>
      </c>
      <c r="S69" s="1748">
        <f t="shared" si="24"/>
        <v>0</v>
      </c>
      <c r="T69" s="1749">
        <f t="shared" si="25"/>
        <v>0</v>
      </c>
      <c r="U69" s="1707">
        <f>IFERROR(IF((INDEX(SETUP!$C$19:$G$62,MATCH((INDEX(PMtbl[[WKst]:[Unit of measure*]],MATCH($C69,INDEX(PMtbl[Category],0,),0),3)),SETUP!$D$19:$D$62,0),4))="Upfront",0,INDEX(SETUP!$C$19:$G$62,MATCH((INDEX(PMtbl[[WKst]:[Unit of measure*]],MATCH($C69,INDEX(PMtbl[Category],0,),0),3)),SETUP!$D$19:$D$62,0),5)),"")</f>
        <v>0</v>
      </c>
      <c r="V69" s="1708">
        <v>7.2</v>
      </c>
      <c r="AD69" s="1595"/>
      <c r="AE69" s="1595"/>
      <c r="AU69" s="1610"/>
    </row>
    <row r="70" spans="1:59" s="1610" customFormat="1" ht="13.5" thickBot="1">
      <c r="A70" s="3157"/>
      <c r="B70" s="3158"/>
      <c r="C70" s="1644" t="s">
        <v>2701</v>
      </c>
      <c r="D70" s="1696">
        <v>0</v>
      </c>
      <c r="E70" s="1688">
        <f t="shared" si="26"/>
        <v>0</v>
      </c>
      <c r="F70" s="1688">
        <f t="shared" si="27"/>
        <v>0</v>
      </c>
      <c r="G70" s="1688">
        <f t="shared" si="28"/>
        <v>0</v>
      </c>
      <c r="H70" s="1688">
        <f t="shared" si="29"/>
        <v>0</v>
      </c>
      <c r="I70" s="1688">
        <f t="shared" si="15"/>
        <v>0</v>
      </c>
      <c r="J70" s="1688">
        <f t="shared" si="16"/>
        <v>0</v>
      </c>
      <c r="K70" s="1688">
        <f t="shared" si="17"/>
        <v>0</v>
      </c>
      <c r="L70" s="1688">
        <f t="shared" si="18"/>
        <v>0</v>
      </c>
      <c r="M70" s="1688">
        <f t="shared" si="19"/>
        <v>0</v>
      </c>
      <c r="N70" s="1688">
        <f t="shared" si="20"/>
        <v>0</v>
      </c>
      <c r="O70" s="1688">
        <f t="shared" si="21"/>
        <v>0</v>
      </c>
      <c r="P70" s="1688">
        <f t="shared" si="22"/>
        <v>0</v>
      </c>
      <c r="Q70" s="1689">
        <f t="shared" si="30"/>
        <v>0</v>
      </c>
      <c r="R70" s="1754">
        <f t="shared" si="23"/>
        <v>0</v>
      </c>
      <c r="S70" s="1754">
        <f t="shared" si="24"/>
        <v>0</v>
      </c>
      <c r="T70" s="1755">
        <f t="shared" si="25"/>
        <v>0</v>
      </c>
      <c r="U70" s="1707">
        <f>IFERROR(IF((INDEX(SETUP!$C$19:$G$62,MATCH((INDEX(PMtbl[[WKst]:[Unit of measure*]],MATCH($C70,INDEX(PMtbl[Category],0,),0),3)),SETUP!$D$19:$D$62,0),4))="Upfront",0,INDEX(SETUP!$C$19:$G$62,MATCH((INDEX(PMtbl[[WKst]:[Unit of measure*]],MATCH($C70,INDEX(PMtbl[Category],0,),0),3)),SETUP!$D$19:$D$62,0),5)),"")</f>
        <v>0</v>
      </c>
      <c r="V70" s="1708">
        <v>7.2</v>
      </c>
      <c r="AD70" s="1595"/>
      <c r="AE70" s="1595"/>
      <c r="AN70" s="1593"/>
      <c r="AU70" s="1622"/>
      <c r="AV70" s="1593"/>
      <c r="AW70" s="1593"/>
      <c r="AX70" s="1593"/>
      <c r="AY70" s="1593"/>
      <c r="AZ70" s="1593"/>
      <c r="BA70" s="1593"/>
      <c r="BB70" s="1593"/>
      <c r="BC70" s="1593"/>
      <c r="BD70" s="1593"/>
      <c r="BE70" s="1593"/>
      <c r="BF70" s="1593"/>
      <c r="BG70" s="1593"/>
    </row>
    <row r="71" spans="1:59" s="1610" customFormat="1" ht="13.5" thickBot="1">
      <c r="A71" s="3157"/>
      <c r="B71" s="3158"/>
      <c r="C71" s="1645" t="s">
        <v>2692</v>
      </c>
      <c r="D71" s="1697">
        <v>0</v>
      </c>
      <c r="E71" s="1690">
        <f>SUMPRODUCT(($A$14:$B$58=$C71)*($AD$14:$AD$58&lt;&gt;6.5)*($G$14:$G$58)*(H$14:H$58))*$D71</f>
        <v>0</v>
      </c>
      <c r="F71" s="1690">
        <f>SUMPRODUCT(($A$14:$B$58=$C71)*($AD$14:$AD$58&lt;&gt;6.5)*($G$14:$G$58)*(I$14:I$58))*$D71</f>
        <v>0</v>
      </c>
      <c r="G71" s="1690">
        <f>SUMPRODUCT(($A$14:$B$58=$C71)*($AD$14:$AD$58&lt;&gt;6.5)*($G$14:$G$58)*(J$14:J$58))*$D71</f>
        <v>0</v>
      </c>
      <c r="H71" s="1690">
        <f>SUMPRODUCT(($A$14:$B$58=$C71)*($AD$14:$AD$58&lt;&gt;6.5)*($G$14:$G$58)*(K$14:K$58))*$D71</f>
        <v>0</v>
      </c>
      <c r="I71" s="1690">
        <f>SUMPRODUCT(($A$14:$B$58=$C71)*($AD$14:$AD$58&lt;&gt;6.5)*($N$14:$N$58)*(O$14:O$58))*$D71</f>
        <v>0</v>
      </c>
      <c r="J71" s="1690">
        <f>SUMPRODUCT(($A$14:$B$58=$C71)*($AD$14:$AD$58&lt;&gt;6.5)*($N$14:$N$58)*(P$14:P$58))*$D71</f>
        <v>0</v>
      </c>
      <c r="K71" s="1690">
        <f>SUMPRODUCT(($A$14:$B$58=$C71)*($AD$14:$AD$58&lt;&gt;6.5)*($N$14:$N$58)*(Q$14:Q$58))*$D71</f>
        <v>0</v>
      </c>
      <c r="L71" s="1690">
        <f>SUMPRODUCT(($A$14:$B$58=$C71)*($AD$14:$AD$58&lt;&gt;6.5)*($N$14:$N$58)*(R$14:R$58))*$D71</f>
        <v>0</v>
      </c>
      <c r="M71" s="1690">
        <f>SUMPRODUCT(($A$14:$B$58=$C71)*($AD$14:$AD$58&lt;&gt;6.5)*($U$14:$U$58)*(V$14:V$58))*$D71</f>
        <v>0</v>
      </c>
      <c r="N71" s="1690">
        <f>SUMPRODUCT(($A$14:$B$58=$C71)*($AD$14:$AD$58&lt;&gt;6.5)*($U$14:$U$58)*(W$14:W$58))*$D71</f>
        <v>0</v>
      </c>
      <c r="O71" s="1690">
        <f>SUMPRODUCT(($A$14:$B$58=$C71)*($AD$14:$AD$58&lt;&gt;6.5)*($U$14:$U$58)*(X$14:X$58))*$D71</f>
        <v>0</v>
      </c>
      <c r="P71" s="1690">
        <f>SUMPRODUCT(($A$14:$B$58=$C71)*($AD$14:$AD$58&lt;&gt;6.5)*($U$14:$U$58)*(Y$14:Y$58))*$D71</f>
        <v>0</v>
      </c>
      <c r="Q71" s="1691">
        <f t="shared" si="30"/>
        <v>0</v>
      </c>
      <c r="R71" s="1750">
        <f t="shared" si="23"/>
        <v>0</v>
      </c>
      <c r="S71" s="1750">
        <f t="shared" si="24"/>
        <v>0</v>
      </c>
      <c r="T71" s="1751">
        <f t="shared" si="25"/>
        <v>0</v>
      </c>
      <c r="U71" s="1707">
        <f>IFERROR(IF((INDEX(SETUP!$C$19:$G$62,MATCH((INDEX(PMtbl[[WKst]:[Unit of measure*]],MATCH($C71,INDEX(PMtbl[Category],0,),0),3)),SETUP!$D$19:$D$62,0),4))="Upfront",0,INDEX(SETUP!$C$19:$G$62,MATCH((INDEX(PMtbl[[WKst]:[Unit of measure*]],MATCH($C71,INDEX(PMtbl[Category],0,),0),3)),SETUP!$D$19:$D$62,0),5)),"")</f>
        <v>0</v>
      </c>
      <c r="V71" s="1708">
        <v>7.2</v>
      </c>
      <c r="AD71" s="1595"/>
      <c r="AE71" s="1595"/>
      <c r="AN71" s="1593"/>
      <c r="AU71" s="1622"/>
      <c r="AV71" s="1593"/>
      <c r="AW71" s="1593"/>
      <c r="AX71" s="1593"/>
      <c r="AY71" s="1593"/>
      <c r="AZ71" s="1593"/>
      <c r="BA71" s="1593"/>
      <c r="BB71" s="1593"/>
      <c r="BC71" s="1593"/>
      <c r="BD71" s="1593"/>
      <c r="BE71" s="1593"/>
      <c r="BF71" s="1593"/>
      <c r="BG71" s="1593"/>
    </row>
    <row r="72" spans="1:59" ht="13.5" thickBot="1">
      <c r="A72" s="3157" t="s">
        <v>3079</v>
      </c>
      <c r="B72" s="3158"/>
      <c r="C72" s="1704" t="s">
        <v>2694</v>
      </c>
      <c r="D72" s="1695">
        <v>0</v>
      </c>
      <c r="E72" s="1706">
        <f t="shared" si="26"/>
        <v>0</v>
      </c>
      <c r="F72" s="1706">
        <f t="shared" si="27"/>
        <v>0</v>
      </c>
      <c r="G72" s="1706">
        <f t="shared" si="28"/>
        <v>0</v>
      </c>
      <c r="H72" s="1706">
        <f t="shared" si="29"/>
        <v>0</v>
      </c>
      <c r="I72" s="1706">
        <f t="shared" si="15"/>
        <v>0</v>
      </c>
      <c r="J72" s="1706">
        <f t="shared" si="16"/>
        <v>0</v>
      </c>
      <c r="K72" s="1706">
        <f t="shared" si="17"/>
        <v>0</v>
      </c>
      <c r="L72" s="1706">
        <f t="shared" si="18"/>
        <v>0</v>
      </c>
      <c r="M72" s="1706">
        <f t="shared" si="19"/>
        <v>0</v>
      </c>
      <c r="N72" s="1706">
        <f t="shared" si="20"/>
        <v>0</v>
      </c>
      <c r="O72" s="1706">
        <f t="shared" si="21"/>
        <v>0</v>
      </c>
      <c r="P72" s="1706">
        <f t="shared" si="22"/>
        <v>0</v>
      </c>
      <c r="Q72" s="1687">
        <f t="shared" si="30"/>
        <v>0</v>
      </c>
      <c r="R72" s="1752">
        <f t="shared" si="23"/>
        <v>0</v>
      </c>
      <c r="S72" s="1752">
        <f t="shared" si="24"/>
        <v>0</v>
      </c>
      <c r="T72" s="1753">
        <f t="shared" si="25"/>
        <v>0</v>
      </c>
      <c r="U72" s="1707">
        <f>IFERROR(IF((INDEX(SETUP!$C$19:$G$62,MATCH((INDEX(PMtbl[[WKst]:[Unit of measure*]],MATCH($C72,INDEX(PMtbl[Category],0,),0),3)),SETUP!$D$19:$D$62,0),4))="Upfront",0,INDEX(SETUP!$C$19:$G$62,MATCH((INDEX(PMtbl[[WKst]:[Unit of measure*]],MATCH($C72,INDEX(PMtbl[Category],0,),0),3)),SETUP!$D$19:$D$62,0),5)),"")</f>
        <v>0</v>
      </c>
      <c r="V72" s="1708">
        <v>7.3</v>
      </c>
      <c r="AD72" s="1595"/>
      <c r="AE72" s="1595"/>
      <c r="AU72" s="1610"/>
    </row>
    <row r="73" spans="1:59" ht="13.5" thickBot="1">
      <c r="A73" s="3157"/>
      <c r="B73" s="3158"/>
      <c r="C73" s="1644" t="s">
        <v>3073</v>
      </c>
      <c r="D73" s="1696">
        <v>0</v>
      </c>
      <c r="E73" s="1688">
        <f t="shared" si="26"/>
        <v>0</v>
      </c>
      <c r="F73" s="1688">
        <f t="shared" si="27"/>
        <v>0</v>
      </c>
      <c r="G73" s="1688">
        <f t="shared" si="28"/>
        <v>0</v>
      </c>
      <c r="H73" s="1688">
        <f t="shared" si="29"/>
        <v>0</v>
      </c>
      <c r="I73" s="1688">
        <f t="shared" si="15"/>
        <v>0</v>
      </c>
      <c r="J73" s="1688">
        <f t="shared" si="16"/>
        <v>0</v>
      </c>
      <c r="K73" s="1688">
        <f t="shared" si="17"/>
        <v>0</v>
      </c>
      <c r="L73" s="1688">
        <f t="shared" si="18"/>
        <v>0</v>
      </c>
      <c r="M73" s="1688">
        <f t="shared" si="19"/>
        <v>0</v>
      </c>
      <c r="N73" s="1688">
        <f t="shared" si="20"/>
        <v>0</v>
      </c>
      <c r="O73" s="1688">
        <f t="shared" si="21"/>
        <v>0</v>
      </c>
      <c r="P73" s="1688">
        <f t="shared" si="22"/>
        <v>0</v>
      </c>
      <c r="Q73" s="1689">
        <f t="shared" si="30"/>
        <v>0</v>
      </c>
      <c r="R73" s="1748">
        <f t="shared" si="23"/>
        <v>0</v>
      </c>
      <c r="S73" s="1748">
        <f t="shared" si="24"/>
        <v>0</v>
      </c>
      <c r="T73" s="1749">
        <f t="shared" si="25"/>
        <v>0</v>
      </c>
      <c r="U73" s="1707">
        <f>IFERROR(IF((INDEX(SETUP!$C$19:$G$62,MATCH((INDEX(PMtbl[[WKst]:[Unit of measure*]],MATCH($C73,INDEX(PMtbl[Category],0,),0),3)),SETUP!$D$19:$D$62,0),4))="Upfront",0,INDEX(SETUP!$C$19:$G$62,MATCH((INDEX(PMtbl[[WKst]:[Unit of measure*]],MATCH($C73,INDEX(PMtbl[Category],0,),0),3)),SETUP!$D$19:$D$62,0),5)),"")</f>
        <v>0</v>
      </c>
      <c r="V73" s="1708">
        <v>7.3</v>
      </c>
      <c r="AD73" s="1595"/>
      <c r="AE73" s="1595"/>
      <c r="AU73" s="1610"/>
    </row>
    <row r="74" spans="1:59" ht="13.5" thickBot="1">
      <c r="A74" s="3157"/>
      <c r="B74" s="3158"/>
      <c r="C74" s="1644" t="s">
        <v>2701</v>
      </c>
      <c r="D74" s="1696">
        <v>0</v>
      </c>
      <c r="E74" s="1688">
        <f t="shared" si="26"/>
        <v>0</v>
      </c>
      <c r="F74" s="1688">
        <f t="shared" si="27"/>
        <v>0</v>
      </c>
      <c r="G74" s="1688">
        <f t="shared" si="28"/>
        <v>0</v>
      </c>
      <c r="H74" s="1688">
        <f t="shared" si="29"/>
        <v>0</v>
      </c>
      <c r="I74" s="1688">
        <f t="shared" si="15"/>
        <v>0</v>
      </c>
      <c r="J74" s="1688">
        <f t="shared" si="16"/>
        <v>0</v>
      </c>
      <c r="K74" s="1688">
        <f t="shared" si="17"/>
        <v>0</v>
      </c>
      <c r="L74" s="1688">
        <f t="shared" si="18"/>
        <v>0</v>
      </c>
      <c r="M74" s="1688">
        <f t="shared" si="19"/>
        <v>0</v>
      </c>
      <c r="N74" s="1688">
        <f t="shared" si="20"/>
        <v>0</v>
      </c>
      <c r="O74" s="1688">
        <f t="shared" si="21"/>
        <v>0</v>
      </c>
      <c r="P74" s="1688">
        <f t="shared" si="22"/>
        <v>0</v>
      </c>
      <c r="Q74" s="1689">
        <f t="shared" si="30"/>
        <v>0</v>
      </c>
      <c r="R74" s="1748">
        <f t="shared" si="23"/>
        <v>0</v>
      </c>
      <c r="S74" s="1748">
        <f t="shared" si="24"/>
        <v>0</v>
      </c>
      <c r="T74" s="1749">
        <f t="shared" si="25"/>
        <v>0</v>
      </c>
      <c r="U74" s="1707">
        <f>IFERROR(IF((INDEX(SETUP!$C$19:$G$62,MATCH((INDEX(PMtbl[[WKst]:[Unit of measure*]],MATCH($C74,INDEX(PMtbl[Category],0,),0),3)),SETUP!$D$19:$D$62,0),4))="Upfront",0,INDEX(SETUP!$C$19:$G$62,MATCH((INDEX(PMtbl[[WKst]:[Unit of measure*]],MATCH($C74,INDEX(PMtbl[Category],0,),0),3)),SETUP!$D$19:$D$62,0),5)),"")</f>
        <v>0</v>
      </c>
      <c r="V74" s="1708">
        <v>7.3</v>
      </c>
      <c r="AD74" s="1595"/>
      <c r="AE74" s="1595"/>
      <c r="AU74" s="1610"/>
    </row>
    <row r="75" spans="1:59" s="1610" customFormat="1" ht="13.5" thickBot="1">
      <c r="A75" s="3157"/>
      <c r="B75" s="3158"/>
      <c r="C75" s="1645" t="s">
        <v>2692</v>
      </c>
      <c r="D75" s="1697">
        <v>0</v>
      </c>
      <c r="E75" s="1690">
        <f>SUMPRODUCT(($A$14:$B$58=$C75)*($AD$14:$AD$58&lt;&gt;6.5)*($G$14:$G$58)*(H$14:H$58))*$D75</f>
        <v>0</v>
      </c>
      <c r="F75" s="1690">
        <f>SUMPRODUCT(($A$14:$B$58=$C75)*($AD$14:$AD$58&lt;&gt;6.5)*($G$14:$G$58)*(I$14:I$58))*$D75</f>
        <v>0</v>
      </c>
      <c r="G75" s="1690">
        <f>SUMPRODUCT(($A$14:$B$58=$C75)*($AD$14:$AD$58&lt;&gt;6.5)*($G$14:$G$58)*(J$14:J$58))*$D75</f>
        <v>0</v>
      </c>
      <c r="H75" s="1690">
        <f>SUMPRODUCT(($A$14:$B$58=$C75)*($AD$14:$AD$58&lt;&gt;6.5)*($G$14:$G$58)*(K$14:K$58))*$D75</f>
        <v>0</v>
      </c>
      <c r="I75" s="1690">
        <f>SUMPRODUCT(($A$14:$B$58=$C75)*($AD$14:$AD$58&lt;&gt;6.5)*($N$14:$N$58)*(O$14:O$58))*$D75</f>
        <v>0</v>
      </c>
      <c r="J75" s="1690">
        <f>SUMPRODUCT(($A$14:$B$58=$C75)*($AD$14:$AD$58&lt;&gt;6.5)*($N$14:$N$58)*(P$14:P$58))*$D75</f>
        <v>0</v>
      </c>
      <c r="K75" s="1690">
        <f>SUMPRODUCT(($A$14:$B$58=$C75)*($AD$14:$AD$58&lt;&gt;6.5)*($N$14:$N$58)*(Q$14:Q$58))*$D75</f>
        <v>0</v>
      </c>
      <c r="L75" s="1690">
        <f>SUMPRODUCT(($A$14:$B$58=$C75)*($AD$14:$AD$58&lt;&gt;6.5)*($N$14:$N$58)*(R$14:R$58))*$D75</f>
        <v>0</v>
      </c>
      <c r="M75" s="1690">
        <f>SUMPRODUCT(($A$14:$B$58=$C75)*($AD$14:$AD$58&lt;&gt;6.5)*($U$14:$U$58)*(V$14:V$58))*$D75</f>
        <v>0</v>
      </c>
      <c r="N75" s="1690">
        <f>SUMPRODUCT(($A$14:$B$58=$C75)*($AD$14:$AD$58&lt;&gt;6.5)*($U$14:$U$58)*(W$14:W$58))*$D75</f>
        <v>0</v>
      </c>
      <c r="O75" s="1690">
        <f>SUMPRODUCT(($A$14:$B$58=$C75)*($AD$14:$AD$58&lt;&gt;6.5)*($U$14:$U$58)*(X$14:X$58))*$D75</f>
        <v>0</v>
      </c>
      <c r="P75" s="1690">
        <f>SUMPRODUCT(($A$14:$B$58=$C75)*($AD$14:$AD$58&lt;&gt;6.5)*($U$14:$U$58)*(Y$14:Y$58))*$D75</f>
        <v>0</v>
      </c>
      <c r="Q75" s="1691">
        <f t="shared" si="30"/>
        <v>0</v>
      </c>
      <c r="R75" s="1750">
        <f t="shared" si="23"/>
        <v>0</v>
      </c>
      <c r="S75" s="1750">
        <f t="shared" si="24"/>
        <v>0</v>
      </c>
      <c r="T75" s="1751">
        <f t="shared" si="25"/>
        <v>0</v>
      </c>
      <c r="U75" s="1707">
        <f>IFERROR(IF((INDEX(SETUP!$C$19:$G$62,MATCH((INDEX(PMtbl[[WKst]:[Unit of measure*]],MATCH($C75,INDEX(PMtbl[Category],0,),0),3)),SETUP!$D$19:$D$62,0),4))="Upfront",0,INDEX(SETUP!$C$19:$G$62,MATCH((INDEX(PMtbl[[WKst]:[Unit of measure*]],MATCH($C75,INDEX(PMtbl[Category],0,),0),3)),SETUP!$D$19:$D$62,0),5)),"")</f>
        <v>0</v>
      </c>
      <c r="V75" s="1708">
        <v>7.3</v>
      </c>
      <c r="AD75" s="1595"/>
      <c r="AE75" s="1595"/>
      <c r="AN75" s="1593"/>
      <c r="AU75" s="1622"/>
      <c r="AV75" s="1593"/>
      <c r="AW75" s="1593"/>
      <c r="AX75" s="1593"/>
      <c r="AY75" s="1593"/>
      <c r="AZ75" s="1593"/>
      <c r="BA75" s="1593"/>
      <c r="BB75" s="1593"/>
      <c r="BC75" s="1593"/>
      <c r="BD75" s="1593"/>
      <c r="BE75" s="1593"/>
      <c r="BF75" s="1593"/>
      <c r="BG75" s="1593"/>
    </row>
    <row r="76" spans="1:59" ht="13.5" thickBot="1">
      <c r="A76" s="3157" t="s">
        <v>3080</v>
      </c>
      <c r="B76" s="3158"/>
      <c r="C76" s="1704" t="s">
        <v>2694</v>
      </c>
      <c r="D76" s="1695">
        <v>0</v>
      </c>
      <c r="E76" s="1706">
        <f t="shared" si="26"/>
        <v>0</v>
      </c>
      <c r="F76" s="1706">
        <f t="shared" si="27"/>
        <v>0</v>
      </c>
      <c r="G76" s="1706">
        <f t="shared" si="28"/>
        <v>0</v>
      </c>
      <c r="H76" s="1706">
        <f t="shared" si="29"/>
        <v>0</v>
      </c>
      <c r="I76" s="1706">
        <f t="shared" si="15"/>
        <v>0</v>
      </c>
      <c r="J76" s="1706">
        <f t="shared" si="16"/>
        <v>0</v>
      </c>
      <c r="K76" s="1706">
        <f t="shared" si="17"/>
        <v>0</v>
      </c>
      <c r="L76" s="1706">
        <f t="shared" si="18"/>
        <v>0</v>
      </c>
      <c r="M76" s="1706">
        <f t="shared" si="19"/>
        <v>0</v>
      </c>
      <c r="N76" s="1706">
        <f t="shared" si="20"/>
        <v>0</v>
      </c>
      <c r="O76" s="1706">
        <f t="shared" si="21"/>
        <v>0</v>
      </c>
      <c r="P76" s="1706">
        <f t="shared" si="22"/>
        <v>0</v>
      </c>
      <c r="Q76" s="1687">
        <f t="shared" si="30"/>
        <v>0</v>
      </c>
      <c r="R76" s="1752">
        <f t="shared" si="23"/>
        <v>0</v>
      </c>
      <c r="S76" s="1752">
        <f t="shared" si="24"/>
        <v>0</v>
      </c>
      <c r="T76" s="1753">
        <f t="shared" si="25"/>
        <v>0</v>
      </c>
      <c r="U76" s="1707">
        <f>IFERROR(IF((INDEX(SETUP!$C$19:$G$62,MATCH((INDEX(PMtbl[[WKst]:[Unit of measure*]],MATCH($C76,INDEX(PMtbl[Category],0,),0),3)),SETUP!$D$19:$D$62,0),4))="Upfront",0,INDEX(SETUP!$C$19:$G$62,MATCH((INDEX(PMtbl[[WKst]:[Unit of measure*]],MATCH($C76,INDEX(PMtbl[Category],0,),0),3)),SETUP!$D$19:$D$62,0),5)),"")</f>
        <v>0</v>
      </c>
      <c r="V76" s="1708">
        <v>7.4</v>
      </c>
      <c r="AD76" s="1595"/>
      <c r="AE76" s="1595"/>
      <c r="AU76" s="1610"/>
    </row>
    <row r="77" spans="1:59" ht="13.5" thickBot="1">
      <c r="A77" s="3157"/>
      <c r="B77" s="3158"/>
      <c r="C77" s="1644" t="s">
        <v>3073</v>
      </c>
      <c r="D77" s="1696">
        <v>0</v>
      </c>
      <c r="E77" s="1688">
        <f t="shared" si="26"/>
        <v>0</v>
      </c>
      <c r="F77" s="1688">
        <f t="shared" si="27"/>
        <v>0</v>
      </c>
      <c r="G77" s="1688">
        <f t="shared" si="28"/>
        <v>0</v>
      </c>
      <c r="H77" s="1688">
        <f t="shared" si="29"/>
        <v>0</v>
      </c>
      <c r="I77" s="1688">
        <f t="shared" si="15"/>
        <v>0</v>
      </c>
      <c r="J77" s="1688">
        <f t="shared" si="16"/>
        <v>0</v>
      </c>
      <c r="K77" s="1688">
        <f t="shared" si="17"/>
        <v>0</v>
      </c>
      <c r="L77" s="1688">
        <f t="shared" si="18"/>
        <v>0</v>
      </c>
      <c r="M77" s="1688">
        <f t="shared" si="19"/>
        <v>0</v>
      </c>
      <c r="N77" s="1688">
        <f t="shared" si="20"/>
        <v>0</v>
      </c>
      <c r="O77" s="1688">
        <f t="shared" si="21"/>
        <v>0</v>
      </c>
      <c r="P77" s="1688">
        <f t="shared" si="22"/>
        <v>0</v>
      </c>
      <c r="Q77" s="1689">
        <f t="shared" si="30"/>
        <v>0</v>
      </c>
      <c r="R77" s="1748">
        <f t="shared" si="23"/>
        <v>0</v>
      </c>
      <c r="S77" s="1748">
        <f t="shared" si="24"/>
        <v>0</v>
      </c>
      <c r="T77" s="1749">
        <f t="shared" si="25"/>
        <v>0</v>
      </c>
      <c r="U77" s="1707">
        <f>IFERROR(IF((INDEX(SETUP!$C$19:$G$62,MATCH((INDEX(PMtbl[[WKst]:[Unit of measure*]],MATCH($C77,INDEX(PMtbl[Category],0,),0),3)),SETUP!$D$19:$D$62,0),4))="Upfront",0,INDEX(SETUP!$C$19:$G$62,MATCH((INDEX(PMtbl[[WKst]:[Unit of measure*]],MATCH($C77,INDEX(PMtbl[Category],0,),0),3)),SETUP!$D$19:$D$62,0),5)),"")</f>
        <v>0</v>
      </c>
      <c r="V77" s="1708">
        <v>7.4</v>
      </c>
      <c r="AD77" s="1595"/>
      <c r="AE77" s="1595"/>
      <c r="AU77" s="1610"/>
    </row>
    <row r="78" spans="1:59" ht="13.5" thickBot="1">
      <c r="A78" s="3157"/>
      <c r="B78" s="3158"/>
      <c r="C78" s="1644" t="s">
        <v>2701</v>
      </c>
      <c r="D78" s="1696">
        <v>0</v>
      </c>
      <c r="E78" s="1688">
        <f t="shared" si="26"/>
        <v>0</v>
      </c>
      <c r="F78" s="1688">
        <f t="shared" si="27"/>
        <v>0</v>
      </c>
      <c r="G78" s="1688">
        <f t="shared" si="28"/>
        <v>0</v>
      </c>
      <c r="H78" s="1688">
        <f t="shared" si="29"/>
        <v>0</v>
      </c>
      <c r="I78" s="1688">
        <f t="shared" si="15"/>
        <v>0</v>
      </c>
      <c r="J78" s="1688">
        <f t="shared" si="16"/>
        <v>0</v>
      </c>
      <c r="K78" s="1688">
        <f t="shared" si="17"/>
        <v>0</v>
      </c>
      <c r="L78" s="1688">
        <f t="shared" si="18"/>
        <v>0</v>
      </c>
      <c r="M78" s="1688">
        <f t="shared" si="19"/>
        <v>0</v>
      </c>
      <c r="N78" s="1688">
        <f t="shared" si="20"/>
        <v>0</v>
      </c>
      <c r="O78" s="1688">
        <f t="shared" si="21"/>
        <v>0</v>
      </c>
      <c r="P78" s="1688">
        <f t="shared" si="22"/>
        <v>0</v>
      </c>
      <c r="Q78" s="1689">
        <f t="shared" si="30"/>
        <v>0</v>
      </c>
      <c r="R78" s="1748">
        <f t="shared" si="23"/>
        <v>0</v>
      </c>
      <c r="S78" s="1748">
        <f t="shared" si="24"/>
        <v>0</v>
      </c>
      <c r="T78" s="1749">
        <f t="shared" si="25"/>
        <v>0</v>
      </c>
      <c r="U78" s="1707">
        <f>IFERROR(IF((INDEX(SETUP!$C$19:$G$62,MATCH((INDEX(PMtbl[[WKst]:[Unit of measure*]],MATCH($C78,INDEX(PMtbl[Category],0,),0),3)),SETUP!$D$19:$D$62,0),4))="Upfront",0,INDEX(SETUP!$C$19:$G$62,MATCH((INDEX(PMtbl[[WKst]:[Unit of measure*]],MATCH($C78,INDEX(PMtbl[Category],0,),0),3)),SETUP!$D$19:$D$62,0),5)),"")</f>
        <v>0</v>
      </c>
      <c r="V78" s="1708">
        <v>7.4</v>
      </c>
      <c r="AD78" s="1595"/>
      <c r="AE78" s="1595"/>
      <c r="AU78" s="1610"/>
    </row>
    <row r="79" spans="1:59" s="1610" customFormat="1" ht="13.5" thickBot="1">
      <c r="A79" s="3157"/>
      <c r="B79" s="3158"/>
      <c r="C79" s="1645" t="s">
        <v>2692</v>
      </c>
      <c r="D79" s="1697">
        <v>0</v>
      </c>
      <c r="E79" s="1690">
        <f>SUMPRODUCT(($A$14:$B$58=$C79)*($AD$14:$AD$58&lt;&gt;6.5)*($G$14:$G$58)*(H$14:H$58))*$D79</f>
        <v>0</v>
      </c>
      <c r="F79" s="1690">
        <f>SUMPRODUCT(($A$14:$B$58=$C79)*($AD$14:$AD$58&lt;&gt;6.5)*($G$14:$G$58)*(I$14:I$58))*$D79</f>
        <v>0</v>
      </c>
      <c r="G79" s="1690">
        <f>SUMPRODUCT(($A$14:$B$58=$C79)*($AD$14:$AD$58&lt;&gt;6.5)*($G$14:$G$58)*(J$14:J$58))*$D79</f>
        <v>0</v>
      </c>
      <c r="H79" s="1690">
        <f>SUMPRODUCT(($A$14:$B$58=$C79)*($AD$14:$AD$58&lt;&gt;6.5)*($G$14:$G$58)*(K$14:K$58))*$D79</f>
        <v>0</v>
      </c>
      <c r="I79" s="1690">
        <f>SUMPRODUCT(($A$14:$B$58=$C79)*($AD$14:$AD$58&lt;&gt;6.5)*($N$14:$N$58)*(O$14:O$58))*$D79</f>
        <v>0</v>
      </c>
      <c r="J79" s="1690">
        <f>SUMPRODUCT(($A$14:$B$58=$C79)*($AD$14:$AD$58&lt;&gt;6.5)*($N$14:$N$58)*(P$14:P$58))*$D79</f>
        <v>0</v>
      </c>
      <c r="K79" s="1690">
        <f>SUMPRODUCT(($A$14:$B$58=$C79)*($AD$14:$AD$58&lt;&gt;6.5)*($N$14:$N$58)*(Q$14:Q$58))*$D79</f>
        <v>0</v>
      </c>
      <c r="L79" s="1690">
        <f>SUMPRODUCT(($A$14:$B$58=$C79)*($AD$14:$AD$58&lt;&gt;6.5)*($N$14:$N$58)*(R$14:R$58))*$D79</f>
        <v>0</v>
      </c>
      <c r="M79" s="1690">
        <f>SUMPRODUCT(($A$14:$B$58=$C79)*($AD$14:$AD$58&lt;&gt;6.5)*($U$14:$U$58)*(V$14:V$58))*$D79</f>
        <v>0</v>
      </c>
      <c r="N79" s="1690">
        <f>SUMPRODUCT(($A$14:$B$58=$C79)*($AD$14:$AD$58&lt;&gt;6.5)*($U$14:$U$58)*(W$14:W$58))*$D79</f>
        <v>0</v>
      </c>
      <c r="O79" s="1690">
        <f>SUMPRODUCT(($A$14:$B$58=$C79)*($AD$14:$AD$58&lt;&gt;6.5)*($U$14:$U$58)*(X$14:X$58))*$D79</f>
        <v>0</v>
      </c>
      <c r="P79" s="1690">
        <f>SUMPRODUCT(($A$14:$B$58=$C79)*($AD$14:$AD$58&lt;&gt;6.5)*($U$14:$U$58)*(Y$14:Y$58))*$D79</f>
        <v>0</v>
      </c>
      <c r="Q79" s="1691">
        <f t="shared" si="30"/>
        <v>0</v>
      </c>
      <c r="R79" s="1750">
        <f t="shared" si="23"/>
        <v>0</v>
      </c>
      <c r="S79" s="1750">
        <f t="shared" si="24"/>
        <v>0</v>
      </c>
      <c r="T79" s="1751">
        <f t="shared" si="25"/>
        <v>0</v>
      </c>
      <c r="U79" s="1707">
        <f>IFERROR(IF((INDEX(SETUP!$C$19:$G$62,MATCH((INDEX(PMtbl[[WKst]:[Unit of measure*]],MATCH($C79,INDEX(PMtbl[Category],0,),0),3)),SETUP!$D$19:$D$62,0),4))="Upfront",0,INDEX(SETUP!$C$19:$G$62,MATCH((INDEX(PMtbl[[WKst]:[Unit of measure*]],MATCH($C79,INDEX(PMtbl[Category],0,),0),3)),SETUP!$D$19:$D$62,0),5)),"")</f>
        <v>0</v>
      </c>
      <c r="V79" s="1708">
        <v>7.4</v>
      </c>
      <c r="AD79" s="1595"/>
      <c r="AE79" s="1595"/>
      <c r="AN79" s="1593"/>
      <c r="AU79" s="1622"/>
      <c r="AV79" s="1593"/>
      <c r="AW79" s="1593"/>
      <c r="AX79" s="1593"/>
      <c r="AY79" s="1593"/>
      <c r="AZ79" s="1593"/>
      <c r="BA79" s="1593"/>
      <c r="BB79" s="1593"/>
      <c r="BC79" s="1593"/>
      <c r="BD79" s="1593"/>
      <c r="BE79" s="1593"/>
      <c r="BF79" s="1593"/>
      <c r="BG79" s="1593"/>
    </row>
    <row r="80" spans="1:59" ht="13.5" thickBot="1">
      <c r="A80" s="3157" t="s">
        <v>3081</v>
      </c>
      <c r="B80" s="3158"/>
      <c r="C80" s="1704" t="s">
        <v>2694</v>
      </c>
      <c r="D80" s="1695">
        <v>0</v>
      </c>
      <c r="E80" s="1706">
        <f t="shared" si="26"/>
        <v>0</v>
      </c>
      <c r="F80" s="1706">
        <f t="shared" si="27"/>
        <v>0</v>
      </c>
      <c r="G80" s="1706">
        <f t="shared" si="28"/>
        <v>0</v>
      </c>
      <c r="H80" s="1706">
        <f t="shared" si="29"/>
        <v>0</v>
      </c>
      <c r="I80" s="1706">
        <f t="shared" si="15"/>
        <v>0</v>
      </c>
      <c r="J80" s="1706">
        <f t="shared" si="16"/>
        <v>0</v>
      </c>
      <c r="K80" s="1706">
        <f t="shared" si="17"/>
        <v>0</v>
      </c>
      <c r="L80" s="1706">
        <f t="shared" si="18"/>
        <v>0</v>
      </c>
      <c r="M80" s="1706">
        <f t="shared" si="19"/>
        <v>0</v>
      </c>
      <c r="N80" s="1706">
        <f t="shared" si="20"/>
        <v>0</v>
      </c>
      <c r="O80" s="1706">
        <f t="shared" si="21"/>
        <v>0</v>
      </c>
      <c r="P80" s="1706">
        <f t="shared" si="22"/>
        <v>0</v>
      </c>
      <c r="Q80" s="1687">
        <f t="shared" si="30"/>
        <v>0</v>
      </c>
      <c r="R80" s="1752">
        <f t="shared" si="23"/>
        <v>0</v>
      </c>
      <c r="S80" s="1752">
        <f t="shared" si="24"/>
        <v>0</v>
      </c>
      <c r="T80" s="1753">
        <f t="shared" si="25"/>
        <v>0</v>
      </c>
      <c r="U80" s="1707">
        <f>IFERROR(IF((INDEX(SETUP!$C$19:$G$62,MATCH((INDEX(PMtbl[[WKst]:[Unit of measure*]],MATCH($C80,INDEX(PMtbl[Category],0,),0),3)),SETUP!$D$19:$D$62,0),4))="Upfront",0,INDEX(SETUP!$C$19:$G$62,MATCH((INDEX(PMtbl[[WKst]:[Unit of measure*]],MATCH($C80,INDEX(PMtbl[Category],0,),0),3)),SETUP!$D$19:$D$62,0),5)),"")</f>
        <v>0</v>
      </c>
      <c r="V80" s="1708">
        <v>7.5</v>
      </c>
      <c r="AD80" s="1595"/>
      <c r="AE80" s="1595"/>
      <c r="AU80" s="1610"/>
    </row>
    <row r="81" spans="1:59" ht="13.5" thickBot="1">
      <c r="A81" s="3157"/>
      <c r="B81" s="3158"/>
      <c r="C81" s="1644" t="s">
        <v>3073</v>
      </c>
      <c r="D81" s="1696">
        <v>0</v>
      </c>
      <c r="E81" s="1688">
        <f t="shared" si="26"/>
        <v>0</v>
      </c>
      <c r="F81" s="1688">
        <f t="shared" si="27"/>
        <v>0</v>
      </c>
      <c r="G81" s="1688">
        <f t="shared" si="28"/>
        <v>0</v>
      </c>
      <c r="H81" s="1688">
        <f t="shared" si="29"/>
        <v>0</v>
      </c>
      <c r="I81" s="1688">
        <f t="shared" si="15"/>
        <v>0</v>
      </c>
      <c r="J81" s="1688">
        <f t="shared" si="16"/>
        <v>0</v>
      </c>
      <c r="K81" s="1688">
        <f t="shared" si="17"/>
        <v>0</v>
      </c>
      <c r="L81" s="1688">
        <f t="shared" si="18"/>
        <v>0</v>
      </c>
      <c r="M81" s="1688">
        <f t="shared" si="19"/>
        <v>0</v>
      </c>
      <c r="N81" s="1688">
        <f t="shared" si="20"/>
        <v>0</v>
      </c>
      <c r="O81" s="1688">
        <f t="shared" si="21"/>
        <v>0</v>
      </c>
      <c r="P81" s="1688">
        <f t="shared" si="22"/>
        <v>0</v>
      </c>
      <c r="Q81" s="1689">
        <f t="shared" si="30"/>
        <v>0</v>
      </c>
      <c r="R81" s="1748">
        <f t="shared" si="23"/>
        <v>0</v>
      </c>
      <c r="S81" s="1748">
        <f t="shared" si="24"/>
        <v>0</v>
      </c>
      <c r="T81" s="1749">
        <f t="shared" si="25"/>
        <v>0</v>
      </c>
      <c r="U81" s="1707">
        <f>IFERROR(IF((INDEX(SETUP!$C$19:$G$62,MATCH((INDEX(PMtbl[[WKst]:[Unit of measure*]],MATCH($C81,INDEX(PMtbl[Category],0,),0),3)),SETUP!$D$19:$D$62,0),4))="Upfront",0,INDEX(SETUP!$C$19:$G$62,MATCH((INDEX(PMtbl[[WKst]:[Unit of measure*]],MATCH($C81,INDEX(PMtbl[Category],0,),0),3)),SETUP!$D$19:$D$62,0),5)),"")</f>
        <v>0</v>
      </c>
      <c r="V81" s="1708">
        <v>7.5</v>
      </c>
      <c r="AD81" s="1595"/>
      <c r="AE81" s="1595"/>
      <c r="AU81" s="1610"/>
    </row>
    <row r="82" spans="1:59" ht="13.5" thickBot="1">
      <c r="A82" s="3157"/>
      <c r="B82" s="3158"/>
      <c r="C82" s="1644" t="s">
        <v>2701</v>
      </c>
      <c r="D82" s="1696">
        <v>0</v>
      </c>
      <c r="E82" s="1688">
        <f t="shared" si="26"/>
        <v>0</v>
      </c>
      <c r="F82" s="1688">
        <f t="shared" si="27"/>
        <v>0</v>
      </c>
      <c r="G82" s="1688">
        <f t="shared" si="28"/>
        <v>0</v>
      </c>
      <c r="H82" s="1688">
        <f t="shared" si="29"/>
        <v>0</v>
      </c>
      <c r="I82" s="1688">
        <f t="shared" si="15"/>
        <v>0</v>
      </c>
      <c r="J82" s="1688">
        <f t="shared" si="16"/>
        <v>0</v>
      </c>
      <c r="K82" s="1688">
        <f t="shared" si="17"/>
        <v>0</v>
      </c>
      <c r="L82" s="1688">
        <f t="shared" si="18"/>
        <v>0</v>
      </c>
      <c r="M82" s="1688">
        <f t="shared" si="19"/>
        <v>0</v>
      </c>
      <c r="N82" s="1688">
        <f t="shared" si="20"/>
        <v>0</v>
      </c>
      <c r="O82" s="1688">
        <f t="shared" si="21"/>
        <v>0</v>
      </c>
      <c r="P82" s="1688">
        <f t="shared" si="22"/>
        <v>0</v>
      </c>
      <c r="Q82" s="1689">
        <f t="shared" si="30"/>
        <v>0</v>
      </c>
      <c r="R82" s="1748">
        <f t="shared" si="23"/>
        <v>0</v>
      </c>
      <c r="S82" s="1748">
        <f t="shared" si="24"/>
        <v>0</v>
      </c>
      <c r="T82" s="1749">
        <f t="shared" si="25"/>
        <v>0</v>
      </c>
      <c r="U82" s="1707">
        <f>IFERROR(IF((INDEX(SETUP!$C$19:$G$62,MATCH((INDEX(PMtbl[[WKst]:[Unit of measure*]],MATCH($C82,INDEX(PMtbl[Category],0,),0),3)),SETUP!$D$19:$D$62,0),4))="Upfront",0,INDEX(SETUP!$C$19:$G$62,MATCH((INDEX(PMtbl[[WKst]:[Unit of measure*]],MATCH($C82,INDEX(PMtbl[Category],0,),0),3)),SETUP!$D$19:$D$62,0),5)),"")</f>
        <v>0</v>
      </c>
      <c r="V82" s="1708">
        <v>7.5</v>
      </c>
      <c r="AD82" s="1595"/>
      <c r="AE82" s="1595"/>
      <c r="AU82" s="1610"/>
    </row>
    <row r="83" spans="1:59" s="1610" customFormat="1" ht="13.5" thickBot="1">
      <c r="A83" s="3157"/>
      <c r="B83" s="3158"/>
      <c r="C83" s="1645" t="s">
        <v>2692</v>
      </c>
      <c r="D83" s="1697">
        <v>0</v>
      </c>
      <c r="E83" s="1690">
        <f>SUMPRODUCT(($A$14:$B$58=$C83)*($AD$14:$AD$58&lt;&gt;6.5)*($G$14:$G$58)*(H$14:H$58))*$D83</f>
        <v>0</v>
      </c>
      <c r="F83" s="1690">
        <f>SUMPRODUCT(($A$14:$B$58=$C83)*($AD$14:$AD$58&lt;&gt;6.5)*($G$14:$G$58)*(I$14:I$58))*$D83</f>
        <v>0</v>
      </c>
      <c r="G83" s="1690">
        <f>SUMPRODUCT(($A$14:$B$58=$C83)*($AD$14:$AD$58&lt;&gt;6.5)*($G$14:$G$58)*(J$14:J$58))*$D83</f>
        <v>0</v>
      </c>
      <c r="H83" s="1690">
        <f>SUMPRODUCT(($A$14:$B$58=$C83)*($AD$14:$AD$58&lt;&gt;6.5)*($G$14:$G$58)*(K$14:K$58))*$D83</f>
        <v>0</v>
      </c>
      <c r="I83" s="1690">
        <f>SUMPRODUCT(($A$14:$B$58=$C83)*($AD$14:$AD$58&lt;&gt;6.5)*($N$14:$N$58)*(O$14:O$58))*$D83</f>
        <v>0</v>
      </c>
      <c r="J83" s="1690">
        <f>SUMPRODUCT(($A$14:$B$58=$C83)*($AD$14:$AD$58&lt;&gt;6.5)*($N$14:$N$58)*(P$14:P$58))*$D83</f>
        <v>0</v>
      </c>
      <c r="K83" s="1690">
        <f>SUMPRODUCT(($A$14:$B$58=$C83)*($AD$14:$AD$58&lt;&gt;6.5)*($N$14:$N$58)*(Q$14:Q$58))*$D83</f>
        <v>0</v>
      </c>
      <c r="L83" s="1690">
        <f>SUMPRODUCT(($A$14:$B$58=$C83)*($AD$14:$AD$58&lt;&gt;6.5)*($N$14:$N$58)*(R$14:R$58))*$D83</f>
        <v>0</v>
      </c>
      <c r="M83" s="1690">
        <f>SUMPRODUCT(($A$14:$B$58=$C83)*($AD$14:$AD$58&lt;&gt;6.5)*($U$14:$U$58)*(V$14:V$58))*$D83</f>
        <v>0</v>
      </c>
      <c r="N83" s="1690">
        <f>SUMPRODUCT(($A$14:$B$58=$C83)*($AD$14:$AD$58&lt;&gt;6.5)*($U$14:$U$58)*(W$14:W$58))*$D83</f>
        <v>0</v>
      </c>
      <c r="O83" s="1690">
        <f>SUMPRODUCT(($A$14:$B$58=$C83)*($AD$14:$AD$58&lt;&gt;6.5)*($U$14:$U$58)*(X$14:X$58))*$D83</f>
        <v>0</v>
      </c>
      <c r="P83" s="1690">
        <f>SUMPRODUCT(($A$14:$B$58=$C83)*($AD$14:$AD$58&lt;&gt;6.5)*($U$14:$U$58)*(Y$14:Y$58))*$D83</f>
        <v>0</v>
      </c>
      <c r="Q83" s="1691">
        <f t="shared" si="30"/>
        <v>0</v>
      </c>
      <c r="R83" s="1750">
        <f t="shared" si="23"/>
        <v>0</v>
      </c>
      <c r="S83" s="1750">
        <f t="shared" si="24"/>
        <v>0</v>
      </c>
      <c r="T83" s="1751">
        <f t="shared" si="25"/>
        <v>0</v>
      </c>
      <c r="U83" s="1707">
        <f>IFERROR(IF((INDEX(SETUP!$C$19:$G$62,MATCH((INDEX(PMtbl[[WKst]:[Unit of measure*]],MATCH($C83,INDEX(PMtbl[Category],0,),0),3)),SETUP!$D$19:$D$62,0),4))="Upfront",0,INDEX(SETUP!$C$19:$G$62,MATCH((INDEX(PMtbl[[WKst]:[Unit of measure*]],MATCH($C83,INDEX(PMtbl[Category],0,),0),3)),SETUP!$D$19:$D$62,0),5)),"")</f>
        <v>0</v>
      </c>
      <c r="V83" s="1708">
        <v>7.5</v>
      </c>
      <c r="AD83" s="1595"/>
      <c r="AE83" s="1595"/>
      <c r="AN83" s="1593"/>
      <c r="AU83" s="1622"/>
      <c r="AV83" s="1593"/>
      <c r="AW83" s="1593"/>
      <c r="AX83" s="1593"/>
      <c r="AY83" s="1593"/>
      <c r="AZ83" s="1593"/>
      <c r="BA83" s="1593"/>
      <c r="BB83" s="1593"/>
      <c r="BC83" s="1593"/>
      <c r="BD83" s="1593"/>
      <c r="BE83" s="1593"/>
      <c r="BF83" s="1593"/>
      <c r="BG83" s="1593"/>
    </row>
    <row r="84" spans="1:59" ht="13.5" thickBot="1">
      <c r="A84" s="3157" t="s">
        <v>3082</v>
      </c>
      <c r="B84" s="3158"/>
      <c r="C84" s="1704" t="s">
        <v>2694</v>
      </c>
      <c r="D84" s="1695">
        <v>0</v>
      </c>
      <c r="E84" s="1706">
        <f t="shared" si="26"/>
        <v>0</v>
      </c>
      <c r="F84" s="1706">
        <f t="shared" si="27"/>
        <v>0</v>
      </c>
      <c r="G84" s="1706">
        <f t="shared" si="28"/>
        <v>0</v>
      </c>
      <c r="H84" s="1706">
        <f t="shared" si="29"/>
        <v>0</v>
      </c>
      <c r="I84" s="1706">
        <f t="shared" si="15"/>
        <v>0</v>
      </c>
      <c r="J84" s="1706">
        <f t="shared" si="16"/>
        <v>0</v>
      </c>
      <c r="K84" s="1706">
        <f t="shared" si="17"/>
        <v>0</v>
      </c>
      <c r="L84" s="1706">
        <f t="shared" si="18"/>
        <v>0</v>
      </c>
      <c r="M84" s="1706">
        <f t="shared" si="19"/>
        <v>0</v>
      </c>
      <c r="N84" s="1706">
        <f t="shared" si="20"/>
        <v>0</v>
      </c>
      <c r="O84" s="1706">
        <f t="shared" si="21"/>
        <v>0</v>
      </c>
      <c r="P84" s="1706">
        <f t="shared" si="22"/>
        <v>0</v>
      </c>
      <c r="Q84" s="1687">
        <f t="shared" si="30"/>
        <v>0</v>
      </c>
      <c r="R84" s="1752">
        <f t="shared" si="23"/>
        <v>0</v>
      </c>
      <c r="S84" s="1752">
        <f t="shared" si="24"/>
        <v>0</v>
      </c>
      <c r="T84" s="1753">
        <f t="shared" si="25"/>
        <v>0</v>
      </c>
      <c r="U84" s="1707">
        <f>IFERROR(IF((INDEX(SETUP!$C$19:$G$62,MATCH((INDEX(PMtbl[[WKst]:[Unit of measure*]],MATCH($C84,INDEX(PMtbl[Category],0,),0),3)),SETUP!$D$19:$D$62,0),4))="Upfront",0,INDEX(SETUP!$C$19:$G$62,MATCH((INDEX(PMtbl[[WKst]:[Unit of measure*]],MATCH($C84,INDEX(PMtbl[Category],0,),0),3)),SETUP!$D$19:$D$62,0),5)),"")</f>
        <v>0</v>
      </c>
      <c r="V84" s="1708">
        <v>7.6</v>
      </c>
      <c r="AD84" s="1595"/>
      <c r="AE84" s="1595"/>
      <c r="AU84" s="1610"/>
    </row>
    <row r="85" spans="1:59" ht="13.5" thickBot="1">
      <c r="A85" s="3157"/>
      <c r="B85" s="3158"/>
      <c r="C85" s="1644" t="s">
        <v>3073</v>
      </c>
      <c r="D85" s="1696">
        <v>0</v>
      </c>
      <c r="E85" s="1688">
        <f t="shared" si="26"/>
        <v>0</v>
      </c>
      <c r="F85" s="1688">
        <f t="shared" si="27"/>
        <v>0</v>
      </c>
      <c r="G85" s="1688">
        <f t="shared" si="28"/>
        <v>0</v>
      </c>
      <c r="H85" s="1688">
        <f t="shared" si="29"/>
        <v>0</v>
      </c>
      <c r="I85" s="1688">
        <f t="shared" si="15"/>
        <v>0</v>
      </c>
      <c r="J85" s="1688">
        <f t="shared" si="16"/>
        <v>0</v>
      </c>
      <c r="K85" s="1688">
        <f t="shared" si="17"/>
        <v>0</v>
      </c>
      <c r="L85" s="1688">
        <f t="shared" si="18"/>
        <v>0</v>
      </c>
      <c r="M85" s="1688">
        <f t="shared" si="19"/>
        <v>0</v>
      </c>
      <c r="N85" s="1688">
        <f t="shared" si="20"/>
        <v>0</v>
      </c>
      <c r="O85" s="1688">
        <f t="shared" si="21"/>
        <v>0</v>
      </c>
      <c r="P85" s="1688">
        <f t="shared" si="22"/>
        <v>0</v>
      </c>
      <c r="Q85" s="1689">
        <f t="shared" si="30"/>
        <v>0</v>
      </c>
      <c r="R85" s="1748">
        <f t="shared" si="23"/>
        <v>0</v>
      </c>
      <c r="S85" s="1748">
        <f t="shared" si="24"/>
        <v>0</v>
      </c>
      <c r="T85" s="1749">
        <f t="shared" si="25"/>
        <v>0</v>
      </c>
      <c r="U85" s="1707">
        <f>IFERROR(IF((INDEX(SETUP!$C$19:$G$62,MATCH((INDEX(PMtbl[[WKst]:[Unit of measure*]],MATCH($C85,INDEX(PMtbl[Category],0,),0),3)),SETUP!$D$19:$D$62,0),4))="Upfront",0,INDEX(SETUP!$C$19:$G$62,MATCH((INDEX(PMtbl[[WKst]:[Unit of measure*]],MATCH($C85,INDEX(PMtbl[Category],0,),0),3)),SETUP!$D$19:$D$62,0),5)),"")</f>
        <v>0</v>
      </c>
      <c r="V85" s="1708">
        <v>7.6</v>
      </c>
      <c r="AD85" s="1595"/>
      <c r="AE85" s="1595"/>
      <c r="AU85" s="1610"/>
    </row>
    <row r="86" spans="1:59" ht="13.5" thickBot="1">
      <c r="A86" s="3157"/>
      <c r="B86" s="3158"/>
      <c r="C86" s="1644" t="s">
        <v>2701</v>
      </c>
      <c r="D86" s="1696">
        <v>0</v>
      </c>
      <c r="E86" s="1688">
        <f t="shared" si="26"/>
        <v>0</v>
      </c>
      <c r="F86" s="1688">
        <f t="shared" si="27"/>
        <v>0</v>
      </c>
      <c r="G86" s="1688">
        <f t="shared" si="28"/>
        <v>0</v>
      </c>
      <c r="H86" s="1688">
        <f t="shared" si="29"/>
        <v>0</v>
      </c>
      <c r="I86" s="1688">
        <f t="shared" si="15"/>
        <v>0</v>
      </c>
      <c r="J86" s="1688">
        <f t="shared" si="16"/>
        <v>0</v>
      </c>
      <c r="K86" s="1688">
        <f t="shared" si="17"/>
        <v>0</v>
      </c>
      <c r="L86" s="1688">
        <f t="shared" si="18"/>
        <v>0</v>
      </c>
      <c r="M86" s="1688">
        <f t="shared" si="19"/>
        <v>0</v>
      </c>
      <c r="N86" s="1688">
        <f t="shared" si="20"/>
        <v>0</v>
      </c>
      <c r="O86" s="1688">
        <f t="shared" si="21"/>
        <v>0</v>
      </c>
      <c r="P86" s="1688">
        <f t="shared" si="22"/>
        <v>0</v>
      </c>
      <c r="Q86" s="1689">
        <f t="shared" si="30"/>
        <v>0</v>
      </c>
      <c r="R86" s="1748">
        <f t="shared" si="23"/>
        <v>0</v>
      </c>
      <c r="S86" s="1748">
        <f t="shared" si="24"/>
        <v>0</v>
      </c>
      <c r="T86" s="1749">
        <f t="shared" si="25"/>
        <v>0</v>
      </c>
      <c r="U86" s="1707">
        <f>IFERROR(IF((INDEX(SETUP!$C$19:$G$62,MATCH((INDEX(PMtbl[[WKst]:[Unit of measure*]],MATCH($C86,INDEX(PMtbl[Category],0,),0),3)),SETUP!$D$19:$D$62,0),4))="Upfront",0,INDEX(SETUP!$C$19:$G$62,MATCH((INDEX(PMtbl[[WKst]:[Unit of measure*]],MATCH($C86,INDEX(PMtbl[Category],0,),0),3)),SETUP!$D$19:$D$62,0),5)),"")</f>
        <v>0</v>
      </c>
      <c r="V86" s="1708">
        <v>7.6</v>
      </c>
      <c r="AD86" s="1595"/>
      <c r="AE86" s="1595"/>
      <c r="AU86" s="1610"/>
    </row>
    <row r="87" spans="1:59" s="1610" customFormat="1" ht="13.5" thickBot="1">
      <c r="A87" s="3157"/>
      <c r="B87" s="3158"/>
      <c r="C87" s="1645" t="s">
        <v>2692</v>
      </c>
      <c r="D87" s="1697">
        <v>0</v>
      </c>
      <c r="E87" s="1690">
        <f>SUMPRODUCT(($A$14:$B$58=$C87)*($AD$14:$AD$58&lt;&gt;6.5)*($G$14:$G$58)*(H$14:H$58))*$D87</f>
        <v>0</v>
      </c>
      <c r="F87" s="1690">
        <f>SUMPRODUCT(($A$14:$B$58=$C87)*($AD$14:$AD$58&lt;&gt;6.5)*($G$14:$G$58)*(I$14:I$58))*$D87</f>
        <v>0</v>
      </c>
      <c r="G87" s="1690">
        <f>SUMPRODUCT(($A$14:$B$58=$C87)*($AD$14:$AD$58&lt;&gt;6.5)*($G$14:$G$58)*(J$14:J$58))*$D87</f>
        <v>0</v>
      </c>
      <c r="H87" s="1690">
        <f>SUMPRODUCT(($A$14:$B$58=$C87)*($AD$14:$AD$58&lt;&gt;6.5)*($G$14:$G$58)*(K$14:K$58))*$D87</f>
        <v>0</v>
      </c>
      <c r="I87" s="1690">
        <f>SUMPRODUCT(($A$14:$B$58=$C87)*($AD$14:$AD$58&lt;&gt;6.5)*($N$14:$N$58)*(O$14:O$58))*$D87</f>
        <v>0</v>
      </c>
      <c r="J87" s="1690">
        <f>SUMPRODUCT(($A$14:$B$58=$C87)*($AD$14:$AD$58&lt;&gt;6.5)*($N$14:$N$58)*(P$14:P$58))*$D87</f>
        <v>0</v>
      </c>
      <c r="K87" s="1690">
        <f>SUMPRODUCT(($A$14:$B$58=$C87)*($AD$14:$AD$58&lt;&gt;6.5)*($N$14:$N$58)*(Q$14:Q$58))*$D87</f>
        <v>0</v>
      </c>
      <c r="L87" s="1690">
        <f>SUMPRODUCT(($A$14:$B$58=$C87)*($AD$14:$AD$58&lt;&gt;6.5)*($N$14:$N$58)*(R$14:R$58))*$D87</f>
        <v>0</v>
      </c>
      <c r="M87" s="1690">
        <f>SUMPRODUCT(($A$14:$B$58=$C87)*($AD$14:$AD$58&lt;&gt;6.5)*($U$14:$U$58)*(V$14:V$58))*$D87</f>
        <v>0</v>
      </c>
      <c r="N87" s="1690">
        <f>SUMPRODUCT(($A$14:$B$58=$C87)*($AD$14:$AD$58&lt;&gt;6.5)*($U$14:$U$58)*(W$14:W$58))*$D87</f>
        <v>0</v>
      </c>
      <c r="O87" s="1690">
        <f>SUMPRODUCT(($A$14:$B$58=$C87)*($AD$14:$AD$58&lt;&gt;6.5)*($U$14:$U$58)*(X$14:X$58))*$D87</f>
        <v>0</v>
      </c>
      <c r="P87" s="1690">
        <f>SUMPRODUCT(($A$14:$B$58=$C87)*($AD$14:$AD$58&lt;&gt;6.5)*($U$14:$U$58)*(Y$14:Y$58))*$D87</f>
        <v>0</v>
      </c>
      <c r="Q87" s="1691">
        <f t="shared" si="30"/>
        <v>0</v>
      </c>
      <c r="R87" s="1750">
        <f t="shared" si="23"/>
        <v>0</v>
      </c>
      <c r="S87" s="1750">
        <f t="shared" si="24"/>
        <v>0</v>
      </c>
      <c r="T87" s="1751">
        <f t="shared" si="25"/>
        <v>0</v>
      </c>
      <c r="U87" s="1707">
        <f>IFERROR(IF((INDEX(SETUP!$C$19:$G$62,MATCH((INDEX(PMtbl[[WKst]:[Unit of measure*]],MATCH($C87,INDEX(PMtbl[Category],0,),0),3)),SETUP!$D$19:$D$62,0),4))="Upfront",0,INDEX(SETUP!$C$19:$G$62,MATCH((INDEX(PMtbl[[WKst]:[Unit of measure*]],MATCH($C87,INDEX(PMtbl[Category],0,),0),3)),SETUP!$D$19:$D$62,0),5)),"")</f>
        <v>0</v>
      </c>
      <c r="V87" s="1708">
        <v>7.6</v>
      </c>
      <c r="AD87" s="1595"/>
      <c r="AE87" s="1595"/>
      <c r="AN87" s="1593"/>
      <c r="AU87" s="1622"/>
      <c r="AV87" s="1593"/>
      <c r="AW87" s="1593"/>
      <c r="AX87" s="1593"/>
      <c r="AY87" s="1593"/>
      <c r="AZ87" s="1593"/>
      <c r="BA87" s="1593"/>
      <c r="BB87" s="1593"/>
      <c r="BC87" s="1593"/>
      <c r="BD87" s="1593"/>
      <c r="BE87" s="1593"/>
      <c r="BF87" s="1593"/>
      <c r="BG87" s="1593"/>
    </row>
    <row r="88" spans="1:59" ht="13.5" thickBot="1">
      <c r="A88" s="3157" t="s">
        <v>3083</v>
      </c>
      <c r="B88" s="3158"/>
      <c r="C88" s="1686" t="s">
        <v>2694</v>
      </c>
      <c r="D88" s="1701">
        <v>0</v>
      </c>
      <c r="E88" s="1702">
        <f t="shared" si="26"/>
        <v>0</v>
      </c>
      <c r="F88" s="1702">
        <f t="shared" si="27"/>
        <v>0</v>
      </c>
      <c r="G88" s="1702">
        <f t="shared" si="28"/>
        <v>0</v>
      </c>
      <c r="H88" s="1702">
        <f t="shared" si="29"/>
        <v>0</v>
      </c>
      <c r="I88" s="1702">
        <f t="shared" si="15"/>
        <v>0</v>
      </c>
      <c r="J88" s="1702">
        <f t="shared" si="16"/>
        <v>0</v>
      </c>
      <c r="K88" s="1702">
        <f t="shared" si="17"/>
        <v>0</v>
      </c>
      <c r="L88" s="1702">
        <f t="shared" si="18"/>
        <v>0</v>
      </c>
      <c r="M88" s="1702">
        <f t="shared" si="19"/>
        <v>0</v>
      </c>
      <c r="N88" s="1702">
        <f t="shared" si="20"/>
        <v>0</v>
      </c>
      <c r="O88" s="1702">
        <f t="shared" si="21"/>
        <v>0</v>
      </c>
      <c r="P88" s="1702">
        <f t="shared" si="22"/>
        <v>0</v>
      </c>
      <c r="Q88" s="1703">
        <f t="shared" si="30"/>
        <v>0</v>
      </c>
      <c r="R88" s="1746">
        <f t="shared" si="23"/>
        <v>0</v>
      </c>
      <c r="S88" s="1746">
        <f t="shared" si="24"/>
        <v>0</v>
      </c>
      <c r="T88" s="1747">
        <f t="shared" si="25"/>
        <v>0</v>
      </c>
      <c r="U88" s="1707">
        <f>IFERROR(IF((INDEX(SETUP!$C$19:$G$62,MATCH((INDEX(PMtbl[[WKst]:[Unit of measure*]],MATCH($C88,INDEX(PMtbl[Category],0,),0),3)),SETUP!$D$19:$D$62,0),4))="Upfront",0,INDEX(SETUP!$C$19:$G$62,MATCH((INDEX(PMtbl[[WKst]:[Unit of measure*]],MATCH($C88,INDEX(PMtbl[Category],0,),0),3)),SETUP!$D$19:$D$62,0),5)),"")</f>
        <v>0</v>
      </c>
      <c r="V88" s="1708">
        <v>7.7</v>
      </c>
      <c r="AD88" s="1595"/>
      <c r="AE88" s="1595"/>
      <c r="AU88" s="1610"/>
    </row>
    <row r="89" spans="1:59" ht="13.5" thickBot="1">
      <c r="A89" s="3157"/>
      <c r="B89" s="3158"/>
      <c r="C89" s="1644" t="s">
        <v>3073</v>
      </c>
      <c r="D89" s="1696">
        <v>0</v>
      </c>
      <c r="E89" s="1688">
        <f t="shared" si="26"/>
        <v>0</v>
      </c>
      <c r="F89" s="1688">
        <f t="shared" si="27"/>
        <v>0</v>
      </c>
      <c r="G89" s="1688">
        <f t="shared" si="28"/>
        <v>0</v>
      </c>
      <c r="H89" s="1688">
        <f t="shared" si="29"/>
        <v>0</v>
      </c>
      <c r="I89" s="1688">
        <f t="shared" si="15"/>
        <v>0</v>
      </c>
      <c r="J89" s="1688">
        <f t="shared" si="16"/>
        <v>0</v>
      </c>
      <c r="K89" s="1688">
        <f t="shared" si="17"/>
        <v>0</v>
      </c>
      <c r="L89" s="1688">
        <f t="shared" si="18"/>
        <v>0</v>
      </c>
      <c r="M89" s="1688">
        <f t="shared" si="19"/>
        <v>0</v>
      </c>
      <c r="N89" s="1688">
        <f t="shared" si="20"/>
        <v>0</v>
      </c>
      <c r="O89" s="1688">
        <f t="shared" si="21"/>
        <v>0</v>
      </c>
      <c r="P89" s="1688">
        <f t="shared" si="22"/>
        <v>0</v>
      </c>
      <c r="Q89" s="1689">
        <f t="shared" si="30"/>
        <v>0</v>
      </c>
      <c r="R89" s="1748">
        <f t="shared" si="23"/>
        <v>0</v>
      </c>
      <c r="S89" s="1748">
        <f t="shared" si="24"/>
        <v>0</v>
      </c>
      <c r="T89" s="1749">
        <f t="shared" si="25"/>
        <v>0</v>
      </c>
      <c r="U89" s="1707">
        <f>IFERROR(IF((INDEX(SETUP!$C$19:$G$62,MATCH((INDEX(PMtbl[[WKst]:[Unit of measure*]],MATCH($C89,INDEX(PMtbl[Category],0,),0),3)),SETUP!$D$19:$D$62,0),4))="Upfront",0,INDEX(SETUP!$C$19:$G$62,MATCH((INDEX(PMtbl[[WKst]:[Unit of measure*]],MATCH($C89,INDEX(PMtbl[Category],0,),0),3)),SETUP!$D$19:$D$62,0),5)),"")</f>
        <v>0</v>
      </c>
      <c r="V89" s="1708">
        <v>7.7</v>
      </c>
      <c r="AD89" s="1595"/>
      <c r="AE89" s="1595"/>
      <c r="AU89" s="1610"/>
    </row>
    <row r="90" spans="1:59" ht="13.5" thickBot="1">
      <c r="A90" s="3157"/>
      <c r="B90" s="3158"/>
      <c r="C90" s="1644" t="s">
        <v>2701</v>
      </c>
      <c r="D90" s="1696">
        <v>0</v>
      </c>
      <c r="E90" s="1688">
        <f t="shared" si="26"/>
        <v>0</v>
      </c>
      <c r="F90" s="1688">
        <f t="shared" si="27"/>
        <v>0</v>
      </c>
      <c r="G90" s="1688">
        <f t="shared" si="28"/>
        <v>0</v>
      </c>
      <c r="H90" s="1688">
        <f t="shared" si="29"/>
        <v>0</v>
      </c>
      <c r="I90" s="1688">
        <f t="shared" si="15"/>
        <v>0</v>
      </c>
      <c r="J90" s="1688">
        <f t="shared" si="16"/>
        <v>0</v>
      </c>
      <c r="K90" s="1688">
        <f t="shared" si="17"/>
        <v>0</v>
      </c>
      <c r="L90" s="1688">
        <f t="shared" si="18"/>
        <v>0</v>
      </c>
      <c r="M90" s="1688">
        <f t="shared" si="19"/>
        <v>0</v>
      </c>
      <c r="N90" s="1688">
        <f t="shared" si="20"/>
        <v>0</v>
      </c>
      <c r="O90" s="1688">
        <f t="shared" si="21"/>
        <v>0</v>
      </c>
      <c r="P90" s="1688">
        <f t="shared" si="22"/>
        <v>0</v>
      </c>
      <c r="Q90" s="1689">
        <f t="shared" si="30"/>
        <v>0</v>
      </c>
      <c r="R90" s="1748">
        <f t="shared" si="23"/>
        <v>0</v>
      </c>
      <c r="S90" s="1748">
        <f t="shared" si="24"/>
        <v>0</v>
      </c>
      <c r="T90" s="1749">
        <f t="shared" si="25"/>
        <v>0</v>
      </c>
      <c r="U90" s="1707">
        <f>IFERROR(IF((INDEX(SETUP!$C$19:$G$62,MATCH((INDEX(PMtbl[[WKst]:[Unit of measure*]],MATCH($C90,INDEX(PMtbl[Category],0,),0),3)),SETUP!$D$19:$D$62,0),4))="Upfront",0,INDEX(SETUP!$C$19:$G$62,MATCH((INDEX(PMtbl[[WKst]:[Unit of measure*]],MATCH($C90,INDEX(PMtbl[Category],0,),0),3)),SETUP!$D$19:$D$62,0),5)),"")</f>
        <v>0</v>
      </c>
      <c r="V90" s="1708">
        <v>7.7</v>
      </c>
      <c r="AD90" s="1595"/>
      <c r="AE90" s="1595"/>
      <c r="AU90" s="1610"/>
    </row>
    <row r="91" spans="1:59" s="1610" customFormat="1" ht="13.5" thickBot="1">
      <c r="A91" s="3157"/>
      <c r="B91" s="3158"/>
      <c r="C91" s="1645" t="s">
        <v>2692</v>
      </c>
      <c r="D91" s="1697">
        <v>0</v>
      </c>
      <c r="E91" s="1690">
        <f>SUMPRODUCT(($A$14:$B$58=$C91)*($AD$14:$AD$58&lt;&gt;6.5)*($G$14:$G$58)*(H$14:H$58))*$D91</f>
        <v>0</v>
      </c>
      <c r="F91" s="1690">
        <f>SUMPRODUCT(($A$14:$B$58=$C91)*($AD$14:$AD$58&lt;&gt;6.5)*($G$14:$G$58)*(I$14:I$58))*$D91</f>
        <v>0</v>
      </c>
      <c r="G91" s="1690">
        <f>SUMPRODUCT(($A$14:$B$58=$C91)*($AD$14:$AD$58&lt;&gt;6.5)*($G$14:$G$58)*(J$14:J$58))*$D91</f>
        <v>0</v>
      </c>
      <c r="H91" s="1690">
        <f>SUMPRODUCT(($A$14:$B$58=$C91)*($AD$14:$AD$58&lt;&gt;6.5)*($G$14:$G$58)*(K$14:K$58))*$D91</f>
        <v>0</v>
      </c>
      <c r="I91" s="1690">
        <f>SUMPRODUCT(($A$14:$B$58=$C91)*($AD$14:$AD$58&lt;&gt;6.5)*($N$14:$N$58)*(O$14:O$58))*$D91</f>
        <v>0</v>
      </c>
      <c r="J91" s="1690">
        <f>SUMPRODUCT(($A$14:$B$58=$C91)*($AD$14:$AD$58&lt;&gt;6.5)*($N$14:$N$58)*(P$14:P$58))*$D91</f>
        <v>0</v>
      </c>
      <c r="K91" s="1690">
        <f>SUMPRODUCT(($A$14:$B$58=$C91)*($AD$14:$AD$58&lt;&gt;6.5)*($N$14:$N$58)*(Q$14:Q$58))*$D91</f>
        <v>0</v>
      </c>
      <c r="L91" s="1690">
        <f>SUMPRODUCT(($A$14:$B$58=$C91)*($AD$14:$AD$58&lt;&gt;6.5)*($N$14:$N$58)*(R$14:R$58))*$D91</f>
        <v>0</v>
      </c>
      <c r="M91" s="1690">
        <f>SUMPRODUCT(($A$14:$B$58=$C91)*($AD$14:$AD$58&lt;&gt;6.5)*($U$14:$U$58)*(V$14:V$58))*$D91</f>
        <v>0</v>
      </c>
      <c r="N91" s="1690">
        <f>SUMPRODUCT(($A$14:$B$58=$C91)*($AD$14:$AD$58&lt;&gt;6.5)*($U$14:$U$58)*(W$14:W$58))*$D91</f>
        <v>0</v>
      </c>
      <c r="O91" s="1690">
        <f>SUMPRODUCT(($A$14:$B$58=$C91)*($AD$14:$AD$58&lt;&gt;6.5)*($U$14:$U$58)*(X$14:X$58))*$D91</f>
        <v>0</v>
      </c>
      <c r="P91" s="1690">
        <f>SUMPRODUCT(($A$14:$B$58=$C91)*($AD$14:$AD$58&lt;&gt;6.5)*($U$14:$U$58)*(Y$14:Y$58))*$D91</f>
        <v>0</v>
      </c>
      <c r="Q91" s="1691">
        <f t="shared" si="30"/>
        <v>0</v>
      </c>
      <c r="R91" s="1750">
        <f t="shared" si="23"/>
        <v>0</v>
      </c>
      <c r="S91" s="1750">
        <f t="shared" si="24"/>
        <v>0</v>
      </c>
      <c r="T91" s="1751">
        <f t="shared" si="25"/>
        <v>0</v>
      </c>
      <c r="U91" s="1707">
        <f>IFERROR(IF((INDEX(SETUP!$C$19:$G$62,MATCH((INDEX(PMtbl[[WKst]:[Unit of measure*]],MATCH($C91,INDEX(PMtbl[Category],0,),0),3)),SETUP!$D$19:$D$62,0),4))="Upfront",0,INDEX(SETUP!$C$19:$G$62,MATCH((INDEX(PMtbl[[WKst]:[Unit of measure*]],MATCH($C91,INDEX(PMtbl[Category],0,),0),3)),SETUP!$D$19:$D$62,0),5)),"")</f>
        <v>0</v>
      </c>
      <c r="V91" s="1708">
        <v>7.7</v>
      </c>
      <c r="AD91" s="1595"/>
      <c r="AE91" s="1595"/>
      <c r="AN91" s="1593"/>
      <c r="AU91" s="1622"/>
      <c r="AV91" s="1593"/>
      <c r="AW91" s="1593"/>
      <c r="AX91" s="1593"/>
      <c r="AY91" s="1593"/>
      <c r="AZ91" s="1593"/>
      <c r="BA91" s="1593"/>
      <c r="BB91" s="1593"/>
      <c r="BC91" s="1593"/>
      <c r="BD91" s="1593"/>
      <c r="BE91" s="1593"/>
      <c r="BF91" s="1593"/>
      <c r="BG91" s="1593"/>
    </row>
    <row r="92" spans="1:59">
      <c r="AC92" s="1595"/>
      <c r="AD92" s="1595"/>
      <c r="AE92" s="1595"/>
    </row>
  </sheetData>
  <sheetProtection algorithmName="SHA-512" hashValue="4c9WYPQ8vxOyahr0JUX7+5IqmSqIim4uYP8uxVsthUuFEJztcBhoJr87d5LZHDnyNuUHrVsilVioip/p3+7etQ==" saltValue="ClqCI5Ohappfb566AoCjzw==" spinCount="100000" sheet="1" objects="1" scenarios="1"/>
  <mergeCells count="91">
    <mergeCell ref="A14:B14"/>
    <mergeCell ref="V62:V63"/>
    <mergeCell ref="T62:T63"/>
    <mergeCell ref="U62:U63"/>
    <mergeCell ref="B62:C63"/>
    <mergeCell ref="E62:H63"/>
    <mergeCell ref="S62:S63"/>
    <mergeCell ref="Q62:Q63"/>
    <mergeCell ref="R62:R63"/>
    <mergeCell ref="M62:P63"/>
    <mergeCell ref="I62:L63"/>
    <mergeCell ref="A54:B54"/>
    <mergeCell ref="A43:B43"/>
    <mergeCell ref="A44:B44"/>
    <mergeCell ref="A45:B45"/>
    <mergeCell ref="A46:B46"/>
    <mergeCell ref="A88:B91"/>
    <mergeCell ref="A84:B87"/>
    <mergeCell ref="A80:B83"/>
    <mergeCell ref="A76:B79"/>
    <mergeCell ref="A72:B75"/>
    <mergeCell ref="A49:B49"/>
    <mergeCell ref="A50:B50"/>
    <mergeCell ref="A51:B51"/>
    <mergeCell ref="A68:B71"/>
    <mergeCell ref="A64:B67"/>
    <mergeCell ref="A55:B55"/>
    <mergeCell ref="A56:B56"/>
    <mergeCell ref="A57:B57"/>
    <mergeCell ref="A58:B58"/>
    <mergeCell ref="A62:A63"/>
    <mergeCell ref="A52:B52"/>
    <mergeCell ref="A53:B53"/>
    <mergeCell ref="A37:B37"/>
    <mergeCell ref="A38:B38"/>
    <mergeCell ref="A39:B39"/>
    <mergeCell ref="A40:B40"/>
    <mergeCell ref="A41:B41"/>
    <mergeCell ref="A32:B32"/>
    <mergeCell ref="A33:B33"/>
    <mergeCell ref="A34:B34"/>
    <mergeCell ref="A35:B35"/>
    <mergeCell ref="A36:B36"/>
    <mergeCell ref="A47:B47"/>
    <mergeCell ref="A48:B48"/>
    <mergeCell ref="A30:B30"/>
    <mergeCell ref="A19:B19"/>
    <mergeCell ref="A20:B20"/>
    <mergeCell ref="A21:B21"/>
    <mergeCell ref="A22:B22"/>
    <mergeCell ref="A23:B23"/>
    <mergeCell ref="A24:B24"/>
    <mergeCell ref="A25:B25"/>
    <mergeCell ref="A26:B26"/>
    <mergeCell ref="A27:B27"/>
    <mergeCell ref="A28:B28"/>
    <mergeCell ref="A29:B29"/>
    <mergeCell ref="A42:B42"/>
    <mergeCell ref="A31:B31"/>
    <mergeCell ref="A12:B13"/>
    <mergeCell ref="BD12:BG12"/>
    <mergeCell ref="A15:B15"/>
    <mergeCell ref="A16:B16"/>
    <mergeCell ref="A17:B17"/>
    <mergeCell ref="AV12:AY12"/>
    <mergeCell ref="AZ12:BC12"/>
    <mergeCell ref="AG12:AG13"/>
    <mergeCell ref="N12:T12"/>
    <mergeCell ref="U12:AA12"/>
    <mergeCell ref="AB12:AC12"/>
    <mergeCell ref="AE12:AE13"/>
    <mergeCell ref="E12:E13"/>
    <mergeCell ref="F12:F13"/>
    <mergeCell ref="G12:M12"/>
    <mergeCell ref="C12:C13"/>
    <mergeCell ref="D12:D13"/>
    <mergeCell ref="A18:B18"/>
    <mergeCell ref="AF12:AF13"/>
    <mergeCell ref="A1:G1"/>
    <mergeCell ref="D62:D63"/>
    <mergeCell ref="B3:B4"/>
    <mergeCell ref="C3:D4"/>
    <mergeCell ref="E3:E4"/>
    <mergeCell ref="F3:G4"/>
    <mergeCell ref="B5:B6"/>
    <mergeCell ref="C5:D6"/>
    <mergeCell ref="E5:E6"/>
    <mergeCell ref="F5:G6"/>
    <mergeCell ref="A8:A9"/>
    <mergeCell ref="B8:F9"/>
    <mergeCell ref="A10:M10"/>
  </mergeCells>
  <conditionalFormatting sqref="A31:D31 A33:D33 A35:D35 A37:D37 A39:D39 A41:D41 A43:D43 A45:D45 A47:D47 A49:D49 A51:D51 A53:D53 A55:D55 A57:D57 A30:B30 A32:B32 A34:B34 A36:B36 A38:B38 A40:B40 A42:B42 A44:B44 A46:B46 A48:B48 A50:B50 A52:B52 A54:B54 A56:B56 A58:B58 A14:D29">
    <cfRule type="expression" dxfId="676" priority="16">
      <formula>AND($D14&lt;&gt;"",$E14="")</formula>
    </cfRule>
  </conditionalFormatting>
  <conditionalFormatting sqref="C58:D58">
    <cfRule type="expression" dxfId="675" priority="1">
      <formula>AND($D58&lt;&gt;"",$E58="")</formula>
    </cfRule>
  </conditionalFormatting>
  <conditionalFormatting sqref="C30:D30">
    <cfRule type="expression" dxfId="674" priority="15">
      <formula>AND($D30&lt;&gt;"",$E30="")</formula>
    </cfRule>
  </conditionalFormatting>
  <conditionalFormatting sqref="C32:D32">
    <cfRule type="expression" dxfId="673" priority="14">
      <formula>AND($D32&lt;&gt;"",$E32="")</formula>
    </cfRule>
  </conditionalFormatting>
  <conditionalFormatting sqref="C34:D34">
    <cfRule type="expression" dxfId="672" priority="13">
      <formula>AND($D34&lt;&gt;"",$E34="")</formula>
    </cfRule>
  </conditionalFormatting>
  <conditionalFormatting sqref="C36:D36">
    <cfRule type="expression" dxfId="671" priority="12">
      <formula>AND($D36&lt;&gt;"",$E36="")</formula>
    </cfRule>
  </conditionalFormatting>
  <conditionalFormatting sqref="C38:D38">
    <cfRule type="expression" dxfId="670" priority="11">
      <formula>AND($D38&lt;&gt;"",$E38="")</formula>
    </cfRule>
  </conditionalFormatting>
  <conditionalFormatting sqref="C40:D40">
    <cfRule type="expression" dxfId="669" priority="10">
      <formula>AND($D40&lt;&gt;"",$E40="")</formula>
    </cfRule>
  </conditionalFormatting>
  <conditionalFormatting sqref="C42:D42">
    <cfRule type="expression" dxfId="668" priority="9">
      <formula>AND($D42&lt;&gt;"",$E42="")</formula>
    </cfRule>
  </conditionalFormatting>
  <conditionalFormatting sqref="C44:D44">
    <cfRule type="expression" dxfId="667" priority="8">
      <formula>AND($D44&lt;&gt;"",$E44="")</formula>
    </cfRule>
  </conditionalFormatting>
  <conditionalFormatting sqref="C46:D46">
    <cfRule type="expression" dxfId="666" priority="7">
      <formula>AND($D46&lt;&gt;"",$E46="")</formula>
    </cfRule>
  </conditionalFormatting>
  <conditionalFormatting sqref="C48:D48">
    <cfRule type="expression" dxfId="665" priority="6">
      <formula>AND($D48&lt;&gt;"",$E48="")</formula>
    </cfRule>
  </conditionalFormatting>
  <conditionalFormatting sqref="C50:D50">
    <cfRule type="expression" dxfId="664" priority="5">
      <formula>AND($D50&lt;&gt;"",$E50="")</formula>
    </cfRule>
  </conditionalFormatting>
  <conditionalFormatting sqref="C52:D52">
    <cfRule type="expression" dxfId="663" priority="4">
      <formula>AND($D52&lt;&gt;"",$E52="")</formula>
    </cfRule>
  </conditionalFormatting>
  <conditionalFormatting sqref="C54:D54">
    <cfRule type="expression" dxfId="662" priority="3">
      <formula>AND($D54&lt;&gt;"",$E54="")</formula>
    </cfRule>
  </conditionalFormatting>
  <conditionalFormatting sqref="C56:D56">
    <cfRule type="expression" dxfId="661" priority="2">
      <formula>AND($D56&lt;&gt;"",$E56="")</formula>
    </cfRule>
  </conditionalFormatting>
  <dataValidations count="5">
    <dataValidation type="decimal" allowBlank="1" showInputMessage="1" showErrorMessage="1" sqref="G14:G58 N14:N58 U14:U58" xr:uid="{00000000-0002-0000-0F00-000000000000}">
      <formula1>0</formula1>
      <formula2>1E+29</formula2>
    </dataValidation>
    <dataValidation type="list" allowBlank="1" showInputMessage="1" showErrorMessage="1" sqref="A14:B58" xr:uid="{00000000-0002-0000-0F00-000001000000}">
      <formula1>COVS1C1</formula1>
    </dataValidation>
    <dataValidation type="list" allowBlank="1" showInputMessage="1" showErrorMessage="1" sqref="C14:C58" xr:uid="{00000000-0002-0000-0F00-000002000000}">
      <formula1>COVS1C2</formula1>
    </dataValidation>
    <dataValidation type="list" allowBlank="1" showInputMessage="1" showErrorMessage="1" sqref="D14:D58" xr:uid="{00000000-0002-0000-0F00-000003000000}">
      <formula1>COVS1C3</formula1>
    </dataValidation>
    <dataValidation type="whole" operator="greaterThanOrEqual" allowBlank="1" showInputMessage="1" showErrorMessage="1" error="Do not input values in Fractions" sqref="H14:K58 O14:R58 V14:Y58" xr:uid="{00000000-0002-0000-0F00-000004000000}">
      <formula1>0</formula1>
    </dataValidation>
  </dataValidations>
  <pageMargins left="0.7" right="0.7" top="0.75" bottom="0.75" header="0.3" footer="0.3"/>
  <pageSetup orientation="portrait" horizontalDpi="90" verticalDpi="90" r:id="rId1"/>
  <ignoredErrors>
    <ignoredError sqref="AF14 AF15:AF58" unlockedFormula="1"/>
    <ignoredError sqref="E67:L67 M67:P67 E71:P71 E75:P75 E79:P79 E83:P83 E87:O87" formula="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theme="0" tint="-0.499984740745262"/>
  </sheetPr>
  <dimension ref="A1:BT701"/>
  <sheetViews>
    <sheetView showGridLines="0" topLeftCell="K113" zoomScale="74" zoomScaleNormal="74" workbookViewId="0">
      <selection activeCell="U96" sqref="U96"/>
    </sheetView>
  </sheetViews>
  <sheetFormatPr baseColWidth="10" defaultColWidth="9" defaultRowHeight="14.5" outlineLevelRow="1"/>
  <cols>
    <col min="1" max="1" width="26.26953125" style="657" customWidth="1"/>
    <col min="2" max="2" width="14.26953125" style="657" bestFit="1" customWidth="1"/>
    <col min="3" max="3" width="16.26953125" style="657" customWidth="1"/>
    <col min="4" max="4" width="13" style="657" customWidth="1"/>
    <col min="5" max="5" width="13.7265625" style="727" customWidth="1"/>
    <col min="6" max="6" width="12.7265625" style="657" bestFit="1" customWidth="1"/>
    <col min="7" max="7" width="13" style="657" customWidth="1"/>
    <col min="8" max="8" width="13.7265625" style="657" bestFit="1" customWidth="1"/>
    <col min="9" max="9" width="14" style="657" customWidth="1"/>
    <col min="10" max="10" width="16.26953125" style="657" customWidth="1"/>
    <col min="11" max="11" width="12.26953125" style="657" bestFit="1" customWidth="1"/>
    <col min="12" max="12" width="12.26953125" style="657" customWidth="1"/>
    <col min="13" max="13" width="13.26953125" style="657" customWidth="1"/>
    <col min="14" max="14" width="12.26953125" style="657" bestFit="1" customWidth="1"/>
    <col min="15" max="15" width="14.26953125" style="657" bestFit="1" customWidth="1"/>
    <col min="16" max="18" width="12.26953125" style="657" bestFit="1" customWidth="1"/>
    <col min="19" max="20" width="14.26953125" style="657" bestFit="1" customWidth="1"/>
    <col min="21" max="21" width="22" style="657" customWidth="1"/>
    <col min="22" max="22" width="16" style="746" customWidth="1"/>
    <col min="23" max="23" width="51.26953125" style="546" customWidth="1"/>
    <col min="24" max="24" width="20.26953125" style="657" hidden="1" customWidth="1"/>
    <col min="25" max="25" width="9.26953125" style="657" hidden="1" customWidth="1"/>
    <col min="26" max="27" width="12" style="657" customWidth="1"/>
    <col min="28" max="33" width="10.26953125" style="657" customWidth="1"/>
    <col min="34" max="34" width="10.26953125" style="690" customWidth="1"/>
    <col min="35" max="72" width="10.26953125" style="657" customWidth="1"/>
    <col min="73" max="16384" width="9" style="657"/>
  </cols>
  <sheetData>
    <row r="1" spans="1:72" ht="24" thickBot="1">
      <c r="A1" s="3258" t="s">
        <v>2663</v>
      </c>
      <c r="B1" s="3259"/>
      <c r="C1" s="3259"/>
      <c r="D1" s="3259"/>
      <c r="E1" s="3259"/>
      <c r="F1" s="3259"/>
      <c r="G1" s="3259"/>
      <c r="H1" s="3259"/>
      <c r="I1" s="3259"/>
      <c r="J1" s="3259"/>
      <c r="K1" s="3260"/>
      <c r="L1" s="1924">
        <f>SETUP!A2</f>
        <v>3</v>
      </c>
      <c r="M1" s="3270"/>
      <c r="N1" s="1289"/>
      <c r="O1" s="553"/>
      <c r="P1" s="553"/>
      <c r="Q1" s="553"/>
      <c r="R1" s="553"/>
      <c r="S1" s="553"/>
      <c r="T1" s="553"/>
      <c r="U1" s="553"/>
      <c r="V1" s="734"/>
      <c r="W1" s="544"/>
      <c r="X1" s="553"/>
      <c r="Y1" s="553"/>
      <c r="Z1" s="553"/>
      <c r="AA1" s="553"/>
      <c r="AB1" s="553"/>
      <c r="AC1" s="553"/>
      <c r="AD1" s="553"/>
      <c r="AE1" s="553"/>
      <c r="AF1" s="553"/>
      <c r="AG1" s="553"/>
      <c r="AH1" s="656"/>
      <c r="AI1" s="553"/>
      <c r="AJ1" s="553"/>
      <c r="AK1" s="553"/>
      <c r="AL1" s="553"/>
      <c r="AM1" s="553"/>
      <c r="AN1" s="553"/>
      <c r="AO1" s="553"/>
      <c r="AP1" s="553"/>
      <c r="AQ1" s="553"/>
      <c r="AR1" s="553"/>
      <c r="AS1" s="553"/>
      <c r="AT1" s="553"/>
      <c r="AU1" s="553"/>
      <c r="AV1" s="553"/>
      <c r="AW1" s="553"/>
      <c r="AX1" s="553"/>
      <c r="AY1" s="553"/>
      <c r="AZ1" s="553"/>
      <c r="BA1" s="553"/>
      <c r="BB1" s="553"/>
      <c r="BC1" s="553"/>
      <c r="BD1" s="553"/>
      <c r="BE1" s="553"/>
      <c r="BF1" s="553"/>
      <c r="BG1" s="553"/>
      <c r="BH1" s="553"/>
      <c r="BI1" s="553"/>
      <c r="BJ1" s="553"/>
      <c r="BK1" s="553"/>
      <c r="BL1" s="553"/>
      <c r="BM1" s="553"/>
      <c r="BN1" s="553"/>
      <c r="BO1" s="553"/>
      <c r="BP1" s="553"/>
      <c r="BQ1" s="553"/>
      <c r="BR1" s="553"/>
      <c r="BS1" s="553"/>
      <c r="BT1" s="553"/>
    </row>
    <row r="2" spans="1:72" ht="15" thickBot="1">
      <c r="A2" s="125"/>
      <c r="B2" s="125"/>
      <c r="C2" s="125"/>
      <c r="D2" s="125"/>
      <c r="E2" s="721"/>
      <c r="F2" s="125"/>
      <c r="G2" s="125"/>
      <c r="H2" s="125"/>
      <c r="I2" s="216"/>
      <c r="J2" s="547"/>
      <c r="K2" s="548"/>
      <c r="L2" s="543"/>
      <c r="M2" s="2868"/>
      <c r="N2" s="1289"/>
      <c r="O2" s="553"/>
      <c r="P2" s="553"/>
      <c r="Q2" s="553"/>
      <c r="R2" s="553"/>
      <c r="S2" s="553"/>
      <c r="T2" s="553"/>
      <c r="U2" s="553"/>
      <c r="V2" s="734"/>
      <c r="W2" s="544"/>
      <c r="X2" s="553"/>
      <c r="Y2" s="553"/>
      <c r="Z2" s="553"/>
      <c r="AA2" s="553"/>
      <c r="AB2" s="553"/>
      <c r="AC2" s="553"/>
      <c r="AD2" s="553"/>
      <c r="AE2" s="553"/>
      <c r="AF2" s="553"/>
      <c r="AG2" s="553"/>
      <c r="AH2" s="656"/>
      <c r="AI2" s="553"/>
      <c r="AJ2" s="553"/>
      <c r="AK2" s="553"/>
      <c r="AL2" s="553"/>
      <c r="AM2" s="553"/>
      <c r="AN2" s="553"/>
      <c r="AO2" s="553"/>
      <c r="AP2" s="553"/>
      <c r="AQ2" s="553"/>
      <c r="AR2" s="553"/>
      <c r="AS2" s="553"/>
      <c r="AT2" s="553"/>
      <c r="AU2" s="553"/>
      <c r="AV2" s="553"/>
      <c r="AW2" s="553"/>
      <c r="AX2" s="553"/>
      <c r="AY2" s="553"/>
      <c r="AZ2" s="553"/>
      <c r="BA2" s="553"/>
      <c r="BB2" s="553"/>
      <c r="BC2" s="553"/>
      <c r="BD2" s="553"/>
      <c r="BE2" s="553"/>
      <c r="BF2" s="553"/>
      <c r="BG2" s="553"/>
      <c r="BH2" s="553"/>
      <c r="BI2" s="553"/>
      <c r="BJ2" s="553"/>
      <c r="BK2" s="553"/>
      <c r="BL2" s="553"/>
      <c r="BM2" s="553"/>
      <c r="BN2" s="553"/>
      <c r="BO2" s="553"/>
      <c r="BP2" s="553"/>
      <c r="BQ2" s="553"/>
      <c r="BR2" s="553"/>
      <c r="BS2" s="553"/>
      <c r="BT2" s="553"/>
    </row>
    <row r="3" spans="1:72" ht="15" customHeight="1" thickBot="1">
      <c r="A3" s="275"/>
      <c r="B3" s="3271" t="s">
        <v>1</v>
      </c>
      <c r="C3" s="3273" t="str">
        <f>SETUP!$E$3</f>
        <v>El Salvador</v>
      </c>
      <c r="D3" s="3273"/>
      <c r="E3" s="3273"/>
      <c r="F3" s="549"/>
      <c r="G3" s="3275" t="s">
        <v>2</v>
      </c>
      <c r="H3" s="3276"/>
      <c r="I3" s="3262" t="str">
        <f>SETUP!$G$13</f>
        <v>SLV-H-MOH</v>
      </c>
      <c r="J3" s="3262"/>
      <c r="K3" s="3263"/>
      <c r="L3" s="550"/>
      <c r="M3" s="551"/>
      <c r="N3" s="658"/>
      <c r="O3" s="553"/>
      <c r="P3" s="553"/>
      <c r="Q3" s="553"/>
      <c r="R3" s="553"/>
      <c r="S3" s="553"/>
      <c r="T3" s="553"/>
      <c r="U3" s="553"/>
      <c r="V3" s="550"/>
      <c r="W3" s="544"/>
      <c r="X3" s="553"/>
      <c r="Y3" s="553"/>
      <c r="Z3" s="553"/>
      <c r="AA3" s="553"/>
      <c r="AB3" s="553"/>
      <c r="AC3" s="553"/>
      <c r="AD3" s="553"/>
      <c r="AE3" s="553"/>
      <c r="AF3" s="553"/>
      <c r="AG3" s="553"/>
      <c r="AH3" s="656"/>
      <c r="AI3" s="553"/>
      <c r="AJ3" s="553"/>
      <c r="AK3" s="553"/>
      <c r="AL3" s="553"/>
      <c r="AM3" s="553"/>
      <c r="AN3" s="553"/>
      <c r="AO3" s="553"/>
      <c r="AP3" s="553"/>
      <c r="AQ3" s="553"/>
      <c r="AR3" s="553"/>
      <c r="AS3" s="553"/>
      <c r="AT3" s="553"/>
      <c r="AU3" s="553"/>
      <c r="AV3" s="553"/>
      <c r="AW3" s="553"/>
      <c r="AX3" s="553"/>
      <c r="AY3" s="553"/>
      <c r="AZ3" s="553"/>
      <c r="BA3" s="553"/>
      <c r="BB3" s="553"/>
      <c r="BC3" s="553"/>
      <c r="BD3" s="553"/>
      <c r="BE3" s="553"/>
      <c r="BF3" s="553"/>
      <c r="BG3" s="553"/>
      <c r="BH3" s="553"/>
      <c r="BI3" s="553"/>
      <c r="BJ3" s="553"/>
      <c r="BK3" s="553"/>
      <c r="BL3" s="553"/>
      <c r="BM3" s="553"/>
      <c r="BN3" s="553"/>
      <c r="BO3" s="553"/>
      <c r="BP3" s="553"/>
      <c r="BQ3" s="553"/>
      <c r="BR3" s="553"/>
      <c r="BS3" s="553"/>
      <c r="BT3" s="553"/>
    </row>
    <row r="4" spans="1:72" ht="15.75" customHeight="1" thickTop="1" thickBot="1">
      <c r="A4" s="276"/>
      <c r="B4" s="3272"/>
      <c r="C4" s="3274"/>
      <c r="D4" s="3274"/>
      <c r="E4" s="3274"/>
      <c r="F4" s="553"/>
      <c r="G4" s="3277"/>
      <c r="H4" s="3266"/>
      <c r="I4" s="3264"/>
      <c r="J4" s="3264"/>
      <c r="K4" s="3265"/>
      <c r="L4" s="550"/>
      <c r="M4" s="554"/>
      <c r="N4" s="658"/>
      <c r="O4" s="553"/>
      <c r="P4" s="553"/>
      <c r="Q4" s="553"/>
      <c r="R4" s="553"/>
      <c r="S4" s="553"/>
      <c r="T4" s="553"/>
      <c r="U4" s="553"/>
      <c r="V4" s="734"/>
      <c r="W4" s="544"/>
      <c r="X4" s="553"/>
      <c r="Y4" s="553"/>
      <c r="Z4" s="553"/>
      <c r="AA4" s="553"/>
      <c r="AB4" s="553"/>
      <c r="AC4" s="553"/>
      <c r="AD4" s="553"/>
      <c r="AE4" s="553"/>
      <c r="AF4" s="553"/>
      <c r="AG4" s="553"/>
      <c r="AH4" s="656"/>
      <c r="AI4" s="553"/>
      <c r="AJ4" s="553"/>
      <c r="AK4" s="553"/>
      <c r="AL4" s="553"/>
      <c r="AM4" s="553"/>
      <c r="AN4" s="553"/>
      <c r="AO4" s="553"/>
      <c r="AP4" s="553"/>
      <c r="AQ4" s="553"/>
      <c r="AR4" s="553"/>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row>
    <row r="5" spans="1:72" ht="15.5" thickTop="1" thickBot="1">
      <c r="A5" s="276"/>
      <c r="B5" s="3266" t="s">
        <v>3</v>
      </c>
      <c r="C5" s="3268" t="str">
        <f>SETUP!$E$6</f>
        <v>HIV</v>
      </c>
      <c r="D5" s="3268"/>
      <c r="E5" s="3268"/>
      <c r="F5" s="277"/>
      <c r="G5" s="3256" t="s">
        <v>4</v>
      </c>
      <c r="H5" s="3256"/>
      <c r="I5" s="3252" t="str">
        <f>SETUP!E7</f>
        <v>Ministry of Health of the Republic of El Salvador</v>
      </c>
      <c r="J5" s="3252"/>
      <c r="K5" s="3253"/>
      <c r="L5" s="550"/>
      <c r="M5" s="554"/>
      <c r="N5" s="658"/>
      <c r="O5" s="553"/>
      <c r="P5" s="553"/>
      <c r="Q5" s="553"/>
      <c r="R5" s="553"/>
      <c r="S5" s="553"/>
      <c r="T5" s="553"/>
      <c r="U5" s="553"/>
      <c r="V5" s="734"/>
      <c r="W5" s="544"/>
      <c r="X5" s="553"/>
      <c r="Y5" s="553"/>
      <c r="Z5" s="553"/>
      <c r="AA5" s="553"/>
      <c r="AB5" s="553"/>
      <c r="AC5" s="553"/>
      <c r="AD5" s="553"/>
      <c r="AE5" s="553"/>
      <c r="AF5" s="553"/>
      <c r="AG5" s="553"/>
      <c r="AH5" s="656"/>
      <c r="AI5" s="553"/>
      <c r="AJ5" s="553"/>
      <c r="AK5" s="553"/>
      <c r="AL5" s="553"/>
      <c r="AM5" s="553"/>
      <c r="AN5" s="553"/>
      <c r="AO5" s="553"/>
      <c r="AP5" s="553"/>
      <c r="AQ5" s="553"/>
      <c r="AR5" s="553"/>
      <c r="AS5" s="553"/>
      <c r="AT5" s="553"/>
      <c r="AU5" s="553"/>
      <c r="AV5" s="553"/>
      <c r="AW5" s="553"/>
      <c r="AX5" s="553"/>
      <c r="AY5" s="553"/>
      <c r="AZ5" s="553"/>
      <c r="BA5" s="553"/>
      <c r="BB5" s="553"/>
      <c r="BC5" s="553"/>
      <c r="BD5" s="553"/>
      <c r="BE5" s="553"/>
      <c r="BF5" s="553"/>
      <c r="BG5" s="553"/>
      <c r="BH5" s="553"/>
      <c r="BI5" s="553"/>
      <c r="BJ5" s="553"/>
      <c r="BK5" s="553"/>
      <c r="BL5" s="553"/>
      <c r="BM5" s="553"/>
      <c r="BN5" s="553"/>
      <c r="BO5" s="553"/>
      <c r="BP5" s="553"/>
      <c r="BQ5" s="553"/>
      <c r="BR5" s="553"/>
      <c r="BS5" s="553"/>
      <c r="BT5" s="553"/>
    </row>
    <row r="6" spans="1:72" ht="15.5" thickTop="1" thickBot="1">
      <c r="A6" s="278"/>
      <c r="B6" s="3267"/>
      <c r="C6" s="3269"/>
      <c r="D6" s="3269"/>
      <c r="E6" s="3269"/>
      <c r="F6" s="279"/>
      <c r="G6" s="3257"/>
      <c r="H6" s="3257"/>
      <c r="I6" s="3254"/>
      <c r="J6" s="3254"/>
      <c r="K6" s="3255"/>
      <c r="L6" s="550"/>
      <c r="M6" s="554"/>
      <c r="N6" s="658"/>
      <c r="O6" s="553"/>
      <c r="P6" s="553"/>
      <c r="Q6" s="553"/>
      <c r="R6" s="553"/>
      <c r="S6" s="553"/>
      <c r="T6" s="553"/>
      <c r="U6" s="553"/>
      <c r="V6" s="734"/>
      <c r="W6" s="544"/>
      <c r="X6" s="553"/>
      <c r="Y6" s="553"/>
      <c r="Z6" s="553"/>
      <c r="AA6" s="553"/>
      <c r="AB6" s="553"/>
      <c r="AC6" s="553"/>
      <c r="AD6" s="553"/>
      <c r="AE6" s="553"/>
      <c r="AF6" s="553"/>
      <c r="AG6" s="553"/>
      <c r="AH6" s="656"/>
      <c r="AI6" s="553"/>
      <c r="AJ6" s="553"/>
      <c r="AK6" s="553"/>
      <c r="AL6" s="553"/>
      <c r="AM6" s="553"/>
      <c r="AN6" s="553"/>
      <c r="AO6" s="553"/>
      <c r="AP6" s="553"/>
      <c r="AQ6" s="553"/>
      <c r="AR6" s="553"/>
      <c r="AS6" s="553"/>
      <c r="AT6" s="553"/>
      <c r="AU6" s="553"/>
      <c r="AV6" s="553"/>
      <c r="AW6" s="553"/>
      <c r="AX6" s="553"/>
      <c r="AY6" s="553"/>
      <c r="AZ6" s="553"/>
      <c r="BA6" s="553"/>
      <c r="BB6" s="553"/>
      <c r="BC6" s="553"/>
      <c r="BD6" s="553"/>
      <c r="BE6" s="553"/>
      <c r="BF6" s="553"/>
      <c r="BG6" s="553"/>
      <c r="BH6" s="553"/>
      <c r="BI6" s="553"/>
      <c r="BJ6" s="553"/>
      <c r="BK6" s="553"/>
      <c r="BL6" s="553"/>
      <c r="BM6" s="553"/>
      <c r="BN6" s="553"/>
      <c r="BO6" s="553"/>
      <c r="BP6" s="553"/>
      <c r="BQ6" s="553"/>
      <c r="BR6" s="553"/>
      <c r="BS6" s="553"/>
      <c r="BT6" s="553"/>
    </row>
    <row r="7" spans="1:72" ht="42.75" customHeight="1" thickBot="1">
      <c r="A7" s="3278" t="str">
        <f>IF($L$1=2,Language!$E$793,IF($L$1=3,Language!$F$793,Language!$G$793))</f>
        <v>La COLUMNA E refleja porcentajes (%) indicativos por categoría de producto para cada uno de los siete (7) insumos de costos de GAS/GPS. Si es necesario, se pueden revisar los porcentajes y corregirlos. Si la subvención no cubre estos costos, escribir cero (0).</v>
      </c>
      <c r="B7" s="3279"/>
      <c r="C7" s="3279"/>
      <c r="D7" s="3279"/>
      <c r="E7" s="3279"/>
      <c r="F7" s="3279"/>
      <c r="G7" s="3279"/>
      <c r="H7" s="3279"/>
      <c r="I7" s="3279"/>
      <c r="J7" s="3280"/>
      <c r="K7" s="557"/>
      <c r="L7" s="558"/>
      <c r="M7" s="558"/>
      <c r="N7" s="559"/>
      <c r="O7" s="560"/>
      <c r="P7" s="560"/>
      <c r="Q7" s="560"/>
      <c r="R7" s="560"/>
      <c r="S7" s="553"/>
      <c r="T7" s="553"/>
      <c r="U7" s="553"/>
      <c r="V7" s="734"/>
      <c r="W7" s="544"/>
      <c r="X7" s="553"/>
      <c r="Y7" s="553"/>
      <c r="Z7" s="553"/>
      <c r="AA7" s="553"/>
      <c r="AB7" s="553"/>
      <c r="AC7" s="553"/>
      <c r="AD7" s="553"/>
      <c r="AE7" s="553"/>
      <c r="AF7" s="553"/>
      <c r="AG7" s="553"/>
      <c r="AH7" s="656"/>
      <c r="AI7" s="553"/>
      <c r="AJ7" s="553"/>
      <c r="AK7" s="553"/>
      <c r="AL7" s="553"/>
      <c r="AM7" s="553"/>
      <c r="AN7" s="553"/>
      <c r="AO7" s="553"/>
      <c r="AP7" s="553"/>
      <c r="AQ7" s="553"/>
      <c r="AR7" s="553"/>
      <c r="AS7" s="553"/>
      <c r="AT7" s="553"/>
      <c r="AU7" s="553"/>
      <c r="AV7" s="553"/>
      <c r="AW7" s="553"/>
      <c r="AX7" s="553"/>
      <c r="AY7" s="553"/>
      <c r="AZ7" s="553"/>
      <c r="BA7" s="553"/>
      <c r="BB7" s="553"/>
      <c r="BC7" s="553"/>
      <c r="BD7" s="553"/>
      <c r="BE7" s="553"/>
      <c r="BF7" s="553"/>
      <c r="BG7" s="553"/>
      <c r="BH7" s="553"/>
      <c r="BI7" s="553"/>
      <c r="BJ7" s="553"/>
      <c r="BK7" s="553"/>
      <c r="BL7" s="553"/>
      <c r="BM7" s="553"/>
      <c r="BN7" s="553"/>
      <c r="BO7" s="553"/>
      <c r="BP7" s="553"/>
      <c r="BQ7" s="553"/>
      <c r="BR7" s="553"/>
      <c r="BS7" s="553"/>
      <c r="BT7" s="553"/>
    </row>
    <row r="8" spans="1:72" ht="15" customHeight="1">
      <c r="A8" s="3231">
        <v>1</v>
      </c>
      <c r="B8" s="3242" t="s">
        <v>430</v>
      </c>
      <c r="C8" s="3242"/>
      <c r="D8" s="3242"/>
      <c r="E8" s="3242"/>
      <c r="F8" s="3242"/>
      <c r="G8" s="3242"/>
      <c r="H8" s="3242"/>
      <c r="I8" s="3242"/>
      <c r="J8" s="3242"/>
      <c r="K8" s="3246" t="s">
        <v>1901</v>
      </c>
      <c r="L8" s="3246"/>
      <c r="M8" s="3246" t="s">
        <v>2531</v>
      </c>
      <c r="N8" s="3246"/>
      <c r="O8" s="3246" t="s">
        <v>2530</v>
      </c>
      <c r="P8" s="3247"/>
      <c r="Q8" s="659"/>
      <c r="R8" s="553"/>
      <c r="S8" s="553"/>
      <c r="T8" s="553"/>
      <c r="U8" s="553"/>
      <c r="V8" s="734"/>
      <c r="W8" s="544"/>
      <c r="X8" s="553"/>
      <c r="Y8" s="553"/>
      <c r="Z8" s="553"/>
      <c r="AA8" s="553"/>
      <c r="AB8" s="553"/>
      <c r="AC8" s="553"/>
      <c r="AD8" s="553"/>
      <c r="AE8" s="553"/>
      <c r="AF8" s="553"/>
      <c r="AG8" s="553"/>
      <c r="AH8" s="553"/>
      <c r="AI8" s="553"/>
      <c r="AJ8" s="553"/>
      <c r="AK8" s="553"/>
      <c r="AL8" s="553"/>
      <c r="AM8" s="553"/>
      <c r="AN8" s="553"/>
      <c r="AO8" s="553"/>
      <c r="AP8" s="553"/>
      <c r="AQ8" s="553"/>
      <c r="AR8" s="553"/>
      <c r="AS8" s="553"/>
      <c r="AT8" s="553"/>
      <c r="AU8" s="553"/>
      <c r="AV8" s="553"/>
      <c r="AW8" s="553"/>
      <c r="AX8" s="553"/>
      <c r="AY8" s="553"/>
      <c r="AZ8" s="553"/>
      <c r="BA8" s="553"/>
      <c r="BB8" s="553"/>
      <c r="BC8" s="553"/>
      <c r="BD8" s="553"/>
      <c r="BE8" s="553"/>
      <c r="BF8" s="553"/>
      <c r="BG8" s="553"/>
      <c r="BH8" s="553"/>
      <c r="BI8" s="553"/>
      <c r="BJ8" s="553"/>
      <c r="BK8" s="553"/>
      <c r="BL8" s="553"/>
      <c r="BM8" s="553"/>
      <c r="BN8" s="553"/>
      <c r="BO8" s="553"/>
      <c r="BP8" s="553"/>
      <c r="BQ8" s="553"/>
      <c r="BR8" s="553"/>
    </row>
    <row r="9" spans="1:72" ht="15" customHeight="1" thickBot="1">
      <c r="A9" s="3232"/>
      <c r="B9" s="3243"/>
      <c r="C9" s="3243"/>
      <c r="D9" s="3243"/>
      <c r="E9" s="3243"/>
      <c r="F9" s="3243"/>
      <c r="G9" s="3243"/>
      <c r="H9" s="3243"/>
      <c r="I9" s="3243"/>
      <c r="J9" s="3243"/>
      <c r="K9" s="3261"/>
      <c r="L9" s="3261"/>
      <c r="M9" s="3261"/>
      <c r="N9" s="3261"/>
      <c r="O9" s="3248"/>
      <c r="P9" s="3248"/>
      <c r="Q9" s="659"/>
      <c r="R9" s="553"/>
      <c r="S9" s="553"/>
      <c r="T9" s="553"/>
      <c r="U9" s="553"/>
      <c r="V9" s="734"/>
      <c r="W9" s="544"/>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c r="BA9" s="553"/>
      <c r="BB9" s="553"/>
      <c r="BC9" s="553"/>
      <c r="BD9" s="553"/>
      <c r="BE9" s="553"/>
      <c r="BF9" s="553"/>
      <c r="BG9" s="553"/>
      <c r="BH9" s="553"/>
      <c r="BI9" s="553"/>
      <c r="BJ9" s="553"/>
      <c r="BK9" s="553"/>
      <c r="BL9" s="553"/>
      <c r="BM9" s="553"/>
      <c r="BN9" s="553"/>
      <c r="BO9" s="553"/>
      <c r="BP9" s="553"/>
      <c r="BQ9" s="553"/>
      <c r="BR9" s="553"/>
    </row>
    <row r="10" spans="1:72" s="664" customFormat="1" ht="15" customHeight="1">
      <c r="A10" s="660"/>
      <c r="B10" s="661"/>
      <c r="C10" s="661"/>
      <c r="D10" s="661"/>
      <c r="E10" s="722"/>
      <c r="F10" s="661"/>
      <c r="G10" s="661"/>
      <c r="H10" s="662"/>
      <c r="I10" s="663"/>
      <c r="J10" s="663"/>
      <c r="K10" s="663"/>
      <c r="L10" s="663"/>
      <c r="M10" s="663"/>
      <c r="N10" s="663"/>
      <c r="O10" s="663"/>
      <c r="P10" s="663"/>
      <c r="Q10" s="663"/>
      <c r="R10" s="663"/>
      <c r="S10" s="663"/>
      <c r="T10" s="663"/>
      <c r="U10" s="663"/>
      <c r="V10" s="735"/>
      <c r="W10" s="1992"/>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row>
    <row r="11" spans="1:72" s="1084" customFormat="1" ht="25.5" customHeight="1" thickBot="1">
      <c r="A11" s="3249" t="s">
        <v>432</v>
      </c>
      <c r="B11" s="3249"/>
      <c r="C11" s="3249"/>
      <c r="D11" s="3249"/>
      <c r="E11" s="3249"/>
      <c r="F11" s="1083"/>
      <c r="G11" s="1083"/>
      <c r="H11" s="1083"/>
      <c r="I11" s="1083"/>
      <c r="J11" s="1083"/>
      <c r="V11" s="1085"/>
      <c r="W11" s="1993"/>
    </row>
    <row r="12" spans="1:72" s="665" customFormat="1" ht="15" customHeight="1">
      <c r="A12" s="3233" t="str">
        <f>VLOOKUP("Type of health product",Language!$D$794:$G$881,$L$1,FALSE)</f>
        <v>Tipo de producto sanitario</v>
      </c>
      <c r="B12" s="3234"/>
      <c r="C12" s="3234"/>
      <c r="D12" s="3234"/>
      <c r="E12" s="3206" t="str">
        <f>VLOOKUP("Estimated PSA fee (7.1)",Language!$D$794:$G$881,$L$1,FALSE)</f>
        <v>Honorario estimado de los agentes de adquisiciones y suministros (7.1)</v>
      </c>
      <c r="F12" s="3209">
        <f>IF(ISBLANK(IMP_ST_DATE),SETUP!$A$3,YEAR(IMP_ST_DATE))</f>
        <v>2022</v>
      </c>
      <c r="G12" s="3210"/>
      <c r="H12" s="3210"/>
      <c r="I12" s="3210"/>
      <c r="J12" s="3211"/>
      <c r="K12" s="3215">
        <f>IF(ISBLANK(IMP_ST_DATE),SETUP!$A$3,YEAR(IMP_ST_DATE)+1)</f>
        <v>2023</v>
      </c>
      <c r="L12" s="3215"/>
      <c r="M12" s="3215"/>
      <c r="N12" s="3215"/>
      <c r="O12" s="3216"/>
      <c r="P12" s="3209">
        <f>IF(ISBLANK(IMP_ST_DATE),SETUP!$A$3,YEAR(IMP_ST_DATE)+2)</f>
        <v>2024</v>
      </c>
      <c r="Q12" s="3210"/>
      <c r="R12" s="3210"/>
      <c r="S12" s="3210"/>
      <c r="T12" s="3210"/>
      <c r="U12" s="3293" t="str">
        <f>VLOOKUP("Total Grant period",Language!$D$794:$G$881,$L$1,FALSE)</f>
        <v>Total del período de subvención</v>
      </c>
      <c r="V12" s="3295" t="str">
        <f>VLOOKUP("Finance",Language!$D$794:$G$881,$L$1,FALSE)</f>
        <v>Finanzas</v>
      </c>
      <c r="W12" s="3284" t="str">
        <f>VLOOKUP("Comments",Language!$D$794:$G$881,$L$1,FALSE)</f>
        <v>Comentarios</v>
      </c>
      <c r="X12" s="1323"/>
    </row>
    <row r="13" spans="1:72" s="665" customFormat="1" ht="14.25" customHeight="1" thickBot="1">
      <c r="A13" s="3235"/>
      <c r="B13" s="3236"/>
      <c r="C13" s="3236"/>
      <c r="D13" s="3236"/>
      <c r="E13" s="3207"/>
      <c r="F13" s="3212"/>
      <c r="G13" s="3213"/>
      <c r="H13" s="3213"/>
      <c r="I13" s="3213"/>
      <c r="J13" s="3214"/>
      <c r="K13" s="3217"/>
      <c r="L13" s="3217"/>
      <c r="M13" s="3217"/>
      <c r="N13" s="3217"/>
      <c r="O13" s="3218"/>
      <c r="P13" s="3212"/>
      <c r="Q13" s="3213"/>
      <c r="R13" s="3213"/>
      <c r="S13" s="3213"/>
      <c r="T13" s="3213"/>
      <c r="U13" s="3294"/>
      <c r="V13" s="3296"/>
      <c r="W13" s="3286"/>
      <c r="X13" s="1324"/>
    </row>
    <row r="14" spans="1:72" s="666" customFormat="1" ht="40.5" customHeight="1" thickBot="1">
      <c r="A14" s="3237"/>
      <c r="B14" s="3238"/>
      <c r="C14" s="3238"/>
      <c r="D14" s="3238"/>
      <c r="E14" s="3208"/>
      <c r="F14" s="651" t="str">
        <f>VLOOKUP("Y1 Q1 cost",Language!$D$794:$G$881,$L$1,FALSE)</f>
        <v>Costo del A1, T1</v>
      </c>
      <c r="G14" s="961" t="str">
        <f>VLOOKUP("Y1 Q2 cost",Language!$D$794:$G$881,$L$1,FALSE)</f>
        <v>Costo del A1, T2</v>
      </c>
      <c r="H14" s="961" t="str">
        <f>VLOOKUP("Y1 Q3 cost",Language!$D$794:$G$881,$L$1,FALSE)</f>
        <v>Costo del A1, T3</v>
      </c>
      <c r="I14" s="961" t="str">
        <f>VLOOKUP("Y1 Q4 cost",Language!$D$794:$G$881,$L$1,FALSE)</f>
        <v>Costo del A1, T4</v>
      </c>
      <c r="J14" s="961" t="str">
        <f>VLOOKUP("Y1 total cost",Language!$D$794:$G$881,$L$1,FALSE)</f>
        <v>Costo total del A1</v>
      </c>
      <c r="K14" s="651" t="str">
        <f>VLOOKUP("Y2 Q1 cost",Language!$D$794:$G$881,$L$1,FALSE)</f>
        <v>Costo del A2, T1</v>
      </c>
      <c r="L14" s="961" t="str">
        <f>VLOOKUP("Y2 Q2 cost",Language!$D$794:$G$881,$L$1,FALSE)</f>
        <v>Costo del A2, T2</v>
      </c>
      <c r="M14" s="961" t="str">
        <f>VLOOKUP("Y2 Q3 cost",Language!$D$794:$G$881,$L$1,FALSE)</f>
        <v>Costo del A2, T3</v>
      </c>
      <c r="N14" s="961" t="str">
        <f>VLOOKUP("Y2 Q4 cost",Language!$D$794:$G$881,$L$1,FALSE)</f>
        <v>Costo del A2, T4</v>
      </c>
      <c r="O14" s="961" t="str">
        <f>VLOOKUP("Y2 total cost",Language!$D$794:$G$881,$L$1,FALSE)</f>
        <v>Costo total del A2</v>
      </c>
      <c r="P14" s="651" t="str">
        <f>VLOOKUP("Y3 Q1 cost",Language!$D$794:$G$881,$L$1,FALSE)</f>
        <v>Costo del A3, T1</v>
      </c>
      <c r="Q14" s="961" t="str">
        <f>VLOOKUP("Y3 Q2 cost",Language!$D$794:$G$881,$L$1,FALSE)</f>
        <v>Costo del A3, T2</v>
      </c>
      <c r="R14" s="961" t="str">
        <f>VLOOKUP("Y3 Q3 cost",Language!$D$794:$G$881,$L$1,FALSE)</f>
        <v>Costo del A3, T3</v>
      </c>
      <c r="S14" s="961" t="str">
        <f>VLOOKUP("Y3 Q4 cost",Language!$D$794:$G$881,$L$1,FALSE)</f>
        <v>Costo del A3, T4</v>
      </c>
      <c r="T14" s="961" t="str">
        <f>VLOOKUP("Y3 total cost",Language!$D$794:$G$881,$L$1,FALSE)</f>
        <v>Costo total del A3</v>
      </c>
      <c r="U14" s="1335" t="str">
        <f>VLOOKUP("Total cost ",Language!$D$794:$G$881,$L$1,FALSE)</f>
        <v xml:space="preserve">Costo total </v>
      </c>
      <c r="V14" s="1336" t="str">
        <f>VLOOKUP("Cost Input",Language!$D$794:$G$881,$L$1,FALSE)</f>
        <v>Categoría de costos</v>
      </c>
      <c r="W14" s="3285"/>
      <c r="X14" s="1318" t="s">
        <v>434</v>
      </c>
    </row>
    <row r="15" spans="1:72" s="665" customFormat="1" ht="15" customHeight="1">
      <c r="A15" s="3191" t="s">
        <v>435</v>
      </c>
      <c r="B15" s="3192"/>
      <c r="C15" s="3203" t="s">
        <v>436</v>
      </c>
      <c r="D15" s="3203"/>
      <c r="E15" s="1245">
        <v>0</v>
      </c>
      <c r="F15" s="1001">
        <f>IF(SETUP!$F$20="Upfront",F16,F17)</f>
        <v>0</v>
      </c>
      <c r="G15" s="1002">
        <f>IF(SETUP!$F$20="Upfront",G16,G17)</f>
        <v>0</v>
      </c>
      <c r="H15" s="1002">
        <f>IF(SETUP!$F$20="Upfront",H16,H17)</f>
        <v>0</v>
      </c>
      <c r="I15" s="1002">
        <f>IF(SETUP!$F$20="Upfront",I16,I17)</f>
        <v>0</v>
      </c>
      <c r="J15" s="1002">
        <f>F15+G15+H15+I15</f>
        <v>0</v>
      </c>
      <c r="K15" s="1001">
        <f>IF(SETUP!$F$20="Upfront",K16,K17)</f>
        <v>0</v>
      </c>
      <c r="L15" s="1002">
        <f>IF(SETUP!$F$20="Upfront",L16,L17)</f>
        <v>0</v>
      </c>
      <c r="M15" s="1002">
        <f>IF(SETUP!$F$20="Upfront",M16,M17)</f>
        <v>0</v>
      </c>
      <c r="N15" s="1002">
        <f>IF(SETUP!$F$20="Upfront",N16,N17)</f>
        <v>0</v>
      </c>
      <c r="O15" s="1003">
        <f t="shared" ref="O15:O36" si="0">K15+L15+M15+N15</f>
        <v>0</v>
      </c>
      <c r="P15" s="994">
        <f>IF(SETUP!$F$20="Upfront",P16,P17)</f>
        <v>0</v>
      </c>
      <c r="Q15" s="999">
        <f>IF(SETUP!$F$20="Upfront",Q16,Q17)</f>
        <v>0</v>
      </c>
      <c r="R15" s="999">
        <f>IF(SETUP!$F$20="Upfront",R16,R17)</f>
        <v>0</v>
      </c>
      <c r="S15" s="999">
        <f>IF(SETUP!$F$20="Upfront",S16,S17)</f>
        <v>0</v>
      </c>
      <c r="T15" s="999">
        <f t="shared" ref="T15:T36" si="1">P15+Q15+R15+S15</f>
        <v>0</v>
      </c>
      <c r="U15" s="994">
        <f t="shared" ref="U15:U36" si="2">J15+O15+T15</f>
        <v>0</v>
      </c>
      <c r="V15" s="1315">
        <v>7.1</v>
      </c>
      <c r="W15" s="1994"/>
      <c r="X15" s="1319"/>
    </row>
    <row r="16" spans="1:72" s="665" customFormat="1" ht="15" hidden="1" customHeight="1" outlineLevel="1">
      <c r="A16" s="3193"/>
      <c r="B16" s="3194"/>
      <c r="C16" s="3182" t="s">
        <v>777</v>
      </c>
      <c r="D16" s="3182"/>
      <c r="E16" s="1246"/>
      <c r="F16" s="966">
        <f>IF(SETUP!$F$20="Upfront",$E$15*'HIV-Pharmaceuticals'!AX14,0)</f>
        <v>0</v>
      </c>
      <c r="G16" s="1004">
        <f>IF(SETUP!$F$20="Upfront",$E$15*'HIV-Pharmaceuticals'!AY14,0)</f>
        <v>0</v>
      </c>
      <c r="H16" s="1004">
        <f>IF(SETUP!$F$20="Upfront",$E$15*'HIV-Pharmaceuticals'!AZ14,0)</f>
        <v>0</v>
      </c>
      <c r="I16" s="1004">
        <f>IF(SETUP!$F$20="Upfront",$E$15*'HIV-Pharmaceuticals'!BA14,0)</f>
        <v>0</v>
      </c>
      <c r="J16" s="1004">
        <f>'HPM costs'!$F16+'HPM costs'!$G16+'HPM costs'!$H16+'HPM costs'!$I16</f>
        <v>0</v>
      </c>
      <c r="K16" s="1005">
        <f>IF(SETUP!$F$20="Upfront",$E$15*'HIV-Pharmaceuticals'!BB14,0)</f>
        <v>0</v>
      </c>
      <c r="L16" s="1004">
        <f>IF(SETUP!$F$20="Upfront",$E$15*'HIV-Pharmaceuticals'!BC14,0)</f>
        <v>0</v>
      </c>
      <c r="M16" s="1004">
        <f>IF(SETUP!$F$20="Upfront",$E$15*'HIV-Pharmaceuticals'!BD14,0)</f>
        <v>0</v>
      </c>
      <c r="N16" s="1004">
        <f>IF(SETUP!$F$20="Upfront",$E$15*'HIV-Pharmaceuticals'!BE14,0)</f>
        <v>0</v>
      </c>
      <c r="O16" s="931">
        <f t="shared" si="0"/>
        <v>0</v>
      </c>
      <c r="P16" s="966">
        <f>IF(SETUP!$F$20="Upfront",$E$15*'HIV-Pharmaceuticals'!BF14,0)</f>
        <v>0</v>
      </c>
      <c r="Q16" s="915">
        <f>IF(SETUP!$F$20="Upfront",$E$15*'HIV-Pharmaceuticals'!BG14,0)</f>
        <v>0</v>
      </c>
      <c r="R16" s="915">
        <f>IF(SETUP!$F$20="Upfront",$E$15*'HIV-Pharmaceuticals'!BH14,0)</f>
        <v>0</v>
      </c>
      <c r="S16" s="915">
        <f>IF(SETUP!$F$20="Upfront",$E$15*'HIV-Pharmaceuticals'!BI14,0)</f>
        <v>0</v>
      </c>
      <c r="T16" s="915">
        <f t="shared" si="1"/>
        <v>0</v>
      </c>
      <c r="U16" s="966">
        <f t="shared" si="2"/>
        <v>0</v>
      </c>
      <c r="V16" s="1316"/>
      <c r="W16" s="1995"/>
      <c r="X16" s="1320"/>
    </row>
    <row r="17" spans="1:24" s="665" customFormat="1" ht="15" hidden="1" customHeight="1" outlineLevel="1">
      <c r="A17" s="3193"/>
      <c r="B17" s="3194"/>
      <c r="C17" s="3182" t="s">
        <v>36</v>
      </c>
      <c r="D17" s="3182"/>
      <c r="E17" s="1246"/>
      <c r="F17" s="966">
        <v>0</v>
      </c>
      <c r="G17" s="1004">
        <f>IF(SETUP!$F$20="At delivery",IF(SETUP!$G$20=1,$E$15*'HIV-Pharmaceuticals'!AX14,0),0)</f>
        <v>0</v>
      </c>
      <c r="H17" s="1004">
        <f>IF(SETUP!$F$20="At delivery",IF(SETUP!$G$20=2,$E$15*'HIV-Pharmaceuticals'!AX14,IF(SETUP!$G$20=1,$E$15*'HIV-Pharmaceuticals'!AY14,0)),0)</f>
        <v>0</v>
      </c>
      <c r="I17" s="1004">
        <f>IF(SETUP!$F$20="At delivery",IF(SETUP!$G$20=3,$E$15*'HIV-Pharmaceuticals'!AX14,IF(SETUP!$G$20=2,$E$15*'HIV-Pharmaceuticals'!AY14,IF(SETUP!$G$20=1,$E$15*'HIV-Pharmaceuticals'!AZ14,0))),0)</f>
        <v>0</v>
      </c>
      <c r="J17" s="1004">
        <f>'HPM costs'!$F17+'HPM costs'!$G17+'HPM costs'!$H17+'HPM costs'!$I17</f>
        <v>0</v>
      </c>
      <c r="K17" s="1005">
        <f>IF(SETUP!$F$20="At delivery",IF(SETUP!$G$20=4,$E$15*'HIV-Pharmaceuticals'!AX14,IF(SETUP!$G$20=3,$E$15*'HIV-Pharmaceuticals'!AY14,IF(SETUP!$G$20=2,$E$15*'HIV-Pharmaceuticals'!AZ14,IF(SETUP!$G$20=1,$E$15*'HIV-Pharmaceuticals'!BA14,0)))),0)</f>
        <v>0</v>
      </c>
      <c r="L17" s="1004">
        <f>IF(SETUP!$F$20="At delivery",IF(SETUP!$G$20=4,$E$15*'HIV-Pharmaceuticals'!AY14,IF(SETUP!$G$20=3,$E$15*'HIV-Pharmaceuticals'!AZ14,IF(SETUP!$G$20=2,$E$15*'HIV-Pharmaceuticals'!BA14,IF(SETUP!$G$20=1,$E$15*'HIV-Pharmaceuticals'!BB14,0)))),0)</f>
        <v>0</v>
      </c>
      <c r="M17" s="1004">
        <f>IF(SETUP!$F$20="At delivery",IF(SETUP!$G$20=4,$E$15*'HIV-Pharmaceuticals'!AZ14,IF(SETUP!$G$20=3,$E$15*'HIV-Pharmaceuticals'!BA14,IF(SETUP!$G$20=2,$E$15*'HIV-Pharmaceuticals'!BB14,IF(SETUP!$G$20=1,$E$15*'HIV-Pharmaceuticals'!BC14,0)))),0)</f>
        <v>0</v>
      </c>
      <c r="N17" s="1004">
        <f>IF(SETUP!$F$20="At delivery",IF(SETUP!$G$20=4,$E$15*'HIV-Pharmaceuticals'!BA14,IF(SETUP!$G$20=3,$E$15*'HIV-Pharmaceuticals'!BB14,IF(SETUP!$G$20=2,$E$15*'HIV-Pharmaceuticals'!BC14,IF(SETUP!$G$20=1,$E$15*'HIV-Pharmaceuticals'!BD14,0)))),0)</f>
        <v>0</v>
      </c>
      <c r="O17" s="931">
        <f t="shared" si="0"/>
        <v>0</v>
      </c>
      <c r="P17" s="966">
        <f>IF(SETUP!$F$20="At delivery",IF(SETUP!$G$20=4,$E$15*'HIV-Pharmaceuticals'!BB14,IF(SETUP!$G$20=3,$E$15*'HIV-Pharmaceuticals'!BC14,IF(SETUP!$G$20=2,$E$15*'HIV-Pharmaceuticals'!BD14,IF(SETUP!$G$20=1,$E$15*'HIV-Pharmaceuticals'!BE14,0)))),0)</f>
        <v>0</v>
      </c>
      <c r="Q17" s="915">
        <f>IF(SETUP!$F$20="At delivery",IF(SETUP!$G$20=4,$E$15*'HIV-Pharmaceuticals'!BC14,IF(SETUP!$G$20=3,$E$15*'HIV-Pharmaceuticals'!BD14,IF(SETUP!$G$20=2,$E$15*'HIV-Pharmaceuticals'!BE14,IF(SETUP!$G$20=1,$E$15*'HIV-Pharmaceuticals'!BF14,0)))),0)</f>
        <v>0</v>
      </c>
      <c r="R17" s="915">
        <f>IF(SETUP!$F$20="At delivery",IF(SETUP!$G$20=4,$E$15*'HIV-Pharmaceuticals'!BD14,IF(SETUP!$G$20=3,$E$15*'HIV-Pharmaceuticals'!BE14,IF(SETUP!$G$20=2,$E$15*'HIV-Pharmaceuticals'!BF14,IF(SETUP!$G$20=1,$E$15*'HIV-Pharmaceuticals'!BG14,0)))),0)</f>
        <v>0</v>
      </c>
      <c r="S17" s="915">
        <f>IF(SETUP!$F$20="At delivery",IF(SETUP!$G$20=4,$E$15*('HIV-Pharmaceuticals'!BE14+'HIV-Pharmaceuticals'!BF14+'HIV-Pharmaceuticals'!BG14+'HIV-Pharmaceuticals'!BH14+'HIV-Pharmaceuticals'!BI14),IF(SETUP!$G$20=3,$E$15*('HIV-Pharmaceuticals'!BF14+'HIV-Pharmaceuticals'!BG14+'HIV-Pharmaceuticals'!BH14+'HIV-Pharmaceuticals'!BI14),IF(SETUP!$G$20=2,$E$15*('HIV-Pharmaceuticals'!BG14+'HIV-Pharmaceuticals'!BH14+'HIV-Pharmaceuticals'!BI14),IF(SETUP!$G$20=1,$E$15*('HIV-Pharmaceuticals'!BH14+'HIV-Pharmaceuticals'!BI14),0)))),0)</f>
        <v>0</v>
      </c>
      <c r="T17" s="915">
        <f t="shared" si="1"/>
        <v>0</v>
      </c>
      <c r="U17" s="966">
        <f t="shared" si="2"/>
        <v>0</v>
      </c>
      <c r="V17" s="1316"/>
      <c r="W17" s="1995"/>
      <c r="X17" s="1320"/>
    </row>
    <row r="18" spans="1:24" s="665" customFormat="1" ht="15" customHeight="1" collapsed="1">
      <c r="A18" s="3193"/>
      <c r="B18" s="3194"/>
      <c r="C18" s="3201" t="s">
        <v>139</v>
      </c>
      <c r="D18" s="3201"/>
      <c r="E18" s="1246">
        <v>0</v>
      </c>
      <c r="F18" s="966">
        <f>IF(SETUP!$F$21="Upfront",F19,F20)</f>
        <v>0</v>
      </c>
      <c r="G18" s="1004">
        <f>IF(SETUP!$F$21="Upfront",G19,G20)</f>
        <v>0</v>
      </c>
      <c r="H18" s="1004">
        <f>IF(SETUP!$F$21="Upfront",H19,H20)</f>
        <v>0</v>
      </c>
      <c r="I18" s="1004">
        <f>IF(SETUP!$F$21="Upfront",I19,I20)</f>
        <v>0</v>
      </c>
      <c r="J18" s="1004">
        <f t="shared" ref="J18:J36" si="3">F18+G18+H18+I18</f>
        <v>0</v>
      </c>
      <c r="K18" s="1005">
        <f>IF(SETUP!$F$21="Upfront",K19,K20)</f>
        <v>0</v>
      </c>
      <c r="L18" s="1004">
        <f>IF(SETUP!$F$21="Upfront",L19,L20)</f>
        <v>0</v>
      </c>
      <c r="M18" s="1004">
        <f>IF(SETUP!$F$21="Upfront",M19,M20)</f>
        <v>0</v>
      </c>
      <c r="N18" s="1004">
        <f>IF(SETUP!$F$21="Upfront",N19,N20)</f>
        <v>0</v>
      </c>
      <c r="O18" s="931">
        <f t="shared" si="0"/>
        <v>0</v>
      </c>
      <c r="P18" s="966">
        <f>IF(SETUP!$F$21="Upfront",P19,P20)</f>
        <v>0</v>
      </c>
      <c r="Q18" s="915">
        <f>IF(SETUP!$F$21="Upfront",Q19,Q20)</f>
        <v>0</v>
      </c>
      <c r="R18" s="915">
        <f>IF(SETUP!$F$21="Upfront",R19,R20)</f>
        <v>0</v>
      </c>
      <c r="S18" s="915">
        <f>IF(SETUP!$F$21="Upfront",S19,S20)</f>
        <v>0</v>
      </c>
      <c r="T18" s="915">
        <f t="shared" si="1"/>
        <v>0</v>
      </c>
      <c r="U18" s="966">
        <f t="shared" si="2"/>
        <v>0</v>
      </c>
      <c r="V18" s="1316">
        <v>7.1</v>
      </c>
      <c r="W18" s="1995"/>
      <c r="X18" s="1320"/>
    </row>
    <row r="19" spans="1:24" s="665" customFormat="1" ht="15" hidden="1" customHeight="1" outlineLevel="1">
      <c r="A19" s="3193"/>
      <c r="B19" s="3194"/>
      <c r="C19" s="3182" t="s">
        <v>777</v>
      </c>
      <c r="D19" s="3182"/>
      <c r="E19" s="1246"/>
      <c r="F19" s="966">
        <f>IF(SETUP!$F$21="Upfront",$E$18*'HIV-Pharmaceuticals'!AX15,0)</f>
        <v>0</v>
      </c>
      <c r="G19" s="1004">
        <f>IF(SETUP!$F$21="Upfront",$E$18*'HIV-Pharmaceuticals'!AY15,0)</f>
        <v>0</v>
      </c>
      <c r="H19" s="1004">
        <f>IF(SETUP!$F$21="Upfront",$E$18*'HIV-Pharmaceuticals'!AZ15,0)</f>
        <v>0</v>
      </c>
      <c r="I19" s="1004">
        <f>IF(SETUP!$F$21="Upfront",$E$18*'HIV-Pharmaceuticals'!BA15,0)</f>
        <v>0</v>
      </c>
      <c r="J19" s="1004">
        <f t="shared" si="3"/>
        <v>0</v>
      </c>
      <c r="K19" s="1005">
        <f>IF(SETUP!$F$21="Upfront",$E$18*'HIV-Pharmaceuticals'!BB15,0)</f>
        <v>0</v>
      </c>
      <c r="L19" s="1004">
        <f>IF(SETUP!$F$21="Upfront",$E$18*'HIV-Pharmaceuticals'!BC15,0)</f>
        <v>0</v>
      </c>
      <c r="M19" s="1004">
        <f>IF(SETUP!$F$21="Upfront",$E$18*'HIV-Pharmaceuticals'!BD15,0)</f>
        <v>0</v>
      </c>
      <c r="N19" s="1004">
        <f>IF(SETUP!$F$21="Upfront",$E$18*'HIV-Pharmaceuticals'!BE15,0)</f>
        <v>0</v>
      </c>
      <c r="O19" s="931">
        <f t="shared" si="0"/>
        <v>0</v>
      </c>
      <c r="P19" s="966">
        <f>IF(SETUP!$F$21="Upfront",$E$18*'HIV-Pharmaceuticals'!BF15,0)</f>
        <v>0</v>
      </c>
      <c r="Q19" s="915">
        <f>IF(SETUP!$F$21="Upfront",$E$18*'HIV-Pharmaceuticals'!BG15,0)</f>
        <v>0</v>
      </c>
      <c r="R19" s="915">
        <f>IF(SETUP!$F$21="Upfront",$E$18*'HIV-Pharmaceuticals'!BH15,0)</f>
        <v>0</v>
      </c>
      <c r="S19" s="915">
        <f>IF(SETUP!$F$21="Upfront",$E$18*'HIV-Pharmaceuticals'!BI15,0)</f>
        <v>0</v>
      </c>
      <c r="T19" s="915">
        <f t="shared" si="1"/>
        <v>0</v>
      </c>
      <c r="U19" s="966">
        <f t="shared" si="2"/>
        <v>0</v>
      </c>
      <c r="V19" s="1316"/>
      <c r="W19" s="1995"/>
      <c r="X19" s="1320"/>
    </row>
    <row r="20" spans="1:24" s="665" customFormat="1" ht="15" hidden="1" customHeight="1" outlineLevel="1">
      <c r="A20" s="3193"/>
      <c r="B20" s="3194"/>
      <c r="C20" s="3182" t="s">
        <v>36</v>
      </c>
      <c r="D20" s="3182"/>
      <c r="E20" s="1246"/>
      <c r="F20" s="966">
        <v>0</v>
      </c>
      <c r="G20" s="1004">
        <f>IF(SETUP!$F$21="At delivery",IF(SETUP!$G$21=1,$E$18*'HIV-Pharmaceuticals'!AX15,0),0)</f>
        <v>0</v>
      </c>
      <c r="H20" s="1004">
        <f>IF(SETUP!$F$21="At delivery",IF(SETUP!$G$21=2,$E$18*'HIV-Pharmaceuticals'!AX15,IF(SETUP!$G$21=1,$E$18*'HIV-Pharmaceuticals'!AY15,0)),0)</f>
        <v>0</v>
      </c>
      <c r="I20" s="1004">
        <f>IF(SETUP!$F$21="At delivery",IF(SETUP!$G$21=3,$E$18*'HIV-Pharmaceuticals'!AX15,IF(SETUP!$G$21=2,$E$18*'HIV-Pharmaceuticals'!AY15,IF(SETUP!$G$21=1,$E$18*'HIV-Pharmaceuticals'!AZ15,0))),0)</f>
        <v>0</v>
      </c>
      <c r="J20" s="1004">
        <f t="shared" si="3"/>
        <v>0</v>
      </c>
      <c r="K20" s="1005">
        <f>IF(SETUP!$F$21="At delivery",IF(SETUP!$G$21=4,$E$18*'HIV-Pharmaceuticals'!AX15,IF(SETUP!$G$21=3,$E$18*'HIV-Pharmaceuticals'!AY15,IF(SETUP!$G$21=2,$E$18*'HIV-Pharmaceuticals'!AZ15,IF(SETUP!$G$21=1,$E$18*'HIV-Pharmaceuticals'!BA15,0)))),0)</f>
        <v>0</v>
      </c>
      <c r="L20" s="1004">
        <f>IF(SETUP!$F$21="At delivery",IF(SETUP!$G$21=4,$E$18*'HIV-Pharmaceuticals'!AY15,IF(SETUP!$G$21=3,$E$18*'HIV-Pharmaceuticals'!AZ15,IF(SETUP!$G$21=2,$E$18*'HIV-Pharmaceuticals'!BA15,IF(SETUP!$G$21=1,$E$18*'HIV-Pharmaceuticals'!BB15,0)))),0)</f>
        <v>0</v>
      </c>
      <c r="M20" s="1004">
        <f>IF(SETUP!$F$21="At delivery",IF(SETUP!$G$21=4,$E$18*'HIV-Pharmaceuticals'!AZ15,IF(SETUP!$G$21=3,$E$18*'HIV-Pharmaceuticals'!BA15,IF(SETUP!$G$21=2,$E$18*'HIV-Pharmaceuticals'!BB15,IF(SETUP!$G$21=1,$E$18*'HIV-Pharmaceuticals'!BC15,0)))),0)</f>
        <v>0</v>
      </c>
      <c r="N20" s="1004">
        <f>IF(SETUP!$F$21="At delivery",IF(SETUP!$G$21=4,$E$18*'HIV-Pharmaceuticals'!BA15,IF(SETUP!$G$21=3,$E$18*'HIV-Pharmaceuticals'!BB15,IF(SETUP!$G$21=2,$E$18*'HIV-Pharmaceuticals'!BC15,IF(SETUP!$G$21=1,$E$18*'HIV-Pharmaceuticals'!BD15,0)))),0)</f>
        <v>0</v>
      </c>
      <c r="O20" s="931">
        <f t="shared" si="0"/>
        <v>0</v>
      </c>
      <c r="P20" s="966">
        <f>IF(SETUP!$F$21="At delivery",IF(SETUP!$G$21=4,$E$18*'HIV-Pharmaceuticals'!BB15,IF(SETUP!$G$21=3,$E$18*'HIV-Pharmaceuticals'!BC15,IF(SETUP!$G$21=2,$E$18*'HIV-Pharmaceuticals'!BD15,IF(SETUP!$G$21=1,$E$18*'HIV-Pharmaceuticals'!BE15,0)))),0)</f>
        <v>0</v>
      </c>
      <c r="Q20" s="915">
        <f>IF(SETUP!$F$21="At delivery",IF(SETUP!$G$21=4,$E$18*'HIV-Pharmaceuticals'!BC15,IF(SETUP!$G$21=3,$E$18*'HIV-Pharmaceuticals'!BD15,IF(SETUP!$G$21=2,$E$18*'HIV-Pharmaceuticals'!BE15,IF(SETUP!$G$21=1,$E$18*'HIV-Pharmaceuticals'!BF15,0)))),0)</f>
        <v>0</v>
      </c>
      <c r="R20" s="915">
        <f>IF(SETUP!$F$21="At delivery",IF(SETUP!$G$21=4,$E$18*'HIV-Pharmaceuticals'!BD15,IF(SETUP!$G$21=3,$E$18*'HIV-Pharmaceuticals'!BE15,IF(SETUP!$G$21=2,$E$18*'HIV-Pharmaceuticals'!BF15,IF(SETUP!$G$21=1,$E$18*'HIV-Pharmaceuticals'!BG15,0)))),0)</f>
        <v>0</v>
      </c>
      <c r="S20" s="915">
        <f>IF(SETUP!$F$21="At delivery",IF(SETUP!$G$21=4,$E$18*('HIV-Pharmaceuticals'!BE15+'HIV-Pharmaceuticals'!BF15+'HIV-Pharmaceuticals'!BG15+'HIV-Pharmaceuticals'!BH15+'HIV-Pharmaceuticals'!BI15),IF(SETUP!$G$21=3,$E$18*('HIV-Pharmaceuticals'!BF15+'HIV-Pharmaceuticals'!BG15+'HIV-Pharmaceuticals'!BH15+'HIV-Pharmaceuticals'!BI15),IF(SETUP!$G$21=2,$E$18*('HIV-Pharmaceuticals'!BG15+'HIV-Pharmaceuticals'!BH15+'HIV-Pharmaceuticals'!BI15),IF(SETUP!$G$21=1,$E$18*('HIV-Pharmaceuticals'!BH15+'HIV-Pharmaceuticals'!BI15),0)))),0)</f>
        <v>0</v>
      </c>
      <c r="T20" s="915">
        <f t="shared" si="1"/>
        <v>0</v>
      </c>
      <c r="U20" s="966">
        <f t="shared" si="2"/>
        <v>0</v>
      </c>
      <c r="V20" s="1316"/>
      <c r="W20" s="1995"/>
      <c r="X20" s="1320"/>
    </row>
    <row r="21" spans="1:24" s="665" customFormat="1" ht="15" customHeight="1" collapsed="1">
      <c r="A21" s="3193"/>
      <c r="B21" s="3194"/>
      <c r="C21" s="3201" t="s">
        <v>1054</v>
      </c>
      <c r="D21" s="3201"/>
      <c r="E21" s="1246">
        <v>0.06</v>
      </c>
      <c r="F21" s="966">
        <f>IF(SETUP!$F$22="Upfront",F22,F23)</f>
        <v>0</v>
      </c>
      <c r="G21" s="1004">
        <f>IF(SETUP!$F$22="Upfront",G22,G23)</f>
        <v>9126.75</v>
      </c>
      <c r="H21" s="1004">
        <f>IF(SETUP!$F$22="Upfront",H22,H23)</f>
        <v>0</v>
      </c>
      <c r="I21" s="1004">
        <f>IF(SETUP!$F$22="Upfront",I22,I23)</f>
        <v>0</v>
      </c>
      <c r="J21" s="1004">
        <f t="shared" si="3"/>
        <v>9126.75</v>
      </c>
      <c r="K21" s="1005">
        <f>IF(SETUP!$F$22="Upfront",K22,K23)</f>
        <v>0</v>
      </c>
      <c r="L21" s="1004">
        <f>IF(SETUP!$F$22="Upfront",L22,L23)</f>
        <v>9126.75</v>
      </c>
      <c r="M21" s="1004">
        <f>IF(SETUP!$F$22="Upfront",M22,M23)</f>
        <v>0</v>
      </c>
      <c r="N21" s="1004">
        <f>IF(SETUP!$F$22="Upfront",N22,N23)</f>
        <v>0</v>
      </c>
      <c r="O21" s="931">
        <f t="shared" si="0"/>
        <v>9126.75</v>
      </c>
      <c r="P21" s="966">
        <f>IF(SETUP!$F$22="Upfront",P22,P23)</f>
        <v>0</v>
      </c>
      <c r="Q21" s="915">
        <f>IF(SETUP!$F$22="Upfront",Q22,Q23)</f>
        <v>9126.75</v>
      </c>
      <c r="R21" s="915">
        <f>IF(SETUP!$F$22="Upfront",R22,R23)</f>
        <v>0</v>
      </c>
      <c r="S21" s="915">
        <f>IF(SETUP!$F$22="Upfront",S22,S23)</f>
        <v>0</v>
      </c>
      <c r="T21" s="915">
        <f t="shared" si="1"/>
        <v>9126.75</v>
      </c>
      <c r="U21" s="966">
        <f t="shared" si="2"/>
        <v>27380.25</v>
      </c>
      <c r="V21" s="1316">
        <v>7.1</v>
      </c>
      <c r="W21" s="1995"/>
      <c r="X21" s="1321"/>
    </row>
    <row r="22" spans="1:24" s="665" customFormat="1" ht="15" hidden="1" customHeight="1" outlineLevel="1">
      <c r="A22" s="3184" t="s">
        <v>439</v>
      </c>
      <c r="B22" s="3185"/>
      <c r="C22" s="3182" t="s">
        <v>777</v>
      </c>
      <c r="D22" s="3182"/>
      <c r="E22" s="1246"/>
      <c r="F22" s="966">
        <f>IF(SETUP!$F$22="Upfront",$E$21*'HIV-Pharmaceuticals'!AX16,0)</f>
        <v>0</v>
      </c>
      <c r="G22" s="1004">
        <f>IF(SETUP!$F$22="Upfront",$E$21*'HIV-Pharmaceuticals'!AY16,0)</f>
        <v>9126.75</v>
      </c>
      <c r="H22" s="1004">
        <f>IF(SETUP!$F$22="Upfront",$E$21*'HIV-Pharmaceuticals'!AZ16,0)</f>
        <v>0</v>
      </c>
      <c r="I22" s="1004">
        <f>IF(SETUP!$F$22="Upfront",$E$21*'HIV-Pharmaceuticals'!BA16,0)</f>
        <v>0</v>
      </c>
      <c r="J22" s="1004">
        <f t="shared" si="3"/>
        <v>9126.75</v>
      </c>
      <c r="K22" s="1005">
        <f>IF(SETUP!$F$22="Upfront",$E$21*'HIV-Pharmaceuticals'!BB16,0)</f>
        <v>0</v>
      </c>
      <c r="L22" s="1004">
        <f>IF(SETUP!$F$22="Upfront",$E$21*'HIV-Pharmaceuticals'!BC16,0)</f>
        <v>9126.75</v>
      </c>
      <c r="M22" s="1004">
        <f>IF(SETUP!$F$22="Upfront",$E$21*'HIV-Pharmaceuticals'!BD16,0)</f>
        <v>0</v>
      </c>
      <c r="N22" s="1004">
        <f>IF(SETUP!$F$22="Upfront",$E$21*'HIV-Pharmaceuticals'!BE16,0)</f>
        <v>0</v>
      </c>
      <c r="O22" s="931">
        <f t="shared" si="0"/>
        <v>9126.75</v>
      </c>
      <c r="P22" s="966">
        <f>IF(SETUP!$F$22="Upfront",$E$21*'HIV-Pharmaceuticals'!BF16,0)</f>
        <v>0</v>
      </c>
      <c r="Q22" s="915">
        <f>IF(SETUP!$F$22="Upfront",$E$21*'HIV-Pharmaceuticals'!BG16,0)</f>
        <v>9126.75</v>
      </c>
      <c r="R22" s="915">
        <f>IF(SETUP!$F$22="Upfront",$E$21*'HIV-Pharmaceuticals'!BH16,0)</f>
        <v>0</v>
      </c>
      <c r="S22" s="915">
        <f>IF(SETUP!$F$22="Upfront",$E$21*'HIV-Pharmaceuticals'!BI16,0)</f>
        <v>0</v>
      </c>
      <c r="T22" s="915">
        <f t="shared" si="1"/>
        <v>9126.75</v>
      </c>
      <c r="U22" s="966">
        <f t="shared" si="2"/>
        <v>27380.25</v>
      </c>
      <c r="V22" s="1316"/>
      <c r="W22" s="1995"/>
      <c r="X22" s="1320"/>
    </row>
    <row r="23" spans="1:24" s="665" customFormat="1" ht="15" hidden="1" customHeight="1" outlineLevel="1">
      <c r="A23" s="3184"/>
      <c r="B23" s="3185"/>
      <c r="C23" s="3182" t="s">
        <v>36</v>
      </c>
      <c r="D23" s="3182"/>
      <c r="E23" s="1246"/>
      <c r="F23" s="966">
        <v>0</v>
      </c>
      <c r="G23" s="1004">
        <f>IF(SETUP!$F$22="At delivery",IF(SETUP!$G$22=1,$E$21*'HIV-Pharmaceuticals'!AX16,0),0)</f>
        <v>0</v>
      </c>
      <c r="H23" s="1004">
        <f>IF(SETUP!$F$22="At delivery",IF(SETUP!$G$22=2,$E$21*'HIV-Pharmaceuticals'!AX16,IF(SETUP!$G$22=1,$E$21*'HIV-Pharmaceuticals'!AY16,0)),0)</f>
        <v>0</v>
      </c>
      <c r="I23" s="1004">
        <f>IF(SETUP!$F$22="At delivery",IF(SETUP!$G$22=3,$E$21*'HIV-Pharmaceuticals'!AX16,IF(SETUP!$G$22=2,$E$21*'HIV-Pharmaceuticals'!AY16,IF(SETUP!$G$22=1,$E$21*'HIV-Pharmaceuticals'!AZ16,0))),0)</f>
        <v>0</v>
      </c>
      <c r="J23" s="1004">
        <f t="shared" si="3"/>
        <v>0</v>
      </c>
      <c r="K23" s="1005">
        <f>IF(SETUP!$F$22="At delivery",IF(SETUP!$G$22=4,$E$21*'HIV-Pharmaceuticals'!AX16,IF(SETUP!$G$22=3,$E$21*'HIV-Pharmaceuticals'!AY16,IF(SETUP!$G$22=2,$E$21*'HIV-Pharmaceuticals'!AZ16,IF(SETUP!$G$22=1,$E$21*'HIV-Pharmaceuticals'!BA16,0)))),0)</f>
        <v>0</v>
      </c>
      <c r="L23" s="1004">
        <f>IF(SETUP!$F$22="At delivery",IF(SETUP!$G$22=4,$E$21*'HIV-Pharmaceuticals'!AY16,IF(SETUP!$G$22=3,$E$21*'HIV-Pharmaceuticals'!AZ16,IF(SETUP!$G$22=2,$E$21*'HIV-Pharmaceuticals'!BA16,IF(SETUP!$G$22=1,$E$21*'HIV-Pharmaceuticals'!BB16,0)))),0)</f>
        <v>0</v>
      </c>
      <c r="M23" s="1004">
        <f>IF(SETUP!$F$22="At delivery",IF(SETUP!$G$22=4,$E$21*'HIV-Pharmaceuticals'!AZ16,IF(SETUP!$G$22=3,$E$21*'HIV-Pharmaceuticals'!BA16,IF(SETUP!$G$22=2,$E$21*'HIV-Pharmaceuticals'!BB16,IF(SETUP!$G$22=1,$E$21*'HIV-Pharmaceuticals'!BC16,0)))),0)</f>
        <v>0</v>
      </c>
      <c r="N23" s="1004">
        <f>IF(SETUP!$F$22="At delivery",IF(SETUP!$G$22=4,$E$21*'HIV-Pharmaceuticals'!BA16,IF(SETUP!$G$22=3,$E$21*'HIV-Pharmaceuticals'!BB16,IF(SETUP!$G$22=2,$E$21*'HIV-Pharmaceuticals'!BC16,IF(SETUP!$G$22=1,$E$21*'HIV-Pharmaceuticals'!BD16,0)))),0)</f>
        <v>0</v>
      </c>
      <c r="O23" s="931">
        <f t="shared" si="0"/>
        <v>0</v>
      </c>
      <c r="P23" s="966">
        <f>IF(SETUP!$F$22="At delivery",IF(SETUP!$G$22=4,$E$21*'HIV-Pharmaceuticals'!BB16,IF(SETUP!$G$22=3,$E$21*'HIV-Pharmaceuticals'!BC16,IF(SETUP!$G$22=2,$E$21*'HIV-Pharmaceuticals'!BD16,IF(SETUP!$G$22=1,$E$21*'HIV-Pharmaceuticals'!BE16,0)))),0)</f>
        <v>0</v>
      </c>
      <c r="Q23" s="915">
        <f>IF(SETUP!$F$22="At delivery",IF(SETUP!$G$22=4,$E$21*'HIV-Pharmaceuticals'!BC16,IF(SETUP!$G$22=3,$E$21*'HIV-Pharmaceuticals'!BD16,IF(SETUP!$G$22=2,$E$21*'HIV-Pharmaceuticals'!BE16,IF(SETUP!$G$22=1,$E$21*'HIV-Pharmaceuticals'!BF16,0)))),0)</f>
        <v>0</v>
      </c>
      <c r="R23" s="915">
        <f>IF(SETUP!$F$22="At delivery",IF(SETUP!$G$22=4,$E$21*'HIV-Pharmaceuticals'!BD16,IF(SETUP!$G$22=3,$E$21*'HIV-Pharmaceuticals'!BE16,IF(SETUP!$G$22=2,$E$21*'HIV-Pharmaceuticals'!BF16,IF(SETUP!$G$22=1,$E$21*'HIV-Pharmaceuticals'!BG16,0)))),0)</f>
        <v>0</v>
      </c>
      <c r="S23" s="915">
        <f>IF(SETUP!$F$22="At delivery",IF(SETUP!$G$22=4,$E$21*('HIV-Pharmaceuticals'!BE16+'HIV-Pharmaceuticals'!BF16+'HIV-Pharmaceuticals'!BG16+'HIV-Pharmaceuticals'!BH16+'HIV-Pharmaceuticals'!BI16),IF(SETUP!$G$22=3,$E$21*('HIV-Pharmaceuticals'!BF16+'HIV-Pharmaceuticals'!BG16+'HIV-Pharmaceuticals'!BH16+'HIV-Pharmaceuticals'!BI16),IF(SETUP!$G$22=2,$E$21*('HIV-Pharmaceuticals'!BG16+'HIV-Pharmaceuticals'!BH16+'HIV-Pharmaceuticals'!BI16),IF(SETUP!$G$22=1,$E$21*('HIV-Pharmaceuticals'!BH16+'HIV-Pharmaceuticals'!BI16),0)))),0)</f>
        <v>0</v>
      </c>
      <c r="T23" s="915">
        <f t="shared" si="1"/>
        <v>0</v>
      </c>
      <c r="U23" s="966">
        <f t="shared" si="2"/>
        <v>0</v>
      </c>
      <c r="V23" s="1316"/>
      <c r="W23" s="1995"/>
      <c r="X23" s="1320"/>
    </row>
    <row r="24" spans="1:24" s="665" customFormat="1" ht="15" customHeight="1" collapsed="1">
      <c r="A24" s="3184"/>
      <c r="B24" s="3185"/>
      <c r="C24" s="3202" t="s">
        <v>1390</v>
      </c>
      <c r="D24" s="3202"/>
      <c r="E24" s="1246">
        <v>0.06</v>
      </c>
      <c r="F24" s="966">
        <f>IF(SETUP!$F$23="Upfront",F25,F26)</f>
        <v>0</v>
      </c>
      <c r="G24" s="1004">
        <f>IF(SETUP!$F$23="Upfront",G25,G26)</f>
        <v>15300</v>
      </c>
      <c r="H24" s="1004">
        <f>IF(SETUP!$F$23="Upfront",H25,H26)</f>
        <v>0</v>
      </c>
      <c r="I24" s="1004">
        <f>IF(SETUP!$F$23="Upfront",I25,I26)</f>
        <v>0</v>
      </c>
      <c r="J24" s="1004">
        <f t="shared" si="3"/>
        <v>15300</v>
      </c>
      <c r="K24" s="1005">
        <f>IF(SETUP!$F$23="Upfront",K25,K26)</f>
        <v>0</v>
      </c>
      <c r="L24" s="1004">
        <f>IF(SETUP!$F$23="Upfront",L25,L26)</f>
        <v>0</v>
      </c>
      <c r="M24" s="1004">
        <f>IF(SETUP!$F$23="Upfront",M25,M26)</f>
        <v>0</v>
      </c>
      <c r="N24" s="1004">
        <f>IF(SETUP!$F$23="Upfront",N25,N26)</f>
        <v>0</v>
      </c>
      <c r="O24" s="931">
        <f t="shared" si="0"/>
        <v>0</v>
      </c>
      <c r="P24" s="966">
        <f>IF(SETUP!$F$23="Upfront",P25,P26)</f>
        <v>0</v>
      </c>
      <c r="Q24" s="915">
        <f>IF(SETUP!$F$23="Upfront",Q25,Q26)</f>
        <v>0</v>
      </c>
      <c r="R24" s="915">
        <f>IF(SETUP!$F$23="Upfront",R25,R26)</f>
        <v>0</v>
      </c>
      <c r="S24" s="915">
        <f>IF(SETUP!$F$23="Upfront",S25,S26)</f>
        <v>0</v>
      </c>
      <c r="T24" s="915">
        <f t="shared" si="1"/>
        <v>0</v>
      </c>
      <c r="U24" s="966">
        <f t="shared" si="2"/>
        <v>15300</v>
      </c>
      <c r="V24" s="1316">
        <v>7.1</v>
      </c>
      <c r="W24" s="1995"/>
      <c r="X24" s="1320"/>
    </row>
    <row r="25" spans="1:24" s="665" customFormat="1" ht="15" hidden="1" customHeight="1" outlineLevel="1">
      <c r="A25" s="3184"/>
      <c r="B25" s="3185"/>
      <c r="C25" s="3182" t="s">
        <v>777</v>
      </c>
      <c r="D25" s="3182"/>
      <c r="E25" s="1246"/>
      <c r="F25" s="966">
        <f>IF(SETUP!$F$23="Upfront",$E$24*'HIV-Equipment'!AW14,0)</f>
        <v>0</v>
      </c>
      <c r="G25" s="1004">
        <f>IF(SETUP!$F$23="Upfront",$E$24*'HIV-Equipment'!AX14,0)</f>
        <v>15300</v>
      </c>
      <c r="H25" s="1004">
        <f>IF(SETUP!$F$23="Upfront",$E$24*'HIV-Equipment'!AY14,0)</f>
        <v>0</v>
      </c>
      <c r="I25" s="1004">
        <f>IF(SETUP!$F$23="Upfront",$E$24*'HIV-Equipment'!AZ14,0)</f>
        <v>0</v>
      </c>
      <c r="J25" s="1004">
        <f t="shared" si="3"/>
        <v>15300</v>
      </c>
      <c r="K25" s="1005">
        <f>IF(SETUP!$F$23="Upfront",$E$24*'HIV-Equipment'!BA14,0)</f>
        <v>0</v>
      </c>
      <c r="L25" s="1004">
        <f>IF(SETUP!$F$23="Upfront",$E$24*'HIV-Equipment'!BB14,0)</f>
        <v>0</v>
      </c>
      <c r="M25" s="1004">
        <f>IF(SETUP!$F$23="Upfront",$E$24*'HIV-Equipment'!BC14,0)</f>
        <v>0</v>
      </c>
      <c r="N25" s="1004">
        <f>IF(SETUP!$F$23="Upfront",$E$24*'HIV-Equipment'!BD14,0)</f>
        <v>0</v>
      </c>
      <c r="O25" s="931">
        <f t="shared" si="0"/>
        <v>0</v>
      </c>
      <c r="P25" s="966">
        <f>IF(SETUP!$F$23="Upfront",$E$24*'HIV-Equipment'!BE14,0)</f>
        <v>0</v>
      </c>
      <c r="Q25" s="915">
        <f>IF(SETUP!$F$23="Upfront",$E$24*'HIV-Equipment'!BF14,0)</f>
        <v>0</v>
      </c>
      <c r="R25" s="915">
        <f>IF(SETUP!$F$23="Upfront",$E$24*'HIV-Equipment'!BG14,0)</f>
        <v>0</v>
      </c>
      <c r="S25" s="915">
        <f>IF(SETUP!$F$23="Upfront",$E$24*'HIV-Equipment'!BH14,0)</f>
        <v>0</v>
      </c>
      <c r="T25" s="915">
        <f t="shared" si="1"/>
        <v>0</v>
      </c>
      <c r="U25" s="966">
        <f t="shared" si="2"/>
        <v>15300</v>
      </c>
      <c r="V25" s="1316">
        <v>7.1</v>
      </c>
      <c r="W25" s="1995"/>
      <c r="X25" s="1320"/>
    </row>
    <row r="26" spans="1:24" s="665" customFormat="1" ht="15" hidden="1" customHeight="1" outlineLevel="1">
      <c r="A26" s="3184"/>
      <c r="B26" s="3185"/>
      <c r="C26" s="3182" t="s">
        <v>36</v>
      </c>
      <c r="D26" s="3182"/>
      <c r="E26" s="1246"/>
      <c r="F26" s="966">
        <v>0</v>
      </c>
      <c r="G26" s="1004">
        <f>IF(SETUP!$F$23="At delivery",IF(SETUP!$G$23=1,$E$24*'HIV-Equipment'!AW14,0),0)</f>
        <v>0</v>
      </c>
      <c r="H26" s="1004">
        <f>IF(SETUP!$F$23="At delivery",IF(SETUP!$G$23=2,$E$24*'HIV-Equipment'!AW14,IF(SETUP!$G$23=1,$E$24*'HIV-Equipment'!AX14,0)),0)</f>
        <v>0</v>
      </c>
      <c r="I26" s="1004">
        <f>IF(SETUP!$F$23="At delivery",IF(SETUP!$G$23=3,$E$24*'HIV-Equipment'!AW14,IF(SETUP!$G$23=2,$E$24*'HIV-Equipment'!AX14,IF(SETUP!$G$23=1,$E$24*'HIV-Equipment'!AY14,0))),0)</f>
        <v>0</v>
      </c>
      <c r="J26" s="1004">
        <f t="shared" si="3"/>
        <v>0</v>
      </c>
      <c r="K26" s="1005">
        <f>IF(SETUP!$F$23="At delivery",IF(SETUP!$G$23=4,$E$24*'HIV-Equipment'!AW14,IF(SETUP!$G$23=3,$E$24*'HIV-Equipment'!AX14,IF(SETUP!$G$23=2,$E$24*'HIV-Equipment'!AY14,IF(SETUP!$G$23=1,$E$24*'HIV-Equipment'!AZ14,0)))),0)</f>
        <v>0</v>
      </c>
      <c r="L26" s="1004">
        <f>IF(SETUP!$F$23="At delivery",IF(SETUP!$G$23=4,$E$24*'HIV-Equipment'!AX14,IF(SETUP!$G$23=3,$E$24*'HIV-Equipment'!AY14,IF(SETUP!$G$23=2,$E$24*'HIV-Equipment'!AZ14,IF(SETUP!$G$23=1,$E$24*'HIV-Equipment'!BA14,0)))),0)</f>
        <v>0</v>
      </c>
      <c r="M26" s="1004">
        <f>IF(SETUP!$F$23="At delivery",IF(SETUP!$G$23=4,$E$24*'HIV-Equipment'!AY14,IF(SETUP!$G$23=3,$E$24*'HIV-Equipment'!AZ14,IF(SETUP!$G$23=2,$E$24*'HIV-Equipment'!BA14,IF(SETUP!$G$23=1,$E$24*'HIV-Equipment'!BB14,0)))),0)</f>
        <v>0</v>
      </c>
      <c r="N26" s="1004">
        <f>IF(SETUP!$F$23="At delivery",IF(SETUP!$G$23=4,$E$24*'HIV-Equipment'!AZ14,IF(SETUP!$G$23=3,$E$24*'HIV-Equipment'!BA14,IF(SETUP!$G$23=2,$E$24*'HIV-Equipment'!BB14,IF(SETUP!$G$23=1,$E$24*'HIV-Equipment'!BC14,0)))),0)</f>
        <v>0</v>
      </c>
      <c r="O26" s="931">
        <f t="shared" si="0"/>
        <v>0</v>
      </c>
      <c r="P26" s="966">
        <f>IF(SETUP!$F$23="At delivery",IF(SETUP!$G$23=4,$E$24*'HIV-Equipment'!BA14,IF(SETUP!$G$23=3,$E$24*'HIV-Equipment'!BB14,IF(SETUP!$G$23=2,$E$24*'HIV-Equipment'!BC14,IF(SETUP!$G$23=1,$E$24*'HIV-Equipment'!BD14,0)))),0)</f>
        <v>0</v>
      </c>
      <c r="Q26" s="915">
        <f>IF(SETUP!$F$23="At delivery",IF(SETUP!$G$23=4,$E$24*'HIV-Equipment'!BB14,IF(SETUP!$G$23=3,$E$24*'HIV-Equipment'!BC14,IF(SETUP!$G$23=2,$E$24*'HIV-Equipment'!BD14,IF(SETUP!$G$23=1,$E$24*'HIV-Equipment'!BE14,0)))),0)</f>
        <v>0</v>
      </c>
      <c r="R26" s="915">
        <f>IF(SETUP!$F$23="At delivery",IF(SETUP!$G$23=4,$E$24*'HIV-Equipment'!BC14,IF(SETUP!$G$23=3,$E$24*'HIV-Equipment'!BD14,IF(SETUP!$G$23=2,$E$24*'HIV-Equipment'!BE14,IF(SETUP!$G$23=1,$E$24*'HIV-Equipment'!BF14,0)))),0)</f>
        <v>0</v>
      </c>
      <c r="S26" s="915">
        <f>IF(SETUP!$F$23="At delivery",IF(SETUP!$G$23=4,$E$24*('HIV-Equipment'!BD14+'HIV-Equipment'!BE14+'HIV-Equipment'!BF14+'HIV-Equipment'!BG14+'HIV-Equipment'!BH14),IF(SETUP!$G$23=3,$E$24*('HIV-Equipment'!BE14+'HIV-Equipment'!BF14+'HIV-Equipment'!BG14+'HIV-Equipment'!BH14),IF(SETUP!$G$23=2,$E$24*('HIV-Equipment'!BF14+'HIV-Equipment'!BG14+'HIV-Equipment'!BH14),IF(SETUP!$G$23=1,$E$24*('HIV-Equipment'!BG14+'HIV-Equipment'!BH14),0)))),0)</f>
        <v>0</v>
      </c>
      <c r="T26" s="915">
        <f t="shared" si="1"/>
        <v>0</v>
      </c>
      <c r="U26" s="966">
        <f t="shared" si="2"/>
        <v>0</v>
      </c>
      <c r="V26" s="1316">
        <v>7.1</v>
      </c>
      <c r="W26" s="1995"/>
      <c r="X26" s="1320"/>
    </row>
    <row r="27" spans="1:24" s="665" customFormat="1" ht="15" customHeight="1" collapsed="1">
      <c r="A27" s="3184" t="s">
        <v>440</v>
      </c>
      <c r="B27" s="3185"/>
      <c r="C27" s="3188" t="s">
        <v>213</v>
      </c>
      <c r="D27" s="3188"/>
      <c r="E27" s="1246">
        <v>0</v>
      </c>
      <c r="F27" s="966">
        <f>IF(SETUP!$F$27="Upfront",F28,F29)</f>
        <v>0</v>
      </c>
      <c r="G27" s="1004">
        <f>IF(SETUP!$F$27="Upfront",G28,G29)</f>
        <v>0</v>
      </c>
      <c r="H27" s="1004">
        <f>IF(SETUP!$F$27="Upfront",H28,H29)</f>
        <v>0</v>
      </c>
      <c r="I27" s="1004">
        <f>IF(SETUP!$F$27="Upfront",I28,I29)</f>
        <v>0</v>
      </c>
      <c r="J27" s="1004">
        <f t="shared" si="3"/>
        <v>0</v>
      </c>
      <c r="K27" s="1005">
        <f>IF(SETUP!$F$27="Upfront",K28,K29)</f>
        <v>0</v>
      </c>
      <c r="L27" s="1004">
        <f>IF(SETUP!$F$27="Upfront",L28,L29)</f>
        <v>0</v>
      </c>
      <c r="M27" s="1004">
        <f>IF(SETUP!$F$27="Upfront",M28,M29)</f>
        <v>0</v>
      </c>
      <c r="N27" s="1004">
        <f>IF(SETUP!$F$27="Upfront",N28,N29)</f>
        <v>0</v>
      </c>
      <c r="O27" s="931">
        <f t="shared" si="0"/>
        <v>0</v>
      </c>
      <c r="P27" s="966">
        <f>IF(SETUP!$F$27="Upfront",P28,P29)</f>
        <v>0</v>
      </c>
      <c r="Q27" s="915">
        <f>IF(SETUP!$F$27="Upfront",Q28,Q29)</f>
        <v>0</v>
      </c>
      <c r="R27" s="915">
        <f>IF(SETUP!$F$27="Upfront",R28,R29)</f>
        <v>0</v>
      </c>
      <c r="S27" s="915">
        <f>IF(SETUP!$F$27="Upfront",S28,S29)</f>
        <v>0</v>
      </c>
      <c r="T27" s="915">
        <f t="shared" si="1"/>
        <v>0</v>
      </c>
      <c r="U27" s="966">
        <f t="shared" si="2"/>
        <v>0</v>
      </c>
      <c r="V27" s="1316">
        <v>7.1</v>
      </c>
      <c r="W27" s="1995"/>
      <c r="X27" s="1321"/>
    </row>
    <row r="28" spans="1:24" s="665" customFormat="1" ht="15" hidden="1" customHeight="1" outlineLevel="1">
      <c r="A28" s="3184"/>
      <c r="B28" s="3185"/>
      <c r="C28" s="3182" t="s">
        <v>777</v>
      </c>
      <c r="D28" s="3182"/>
      <c r="E28" s="1246"/>
      <c r="F28" s="966">
        <f>IF(SETUP!$F$27="Upfront",$E$27*'HIV-Other HPs'!AX14,0)</f>
        <v>0</v>
      </c>
      <c r="G28" s="1004">
        <f>IF(SETUP!$F$27="Upfront",$E$27*'HIV-Other HPs'!AY14,0)</f>
        <v>0</v>
      </c>
      <c r="H28" s="1004">
        <f>IF(SETUP!$F$27="Upfront",$E$27*'HIV-Other HPs'!AZ14,0)</f>
        <v>0</v>
      </c>
      <c r="I28" s="1004">
        <f>IF(SETUP!$F$27="Upfront",$E$27*'HIV-Other HPs'!BA14,0)</f>
        <v>0</v>
      </c>
      <c r="J28" s="1004">
        <f t="shared" si="3"/>
        <v>0</v>
      </c>
      <c r="K28" s="1005">
        <f>IF(SETUP!$F$27="Upfront",$E$27*'HIV-Other HPs'!BB14,0)</f>
        <v>0</v>
      </c>
      <c r="L28" s="1004">
        <f>IF(SETUP!$F$27="Upfront",$E$27*'HIV-Other HPs'!BC14,0)</f>
        <v>0</v>
      </c>
      <c r="M28" s="1004">
        <f>IF(SETUP!$F$27="Upfront",$E$27*'HIV-Other HPs'!BD14,0)</f>
        <v>0</v>
      </c>
      <c r="N28" s="1004">
        <f>IF(SETUP!$F$27="Upfront",$E$27*'HIV-Other HPs'!BE14,0)</f>
        <v>0</v>
      </c>
      <c r="O28" s="931">
        <f t="shared" si="0"/>
        <v>0</v>
      </c>
      <c r="P28" s="966">
        <f>IF(SETUP!$F$27="Upfront",$E$27*'HIV-Other HPs'!BF14,0)</f>
        <v>0</v>
      </c>
      <c r="Q28" s="915">
        <f>IF(SETUP!$F$27="Upfront",$E$27*'HIV-Other HPs'!BG14,0)</f>
        <v>0</v>
      </c>
      <c r="R28" s="915">
        <f>IF(SETUP!$F$27="Upfront",$E$27*'HIV-Other HPs'!BH14,0)</f>
        <v>0</v>
      </c>
      <c r="S28" s="915">
        <f>IF(SETUP!$F$27="Upfront",$E$27*'HIV-Other HPs'!BI14,0)</f>
        <v>0</v>
      </c>
      <c r="T28" s="915">
        <f t="shared" si="1"/>
        <v>0</v>
      </c>
      <c r="U28" s="966">
        <f t="shared" si="2"/>
        <v>0</v>
      </c>
      <c r="V28" s="1316"/>
      <c r="W28" s="1995"/>
      <c r="X28" s="1320"/>
    </row>
    <row r="29" spans="1:24" s="665" customFormat="1" ht="15" hidden="1" customHeight="1" outlineLevel="1">
      <c r="A29" s="3184"/>
      <c r="B29" s="3185"/>
      <c r="C29" s="3182" t="s">
        <v>36</v>
      </c>
      <c r="D29" s="3182"/>
      <c r="E29" s="1246"/>
      <c r="F29" s="966">
        <v>0</v>
      </c>
      <c r="G29" s="1004">
        <f>IF(SETUP!$F$27="At delivery",IF(SETUP!$G$27=1,$E$27*'HIV-Other HPs'!AX14,0),0)</f>
        <v>0</v>
      </c>
      <c r="H29" s="1004">
        <f>IF(SETUP!$F$27="At delivery",IF(SETUP!$G$27=2,$E$27*'HIV-Other HPs'!AX14,IF(SETUP!$G$27=1,$E$27*'HIV-Other HPs'!AY14,0)),0)</f>
        <v>0</v>
      </c>
      <c r="I29" s="1004">
        <f>IF(SETUP!$F$27="At delivery",IF(SETUP!$G$27=3,$E$27*'HIV-Other HPs'!AX14,IF(SETUP!$G$27=2,$E$27*'HIV-Other HPs'!AY14,IF(SETUP!$G$27=1,$E$27*'HIV-Other HPs'!AZ14,0))),0)</f>
        <v>0</v>
      </c>
      <c r="J29" s="1004">
        <f t="shared" si="3"/>
        <v>0</v>
      </c>
      <c r="K29" s="1005">
        <f>IF(SETUP!$F$27="At delivery",IF(SETUP!$G$27=4,$E$27*'HIV-Other HPs'!AX14,IF(SETUP!$G$27=3,$E$27*'HIV-Other HPs'!AY14,IF(SETUP!$G$27=2,$E$27*'HIV-Other HPs'!AZ14,IF(SETUP!$G$27=1,$E$27*'HIV-Other HPs'!BA14,0)))),0)</f>
        <v>0</v>
      </c>
      <c r="L29" s="1004">
        <f>IF(SETUP!$F$27="At delivery",IF(SETUP!$G$27=4,$E$27*'HIV-Other HPs'!AY14,IF(SETUP!$G$27=3,$E$27*'HIV-Other HPs'!AZ14,IF(SETUP!$G$27=2,$E$27*'HIV-Other HPs'!BA14,IF(SETUP!$G$27=1,$E$27*'HIV-Other HPs'!BB14,0)))),0)</f>
        <v>0</v>
      </c>
      <c r="M29" s="1004">
        <f>IF(SETUP!$F$27="At delivery",IF(SETUP!$G$27=4,$E$27*'HIV-Other HPs'!AZ14,IF(SETUP!$G$27=3,$E$27*'HIV-Other HPs'!BA14,IF(SETUP!$G$27=2,$E$27*'HIV-Other HPs'!BB14,IF(SETUP!$G$27=1,$E$27*'HIV-Other HPs'!BC14,0)))),0)</f>
        <v>0</v>
      </c>
      <c r="N29" s="1004">
        <f>IF(SETUP!$F$27="At delivery",IF(SETUP!$G$27=4,$E$27*'HIV-Other HPs'!BA14,IF(SETUP!$G$27=3,$E$27*'HIV-Other HPs'!BB14,IF(SETUP!$G$27=2,$E$27*'HIV-Other HPs'!BC14,IF(SETUP!$G$27=1,$E$27*'HIV-Other HPs'!BD14,0)))),0)</f>
        <v>0</v>
      </c>
      <c r="O29" s="931">
        <f t="shared" si="0"/>
        <v>0</v>
      </c>
      <c r="P29" s="966">
        <f>IF(SETUP!$F$27="At delivery",IF(SETUP!$G$27=4,$E$27*'HIV-Other HPs'!BB14,IF(SETUP!$G$27=3,$E$27*'HIV-Other HPs'!BC14,IF(SETUP!$G$27=2,$E$27*'HIV-Other HPs'!BD14,IF(SETUP!$G$27=1,$E$27*'HIV-Other HPs'!BE14,0)))),0)</f>
        <v>0</v>
      </c>
      <c r="Q29" s="915">
        <f>IF(SETUP!$F$27="At delivery",IF(SETUP!$G$27=4,$E$27*'HIV-Other HPs'!BC14,IF(SETUP!$G$27=3,$E$27*'HIV-Other HPs'!BD14,IF(SETUP!$G$27=2,$E$27*'HIV-Other HPs'!BE14,IF(SETUP!$G$27=1,$E$27*'HIV-Other HPs'!BF14,0)))),0)</f>
        <v>0</v>
      </c>
      <c r="R29" s="915">
        <f>IF(SETUP!$F$27="At delivery",IF(SETUP!$G$27=4,$E$27*'HIV-Other HPs'!BD14,IF(SETUP!$G$27=3,$E$27*'HIV-Other HPs'!BE14,IF(SETUP!$G$27=2,$E$27*'HIV-Other HPs'!BF14,IF(SETUP!$G$27=1,$E$27*'HIV-Other HPs'!BG14,0)))),0)</f>
        <v>0</v>
      </c>
      <c r="S29" s="915">
        <f>IF(SETUP!$F$27="At delivery",IF(SETUP!$G$27=4,$E$27*('HIV-Other HPs'!BE14+'HIV-Other HPs'!BF14+'HIV-Other HPs'!BG14+'HIV-Other HPs'!BH14+'HIV-Other HPs'!BI14),IF(SETUP!$G$27=3,$E$27*('HIV-Other HPs'!BF14+'HIV-Other HPs'!BG14+'HIV-Other HPs'!BH14+'HIV-Other HPs'!BI14),IF(SETUP!$G$27=2,$E$27*('HIV-Other HPs'!BG14+'HIV-Other HPs'!BH14+'HIV-Other HPs'!BI14),IF(SETUP!$G$27=1,$E$27*('HIV-Other HPs'!BH14+'HIV-Other HPs'!BI14),0)))),0)</f>
        <v>0</v>
      </c>
      <c r="T29" s="915">
        <f t="shared" si="1"/>
        <v>0</v>
      </c>
      <c r="U29" s="966">
        <f t="shared" si="2"/>
        <v>0</v>
      </c>
      <c r="V29" s="1316"/>
      <c r="W29" s="1995"/>
      <c r="X29" s="1320"/>
    </row>
    <row r="30" spans="1:24" s="665" customFormat="1" ht="15" customHeight="1" collapsed="1">
      <c r="A30" s="3184"/>
      <c r="B30" s="3185"/>
      <c r="C30" s="3188" t="s">
        <v>217</v>
      </c>
      <c r="D30" s="3188"/>
      <c r="E30" s="1246">
        <v>0</v>
      </c>
      <c r="F30" s="966">
        <f>IF(SETUP!$F$28="Upfront",F31,F32)</f>
        <v>0</v>
      </c>
      <c r="G30" s="1004">
        <f>IF(SETUP!$F$28="Upfront",G31,G32)</f>
        <v>0</v>
      </c>
      <c r="H30" s="1004">
        <f>IF(SETUP!$F$28="Upfront",H31,H32)</f>
        <v>0</v>
      </c>
      <c r="I30" s="1004">
        <f>IF(SETUP!$F$28="Upfront",I31,I32)</f>
        <v>0</v>
      </c>
      <c r="J30" s="1004">
        <f t="shared" si="3"/>
        <v>0</v>
      </c>
      <c r="K30" s="1005">
        <f>IF(SETUP!$F$28="Upfront",K31,K32)</f>
        <v>0</v>
      </c>
      <c r="L30" s="1004">
        <f>IF(SETUP!$F$28="Upfront",L31,L32)</f>
        <v>0</v>
      </c>
      <c r="M30" s="1004">
        <f>IF(SETUP!$F$28="Upfront",M31,M32)</f>
        <v>0</v>
      </c>
      <c r="N30" s="1004">
        <f>IF(SETUP!$F$28="Upfront",N31,N32)</f>
        <v>0</v>
      </c>
      <c r="O30" s="931">
        <f t="shared" si="0"/>
        <v>0</v>
      </c>
      <c r="P30" s="966">
        <f>IF(SETUP!$F$28="Upfront",P31,P32)</f>
        <v>0</v>
      </c>
      <c r="Q30" s="915">
        <f>IF(SETUP!$F$28="Upfront",Q31,Q32)</f>
        <v>0</v>
      </c>
      <c r="R30" s="915">
        <f>IF(SETUP!$F$28="Upfront",R31,R32)</f>
        <v>0</v>
      </c>
      <c r="S30" s="915">
        <f>IF(SETUP!$F$28="Upfront",S31,S32)</f>
        <v>0</v>
      </c>
      <c r="T30" s="915">
        <f t="shared" si="1"/>
        <v>0</v>
      </c>
      <c r="U30" s="966">
        <f t="shared" si="2"/>
        <v>0</v>
      </c>
      <c r="V30" s="1316">
        <v>7.1</v>
      </c>
      <c r="W30" s="1995"/>
      <c r="X30" s="1320"/>
    </row>
    <row r="31" spans="1:24" s="665" customFormat="1" ht="15" hidden="1" customHeight="1" outlineLevel="1">
      <c r="A31" s="3184"/>
      <c r="B31" s="3185"/>
      <c r="C31" s="3182" t="s">
        <v>777</v>
      </c>
      <c r="D31" s="3182"/>
      <c r="E31" s="1246"/>
      <c r="F31" s="966">
        <f>IF(SETUP!$F$28="Upfront",$E$30*'HIV-Other HPs'!AX15,0)</f>
        <v>0</v>
      </c>
      <c r="G31" s="1004">
        <f>IF(SETUP!$F$28="Upfront",$E$30*'HIV-Other HPs'!AY15,0)</f>
        <v>0</v>
      </c>
      <c r="H31" s="1004">
        <f>IF(SETUP!$F$28="Upfront",$E$30*'HIV-Other HPs'!AZ15,0)</f>
        <v>0</v>
      </c>
      <c r="I31" s="1004">
        <f>IF(SETUP!$F$28="Upfront",$E$30*'HIV-Other HPs'!BA15,0)</f>
        <v>0</v>
      </c>
      <c r="J31" s="1004">
        <f t="shared" si="3"/>
        <v>0</v>
      </c>
      <c r="K31" s="1005">
        <f>IF(SETUP!$F$28="Upfront",$E$30*'HIV-Other HPs'!BB15,0)</f>
        <v>0</v>
      </c>
      <c r="L31" s="1004">
        <f>IF(SETUP!$F$28="Upfront",$E$30*'HIV-Other HPs'!BC15,0)</f>
        <v>0</v>
      </c>
      <c r="M31" s="1004">
        <f>IF(SETUP!$F$28="Upfront",$E$30*'HIV-Other HPs'!BD15,0)</f>
        <v>0</v>
      </c>
      <c r="N31" s="1004">
        <f>IF(SETUP!$F$28="Upfront",$E$30*'HIV-Other HPs'!BE15,0)</f>
        <v>0</v>
      </c>
      <c r="O31" s="931">
        <f t="shared" si="0"/>
        <v>0</v>
      </c>
      <c r="P31" s="966">
        <f>IF(SETUP!$F$28="Upfront",$E$30*'HIV-Other HPs'!BF15,0)</f>
        <v>0</v>
      </c>
      <c r="Q31" s="915">
        <f>IF(SETUP!$F$28="Upfront",$E$30*'HIV-Other HPs'!BG15,0)</f>
        <v>0</v>
      </c>
      <c r="R31" s="915">
        <f>IF(SETUP!$F$28="Upfront",$E$30*'HIV-Other HPs'!BH15,0)</f>
        <v>0</v>
      </c>
      <c r="S31" s="915">
        <f>IF(SETUP!$F$28="Upfront",$E$30*'HIV-Other HPs'!BI15,0)</f>
        <v>0</v>
      </c>
      <c r="T31" s="915">
        <f t="shared" si="1"/>
        <v>0</v>
      </c>
      <c r="U31" s="966">
        <f t="shared" si="2"/>
        <v>0</v>
      </c>
      <c r="V31" s="1316"/>
      <c r="W31" s="1995"/>
      <c r="X31" s="1320"/>
    </row>
    <row r="32" spans="1:24" s="665" customFormat="1" ht="15" hidden="1" customHeight="1" outlineLevel="1">
      <c r="A32" s="3184"/>
      <c r="B32" s="3185"/>
      <c r="C32" s="3182" t="s">
        <v>36</v>
      </c>
      <c r="D32" s="3182"/>
      <c r="E32" s="1246"/>
      <c r="F32" s="966">
        <v>0</v>
      </c>
      <c r="G32" s="1004">
        <f>IF(SETUP!$F$28="At delivery",IF(SETUP!$G$28=1,$E$30*'HIV-Other HPs'!AX15,0),0)</f>
        <v>0</v>
      </c>
      <c r="H32" s="1004">
        <f>IF(SETUP!$F$28="At delivery",IF(SETUP!$G$28=2,$E$30*'HIV-Other HPs'!AX15,IF(SETUP!$G$28=1,$E$30*'HIV-Other HPs'!AY15,0)),0)</f>
        <v>0</v>
      </c>
      <c r="I32" s="1004">
        <f>IF(SETUP!$F$28="At delivery",IF(SETUP!$G$28=3,$E$30*'HIV-Other HPs'!AX15,IF(SETUP!$G$28=2,$E$30*'HIV-Other HPs'!AY15,IF(SETUP!$G$28=1,$E$30*'HIV-Other HPs'!AZ15,0))),0)</f>
        <v>0</v>
      </c>
      <c r="J32" s="1004">
        <f t="shared" si="3"/>
        <v>0</v>
      </c>
      <c r="K32" s="1005">
        <f>IF(SETUP!$F$28="At delivery",IF(SETUP!$G$28=4,$E$30*'HIV-Other HPs'!AX15,IF(SETUP!$G$28=3,$E$30*'HIV-Other HPs'!AY15,IF(SETUP!$G$28=2,$E$30*'HIV-Other HPs'!AZ15,IF(SETUP!$G$28=1,$E$30*'HIV-Other HPs'!BA15,0)))),0)</f>
        <v>0</v>
      </c>
      <c r="L32" s="1004">
        <f>IF(SETUP!$F$28="At delivery",IF(SETUP!$G$28=4,$E$30*'HIV-Other HPs'!AY15,IF(SETUP!$G$28=3,$E$30*'HIV-Other HPs'!AZ15,IF(SETUP!$G$28=2,$E$30*'HIV-Other HPs'!BA15,IF(SETUP!$G$28=1,$E$30*'HIV-Other HPs'!BB15,0)))),0)</f>
        <v>0</v>
      </c>
      <c r="M32" s="1004">
        <f>IF(SETUP!$F$28="At delivery",IF(SETUP!$G$28=4,$E$30*'HIV-Other HPs'!AZ15,IF(SETUP!$G$28=3,$E$30*'HIV-Other HPs'!BA15,IF(SETUP!$G$28=2,$E$30*'HIV-Other HPs'!BB15,IF(SETUP!$G$28=1,$E$30*'HIV-Other HPs'!BC15,0)))),0)</f>
        <v>0</v>
      </c>
      <c r="N32" s="1004">
        <f>IF(SETUP!$F$28="At delivery",IF(SETUP!$G$28=4,$E$30*'HIV-Other HPs'!BA15,IF(SETUP!$G$28=3,$E$30*'HIV-Other HPs'!BB15,IF(SETUP!$G$28=2,$E$30*'HIV-Other HPs'!BC15,IF(SETUP!$G$28=1,$E$30*'HIV-Other HPs'!BD15,0)))),0)</f>
        <v>0</v>
      </c>
      <c r="O32" s="931">
        <f t="shared" si="0"/>
        <v>0</v>
      </c>
      <c r="P32" s="966">
        <f>IF(SETUP!$F$28="At delivery",IF(SETUP!$G$28=4,$E$30*'HIV-Other HPs'!BB15,IF(SETUP!$G$28=3,$E$30*'HIV-Other HPs'!BC15,IF(SETUP!$G$28=2,$E$30*'HIV-Other HPs'!BD15,IF(SETUP!$G$28=1,$E$30*'HIV-Other HPs'!BE15,0)))),0)</f>
        <v>0</v>
      </c>
      <c r="Q32" s="915">
        <f>IF(SETUP!$F$28="At delivery",IF(SETUP!$G$28=4,$E$30*'HIV-Other HPs'!BC15,IF(SETUP!$G$28=3,$E$30*'HIV-Other HPs'!BD15,IF(SETUP!$G$28=2,$E$30*'HIV-Other HPs'!BE15,IF(SETUP!$G$28=1,$E$30*'HIV-Other HPs'!BF15,0)))),0)</f>
        <v>0</v>
      </c>
      <c r="R32" s="915">
        <f>IF(SETUP!$F$28="At delivery",IF(SETUP!$G$28=4,$E$30*'HIV-Other HPs'!BD15,IF(SETUP!$G$28=3,$E$30*'HIV-Other HPs'!BE15,IF(SETUP!$G$28=2,$E$30*'HIV-Other HPs'!BF15,IF(SETUP!$G$28=1,$E$30*'HIV-Other HPs'!BG15,0)))),0)</f>
        <v>0</v>
      </c>
      <c r="S32" s="915">
        <f>IF(SETUP!$F$28="At delivery",IF(SETUP!$G$28=4,$E$30*('HIV-Other HPs'!BE15+'HIV-Other HPs'!BF15+'HIV-Other HPs'!BG15+'HIV-Other HPs'!BH15+'HIV-Other HPs'!BI15),IF(SETUP!$G$28=3,$E$30*('HIV-Other HPs'!BF15+'HIV-Other HPs'!BG15+'HIV-Other HPs'!BH15+'HIV-Other HPs'!BI15),IF(SETUP!$G$28=2,$E$30*('HIV-Other HPs'!BG15+'HIV-Other HPs'!BH15+'HIV-Other HPs'!BI15),IF(SETUP!$G$28=1,$E$30*('HIV-Other HPs'!BH15+'HIV-Other HPs'!BI15),0)))),0)</f>
        <v>0</v>
      </c>
      <c r="T32" s="915">
        <f t="shared" si="1"/>
        <v>0</v>
      </c>
      <c r="U32" s="966">
        <f t="shared" si="2"/>
        <v>0</v>
      </c>
      <c r="V32" s="1316"/>
      <c r="W32" s="1995"/>
      <c r="X32" s="1320"/>
    </row>
    <row r="33" spans="1:24" s="665" customFormat="1" ht="15" customHeight="1" collapsed="1">
      <c r="A33" s="3184"/>
      <c r="B33" s="3185"/>
      <c r="C33" s="3188" t="s">
        <v>441</v>
      </c>
      <c r="D33" s="3188"/>
      <c r="E33" s="1246">
        <v>0.06</v>
      </c>
      <c r="F33" s="966">
        <f>IF(SETUP!$F$29="Upfront",F34,F35)</f>
        <v>0</v>
      </c>
      <c r="G33" s="1004">
        <f>IF(SETUP!$F$29="Upfront",G34,G35)</f>
        <v>9015.7620000000006</v>
      </c>
      <c r="H33" s="1004">
        <f>IF(SETUP!$F$29="Upfront",H34,H35)</f>
        <v>0</v>
      </c>
      <c r="I33" s="1004">
        <f>IF(SETUP!$F$29="Upfront",I34,I35)</f>
        <v>0</v>
      </c>
      <c r="J33" s="1004">
        <f t="shared" si="3"/>
        <v>9015.7620000000006</v>
      </c>
      <c r="K33" s="1005">
        <f>IF(SETUP!$F$29="Upfront",K34,K35)</f>
        <v>0</v>
      </c>
      <c r="L33" s="1004">
        <f>IF(SETUP!$F$29="Upfront",L34,L35)</f>
        <v>9380.9339999999993</v>
      </c>
      <c r="M33" s="1004">
        <f>IF(SETUP!$F$29="Upfront",M34,M35)</f>
        <v>0</v>
      </c>
      <c r="N33" s="1004">
        <f>IF(SETUP!$F$29="Upfront",N34,N35)</f>
        <v>0</v>
      </c>
      <c r="O33" s="931">
        <f t="shared" si="0"/>
        <v>9380.9339999999993</v>
      </c>
      <c r="P33" s="966">
        <f>IF(SETUP!$F$29="Upfront",P34,P35)</f>
        <v>0</v>
      </c>
      <c r="Q33" s="915">
        <f>IF(SETUP!$F$29="Upfront",Q34,Q35)</f>
        <v>9995.9520000000011</v>
      </c>
      <c r="R33" s="915">
        <f>IF(SETUP!$F$29="Upfront",R34,R35)</f>
        <v>0</v>
      </c>
      <c r="S33" s="915">
        <f>IF(SETUP!$F$29="Upfront",S34,S35)</f>
        <v>0</v>
      </c>
      <c r="T33" s="915">
        <f t="shared" si="1"/>
        <v>9995.9520000000011</v>
      </c>
      <c r="U33" s="966">
        <f t="shared" si="2"/>
        <v>28392.648000000001</v>
      </c>
      <c r="V33" s="1316">
        <v>7.1</v>
      </c>
      <c r="W33" s="1995"/>
      <c r="X33" s="1321"/>
    </row>
    <row r="34" spans="1:24" s="665" customFormat="1" ht="15" hidden="1" customHeight="1" outlineLevel="1">
      <c r="A34" s="3184"/>
      <c r="B34" s="3185"/>
      <c r="C34" s="3182" t="s">
        <v>777</v>
      </c>
      <c r="D34" s="3182"/>
      <c r="E34" s="1246"/>
      <c r="F34" s="966">
        <f>IF(SETUP!$F$29="Upfront",$E$33*'HIV-Other HPs'!AX16,0)</f>
        <v>0</v>
      </c>
      <c r="G34" s="1004">
        <f>IF(SETUP!$F$29="Upfront",$E$33*'HIV-Other HPs'!AY16,0)</f>
        <v>9015.7620000000006</v>
      </c>
      <c r="H34" s="1004">
        <f>IF(SETUP!$F$29="Upfront",$E$33*'HIV-Other HPs'!AZ16,0)</f>
        <v>0</v>
      </c>
      <c r="I34" s="1004">
        <f>IF(SETUP!$F$29="Upfront",$E$33*'HIV-Other HPs'!BA16,0)</f>
        <v>0</v>
      </c>
      <c r="J34" s="1004">
        <f t="shared" si="3"/>
        <v>9015.7620000000006</v>
      </c>
      <c r="K34" s="1005">
        <f>IF(SETUP!$F$29="Upfront",$E$33*'HIV-Other HPs'!BB16,0)</f>
        <v>0</v>
      </c>
      <c r="L34" s="1004">
        <f>IF(SETUP!$F$29="Upfront",$E$33*'HIV-Other HPs'!BC16,0)</f>
        <v>9380.9339999999993</v>
      </c>
      <c r="M34" s="1004">
        <f>IF(SETUP!$F$29="Upfront",$E$33*'HIV-Other HPs'!BD16,0)</f>
        <v>0</v>
      </c>
      <c r="N34" s="1004">
        <f>IF(SETUP!$F$29="Upfront",$E$33*'HIV-Other HPs'!BE16,0)</f>
        <v>0</v>
      </c>
      <c r="O34" s="931">
        <f t="shared" si="0"/>
        <v>9380.9339999999993</v>
      </c>
      <c r="P34" s="966">
        <f>IF(SETUP!$F$29="Upfront",$E$33*'HIV-Other HPs'!BF16,0)</f>
        <v>0</v>
      </c>
      <c r="Q34" s="915">
        <f>IF(SETUP!$F$29="Upfront",$E$33*'HIV-Other HPs'!BG16,0)</f>
        <v>9995.9520000000011</v>
      </c>
      <c r="R34" s="915">
        <f>IF(SETUP!$F$29="Upfront",$E$33*'HIV-Other HPs'!BH16,0)</f>
        <v>0</v>
      </c>
      <c r="S34" s="915">
        <f>IF(SETUP!$F$29="Upfront",$E$33*'HIV-Other HPs'!BI16,0)</f>
        <v>0</v>
      </c>
      <c r="T34" s="915">
        <f t="shared" si="1"/>
        <v>9995.9520000000011</v>
      </c>
      <c r="U34" s="966">
        <f t="shared" si="2"/>
        <v>28392.648000000001</v>
      </c>
      <c r="V34" s="1316"/>
      <c r="W34" s="1995"/>
      <c r="X34" s="1320"/>
    </row>
    <row r="35" spans="1:24" s="665" customFormat="1" ht="15" hidden="1" customHeight="1" outlineLevel="1">
      <c r="A35" s="3184"/>
      <c r="B35" s="3185"/>
      <c r="C35" s="3182" t="s">
        <v>36</v>
      </c>
      <c r="D35" s="3182"/>
      <c r="E35" s="1246"/>
      <c r="F35" s="966">
        <v>0</v>
      </c>
      <c r="G35" s="1004">
        <f>IF(SETUP!$F$29="At delivery",IF(SETUP!$G$29=1,$E$33*'HIV-Other HPs'!AX16,0),0)</f>
        <v>0</v>
      </c>
      <c r="H35" s="1004">
        <f>IF(SETUP!$F$29="At delivery",IF(SETUP!$G$29=2,$E$33*'HIV-Other HPs'!AX16,IF(SETUP!$G$29=1,$E$33*'HIV-Other HPs'!AY16,0)),0)</f>
        <v>0</v>
      </c>
      <c r="I35" s="1004">
        <f>IF(SETUP!$F$29="At delivery",IF(SETUP!$G$29=3,$E$33*'HIV-Other HPs'!AX16,IF(SETUP!$G$29=2,$E$33*'HIV-Other HPs'!AY16,IF(SETUP!$G$29=1,$E$33*'HIV-Other HPs'!AZ16,0))),0)</f>
        <v>0</v>
      </c>
      <c r="J35" s="1004">
        <f t="shared" si="3"/>
        <v>0</v>
      </c>
      <c r="K35" s="1005">
        <f>IF(SETUP!$F$29="At delivery",IF(SETUP!$G$29=4,$E$33*'HIV-Other HPs'!AX16,IF(SETUP!$G$29=3,$E$33*'HIV-Other HPs'!AY16,IF(SETUP!$G$29=2,$E$33*'HIV-Other HPs'!AZ16,IF(SETUP!$G$29=1,$E$33*'HIV-Other HPs'!BA16,0)))),0)</f>
        <v>0</v>
      </c>
      <c r="L35" s="1004">
        <f>IF(SETUP!$F$29="At delivery",IF(SETUP!$G$29=4,$E$33*'HIV-Other HPs'!AY16,IF(SETUP!$G$29=3,$E$33*'HIV-Other HPs'!AZ16,IF(SETUP!$G$29=2,$E$33*'HIV-Other HPs'!BA16,IF(SETUP!$G$29=1,$E$33*'HIV-Other HPs'!BB16,0)))),0)</f>
        <v>0</v>
      </c>
      <c r="M35" s="1004">
        <f>IF(SETUP!$F$29="At delivery",IF(SETUP!$G$29=4,$E$33*'HIV-Other HPs'!AZ16,IF(SETUP!$G$29=3,$E$33*'HIV-Other HPs'!BA16,IF(SETUP!$G$29=2,$E$33*'HIV-Other HPs'!BB16,IF(SETUP!$G$29=1,$E$33*'HIV-Other HPs'!BC16,0)))),0)</f>
        <v>0</v>
      </c>
      <c r="N35" s="1004">
        <f>IF(SETUP!$F$29="At delivery",IF(SETUP!$G$29=4,$E$33*'HIV-Other HPs'!BA16,IF(SETUP!$G$29=3,$E$33*'HIV-Other HPs'!BB16,IF(SETUP!$G$29=2,$E$33*'HIV-Other HPs'!BC16,IF(SETUP!$G$29=1,$E$33*'HIV-Other HPs'!BD16,0)))),0)</f>
        <v>0</v>
      </c>
      <c r="O35" s="931">
        <f t="shared" si="0"/>
        <v>0</v>
      </c>
      <c r="P35" s="966">
        <f>IF(SETUP!$F$29="At delivery",IF(SETUP!$G$29=4,$E$33*'HIV-Other HPs'!BB16,IF(SETUP!$G$29=3,$E$33*'HIV-Other HPs'!BC16,IF(SETUP!$G$29=2,$E$33*'HIV-Other HPs'!BD16,IF(SETUP!$G$29=1,$E$33*'HIV-Other HPs'!BE16,0)))),0)</f>
        <v>0</v>
      </c>
      <c r="Q35" s="915">
        <f>IF(SETUP!$F$29="At delivery",IF(SETUP!$G$29=4,$E$33*'HIV-Other HPs'!BC16,IF(SETUP!$G$29=3,$E$33*'HIV-Other HPs'!BD16,IF(SETUP!$G$29=2,$E$33*'HIV-Other HPs'!BE16,IF(SETUP!$G$29=1,$E$33*'HIV-Other HPs'!BF16,0)))),0)</f>
        <v>0</v>
      </c>
      <c r="R35" s="915">
        <f>IF(SETUP!$F$29="At delivery",IF(SETUP!$G$29=4,$E$33*'HIV-Other HPs'!BD16,IF(SETUP!$G$29=3,$E$33*'HIV-Other HPs'!BE16,IF(SETUP!$G$29=2,$E$33*'HIV-Other HPs'!BF16,IF(SETUP!$G$29=1,$E$33*'HIV-Other HPs'!BG16,0)))),0)</f>
        <v>0</v>
      </c>
      <c r="S35" s="915">
        <f>IF(SETUP!$F$29="At delivery",IF(SETUP!$G$29=4,$E$33*('HIV-Other HPs'!BE16+'HIV-Other HPs'!BF16+'HIV-Other HPs'!BG16+'HIV-Other HPs'!BH16+'HIV-Other HPs'!BI16),IF(SETUP!$G$29=3,$E$33*('HIV-Other HPs'!BF16+'HIV-Other HPs'!BG16+'HIV-Other HPs'!BH16+'HIV-Other HPs'!BI16),IF(SETUP!$G$29=2,$E$33*('HIV-Other HPs'!BG16+'HIV-Other HPs'!BH16+'HIV-Other HPs'!BI16),IF(SETUP!$G$29=1,$E$33*('HIV-Other HPs'!BH16+'HIV-Other HPs'!BI16),0)))),0)</f>
        <v>0</v>
      </c>
      <c r="T35" s="915">
        <f t="shared" si="1"/>
        <v>0</v>
      </c>
      <c r="U35" s="966">
        <f t="shared" si="2"/>
        <v>0</v>
      </c>
      <c r="V35" s="1316"/>
      <c r="W35" s="1995"/>
      <c r="X35" s="1320"/>
    </row>
    <row r="36" spans="1:24" s="665" customFormat="1" ht="15" customHeight="1" collapsed="1">
      <c r="A36" s="3184"/>
      <c r="B36" s="3185"/>
      <c r="C36" s="3188" t="s">
        <v>1452</v>
      </c>
      <c r="D36" s="3188"/>
      <c r="E36" s="1246">
        <v>0</v>
      </c>
      <c r="F36" s="966">
        <f>IF(SETUP!$F$30="Upfront",F37,F38)</f>
        <v>0</v>
      </c>
      <c r="G36" s="1004">
        <f>IF(SETUP!$F$30="Upfront",G37,G38)</f>
        <v>0</v>
      </c>
      <c r="H36" s="1004">
        <f>IF(SETUP!$F$30="Upfront",H37,H38)</f>
        <v>0</v>
      </c>
      <c r="I36" s="1004">
        <f>IF(SETUP!$F$30="Upfront",I37,I38)</f>
        <v>0</v>
      </c>
      <c r="J36" s="1004">
        <f t="shared" si="3"/>
        <v>0</v>
      </c>
      <c r="K36" s="1005">
        <f>IF(SETUP!$F$30="Upfront",K37,K38)</f>
        <v>0</v>
      </c>
      <c r="L36" s="1004">
        <f>IF(SETUP!$F$30="Upfront",L37,L38)</f>
        <v>0</v>
      </c>
      <c r="M36" s="1004">
        <f>IF(SETUP!$F$30="Upfront",M37,M38)</f>
        <v>0</v>
      </c>
      <c r="N36" s="1004">
        <f>IF(SETUP!$F$30="Upfront",N37,N38)</f>
        <v>0</v>
      </c>
      <c r="O36" s="931">
        <f t="shared" si="0"/>
        <v>0</v>
      </c>
      <c r="P36" s="966">
        <f>IF(SETUP!$F$30="Upfront",P37,P38)</f>
        <v>0</v>
      </c>
      <c r="Q36" s="915">
        <f>IF(SETUP!$F$30="Upfront",Q37,Q38)</f>
        <v>0</v>
      </c>
      <c r="R36" s="915">
        <f>IF(SETUP!$F$30="Upfront",R37,R38)</f>
        <v>0</v>
      </c>
      <c r="S36" s="915">
        <f>IF(SETUP!$F$30="Upfront",S37,S38)</f>
        <v>0</v>
      </c>
      <c r="T36" s="915">
        <f t="shared" si="1"/>
        <v>0</v>
      </c>
      <c r="U36" s="966">
        <f t="shared" si="2"/>
        <v>0</v>
      </c>
      <c r="V36" s="1316">
        <v>7.1</v>
      </c>
      <c r="W36" s="1995"/>
      <c r="X36" s="1320"/>
    </row>
    <row r="37" spans="1:24" s="665" customFormat="1" ht="15" hidden="1" customHeight="1" outlineLevel="1">
      <c r="A37" s="3184"/>
      <c r="B37" s="3185"/>
      <c r="C37" s="3182" t="s">
        <v>777</v>
      </c>
      <c r="D37" s="3182"/>
      <c r="E37" s="1246"/>
      <c r="F37" s="966">
        <f>IF(SETUP!$F$30="Upfront",$E$36*'HIV-Other HPs'!AX17,0)</f>
        <v>0</v>
      </c>
      <c r="G37" s="1004">
        <f>IF(SETUP!$F$30="Upfront",$E$36*'HIV-Other HPs'!AY17,0)</f>
        <v>0</v>
      </c>
      <c r="H37" s="1004">
        <f>IF(SETUP!$F$30="Upfront",$E$36*'HIV-Other HPs'!AZ17,0)</f>
        <v>0</v>
      </c>
      <c r="I37" s="1004">
        <f>IF(SETUP!$F$30="Upfront",$E$36*'HIV-Other HPs'!BA17,0)</f>
        <v>0</v>
      </c>
      <c r="J37" s="1004"/>
      <c r="K37" s="1005">
        <f>IF(SETUP!$F$30="Upfront",$E$36*'HIV-Other HPs'!BB17,0)</f>
        <v>0</v>
      </c>
      <c r="L37" s="1004">
        <f>IF(SETUP!$F$30="Upfront",$E$36*'HIV-Other HPs'!BC17,0)</f>
        <v>0</v>
      </c>
      <c r="M37" s="1004">
        <f>IF(SETUP!$F$30="Upfront",$E$36*'HIV-Other HPs'!BD17,0)</f>
        <v>0</v>
      </c>
      <c r="N37" s="1004">
        <f>IF(SETUP!$F$30="Upfront",$E$36*'HIV-Other HPs'!BE17,0)</f>
        <v>0</v>
      </c>
      <c r="O37" s="931"/>
      <c r="P37" s="966">
        <f>IF(SETUP!$F$30="Upfront",$E$36*'HIV-Other HPs'!BF17,0)</f>
        <v>0</v>
      </c>
      <c r="Q37" s="915">
        <f>IF(SETUP!$F$30="Upfront",$E$36*'HIV-Other HPs'!BG17,0)</f>
        <v>0</v>
      </c>
      <c r="R37" s="915">
        <f>IF(SETUP!$F$30="Upfront",$E$36*'HIV-Other HPs'!BH17,0)</f>
        <v>0</v>
      </c>
      <c r="S37" s="915">
        <f>IF(SETUP!$F$30="Upfront",$E$36*'HIV-Other HPs'!BI17,0)</f>
        <v>0</v>
      </c>
      <c r="T37" s="915"/>
      <c r="U37" s="966"/>
      <c r="V37" s="1316"/>
      <c r="W37" s="1995"/>
      <c r="X37" s="1320"/>
    </row>
    <row r="38" spans="1:24" s="665" customFormat="1" ht="15" hidden="1" customHeight="1" outlineLevel="1">
      <c r="A38" s="3184"/>
      <c r="B38" s="3185"/>
      <c r="C38" s="3182" t="s">
        <v>36</v>
      </c>
      <c r="D38" s="3182"/>
      <c r="E38" s="1246"/>
      <c r="F38" s="966">
        <v>0</v>
      </c>
      <c r="G38" s="1004">
        <f>IF(SETUP!$F$30="At delivery",IF(SETUP!$G$30=1,$E$36*'HIV-Other HPs'!AX17,0),0)</f>
        <v>0</v>
      </c>
      <c r="H38" s="1004">
        <f>IF(SETUP!$F$30="At delivery",IF(SETUP!$G$30=2,$E$36*'HIV-Other HPs'!AX17,IF(SETUP!$G$30=1,$E$36*'HIV-Other HPs'!AY17,0)),0)</f>
        <v>0</v>
      </c>
      <c r="I38" s="1004">
        <f>IF(SETUP!$F$30="At delivery",IF(SETUP!$G$30=3,$E$36*'HIV-Other HPs'!AX17,IF(SETUP!$G$30=2,$E$36*'HIV-Other HPs'!AY17,IF(SETUP!$G$30=1,$E$36*'HIV-Other HPs'!AZ17,0))),0)</f>
        <v>0</v>
      </c>
      <c r="J38" s="1004"/>
      <c r="K38" s="1005">
        <f>IF(SETUP!$F$30="At delivery",IF(SETUP!$G$30=4,$E$36*'HIV-Other HPs'!AX17,IF(SETUP!$G$30=3,$E$36*'HIV-Other HPs'!AY17,IF(SETUP!$G$30=2,$E$36*'HIV-Other HPs'!AZ17,IF(SETUP!$G$30=1,$E$36*'HIV-Other HPs'!BA17,0)))),0)</f>
        <v>0</v>
      </c>
      <c r="L38" s="1004">
        <f>IF(SETUP!$F$30="At delivery",IF(SETUP!$G$30=4,$E$36*'HIV-Other HPs'!AY17,IF(SETUP!$G$30=3,$E$36*'HIV-Other HPs'!AZ17,IF(SETUP!$G$30=2,$E$36*'HIV-Other HPs'!BA17,IF(SETUP!$G$30=1,$E$36*'HIV-Other HPs'!BB17,0)))),0)</f>
        <v>0</v>
      </c>
      <c r="M38" s="1004">
        <f>IF(SETUP!$F$30="At delivery",IF(SETUP!$G$30=4,$E$36*'HIV-Other HPs'!AZ17,IF(SETUP!$G$30=3,$E$36*'HIV-Other HPs'!BA17,IF(SETUP!$G$30=2,$E$36*'HIV-Other HPs'!BB17,IF(SETUP!$G$30=1,$E$36*'HIV-Other HPs'!BC17,0)))),0)</f>
        <v>0</v>
      </c>
      <c r="N38" s="1004">
        <f>IF(SETUP!$F$30="At delivery",IF(SETUP!$G$30=4,$E$36*'HIV-Other HPs'!BA17,IF(SETUP!$G$30=3,$E$36*'HIV-Other HPs'!BB17,IF(SETUP!$G$30=2,$E$36*'HIV-Other HPs'!BC17,IF(SETUP!$G$30=1,$E$36*'HIV-Other HPs'!BD17,0)))),0)</f>
        <v>0</v>
      </c>
      <c r="O38" s="931"/>
      <c r="P38" s="966">
        <f>IF(SETUP!$F$30="At delivery",IF(SETUP!$G$30=4,$E$36*'HIV-Other HPs'!BB17,IF(SETUP!$G$30=3,$E$36*'HIV-Other HPs'!BC17,IF(SETUP!$G$30=2,$E$36*'HIV-Other HPs'!BD17,IF(SETUP!$G$30=1,$E$36*'HIV-Other HPs'!BE17,0)))),0)</f>
        <v>0</v>
      </c>
      <c r="Q38" s="915">
        <f>IF(SETUP!$F$30="At delivery",IF(SETUP!$G$30=4,$E$36*'HIV-Other HPs'!BC17,IF(SETUP!$G$30=3,$E$36*'HIV-Other HPs'!BD17,IF(SETUP!$G$30=2,$E$36*'HIV-Other HPs'!BE17,IF(SETUP!$G$30=1,$E$36*'HIV-Other HPs'!BF17,0)))),0)</f>
        <v>0</v>
      </c>
      <c r="R38" s="915">
        <f>IF(SETUP!$F$30="At delivery",IF(SETUP!$G$30=4,$E$36*'HIV-Other HPs'!BD17,IF(SETUP!$G$30=3,$E$36*'HIV-Other HPs'!BE17,IF(SETUP!$G$30=2,$E$36*'HIV-Other HPs'!BF17,IF(SETUP!$G$30=1,$E$36*'HIV-Other HPs'!BG17,0)))),0)</f>
        <v>0</v>
      </c>
      <c r="S38" s="915">
        <f>IF(SETUP!$F$30="At delivery",IF(SETUP!$G$30=4,$E$36*('HIV-Other HPs'!BE17+'HIV-Other HPs'!BF17+'HIV-Other HPs'!BG17+'HIV-Other HPs'!BH17+'HIV-Other HPs'!BI17),IF(SETUP!$G$30=3,$E$36*('HIV-Other HPs'!BF17+'HIV-Other HPs'!BG17+'HIV-Other HPs'!BH17+'HIV-Other HPs'!BI17),IF(SETUP!$G$30=2,$E$36*('HIV-Other HPs'!BG17+'HIV-Other HPs'!BH17+'HIV-Other HPs'!BI17),IF(SETUP!$G$30=1,$E$36*('HIV-Other HPs'!BH17+'HIV-Other HPs'!BI17),0)))),0)</f>
        <v>0</v>
      </c>
      <c r="T38" s="915"/>
      <c r="U38" s="966"/>
      <c r="V38" s="1316"/>
      <c r="W38" s="1995"/>
      <c r="X38" s="1320"/>
    </row>
    <row r="39" spans="1:24" s="665" customFormat="1" ht="15" customHeight="1" collapsed="1">
      <c r="A39" s="3184"/>
      <c r="B39" s="3185"/>
      <c r="C39" s="3188" t="s">
        <v>1391</v>
      </c>
      <c r="D39" s="3188"/>
      <c r="E39" s="1246">
        <v>0.06</v>
      </c>
      <c r="F39" s="966">
        <f>IF(SETUP!$F$31="Upfront",F40,F41)</f>
        <v>0</v>
      </c>
      <c r="G39" s="1004">
        <f>IF(SETUP!$F$31="Upfront",G40,G41)</f>
        <v>5888.2979999999989</v>
      </c>
      <c r="H39" s="1004">
        <f>IF(SETUP!$F$31="Upfront",H40,H41)</f>
        <v>0</v>
      </c>
      <c r="I39" s="1004">
        <f>IF(SETUP!$F$31="Upfront",I40,I41)</f>
        <v>0</v>
      </c>
      <c r="J39" s="1004">
        <f t="shared" ref="J39:J70" si="4">F39+G39+H39+I39</f>
        <v>5888.2979999999989</v>
      </c>
      <c r="K39" s="1005">
        <f>IF(SETUP!$F$31="Upfront",K40,K41)</f>
        <v>0</v>
      </c>
      <c r="L39" s="1004">
        <f>IF(SETUP!$F$31="Upfront",L40,L41)</f>
        <v>6177.6678000000002</v>
      </c>
      <c r="M39" s="1004">
        <f>IF(SETUP!$F$31="Upfront",M40,M41)</f>
        <v>0</v>
      </c>
      <c r="N39" s="1004">
        <f>IF(SETUP!$F$31="Upfront",N40,N41)</f>
        <v>0</v>
      </c>
      <c r="O39" s="931">
        <f t="shared" ref="O39:O70" si="5">K39+L39+M39+N39</f>
        <v>6177.6678000000002</v>
      </c>
      <c r="P39" s="966">
        <f>IF(SETUP!$F$31="Upfront",P40,P41)</f>
        <v>0</v>
      </c>
      <c r="Q39" s="915">
        <f>IF(SETUP!$F$31="Upfront",Q40,Q41)</f>
        <v>6567.3917999999994</v>
      </c>
      <c r="R39" s="915">
        <f>IF(SETUP!$F$31="Upfront",R40,R41)</f>
        <v>0</v>
      </c>
      <c r="S39" s="915">
        <f>IF(SETUP!$F$31="Upfront",S40,S41)</f>
        <v>0</v>
      </c>
      <c r="T39" s="915">
        <f t="shared" ref="T39:T70" si="6">P39+Q39+R39+S39</f>
        <v>6567.3917999999994</v>
      </c>
      <c r="U39" s="966">
        <f t="shared" ref="U39:U70" si="7">J39+O39+T39</f>
        <v>18633.357599999996</v>
      </c>
      <c r="V39" s="1316">
        <v>7.1</v>
      </c>
      <c r="W39" s="1995"/>
      <c r="X39" s="1320"/>
    </row>
    <row r="40" spans="1:24" s="665" customFormat="1" ht="15" hidden="1" customHeight="1" outlineLevel="1">
      <c r="A40" s="3184"/>
      <c r="B40" s="3185"/>
      <c r="C40" s="3182" t="s">
        <v>777</v>
      </c>
      <c r="D40" s="3182"/>
      <c r="E40" s="1246"/>
      <c r="F40" s="966">
        <f>IF(SETUP!$F$31="Upfront",$E$39*'HIV-Other HPs'!AX18,0)</f>
        <v>0</v>
      </c>
      <c r="G40" s="1004">
        <f>IF(SETUP!$F$31="Upfront",$E$39*'HIV-Other HPs'!AY18,0)</f>
        <v>5888.2979999999989</v>
      </c>
      <c r="H40" s="1004">
        <f>IF(SETUP!$F$31="Upfront",$E$39*'HIV-Other HPs'!AZ18,0)</f>
        <v>0</v>
      </c>
      <c r="I40" s="1004">
        <f>IF(SETUP!$F$31="Upfront",$E$39*'HIV-Other HPs'!BA18,0)</f>
        <v>0</v>
      </c>
      <c r="J40" s="1004">
        <f t="shared" si="4"/>
        <v>5888.2979999999989</v>
      </c>
      <c r="K40" s="1005">
        <f>IF(SETUP!$F$31="Upfront",$E$39*'HIV-Other HPs'!BB18,0)</f>
        <v>0</v>
      </c>
      <c r="L40" s="1004">
        <f>IF(SETUP!$F$31="Upfront",$E$39*'HIV-Other HPs'!BC18,0)</f>
        <v>6177.6678000000002</v>
      </c>
      <c r="M40" s="1004">
        <f>IF(SETUP!$F$31="Upfront",$E$39*'HIV-Other HPs'!BD18,0)</f>
        <v>0</v>
      </c>
      <c r="N40" s="1004">
        <f>IF(SETUP!$F$31="Upfront",$E$39*'HIV-Other HPs'!BE18,0)</f>
        <v>0</v>
      </c>
      <c r="O40" s="931">
        <f t="shared" si="5"/>
        <v>6177.6678000000002</v>
      </c>
      <c r="P40" s="966">
        <f>IF(SETUP!$F$31="Upfront",$E$39*'HIV-Other HPs'!BF18,0)</f>
        <v>0</v>
      </c>
      <c r="Q40" s="915">
        <f>IF(SETUP!$F$31="Upfront",$E$39*'HIV-Other HPs'!BG18,0)</f>
        <v>6567.3917999999994</v>
      </c>
      <c r="R40" s="915">
        <f>IF(SETUP!$F$31="Upfront",$E$39*'HIV-Other HPs'!BH18,0)</f>
        <v>0</v>
      </c>
      <c r="S40" s="915">
        <f>IF(SETUP!$F$31="Upfront",$E$39*'HIV-Other HPs'!BI18,0)</f>
        <v>0</v>
      </c>
      <c r="T40" s="915">
        <f t="shared" si="6"/>
        <v>6567.3917999999994</v>
      </c>
      <c r="U40" s="966">
        <f t="shared" si="7"/>
        <v>18633.357599999996</v>
      </c>
      <c r="V40" s="1316"/>
      <c r="W40" s="1995"/>
      <c r="X40" s="1320"/>
    </row>
    <row r="41" spans="1:24" s="665" customFormat="1" ht="15" hidden="1" customHeight="1" outlineLevel="1">
      <c r="A41" s="3184"/>
      <c r="B41" s="3185"/>
      <c r="C41" s="3182" t="s">
        <v>36</v>
      </c>
      <c r="D41" s="3182"/>
      <c r="E41" s="1246"/>
      <c r="F41" s="966">
        <v>0</v>
      </c>
      <c r="G41" s="1004">
        <f>IF(SETUP!$F$31="At delivery",IF(SETUP!$G$31=1,$E$39*'HIV-Other HPs'!AX18,0),0)</f>
        <v>0</v>
      </c>
      <c r="H41" s="1004">
        <f>IF(SETUP!$F$31="At delivery",IF(SETUP!$G$31=2,$E$39*'HIV-Other HPs'!AX18,IF(SETUP!$G$31=1,$E$39*'HIV-Other HPs'!AY18,0)),0)</f>
        <v>0</v>
      </c>
      <c r="I41" s="1004">
        <f>IF(SETUP!$F$31="At delivery",IF(SETUP!$G$31=3,$E$39*'HIV-Other HPs'!AX18,IF(SETUP!$G$31=2,$E$39*'HIV-Other HPs'!AY18,IF(SETUP!$G$31=1,$E$39*'HIV-Other HPs'!AZ18,0))),0)</f>
        <v>0</v>
      </c>
      <c r="J41" s="1004">
        <f t="shared" si="4"/>
        <v>0</v>
      </c>
      <c r="K41" s="1005">
        <f>IF(SETUP!$F$31="At delivery",IF(SETUP!$G$31=4,$E$39*'HIV-Other HPs'!AX18,IF(SETUP!$G$31=3,$E$39*'HIV-Other HPs'!AY18,IF(SETUP!$G$31=2,$E$39*'HIV-Other HPs'!AZ18,IF(SETUP!$G$31=1,$E$39*'HIV-Other HPs'!BA18,0)))),0)</f>
        <v>0</v>
      </c>
      <c r="L41" s="1004">
        <f>IF(SETUP!$F$31="At delivery",IF(SETUP!$G$31=4,$E$39*'HIV-Other HPs'!AY18,IF(SETUP!$G$31=3,$E$39*'HIV-Other HPs'!AZ18,IF(SETUP!$G$31=2,$E$39*'HIV-Other HPs'!BA18,IF(SETUP!$G$31=1,$E$39*'HIV-Other HPs'!BB18,0)))),0)</f>
        <v>0</v>
      </c>
      <c r="M41" s="1004">
        <f>IF(SETUP!$F$31="At delivery",IF(SETUP!$G$31=4,$E$39*'HIV-Other HPs'!AZ18,IF(SETUP!$G$31=3,$E$39*'HIV-Other HPs'!BA18,IF(SETUP!$G$31=2,$E$39*'HIV-Other HPs'!BB18,IF(SETUP!$G$31=1,$E$39*'HIV-Other HPs'!BC18,0)))),0)</f>
        <v>0</v>
      </c>
      <c r="N41" s="1004">
        <f>IF(SETUP!$F$31="At delivery",IF(SETUP!$G$31=4,$E$39*'HIV-Other HPs'!BA18,IF(SETUP!$G$31=3,$E$39*'HIV-Other HPs'!BB18,IF(SETUP!$G$31=2,$E$39*'HIV-Other HPs'!BC18,IF(SETUP!$G$31=1,$E$39*'HIV-Other HPs'!BD18,0)))),0)</f>
        <v>0</v>
      </c>
      <c r="O41" s="931">
        <f t="shared" si="5"/>
        <v>0</v>
      </c>
      <c r="P41" s="966">
        <f>IF(SETUP!$F$31="At delivery",IF(SETUP!$G$31=4,$E$39*'HIV-Other HPs'!BB18,IF(SETUP!$G$31=3,$E$39*'HIV-Other HPs'!BC18,IF(SETUP!$G$31=2,$E$39*'HIV-Other HPs'!BD18,IF(SETUP!$G$31=1,$E$39*'HIV-Other HPs'!BE18,0)))),0)</f>
        <v>0</v>
      </c>
      <c r="Q41" s="915">
        <f>IF(SETUP!$F$31="At delivery",IF(SETUP!$G$31=4,$E$39*'HIV-Other HPs'!BC18,IF(SETUP!$G$31=3,$E$39*'HIV-Other HPs'!BD18,IF(SETUP!$G$31=2,$E$39*'HIV-Other HPs'!BE18,IF(SETUP!$G$31=1,$E$39*'HIV-Other HPs'!BF18,0)))),0)</f>
        <v>0</v>
      </c>
      <c r="R41" s="915">
        <f>IF(SETUP!$F$31="At delivery",IF(SETUP!$G$31=4,$E$39*'HIV-Other HPs'!BD18,IF(SETUP!$G$31=3,$E$39*'HIV-Other HPs'!BE18,IF(SETUP!$G$31=2,$E$39*'HIV-Other HPs'!BF18,IF(SETUP!$G$31=1,$E$39*'HIV-Other HPs'!BG18,0)))),0)</f>
        <v>0</v>
      </c>
      <c r="S41" s="915">
        <f>IF(SETUP!$F$31="At delivery",IF(SETUP!$G$31=4,$E$39*('HIV-Other HPs'!BE18+'HIV-Other HPs'!BF18+'HIV-Other HPs'!BG18+'HIV-Other HPs'!BH18+'HIV-Other HPs'!BI18),IF(SETUP!$G$31=3,$E$39*('HIV-Other HPs'!BF18+'HIV-Other HPs'!BG18+'HIV-Other HPs'!BH18+'HIV-Other HPs'!BI18),IF(SETUP!$G$31=2,$E$39*('HIV-Other HPs'!BG18+'HIV-Other HPs'!BH18+'HIV-Other HPs'!BI18),IF(SETUP!$G$31=1,$E$39*('HIV-Other HPs'!BH18+'HIV-Other HPs'!BI18),0)))),0)</f>
        <v>0</v>
      </c>
      <c r="T41" s="915">
        <f t="shared" si="6"/>
        <v>0</v>
      </c>
      <c r="U41" s="966">
        <f t="shared" si="7"/>
        <v>0</v>
      </c>
      <c r="V41" s="1316"/>
      <c r="W41" s="1995"/>
      <c r="X41" s="1320"/>
    </row>
    <row r="42" spans="1:24" s="665" customFormat="1" ht="15" customHeight="1" collapsed="1">
      <c r="A42" s="3184"/>
      <c r="B42" s="3185"/>
      <c r="C42" s="3188" t="s">
        <v>443</v>
      </c>
      <c r="D42" s="3188"/>
      <c r="E42" s="1246">
        <v>0.06</v>
      </c>
      <c r="F42" s="966">
        <f>IF(SETUP!$F$32="Upfront",F43,F44)</f>
        <v>0</v>
      </c>
      <c r="G42" s="1004">
        <f>IF(SETUP!$F$32="Upfront",G43,G44)</f>
        <v>22824.806399999994</v>
      </c>
      <c r="H42" s="1004">
        <f>IF(SETUP!$F$32="Upfront",H43,H44)</f>
        <v>0</v>
      </c>
      <c r="I42" s="1004">
        <f>IF(SETUP!$F$32="Upfront",I43,I44)</f>
        <v>0</v>
      </c>
      <c r="J42" s="1004">
        <f t="shared" si="4"/>
        <v>22824.806399999994</v>
      </c>
      <c r="K42" s="1005">
        <f>IF(SETUP!$F$32="Upfront",K43,K44)</f>
        <v>0</v>
      </c>
      <c r="L42" s="1004">
        <f>IF(SETUP!$F$32="Upfront",L43,L44)</f>
        <v>23125.132799999996</v>
      </c>
      <c r="M42" s="1004">
        <f>IF(SETUP!$F$32="Upfront",M43,M44)</f>
        <v>0</v>
      </c>
      <c r="N42" s="1004">
        <f>IF(SETUP!$F$32="Upfront",N43,N44)</f>
        <v>0</v>
      </c>
      <c r="O42" s="931">
        <f t="shared" si="5"/>
        <v>23125.132799999996</v>
      </c>
      <c r="P42" s="966">
        <f>IF(SETUP!$F$32="Upfront",P43,P44)</f>
        <v>0</v>
      </c>
      <c r="Q42" s="915">
        <f>IF(SETUP!$F$32="Upfront",Q43,Q44)</f>
        <v>23275.295999999998</v>
      </c>
      <c r="R42" s="915">
        <f>IF(SETUP!$F$32="Upfront",R43,R44)</f>
        <v>0</v>
      </c>
      <c r="S42" s="915">
        <f>IF(SETUP!$F$32="Upfront",S43,S44)</f>
        <v>0</v>
      </c>
      <c r="T42" s="915">
        <f t="shared" si="6"/>
        <v>23275.295999999998</v>
      </c>
      <c r="U42" s="966">
        <f t="shared" si="7"/>
        <v>69225.235199999996</v>
      </c>
      <c r="V42" s="1316">
        <v>7.1</v>
      </c>
      <c r="W42" s="1995"/>
      <c r="X42" s="1321"/>
    </row>
    <row r="43" spans="1:24" s="665" customFormat="1" ht="15" hidden="1" customHeight="1" outlineLevel="1">
      <c r="A43" s="3184"/>
      <c r="B43" s="3185"/>
      <c r="C43" s="3182" t="s">
        <v>777</v>
      </c>
      <c r="D43" s="3182"/>
      <c r="E43" s="1246"/>
      <c r="F43" s="966">
        <f>IF(SETUP!$F$32="Upfront",$E$42*'HIV-Other HPs'!AX19,0)</f>
        <v>0</v>
      </c>
      <c r="G43" s="1004">
        <f>IF(SETUP!$F$32="Upfront",$E$42*'HIV-Other HPs'!AY19,0)</f>
        <v>22824.806399999994</v>
      </c>
      <c r="H43" s="1004">
        <f>IF(SETUP!$F$32="Upfront",$E$42*'HIV-Other HPs'!AZ19,0)</f>
        <v>0</v>
      </c>
      <c r="I43" s="1004">
        <f>IF(SETUP!$F$32="Upfront",$E$42*'HIV-Other HPs'!BA19,0)</f>
        <v>0</v>
      </c>
      <c r="J43" s="1004">
        <f t="shared" si="4"/>
        <v>22824.806399999994</v>
      </c>
      <c r="K43" s="1005">
        <f>IF(SETUP!$F$32="Upfront",$E$42*'HIV-Other HPs'!BB19,0)</f>
        <v>0</v>
      </c>
      <c r="L43" s="1004">
        <f>IF(SETUP!$F$32="Upfront",$E$42*'HIV-Other HPs'!BC19,0)</f>
        <v>23125.132799999996</v>
      </c>
      <c r="M43" s="1004">
        <f>IF(SETUP!$F$32="Upfront",$E$42*'HIV-Other HPs'!BD19,0)</f>
        <v>0</v>
      </c>
      <c r="N43" s="1004">
        <f>IF(SETUP!$F$32="Upfront",$E$42*'HIV-Other HPs'!BE19,0)</f>
        <v>0</v>
      </c>
      <c r="O43" s="931">
        <f t="shared" si="5"/>
        <v>23125.132799999996</v>
      </c>
      <c r="P43" s="966">
        <f>IF(SETUP!$F$32="Upfront",$E$42*'HIV-Other HPs'!BF19,0)</f>
        <v>0</v>
      </c>
      <c r="Q43" s="915">
        <f>IF(SETUP!$F$32="Upfront",$E$42*'HIV-Other HPs'!BG19,0)</f>
        <v>23275.295999999998</v>
      </c>
      <c r="R43" s="915">
        <f>IF(SETUP!$F$32="Upfront",$E$42*'HIV-Other HPs'!BH19,0)</f>
        <v>0</v>
      </c>
      <c r="S43" s="915">
        <f>IF(SETUP!$F$32="Upfront",$E$42*'HIV-Other HPs'!BI19,0)</f>
        <v>0</v>
      </c>
      <c r="T43" s="915">
        <f t="shared" si="6"/>
        <v>23275.295999999998</v>
      </c>
      <c r="U43" s="966">
        <f t="shared" si="7"/>
        <v>69225.235199999996</v>
      </c>
      <c r="V43" s="1316"/>
      <c r="W43" s="1995"/>
      <c r="X43" s="1320"/>
    </row>
    <row r="44" spans="1:24" s="665" customFormat="1" ht="15" hidden="1" customHeight="1" outlineLevel="1">
      <c r="A44" s="3184"/>
      <c r="B44" s="3185"/>
      <c r="C44" s="3182" t="s">
        <v>36</v>
      </c>
      <c r="D44" s="3182"/>
      <c r="E44" s="1246"/>
      <c r="F44" s="966">
        <v>0</v>
      </c>
      <c r="G44" s="1004">
        <f>IF(SETUP!$F$32="At delivery",IF(SETUP!$G$32=1,$E$42*'HIV-Other HPs'!AX19,0),0)</f>
        <v>0</v>
      </c>
      <c r="H44" s="1004">
        <f>IF(SETUP!$F$32="At delivery",IF(SETUP!$G$32=2,$E$42*'HIV-Other HPs'!AX19,IF(SETUP!$G$32=1,$E$42*'HIV-Other HPs'!AY19,0)),0)</f>
        <v>0</v>
      </c>
      <c r="I44" s="1004">
        <f>IF(SETUP!$F$32="At delivery",IF(SETUP!$G$32=3,$E$42*'HIV-Other HPs'!AX19,IF(SETUP!$G$32=2,$E$42*'HIV-Other HPs'!AY19,IF(SETUP!$G$32=1,$E$42*'HIV-Other HPs'!AZ19,0))),0)</f>
        <v>0</v>
      </c>
      <c r="J44" s="1004">
        <f t="shared" si="4"/>
        <v>0</v>
      </c>
      <c r="K44" s="1005">
        <f>IF(SETUP!$F$32="At delivery",IF(SETUP!$G$32=4,$E$42*'HIV-Other HPs'!AX19,IF(SETUP!$G$32=3,$E$42*'HIV-Other HPs'!AY19,IF(SETUP!$G$32=2,$E$42*'HIV-Other HPs'!AZ19,IF(SETUP!$G$32=1,$E$42*'HIV-Other HPs'!BA19,0)))),0)</f>
        <v>0</v>
      </c>
      <c r="L44" s="1004">
        <f>IF(SETUP!$F$32="At delivery",IF(SETUP!$G$32=4,$E$42*'HIV-Other HPs'!AY19,IF(SETUP!$G$32=3,$E$42*'HIV-Other HPs'!AZ19,IF(SETUP!$G$32=2,$E$42*'HIV-Other HPs'!BA19,IF(SETUP!$G$32=1,$E$42*'HIV-Other HPs'!BB19,0)))),0)</f>
        <v>0</v>
      </c>
      <c r="M44" s="1004">
        <f>IF(SETUP!$F$32="At delivery",IF(SETUP!$G$32=4,$E$42*'HIV-Other HPs'!AZ19,IF(SETUP!$G$32=3,$E$42*'HIV-Other HPs'!BA19,IF(SETUP!$G$32=2,$E$42*'HIV-Other HPs'!BB19,IF(SETUP!$G$32=1,$E$42*'HIV-Other HPs'!BC19,0)))),0)</f>
        <v>0</v>
      </c>
      <c r="N44" s="1004">
        <f>IF(SETUP!$F$32="At delivery",IF(SETUP!$G$32=4,$E$42*'HIV-Other HPs'!BA19,IF(SETUP!$G$32=3,$E$42*'HIV-Other HPs'!BB19,IF(SETUP!$G$32=2,$E$42*'HIV-Other HPs'!BC19,IF(SETUP!$G$32=1,$E$42*'HIV-Other HPs'!BD19,0)))),0)</f>
        <v>0</v>
      </c>
      <c r="O44" s="931">
        <f t="shared" si="5"/>
        <v>0</v>
      </c>
      <c r="P44" s="966">
        <f>IF(SETUP!$F$32="At delivery",IF(SETUP!$G$32=4,$E$42*'HIV-Other HPs'!BB19,IF(SETUP!$G$32=3,$E$42*'HIV-Other HPs'!BC19,IF(SETUP!$G$32=2,$E$42*'HIV-Other HPs'!BD19,IF(SETUP!$G$32=1,$E$42*'HIV-Other HPs'!BE19,0)))),0)</f>
        <v>0</v>
      </c>
      <c r="Q44" s="915">
        <f>IF(SETUP!$F$32="At delivery",IF(SETUP!$G$32=4,$E$42*'HIV-Other HPs'!BC19,IF(SETUP!$G$32=3,$E$42*'HIV-Other HPs'!BD19,IF(SETUP!$G$32=2,$E$42*'HIV-Other HPs'!BE19,IF(SETUP!$G$32=1,$E$42*'HIV-Other HPs'!BF19,0)))),0)</f>
        <v>0</v>
      </c>
      <c r="R44" s="915">
        <f>IF(SETUP!$F$32="At delivery",IF(SETUP!$G$32=4,$E$42*'HIV-Other HPs'!BD19,IF(SETUP!$G$32=3,$E$42*'HIV-Other HPs'!BE19,IF(SETUP!$G$32=2,$E$42*'HIV-Other HPs'!BF19,IF(SETUP!$G$32=1,$E$42*'HIV-Other HPs'!BG19,0)))),0)</f>
        <v>0</v>
      </c>
      <c r="S44" s="915">
        <f>IF(SETUP!$F$32="At delivery",IF(SETUP!$G$32=4,$E$42*('HIV-Other HPs'!BE19+'HIV-Other HPs'!BF19+'HIV-Other HPs'!BG19+'HIV-Other HPs'!BH19+'HIV-Other HPs'!BI19),IF(SETUP!$G$32=3,$E$42*('HIV-Other HPs'!BF19+'HIV-Other HPs'!BG19+'HIV-Other HPs'!BH19+'HIV-Other HPs'!BI19),IF(SETUP!$G$32=2,$E$42*('HIV-Other HPs'!BG19+'HIV-Other HPs'!BH19+'HIV-Other HPs'!BI19),IF(SETUP!$G$32=1,$E$42*('HIV-Other HPs'!BH19+'HIV-Other HPs'!BI19),0)))),0)</f>
        <v>0</v>
      </c>
      <c r="T44" s="915">
        <f t="shared" si="6"/>
        <v>0</v>
      </c>
      <c r="U44" s="966">
        <f t="shared" si="7"/>
        <v>0</v>
      </c>
      <c r="V44" s="1316"/>
      <c r="W44" s="1995"/>
      <c r="X44" s="1320"/>
    </row>
    <row r="45" spans="1:24" s="665" customFormat="1" ht="15" customHeight="1" collapsed="1">
      <c r="A45" s="3184"/>
      <c r="B45" s="3185"/>
      <c r="C45" s="3202" t="s">
        <v>1392</v>
      </c>
      <c r="D45" s="3202"/>
      <c r="E45" s="1246">
        <v>0.06</v>
      </c>
      <c r="F45" s="966">
        <f>IF(SETUP!$F$33="Upfront",F46,F47)</f>
        <v>0</v>
      </c>
      <c r="G45" s="1004">
        <f>IF(SETUP!$F$33="Upfront",G46,G47)</f>
        <v>0</v>
      </c>
      <c r="H45" s="1004">
        <f>IF(SETUP!$F$33="Upfront",H46,H47)</f>
        <v>79340.7</v>
      </c>
      <c r="I45" s="1004">
        <f>IF(SETUP!$F$33="Upfront",I46,I47)</f>
        <v>0</v>
      </c>
      <c r="J45" s="1004">
        <f t="shared" si="4"/>
        <v>79340.7</v>
      </c>
      <c r="K45" s="1005">
        <f>IF(SETUP!$F$33="Upfront",K46,K47)</f>
        <v>0</v>
      </c>
      <c r="L45" s="1004">
        <f>IF(SETUP!$F$33="Upfront",L46,L47)</f>
        <v>86793.03</v>
      </c>
      <c r="M45" s="1004">
        <f>IF(SETUP!$F$33="Upfront",M46,M47)</f>
        <v>0</v>
      </c>
      <c r="N45" s="1004">
        <f>IF(SETUP!$F$33="Upfront",N46,N47)</f>
        <v>0</v>
      </c>
      <c r="O45" s="931">
        <f t="shared" si="5"/>
        <v>86793.03</v>
      </c>
      <c r="P45" s="966">
        <f>IF(SETUP!$F$33="Upfront",P46,P47)</f>
        <v>0</v>
      </c>
      <c r="Q45" s="915">
        <f>IF(SETUP!$F$33="Upfront",Q46,Q47)</f>
        <v>95576.099999999991</v>
      </c>
      <c r="R45" s="915">
        <f>IF(SETUP!$F$33="Upfront",R46,R47)</f>
        <v>0</v>
      </c>
      <c r="S45" s="915">
        <f>IF(SETUP!$F$33="Upfront",S46,S47)</f>
        <v>0</v>
      </c>
      <c r="T45" s="915">
        <f t="shared" si="6"/>
        <v>95576.099999999991</v>
      </c>
      <c r="U45" s="966">
        <f t="shared" si="7"/>
        <v>261709.82999999996</v>
      </c>
      <c r="V45" s="1316">
        <v>7.1</v>
      </c>
      <c r="W45" s="1995"/>
      <c r="X45" s="1320"/>
    </row>
    <row r="46" spans="1:24" s="665" customFormat="1" ht="15" hidden="1" customHeight="1" outlineLevel="1">
      <c r="A46" s="3184"/>
      <c r="B46" s="3185"/>
      <c r="C46" s="3182" t="s">
        <v>777</v>
      </c>
      <c r="D46" s="3182"/>
      <c r="E46" s="1246"/>
      <c r="F46" s="966">
        <f>IF(SETUP!$F$33="Upfront",$E$45*'HIV-Other HPs'!AX20,0)</f>
        <v>0</v>
      </c>
      <c r="G46" s="1004">
        <f>IF(SETUP!$F$33="Upfront",$E$45*'HIV-Other HPs'!AY20,0)</f>
        <v>0</v>
      </c>
      <c r="H46" s="1004">
        <f>IF(SETUP!$F$33="Upfront",$E$45*'HIV-Other HPs'!AZ20,0)</f>
        <v>79340.7</v>
      </c>
      <c r="I46" s="1004">
        <f>IF(SETUP!$F$33="Upfront",$E$45*'HIV-Other HPs'!BA20,0)</f>
        <v>0</v>
      </c>
      <c r="J46" s="1004">
        <f t="shared" si="4"/>
        <v>79340.7</v>
      </c>
      <c r="K46" s="1005">
        <f>IF(SETUP!$F$33="Upfront",$E$45*'HIV-Other HPs'!BB20,0)</f>
        <v>0</v>
      </c>
      <c r="L46" s="1004">
        <f>IF(SETUP!$F$33="Upfront",$E$45*'HIV-Other HPs'!BC20,0)</f>
        <v>86793.03</v>
      </c>
      <c r="M46" s="1004">
        <f>IF(SETUP!$F$33="Upfront",$E$45*'HIV-Other HPs'!BD20,0)</f>
        <v>0</v>
      </c>
      <c r="N46" s="1004">
        <f>IF(SETUP!$F$33="Upfront",$E$45*'HIV-Other HPs'!BE20,0)</f>
        <v>0</v>
      </c>
      <c r="O46" s="931">
        <f t="shared" si="5"/>
        <v>86793.03</v>
      </c>
      <c r="P46" s="966">
        <f>IF(SETUP!$F$33="Upfront",$E$45*'HIV-Other HPs'!BF20,0)</f>
        <v>0</v>
      </c>
      <c r="Q46" s="915">
        <f>IF(SETUP!$F$33="Upfront",$E$45*'HIV-Other HPs'!BG20,0)</f>
        <v>95576.099999999991</v>
      </c>
      <c r="R46" s="915">
        <f>IF(SETUP!$F$33="Upfront",$E$45*'HIV-Other HPs'!BH20,0)</f>
        <v>0</v>
      </c>
      <c r="S46" s="915">
        <f>IF(SETUP!$F$33="Upfront",$E$45*'HIV-Other HPs'!BI20,0)</f>
        <v>0</v>
      </c>
      <c r="T46" s="915">
        <f t="shared" si="6"/>
        <v>95576.099999999991</v>
      </c>
      <c r="U46" s="966">
        <f t="shared" si="7"/>
        <v>261709.82999999996</v>
      </c>
      <c r="V46" s="1316">
        <v>7.1</v>
      </c>
      <c r="W46" s="1995"/>
      <c r="X46" s="1320"/>
    </row>
    <row r="47" spans="1:24" s="665" customFormat="1" ht="15" hidden="1" customHeight="1" outlineLevel="1">
      <c r="A47" s="3184"/>
      <c r="B47" s="3185"/>
      <c r="C47" s="3182" t="s">
        <v>36</v>
      </c>
      <c r="D47" s="3182"/>
      <c r="E47" s="1246"/>
      <c r="F47" s="966">
        <v>0</v>
      </c>
      <c r="G47" s="1004">
        <f>IF(SETUP!$F$33="At delivery",IF(SETUP!$G$33=1,$E$45*'HIV-Other HPs'!AX20,0),0)</f>
        <v>0</v>
      </c>
      <c r="H47" s="1004">
        <f>IF(SETUP!$F$33="At delivery",IF(SETUP!$G$33=2,$E$45*'HIV-Other HPs'!AX20,IF(SETUP!$G$33=1,$E$45*'HIV-Other HPs'!AY20,0)),0)</f>
        <v>0</v>
      </c>
      <c r="I47" s="1004">
        <f>IF(SETUP!$F$33="At delivery",IF(SETUP!$G$33=3,$E$45*'HIV-Other HPs'!AX20,IF(SETUP!$G$33=2,$E$45*'HIV-Other HPs'!AY20,IF(SETUP!$G$33=1,$E$45*'HIV-Other HPs'!AZ20,0))),0)</f>
        <v>0</v>
      </c>
      <c r="J47" s="1004">
        <f t="shared" si="4"/>
        <v>0</v>
      </c>
      <c r="K47" s="1005">
        <f>IF(SETUP!$F$33="At delivery",IF(SETUP!$G$33=4,$E$45*'HIV-Other HPs'!AX20,IF(SETUP!$G$33=3,$E$45*'HIV-Other HPs'!AY20,IF(SETUP!$G$33=2,$E$45*'HIV-Other HPs'!AZ20,IF(SETUP!$G$33=1,$E$45*'HIV-Other HPs'!BA20,0)))),0)</f>
        <v>0</v>
      </c>
      <c r="L47" s="1004">
        <f>IF(SETUP!$F$33="At delivery",IF(SETUP!$G$33=4,$E$45*'HIV-Other HPs'!AY20,IF(SETUP!$G$33=3,$E$45*'HIV-Other HPs'!AZ20,IF(SETUP!$G$33=2,$E$45*'HIV-Other HPs'!BA20,IF(SETUP!$G$33=1,$E$45*'HIV-Other HPs'!BB20,0)))),0)</f>
        <v>0</v>
      </c>
      <c r="M47" s="1004">
        <f>IF(SETUP!$F$33="At delivery",IF(SETUP!$G$33=4,$E$45*'HIV-Other HPs'!AZ20,IF(SETUP!$G$33=3,$E$45*'HIV-Other HPs'!BA20,IF(SETUP!$G$33=2,$E$45*'HIV-Other HPs'!BB20,IF(SETUP!$G$33=1,$E$45*'HIV-Other HPs'!BC20,0)))),0)</f>
        <v>0</v>
      </c>
      <c r="N47" s="1004">
        <f>IF(SETUP!$F$33="At delivery",IF(SETUP!$G$33=4,$E$45*'HIV-Other HPs'!BA20,IF(SETUP!$G$33=3,$E$45*'HIV-Other HPs'!BB20,IF(SETUP!$G$33=2,$E$45*'HIV-Other HPs'!BC20,IF(SETUP!$G$33=1,$E$45*'HIV-Other HPs'!BD20,0)))),0)</f>
        <v>0</v>
      </c>
      <c r="O47" s="931">
        <f t="shared" si="5"/>
        <v>0</v>
      </c>
      <c r="P47" s="966">
        <f>IF(SETUP!$F$33="At delivery",IF(SETUP!$G$33=4,$E$45*'HIV-Other HPs'!BB20,IF(SETUP!$G$33=3,$E$45*'HIV-Other HPs'!BC20,IF(SETUP!$G$33=2,$E$45*'HIV-Other HPs'!BD20,IF(SETUP!$G$33=1,$E$45*'HIV-Other HPs'!BE20,0)))),0)</f>
        <v>0</v>
      </c>
      <c r="Q47" s="915">
        <f>IF(SETUP!$F$33="At delivery",IF(SETUP!$G$33=4,$E$45*'HIV-Other HPs'!BC20,IF(SETUP!$G$33=3,$E$45*'HIV-Other HPs'!BD20,IF(SETUP!$G$33=2,$E$45*'HIV-Other HPs'!BE20,IF(SETUP!$G$33=1,$E$45*'HIV-Other HPs'!BF20,0)))),0)</f>
        <v>0</v>
      </c>
      <c r="R47" s="915">
        <f>IF(SETUP!$F$33="At delivery",IF(SETUP!$G$33=4,$E$45*'HIV-Other HPs'!BD20,IF(SETUP!$G$33=3,$E$45*'HIV-Other HPs'!BE20,IF(SETUP!$G$33=2,$E$45*'HIV-Other HPs'!BF20,IF(SETUP!$G$33=1,$E$45*'HIV-Other HPs'!BG20,0)))),0)</f>
        <v>0</v>
      </c>
      <c r="S47" s="915">
        <f>IF(SETUP!$F$33="At delivery",IF(SETUP!$G$33=4,$E$45*('HIV-Other HPs'!BE20+'HIV-Other HPs'!BF20+'HIV-Other HPs'!BG20+'HIV-Other HPs'!BH20+'HIV-Other HPs'!BI20),IF(SETUP!$G$33=3,$E$45*('HIV-Other HPs'!BF20+'HIV-Other HPs'!BG20+'HIV-Other HPs'!BH20+'HIV-Other HPs'!BI20),IF(SETUP!$G$33=2,$E$45*('HIV-Other HPs'!BG20+'HIV-Other HPs'!BH20+'HIV-Other HPs'!BI20),IF(SETUP!$G$33=1,$E$45*('HIV-Other HPs'!BH20+'HIV-Other HPs'!BI20),0)))),0)</f>
        <v>0</v>
      </c>
      <c r="T47" s="915">
        <f t="shared" si="6"/>
        <v>0</v>
      </c>
      <c r="U47" s="966">
        <f t="shared" si="7"/>
        <v>0</v>
      </c>
      <c r="V47" s="1316">
        <v>7.1</v>
      </c>
      <c r="W47" s="1995"/>
      <c r="X47" s="1320"/>
    </row>
    <row r="48" spans="1:24" s="665" customFormat="1" ht="15" hidden="1" customHeight="1" collapsed="1" thickBot="1">
      <c r="A48" s="3186" t="s">
        <v>444</v>
      </c>
      <c r="B48" s="3187"/>
      <c r="C48" s="3188" t="s">
        <v>445</v>
      </c>
      <c r="D48" s="3188"/>
      <c r="E48" s="1246">
        <v>0</v>
      </c>
      <c r="F48" s="966">
        <f>IF(SETUP!$F$36="Upfront",F49,F50)</f>
        <v>0</v>
      </c>
      <c r="G48" s="1004">
        <f>IF(SETUP!$F$36="Upfront",G49,G50)</f>
        <v>0</v>
      </c>
      <c r="H48" s="1004">
        <f>IF(SETUP!$F$36="Upfront",H49,H50)</f>
        <v>0</v>
      </c>
      <c r="I48" s="1004">
        <f>IF(SETUP!$F$36="Upfront",I49,I50)</f>
        <v>0</v>
      </c>
      <c r="J48" s="1004">
        <f t="shared" si="4"/>
        <v>0</v>
      </c>
      <c r="K48" s="1005">
        <f>IF(SETUP!$F$36="Upfront",K49,K50)</f>
        <v>0</v>
      </c>
      <c r="L48" s="1004">
        <f>IF(SETUP!$F$36="Upfront",L49,L50)</f>
        <v>0</v>
      </c>
      <c r="M48" s="1004">
        <f>IF(SETUP!$F$36="Upfront",M49,M50)</f>
        <v>0</v>
      </c>
      <c r="N48" s="1004">
        <f>IF(SETUP!$F$36="Upfront",N49,N50)</f>
        <v>0</v>
      </c>
      <c r="O48" s="931">
        <f t="shared" si="5"/>
        <v>0</v>
      </c>
      <c r="P48" s="966">
        <f>IF(SETUP!$F$36="Upfront",P49,P50)</f>
        <v>0</v>
      </c>
      <c r="Q48" s="915">
        <f>IF(SETUP!$F$36="Upfront",Q49,Q50)</f>
        <v>0</v>
      </c>
      <c r="R48" s="915">
        <f>IF(SETUP!$F$36="Upfront",R49,R50)</f>
        <v>0</v>
      </c>
      <c r="S48" s="915">
        <f>IF(SETUP!$F$36="Upfront",S49,S50)</f>
        <v>0</v>
      </c>
      <c r="T48" s="915">
        <f t="shared" si="6"/>
        <v>0</v>
      </c>
      <c r="U48" s="966">
        <f t="shared" si="7"/>
        <v>0</v>
      </c>
      <c r="V48" s="1316">
        <v>7.1</v>
      </c>
      <c r="W48" s="1995"/>
      <c r="X48" s="1321"/>
    </row>
    <row r="49" spans="1:24" s="665" customFormat="1" ht="15" hidden="1" customHeight="1" outlineLevel="1">
      <c r="A49" s="3186"/>
      <c r="B49" s="3187"/>
      <c r="C49" s="3182" t="s">
        <v>777</v>
      </c>
      <c r="D49" s="3182"/>
      <c r="E49" s="1246"/>
      <c r="F49" s="966">
        <f>IF(SETUP!$F$36="Upfront",$E$48*'TB-Pharmaceuticals'!AX14,0)</f>
        <v>0</v>
      </c>
      <c r="G49" s="1004">
        <f>IF(SETUP!$F$36="Upfront",$E$48*'TB-Pharmaceuticals'!AY14,0)</f>
        <v>0</v>
      </c>
      <c r="H49" s="1004">
        <f>IF(SETUP!$F$36="Upfront",$E$48*'TB-Pharmaceuticals'!AZ14,0)</f>
        <v>0</v>
      </c>
      <c r="I49" s="1004">
        <f>IF(SETUP!$F$36="Upfront",$E$48*'TB-Pharmaceuticals'!BA14,0)</f>
        <v>0</v>
      </c>
      <c r="J49" s="1004">
        <f t="shared" si="4"/>
        <v>0</v>
      </c>
      <c r="K49" s="1005">
        <f>IF(SETUP!$F$36="Upfront",$E$48*'TB-Pharmaceuticals'!BB14,0)</f>
        <v>0</v>
      </c>
      <c r="L49" s="1004">
        <f>IF(SETUP!$F$36="Upfront",$E$48*'TB-Pharmaceuticals'!BC14,0)</f>
        <v>0</v>
      </c>
      <c r="M49" s="1004">
        <f>IF(SETUP!$F$36="Upfront",$E$48*'TB-Pharmaceuticals'!BD14,0)</f>
        <v>0</v>
      </c>
      <c r="N49" s="1004">
        <f>IF(SETUP!$F$36="Upfront",$E$48*'TB-Pharmaceuticals'!BE14,0)</f>
        <v>0</v>
      </c>
      <c r="O49" s="931">
        <f t="shared" si="5"/>
        <v>0</v>
      </c>
      <c r="P49" s="1005">
        <f>IF(SETUP!$F$36="Upfront",$E$48*'TB-Pharmaceuticals'!BF14,0)</f>
        <v>0</v>
      </c>
      <c r="Q49" s="915">
        <f>IF(SETUP!$F$36="Upfront",$E$48*'TB-Pharmaceuticals'!BG14,0)</f>
        <v>0</v>
      </c>
      <c r="R49" s="915">
        <f>IF(SETUP!$F$36="Upfront",$E$48*'TB-Pharmaceuticals'!BH14,0)</f>
        <v>0</v>
      </c>
      <c r="S49" s="915">
        <f>IF(SETUP!$F$36="Upfront",$E$48*'TB-Pharmaceuticals'!BI14,0)</f>
        <v>0</v>
      </c>
      <c r="T49" s="915">
        <f t="shared" si="6"/>
        <v>0</v>
      </c>
      <c r="U49" s="966">
        <f t="shared" si="7"/>
        <v>0</v>
      </c>
      <c r="V49" s="1316"/>
      <c r="W49" s="1995"/>
      <c r="X49" s="1320"/>
    </row>
    <row r="50" spans="1:24" s="665" customFormat="1" ht="15" hidden="1" customHeight="1" outlineLevel="1">
      <c r="A50" s="3186"/>
      <c r="B50" s="3187"/>
      <c r="C50" s="3182" t="s">
        <v>36</v>
      </c>
      <c r="D50" s="3182"/>
      <c r="E50" s="1246"/>
      <c r="F50" s="966">
        <v>0</v>
      </c>
      <c r="G50" s="1004">
        <f>IF(SETUP!$F$36="At delivery",IF(SETUP!$G$36=1,$E$48*'TB-Pharmaceuticals'!AX14,0),0)</f>
        <v>0</v>
      </c>
      <c r="H50" s="1004">
        <f>IF(SETUP!$F$36="At delivery",IF(SETUP!$G$36=2,$E$48*'TB-Pharmaceuticals'!AX14,IF(SETUP!$G$36=1,$E$48*'TB-Pharmaceuticals'!AY14,0)),0)</f>
        <v>0</v>
      </c>
      <c r="I50" s="1004">
        <f>IF(SETUP!$F$36="At delivery",IF(SETUP!$G$36=3,$E$48*'TB-Pharmaceuticals'!AX14,IF(SETUP!$G$36=2,$E$48*'TB-Pharmaceuticals'!AY14,IF(SETUP!$G$36=1,$E$48*'TB-Pharmaceuticals'!AZ14,0))),0)</f>
        <v>0</v>
      </c>
      <c r="J50" s="1004">
        <f t="shared" si="4"/>
        <v>0</v>
      </c>
      <c r="K50" s="1005">
        <f>IF(SETUP!$F$36="At delivery",IF(SETUP!$G$36=4,$E$48*'TB-Pharmaceuticals'!AX14,IF(SETUP!$G$36=3,$E$48*'TB-Pharmaceuticals'!AY14,IF(SETUP!$G$36=2,$E$48*'TB-Pharmaceuticals'!AZ14,IF(SETUP!$G$36=1,$E$48*'TB-Pharmaceuticals'!BA14,0)))),0)</f>
        <v>0</v>
      </c>
      <c r="L50" s="1004">
        <f>IF(SETUP!$F$36="At delivery",IF(SETUP!$G$36=4,$E$48*'TB-Pharmaceuticals'!AY14,IF(SETUP!$G$36=3,$E$48*'TB-Pharmaceuticals'!AZ14,IF(SETUP!$G$36=2,$E$48*'TB-Pharmaceuticals'!BA14,IF(SETUP!$G$36=1,$E$48*'TB-Pharmaceuticals'!BB14,0)))),0)</f>
        <v>0</v>
      </c>
      <c r="M50" s="1004">
        <f>IF(SETUP!$F$36="At delivery",IF(SETUP!$G$36=4,$E$48*'TB-Pharmaceuticals'!AZ14,IF(SETUP!$G$36=3,$E$48*'TB-Pharmaceuticals'!BA14,IF(SETUP!$G$36=2,$E$48*'TB-Pharmaceuticals'!BB14,IF(SETUP!$G$36=1,$E$48*'TB-Pharmaceuticals'!BC14,0)))),0)</f>
        <v>0</v>
      </c>
      <c r="N50" s="1004">
        <f>IF(SETUP!$F$36="At delivery",IF(SETUP!$G$36=4,$E$48*'TB-Pharmaceuticals'!BA14,IF(SETUP!$G$36=3,$E$48*'TB-Pharmaceuticals'!BB14,IF(SETUP!$G$36=2,$E$48*'TB-Pharmaceuticals'!BC14,IF(SETUP!$G$36=1,$E$48*'TB-Pharmaceuticals'!BD14,0)))),0)</f>
        <v>0</v>
      </c>
      <c r="O50" s="931">
        <f t="shared" si="5"/>
        <v>0</v>
      </c>
      <c r="P50" s="966">
        <f>IF(SETUP!$F$36="At delivery",IF(SETUP!$G$36=4,$E$48*'TB-Pharmaceuticals'!BB14,IF(SETUP!$G$36=3,$E$48*'TB-Pharmaceuticals'!BC14,IF(SETUP!$G$36=2,$E$48*'TB-Pharmaceuticals'!BD14,IF(SETUP!$G$36=1,$E$48*'TB-Pharmaceuticals'!BE14,0)))),0)</f>
        <v>0</v>
      </c>
      <c r="Q50" s="915">
        <f>IF(SETUP!$F$36="At delivery",IF(SETUP!$G$36=4,$E$48*'TB-Pharmaceuticals'!BC14,IF(SETUP!$G$36=3,$E$48*'TB-Pharmaceuticals'!BD14,IF(SETUP!$G$36=2,$E$48*'TB-Pharmaceuticals'!BE14,IF(SETUP!$G$36=1,$E$48*'TB-Pharmaceuticals'!BF14,0)))),0)</f>
        <v>0</v>
      </c>
      <c r="R50" s="915">
        <f>IF(SETUP!$F$36="At delivery",IF(SETUP!$G$36=4,$E$48*'TB-Pharmaceuticals'!BD14,IF(SETUP!$G$36=3,$E$48*'TB-Pharmaceuticals'!BE14,IF(SETUP!$G$36=2,$E$48*'TB-Pharmaceuticals'!BF14,IF(SETUP!$G$36=1,$E$48*'TB-Pharmaceuticals'!BG14,0)))),0)</f>
        <v>0</v>
      </c>
      <c r="S50" s="915">
        <f>IF(SETUP!$F$36="At delivery",IF(SETUP!$G$36=4,$E$48*('TB-Pharmaceuticals'!BE14+'TB-Pharmaceuticals'!BF14+'TB-Pharmaceuticals'!BG14+'TB-Pharmaceuticals'!BH14+'TB-Pharmaceuticals'!BI14),IF(SETUP!$G$36=3,$E$48*('TB-Pharmaceuticals'!BF14+'TB-Pharmaceuticals'!BG14+'TB-Pharmaceuticals'!BH14+'TB-Pharmaceuticals'!BI14),IF(SETUP!$G$36=2,$E$48*('TB-Pharmaceuticals'!BG14+'TB-Pharmaceuticals'!BH14+'TB-Pharmaceuticals'!BI14),IF(SETUP!$G$36=1,$E$48*('TB-Pharmaceuticals'!BH14+'TB-Pharmaceuticals'!BI14),0)))),0)</f>
        <v>0</v>
      </c>
      <c r="T50" s="915">
        <f t="shared" si="6"/>
        <v>0</v>
      </c>
      <c r="U50" s="966">
        <f t="shared" si="7"/>
        <v>0</v>
      </c>
      <c r="V50" s="1316"/>
      <c r="W50" s="1995"/>
      <c r="X50" s="1320"/>
    </row>
    <row r="51" spans="1:24" s="665" customFormat="1" ht="15" hidden="1" customHeight="1" collapsed="1">
      <c r="A51" s="3186"/>
      <c r="B51" s="3187"/>
      <c r="C51" s="3188" t="s">
        <v>446</v>
      </c>
      <c r="D51" s="3188"/>
      <c r="E51" s="1245">
        <v>0</v>
      </c>
      <c r="F51" s="966">
        <f>IF(SETUP!$F$38="Upfront",F52,F53)</f>
        <v>0</v>
      </c>
      <c r="G51" s="1004">
        <f>IF(SETUP!$F$38="Upfront",G52,G53)</f>
        <v>0</v>
      </c>
      <c r="H51" s="1004">
        <f>IF(SETUP!$F$38="Upfront",H52,H53)</f>
        <v>0</v>
      </c>
      <c r="I51" s="1004">
        <f>IF(SETUP!$F$38="Upfront",I52,I53)</f>
        <v>0</v>
      </c>
      <c r="J51" s="1004">
        <f t="shared" si="4"/>
        <v>0</v>
      </c>
      <c r="K51" s="1005">
        <f>IF(SETUP!$F$38="Upfront",K52,K53)</f>
        <v>0</v>
      </c>
      <c r="L51" s="1004">
        <f>IF(SETUP!$F$38="Upfront",L52,L53)</f>
        <v>0</v>
      </c>
      <c r="M51" s="1004">
        <f>IF(SETUP!$F$38="Upfront",M52,M53)</f>
        <v>0</v>
      </c>
      <c r="N51" s="1004">
        <f>IF(SETUP!$F$38="Upfront",N52,N53)</f>
        <v>0</v>
      </c>
      <c r="O51" s="931">
        <f t="shared" si="5"/>
        <v>0</v>
      </c>
      <c r="P51" s="966">
        <f>IF(SETUP!$F$38="Upfront",P52,P53)</f>
        <v>0</v>
      </c>
      <c r="Q51" s="915">
        <f>IF(SETUP!$F$38="Upfront",Q52,Q53)</f>
        <v>0</v>
      </c>
      <c r="R51" s="915">
        <f>IF(SETUP!$F$38="Upfront",R52,R53)</f>
        <v>0</v>
      </c>
      <c r="S51" s="915">
        <f>IF(SETUP!$F$38="Upfront",S52,S53)</f>
        <v>0</v>
      </c>
      <c r="T51" s="915">
        <f t="shared" si="6"/>
        <v>0</v>
      </c>
      <c r="U51" s="966">
        <f t="shared" si="7"/>
        <v>0</v>
      </c>
      <c r="V51" s="1316">
        <v>7.1</v>
      </c>
      <c r="W51" s="1995"/>
      <c r="X51" s="1320"/>
    </row>
    <row r="52" spans="1:24" s="665" customFormat="1" ht="15" hidden="1" customHeight="1" outlineLevel="1">
      <c r="A52" s="3186"/>
      <c r="B52" s="3187"/>
      <c r="C52" s="3182" t="s">
        <v>777</v>
      </c>
      <c r="D52" s="3182"/>
      <c r="E52" s="1246"/>
      <c r="F52" s="966">
        <f>IF(SETUP!$F$38="Upfront",$E$51*'TB-Pharmaceuticals'!AX15,0)</f>
        <v>0</v>
      </c>
      <c r="G52" s="1004">
        <f>IF(SETUP!$F$38="Upfront",$E$51*'TB-Pharmaceuticals'!AY15,0)</f>
        <v>0</v>
      </c>
      <c r="H52" s="1004">
        <f>IF(SETUP!$F$38="Upfront",$E$51*'TB-Pharmaceuticals'!AZ15,0)</f>
        <v>0</v>
      </c>
      <c r="I52" s="1004">
        <f>IF(SETUP!$F$38="Upfront",$E$51*'TB-Pharmaceuticals'!BA15,0)</f>
        <v>0</v>
      </c>
      <c r="J52" s="1004">
        <f t="shared" si="4"/>
        <v>0</v>
      </c>
      <c r="K52" s="1005">
        <f>IF(SETUP!$F$38="Upfront",$E$51*'TB-Pharmaceuticals'!BB15,0)</f>
        <v>0</v>
      </c>
      <c r="L52" s="1004">
        <f>IF(SETUP!$F$38="Upfront",$E$51*'TB-Pharmaceuticals'!BC15,0)</f>
        <v>0</v>
      </c>
      <c r="M52" s="1004">
        <f>IF(SETUP!$F$38="Upfront",$E$51*'TB-Pharmaceuticals'!BD15,0)</f>
        <v>0</v>
      </c>
      <c r="N52" s="1004">
        <f>IF(SETUP!$F$38="Upfront",$E$51*'TB-Pharmaceuticals'!BE15,0)</f>
        <v>0</v>
      </c>
      <c r="O52" s="931">
        <f t="shared" si="5"/>
        <v>0</v>
      </c>
      <c r="P52" s="966">
        <f>IF(SETUP!$F$38="Upfront",$E$51*'TB-Pharmaceuticals'!BF15,0)</f>
        <v>0</v>
      </c>
      <c r="Q52" s="915">
        <f>IF(SETUP!$F$38="Upfront",$E$51*'TB-Pharmaceuticals'!BG15,0)</f>
        <v>0</v>
      </c>
      <c r="R52" s="915">
        <f>IF(SETUP!$F$38="Upfront",$E$51*'TB-Pharmaceuticals'!BH15,0)</f>
        <v>0</v>
      </c>
      <c r="S52" s="915">
        <f>IF(SETUP!$F$38="Upfront",$E$51*'TB-Pharmaceuticals'!BI15,0)</f>
        <v>0</v>
      </c>
      <c r="T52" s="915">
        <f t="shared" si="6"/>
        <v>0</v>
      </c>
      <c r="U52" s="966">
        <f t="shared" si="7"/>
        <v>0</v>
      </c>
      <c r="V52" s="1316"/>
      <c r="W52" s="1995"/>
      <c r="X52" s="1320"/>
    </row>
    <row r="53" spans="1:24" s="665" customFormat="1" ht="15" hidden="1" customHeight="1" outlineLevel="1">
      <c r="A53" s="3186"/>
      <c r="B53" s="3187"/>
      <c r="C53" s="3182" t="s">
        <v>36</v>
      </c>
      <c r="D53" s="3182"/>
      <c r="E53" s="1246"/>
      <c r="F53" s="966">
        <v>0</v>
      </c>
      <c r="G53" s="1004">
        <f>IF(SETUP!$F$38="At delivery",IF(SETUP!$G$38=1,$E$51*'TB-Pharmaceuticals'!AX15,0),0)</f>
        <v>0</v>
      </c>
      <c r="H53" s="1004">
        <f>IF(SETUP!$F$38="At delivery",IF(SETUP!$G$38=2,$E$51*'TB-Pharmaceuticals'!AX15,IF(SETUP!$G$38=1,$E$51*'TB-Pharmaceuticals'!AY15,0)),0)</f>
        <v>0</v>
      </c>
      <c r="I53" s="1004">
        <f>IF(SETUP!$F$38="At delivery",IF(SETUP!$G$38=3,$E$51*'TB-Pharmaceuticals'!AX15,IF(SETUP!$G$38=2,$E$51*'TB-Pharmaceuticals'!AY15,IF(SETUP!$G$38=1,$E$51*'TB-Pharmaceuticals'!AZ15,0))),0)</f>
        <v>0</v>
      </c>
      <c r="J53" s="1004">
        <f t="shared" si="4"/>
        <v>0</v>
      </c>
      <c r="K53" s="1005">
        <f>IF(SETUP!$F$38="At delivery",IF(SETUP!$G$38=4,$E$51*'TB-Pharmaceuticals'!AX15,IF(SETUP!$G$38=3,$E$51*'TB-Pharmaceuticals'!AY15,IF(SETUP!$G$38=2,$E$51*'TB-Pharmaceuticals'!AZ15,IF(SETUP!$G$38=1,$E$51*'TB-Pharmaceuticals'!BA15,0)))),0)</f>
        <v>0</v>
      </c>
      <c r="L53" s="1004">
        <f>IF(SETUP!$F$38="At delivery",IF(SETUP!$G$38=4,$E$51*'TB-Pharmaceuticals'!AY15,IF(SETUP!$G$38=3,$E$51*'TB-Pharmaceuticals'!AZ15,IF(SETUP!$G$38=2,$E$51*'TB-Pharmaceuticals'!BA15,IF(SETUP!$G$38=1,$E$51*'TB-Pharmaceuticals'!BB15,0)))),0)</f>
        <v>0</v>
      </c>
      <c r="M53" s="1004">
        <f>IF(SETUP!$F$38="At delivery",IF(SETUP!$G$38=4,$E$51*'TB-Pharmaceuticals'!AZ15,IF(SETUP!$G$38=3,$E$51*'TB-Pharmaceuticals'!BA15,IF(SETUP!$G$38=2,$E$51*'TB-Pharmaceuticals'!BB15,IF(SETUP!$G$38=1,$E$51*'TB-Pharmaceuticals'!BC15,0)))),0)</f>
        <v>0</v>
      </c>
      <c r="N53" s="1004">
        <f>IF(SETUP!$F$38="At delivery",IF(SETUP!$G$38=4,$E$51*'TB-Pharmaceuticals'!BA15,IF(SETUP!$G$38=3,$E$51*'TB-Pharmaceuticals'!BB15,IF(SETUP!$G$38=2,$E$51*'TB-Pharmaceuticals'!BC15,IF(SETUP!$G$38=1,$E$51*'TB-Pharmaceuticals'!BD15,0)))),0)</f>
        <v>0</v>
      </c>
      <c r="O53" s="931">
        <f t="shared" si="5"/>
        <v>0</v>
      </c>
      <c r="P53" s="966">
        <f>IF(SETUP!$F$38="At delivery",IF(SETUP!$G$38=4,$E$51*'TB-Pharmaceuticals'!BB15,IF(SETUP!$G$38=3,$E$51*'TB-Pharmaceuticals'!BC15,IF(SETUP!$G$38=2,$E$51*'TB-Pharmaceuticals'!BD15,IF(SETUP!$G$38=1,$E$51*'TB-Pharmaceuticals'!BE15,0)))),0)</f>
        <v>0</v>
      </c>
      <c r="Q53" s="915">
        <f>IF(SETUP!$F$38="At delivery",IF(SETUP!$G$38=4,$E$51*'TB-Pharmaceuticals'!BC15,IF(SETUP!$G$38=3,$E$51*'TB-Pharmaceuticals'!BD15,IF(SETUP!$G$38=2,$E$51*'TB-Pharmaceuticals'!BE15,IF(SETUP!$G$38=1,$E$51*'TB-Pharmaceuticals'!BF15,0)))),0)</f>
        <v>0</v>
      </c>
      <c r="R53" s="915">
        <f>IF(SETUP!$F$38="At delivery",IF(SETUP!$G$38=4,$E$51*'TB-Pharmaceuticals'!BD15,IF(SETUP!$G$38=3,$E$51*'TB-Pharmaceuticals'!BE15,IF(SETUP!$G$38=2,$E$51*'TB-Pharmaceuticals'!BF15,IF(SETUP!$G$38=1,$E$51*'TB-Pharmaceuticals'!BG15,0)))),0)</f>
        <v>0</v>
      </c>
      <c r="S53" s="915">
        <f>IF(SETUP!$F$38="At delivery",IF(SETUP!$G$38=4,$E$51*('TB-Pharmaceuticals'!BE15+'TB-Pharmaceuticals'!BF15+'TB-Pharmaceuticals'!BG15+'TB-Pharmaceuticals'!BH15+'TB-Pharmaceuticals'!BI15),IF(SETUP!$G$38=3,$E$51*('TB-Pharmaceuticals'!BF15+'TB-Pharmaceuticals'!BG15+'TB-Pharmaceuticals'!BH15+'TB-Pharmaceuticals'!BI15),IF(SETUP!$G$38=2,$E$51*('TB-Pharmaceuticals'!BG15+'TB-Pharmaceuticals'!BH15+'TB-Pharmaceuticals'!BI15),IF(SETUP!$G$38=1,$E$51*('TB-Pharmaceuticals'!BH15+'TB-Pharmaceuticals'!BI15),0)))),0)</f>
        <v>0</v>
      </c>
      <c r="T53" s="915">
        <f t="shared" si="6"/>
        <v>0</v>
      </c>
      <c r="U53" s="966">
        <f t="shared" si="7"/>
        <v>0</v>
      </c>
      <c r="V53" s="1316"/>
      <c r="W53" s="1995"/>
      <c r="X53" s="1320"/>
    </row>
    <row r="54" spans="1:24" s="665" customFormat="1" ht="15" hidden="1" customHeight="1" collapsed="1">
      <c r="A54" s="3186"/>
      <c r="B54" s="3187"/>
      <c r="C54" s="3188" t="s">
        <v>1389</v>
      </c>
      <c r="D54" s="3188"/>
      <c r="E54" s="1246">
        <v>0</v>
      </c>
      <c r="F54" s="966">
        <f>IF(SETUP!$F$39="Upfront",F55,F56)</f>
        <v>0</v>
      </c>
      <c r="G54" s="1004">
        <f>IF(SETUP!$F$39="Upfront",G55,G56)</f>
        <v>0</v>
      </c>
      <c r="H54" s="1004">
        <f>IF(SETUP!$F$39="Upfront",H55,H56)</f>
        <v>0</v>
      </c>
      <c r="I54" s="1004">
        <f>IF(SETUP!$F$39="Upfront",I55,I56)</f>
        <v>0</v>
      </c>
      <c r="J54" s="1004">
        <f t="shared" si="4"/>
        <v>0</v>
      </c>
      <c r="K54" s="1005">
        <f>IF(SETUP!$F$39="Upfront",K55,K56)</f>
        <v>0</v>
      </c>
      <c r="L54" s="1004">
        <f>IF(SETUP!$F$39="Upfront",L55,L56)</f>
        <v>0</v>
      </c>
      <c r="M54" s="1004">
        <f>IF(SETUP!$F$39="Upfront",M55,M56)</f>
        <v>0</v>
      </c>
      <c r="N54" s="1004">
        <f>IF(SETUP!$F$39="Upfront",N55,N56)</f>
        <v>0</v>
      </c>
      <c r="O54" s="931">
        <f t="shared" si="5"/>
        <v>0</v>
      </c>
      <c r="P54" s="966">
        <f>IF(SETUP!$F$39="Upfront",P55,P56)</f>
        <v>0</v>
      </c>
      <c r="Q54" s="915">
        <f>IF(SETUP!$F$39="Upfront",Q55,Q56)</f>
        <v>0</v>
      </c>
      <c r="R54" s="915">
        <f>IF(SETUP!$F$39="Upfront",R55,R56)</f>
        <v>0</v>
      </c>
      <c r="S54" s="915">
        <f>IF(SETUP!$F$39="Upfront",S55,S56)</f>
        <v>0</v>
      </c>
      <c r="T54" s="915">
        <f t="shared" si="6"/>
        <v>0</v>
      </c>
      <c r="U54" s="966">
        <f t="shared" si="7"/>
        <v>0</v>
      </c>
      <c r="V54" s="1316">
        <v>7.1</v>
      </c>
      <c r="W54" s="1995"/>
      <c r="X54" s="1321"/>
    </row>
    <row r="55" spans="1:24" s="665" customFormat="1" ht="15" hidden="1" customHeight="1" outlineLevel="1">
      <c r="A55" s="3186"/>
      <c r="B55" s="3187"/>
      <c r="C55" s="3182" t="s">
        <v>777</v>
      </c>
      <c r="D55" s="3182"/>
      <c r="E55" s="1246"/>
      <c r="F55" s="966">
        <f>IF(SETUP!$F$39="Upfront",$E$54*'TB-Pharmaceuticals'!AX16,0)</f>
        <v>0</v>
      </c>
      <c r="G55" s="1004">
        <f>IF(SETUP!$F$39="Upfront",$E$54*'TB-Pharmaceuticals'!AY16,0)</f>
        <v>0</v>
      </c>
      <c r="H55" s="1004">
        <f>IF(SETUP!$F$39="Upfront",$E$54*'TB-Pharmaceuticals'!AZ16,0)</f>
        <v>0</v>
      </c>
      <c r="I55" s="1004">
        <f>IF(SETUP!$F$39="Upfront",$E$54*'TB-Pharmaceuticals'!BA16,0)</f>
        <v>0</v>
      </c>
      <c r="J55" s="1004">
        <f t="shared" si="4"/>
        <v>0</v>
      </c>
      <c r="K55" s="1005">
        <f>IF(SETUP!$F$39="Upfront",$E$54*'TB-Pharmaceuticals'!BB16,0)</f>
        <v>0</v>
      </c>
      <c r="L55" s="1004">
        <f>IF(SETUP!$F$39="Upfront",$E$54*'TB-Pharmaceuticals'!BC16,0)</f>
        <v>0</v>
      </c>
      <c r="M55" s="1004">
        <f>IF(SETUP!$F$39="Upfront",$E$54*'TB-Pharmaceuticals'!BD16,0)</f>
        <v>0</v>
      </c>
      <c r="N55" s="1004">
        <f>IF(SETUP!$F$39="Upfront",$E$54*'TB-Pharmaceuticals'!BE16,0)</f>
        <v>0</v>
      </c>
      <c r="O55" s="931">
        <f t="shared" si="5"/>
        <v>0</v>
      </c>
      <c r="P55" s="966">
        <f>IF(SETUP!$F$39="Upfront",$E$54*'TB-Pharmaceuticals'!BF16,0)</f>
        <v>0</v>
      </c>
      <c r="Q55" s="915">
        <f>IF(SETUP!$F$39="Upfront",$E$54*'TB-Pharmaceuticals'!BG16,0)</f>
        <v>0</v>
      </c>
      <c r="R55" s="915">
        <f>IF(SETUP!$F$39="Upfront",$E$54*'TB-Pharmaceuticals'!BH16,0)</f>
        <v>0</v>
      </c>
      <c r="S55" s="915">
        <f>IF(SETUP!$F$39="Upfront",$E$54*'TB-Pharmaceuticals'!BI16,0)</f>
        <v>0</v>
      </c>
      <c r="T55" s="915">
        <f t="shared" si="6"/>
        <v>0</v>
      </c>
      <c r="U55" s="966">
        <f t="shared" si="7"/>
        <v>0</v>
      </c>
      <c r="V55" s="1316"/>
      <c r="W55" s="1995"/>
      <c r="X55" s="1320"/>
    </row>
    <row r="56" spans="1:24" s="665" customFormat="1" ht="15" hidden="1" customHeight="1" outlineLevel="1">
      <c r="A56" s="3186"/>
      <c r="B56" s="3187"/>
      <c r="C56" s="3182" t="s">
        <v>36</v>
      </c>
      <c r="D56" s="3182"/>
      <c r="E56" s="1246"/>
      <c r="F56" s="966">
        <v>0</v>
      </c>
      <c r="G56" s="1004">
        <f>IF(SETUP!$F$39="At delivery",IF(SETUP!$G$39=1,$E$54*'TB-Pharmaceuticals'!AX16,0),0)</f>
        <v>0</v>
      </c>
      <c r="H56" s="1004">
        <f>IF(SETUP!$F$39="At delivery",IF(SETUP!$G$39=2,$E$54*'TB-Pharmaceuticals'!AX16,IF(SETUP!$G$39=1,$E$54*'TB-Pharmaceuticals'!AY16,0)),0)</f>
        <v>0</v>
      </c>
      <c r="I56" s="1004">
        <f>IF(SETUP!$F$39="At delivery",IF(SETUP!$G$39=3,$E$54*'TB-Pharmaceuticals'!AX16,IF(SETUP!$G$39=2,$E$54*'TB-Pharmaceuticals'!AY16,IF(SETUP!$G$39=1,$E$54*'TB-Pharmaceuticals'!AZ16,0))),0)</f>
        <v>0</v>
      </c>
      <c r="J56" s="1004">
        <f t="shared" si="4"/>
        <v>0</v>
      </c>
      <c r="K56" s="1005">
        <f>IF(SETUP!$F$39="At delivery",IF(SETUP!$G$39=4,$E$54*'TB-Pharmaceuticals'!AX16,IF(SETUP!$G$39=3,$E$54*'TB-Pharmaceuticals'!AY16,IF(SETUP!$G$39=2,$E$54*'TB-Pharmaceuticals'!AZ16,IF(SETUP!$G$39=1,$E$54*'TB-Pharmaceuticals'!BA16,0)))),0)</f>
        <v>0</v>
      </c>
      <c r="L56" s="1004">
        <f>IF(SETUP!$F$39="At delivery",IF(SETUP!$G$39=4,$E$54*'TB-Pharmaceuticals'!AY16,IF(SETUP!$G$39=3,$E$54*'TB-Pharmaceuticals'!AZ16,IF(SETUP!$G$39=2,$E$54*'TB-Pharmaceuticals'!BA16,IF(SETUP!$G$39=1,$E$54*'TB-Pharmaceuticals'!BB16,0)))),0)</f>
        <v>0</v>
      </c>
      <c r="M56" s="1004">
        <f>IF(SETUP!$F$39="At delivery",IF(SETUP!$G$39=4,$E$54*'TB-Pharmaceuticals'!AZ16,IF(SETUP!$G$39=3,$E$54*'TB-Pharmaceuticals'!BA16,IF(SETUP!$G$39=2,$E$54*'TB-Pharmaceuticals'!BB16,IF(SETUP!$G$39=1,$E$54*'TB-Pharmaceuticals'!BC16,0)))),0)</f>
        <v>0</v>
      </c>
      <c r="N56" s="1004">
        <f>IF(SETUP!$F$39="At delivery",IF(SETUP!$G$39=4,$E$54*'TB-Pharmaceuticals'!BA16,IF(SETUP!$G$39=3,$E$54*'TB-Pharmaceuticals'!BB16,IF(SETUP!$G$39=2,$E$54*'TB-Pharmaceuticals'!BC16,IF(SETUP!$G$39=1,$E$54*'TB-Pharmaceuticals'!BD16,0)))),0)</f>
        <v>0</v>
      </c>
      <c r="O56" s="931">
        <f t="shared" si="5"/>
        <v>0</v>
      </c>
      <c r="P56" s="966">
        <f>IF(SETUP!$F$39="At delivery",IF(SETUP!$G$39=4,$E$54*'TB-Pharmaceuticals'!BB16,IF(SETUP!$G$39=3,$E$54*'TB-Pharmaceuticals'!BC16,IF(SETUP!$G$39=2,$E$54*'TB-Pharmaceuticals'!BD16,IF(SETUP!$G$39=1,$E$54*'TB-Pharmaceuticals'!BE16,0)))),0)</f>
        <v>0</v>
      </c>
      <c r="Q56" s="915">
        <f>IF(SETUP!$F$39="At delivery",IF(SETUP!$G$39=4,$E$54*'TB-Pharmaceuticals'!BC16,IF(SETUP!$G$39=3,$E$54*'TB-Pharmaceuticals'!BD16,IF(SETUP!$G$39=2,$E$54*'TB-Pharmaceuticals'!BE16,IF(SETUP!$G$39=1,$E$54*'TB-Pharmaceuticals'!BF16,0)))),0)</f>
        <v>0</v>
      </c>
      <c r="R56" s="915">
        <f>IF(SETUP!$F$39="At delivery",IF(SETUP!$G$39=4,$E$54*'TB-Pharmaceuticals'!BD16,IF(SETUP!$G$39=3,$E$54*'TB-Pharmaceuticals'!BE16,IF(SETUP!$G$39=2,$E$54*'TB-Pharmaceuticals'!BF16,IF(SETUP!$G$39=1,$E$54*'TB-Pharmaceuticals'!BG16,0)))),0)</f>
        <v>0</v>
      </c>
      <c r="S56" s="915">
        <f>IF(SETUP!$F$39="At delivery",IF(SETUP!$G$39=4,$E$54*('TB-Pharmaceuticals'!BE16+'TB-Pharmaceuticals'!BF16+'TB-Pharmaceuticals'!BG16+'TB-Pharmaceuticals'!BH16+'TB-Pharmaceuticals'!BI16),IF(SETUP!$G$39=3,$E$54*('TB-Pharmaceuticals'!BF16+'TB-Pharmaceuticals'!BG16+'TB-Pharmaceuticals'!BH16+'TB-Pharmaceuticals'!BI16),IF(SETUP!$G$39=2,$E$54*('TB-Pharmaceuticals'!BG16+'TB-Pharmaceuticals'!BH16+'TB-Pharmaceuticals'!BI16),IF(SETUP!$G$39=1,$E$54*('TB-Pharmaceuticals'!BH16+'TB-Pharmaceuticals'!BI16),0)))),0)</f>
        <v>0</v>
      </c>
      <c r="T56" s="915">
        <f t="shared" si="6"/>
        <v>0</v>
      </c>
      <c r="U56" s="966">
        <f t="shared" si="7"/>
        <v>0</v>
      </c>
      <c r="V56" s="1316"/>
      <c r="W56" s="1995"/>
      <c r="X56" s="1320"/>
    </row>
    <row r="57" spans="1:24" s="665" customFormat="1" ht="15" hidden="1" customHeight="1" collapsed="1">
      <c r="A57" s="3186" t="s">
        <v>447</v>
      </c>
      <c r="B57" s="3187"/>
      <c r="C57" s="3188" t="s">
        <v>292</v>
      </c>
      <c r="D57" s="3188"/>
      <c r="E57" s="1246">
        <v>0</v>
      </c>
      <c r="F57" s="966">
        <f>IF(SETUP!$F$40="Upfront",F58,F59)</f>
        <v>0</v>
      </c>
      <c r="G57" s="1004">
        <f>IF(SETUP!$F$40="Upfront",G58,G59)</f>
        <v>0</v>
      </c>
      <c r="H57" s="1004">
        <f>IF(SETUP!$F$40="Upfront",H58,H59)</f>
        <v>0</v>
      </c>
      <c r="I57" s="1004">
        <f>IF(SETUP!$F$40="Upfront",I58,I59)</f>
        <v>0</v>
      </c>
      <c r="J57" s="1004">
        <f t="shared" si="4"/>
        <v>0</v>
      </c>
      <c r="K57" s="1005">
        <f>IF(SETUP!$F$40="Upfront",K58,K59)</f>
        <v>0</v>
      </c>
      <c r="L57" s="1004">
        <f>IF(SETUP!$F$40="Upfront",L58,L59)</f>
        <v>0</v>
      </c>
      <c r="M57" s="1004">
        <f>IF(SETUP!$F$40="Upfront",M58,M59)</f>
        <v>0</v>
      </c>
      <c r="N57" s="1004">
        <f>IF(SETUP!$F$40="Upfront",N58,N59)</f>
        <v>0</v>
      </c>
      <c r="O57" s="931">
        <f t="shared" si="5"/>
        <v>0</v>
      </c>
      <c r="P57" s="966">
        <f>IF(SETUP!$F$40="Upfront",P58,P59)</f>
        <v>0</v>
      </c>
      <c r="Q57" s="915">
        <f>IF(SETUP!$F$40="Upfront",Q58,Q59)</f>
        <v>0</v>
      </c>
      <c r="R57" s="915">
        <f>IF(SETUP!$F$40="Upfront",R58,R59)</f>
        <v>0</v>
      </c>
      <c r="S57" s="915">
        <f>IF(SETUP!$F$40="Upfront",S58,S59)</f>
        <v>0</v>
      </c>
      <c r="T57" s="915">
        <f t="shared" si="6"/>
        <v>0</v>
      </c>
      <c r="U57" s="966">
        <f t="shared" si="7"/>
        <v>0</v>
      </c>
      <c r="V57" s="1316">
        <v>7.1</v>
      </c>
      <c r="W57" s="1995"/>
      <c r="X57" s="1320"/>
    </row>
    <row r="58" spans="1:24" s="665" customFormat="1" ht="15" hidden="1" customHeight="1" outlineLevel="1">
      <c r="A58" s="3186"/>
      <c r="B58" s="3187"/>
      <c r="C58" s="3182" t="s">
        <v>777</v>
      </c>
      <c r="D58" s="3182"/>
      <c r="E58" s="1246"/>
      <c r="F58" s="966">
        <f>IF(SETUP!$F$40="Upfront",$E$57*'TB-EQUIPMENT &amp; OTHER HPs'!AX14,0)</f>
        <v>0</v>
      </c>
      <c r="G58" s="1004">
        <f>IF(SETUP!$F$40="Upfront",$E$57*'TB-EQUIPMENT &amp; OTHER HPs'!AY14,0)</f>
        <v>0</v>
      </c>
      <c r="H58" s="1004">
        <f>IF(SETUP!$F$40="Upfront",$E$57*'TB-EQUIPMENT &amp; OTHER HPs'!AZ14,0)</f>
        <v>0</v>
      </c>
      <c r="I58" s="1004">
        <f>IF(SETUP!$F$40="Upfront",$E$57*'TB-EQUIPMENT &amp; OTHER HPs'!BA14,0)</f>
        <v>0</v>
      </c>
      <c r="J58" s="1004">
        <f t="shared" si="4"/>
        <v>0</v>
      </c>
      <c r="K58" s="1005">
        <f>IF(SETUP!$F$40="Upfront",$E$57*'TB-EQUIPMENT &amp; OTHER HPs'!BB14,0)</f>
        <v>0</v>
      </c>
      <c r="L58" s="1004">
        <f>IF(SETUP!$F$40="Upfront",$E$57*'TB-EQUIPMENT &amp; OTHER HPs'!BC14,0)</f>
        <v>0</v>
      </c>
      <c r="M58" s="1004">
        <f>IF(SETUP!$F$40="Upfront",$E$57*'TB-EQUIPMENT &amp; OTHER HPs'!BD14,0)</f>
        <v>0</v>
      </c>
      <c r="N58" s="1004">
        <f>IF(SETUP!$F$40="Upfront",$E$57*'TB-EQUIPMENT &amp; OTHER HPs'!BE14,0)</f>
        <v>0</v>
      </c>
      <c r="O58" s="931">
        <f t="shared" si="5"/>
        <v>0</v>
      </c>
      <c r="P58" s="966">
        <f>IF(SETUP!$F$40="Upfront",$E$57*'TB-EQUIPMENT &amp; OTHER HPs'!BF14,0)</f>
        <v>0</v>
      </c>
      <c r="Q58" s="915">
        <f>IF(SETUP!$F$40="Upfront",$E$57*'TB-EQUIPMENT &amp; OTHER HPs'!BG14,0)</f>
        <v>0</v>
      </c>
      <c r="R58" s="915">
        <f>IF(SETUP!$F$40="Upfront",$E$57*'TB-EQUIPMENT &amp; OTHER HPs'!BH14,0)</f>
        <v>0</v>
      </c>
      <c r="S58" s="915">
        <f>IF(SETUP!$F$40="Upfront",$E$57*'TB-EQUIPMENT &amp; OTHER HPs'!BI14,0)</f>
        <v>0</v>
      </c>
      <c r="T58" s="915">
        <f t="shared" si="6"/>
        <v>0</v>
      </c>
      <c r="U58" s="966">
        <f t="shared" si="7"/>
        <v>0</v>
      </c>
      <c r="V58" s="1316"/>
      <c r="W58" s="1995"/>
      <c r="X58" s="1320"/>
    </row>
    <row r="59" spans="1:24" s="665" customFormat="1" ht="15" hidden="1" customHeight="1" outlineLevel="1">
      <c r="A59" s="3186"/>
      <c r="B59" s="3187"/>
      <c r="C59" s="3182" t="s">
        <v>36</v>
      </c>
      <c r="D59" s="3182"/>
      <c r="E59" s="1246"/>
      <c r="F59" s="966">
        <v>0</v>
      </c>
      <c r="G59" s="1004">
        <f>IF(SETUP!$F$40="At delivery",IF(SETUP!$G$40=1,$E$57*'TB-EQUIPMENT &amp; OTHER HPs'!AX14,0),0)</f>
        <v>0</v>
      </c>
      <c r="H59" s="1004">
        <f>IF(SETUP!$F$40="At delivery",IF(SETUP!$G$40=2,$E$57*'TB-EQUIPMENT &amp; OTHER HPs'!AX14,IF(SETUP!$G$40=1,$E$57*'TB-EQUIPMENT &amp; OTHER HPs'!AY14,0)),0)</f>
        <v>0</v>
      </c>
      <c r="I59" s="1004">
        <f>IF(SETUP!$F$40="At delivery",IF(SETUP!$G$40=3,$E$57*'TB-EQUIPMENT &amp; OTHER HPs'!AX14,IF(SETUP!$G$40=2,$E$57*'TB-EQUIPMENT &amp; OTHER HPs'!AY14,IF(SETUP!$G$40=1,$E$57*'TB-EQUIPMENT &amp; OTHER HPs'!AZ14,0))),0)</f>
        <v>0</v>
      </c>
      <c r="J59" s="1004">
        <f t="shared" si="4"/>
        <v>0</v>
      </c>
      <c r="K59" s="1005">
        <f>IF(SETUP!$F$40="At delivery",IF(SETUP!$G$40=4,$E$57*'TB-EQUIPMENT &amp; OTHER HPs'!AX14,IF(SETUP!$G$40=3,$E$57*'TB-EQUIPMENT &amp; OTHER HPs'!AY14,IF(SETUP!$G$40=2,$E$57*'TB-EQUIPMENT &amp; OTHER HPs'!AZ14,IF(SETUP!$G$40=1,$E$57*'TB-EQUIPMENT &amp; OTHER HPs'!BA14,0)))),0)</f>
        <v>0</v>
      </c>
      <c r="L59" s="1004">
        <f>IF(SETUP!$F$40="At delivery",IF(SETUP!$G$40=4,$E$57*'TB-EQUIPMENT &amp; OTHER HPs'!AY14,IF(SETUP!$G$40=3,$E$57*'TB-EQUIPMENT &amp; OTHER HPs'!AZ14,IF(SETUP!$G$40=2,$E$57*'TB-EQUIPMENT &amp; OTHER HPs'!BA14,IF(SETUP!$G$40=1,$E$57*'TB-EQUIPMENT &amp; OTHER HPs'!BB14,0)))),0)</f>
        <v>0</v>
      </c>
      <c r="M59" s="1004">
        <f>IF(SETUP!$F$40="At delivery",IF(SETUP!$G$40=4,$E$57*'TB-EQUIPMENT &amp; OTHER HPs'!AZ14,IF(SETUP!$G$40=3,$E$57*'TB-EQUIPMENT &amp; OTHER HPs'!BA14,IF(SETUP!$G$40=2,$E$57*'TB-EQUIPMENT &amp; OTHER HPs'!BB14,IF(SETUP!$G$40=1,$E$57*'TB-EQUIPMENT &amp; OTHER HPs'!BC14,0)))),0)</f>
        <v>0</v>
      </c>
      <c r="N59" s="1004">
        <f>IF(SETUP!$F$40="At delivery",IF(SETUP!$G$40=4,$E$57*'TB-EQUIPMENT &amp; OTHER HPs'!BA14,IF(SETUP!$G$40=3,$E$57*'TB-EQUIPMENT &amp; OTHER HPs'!BB14,IF(SETUP!$G$40=2,$E$57*'TB-EQUIPMENT &amp; OTHER HPs'!BC14,IF(SETUP!$G$40=1,$E$57*'TB-EQUIPMENT &amp; OTHER HPs'!BD14,0)))),0)</f>
        <v>0</v>
      </c>
      <c r="O59" s="931">
        <f t="shared" si="5"/>
        <v>0</v>
      </c>
      <c r="P59" s="966">
        <f>IF(SETUP!$F$40="At delivery",IF(SETUP!$G$40=4,$E$57*'TB-EQUIPMENT &amp; OTHER HPs'!BB14,IF(SETUP!$G$40=3,$E$57*'TB-EQUIPMENT &amp; OTHER HPs'!BC14,IF(SETUP!$G$40=2,$E$57*'TB-EQUIPMENT &amp; OTHER HPs'!BD14,IF(SETUP!$G$40=1,$E$57*'TB-EQUIPMENT &amp; OTHER HPs'!BE14,0)))),0)</f>
        <v>0</v>
      </c>
      <c r="Q59" s="915">
        <f>IF(SETUP!$F$40="At delivery",IF(SETUP!$G$40=4,$E$57*'TB-EQUIPMENT &amp; OTHER HPs'!BC14,IF(SETUP!$G$40=3,$E$57*'TB-EQUIPMENT &amp; OTHER HPs'!BD14,IF(SETUP!$G$40=2,$E$57*'TB-EQUIPMENT &amp; OTHER HPs'!BE14,IF(SETUP!$G$40=1,$E$57*'TB-EQUIPMENT &amp; OTHER HPs'!BF14,0)))),0)</f>
        <v>0</v>
      </c>
      <c r="R59" s="915">
        <f>IF(SETUP!$F$40="At delivery",IF(SETUP!$G$40=4,$E$57*'TB-EQUIPMENT &amp; OTHER HPs'!BD14,IF(SETUP!$G$40=3,$E$57*'TB-EQUIPMENT &amp; OTHER HPs'!BE14,IF(SETUP!$G$40=2,$E$57*'TB-EQUIPMENT &amp; OTHER HPs'!BF14,IF(SETUP!$G$40=1,$E$57*'TB-EQUIPMENT &amp; OTHER HPs'!BG14,0)))),0)</f>
        <v>0</v>
      </c>
      <c r="S59" s="915">
        <f>IF(SETUP!$F$40="At delivery",IF(SETUP!$G$40=4,$E$57*('TB-EQUIPMENT &amp; OTHER HPs'!BE14+'TB-EQUIPMENT &amp; OTHER HPs'!BF14+'TB-EQUIPMENT &amp; OTHER HPs'!BG14+'TB-EQUIPMENT &amp; OTHER HPs'!BH14+'TB-EQUIPMENT &amp; OTHER HPs'!BI14),IF(SETUP!$G$40=3,$E$57*('TB-EQUIPMENT &amp; OTHER HPs'!BF14+'TB-EQUIPMENT &amp; OTHER HPs'!BG14+'TB-EQUIPMENT &amp; OTHER HPs'!BH14+'TB-EQUIPMENT &amp; OTHER HPs'!BI14),IF(SETUP!$G$40=2,$E$57*('TB-EQUIPMENT &amp; OTHER HPs'!BG14+'TB-EQUIPMENT &amp; OTHER HPs'!BH14+'TB-EQUIPMENT &amp; OTHER HPs'!BI14),IF(SETUP!$G$40=1,$E$57*('TB-EQUIPMENT &amp; OTHER HPs'!BH14+'TB-EQUIPMENT &amp; OTHER HPs'!BI14),0)))),0)</f>
        <v>0</v>
      </c>
      <c r="T59" s="915">
        <f t="shared" si="6"/>
        <v>0</v>
      </c>
      <c r="U59" s="966">
        <f t="shared" si="7"/>
        <v>0</v>
      </c>
      <c r="V59" s="1316"/>
      <c r="W59" s="1995"/>
      <c r="X59" s="1320"/>
    </row>
    <row r="60" spans="1:24" s="665" customFormat="1" ht="15" hidden="1" customHeight="1" collapsed="1">
      <c r="A60" s="3186"/>
      <c r="B60" s="3187"/>
      <c r="C60" s="3188" t="s">
        <v>1348</v>
      </c>
      <c r="D60" s="3188"/>
      <c r="E60" s="1246">
        <v>0</v>
      </c>
      <c r="F60" s="966">
        <f>IF(SETUP!$F$41="Upfront",F61,F62)</f>
        <v>0</v>
      </c>
      <c r="G60" s="1004">
        <f>IF(SETUP!$F$41="Upfront",G61,G62)</f>
        <v>0</v>
      </c>
      <c r="H60" s="1004">
        <f>IF(SETUP!$F$41="Upfront",H61,H62)</f>
        <v>0</v>
      </c>
      <c r="I60" s="1004">
        <f>IF(SETUP!$F$41="Upfront",I61,I62)</f>
        <v>0</v>
      </c>
      <c r="J60" s="1004">
        <f t="shared" si="4"/>
        <v>0</v>
      </c>
      <c r="K60" s="1005">
        <f>IF(SETUP!$F$41="Upfront",K61,K62)</f>
        <v>0</v>
      </c>
      <c r="L60" s="1004">
        <f>IF(SETUP!$F$41="Upfront",L61,L62)</f>
        <v>0</v>
      </c>
      <c r="M60" s="1004">
        <f>IF(SETUP!$F$41="Upfront",M61,M62)</f>
        <v>0</v>
      </c>
      <c r="N60" s="1004">
        <f>IF(SETUP!$F$41="Upfront",N61,N62)</f>
        <v>0</v>
      </c>
      <c r="O60" s="931">
        <f t="shared" si="5"/>
        <v>0</v>
      </c>
      <c r="P60" s="966">
        <f>IF(SETUP!$F$41="Upfront",P61,P62)</f>
        <v>0</v>
      </c>
      <c r="Q60" s="915">
        <f>IF(SETUP!$F$41="Upfront",Q61,Q62)</f>
        <v>0</v>
      </c>
      <c r="R60" s="915">
        <f>IF(SETUP!$F$41="Upfront",R61,R62)</f>
        <v>0</v>
      </c>
      <c r="S60" s="915">
        <f>IF(SETUP!$F$41="Upfront",S61,S62)</f>
        <v>0</v>
      </c>
      <c r="T60" s="915">
        <f t="shared" si="6"/>
        <v>0</v>
      </c>
      <c r="U60" s="966">
        <f t="shared" si="7"/>
        <v>0</v>
      </c>
      <c r="V60" s="1316">
        <v>7.1</v>
      </c>
      <c r="W60" s="1995"/>
      <c r="X60" s="1321"/>
    </row>
    <row r="61" spans="1:24" s="665" customFormat="1" ht="15" hidden="1" customHeight="1" outlineLevel="1">
      <c r="A61" s="3186"/>
      <c r="B61" s="3187"/>
      <c r="C61" s="3182" t="s">
        <v>777</v>
      </c>
      <c r="D61" s="3182"/>
      <c r="E61" s="1246"/>
      <c r="F61" s="966">
        <f>IF(SETUP!$F$41="Upfront",$E$60*'TB-EQUIPMENT &amp; OTHER HPs'!AX15,0)</f>
        <v>0</v>
      </c>
      <c r="G61" s="1004">
        <f>IF(SETUP!$F$41="Upfront",$E$60*'TB-EQUIPMENT &amp; OTHER HPs'!AY15,0)</f>
        <v>0</v>
      </c>
      <c r="H61" s="1004">
        <f>IF(SETUP!$F$41="Upfront",$E$60*'TB-EQUIPMENT &amp; OTHER HPs'!AZ15,0)</f>
        <v>0</v>
      </c>
      <c r="I61" s="1004">
        <f>IF(SETUP!$F$41="Upfront",$E$60*'TB-EQUIPMENT &amp; OTHER HPs'!BA15,0)</f>
        <v>0</v>
      </c>
      <c r="J61" s="1004">
        <f t="shared" si="4"/>
        <v>0</v>
      </c>
      <c r="K61" s="1005">
        <f>IF(SETUP!$F$41="Upfront",$E$60*'TB-EQUIPMENT &amp; OTHER HPs'!BB15,0)</f>
        <v>0</v>
      </c>
      <c r="L61" s="1004">
        <f>IF(SETUP!$F$41="Upfront",$E$60*'TB-EQUIPMENT &amp; OTHER HPs'!BC15,0)</f>
        <v>0</v>
      </c>
      <c r="M61" s="1004">
        <f>IF(SETUP!$F$41="Upfront",$E$60*'TB-EQUIPMENT &amp; OTHER HPs'!BD15,0)</f>
        <v>0</v>
      </c>
      <c r="N61" s="1004">
        <f>IF(SETUP!$F$41="Upfront",$E$60*'TB-EQUIPMENT &amp; OTHER HPs'!BE15,0)</f>
        <v>0</v>
      </c>
      <c r="O61" s="931">
        <f t="shared" si="5"/>
        <v>0</v>
      </c>
      <c r="P61" s="966">
        <f>IF(SETUP!$F$41="Upfront",$E$60*'TB-EQUIPMENT &amp; OTHER HPs'!BF15,0)</f>
        <v>0</v>
      </c>
      <c r="Q61" s="915">
        <f>IF(SETUP!$F$41="Upfront",$E$60*'TB-EQUIPMENT &amp; OTHER HPs'!BG15,0)</f>
        <v>0</v>
      </c>
      <c r="R61" s="915">
        <f>IF(SETUP!$F$41="Upfront",$E$60*'TB-EQUIPMENT &amp; OTHER HPs'!BH15,0)</f>
        <v>0</v>
      </c>
      <c r="S61" s="915">
        <f>IF(SETUP!$F$41="Upfront",$E$60*'TB-EQUIPMENT &amp; OTHER HPs'!BI15,0)</f>
        <v>0</v>
      </c>
      <c r="T61" s="915">
        <f t="shared" si="6"/>
        <v>0</v>
      </c>
      <c r="U61" s="966">
        <f t="shared" si="7"/>
        <v>0</v>
      </c>
      <c r="V61" s="1316"/>
      <c r="W61" s="1995"/>
      <c r="X61" s="1320"/>
    </row>
    <row r="62" spans="1:24" s="665" customFormat="1" ht="15" hidden="1" customHeight="1" outlineLevel="1">
      <c r="A62" s="3186"/>
      <c r="B62" s="3187"/>
      <c r="C62" s="3182" t="s">
        <v>36</v>
      </c>
      <c r="D62" s="3182"/>
      <c r="E62" s="1246"/>
      <c r="F62" s="966">
        <v>0</v>
      </c>
      <c r="G62" s="1004">
        <f>IF(SETUP!$F$41="At delivery",IF(SETUP!$G$41=1,$E$60*'TB-EQUIPMENT &amp; OTHER HPs'!AX15,0),0)</f>
        <v>0</v>
      </c>
      <c r="H62" s="1004">
        <f>IF(SETUP!$F$41="At delivery",IF(SETUP!$G$41=2,$E$60*'TB-EQUIPMENT &amp; OTHER HPs'!AX15,IF(SETUP!$G$41=1,$E$60*'TB-EQUIPMENT &amp; OTHER HPs'!AY15,0)),0)</f>
        <v>0</v>
      </c>
      <c r="I62" s="1004">
        <f>IF(SETUP!$F$41="At delivery",IF(SETUP!$G$41=3,$E$60*'TB-EQUIPMENT &amp; OTHER HPs'!AX15,IF(SETUP!$G$41=2,$E$60*'TB-EQUIPMENT &amp; OTHER HPs'!AY15,IF(SETUP!$G$41=1,$E$60*'TB-EQUIPMENT &amp; OTHER HPs'!AZ15,0))),0)</f>
        <v>0</v>
      </c>
      <c r="J62" s="1004">
        <f t="shared" si="4"/>
        <v>0</v>
      </c>
      <c r="K62" s="1005">
        <f>IF(SETUP!$F$41="At delivery",IF(SETUP!$G$41=4,$E$60*'TB-EQUIPMENT &amp; OTHER HPs'!AX15,IF(SETUP!$G$41=3,$E$60*'TB-EQUIPMENT &amp; OTHER HPs'!AY15,IF(SETUP!$G$41=2,$E$60*'TB-EQUIPMENT &amp; OTHER HPs'!AZ15,IF(SETUP!$G$41=1,$E$60*'TB-EQUIPMENT &amp; OTHER HPs'!BA15,0)))),0)</f>
        <v>0</v>
      </c>
      <c r="L62" s="1004">
        <f>IF(SETUP!$F$41="At delivery",IF(SETUP!$G$41=4,$E$60*'TB-EQUIPMENT &amp; OTHER HPs'!AY15,IF(SETUP!$G$41=3,$E$60*'TB-EQUIPMENT &amp; OTHER HPs'!AZ15,IF(SETUP!$G$41=2,$E$60*'TB-EQUIPMENT &amp; OTHER HPs'!BA15,IF(SETUP!$G$41=1,$E$60*'TB-EQUIPMENT &amp; OTHER HPs'!BB15,0)))),0)</f>
        <v>0</v>
      </c>
      <c r="M62" s="1004">
        <f>IF(SETUP!$F$41="At delivery",IF(SETUP!$G$41=4,$E$60*'TB-EQUIPMENT &amp; OTHER HPs'!AZ15,IF(SETUP!$G$41=3,$E$60*'TB-EQUIPMENT &amp; OTHER HPs'!BA15,IF(SETUP!$G$41=2,$E$60*'TB-EQUIPMENT &amp; OTHER HPs'!BB15,IF(SETUP!$G$41=1,$E$60*'TB-EQUIPMENT &amp; OTHER HPs'!BC15,0)))),0)</f>
        <v>0</v>
      </c>
      <c r="N62" s="1004">
        <f>IF(SETUP!$F$41="At delivery",IF(SETUP!$G$41=4,$E$60*'TB-EQUIPMENT &amp; OTHER HPs'!BA15,IF(SETUP!$G$41=3,$E$60*'TB-EQUIPMENT &amp; OTHER HPs'!BB15,IF(SETUP!$G$41=2,$E$60*'TB-EQUIPMENT &amp; OTHER HPs'!BC15,IF(SETUP!$G$41=1,$E$60*'TB-EQUIPMENT &amp; OTHER HPs'!BD15,0)))),0)</f>
        <v>0</v>
      </c>
      <c r="O62" s="931">
        <f t="shared" si="5"/>
        <v>0</v>
      </c>
      <c r="P62" s="966">
        <f>IF(SETUP!$F$41="At delivery",IF(SETUP!$G$41=4,$E$60*'TB-EQUIPMENT &amp; OTHER HPs'!BB15,IF(SETUP!$G$41=3,$E$60*'TB-EQUIPMENT &amp; OTHER HPs'!BC15,IF(SETUP!$G$41=2,$E$60*'TB-EQUIPMENT &amp; OTHER HPs'!BD15,IF(SETUP!$G$41=1,$E$60*'TB-EQUIPMENT &amp; OTHER HPs'!BE15,0)))),0)</f>
        <v>0</v>
      </c>
      <c r="Q62" s="915">
        <f>IF(SETUP!$F$41="At delivery",IF(SETUP!$G$41=4,$E$60*'TB-EQUIPMENT &amp; OTHER HPs'!BC15,IF(SETUP!$G$41=3,$E$60*'TB-EQUIPMENT &amp; OTHER HPs'!BD15,IF(SETUP!$G$41=2,$E$60*'TB-EQUIPMENT &amp; OTHER HPs'!BE15,IF(SETUP!$G$41=1,$E$60*'TB-EQUIPMENT &amp; OTHER HPs'!BF15,0)))),0)</f>
        <v>0</v>
      </c>
      <c r="R62" s="915">
        <f>IF(SETUP!$F$41="At delivery",IF(SETUP!$G$41=4,$E$60*'TB-EQUIPMENT &amp; OTHER HPs'!BD15,IF(SETUP!$G$41=3,$E$60*'TB-EQUIPMENT &amp; OTHER HPs'!BE15,IF(SETUP!$G$41=2,$E$60*'TB-EQUIPMENT &amp; OTHER HPs'!BF15,IF(SETUP!$G$41=1,$E$60*'TB-EQUIPMENT &amp; OTHER HPs'!BG15,0)))),0)</f>
        <v>0</v>
      </c>
      <c r="S62" s="915">
        <f>IF(SETUP!$F$41="At delivery",IF(SETUP!$G$41=4,$E$60*('TB-EQUIPMENT &amp; OTHER HPs'!BE15+'TB-EQUIPMENT &amp; OTHER HPs'!BF15+'TB-EQUIPMENT &amp; OTHER HPs'!BG15+'TB-EQUIPMENT &amp; OTHER HPs'!BH15+'TB-EQUIPMENT &amp; OTHER HPs'!BI15),IF(SETUP!$G$41=3,$E$60*('TB-EQUIPMENT &amp; OTHER HPs'!BF15+'TB-EQUIPMENT &amp; OTHER HPs'!BG15+'TB-EQUIPMENT &amp; OTHER HPs'!BH15+'TB-EQUIPMENT &amp; OTHER HPs'!BI15),IF(SETUP!$G$41=2,$E$60*('TB-EQUIPMENT &amp; OTHER HPs'!BG15+'TB-EQUIPMENT &amp; OTHER HPs'!BH15+'TB-EQUIPMENT &amp; OTHER HPs'!BI15),IF(SETUP!$G$41=1,$E$60*('TB-EQUIPMENT &amp; OTHER HPs'!BH15+'TB-EQUIPMENT &amp; OTHER HPs'!BI15),0)))),0)</f>
        <v>0</v>
      </c>
      <c r="T62" s="915">
        <f t="shared" si="6"/>
        <v>0</v>
      </c>
      <c r="U62" s="966">
        <f t="shared" si="7"/>
        <v>0</v>
      </c>
      <c r="V62" s="1316"/>
      <c r="W62" s="1995"/>
      <c r="X62" s="1320"/>
    </row>
    <row r="63" spans="1:24" s="665" customFormat="1" ht="15" hidden="1" customHeight="1" collapsed="1">
      <c r="A63" s="3186"/>
      <c r="B63" s="3187"/>
      <c r="C63" s="3188" t="s">
        <v>1354</v>
      </c>
      <c r="D63" s="3188"/>
      <c r="E63" s="1246">
        <v>0</v>
      </c>
      <c r="F63" s="966">
        <f>IF(SETUP!$F$43="Upfront",F64,F65)</f>
        <v>0</v>
      </c>
      <c r="G63" s="1004">
        <f>IF(SETUP!$F$43="Upfront",G64,G65)</f>
        <v>0</v>
      </c>
      <c r="H63" s="1004">
        <f>IF(SETUP!$F$43="Upfront",H64,H65)</f>
        <v>0</v>
      </c>
      <c r="I63" s="1004">
        <f>IF(SETUP!$F$43="Upfront",I64,I65)</f>
        <v>0</v>
      </c>
      <c r="J63" s="1004">
        <f t="shared" si="4"/>
        <v>0</v>
      </c>
      <c r="K63" s="1005">
        <f>IF(SETUP!$F$43="Upfront",K64,K65)</f>
        <v>0</v>
      </c>
      <c r="L63" s="1004">
        <f>IF(SETUP!$F$43="Upfront",L64,L65)</f>
        <v>0</v>
      </c>
      <c r="M63" s="1004">
        <f>IF(SETUP!$F$43="Upfront",M64,M65)</f>
        <v>0</v>
      </c>
      <c r="N63" s="1004">
        <f>IF(SETUP!$F$43="Upfront",N64,N65)</f>
        <v>0</v>
      </c>
      <c r="O63" s="931">
        <f t="shared" si="5"/>
        <v>0</v>
      </c>
      <c r="P63" s="966">
        <f>IF(SETUP!$F$43="Upfront",P64,P65)</f>
        <v>0</v>
      </c>
      <c r="Q63" s="915">
        <f>IF(SETUP!$F$43="Upfront",Q64,Q65)</f>
        <v>0</v>
      </c>
      <c r="R63" s="915">
        <f>IF(SETUP!$F$43="Upfront",R64,R65)</f>
        <v>0</v>
      </c>
      <c r="S63" s="915">
        <f>IF(SETUP!$F$43="Upfront",S64,S65)</f>
        <v>0</v>
      </c>
      <c r="T63" s="915">
        <f t="shared" si="6"/>
        <v>0</v>
      </c>
      <c r="U63" s="966">
        <f t="shared" si="7"/>
        <v>0</v>
      </c>
      <c r="V63" s="1316">
        <v>7.1</v>
      </c>
      <c r="W63" s="1995"/>
      <c r="X63" s="1320"/>
    </row>
    <row r="64" spans="1:24" s="665" customFormat="1" ht="15" hidden="1" customHeight="1" outlineLevel="1">
      <c r="A64" s="3186"/>
      <c r="B64" s="3187"/>
      <c r="C64" s="3182" t="s">
        <v>777</v>
      </c>
      <c r="D64" s="3182"/>
      <c r="E64" s="1246"/>
      <c r="F64" s="966">
        <f>IF(SETUP!$F$43="Upfront",$E$63*'TB-EQUIPMENT &amp; OTHER HPs'!AX16,0)</f>
        <v>0</v>
      </c>
      <c r="G64" s="1004">
        <f>IF(SETUP!$F$43="Upfront",$E$63*'TB-EQUIPMENT &amp; OTHER HPs'!AY16,0)</f>
        <v>0</v>
      </c>
      <c r="H64" s="1004">
        <f>IF(SETUP!$F$43="Upfront",$E$63*'TB-EQUIPMENT &amp; OTHER HPs'!AZ16,0)</f>
        <v>0</v>
      </c>
      <c r="I64" s="1004">
        <f>IF(SETUP!$F$43="Upfront",$E$63*'TB-EQUIPMENT &amp; OTHER HPs'!BA16,0)</f>
        <v>0</v>
      </c>
      <c r="J64" s="1004">
        <f t="shared" si="4"/>
        <v>0</v>
      </c>
      <c r="K64" s="1005">
        <f>IF(SETUP!$F$43="Upfront",$E$63*'TB-EQUIPMENT &amp; OTHER HPs'!BB16,0)</f>
        <v>0</v>
      </c>
      <c r="L64" s="1004">
        <f>IF(SETUP!$F$43="Upfront",$E$63*'TB-EQUIPMENT &amp; OTHER HPs'!BC16,0)</f>
        <v>0</v>
      </c>
      <c r="M64" s="1004">
        <f>IF(SETUP!$F$43="Upfront",$E$63*'TB-EQUIPMENT &amp; OTHER HPs'!BD16,0)</f>
        <v>0</v>
      </c>
      <c r="N64" s="1004">
        <f>IF(SETUP!$F$43="Upfront",$E$63*'TB-EQUIPMENT &amp; OTHER HPs'!BE16,0)</f>
        <v>0</v>
      </c>
      <c r="O64" s="931">
        <f t="shared" si="5"/>
        <v>0</v>
      </c>
      <c r="P64" s="966">
        <f>IF(SETUP!$F$43="Upfront",$E$63*'TB-EQUIPMENT &amp; OTHER HPs'!BF16,0)</f>
        <v>0</v>
      </c>
      <c r="Q64" s="915">
        <f>IF(SETUP!$F$43="Upfront",$E$63*'TB-EQUIPMENT &amp; OTHER HPs'!BG16,0)</f>
        <v>0</v>
      </c>
      <c r="R64" s="915">
        <f>IF(SETUP!$F$43="Upfront",$E$63*'TB-EQUIPMENT &amp; OTHER HPs'!BH16,0)</f>
        <v>0</v>
      </c>
      <c r="S64" s="915">
        <f>IF(SETUP!$F$43="Upfront",$E$63*'TB-EQUIPMENT &amp; OTHER HPs'!BI16,0)</f>
        <v>0</v>
      </c>
      <c r="T64" s="915">
        <f t="shared" si="6"/>
        <v>0</v>
      </c>
      <c r="U64" s="966">
        <f t="shared" si="7"/>
        <v>0</v>
      </c>
      <c r="V64" s="1316"/>
      <c r="W64" s="1995"/>
      <c r="X64" s="1320"/>
    </row>
    <row r="65" spans="1:24" s="665" customFormat="1" ht="15" hidden="1" customHeight="1" outlineLevel="1">
      <c r="A65" s="3186"/>
      <c r="B65" s="3187"/>
      <c r="C65" s="3182" t="s">
        <v>36</v>
      </c>
      <c r="D65" s="3182"/>
      <c r="E65" s="1246"/>
      <c r="F65" s="966">
        <v>0</v>
      </c>
      <c r="G65" s="1004">
        <f>IF(SETUP!$F$43="At delivery",IF(SETUP!$G$43=1,$E$63*'TB-EQUIPMENT &amp; OTHER HPs'!AX16,0),0)</f>
        <v>0</v>
      </c>
      <c r="H65" s="1004">
        <f>IF(SETUP!$F$43="At delivery",IF(SETUP!$G$43=2,$E$63*'TB-EQUIPMENT &amp; OTHER HPs'!AX16,IF(SETUP!$G$43=1,$E$63*'TB-EQUIPMENT &amp; OTHER HPs'!AY16,0)),0)</f>
        <v>0</v>
      </c>
      <c r="I65" s="1004">
        <f>IF(SETUP!$F$43="At delivery",IF(SETUP!$G$43=3,$E$63*'TB-EQUIPMENT &amp; OTHER HPs'!AX16,IF(SETUP!$G$43=2,$E$63*'TB-EQUIPMENT &amp; OTHER HPs'!AY16,IF(SETUP!$G$43=1,$E$63*'TB-EQUIPMENT &amp; OTHER HPs'!AZ16,0))),0)</f>
        <v>0</v>
      </c>
      <c r="J65" s="1004">
        <f t="shared" si="4"/>
        <v>0</v>
      </c>
      <c r="K65" s="1005">
        <f>IF(SETUP!$F$43="At delivery",IF(SETUP!$G$43=4,$E$63*'TB-EQUIPMENT &amp; OTHER HPs'!AX16,IF(SETUP!$G$43=3,$E$63*'TB-EQUIPMENT &amp; OTHER HPs'!AY16,IF(SETUP!$G$43=2,$E$63*'TB-EQUIPMENT &amp; OTHER HPs'!AZ16,IF(SETUP!$G$43=1,$E$63*'TB-EQUIPMENT &amp; OTHER HPs'!BA16,0)))),0)</f>
        <v>0</v>
      </c>
      <c r="L65" s="1004">
        <f>IF(SETUP!$F$43="At delivery",IF(SETUP!$G$43=4,$E$63*'TB-EQUIPMENT &amp; OTHER HPs'!AY16,IF(SETUP!$G$43=3,$E$63*'TB-EQUIPMENT &amp; OTHER HPs'!AZ16,IF(SETUP!$G$43=2,$E$63*'TB-EQUIPMENT &amp; OTHER HPs'!BA16,IF(SETUP!$G$43=1,$E$63*'TB-EQUIPMENT &amp; OTHER HPs'!BB16,0)))),0)</f>
        <v>0</v>
      </c>
      <c r="M65" s="1004">
        <f>IF(SETUP!$F$43="At delivery",IF(SETUP!$G$43=4,$E$63*'TB-EQUIPMENT &amp; OTHER HPs'!AZ16,IF(SETUP!$G$43=3,$E$63*'TB-EQUIPMENT &amp; OTHER HPs'!BA16,IF(SETUP!$G$43=2,$E$63*'TB-EQUIPMENT &amp; OTHER HPs'!BB16,IF(SETUP!$G$43=1,$E$63*'TB-EQUIPMENT &amp; OTHER HPs'!BC16,0)))),0)</f>
        <v>0</v>
      </c>
      <c r="N65" s="1004">
        <f>IF(SETUP!$F$43="At delivery",IF(SETUP!$G$43=4,$E$63*'TB-EQUIPMENT &amp; OTHER HPs'!BA16,IF(SETUP!$G$43=3,$E$63*'TB-EQUIPMENT &amp; OTHER HPs'!BB16,IF(SETUP!$G$43=2,$E$63*'TB-EQUIPMENT &amp; OTHER HPs'!BC16,IF(SETUP!$G$43=1,$E$63*'TB-EQUIPMENT &amp; OTHER HPs'!BD16,0)))),0)</f>
        <v>0</v>
      </c>
      <c r="O65" s="931">
        <f t="shared" si="5"/>
        <v>0</v>
      </c>
      <c r="P65" s="966">
        <f>IF(SETUP!$F$43="At delivery",IF(SETUP!$G$43=4,$E$63*'TB-EQUIPMENT &amp; OTHER HPs'!BB16,IF(SETUP!$G$43=3,$E$63*'TB-EQUIPMENT &amp; OTHER HPs'!BC16,IF(SETUP!$G$43=2,$E$63*'TB-EQUIPMENT &amp; OTHER HPs'!BD16,IF(SETUP!$G$43=1,$E$63*'TB-EQUIPMENT &amp; OTHER HPs'!BE16,0)))),0)</f>
        <v>0</v>
      </c>
      <c r="Q65" s="915">
        <f>IF(SETUP!$F$43="At delivery",IF(SETUP!$G$43=4,$E$63*'TB-EQUIPMENT &amp; OTHER HPs'!BC16,IF(SETUP!$G$43=3,$E$63*'TB-EQUIPMENT &amp; OTHER HPs'!BD16,IF(SETUP!$G$43=2,$E$63*'TB-EQUIPMENT &amp; OTHER HPs'!BE16,IF(SETUP!$G$43=1,$E$63*'TB-EQUIPMENT &amp; OTHER HPs'!BF16,0)))),0)</f>
        <v>0</v>
      </c>
      <c r="R65" s="915">
        <f>IF(SETUP!$F$43="At delivery",IF(SETUP!$G$43=4,$E$63*'TB-EQUIPMENT &amp; OTHER HPs'!BD16,IF(SETUP!$G$43=3,$E$63*'TB-EQUIPMENT &amp; OTHER HPs'!BE16,IF(SETUP!$G$43=2,$E$63*'TB-EQUIPMENT &amp; OTHER HPs'!BF16,IF(SETUP!$G$43=1,$E$63*'TB-EQUIPMENT &amp; OTHER HPs'!BG16,0)))),0)</f>
        <v>0</v>
      </c>
      <c r="S65" s="915">
        <f>IF(SETUP!$F$43="At delivery",IF(SETUP!$G$43=4,$E$63*('TB-EQUIPMENT &amp; OTHER HPs'!BE16+'TB-EQUIPMENT &amp; OTHER HPs'!BF16+'TB-EQUIPMENT &amp; OTHER HPs'!BG16+'TB-EQUIPMENT &amp; OTHER HPs'!BH16+'TB-EQUIPMENT &amp; OTHER HPs'!BI16),IF(SETUP!$G$43=3,$E$63*('TB-EQUIPMENT &amp; OTHER HPs'!BF16+'TB-EQUIPMENT &amp; OTHER HPs'!BG16+'TB-EQUIPMENT &amp; OTHER HPs'!BH16+'TB-EQUIPMENT &amp; OTHER HPs'!BI16),IF(SETUP!$G$43=2,$E$63*('TB-EQUIPMENT &amp; OTHER HPs'!BG16+'TB-EQUIPMENT &amp; OTHER HPs'!BH16+'TB-EQUIPMENT &amp; OTHER HPs'!BI16),IF(SETUP!$G$43=1,$E$63*('TB-EQUIPMENT &amp; OTHER HPs'!BH16+'TB-EQUIPMENT &amp; OTHER HPs'!BI16),0)))),0)</f>
        <v>0</v>
      </c>
      <c r="T65" s="915">
        <f t="shared" si="6"/>
        <v>0</v>
      </c>
      <c r="U65" s="966">
        <f t="shared" si="7"/>
        <v>0</v>
      </c>
      <c r="V65" s="1316"/>
      <c r="W65" s="1995"/>
      <c r="X65" s="1320"/>
    </row>
    <row r="66" spans="1:24" s="665" customFormat="1" ht="15" hidden="1" customHeight="1" collapsed="1">
      <c r="A66" s="3186"/>
      <c r="B66" s="3187"/>
      <c r="C66" s="3188" t="s">
        <v>449</v>
      </c>
      <c r="D66" s="3188"/>
      <c r="E66" s="1246">
        <v>0</v>
      </c>
      <c r="F66" s="966">
        <f>IF(SETUP!$F$44="Upfront",F67,F68)</f>
        <v>0</v>
      </c>
      <c r="G66" s="1004">
        <f>IF(SETUP!$F$44="Upfront",G67,G68)</f>
        <v>0</v>
      </c>
      <c r="H66" s="1004">
        <f>IF(SETUP!$F$44="Upfront",H67,H68)</f>
        <v>0</v>
      </c>
      <c r="I66" s="1004">
        <f>IF(SETUP!$F$44="Upfront",I67,I68)</f>
        <v>0</v>
      </c>
      <c r="J66" s="1004">
        <f t="shared" si="4"/>
        <v>0</v>
      </c>
      <c r="K66" s="1005">
        <f>IF(SETUP!$F$44="Upfront",K67,K68)</f>
        <v>0</v>
      </c>
      <c r="L66" s="1004">
        <f>IF(SETUP!$F$44="Upfront",L67,L68)</f>
        <v>0</v>
      </c>
      <c r="M66" s="1004">
        <f>IF(SETUP!$F$44="Upfront",M67,M68)</f>
        <v>0</v>
      </c>
      <c r="N66" s="1004">
        <f>IF(SETUP!$F$44="Upfront",N67,N68)</f>
        <v>0</v>
      </c>
      <c r="O66" s="931">
        <f t="shared" si="5"/>
        <v>0</v>
      </c>
      <c r="P66" s="966">
        <f>IF(SETUP!$F$44="Upfront",P67,P68)</f>
        <v>0</v>
      </c>
      <c r="Q66" s="915">
        <f>IF(SETUP!$F$44="Upfront",Q67,Q68)</f>
        <v>0</v>
      </c>
      <c r="R66" s="915">
        <f>IF(SETUP!$F$44="Upfront",R67,R68)</f>
        <v>0</v>
      </c>
      <c r="S66" s="915">
        <f>IF(SETUP!$F$44="Upfront",S67,S68)</f>
        <v>0</v>
      </c>
      <c r="T66" s="915">
        <f t="shared" si="6"/>
        <v>0</v>
      </c>
      <c r="U66" s="966">
        <f t="shared" si="7"/>
        <v>0</v>
      </c>
      <c r="V66" s="1316">
        <v>7.1</v>
      </c>
      <c r="W66" s="1995"/>
      <c r="X66" s="1321"/>
    </row>
    <row r="67" spans="1:24" s="665" customFormat="1" ht="15" hidden="1" customHeight="1" outlineLevel="1">
      <c r="A67" s="3186"/>
      <c r="B67" s="3187"/>
      <c r="C67" s="3182" t="s">
        <v>777</v>
      </c>
      <c r="D67" s="3182"/>
      <c r="E67" s="1246"/>
      <c r="F67" s="966">
        <f>IF(SETUP!$F$44="Upfront",$E$66*'TB-EQUIPMENT &amp; OTHER HPs'!AX17,0)</f>
        <v>0</v>
      </c>
      <c r="G67" s="1004">
        <f>IF(SETUP!$F$44="Upfront",$E$66*'TB-EQUIPMENT &amp; OTHER HPs'!AY17,0)</f>
        <v>0</v>
      </c>
      <c r="H67" s="1004">
        <f>IF(SETUP!$F$44="Upfront",$E$66*'TB-EQUIPMENT &amp; OTHER HPs'!AZ17,0)</f>
        <v>0</v>
      </c>
      <c r="I67" s="1004">
        <f>IF(SETUP!$F$44="Upfront",$E$66*'TB-EQUIPMENT &amp; OTHER HPs'!BA17,0)</f>
        <v>0</v>
      </c>
      <c r="J67" s="1004">
        <f t="shared" si="4"/>
        <v>0</v>
      </c>
      <c r="K67" s="1005">
        <f>IF(SETUP!$F$44="Upfront",$E$66*'TB-EQUIPMENT &amp; OTHER HPs'!BB17,0)</f>
        <v>0</v>
      </c>
      <c r="L67" s="1004">
        <f>IF(SETUP!$F$44="Upfront",$E$66*'TB-EQUIPMENT &amp; OTHER HPs'!BC17,0)</f>
        <v>0</v>
      </c>
      <c r="M67" s="1004">
        <f>IF(SETUP!$F$44="Upfront",$E$66*'TB-EQUIPMENT &amp; OTHER HPs'!BD17,0)</f>
        <v>0</v>
      </c>
      <c r="N67" s="1004">
        <f>IF(SETUP!$F$44="Upfront",$E$66*'TB-EQUIPMENT &amp; OTHER HPs'!BE17,0)</f>
        <v>0</v>
      </c>
      <c r="O67" s="931">
        <f t="shared" si="5"/>
        <v>0</v>
      </c>
      <c r="P67" s="966">
        <f>IF(SETUP!$F$44="Upfront",$E$66*'TB-EQUIPMENT &amp; OTHER HPs'!BF17,0)</f>
        <v>0</v>
      </c>
      <c r="Q67" s="915">
        <f>IF(SETUP!$F$44="Upfront",$E$66*'TB-EQUIPMENT &amp; OTHER HPs'!BG17,0)</f>
        <v>0</v>
      </c>
      <c r="R67" s="915">
        <f>IF(SETUP!$F$44="Upfront",$E$66*'TB-EQUIPMENT &amp; OTHER HPs'!BH17,0)</f>
        <v>0</v>
      </c>
      <c r="S67" s="915">
        <f>IF(SETUP!$F$44="Upfront",$E$66*'TB-EQUIPMENT &amp; OTHER HPs'!BI17,0)</f>
        <v>0</v>
      </c>
      <c r="T67" s="915">
        <f t="shared" si="6"/>
        <v>0</v>
      </c>
      <c r="U67" s="966">
        <f t="shared" si="7"/>
        <v>0</v>
      </c>
      <c r="V67" s="1316"/>
      <c r="W67" s="1995"/>
      <c r="X67" s="1320"/>
    </row>
    <row r="68" spans="1:24" s="665" customFormat="1" ht="15" hidden="1" customHeight="1" outlineLevel="1">
      <c r="A68" s="3186"/>
      <c r="B68" s="3187"/>
      <c r="C68" s="3182" t="s">
        <v>36</v>
      </c>
      <c r="D68" s="3182"/>
      <c r="E68" s="1246"/>
      <c r="F68" s="966">
        <v>0</v>
      </c>
      <c r="G68" s="1004">
        <f>IF(SETUP!$F$44="At delivery",IF(SETUP!$G$44=1,$E$66*'TB-EQUIPMENT &amp; OTHER HPs'!AX17,0),0)</f>
        <v>0</v>
      </c>
      <c r="H68" s="1004">
        <f>IF(SETUP!$F$44="At delivery",IF(SETUP!$G$44=2,$E$66*'TB-EQUIPMENT &amp; OTHER HPs'!AX17,IF(SETUP!$G$44=1,$E$66*'TB-EQUIPMENT &amp; OTHER HPs'!AY17,0)),0)</f>
        <v>0</v>
      </c>
      <c r="I68" s="1004">
        <f>IF(SETUP!$F$44="At delivery",IF(SETUP!$G$44=3,$E$66*'TB-EQUIPMENT &amp; OTHER HPs'!AX17,IF(SETUP!$G$44=2,$E$66*'TB-EQUIPMENT &amp; OTHER HPs'!AY17,IF(SETUP!$G$44=1,$E$66*'TB-EQUIPMENT &amp; OTHER HPs'!AZ17,0))),0)</f>
        <v>0</v>
      </c>
      <c r="J68" s="1004">
        <f t="shared" si="4"/>
        <v>0</v>
      </c>
      <c r="K68" s="1005">
        <f>IF(SETUP!$F$44="At delivery",IF(SETUP!$G$44=4,$E$66*'TB-EQUIPMENT &amp; OTHER HPs'!AX17,IF(SETUP!$G$44=3,$E$66*'TB-EQUIPMENT &amp; OTHER HPs'!AY17,IF(SETUP!$G$44=2,$E$66*'TB-EQUIPMENT &amp; OTHER HPs'!AZ17,IF(SETUP!$G$44=1,$E$66*'TB-EQUIPMENT &amp; OTHER HPs'!BA17,0)))),0)</f>
        <v>0</v>
      </c>
      <c r="L68" s="1004">
        <f>IF(SETUP!$F$44="At delivery",IF(SETUP!$G$44=4,$E$66*'TB-EQUIPMENT &amp; OTHER HPs'!AY17,IF(SETUP!$G$44=3,$E$66*'TB-EQUIPMENT &amp; OTHER HPs'!AZ17,IF(SETUP!$G$44=2,$E$66*'TB-EQUIPMENT &amp; OTHER HPs'!BA17,IF(SETUP!$G$44=1,$E$66*'TB-EQUIPMENT &amp; OTHER HPs'!BB17,0)))),0)</f>
        <v>0</v>
      </c>
      <c r="M68" s="1004">
        <f>IF(SETUP!$F$44="At delivery",IF(SETUP!$G$44=4,$E$66*'TB-EQUIPMENT &amp; OTHER HPs'!AZ17,IF(SETUP!$G$44=3,$E$66*'TB-EQUIPMENT &amp; OTHER HPs'!BA17,IF(SETUP!$G$44=2,$E$66*'TB-EQUIPMENT &amp; OTHER HPs'!BB17,IF(SETUP!$G$44=1,$E$66*'TB-EQUIPMENT &amp; OTHER HPs'!BC17,0)))),0)</f>
        <v>0</v>
      </c>
      <c r="N68" s="1004">
        <f>IF(SETUP!$F$44="At delivery",IF(SETUP!$G$44=4,$E$66*'TB-EQUIPMENT &amp; OTHER HPs'!BA17,IF(SETUP!$G$44=3,$E$66*'TB-EQUIPMENT &amp; OTHER HPs'!BB17,IF(SETUP!$G$44=2,$E$66*'TB-EQUIPMENT &amp; OTHER HPs'!BC17,IF(SETUP!$G$44=1,$E$66*'TB-EQUIPMENT &amp; OTHER HPs'!BD17,0)))),0)</f>
        <v>0</v>
      </c>
      <c r="O68" s="931">
        <f t="shared" si="5"/>
        <v>0</v>
      </c>
      <c r="P68" s="966">
        <f>IF(SETUP!$F$44="At delivery",IF(SETUP!$G$44=4,$E$66*'TB-EQUIPMENT &amp; OTHER HPs'!BB17,IF(SETUP!$G$44=3,$E$66*'TB-EQUIPMENT &amp; OTHER HPs'!BC17,IF(SETUP!$G$44=2,$E$66*'TB-EQUIPMENT &amp; OTHER HPs'!BD17,IF(SETUP!$G$44=1,$E$66*'TB-EQUIPMENT &amp; OTHER HPs'!BE17,0)))),0)</f>
        <v>0</v>
      </c>
      <c r="Q68" s="915">
        <f>IF(SETUP!$F$44="At delivery",IF(SETUP!$G$44=4,$E$66*'TB-EQUIPMENT &amp; OTHER HPs'!BC17,IF(SETUP!$G$44=3,$E$66*'TB-EQUIPMENT &amp; OTHER HPs'!BD17,IF(SETUP!$G$44=2,$E$66*'TB-EQUIPMENT &amp; OTHER HPs'!BE17,IF(SETUP!$G$44=1,$E$66*'TB-EQUIPMENT &amp; OTHER HPs'!BF17,0)))),0)</f>
        <v>0</v>
      </c>
      <c r="R68" s="915">
        <f>IF(SETUP!$F$44="At delivery",IF(SETUP!$G$44=4,$E$66*'TB-EQUIPMENT &amp; OTHER HPs'!BD17,IF(SETUP!$G$44=3,$E$66*'TB-EQUIPMENT &amp; OTHER HPs'!BE17,IF(SETUP!$G$44=2,$E$66*'TB-EQUIPMENT &amp; OTHER HPs'!BF17,IF(SETUP!$G$44=1,$E$66*'TB-EQUIPMENT &amp; OTHER HPs'!BG17,0)))),0)</f>
        <v>0</v>
      </c>
      <c r="S68" s="915">
        <f>IF(SETUP!$F$44="At delivery",IF(SETUP!$G$44=4,$E$66*('TB-EQUIPMENT &amp; OTHER HPs'!BE17+'TB-EQUIPMENT &amp; OTHER HPs'!BF17+'TB-EQUIPMENT &amp; OTHER HPs'!BG17+'TB-EQUIPMENT &amp; OTHER HPs'!BH17+'TB-EQUIPMENT &amp; OTHER HPs'!BI17),IF(SETUP!$G$44=3,$E$66*('TB-EQUIPMENT &amp; OTHER HPs'!BF17+'TB-EQUIPMENT &amp; OTHER HPs'!BG17+'TB-EQUIPMENT &amp; OTHER HPs'!BH17+'TB-EQUIPMENT &amp; OTHER HPs'!BI17),IF(SETUP!$G$44=2,$E$66*('TB-EQUIPMENT &amp; OTHER HPs'!BG17+'TB-EQUIPMENT &amp; OTHER HPs'!BH17+'TB-EQUIPMENT &amp; OTHER HPs'!BI17),IF(SETUP!$G$44=1,$E$66*('TB-EQUIPMENT &amp; OTHER HPs'!BH17+'TB-EQUIPMENT &amp; OTHER HPs'!BI17),0)))),0)</f>
        <v>0</v>
      </c>
      <c r="T68" s="915">
        <f t="shared" si="6"/>
        <v>0</v>
      </c>
      <c r="U68" s="966">
        <f t="shared" si="7"/>
        <v>0</v>
      </c>
      <c r="V68" s="1316">
        <v>7.1</v>
      </c>
      <c r="W68" s="1995"/>
      <c r="X68" s="1320"/>
    </row>
    <row r="69" spans="1:24" s="665" customFormat="1" ht="15" hidden="1" customHeight="1" collapsed="1">
      <c r="A69" s="3189" t="s">
        <v>450</v>
      </c>
      <c r="B69" s="3190"/>
      <c r="C69" s="3188" t="s">
        <v>451</v>
      </c>
      <c r="D69" s="3188"/>
      <c r="E69" s="1246">
        <v>0</v>
      </c>
      <c r="F69" s="966">
        <f>IF(SETUP!$F$50="Upfront",F70,F71)</f>
        <v>0</v>
      </c>
      <c r="G69" s="915">
        <f>IF(SETUP!$F$50="Upfront",G70,G71)</f>
        <v>0</v>
      </c>
      <c r="H69" s="915">
        <f>IF(SETUP!$F$50="Upfront",H70,H71)</f>
        <v>0</v>
      </c>
      <c r="I69" s="915">
        <f>IF(SETUP!$F$50="Upfront",I70,I71)</f>
        <v>0</v>
      </c>
      <c r="J69" s="1004">
        <f t="shared" si="4"/>
        <v>0</v>
      </c>
      <c r="K69" s="1005">
        <f>IF(SETUP!$F$50="Upfront",K70,K71)</f>
        <v>0</v>
      </c>
      <c r="L69" s="1004">
        <f>IF(SETUP!$F$50="Upfront",L70,L71)</f>
        <v>0</v>
      </c>
      <c r="M69" s="1004">
        <f>IF(SETUP!$F$50="Upfront",M70,M71)</f>
        <v>0</v>
      </c>
      <c r="N69" s="1004">
        <f>IF(SETUP!$F$50="Upfront",N70,N71)</f>
        <v>0</v>
      </c>
      <c r="O69" s="931">
        <f t="shared" si="5"/>
        <v>0</v>
      </c>
      <c r="P69" s="966">
        <f>IF(SETUP!$F$50="Upfront",P70,P71)</f>
        <v>0</v>
      </c>
      <c r="Q69" s="915">
        <f>IF(SETUP!$F$50="Upfront",Q70,Q71)</f>
        <v>0</v>
      </c>
      <c r="R69" s="915">
        <f>IF(SETUP!$F$50="Upfront",R70,R71)</f>
        <v>0</v>
      </c>
      <c r="S69" s="915">
        <f>IF(SETUP!$F$50="Upfront",S70,S71)</f>
        <v>0</v>
      </c>
      <c r="T69" s="915">
        <f t="shared" si="6"/>
        <v>0</v>
      </c>
      <c r="U69" s="966">
        <f t="shared" si="7"/>
        <v>0</v>
      </c>
      <c r="V69" s="1316">
        <v>7.1</v>
      </c>
      <c r="W69" s="1995"/>
      <c r="X69" s="1320" t="s">
        <v>452</v>
      </c>
    </row>
    <row r="70" spans="1:24" s="665" customFormat="1" ht="15" hidden="1" customHeight="1" outlineLevel="1">
      <c r="A70" s="3189"/>
      <c r="B70" s="3190"/>
      <c r="C70" s="3182" t="s">
        <v>777</v>
      </c>
      <c r="D70" s="3182"/>
      <c r="E70" s="1246"/>
      <c r="F70" s="966">
        <f>IF(SETUP!$F$50="Upfront",$E$69*'Malaria-Pharmaceuticals'!AX14,0)</f>
        <v>0</v>
      </c>
      <c r="G70" s="1004">
        <f>IF(SETUP!$F$50="Upfront",$E$69*'Malaria-Pharmaceuticals'!AY14,0)</f>
        <v>0</v>
      </c>
      <c r="H70" s="1004">
        <f>IF(SETUP!$F$50="Upfront",$E$69*'Malaria-Pharmaceuticals'!AZ14,0)</f>
        <v>0</v>
      </c>
      <c r="I70" s="1004">
        <f>IF(SETUP!$F$50="Upfront",$E$69*'Malaria-Pharmaceuticals'!BA14,0)</f>
        <v>0</v>
      </c>
      <c r="J70" s="1004">
        <f t="shared" si="4"/>
        <v>0</v>
      </c>
      <c r="K70" s="1005">
        <f>IF(SETUP!$F$50="Upfront",$E$69*'Malaria-Pharmaceuticals'!BB14,0)</f>
        <v>0</v>
      </c>
      <c r="L70" s="1004">
        <f>IF(SETUP!$F$50="Upfront",$E$69*'Malaria-Pharmaceuticals'!BC14,0)</f>
        <v>0</v>
      </c>
      <c r="M70" s="1004">
        <f>IF(SETUP!$F$50="Upfront",$E$69*'Malaria-Pharmaceuticals'!BD14,0)</f>
        <v>0</v>
      </c>
      <c r="N70" s="1004">
        <f>IF(SETUP!$F$50="Upfront",$E$69*'Malaria-Pharmaceuticals'!BE14,0)</f>
        <v>0</v>
      </c>
      <c r="O70" s="931">
        <f t="shared" si="5"/>
        <v>0</v>
      </c>
      <c r="P70" s="966">
        <f>IF(SETUP!$F$50="Upfront",$E$69*'Malaria-Pharmaceuticals'!BF14,0)</f>
        <v>0</v>
      </c>
      <c r="Q70" s="915">
        <f>IF(SETUP!$F$50="Upfront",$E$69*'Malaria-Pharmaceuticals'!BG14,0)</f>
        <v>0</v>
      </c>
      <c r="R70" s="915">
        <f>IF(SETUP!$F$50="Upfront",$E$69*'Malaria-Pharmaceuticals'!BH14,0)</f>
        <v>0</v>
      </c>
      <c r="S70" s="915">
        <f>IF(SETUP!$F$50="Upfront",$E$69*'Malaria-Pharmaceuticals'!BI14,0)</f>
        <v>0</v>
      </c>
      <c r="T70" s="915">
        <f t="shared" si="6"/>
        <v>0</v>
      </c>
      <c r="U70" s="966">
        <f t="shared" si="7"/>
        <v>0</v>
      </c>
      <c r="V70" s="1316"/>
      <c r="W70" s="1995"/>
      <c r="X70" s="1320"/>
    </row>
    <row r="71" spans="1:24" s="665" customFormat="1" ht="15" hidden="1" customHeight="1" outlineLevel="1">
      <c r="A71" s="3189"/>
      <c r="B71" s="3190"/>
      <c r="C71" s="3182" t="s">
        <v>36</v>
      </c>
      <c r="D71" s="3182"/>
      <c r="E71" s="1246"/>
      <c r="F71" s="966">
        <v>0</v>
      </c>
      <c r="G71" s="1004">
        <f>IF(SETUP!$F$50="At delivery",IF(SETUP!$G$50=1,$E$69*'Malaria-Pharmaceuticals'!AX14,0),0)</f>
        <v>0</v>
      </c>
      <c r="H71" s="1004">
        <f>IF(SETUP!$F$50="At delivery",IF(SETUP!$G$50=2,$E$69*'Malaria-Pharmaceuticals'!AX14,IF(SETUP!$G$50=1,$E$69*'Malaria-Pharmaceuticals'!AY14,0)),0)</f>
        <v>0</v>
      </c>
      <c r="I71" s="1004">
        <f>IF(SETUP!$F$50="At delivery",IF(SETUP!$G$50=3,$E$69*'Malaria-Pharmaceuticals'!AX14,IF(SETUP!$G$50=2,$E$69*'Malaria-Pharmaceuticals'!AY14,IF(SETUP!$G$50=1,$E$69*'Malaria-Pharmaceuticals'!AZ14,0))),0)</f>
        <v>0</v>
      </c>
      <c r="J71" s="1004">
        <f t="shared" ref="J71:J93" si="8">F71+G71+H71+I71</f>
        <v>0</v>
      </c>
      <c r="K71" s="1005">
        <f>IF(SETUP!$F$50="At delivery",IF(SETUP!$G$50=4,$E$69*'Malaria-Pharmaceuticals'!AX14,IF(SETUP!$G$50=3,$E$69*'Malaria-Pharmaceuticals'!AY14,IF(SETUP!$G$50=2,$E$69*'Malaria-Pharmaceuticals'!AZ14,IF(SETUP!$G$50=1,$E$69*'Malaria-Pharmaceuticals'!BA14,0)))),0)</f>
        <v>0</v>
      </c>
      <c r="L71" s="1004">
        <f>IF(SETUP!$F$50="At delivery",IF(SETUP!$G$50=4,$E$69*'Malaria-Pharmaceuticals'!AY14,IF(SETUP!$G$50=3,$E$69*'Malaria-Pharmaceuticals'!AZ14,IF(SETUP!$G$50=2,$E$69*'Malaria-Pharmaceuticals'!BA14,IF(SETUP!$G$50=1,$E$69*'Malaria-Pharmaceuticals'!BB14,0)))),0)</f>
        <v>0</v>
      </c>
      <c r="M71" s="1004">
        <f>IF(SETUP!$F$50="At delivery",IF(SETUP!$G$50=4,$E$69*'Malaria-Pharmaceuticals'!AZ14,IF(SETUP!$G$50=3,$E$69*'Malaria-Pharmaceuticals'!BA14,IF(SETUP!$G$50=2,$E$69*'Malaria-Pharmaceuticals'!BB14,IF(SETUP!$G$50=1,$E$69*'Malaria-Pharmaceuticals'!BC14,0)))),0)</f>
        <v>0</v>
      </c>
      <c r="N71" s="1004">
        <f>IF(SETUP!$F$50="At delivery",IF(SETUP!$G$50=4,$E$69*'Malaria-Pharmaceuticals'!BA14,IF(SETUP!$G$50=3,$E$69*'Malaria-Pharmaceuticals'!BB14,IF(SETUP!$G$50=2,$E$69*'Malaria-Pharmaceuticals'!BC14,IF(SETUP!$G$50=1,$E$69*'Malaria-Pharmaceuticals'!BD14,0)))),0)</f>
        <v>0</v>
      </c>
      <c r="O71" s="931">
        <f t="shared" ref="O71:O95" si="9">K71+L71+M71+N71</f>
        <v>0</v>
      </c>
      <c r="P71" s="966">
        <f>IF(SETUP!$F$50="At delivery",IF(SETUP!$G$50=4,$E$69*'Malaria-Pharmaceuticals'!BB14,IF(SETUP!$G$50=3,$E$69*'Malaria-Pharmaceuticals'!BC14,IF(SETUP!$G$50=2,$E$69*'Malaria-Pharmaceuticals'!BD14,IF(SETUP!$G$50=1,$E$69*'Malaria-Pharmaceuticals'!BE14,0)))),0)</f>
        <v>0</v>
      </c>
      <c r="Q71" s="915">
        <f>IF(SETUP!$F$50="At delivery",IF(SETUP!$G$50=4,$E$69*'Malaria-Pharmaceuticals'!BC14,IF(SETUP!$G$50=3,$E$69*'Malaria-Pharmaceuticals'!BD14,IF(SETUP!$G$50=2,$E$69*'Malaria-Pharmaceuticals'!BE14,IF(SETUP!$G$50=1,$E$69*'Malaria-Pharmaceuticals'!BF14,0)))),0)</f>
        <v>0</v>
      </c>
      <c r="R71" s="915">
        <f>IF(SETUP!$F$50="At delivery",IF(SETUP!$G$50=4,$E$69*'Malaria-Pharmaceuticals'!BD14,IF(SETUP!$G$50=3,$E$69*'Malaria-Pharmaceuticals'!BE14,IF(SETUP!$G$50=2,$E$69*'Malaria-Pharmaceuticals'!BF14,IF(SETUP!$G$50=1,$E$69*'Malaria-Pharmaceuticals'!BG14,0)))),0)</f>
        <v>0</v>
      </c>
      <c r="S71" s="915">
        <f>IF(SETUP!$F$50="At delivery",IF(SETUP!$G$50=4,$E$69*('Malaria-Pharmaceuticals'!BE14+'Malaria-Pharmaceuticals'!BF14+'Malaria-Pharmaceuticals'!BG14+'Malaria-Pharmaceuticals'!BH14+'Malaria-Pharmaceuticals'!BI14),IF(SETUP!$G$50=3,$E$69*('Malaria-Pharmaceuticals'!BF14+'Malaria-Pharmaceuticals'!BG14+'Malaria-Pharmaceuticals'!BH14+'Malaria-Pharmaceuticals'!BI14),IF(SETUP!$G$50=2,$E$69*('Malaria-Pharmaceuticals'!BG14+'Malaria-Pharmaceuticals'!BH14+'Malaria-Pharmaceuticals'!BI14),IF(SETUP!$G$50=1,$E$69*('Malaria-Pharmaceuticals'!BH14+'Malaria-Pharmaceuticals'!BI14),0)))),0)</f>
        <v>0</v>
      </c>
      <c r="T71" s="915">
        <f t="shared" ref="T71:T95" si="10">P71+Q71+R71+S71</f>
        <v>0</v>
      </c>
      <c r="U71" s="966">
        <f t="shared" ref="U71:U95" si="11">J71+O71+T71</f>
        <v>0</v>
      </c>
      <c r="V71" s="1316"/>
      <c r="W71" s="1995"/>
      <c r="X71" s="1320"/>
    </row>
    <row r="72" spans="1:24" s="665" customFormat="1" ht="15" hidden="1" customHeight="1" collapsed="1">
      <c r="A72" s="3189"/>
      <c r="B72" s="3190"/>
      <c r="C72" s="3188" t="s">
        <v>1029</v>
      </c>
      <c r="D72" s="3188"/>
      <c r="E72" s="1246">
        <v>0</v>
      </c>
      <c r="F72" s="966">
        <f>IF(SETUP!$F$51="Upfront",F73,F74)</f>
        <v>0</v>
      </c>
      <c r="G72" s="1004">
        <f>IF(SETUP!$F$51="Upfront",G73,G74)</f>
        <v>0</v>
      </c>
      <c r="H72" s="1004">
        <f>IF(SETUP!$F$51="Upfront",H73,H74)</f>
        <v>0</v>
      </c>
      <c r="I72" s="1004">
        <f>IF(SETUP!$F$51="Upfront",I73,I74)</f>
        <v>0</v>
      </c>
      <c r="J72" s="1004">
        <f t="shared" si="8"/>
        <v>0</v>
      </c>
      <c r="K72" s="1005">
        <f>IF(SETUP!$F$51="Upfront",K73,K74)</f>
        <v>0</v>
      </c>
      <c r="L72" s="1004">
        <f>IF(SETUP!$F$51="Upfront",L73,L74)</f>
        <v>0</v>
      </c>
      <c r="M72" s="1004">
        <f>IF(SETUP!$F$51="Upfront",M73,M74)</f>
        <v>0</v>
      </c>
      <c r="N72" s="1004">
        <f>IF(SETUP!$F$51="Upfront",N73,N74)</f>
        <v>0</v>
      </c>
      <c r="O72" s="931">
        <f t="shared" si="9"/>
        <v>0</v>
      </c>
      <c r="P72" s="966">
        <f>IF(SETUP!$F$51="Upfront",P73,P74)</f>
        <v>0</v>
      </c>
      <c r="Q72" s="915">
        <f>IF(SETUP!$F$51="Upfront",Q73,Q74)</f>
        <v>0</v>
      </c>
      <c r="R72" s="915">
        <f>IF(SETUP!$F$51="Upfront",R73,R74)</f>
        <v>0</v>
      </c>
      <c r="S72" s="915">
        <f>IF(SETUP!$F$51="Upfront",S73,S74)</f>
        <v>0</v>
      </c>
      <c r="T72" s="915">
        <f t="shared" si="10"/>
        <v>0</v>
      </c>
      <c r="U72" s="966">
        <f t="shared" si="11"/>
        <v>0</v>
      </c>
      <c r="V72" s="1316">
        <v>7.1</v>
      </c>
      <c r="W72" s="1995"/>
      <c r="X72" s="1321"/>
    </row>
    <row r="73" spans="1:24" s="665" customFormat="1" ht="15" hidden="1" customHeight="1" outlineLevel="1">
      <c r="A73" s="3189"/>
      <c r="B73" s="3190"/>
      <c r="C73" s="3182" t="s">
        <v>777</v>
      </c>
      <c r="D73" s="3182"/>
      <c r="E73" s="1246"/>
      <c r="F73" s="966">
        <f>IF(SETUP!$F$51="Upfront",$E$72*'Malaria-Pharmaceuticals'!AX15,0)</f>
        <v>0</v>
      </c>
      <c r="G73" s="1004">
        <f>IF(SETUP!$F$51="Upfront",$E$72*'Malaria-Pharmaceuticals'!AY15,0)</f>
        <v>0</v>
      </c>
      <c r="H73" s="1004">
        <f>IF(SETUP!$F$51="Upfront",$E$72*'Malaria-Pharmaceuticals'!AZ15,0)</f>
        <v>0</v>
      </c>
      <c r="I73" s="1004">
        <f>IF(SETUP!$F$51="Upfront",$E$72*'Malaria-Pharmaceuticals'!BA15,0)</f>
        <v>0</v>
      </c>
      <c r="J73" s="1004">
        <f t="shared" si="8"/>
        <v>0</v>
      </c>
      <c r="K73" s="1005">
        <f>IF(SETUP!$F$51="Upfront",$E$72*'Malaria-Pharmaceuticals'!BB15,0)</f>
        <v>0</v>
      </c>
      <c r="L73" s="1004">
        <f>IF(SETUP!$F$51="Upfront",$E$72*'Malaria-Pharmaceuticals'!BC15,0)</f>
        <v>0</v>
      </c>
      <c r="M73" s="1004">
        <f>IF(SETUP!$F$51="Upfront",$E$72*'Malaria-Pharmaceuticals'!BD15,0)</f>
        <v>0</v>
      </c>
      <c r="N73" s="1004">
        <f>IF(SETUP!$F$51="Upfront",$E$72*'Malaria-Pharmaceuticals'!BE15,0)</f>
        <v>0</v>
      </c>
      <c r="O73" s="931">
        <f t="shared" si="9"/>
        <v>0</v>
      </c>
      <c r="P73" s="966">
        <f>IF(SETUP!$F$51="Upfront",$E$72*'Malaria-Pharmaceuticals'!BF15,0)</f>
        <v>0</v>
      </c>
      <c r="Q73" s="915">
        <f>IF(SETUP!$F$51="Upfront",$E$72*'Malaria-Pharmaceuticals'!BG15,0)</f>
        <v>0</v>
      </c>
      <c r="R73" s="915">
        <f>IF(SETUP!$F$51="Upfront",$E$72*'Malaria-Pharmaceuticals'!BH15,0)</f>
        <v>0</v>
      </c>
      <c r="S73" s="915">
        <f>IF(SETUP!$F$51="Upfront",$E$72*'Malaria-Pharmaceuticals'!BI15,0)</f>
        <v>0</v>
      </c>
      <c r="T73" s="915">
        <f t="shared" si="10"/>
        <v>0</v>
      </c>
      <c r="U73" s="966">
        <f t="shared" si="11"/>
        <v>0</v>
      </c>
      <c r="V73" s="1316"/>
      <c r="W73" s="1995"/>
      <c r="X73" s="1320"/>
    </row>
    <row r="74" spans="1:24" s="665" customFormat="1" ht="15" hidden="1" customHeight="1" outlineLevel="1">
      <c r="A74" s="3189"/>
      <c r="B74" s="3190"/>
      <c r="C74" s="3182" t="s">
        <v>36</v>
      </c>
      <c r="D74" s="3182"/>
      <c r="E74" s="1246"/>
      <c r="F74" s="966">
        <v>0</v>
      </c>
      <c r="G74" s="1004">
        <f>IF(SETUP!$F$51="At delivery",IF(SETUP!$G$51=1,$E$72*'Malaria-Pharmaceuticals'!AX15,0),0)</f>
        <v>0</v>
      </c>
      <c r="H74" s="1004">
        <f>IF(SETUP!$F$51="At delivery",IF(SETUP!$G$51=2,$E$72*'Malaria-Pharmaceuticals'!AX15,IF(SETUP!$G$51=1,$E$72*'Malaria-Pharmaceuticals'!AY15,0)),0)</f>
        <v>0</v>
      </c>
      <c r="I74" s="1004">
        <f>IF(SETUP!$F$51="At delivery",IF(SETUP!$G$51=3,$E$72*'Malaria-Pharmaceuticals'!AX15,IF(SETUP!$G$51=2,$E$72*'Malaria-Pharmaceuticals'!AY15,IF(SETUP!$G$51=1,$E$72*'Malaria-Pharmaceuticals'!AZ15,0))),0)</f>
        <v>0</v>
      </c>
      <c r="J74" s="1004">
        <f t="shared" si="8"/>
        <v>0</v>
      </c>
      <c r="K74" s="1005">
        <f>IF(SETUP!$F$51="At delivery",IF(SETUP!$G$51=4,$E$72*'Malaria-Pharmaceuticals'!AX15,IF(SETUP!$G$51=3,$E$72*'Malaria-Pharmaceuticals'!AY15,IF(SETUP!$G$51=2,$E$72*'Malaria-Pharmaceuticals'!AZ15,IF(SETUP!$G$51=1,$E$72*'Malaria-Pharmaceuticals'!BA15,0)))),0)</f>
        <v>0</v>
      </c>
      <c r="L74" s="1004">
        <f>IF(SETUP!$F$51="At delivery",IF(SETUP!$G$51=4,$E$72*'Malaria-Pharmaceuticals'!AY15,IF(SETUP!$G$51=3,$E$72*'Malaria-Pharmaceuticals'!AZ15,IF(SETUP!$G$51=2,$E$72*'Malaria-Pharmaceuticals'!BA15,IF(SETUP!$G$51=1,$E$72*'Malaria-Pharmaceuticals'!BB15,0)))),0)</f>
        <v>0</v>
      </c>
      <c r="M74" s="1004">
        <f>IF(SETUP!$F$51="At delivery",IF(SETUP!$G$51=4,$E$72*'Malaria-Pharmaceuticals'!AZ15,IF(SETUP!$G$51=3,$E$72*'Malaria-Pharmaceuticals'!BA15,IF(SETUP!$G$51=2,$E$72*'Malaria-Pharmaceuticals'!BB15,IF(SETUP!$G$51=1,$E$72*'Malaria-Pharmaceuticals'!BC15,0)))),0)</f>
        <v>0</v>
      </c>
      <c r="N74" s="1004">
        <f>IF(SETUP!$F$51="At delivery",IF(SETUP!$G$51=4,$E$72*'Malaria-Pharmaceuticals'!BA15,IF(SETUP!$G$51=3,$E$72*'Malaria-Pharmaceuticals'!BB15,IF(SETUP!$G$51=2,$E$72*'Malaria-Pharmaceuticals'!BC15,IF(SETUP!$G$51=1,$E$72*'Malaria-Pharmaceuticals'!BD15,0)))),0)</f>
        <v>0</v>
      </c>
      <c r="O74" s="931">
        <f t="shared" si="9"/>
        <v>0</v>
      </c>
      <c r="P74" s="966">
        <f>IF(SETUP!$F$51="At delivery",IF(SETUP!$G$51=4,$E$72*'Malaria-Pharmaceuticals'!BB15,IF(SETUP!$G$51=3,$E$72*'Malaria-Pharmaceuticals'!BC15,IF(SETUP!$G$51=2,$E$72*'Malaria-Pharmaceuticals'!BD15,IF(SETUP!$G$51=1,$E$72*'Malaria-Pharmaceuticals'!BE15,0)))),0)</f>
        <v>0</v>
      </c>
      <c r="Q74" s="915">
        <f>IF(SETUP!$F$51="At delivery",IF(SETUP!$G$51=4,$E$72*'Malaria-Pharmaceuticals'!BC15,IF(SETUP!$G$51=3,$E$72*'Malaria-Pharmaceuticals'!BD15,IF(SETUP!$G$51=2,$E$72*'Malaria-Pharmaceuticals'!BE15,IF(SETUP!$G$51=1,$E$72*'Malaria-Pharmaceuticals'!BF15,0)))),0)</f>
        <v>0</v>
      </c>
      <c r="R74" s="915">
        <f>IF(SETUP!$F$51="At delivery",IF(SETUP!$G$51=4,$E$72*'Malaria-Pharmaceuticals'!BD15,IF(SETUP!$G$51=3,$E$72*'Malaria-Pharmaceuticals'!BE15,IF(SETUP!$G$51=2,$E$72*'Malaria-Pharmaceuticals'!BF15,IF(SETUP!$G$51=1,$E$72*'Malaria-Pharmaceuticals'!BG15,0)))),0)</f>
        <v>0</v>
      </c>
      <c r="S74" s="915">
        <f>IF(SETUP!$F$51="At delivery",IF(SETUP!$G$51=4,$E$72*('Malaria-Pharmaceuticals'!BE15+'Malaria-Pharmaceuticals'!BF15+'Malaria-Pharmaceuticals'!BG15+'Malaria-Pharmaceuticals'!BH15+'Malaria-Pharmaceuticals'!BI15),IF(SETUP!$G$51=3,$E$72*('Malaria-Pharmaceuticals'!BF15+'Malaria-Pharmaceuticals'!BG15+'Malaria-Pharmaceuticals'!BH15+'Malaria-Pharmaceuticals'!BI15),IF(SETUP!$G$51=2,$E$72*('Malaria-Pharmaceuticals'!BG15+'Malaria-Pharmaceuticals'!BH15+'Malaria-Pharmaceuticals'!BI15),IF(SETUP!$G$51=1,$E$72*('Malaria-Pharmaceuticals'!BH15+'Malaria-Pharmaceuticals'!BI15),0)))),0)</f>
        <v>0</v>
      </c>
      <c r="T74" s="915">
        <f t="shared" si="10"/>
        <v>0</v>
      </c>
      <c r="U74" s="966">
        <f t="shared" si="11"/>
        <v>0</v>
      </c>
      <c r="V74" s="1316">
        <v>7.1</v>
      </c>
      <c r="W74" s="1995"/>
      <c r="X74" s="1320"/>
    </row>
    <row r="75" spans="1:24" s="993" customFormat="1" ht="31.15" hidden="1" customHeight="1" collapsed="1">
      <c r="A75" s="3195" t="s">
        <v>454</v>
      </c>
      <c r="B75" s="3196"/>
      <c r="C75" s="3188" t="s">
        <v>292</v>
      </c>
      <c r="D75" s="3188"/>
      <c r="E75" s="1246">
        <v>0</v>
      </c>
      <c r="F75" s="966">
        <f>IF(SETUP!$F$52="Upfront",F76,F77)</f>
        <v>0</v>
      </c>
      <c r="G75" s="1004">
        <f>IF(SETUP!$F$52="Upfront",G76,G77)</f>
        <v>0</v>
      </c>
      <c r="H75" s="1004">
        <f>IF(SETUP!$F$52="Upfront",H76,H77)</f>
        <v>0</v>
      </c>
      <c r="I75" s="1004">
        <f>IF(SETUP!$F$52="Upfront",I76,I77)</f>
        <v>0</v>
      </c>
      <c r="J75" s="1004">
        <f t="shared" si="8"/>
        <v>0</v>
      </c>
      <c r="K75" s="1005">
        <f>IF(SETUP!$F$52="Upfront",K76,K77)</f>
        <v>0</v>
      </c>
      <c r="L75" s="1004">
        <f>IF(SETUP!$F$52="Upfront",L76,L77)</f>
        <v>0</v>
      </c>
      <c r="M75" s="1004">
        <f>IF(SETUP!$F$52="Upfront",M76,M77)</f>
        <v>0</v>
      </c>
      <c r="N75" s="1004">
        <f>IF(SETUP!$F$52="Upfront",N76,N77)</f>
        <v>0</v>
      </c>
      <c r="O75" s="931">
        <f t="shared" si="9"/>
        <v>0</v>
      </c>
      <c r="P75" s="966">
        <f>IF(SETUP!$F$52="Upfront",P76,P77)</f>
        <v>0</v>
      </c>
      <c r="Q75" s="915">
        <f>IF(SETUP!$F$52="Upfront",Q76,Q77)</f>
        <v>0</v>
      </c>
      <c r="R75" s="915">
        <f>IF(SETUP!$F$52="Upfront",R76,R77)</f>
        <v>0</v>
      </c>
      <c r="S75" s="915">
        <f>IF(SETUP!$F$52="Upfront",S76,S77)</f>
        <v>0</v>
      </c>
      <c r="T75" s="915">
        <f t="shared" si="10"/>
        <v>0</v>
      </c>
      <c r="U75" s="966">
        <f t="shared" si="11"/>
        <v>0</v>
      </c>
      <c r="V75" s="1316">
        <v>7.1</v>
      </c>
      <c r="W75" s="1995"/>
      <c r="X75" s="1320"/>
    </row>
    <row r="76" spans="1:24" s="665" customFormat="1" ht="15" hidden="1" customHeight="1" outlineLevel="1">
      <c r="A76" s="3197"/>
      <c r="B76" s="3198"/>
      <c r="C76" s="3182" t="s">
        <v>777</v>
      </c>
      <c r="D76" s="3182"/>
      <c r="E76" s="1246"/>
      <c r="F76" s="966">
        <f>IF(SETUP!$F$52="Upfront",$E$75*'Malaria-Equipment &amp; Other HPs'!AX14,0)</f>
        <v>0</v>
      </c>
      <c r="G76" s="1004">
        <f>IF(SETUP!$F$52="Upfront",$E$75*'Malaria-Equipment &amp; Other HPs'!AY14,0)</f>
        <v>0</v>
      </c>
      <c r="H76" s="1004">
        <f>IF(SETUP!$F$52="Upfront",$E$75*'Malaria-Equipment &amp; Other HPs'!AZ14,0)</f>
        <v>0</v>
      </c>
      <c r="I76" s="1004">
        <f>IF(SETUP!$F$52="Upfront",$E$75*'Malaria-Equipment &amp; Other HPs'!BA14,0)</f>
        <v>0</v>
      </c>
      <c r="J76" s="1004">
        <f t="shared" si="8"/>
        <v>0</v>
      </c>
      <c r="K76" s="1005">
        <f>IF(SETUP!$F$52="Upfront",$E$75*'Malaria-Equipment &amp; Other HPs'!BB14,0)</f>
        <v>0</v>
      </c>
      <c r="L76" s="1004">
        <f>IF(SETUP!$F$52="Upfront",$E$75*'Malaria-Equipment &amp; Other HPs'!BC14,0)</f>
        <v>0</v>
      </c>
      <c r="M76" s="1004">
        <f>IF(SETUP!$F$52="Upfront",$E$75*'Malaria-Equipment &amp; Other HPs'!BD14,0)</f>
        <v>0</v>
      </c>
      <c r="N76" s="1004">
        <f>IF(SETUP!$F$52="Upfront",$E$75*'Malaria-Equipment &amp; Other HPs'!BE14,0)</f>
        <v>0</v>
      </c>
      <c r="O76" s="931">
        <f t="shared" si="9"/>
        <v>0</v>
      </c>
      <c r="P76" s="966">
        <f>IF(SETUP!$F$52="Upfront",$E$75*'Malaria-Equipment &amp; Other HPs'!BF14,0)</f>
        <v>0</v>
      </c>
      <c r="Q76" s="915">
        <f>IF(SETUP!$F$52="Upfront",$E$75*'Malaria-Equipment &amp; Other HPs'!BG14,0)</f>
        <v>0</v>
      </c>
      <c r="R76" s="915">
        <f>IF(SETUP!$F$52="Upfront",$E$75*'Malaria-Equipment &amp; Other HPs'!BH14,0)</f>
        <v>0</v>
      </c>
      <c r="S76" s="915">
        <f>IF(SETUP!$F$52="Upfront",$E$75*'Malaria-Equipment &amp; Other HPs'!BI14,0)</f>
        <v>0</v>
      </c>
      <c r="T76" s="915">
        <f t="shared" si="10"/>
        <v>0</v>
      </c>
      <c r="U76" s="966">
        <f t="shared" si="11"/>
        <v>0</v>
      </c>
      <c r="V76" s="1316"/>
      <c r="W76" s="1995"/>
      <c r="X76" s="1320"/>
    </row>
    <row r="77" spans="1:24" s="665" customFormat="1" ht="15" hidden="1" customHeight="1" outlineLevel="1">
      <c r="A77" s="3197"/>
      <c r="B77" s="3198"/>
      <c r="C77" s="3182" t="s">
        <v>36</v>
      </c>
      <c r="D77" s="3182"/>
      <c r="E77" s="1246"/>
      <c r="F77" s="966">
        <v>0</v>
      </c>
      <c r="G77" s="1004">
        <f>IF(SETUP!$F$52="At delivery",IF(SETUP!$G$52=1,$E$75*'Malaria-Equipment &amp; Other HPs'!AX14,0),0)</f>
        <v>0</v>
      </c>
      <c r="H77" s="1004">
        <f>IF(SETUP!$F$52="At delivery",IF(SETUP!$G$52=2,$E$75*'Malaria-Equipment &amp; Other HPs'!AX14,IF(SETUP!$G$52=1,$E$75*'Malaria-Equipment &amp; Other HPs'!AY14,0)),0)</f>
        <v>0</v>
      </c>
      <c r="I77" s="1004">
        <f>IF(SETUP!$F$52="At delivery",IF(SETUP!$G$52=3,$E$75*'Malaria-Equipment &amp; Other HPs'!AX14,IF(SETUP!$G$52=2,$E$75*'Malaria-Equipment &amp; Other HPs'!AY14,IF(SETUP!$G$52=1,$E$75*'Malaria-Equipment &amp; Other HPs'!AZ14,0))),0)</f>
        <v>0</v>
      </c>
      <c r="J77" s="1004">
        <f t="shared" si="8"/>
        <v>0</v>
      </c>
      <c r="K77" s="1005">
        <f>IF(SETUP!$F$52="At delivery",IF(SETUP!$G$52=4,$E$75*'Malaria-Equipment &amp; Other HPs'!AX14,IF(SETUP!$G$52=3,$E$75*'Malaria-Equipment &amp; Other HPs'!AY14,IF(SETUP!$G$52=2,$E$75*'Malaria-Equipment &amp; Other HPs'!AZ14,IF(SETUP!$G$52=1,$E$75*'Malaria-Equipment &amp; Other HPs'!BA14,0)))),0)</f>
        <v>0</v>
      </c>
      <c r="L77" s="1004">
        <f>IF(SETUP!$F$52="At delivery",IF(SETUP!$G$52=4,$E$75*'Malaria-Equipment &amp; Other HPs'!AY14,IF(SETUP!$G$52=3,$E$75*'Malaria-Equipment &amp; Other HPs'!AZ14,IF(SETUP!$G$52=2,$E$75*'Malaria-Equipment &amp; Other HPs'!BA14,IF(SETUP!$G$52=1,$E$75*'Malaria-Equipment &amp; Other HPs'!BB14,0)))),0)</f>
        <v>0</v>
      </c>
      <c r="M77" s="1004">
        <f>IF(SETUP!$F$52="At delivery",IF(SETUP!$G$52=4,$E$75*'Malaria-Equipment &amp; Other HPs'!AZ14,IF(SETUP!$G$52=3,$E$75*'Malaria-Equipment &amp; Other HPs'!BA14,IF(SETUP!$G$52=2,$E$75*'Malaria-Equipment &amp; Other HPs'!BB14,IF(SETUP!$G$52=1,$E$75*'Malaria-Equipment &amp; Other HPs'!BC14,0)))),0)</f>
        <v>0</v>
      </c>
      <c r="N77" s="1004">
        <f>IF(SETUP!$F$52="At delivery",IF(SETUP!$G$52=4,$E$75*'Malaria-Equipment &amp; Other HPs'!BA14,IF(SETUP!$G$52=3,$E$75*'Malaria-Equipment &amp; Other HPs'!BB14,IF(SETUP!$G$52=2,$E$75*'Malaria-Equipment &amp; Other HPs'!BC14,IF(SETUP!$G$52=1,$E$75*'Malaria-Equipment &amp; Other HPs'!BD14,0)))),0)</f>
        <v>0</v>
      </c>
      <c r="O77" s="931">
        <f t="shared" si="9"/>
        <v>0</v>
      </c>
      <c r="P77" s="966">
        <f>IF(SETUP!$F$52="At delivery",IF(SETUP!$G$52=4,$E$75*'Malaria-Equipment &amp; Other HPs'!BB14,IF(SETUP!$G$52=3,$E$75*'Malaria-Equipment &amp; Other HPs'!BC14,IF(SETUP!$G$52=2,$E$75*'Malaria-Equipment &amp; Other HPs'!BD14,IF(SETUP!$G$52=1,$E$75*'Malaria-Equipment &amp; Other HPs'!BE14,0)))),0)</f>
        <v>0</v>
      </c>
      <c r="Q77" s="915">
        <f>IF(SETUP!$F$52="At delivery",IF(SETUP!$G$52=4,$E$75*'Malaria-Equipment &amp; Other HPs'!BC14,IF(SETUP!$G$52=3,$E$75*'Malaria-Equipment &amp; Other HPs'!BD14,IF(SETUP!$G$52=2,$E$75*'Malaria-Equipment &amp; Other HPs'!BE14,IF(SETUP!$G$52=1,$E$75*'Malaria-Equipment &amp; Other HPs'!BF14,0)))),0)</f>
        <v>0</v>
      </c>
      <c r="R77" s="915">
        <f>IF(SETUP!$F$52="At delivery",IF(SETUP!$G$52=4,$E$75*'Malaria-Equipment &amp; Other HPs'!BD14,IF(SETUP!$G$52=3,$E$75*'Malaria-Equipment &amp; Other HPs'!BE14,IF(SETUP!$G$52=2,$E$75*'Malaria-Equipment &amp; Other HPs'!BF14,IF(SETUP!$G$52=1,$E$75*'Malaria-Equipment &amp; Other HPs'!BG14,0)))),0)</f>
        <v>0</v>
      </c>
      <c r="S77" s="915">
        <f>IF(SETUP!$F$52="At delivery",IF(SETUP!$G$52=4,$E$75*('Malaria-Equipment &amp; Other HPs'!BE14+'Malaria-Equipment &amp; Other HPs'!BF14+'Malaria-Equipment &amp; Other HPs'!BG14+'Malaria-Equipment &amp; Other HPs'!BH14+'Malaria-Equipment &amp; Other HPs'!BI14),IF(SETUP!$G$52=3,$E$75*('Malaria-Equipment &amp; Other HPs'!BF14+'Malaria-Equipment &amp; Other HPs'!BG14+'Malaria-Equipment &amp; Other HPs'!BH14+'Malaria-Equipment &amp; Other HPs'!BI14),IF(SETUP!$G$52=2,$E$75*('Malaria-Equipment &amp; Other HPs'!BG14+'Malaria-Equipment &amp; Other HPs'!BH14+'Malaria-Equipment &amp; Other HPs'!BI14),IF(SETUP!$G$52=1,$E$75*('Malaria-Equipment &amp; Other HPs'!BH14+'Malaria-Equipment &amp; Other HPs'!BI14),0)))),0)</f>
        <v>0</v>
      </c>
      <c r="T77" s="915">
        <f t="shared" si="10"/>
        <v>0</v>
      </c>
      <c r="U77" s="966">
        <f t="shared" si="11"/>
        <v>0</v>
      </c>
      <c r="V77" s="1316"/>
      <c r="W77" s="1995"/>
      <c r="X77" s="1320"/>
    </row>
    <row r="78" spans="1:24" s="665" customFormat="1" ht="15" hidden="1" customHeight="1" collapsed="1">
      <c r="A78" s="3197"/>
      <c r="B78" s="3198"/>
      <c r="C78" s="3188" t="s">
        <v>455</v>
      </c>
      <c r="D78" s="3188"/>
      <c r="E78" s="1246">
        <v>0</v>
      </c>
      <c r="F78" s="966">
        <f>IF(SETUP!$F$53="Upfront",F79,F80)</f>
        <v>0</v>
      </c>
      <c r="G78" s="1004">
        <f>IF(SETUP!$F$53="Upfront",G79,G80)</f>
        <v>0</v>
      </c>
      <c r="H78" s="1004">
        <f>IF(SETUP!$F$53="Upfront",H79,H80)</f>
        <v>0</v>
      </c>
      <c r="I78" s="1004">
        <f>IF(SETUP!$F$53="Upfront",I79,I80)</f>
        <v>0</v>
      </c>
      <c r="J78" s="1004">
        <f t="shared" si="8"/>
        <v>0</v>
      </c>
      <c r="K78" s="1005">
        <f>IF(SETUP!$F$53="Upfront",K79,K80)</f>
        <v>0</v>
      </c>
      <c r="L78" s="1004">
        <f>IF(SETUP!$F$53="Upfront",L79,L80)</f>
        <v>0</v>
      </c>
      <c r="M78" s="1004">
        <f>IF(SETUP!$F$53="Upfront",M79,M80)</f>
        <v>0</v>
      </c>
      <c r="N78" s="1004">
        <f>IF(SETUP!$F$53="Upfront",N79,N80)</f>
        <v>0</v>
      </c>
      <c r="O78" s="931">
        <f t="shared" si="9"/>
        <v>0</v>
      </c>
      <c r="P78" s="966">
        <f>IF(SETUP!$F$53="Upfront",P79,P80)</f>
        <v>0</v>
      </c>
      <c r="Q78" s="915">
        <f>IF(SETUP!$F$53="Upfront",Q79,Q80)</f>
        <v>0</v>
      </c>
      <c r="R78" s="915">
        <f>IF(SETUP!$F$53="Upfront",R79,R80)</f>
        <v>0</v>
      </c>
      <c r="S78" s="915">
        <f>IF(SETUP!$F$53="Upfront",S79,S80)</f>
        <v>0</v>
      </c>
      <c r="T78" s="915">
        <f t="shared" si="10"/>
        <v>0</v>
      </c>
      <c r="U78" s="966">
        <f t="shared" si="11"/>
        <v>0</v>
      </c>
      <c r="V78" s="1316">
        <v>7.1</v>
      </c>
      <c r="W78" s="1995"/>
      <c r="X78" s="1321"/>
    </row>
    <row r="79" spans="1:24" s="665" customFormat="1" ht="15" hidden="1" customHeight="1" outlineLevel="1">
      <c r="A79" s="3197"/>
      <c r="B79" s="3198"/>
      <c r="C79" s="3182" t="s">
        <v>777</v>
      </c>
      <c r="D79" s="3182"/>
      <c r="E79" s="1246"/>
      <c r="F79" s="966">
        <f>IF(SETUP!$F$53="Upfront",$E$78*'Malaria-Equipment &amp; Other HPs'!AX15,0)</f>
        <v>0</v>
      </c>
      <c r="G79" s="1004">
        <f>IF(SETUP!$F$53="Upfront",$E$78*'Malaria-Equipment &amp; Other HPs'!AY15,0)</f>
        <v>0</v>
      </c>
      <c r="H79" s="1004">
        <f>IF(SETUP!$F$53="Upfront",$E$78*'Malaria-Equipment &amp; Other HPs'!AZ15,0)</f>
        <v>0</v>
      </c>
      <c r="I79" s="1004">
        <f>IF(SETUP!$F$53="Upfront",$E$78*'Malaria-Equipment &amp; Other HPs'!BA15,0)</f>
        <v>0</v>
      </c>
      <c r="J79" s="1004">
        <f t="shared" si="8"/>
        <v>0</v>
      </c>
      <c r="K79" s="1005">
        <f>IF(SETUP!$F$53="Upfront",$E$78*'Malaria-Equipment &amp; Other HPs'!BB15,0)</f>
        <v>0</v>
      </c>
      <c r="L79" s="1004">
        <f>IF(SETUP!$F$53="Upfront",$E$78*'Malaria-Equipment &amp; Other HPs'!BC15,0)</f>
        <v>0</v>
      </c>
      <c r="M79" s="1004">
        <f>IF(SETUP!$F$53="Upfront",$E$78*'Malaria-Equipment &amp; Other HPs'!BD15,0)</f>
        <v>0</v>
      </c>
      <c r="N79" s="1004">
        <f>IF(SETUP!$F$53="Upfront",$E$78*'Malaria-Equipment &amp; Other HPs'!BE15,0)</f>
        <v>0</v>
      </c>
      <c r="O79" s="931">
        <f t="shared" si="9"/>
        <v>0</v>
      </c>
      <c r="P79" s="966">
        <f>IF(SETUP!$F$53="Upfront",$E$78*'Malaria-Equipment &amp; Other HPs'!BF15,0)</f>
        <v>0</v>
      </c>
      <c r="Q79" s="915">
        <f>IF(SETUP!$F$53="Upfront",$E$78*'Malaria-Equipment &amp; Other HPs'!BG15,0)</f>
        <v>0</v>
      </c>
      <c r="R79" s="915">
        <f>IF(SETUP!$F$53="Upfront",$E$78*'Malaria-Equipment &amp; Other HPs'!BH15,0)</f>
        <v>0</v>
      </c>
      <c r="S79" s="915">
        <f>IF(SETUP!$F$53="Upfront",$E$78*'Malaria-Equipment &amp; Other HPs'!BI15,0)</f>
        <v>0</v>
      </c>
      <c r="T79" s="915">
        <f t="shared" si="10"/>
        <v>0</v>
      </c>
      <c r="U79" s="966">
        <f t="shared" si="11"/>
        <v>0</v>
      </c>
      <c r="V79" s="1316"/>
      <c r="W79" s="1995"/>
      <c r="X79" s="1320"/>
    </row>
    <row r="80" spans="1:24" s="665" customFormat="1" ht="15" hidden="1" customHeight="1" outlineLevel="1">
      <c r="A80" s="3197"/>
      <c r="B80" s="3198"/>
      <c r="C80" s="3182" t="s">
        <v>36</v>
      </c>
      <c r="D80" s="3182"/>
      <c r="E80" s="1246"/>
      <c r="F80" s="966">
        <v>0</v>
      </c>
      <c r="G80" s="1004">
        <f>IF(SETUP!$F$53="At delivery",IF(SETUP!$G$53=1,$E$78*'Malaria-Equipment &amp; Other HPs'!AX15,0),0)</f>
        <v>0</v>
      </c>
      <c r="H80" s="1004">
        <f>IF(SETUP!$F$53="At delivery",IF(SETUP!$G$53=2,$E$78*'Malaria-Equipment &amp; Other HPs'!AX15,IF(SETUP!$G$53=1,$E$78*'Malaria-Equipment &amp; Other HPs'!AY15,0)),0)</f>
        <v>0</v>
      </c>
      <c r="I80" s="1004">
        <f>IF(SETUP!$F$53="At delivery",IF(SETUP!$G$53=3,$E$78*'Malaria-Equipment &amp; Other HPs'!AX15,IF(SETUP!$G$53=2,$E$78*'Malaria-Equipment &amp; Other HPs'!AY15,IF(SETUP!$G$53=1,$E$78*'Malaria-Equipment &amp; Other HPs'!AZ15,0))),0)</f>
        <v>0</v>
      </c>
      <c r="J80" s="1004">
        <f t="shared" si="8"/>
        <v>0</v>
      </c>
      <c r="K80" s="1005">
        <f>IF(SETUP!$F$53="At delivery",IF(SETUP!$G$53=4,$E$78*'Malaria-Equipment &amp; Other HPs'!AX15,IF(SETUP!$G$53=3,$E$78*'Malaria-Equipment &amp; Other HPs'!AY15,IF(SETUP!$G$53=2,$E$78*'Malaria-Equipment &amp; Other HPs'!AZ15,IF(SETUP!$G$53=1,$E$78*'Malaria-Equipment &amp; Other HPs'!BA15,0)))),0)</f>
        <v>0</v>
      </c>
      <c r="L80" s="1004">
        <f>IF(SETUP!$F$53="At delivery",IF(SETUP!$G$53=4,$E$78*'Malaria-Equipment &amp; Other HPs'!AY15,IF(SETUP!$G$53=3,$E$78*'Malaria-Equipment &amp; Other HPs'!AZ15,IF(SETUP!$G$53=2,$E$78*'Malaria-Equipment &amp; Other HPs'!BA15,IF(SETUP!$G$53=1,$E$78*'Malaria-Equipment &amp; Other HPs'!BB15,0)))),0)</f>
        <v>0</v>
      </c>
      <c r="M80" s="1004">
        <f>IF(SETUP!$F$53="At delivery",IF(SETUP!$G$53=4,$E$78*'Malaria-Equipment &amp; Other HPs'!AZ15,IF(SETUP!$G$53=3,$E$78*'Malaria-Equipment &amp; Other HPs'!BA15,IF(SETUP!$G$53=2,$E$78*'Malaria-Equipment &amp; Other HPs'!BB15,IF(SETUP!$G$53=1,$E$78*'Malaria-Equipment &amp; Other HPs'!BC15,0)))),0)</f>
        <v>0</v>
      </c>
      <c r="N80" s="1004">
        <f>IF(SETUP!$F$53="At delivery",IF(SETUP!$G$53=4,$E$78*'Malaria-Equipment &amp; Other HPs'!BA15,IF(SETUP!$G$53=3,$E$78*'Malaria-Equipment &amp; Other HPs'!BB15,IF(SETUP!$G$53=2,$E$78*'Malaria-Equipment &amp; Other HPs'!BC15,IF(SETUP!$G$53=1,$E$78*'Malaria-Equipment &amp; Other HPs'!BD15,0)))),0)</f>
        <v>0</v>
      </c>
      <c r="O80" s="931">
        <f t="shared" si="9"/>
        <v>0</v>
      </c>
      <c r="P80" s="966">
        <f>IF(SETUP!$F$53="At delivery",IF(SETUP!$G$53=4,$E$78*'Malaria-Equipment &amp; Other HPs'!BB15,IF(SETUP!$G$53=3,$E$78*'Malaria-Equipment &amp; Other HPs'!BC15,IF(SETUP!$G$53=2,$E$78*'Malaria-Equipment &amp; Other HPs'!BD15,IF(SETUP!$G$53=1,$E$78*'Malaria-Equipment &amp; Other HPs'!BE15,0)))),0)</f>
        <v>0</v>
      </c>
      <c r="Q80" s="915">
        <f>IF(SETUP!$F$53="At delivery",IF(SETUP!$G$53=4,$E$78*'Malaria-Equipment &amp; Other HPs'!BC15,IF(SETUP!$G$53=3,$E$78*'Malaria-Equipment &amp; Other HPs'!BD15,IF(SETUP!$G$53=2,$E$78*'Malaria-Equipment &amp; Other HPs'!BE15,IF(SETUP!$G$53=1,$E$78*'Malaria-Equipment &amp; Other HPs'!BF15,0)))),0)</f>
        <v>0</v>
      </c>
      <c r="R80" s="915">
        <f>IF(SETUP!$F$53="At delivery",IF(SETUP!$G$53=4,$E$78*'Malaria-Equipment &amp; Other HPs'!BD15,IF(SETUP!$G$53=3,$E$78*'Malaria-Equipment &amp; Other HPs'!BE15,IF(SETUP!$G$53=2,$E$78*'Malaria-Equipment &amp; Other HPs'!BF15,IF(SETUP!$G$53=1,$E$78*'Malaria-Equipment &amp; Other HPs'!BG15,0)))),0)</f>
        <v>0</v>
      </c>
      <c r="S80" s="915">
        <f>IF(SETUP!$F$53="At delivery",IF(SETUP!$G$53=4,$E$78*('Malaria-Equipment &amp; Other HPs'!BE15+'Malaria-Equipment &amp; Other HPs'!BF15+'Malaria-Equipment &amp; Other HPs'!BG15+'Malaria-Equipment &amp; Other HPs'!BH15+'Malaria-Equipment &amp; Other HPs'!BI15),IF(SETUP!$G$53=3,$E$78*('Malaria-Equipment &amp; Other HPs'!BF15+'Malaria-Equipment &amp; Other HPs'!BG15+'Malaria-Equipment &amp; Other HPs'!BH15+'Malaria-Equipment &amp; Other HPs'!BI15),IF(SETUP!$G$53=2,$E$78*('Malaria-Equipment &amp; Other HPs'!BG15+'Malaria-Equipment &amp; Other HPs'!BH15+'Malaria-Equipment &amp; Other HPs'!BI15),IF(SETUP!$G$53=1,$E$78*('Malaria-Equipment &amp; Other HPs'!BH15+'Malaria-Equipment &amp; Other HPs'!BI15),0)))),0)</f>
        <v>0</v>
      </c>
      <c r="T80" s="915">
        <f t="shared" si="10"/>
        <v>0</v>
      </c>
      <c r="U80" s="966">
        <f t="shared" si="11"/>
        <v>0</v>
      </c>
      <c r="V80" s="1316"/>
      <c r="W80" s="1995"/>
      <c r="X80" s="1320"/>
    </row>
    <row r="81" spans="1:38" s="665" customFormat="1" ht="15" hidden="1" customHeight="1" collapsed="1">
      <c r="A81" s="3197"/>
      <c r="B81" s="3198"/>
      <c r="C81" s="3188" t="s">
        <v>456</v>
      </c>
      <c r="D81" s="3188"/>
      <c r="E81" s="1246">
        <v>0</v>
      </c>
      <c r="F81" s="966">
        <f>IF(SETUP!$F$54="Upfront",F82,F83)</f>
        <v>0</v>
      </c>
      <c r="G81" s="1004">
        <f>IF(SETUP!$F$54="Upfront",G82,G83)</f>
        <v>0</v>
      </c>
      <c r="H81" s="1004">
        <f>IF(SETUP!$F$54="Upfront",H82,H83)</f>
        <v>0</v>
      </c>
      <c r="I81" s="1004">
        <f>IF(SETUP!$F$54="Upfront",I82,I83)</f>
        <v>0</v>
      </c>
      <c r="J81" s="1004">
        <f t="shared" si="8"/>
        <v>0</v>
      </c>
      <c r="K81" s="1005">
        <f>IF(SETUP!$F$54="Upfront",K82,K83)</f>
        <v>0</v>
      </c>
      <c r="L81" s="1004">
        <f>IF(SETUP!$F$54="Upfront",L82,L83)</f>
        <v>0</v>
      </c>
      <c r="M81" s="1004">
        <f>IF(SETUP!$F$54="Upfront",M82,M83)</f>
        <v>0</v>
      </c>
      <c r="N81" s="1004">
        <f>IF(SETUP!$F$54="Upfront",N82,N83)</f>
        <v>0</v>
      </c>
      <c r="O81" s="931">
        <f t="shared" si="9"/>
        <v>0</v>
      </c>
      <c r="P81" s="966">
        <f>IF(SETUP!$F$54="Upfront",P82,P83)</f>
        <v>0</v>
      </c>
      <c r="Q81" s="915">
        <f>IF(SETUP!$F$54="Upfront",Q82,Q83)</f>
        <v>0</v>
      </c>
      <c r="R81" s="915">
        <f>IF(SETUP!$F$54="Upfront",R82,R83)</f>
        <v>0</v>
      </c>
      <c r="S81" s="915">
        <f>IF(SETUP!$F$54="Upfront",S82,S83)</f>
        <v>0</v>
      </c>
      <c r="T81" s="915">
        <f t="shared" si="10"/>
        <v>0</v>
      </c>
      <c r="U81" s="966">
        <f t="shared" si="11"/>
        <v>0</v>
      </c>
      <c r="V81" s="1316">
        <v>7.1</v>
      </c>
      <c r="W81" s="1995"/>
      <c r="X81" s="1320"/>
    </row>
    <row r="82" spans="1:38" s="665" customFormat="1" ht="15" hidden="1" customHeight="1" outlineLevel="1">
      <c r="A82" s="3197"/>
      <c r="B82" s="3198"/>
      <c r="C82" s="3182" t="s">
        <v>777</v>
      </c>
      <c r="D82" s="3182"/>
      <c r="E82" s="1246"/>
      <c r="F82" s="966">
        <f>IF(SETUP!$F$54="Upfront",$E$81*'Malaria-Equipment &amp; Other HPs'!AX16,0)</f>
        <v>0</v>
      </c>
      <c r="G82" s="1004">
        <f>IF(SETUP!$F$54="Upfront",$E$81*'Malaria-Equipment &amp; Other HPs'!AY16,0)</f>
        <v>0</v>
      </c>
      <c r="H82" s="1004">
        <f>IF(SETUP!$F$54="Upfront",$E$81*'Malaria-Equipment &amp; Other HPs'!AZ16,0)</f>
        <v>0</v>
      </c>
      <c r="I82" s="1004">
        <f>IF(SETUP!$F$54="Upfront",$E$81*'Malaria-Equipment &amp; Other HPs'!BA16,0)</f>
        <v>0</v>
      </c>
      <c r="J82" s="1004">
        <f t="shared" si="8"/>
        <v>0</v>
      </c>
      <c r="K82" s="1005">
        <f>IF(SETUP!$F$54="Upfront",$E$81*'Malaria-Equipment &amp; Other HPs'!BB16,0)</f>
        <v>0</v>
      </c>
      <c r="L82" s="1004">
        <f>IF(SETUP!$F$54="Upfront",$E$81*'Malaria-Equipment &amp; Other HPs'!BC16,0)</f>
        <v>0</v>
      </c>
      <c r="M82" s="1004">
        <f>IF(SETUP!$F$54="Upfront",$E$81*'Malaria-Equipment &amp; Other HPs'!BD16,0)</f>
        <v>0</v>
      </c>
      <c r="N82" s="1004">
        <f>IF(SETUP!$F$54="Upfront",$E$81*'Malaria-Equipment &amp; Other HPs'!BE16,0)</f>
        <v>0</v>
      </c>
      <c r="O82" s="931">
        <f t="shared" si="9"/>
        <v>0</v>
      </c>
      <c r="P82" s="966">
        <f>IF(SETUP!$F$54="Upfront",$E$81*'Malaria-Equipment &amp; Other HPs'!BF16,0)</f>
        <v>0</v>
      </c>
      <c r="Q82" s="915">
        <f>IF(SETUP!$F$54="Upfront",$E$81*'Malaria-Equipment &amp; Other HPs'!BG16,0)</f>
        <v>0</v>
      </c>
      <c r="R82" s="915">
        <f>IF(SETUP!$F$54="Upfront",$E$81*'Malaria-Equipment &amp; Other HPs'!BH16,0)</f>
        <v>0</v>
      </c>
      <c r="S82" s="915">
        <f>IF(SETUP!$F$54="Upfront",$E$81*'Malaria-Equipment &amp; Other HPs'!BI16,0)</f>
        <v>0</v>
      </c>
      <c r="T82" s="915">
        <f t="shared" si="10"/>
        <v>0</v>
      </c>
      <c r="U82" s="966">
        <f t="shared" si="11"/>
        <v>0</v>
      </c>
      <c r="V82" s="1316"/>
      <c r="W82" s="1995"/>
      <c r="X82" s="1320"/>
    </row>
    <row r="83" spans="1:38" s="665" customFormat="1" ht="15" hidden="1" customHeight="1" outlineLevel="1">
      <c r="A83" s="3197"/>
      <c r="B83" s="3198"/>
      <c r="C83" s="3182" t="s">
        <v>36</v>
      </c>
      <c r="D83" s="3182"/>
      <c r="E83" s="1246"/>
      <c r="F83" s="966">
        <v>0</v>
      </c>
      <c r="G83" s="1004">
        <f>IF(SETUP!$F$54="At delivery",IF(SETUP!$G$54=1,$E$81*'Malaria-Equipment &amp; Other HPs'!AX16,0),0)</f>
        <v>0</v>
      </c>
      <c r="H83" s="1004">
        <f>IF(SETUP!$F$54="At delivery",IF(SETUP!$G$54=2,$E$81*'Malaria-Equipment &amp; Other HPs'!AX16,IF(SETUP!$G$54=1,$E$81*'Malaria-Equipment &amp; Other HPs'!AY16,0)),0)</f>
        <v>0</v>
      </c>
      <c r="I83" s="1004">
        <f>IF(SETUP!$F$54="At delivery",IF(SETUP!$G$54=3,$E$81*'Malaria-Equipment &amp; Other HPs'!AX16,IF(SETUP!$G$54=2,$E$81*'Malaria-Equipment &amp; Other HPs'!AY16,IF(SETUP!$G$54=1,$E$81*'Malaria-Equipment &amp; Other HPs'!AZ16,0))),0)</f>
        <v>0</v>
      </c>
      <c r="J83" s="1004">
        <f t="shared" si="8"/>
        <v>0</v>
      </c>
      <c r="K83" s="1005">
        <f>IF(SETUP!$F$54="At delivery",IF(SETUP!$G$54=4,$E$81*'Malaria-Equipment &amp; Other HPs'!AX16,IF(SETUP!$G$54=3,$E$81*'Malaria-Equipment &amp; Other HPs'!AY16,IF(SETUP!$G$54=2,$E$81*'Malaria-Equipment &amp; Other HPs'!AZ16,IF(SETUP!$G$54=1,$E$81*'Malaria-Equipment &amp; Other HPs'!BA16,0)))),0)</f>
        <v>0</v>
      </c>
      <c r="L83" s="1004">
        <f>IF(SETUP!$F$54="At delivery",IF(SETUP!$G$54=4,$E$81*'Malaria-Equipment &amp; Other HPs'!AY16,IF(SETUP!$G$54=3,$E$81*'Malaria-Equipment &amp; Other HPs'!AZ16,IF(SETUP!$G$54=2,$E$81*'Malaria-Equipment &amp; Other HPs'!BA16,IF(SETUP!$G$54=1,$E$81*'Malaria-Equipment &amp; Other HPs'!BB16,0)))),0)</f>
        <v>0</v>
      </c>
      <c r="M83" s="1004">
        <f>IF(SETUP!$F$54="At delivery",IF(SETUP!$G$54=4,$E$81*'Malaria-Equipment &amp; Other HPs'!AZ16,IF(SETUP!$G$54=3,$E$81*'Malaria-Equipment &amp; Other HPs'!BA16,IF(SETUP!$G$54=2,$E$81*'Malaria-Equipment &amp; Other HPs'!BB16,IF(SETUP!$G$54=1,$E$81*'Malaria-Equipment &amp; Other HPs'!BC16,0)))),0)</f>
        <v>0</v>
      </c>
      <c r="N83" s="1004">
        <f>IF(SETUP!$F$54="At delivery",IF(SETUP!$G$54=4,$E$81*'Malaria-Equipment &amp; Other HPs'!BA16,IF(SETUP!$G$54=3,$E$81*'Malaria-Equipment &amp; Other HPs'!BB16,IF(SETUP!$G$54=2,$E$81*'Malaria-Equipment &amp; Other HPs'!BC16,IF(SETUP!$G$54=1,$E$81*'Malaria-Equipment &amp; Other HPs'!BD16,0)))),0)</f>
        <v>0</v>
      </c>
      <c r="O83" s="931">
        <f t="shared" si="9"/>
        <v>0</v>
      </c>
      <c r="P83" s="966">
        <f>IF(SETUP!$F$54="At delivery",IF(SETUP!$G$54=4,$E$81*'Malaria-Equipment &amp; Other HPs'!BB16,IF(SETUP!$G$54=3,$E$81*'Malaria-Equipment &amp; Other HPs'!BC16,IF(SETUP!$G$54=2,$E$81*'Malaria-Equipment &amp; Other HPs'!BD16,IF(SETUP!$G$54=1,$E$81*'Malaria-Equipment &amp; Other HPs'!BE16,0)))),0)</f>
        <v>0</v>
      </c>
      <c r="Q83" s="915">
        <f>IF(SETUP!$F$54="At delivery",IF(SETUP!$G$54=4,$E$81*'Malaria-Equipment &amp; Other HPs'!BC16,IF(SETUP!$G$54=3,$E$81*'Malaria-Equipment &amp; Other HPs'!BD16,IF(SETUP!$G$54=2,$E$81*'Malaria-Equipment &amp; Other HPs'!BE16,IF(SETUP!$G$54=1,$E$81*'Malaria-Equipment &amp; Other HPs'!BF16,0)))),0)</f>
        <v>0</v>
      </c>
      <c r="R83" s="915">
        <f>IF(SETUP!$F$54="At delivery",IF(SETUP!$G$54=4,$E$81*'Malaria-Equipment &amp; Other HPs'!BD16,IF(SETUP!$G$54=3,$E$81*'Malaria-Equipment &amp; Other HPs'!BE16,IF(SETUP!$G$54=2,$E$81*'Malaria-Equipment &amp; Other HPs'!BF16,IF(SETUP!$G$54=1,$E$81*'Malaria-Equipment &amp; Other HPs'!BG16,0)))),0)</f>
        <v>0</v>
      </c>
      <c r="S83" s="915">
        <f>IF(SETUP!$F$54="At delivery",IF(SETUP!$G$54=4,$E$81*('Malaria-Equipment &amp; Other HPs'!BE16+'Malaria-Equipment &amp; Other HPs'!BF16+'Malaria-Equipment &amp; Other HPs'!BG16+'Malaria-Equipment &amp; Other HPs'!BH16+'Malaria-Equipment &amp; Other HPs'!BI16),IF(SETUP!$G$54=3,$E$81*('Malaria-Equipment &amp; Other HPs'!BF16+'Malaria-Equipment &amp; Other HPs'!BG16+'Malaria-Equipment &amp; Other HPs'!BH16+'Malaria-Equipment &amp; Other HPs'!BI16),IF(SETUP!$G$54=2,$E$81*('Malaria-Equipment &amp; Other HPs'!BG16+'Malaria-Equipment &amp; Other HPs'!BH16+'Malaria-Equipment &amp; Other HPs'!BI16),IF(SETUP!$G$54=1,$E$81*('Malaria-Equipment &amp; Other HPs'!BH16+'Malaria-Equipment &amp; Other HPs'!BI16),0)))),0)</f>
        <v>0</v>
      </c>
      <c r="T83" s="915">
        <f t="shared" si="10"/>
        <v>0</v>
      </c>
      <c r="U83" s="966">
        <f t="shared" si="11"/>
        <v>0</v>
      </c>
      <c r="V83" s="1316"/>
      <c r="W83" s="1995"/>
      <c r="X83" s="1320"/>
    </row>
    <row r="84" spans="1:38" s="665" customFormat="1" ht="15" hidden="1" customHeight="1" collapsed="1">
      <c r="A84" s="3197"/>
      <c r="B84" s="3198"/>
      <c r="C84" s="3188" t="s">
        <v>457</v>
      </c>
      <c r="D84" s="3188"/>
      <c r="E84" s="1246">
        <v>0</v>
      </c>
      <c r="F84" s="966">
        <f>IF(SETUP!$F$55="Upfront",F85,F86)</f>
        <v>0</v>
      </c>
      <c r="G84" s="1004">
        <f>IF(SETUP!$F$55="Upfront",G85,G86)</f>
        <v>0</v>
      </c>
      <c r="H84" s="1004">
        <f>IF(SETUP!$F$55="Upfront",H85,H86)</f>
        <v>0</v>
      </c>
      <c r="I84" s="1004">
        <f>IF(SETUP!$F$55="Upfront",I85,I86)</f>
        <v>0</v>
      </c>
      <c r="J84" s="1004">
        <f t="shared" si="8"/>
        <v>0</v>
      </c>
      <c r="K84" s="1005">
        <f>IF(SETUP!$F$55="Upfront",K85,K86)</f>
        <v>0</v>
      </c>
      <c r="L84" s="1004">
        <f>IF(SETUP!$F$55="Upfront",L85,L86)</f>
        <v>0</v>
      </c>
      <c r="M84" s="1004">
        <f>IF(SETUP!$F$55="Upfront",M85,M86)</f>
        <v>0</v>
      </c>
      <c r="N84" s="1004">
        <f>IF(SETUP!$F$55="Upfront",N85,N86)</f>
        <v>0</v>
      </c>
      <c r="O84" s="931">
        <f t="shared" si="9"/>
        <v>0</v>
      </c>
      <c r="P84" s="966">
        <f>IF(SETUP!$F$55="Upfront",P85,P86)</f>
        <v>0</v>
      </c>
      <c r="Q84" s="915">
        <f>IF(SETUP!$F$55="Upfront",Q85,Q86)</f>
        <v>0</v>
      </c>
      <c r="R84" s="915">
        <f>IF(SETUP!$F$55="Upfront",R85,R86)</f>
        <v>0</v>
      </c>
      <c r="S84" s="915">
        <f>IF(SETUP!$F$55="Upfront",S85,S86)</f>
        <v>0</v>
      </c>
      <c r="T84" s="915">
        <f t="shared" si="10"/>
        <v>0</v>
      </c>
      <c r="U84" s="966">
        <f t="shared" si="11"/>
        <v>0</v>
      </c>
      <c r="V84" s="1316">
        <v>7.1</v>
      </c>
      <c r="W84" s="1995"/>
      <c r="X84" s="1321"/>
    </row>
    <row r="85" spans="1:38" s="665" customFormat="1" ht="15" hidden="1" customHeight="1" outlineLevel="1">
      <c r="A85" s="3197"/>
      <c r="B85" s="3198"/>
      <c r="C85" s="3182" t="s">
        <v>777</v>
      </c>
      <c r="D85" s="3182"/>
      <c r="E85" s="1246"/>
      <c r="F85" s="966">
        <f>IF(SETUP!$F$55="Upfront",$E$84*'Malaria-Equipment &amp; Other HPs'!AX17,0)</f>
        <v>0</v>
      </c>
      <c r="G85" s="1004">
        <f>IF(SETUP!$F$55="Upfront",$E$84*'Malaria-Equipment &amp; Other HPs'!AY17,0)</f>
        <v>0</v>
      </c>
      <c r="H85" s="1004">
        <f>IF(SETUP!$F$55="Upfront",$E$84*'Malaria-Equipment &amp; Other HPs'!AZ17,0)</f>
        <v>0</v>
      </c>
      <c r="I85" s="1004">
        <f>IF(SETUP!$F$55="Upfront",$E$84*'Malaria-Equipment &amp; Other HPs'!BA17,0)</f>
        <v>0</v>
      </c>
      <c r="J85" s="1004">
        <f t="shared" si="8"/>
        <v>0</v>
      </c>
      <c r="K85" s="1005">
        <f>IF(SETUP!$F$55="Upfront",$E$84*'Malaria-Equipment &amp; Other HPs'!BB17,0)</f>
        <v>0</v>
      </c>
      <c r="L85" s="1004">
        <f>IF(SETUP!$F$55="Upfront",$E$84*'Malaria-Equipment &amp; Other HPs'!BC17,0)</f>
        <v>0</v>
      </c>
      <c r="M85" s="1004">
        <f>IF(SETUP!$F$55="Upfront",$E$84*'Malaria-Equipment &amp; Other HPs'!BD17,0)</f>
        <v>0</v>
      </c>
      <c r="N85" s="1004">
        <f>IF(SETUP!$F$55="Upfront",$E$84*'Malaria-Equipment &amp; Other HPs'!BE17,0)</f>
        <v>0</v>
      </c>
      <c r="O85" s="931">
        <f t="shared" si="9"/>
        <v>0</v>
      </c>
      <c r="P85" s="966">
        <f>IF(SETUP!$F$55="Upfront",$E$84*'Malaria-Equipment &amp; Other HPs'!BF17,0)</f>
        <v>0</v>
      </c>
      <c r="Q85" s="915">
        <f>IF(SETUP!$F$55="Upfront",$E$84*'Malaria-Equipment &amp; Other HPs'!BG17,0)</f>
        <v>0</v>
      </c>
      <c r="R85" s="915">
        <f>IF(SETUP!$F$55="Upfront",$E$84*'Malaria-Equipment &amp; Other HPs'!BH17,0)</f>
        <v>0</v>
      </c>
      <c r="S85" s="915">
        <f>IF(SETUP!$F$55="Upfront",$E$84*'Malaria-Equipment &amp; Other HPs'!BI17,0)</f>
        <v>0</v>
      </c>
      <c r="T85" s="915">
        <f t="shared" si="10"/>
        <v>0</v>
      </c>
      <c r="U85" s="966">
        <f t="shared" si="11"/>
        <v>0</v>
      </c>
      <c r="V85" s="1316"/>
      <c r="W85" s="1995"/>
      <c r="X85" s="1320"/>
    </row>
    <row r="86" spans="1:38" s="665" customFormat="1" ht="15" hidden="1" customHeight="1" outlineLevel="1">
      <c r="A86" s="3197"/>
      <c r="B86" s="3198"/>
      <c r="C86" s="3182" t="s">
        <v>36</v>
      </c>
      <c r="D86" s="3182"/>
      <c r="E86" s="1246"/>
      <c r="F86" s="966">
        <v>0</v>
      </c>
      <c r="G86" s="1004">
        <f>IF(SETUP!$F$55="At delivery",IF(SETUP!$G$55=1,$E$84*'Malaria-Equipment &amp; Other HPs'!AX17,0),0)</f>
        <v>0</v>
      </c>
      <c r="H86" s="1004">
        <f>IF(SETUP!$F$55="At delivery",IF(SETUP!$G$55=2,$E$84*'Malaria-Equipment &amp; Other HPs'!AX17,IF(SETUP!$G$55=1,$E$84*'Malaria-Equipment &amp; Other HPs'!AY17,0)),0)</f>
        <v>0</v>
      </c>
      <c r="I86" s="1004">
        <f>IF(SETUP!$F$55="At delivery",IF(SETUP!$G$55=3,$E$84*'Malaria-Equipment &amp; Other HPs'!AX17,IF(SETUP!$G$55=2,$E$84*'Malaria-Equipment &amp; Other HPs'!AY17,IF(SETUP!$G$55=1,$E$84*'Malaria-Equipment &amp; Other HPs'!AZ17,0))),0)</f>
        <v>0</v>
      </c>
      <c r="J86" s="1004">
        <f t="shared" si="8"/>
        <v>0</v>
      </c>
      <c r="K86" s="1005">
        <f>IF(SETUP!$F$55="At delivery",IF(SETUP!$G$55=4,$E$84*'Malaria-Equipment &amp; Other HPs'!AX17,IF(SETUP!$G$55=3,$E$84*'Malaria-Equipment &amp; Other HPs'!AY17,IF(SETUP!$G$55=2,$E$84*'Malaria-Equipment &amp; Other HPs'!AZ17,IF(SETUP!$G$55=1,$E$84*'Malaria-Equipment &amp; Other HPs'!BA17,0)))),0)</f>
        <v>0</v>
      </c>
      <c r="L86" s="1004">
        <f>IF(SETUP!$F$55="At delivery",IF(SETUP!$G$55=4,$E$84*'Malaria-Equipment &amp; Other HPs'!AY17,IF(SETUP!$G$55=3,$E$84*'Malaria-Equipment &amp; Other HPs'!AZ17,IF(SETUP!$G$55=2,$E$84*'Malaria-Equipment &amp; Other HPs'!BA17,IF(SETUP!$G$55=1,$E$84*'Malaria-Equipment &amp; Other HPs'!BB17,0)))),0)</f>
        <v>0</v>
      </c>
      <c r="M86" s="1004">
        <f>IF(SETUP!$F$55="At delivery",IF(SETUP!$G$55=4,$E$84*'Malaria-Equipment &amp; Other HPs'!AZ17,IF(SETUP!$G$55=3,$E$84*'Malaria-Equipment &amp; Other HPs'!BA17,IF(SETUP!$G$55=2,$E$84*'Malaria-Equipment &amp; Other HPs'!BB17,IF(SETUP!$G$55=1,$E$84*'Malaria-Equipment &amp; Other HPs'!BC17,0)))),0)</f>
        <v>0</v>
      </c>
      <c r="N86" s="1004">
        <f>IF(SETUP!$F$55="At delivery",IF(SETUP!$G$55=4,$E$84*'Malaria-Equipment &amp; Other HPs'!BA17,IF(SETUP!$G$55=3,$E$84*'Malaria-Equipment &amp; Other HPs'!BB17,IF(SETUP!$G$55=2,$E$84*'Malaria-Equipment &amp; Other HPs'!BC17,IF(SETUP!$G$55=1,$E$84*'Malaria-Equipment &amp; Other HPs'!BD17,0)))),0)</f>
        <v>0</v>
      </c>
      <c r="O86" s="931">
        <f t="shared" si="9"/>
        <v>0</v>
      </c>
      <c r="P86" s="966">
        <f>IF(SETUP!$F$55="At delivery",IF(SETUP!$G$55=4,$E$84*'Malaria-Equipment &amp; Other HPs'!BB17,IF(SETUP!$G$55=3,$E$84*'Malaria-Equipment &amp; Other HPs'!BC17,IF(SETUP!$G$55=2,$E$84*'Malaria-Equipment &amp; Other HPs'!BD17,IF(SETUP!$G$55=1,$E$84*'Malaria-Equipment &amp; Other HPs'!BE17,0)))),0)</f>
        <v>0</v>
      </c>
      <c r="Q86" s="915">
        <f>IF(SETUP!$F$55="At delivery",IF(SETUP!$G$55=4,$E$84*'Malaria-Equipment &amp; Other HPs'!BC17,IF(SETUP!$G$55=3,$E$84*'Malaria-Equipment &amp; Other HPs'!BD17,IF(SETUP!$G$55=2,$E$84*'Malaria-Equipment &amp; Other HPs'!BE17,IF(SETUP!$G$55=1,$E$84*'Malaria-Equipment &amp; Other HPs'!BF17,0)))),0)</f>
        <v>0</v>
      </c>
      <c r="R86" s="915">
        <f>IF(SETUP!$F$55="At delivery",IF(SETUP!$G$55=4,$E$84*'Malaria-Equipment &amp; Other HPs'!BD17,IF(SETUP!$G$55=3,$E$84*'Malaria-Equipment &amp; Other HPs'!BE17,IF(SETUP!$G$55=2,$E$84*'Malaria-Equipment &amp; Other HPs'!BF17,IF(SETUP!$G$55=1,$E$84*'Malaria-Equipment &amp; Other HPs'!BG17,0)))),0)</f>
        <v>0</v>
      </c>
      <c r="S86" s="915">
        <f>IF(SETUP!$F$55="At delivery",IF(SETUP!$G$55=4,$E$84*('Malaria-Equipment &amp; Other HPs'!BE17+'Malaria-Equipment &amp; Other HPs'!BF17+'Malaria-Equipment &amp; Other HPs'!BG17+'Malaria-Equipment &amp; Other HPs'!BH17+'Malaria-Equipment &amp; Other HPs'!BI17),IF(SETUP!$G$55=3,$E$84*('Malaria-Equipment &amp; Other HPs'!BF17+'Malaria-Equipment &amp; Other HPs'!BG17+'Malaria-Equipment &amp; Other HPs'!BH17+'Malaria-Equipment &amp; Other HPs'!BI17),IF(SETUP!$G$55=2,$E$84*('Malaria-Equipment &amp; Other HPs'!BG17+'Malaria-Equipment &amp; Other HPs'!BH17+'Malaria-Equipment &amp; Other HPs'!BI17),IF(SETUP!$G$55=1,$E$84*('Malaria-Equipment &amp; Other HPs'!BH17+'Malaria-Equipment &amp; Other HPs'!BI17),0)))),0)</f>
        <v>0</v>
      </c>
      <c r="T86" s="915">
        <f t="shared" si="10"/>
        <v>0</v>
      </c>
      <c r="U86" s="966">
        <f t="shared" si="11"/>
        <v>0</v>
      </c>
      <c r="V86" s="1316"/>
      <c r="W86" s="1995"/>
      <c r="X86" s="1320"/>
    </row>
    <row r="87" spans="1:38" s="665" customFormat="1" ht="15" hidden="1" customHeight="1" collapsed="1">
      <c r="A87" s="3197"/>
      <c r="B87" s="3198"/>
      <c r="C87" s="3188" t="s">
        <v>458</v>
      </c>
      <c r="D87" s="3188"/>
      <c r="E87" s="1246">
        <v>0</v>
      </c>
      <c r="F87" s="966">
        <f>IF(SETUP!$F$56="Upfront",F88,F89)</f>
        <v>0</v>
      </c>
      <c r="G87" s="1004">
        <f>IF(SETUP!$F$56="Upfront",G88,G89)</f>
        <v>0</v>
      </c>
      <c r="H87" s="1004">
        <f>IF(SETUP!$F$56="Upfront",H88,H89)</f>
        <v>0</v>
      </c>
      <c r="I87" s="1004">
        <f>IF(SETUP!$F$56="Upfront",I88,I89)</f>
        <v>0</v>
      </c>
      <c r="J87" s="1004">
        <f t="shared" si="8"/>
        <v>0</v>
      </c>
      <c r="K87" s="1005">
        <f>IF(SETUP!$F$56="Upfront",K88,K89)</f>
        <v>0</v>
      </c>
      <c r="L87" s="1004">
        <f>IF(SETUP!$F$56="Upfront",L88,L89)</f>
        <v>0</v>
      </c>
      <c r="M87" s="1004">
        <f>IF(SETUP!$F$56="Upfront",M88,M89)</f>
        <v>0</v>
      </c>
      <c r="N87" s="1004">
        <f>IF(SETUP!$F$56="Upfront",N88,N89)</f>
        <v>0</v>
      </c>
      <c r="O87" s="931">
        <f t="shared" si="9"/>
        <v>0</v>
      </c>
      <c r="P87" s="966">
        <f>IF(SETUP!$F$56="Upfront",P88,P89)</f>
        <v>0</v>
      </c>
      <c r="Q87" s="915">
        <f>IF(SETUP!$F$56="Upfront",Q88,Q89)</f>
        <v>0</v>
      </c>
      <c r="R87" s="915">
        <f>IF(SETUP!$F$56="Upfront",R88,R89)</f>
        <v>0</v>
      </c>
      <c r="S87" s="915">
        <f>IF(SETUP!$F$56="Upfront",S88,S89)</f>
        <v>0</v>
      </c>
      <c r="T87" s="915">
        <f t="shared" si="10"/>
        <v>0</v>
      </c>
      <c r="U87" s="966">
        <f t="shared" si="11"/>
        <v>0</v>
      </c>
      <c r="V87" s="1316">
        <v>7.1</v>
      </c>
      <c r="W87" s="1995"/>
      <c r="X87" s="1320"/>
    </row>
    <row r="88" spans="1:38" s="665" customFormat="1" ht="15" hidden="1" customHeight="1" outlineLevel="1">
      <c r="A88" s="3197"/>
      <c r="B88" s="3198"/>
      <c r="C88" s="3182" t="s">
        <v>777</v>
      </c>
      <c r="D88" s="3182"/>
      <c r="E88" s="1246"/>
      <c r="F88" s="966">
        <f>IF(SETUP!$F$56="Upfront",$E$87*'Malaria-Equipment &amp; Other HPs'!AX18,0)</f>
        <v>0</v>
      </c>
      <c r="G88" s="1004">
        <f>IF(SETUP!$F$56="Upfront",$E$87*'Malaria-Equipment &amp; Other HPs'!AY18,0)</f>
        <v>0</v>
      </c>
      <c r="H88" s="1004">
        <f>IF(SETUP!$F$56="Upfront",$E$87*'Malaria-Equipment &amp; Other HPs'!AZ18,0)</f>
        <v>0</v>
      </c>
      <c r="I88" s="1004">
        <f>IF(SETUP!$F$56="Upfront",$E$87*'Malaria-Equipment &amp; Other HPs'!BA18,0)</f>
        <v>0</v>
      </c>
      <c r="J88" s="1004">
        <f t="shared" si="8"/>
        <v>0</v>
      </c>
      <c r="K88" s="1005">
        <f>IF(SETUP!$F$56="Upfront",$E$87*'Malaria-Equipment &amp; Other HPs'!BB18,0)</f>
        <v>0</v>
      </c>
      <c r="L88" s="1004">
        <f>IF(SETUP!$F$56="Upfront",$E$87*'Malaria-Equipment &amp; Other HPs'!BC18,0)</f>
        <v>0</v>
      </c>
      <c r="M88" s="1004">
        <f>IF(SETUP!$F$56="Upfront",$E$87*'Malaria-Equipment &amp; Other HPs'!BD18,0)</f>
        <v>0</v>
      </c>
      <c r="N88" s="1004">
        <f>IF(SETUP!$F$56="Upfront",$E$87*'Malaria-Equipment &amp; Other HPs'!BE18,0)</f>
        <v>0</v>
      </c>
      <c r="O88" s="931">
        <f t="shared" si="9"/>
        <v>0</v>
      </c>
      <c r="P88" s="966">
        <f>IF(SETUP!$F$56="Upfront",$E$87*'Malaria-Equipment &amp; Other HPs'!BF18,0)</f>
        <v>0</v>
      </c>
      <c r="Q88" s="915">
        <f>IF(SETUP!$F$56="Upfront",$E$87*'Malaria-Equipment &amp; Other HPs'!BG18,0)</f>
        <v>0</v>
      </c>
      <c r="R88" s="915">
        <f>IF(SETUP!$F$56="Upfront",$E$87*'Malaria-Equipment &amp; Other HPs'!BH18,0)</f>
        <v>0</v>
      </c>
      <c r="S88" s="915">
        <f>IF(SETUP!$F$56="Upfront",$E$87*'Malaria-Equipment &amp; Other HPs'!BI18,0)</f>
        <v>0</v>
      </c>
      <c r="T88" s="915">
        <f t="shared" si="10"/>
        <v>0</v>
      </c>
      <c r="U88" s="966">
        <f t="shared" si="11"/>
        <v>0</v>
      </c>
      <c r="V88" s="1316"/>
      <c r="W88" s="1995"/>
      <c r="X88" s="1320"/>
    </row>
    <row r="89" spans="1:38" s="665" customFormat="1" ht="15" hidden="1" customHeight="1" outlineLevel="1">
      <c r="A89" s="3197"/>
      <c r="B89" s="3198"/>
      <c r="C89" s="3182" t="s">
        <v>36</v>
      </c>
      <c r="D89" s="3182"/>
      <c r="E89" s="1246"/>
      <c r="F89" s="966">
        <v>0</v>
      </c>
      <c r="G89" s="1004">
        <f>IF(SETUP!$F$56="At delivery",IF(SETUP!$G$56=1,$E$87*'Malaria-Equipment &amp; Other HPs'!AX18,0),0)</f>
        <v>0</v>
      </c>
      <c r="H89" s="1004">
        <f>IF(SETUP!$F$56="At delivery",IF(SETUP!$G$56=2,$E$87*'Malaria-Equipment &amp; Other HPs'!AX18,IF(SETUP!$G$56=1,$E$87*'Malaria-Equipment &amp; Other HPs'!AY18,0)),0)</f>
        <v>0</v>
      </c>
      <c r="I89" s="1004">
        <f>IF(SETUP!$F$56="At delivery",IF(SETUP!$G$56=3,$E$87*'Malaria-Equipment &amp; Other HPs'!AX18,IF(SETUP!$G$56=2,$E$87*'Malaria-Equipment &amp; Other HPs'!AY18,IF(SETUP!$G$56=1,$E$87*'Malaria-Equipment &amp; Other HPs'!AZ18,0))),0)</f>
        <v>0</v>
      </c>
      <c r="J89" s="1004">
        <f t="shared" si="8"/>
        <v>0</v>
      </c>
      <c r="K89" s="1005">
        <f>IF(SETUP!$F$56="At delivery",IF(SETUP!$G$56=4,$E$87*'Malaria-Equipment &amp; Other HPs'!AX18,IF(SETUP!$G$56=3,$E$87*'Malaria-Equipment &amp; Other HPs'!AY18,IF(SETUP!$G$56=2,$E$87*'Malaria-Equipment &amp; Other HPs'!AZ18,IF(SETUP!$G$56=1,$E$87*'Malaria-Equipment &amp; Other HPs'!BA18,0)))),0)</f>
        <v>0</v>
      </c>
      <c r="L89" s="1004">
        <f>IF(SETUP!$F$56="At delivery",IF(SETUP!$G$56=4,$E$87*'Malaria-Equipment &amp; Other HPs'!AY18,IF(SETUP!$G$56=3,$E$87*'Malaria-Equipment &amp; Other HPs'!AZ18,IF(SETUP!$G$56=2,$E$87*'Malaria-Equipment &amp; Other HPs'!BA18,IF(SETUP!$G$56=1,$E$87*'Malaria-Equipment &amp; Other HPs'!BB18,0)))),0)</f>
        <v>0</v>
      </c>
      <c r="M89" s="1004">
        <f>IF(SETUP!$F$56="At delivery",IF(SETUP!$G$56=4,$E$87*'Malaria-Equipment &amp; Other HPs'!AZ18,IF(SETUP!$G$56=3,$E$87*'Malaria-Equipment &amp; Other HPs'!BA18,IF(SETUP!$G$56=2,$E$87*'Malaria-Equipment &amp; Other HPs'!BB18,IF(SETUP!$G$56=1,$E$87*'Malaria-Equipment &amp; Other HPs'!BC18,0)))),0)</f>
        <v>0</v>
      </c>
      <c r="N89" s="1004">
        <f>IF(SETUP!$F$56="At delivery",IF(SETUP!$G$56=4,$E$87*'Malaria-Equipment &amp; Other HPs'!BA18,IF(SETUP!$G$56=3,$E$87*'Malaria-Equipment &amp; Other HPs'!BB18,IF(SETUP!$G$56=2,$E$87*'Malaria-Equipment &amp; Other HPs'!BC18,IF(SETUP!$G$56=1,$E$87*'Malaria-Equipment &amp; Other HPs'!BD18,0)))),0)</f>
        <v>0</v>
      </c>
      <c r="O89" s="931">
        <f t="shared" si="9"/>
        <v>0</v>
      </c>
      <c r="P89" s="966">
        <f>IF(SETUP!$F$56="At delivery",IF(SETUP!$G$56=4,$E$87*'Malaria-Equipment &amp; Other HPs'!BB18,IF(SETUP!$G$56=3,$E$87*'Malaria-Equipment &amp; Other HPs'!BC18,IF(SETUP!$G$56=2,$E$87*'Malaria-Equipment &amp; Other HPs'!BD18,IF(SETUP!$G$56=1,$E$87*'Malaria-Equipment &amp; Other HPs'!BE18,0)))),0)</f>
        <v>0</v>
      </c>
      <c r="Q89" s="915">
        <f>IF(SETUP!$F$56="At delivery",IF(SETUP!$G$56=4,$E$87*'Malaria-Equipment &amp; Other HPs'!BC18,IF(SETUP!$G$56=3,$E$87*'Malaria-Equipment &amp; Other HPs'!BD18,IF(SETUP!$G$56=2,$E$87*'Malaria-Equipment &amp; Other HPs'!BE18,IF(SETUP!$G$56=1,$E$87*'Malaria-Equipment &amp; Other HPs'!BF18,0)))),0)</f>
        <v>0</v>
      </c>
      <c r="R89" s="915">
        <f>IF(SETUP!$F$56="At delivery",IF(SETUP!$G$56=4,$E$87*'Malaria-Equipment &amp; Other HPs'!BD18,IF(SETUP!$G$56=3,$E$87*'Malaria-Equipment &amp; Other HPs'!BE18,IF(SETUP!$G$56=2,$E$87*'Malaria-Equipment &amp; Other HPs'!BF18,IF(SETUP!$G$56=1,$E$87*'Malaria-Equipment &amp; Other HPs'!BG18,0)))),0)</f>
        <v>0</v>
      </c>
      <c r="S89" s="915">
        <f>IF(SETUP!$F$56="At delivery",IF(SETUP!$G$56=4,$E$87*('Malaria-Equipment &amp; Other HPs'!BE18+'Malaria-Equipment &amp; Other HPs'!BF18+'Malaria-Equipment &amp; Other HPs'!BG18+'Malaria-Equipment &amp; Other HPs'!BH18+'Malaria-Equipment &amp; Other HPs'!BI18),IF(SETUP!$G$56=3,$E$87*('Malaria-Equipment &amp; Other HPs'!BF18+'Malaria-Equipment &amp; Other HPs'!BG18+'Malaria-Equipment &amp; Other HPs'!BH18+'Malaria-Equipment &amp; Other HPs'!BI18),IF(SETUP!$G$56=2,$E$87*('Malaria-Equipment &amp; Other HPs'!BG18+'Malaria-Equipment &amp; Other HPs'!BH18+'Malaria-Equipment &amp; Other HPs'!BI18),IF(SETUP!$G$56=1,$E$87*('Malaria-Equipment &amp; Other HPs'!BH18+'Malaria-Equipment &amp; Other HPs'!BI18),0)))),0)</f>
        <v>0</v>
      </c>
      <c r="T89" s="915">
        <f t="shared" si="10"/>
        <v>0</v>
      </c>
      <c r="U89" s="966">
        <f t="shared" si="11"/>
        <v>0</v>
      </c>
      <c r="V89" s="1316"/>
      <c r="W89" s="1995"/>
      <c r="X89" s="1320"/>
    </row>
    <row r="90" spans="1:38" s="665" customFormat="1" ht="15" hidden="1" customHeight="1" collapsed="1">
      <c r="A90" s="3197"/>
      <c r="B90" s="3198"/>
      <c r="C90" s="3188" t="s">
        <v>429</v>
      </c>
      <c r="D90" s="3188"/>
      <c r="E90" s="1246">
        <v>0</v>
      </c>
      <c r="F90" s="966">
        <f>IF(SETUP!$F$57="Upfront",F91,F92)</f>
        <v>0</v>
      </c>
      <c r="G90" s="1004">
        <f>IF(SETUP!$F$57="Upfront",G91,G92)</f>
        <v>0</v>
      </c>
      <c r="H90" s="1004">
        <f>IF(SETUP!$F$57="Upfront",H91,H92)</f>
        <v>0</v>
      </c>
      <c r="I90" s="1004">
        <f>IF(SETUP!$F$57="Upfront",I91,I92)</f>
        <v>0</v>
      </c>
      <c r="J90" s="1004">
        <f t="shared" si="8"/>
        <v>0</v>
      </c>
      <c r="K90" s="1005">
        <f>IF(SETUP!$F$57="Upfront",K91,K92)</f>
        <v>0</v>
      </c>
      <c r="L90" s="1004">
        <f>IF(SETUP!$F$57="Upfront",L91,L92)</f>
        <v>0</v>
      </c>
      <c r="M90" s="1004">
        <f>IF(SETUP!$F$57="Upfront",M91,M92)</f>
        <v>0</v>
      </c>
      <c r="N90" s="1004">
        <f>IF(SETUP!$F$57="Upfront",N91,N92)</f>
        <v>0</v>
      </c>
      <c r="O90" s="931">
        <f t="shared" si="9"/>
        <v>0</v>
      </c>
      <c r="P90" s="966">
        <f>IF(SETUP!$F$57="Upfront",P91,P92)</f>
        <v>0</v>
      </c>
      <c r="Q90" s="915">
        <f>IF(SETUP!$F$57="Upfront",Q91,Q92)</f>
        <v>0</v>
      </c>
      <c r="R90" s="915">
        <f>IF(SETUP!$F$57="Upfront",R91,R92)</f>
        <v>0</v>
      </c>
      <c r="S90" s="915">
        <f>IF(SETUP!$F$57="Upfront",S91,S92)</f>
        <v>0</v>
      </c>
      <c r="T90" s="915">
        <f t="shared" si="10"/>
        <v>0</v>
      </c>
      <c r="U90" s="966">
        <f t="shared" si="11"/>
        <v>0</v>
      </c>
      <c r="V90" s="1316">
        <v>7.1</v>
      </c>
      <c r="W90" s="1995"/>
      <c r="X90" s="1321"/>
    </row>
    <row r="91" spans="1:38" s="665" customFormat="1" ht="15" hidden="1" customHeight="1" outlineLevel="1">
      <c r="A91" s="3197"/>
      <c r="B91" s="3198"/>
      <c r="C91" s="3182" t="s">
        <v>777</v>
      </c>
      <c r="D91" s="3182"/>
      <c r="E91" s="1246"/>
      <c r="F91" s="966">
        <f>IF(SETUP!$F$57="Upfront",$E$90*'Malaria-Equipment &amp; Other HPs'!AX19,0)</f>
        <v>0</v>
      </c>
      <c r="G91" s="1004">
        <f>IF(SETUP!$F$57="Upfront",$E$90*'Malaria-Equipment &amp; Other HPs'!AY19,0)</f>
        <v>0</v>
      </c>
      <c r="H91" s="1004">
        <f>IF(SETUP!$F$57="Upfront",$E$90*'Malaria-Equipment &amp; Other HPs'!AZ19,0)</f>
        <v>0</v>
      </c>
      <c r="I91" s="1004">
        <f>IF(SETUP!$F$57="Upfront",$E$90*'Malaria-Equipment &amp; Other HPs'!BA19,0)</f>
        <v>0</v>
      </c>
      <c r="J91" s="1004">
        <f t="shared" si="8"/>
        <v>0</v>
      </c>
      <c r="K91" s="1005">
        <f>IF(SETUP!$F$57="Upfront",$E$90*'Malaria-Equipment &amp; Other HPs'!BB19,0)</f>
        <v>0</v>
      </c>
      <c r="L91" s="1004">
        <f>IF(SETUP!$F$57="Upfront",$E$90*'Malaria-Equipment &amp; Other HPs'!BC19,0)</f>
        <v>0</v>
      </c>
      <c r="M91" s="1004">
        <f>IF(SETUP!$F$57="Upfront",$E$90*'Malaria-Equipment &amp; Other HPs'!BD19,0)</f>
        <v>0</v>
      </c>
      <c r="N91" s="1004">
        <f>IF(SETUP!$F$57="Upfront",$E$90*'Malaria-Equipment &amp; Other HPs'!BE19,0)</f>
        <v>0</v>
      </c>
      <c r="O91" s="931">
        <f t="shared" si="9"/>
        <v>0</v>
      </c>
      <c r="P91" s="966">
        <f>IF(SETUP!$F$57="Upfront",$E$90*'Malaria-Equipment &amp; Other HPs'!BF19,0)</f>
        <v>0</v>
      </c>
      <c r="Q91" s="915">
        <f>IF(SETUP!$F$57="Upfront",$E$90*'Malaria-Equipment &amp; Other HPs'!BG19,0)</f>
        <v>0</v>
      </c>
      <c r="R91" s="915">
        <f>IF(SETUP!$F$57="Upfront",$E$90*'Malaria-Equipment &amp; Other HPs'!BH19,0)</f>
        <v>0</v>
      </c>
      <c r="S91" s="915">
        <f>IF(SETUP!$F$57="Upfront",$E$90*'Malaria-Equipment &amp; Other HPs'!BI19,0)</f>
        <v>0</v>
      </c>
      <c r="T91" s="915">
        <f t="shared" si="10"/>
        <v>0</v>
      </c>
      <c r="U91" s="966">
        <f t="shared" si="11"/>
        <v>0</v>
      </c>
      <c r="V91" s="1316"/>
      <c r="W91" s="1995"/>
      <c r="X91" s="1320"/>
    </row>
    <row r="92" spans="1:38" s="665" customFormat="1" ht="15" hidden="1" customHeight="1" outlineLevel="1">
      <c r="A92" s="3197"/>
      <c r="B92" s="3198"/>
      <c r="C92" s="3182" t="s">
        <v>36</v>
      </c>
      <c r="D92" s="3182"/>
      <c r="E92" s="1246"/>
      <c r="F92" s="966">
        <v>0</v>
      </c>
      <c r="G92" s="1004">
        <f>IF(SETUP!$F$57="At delivery",IF(SETUP!$G$57=1,$E$90*'Malaria-Equipment &amp; Other HPs'!AX19,0),0)</f>
        <v>0</v>
      </c>
      <c r="H92" s="1004">
        <f>IF(SETUP!$F$57="At delivery",IF(SETUP!$G$57=2,$E$90*'Malaria-Equipment &amp; Other HPs'!AX19,IF(SETUP!$G$57=1,$E$90*'Malaria-Equipment &amp; Other HPs'!AY19,0)),0)</f>
        <v>0</v>
      </c>
      <c r="I92" s="1004">
        <f>IF(SETUP!$F$57="At delivery",IF(SETUP!$G$57=3,$E$90*'Malaria-Equipment &amp; Other HPs'!AX19,IF(SETUP!$G$57=2,$E$90*'Malaria-Equipment &amp; Other HPs'!AY19,IF(SETUP!$G$57=1,$E$90*'Malaria-Equipment &amp; Other HPs'!AZ19,0))),0)</f>
        <v>0</v>
      </c>
      <c r="J92" s="1004">
        <f t="shared" si="8"/>
        <v>0</v>
      </c>
      <c r="K92" s="1005">
        <f>IF(SETUP!$F$57="At delivery",IF(SETUP!$G$57=4,$E$90*'Malaria-Equipment &amp; Other HPs'!AX19,IF(SETUP!$G$57=3,$E$90*'Malaria-Equipment &amp; Other HPs'!AY19,IF(SETUP!$G$57=2,$E$90*'Malaria-Equipment &amp; Other HPs'!AZ19,IF(SETUP!$G$57=1,$E$90*'Malaria-Equipment &amp; Other HPs'!BA19,0)))),0)</f>
        <v>0</v>
      </c>
      <c r="L92" s="1004">
        <f>IF(SETUP!$F$57="At delivery",IF(SETUP!$G$57=4,$E$90*'Malaria-Equipment &amp; Other HPs'!AY19,IF(SETUP!$G$57=3,$E$90*'Malaria-Equipment &amp; Other HPs'!AZ19,IF(SETUP!$G$57=2,$E$90*'Malaria-Equipment &amp; Other HPs'!BA19,IF(SETUP!$G$57=1,$E$90*'Malaria-Equipment &amp; Other HPs'!BB19,0)))),0)</f>
        <v>0</v>
      </c>
      <c r="M92" s="1004">
        <f>IF(SETUP!$F$57="At delivery",IF(SETUP!$G$57=4,$E$90*'Malaria-Equipment &amp; Other HPs'!AZ19,IF(SETUP!$G$57=3,$E$90*'Malaria-Equipment &amp; Other HPs'!BA19,IF(SETUP!$G$57=2,$E$90*'Malaria-Equipment &amp; Other HPs'!BB19,IF(SETUP!$G$57=1,$E$90*'Malaria-Equipment &amp; Other HPs'!BC19,0)))),0)</f>
        <v>0</v>
      </c>
      <c r="N92" s="1004">
        <f>IF(SETUP!$F$57="At delivery",IF(SETUP!$G$57=4,$E$90*'Malaria-Equipment &amp; Other HPs'!BA19,IF(SETUP!$G$57=3,$E$90*'Malaria-Equipment &amp; Other HPs'!BB19,IF(SETUP!$G$57=2,$E$90*'Malaria-Equipment &amp; Other HPs'!BC19,IF(SETUP!$G$57=1,$E$90*'Malaria-Equipment &amp; Other HPs'!BD19,0)))),0)</f>
        <v>0</v>
      </c>
      <c r="O92" s="931">
        <f t="shared" si="9"/>
        <v>0</v>
      </c>
      <c r="P92" s="966">
        <f>IF(SETUP!$F$57="At delivery",IF(SETUP!$G$57=4,$E$90*'Malaria-Equipment &amp; Other HPs'!BB19,IF(SETUP!$G$57=3,$E$90*'Malaria-Equipment &amp; Other HPs'!BC19,IF(SETUP!$G$57=2,$E$90*'Malaria-Equipment &amp; Other HPs'!BD19,IF(SETUP!$G$57=1,$E$90*'Malaria-Equipment &amp; Other HPs'!BE19,0)))),0)</f>
        <v>0</v>
      </c>
      <c r="Q92" s="915">
        <f>IF(SETUP!$F$57="At delivery",IF(SETUP!$G$57=4,$E$90*'Malaria-Equipment &amp; Other HPs'!BC19,IF(SETUP!$G$57=3,$E$90*'Malaria-Equipment &amp; Other HPs'!BD19,IF(SETUP!$G$57=2,$E$90*'Malaria-Equipment &amp; Other HPs'!BE19,IF(SETUP!$G$57=1,$E$90*'Malaria-Equipment &amp; Other HPs'!BF19,0)))),0)</f>
        <v>0</v>
      </c>
      <c r="R92" s="915">
        <f>IF(SETUP!$F$57="At delivery",IF(SETUP!$G$57=4,$E$90*'Malaria-Equipment &amp; Other HPs'!BD19,IF(SETUP!$G$57=3,$E$90*'Malaria-Equipment &amp; Other HPs'!BE19,IF(SETUP!$G$57=2,$E$90*'Malaria-Equipment &amp; Other HPs'!BF19,IF(SETUP!$G$57=1,$E$90*'Malaria-Equipment &amp; Other HPs'!BG19,0)))),0)</f>
        <v>0</v>
      </c>
      <c r="S92" s="915">
        <f>IF(SETUP!$F$57="At delivery",IF(SETUP!$G$57=4,$E$90*('Malaria-Equipment &amp; Other HPs'!BE19+'Malaria-Equipment &amp; Other HPs'!BF19+'Malaria-Equipment &amp; Other HPs'!BG19+'Malaria-Equipment &amp; Other HPs'!BH19+'Malaria-Equipment &amp; Other HPs'!BI19),IF(SETUP!$G$57=3,$E$90*('Malaria-Equipment &amp; Other HPs'!BF19+'Malaria-Equipment &amp; Other HPs'!BG19+'Malaria-Equipment &amp; Other HPs'!BH19+'Malaria-Equipment &amp; Other HPs'!BI19),IF(SETUP!$G$57=2,$E$90*('Malaria-Equipment &amp; Other HPs'!BG19+'Malaria-Equipment &amp; Other HPs'!BH19+'Malaria-Equipment &amp; Other HPs'!BI19),IF(SETUP!$G$57=1,$E$90*('Malaria-Equipment &amp; Other HPs'!BH19+'Malaria-Equipment &amp; Other HPs'!BI19),0)))),0)</f>
        <v>0</v>
      </c>
      <c r="T92" s="915">
        <f t="shared" si="10"/>
        <v>0</v>
      </c>
      <c r="U92" s="966">
        <f t="shared" si="11"/>
        <v>0</v>
      </c>
      <c r="V92" s="1316"/>
      <c r="W92" s="1995"/>
      <c r="X92" s="1320"/>
    </row>
    <row r="93" spans="1:38" s="665" customFormat="1" ht="15" hidden="1" customHeight="1" collapsed="1" thickBot="1">
      <c r="A93" s="3199"/>
      <c r="B93" s="3200"/>
      <c r="C93" s="3204" t="s">
        <v>459</v>
      </c>
      <c r="D93" s="3204"/>
      <c r="E93" s="1247">
        <v>0</v>
      </c>
      <c r="F93" s="1025">
        <f>IF(SETUP!$F$58="Upfront",F94,F95)</f>
        <v>0</v>
      </c>
      <c r="G93" s="1026">
        <f>IF(SETUP!$F$58="Upfront",G94,G95)</f>
        <v>0</v>
      </c>
      <c r="H93" s="1006">
        <f>IF(SETUP!$F$58="Upfront",H94,H95)</f>
        <v>0</v>
      </c>
      <c r="I93" s="1006">
        <f>IF(SETUP!$F$58="Upfront",I94,I95)</f>
        <v>0</v>
      </c>
      <c r="J93" s="1006">
        <f t="shared" si="8"/>
        <v>0</v>
      </c>
      <c r="K93" s="1007">
        <f>IF(SETUP!$F$58="Upfront",K94,K95)</f>
        <v>0</v>
      </c>
      <c r="L93" s="1006">
        <f>IF(SETUP!$F$58="Upfront",L94,L95)</f>
        <v>0</v>
      </c>
      <c r="M93" s="1006">
        <f>IF(SETUP!$F$58="Upfront",M94,M95)</f>
        <v>0</v>
      </c>
      <c r="N93" s="1006">
        <f>IF(SETUP!$F$58="Upfront",N94,N95)</f>
        <v>0</v>
      </c>
      <c r="O93" s="1008">
        <f t="shared" si="9"/>
        <v>0</v>
      </c>
      <c r="P93" s="968">
        <f>IF(SETUP!$F$58="Upfront",P94,P95)</f>
        <v>0</v>
      </c>
      <c r="Q93" s="969">
        <f>IF(SETUP!$F$58="Upfront",Q94,Q95)</f>
        <v>0</v>
      </c>
      <c r="R93" s="969">
        <f>IF(SETUP!$F$58="Upfront",R94,R95)</f>
        <v>0</v>
      </c>
      <c r="S93" s="969">
        <f>IF(SETUP!$F$58="Upfront",S94,S95)</f>
        <v>0</v>
      </c>
      <c r="T93" s="969">
        <f t="shared" si="10"/>
        <v>0</v>
      </c>
      <c r="U93" s="968">
        <f t="shared" si="11"/>
        <v>0</v>
      </c>
      <c r="V93" s="1317">
        <v>7.1</v>
      </c>
      <c r="W93" s="1996"/>
      <c r="X93" s="1322"/>
    </row>
    <row r="94" spans="1:38" s="665" customFormat="1" ht="15" hidden="1" customHeight="1" outlineLevel="1">
      <c r="A94" s="974"/>
      <c r="B94" s="975"/>
      <c r="C94" s="3182" t="s">
        <v>777</v>
      </c>
      <c r="D94" s="3182"/>
      <c r="E94" s="1218"/>
      <c r="F94" s="903">
        <f>IF(SETUP!$F$58="Upfront",$E$93*'Malaria-Equipment &amp; Other HPs'!AX20,0)</f>
        <v>0</v>
      </c>
      <c r="G94" s="903">
        <f>IF(SETUP!$F$58="Upfront",$E$93*'Malaria-Equipment &amp; Other HPs'!AY20,0)</f>
        <v>0</v>
      </c>
      <c r="H94" s="903">
        <f>IF(SETUP!$F$58="Upfront",$E$93*'Malaria-Equipment &amp; Other HPs'!AZ20,0)</f>
        <v>0</v>
      </c>
      <c r="I94" s="903">
        <f>IF(SETUP!$F$58="Upfront",$E$93*'Malaria-Equipment &amp; Other HPs'!BA20,0)</f>
        <v>0</v>
      </c>
      <c r="J94" s="904">
        <f>'HPM costs'!$F94+'HPM costs'!$G94+'HPM costs'!$H94+'HPM costs'!$I94</f>
        <v>0</v>
      </c>
      <c r="K94" s="905">
        <f>IF(SETUP!$F$58="Upfront",$E$93*'Malaria-Equipment &amp; Other HPs'!BB20,0)</f>
        <v>0</v>
      </c>
      <c r="L94" s="904">
        <f>IF(SETUP!$F$58="Upfront",$E$93*'Malaria-Equipment &amp; Other HPs'!BC20,0)</f>
        <v>0</v>
      </c>
      <c r="M94" s="904">
        <f>IF(SETUP!$F$58="Upfront",$E$93*'Malaria-Equipment &amp; Other HPs'!BD20,0)</f>
        <v>0</v>
      </c>
      <c r="N94" s="904">
        <f>IF(SETUP!$F$58="Upfront",$E$93*'Malaria-Equipment &amp; Other HPs'!BE20,0)</f>
        <v>0</v>
      </c>
      <c r="O94" s="906">
        <f t="shared" si="9"/>
        <v>0</v>
      </c>
      <c r="P94" s="907">
        <f>IF(SETUP!$F$58="Upfront",$E$93*'Malaria-Equipment &amp; Other HPs'!BF20,0)</f>
        <v>0</v>
      </c>
      <c r="Q94" s="903">
        <f>IF(SETUP!$F$58="Upfront",$E$93*'Malaria-Equipment &amp; Other HPs'!BG20,0)</f>
        <v>0</v>
      </c>
      <c r="R94" s="903">
        <f>IF(SETUP!$F$58="Upfront",$E$93*'Malaria-Equipment &amp; Other HPs'!BH20,0)</f>
        <v>0</v>
      </c>
      <c r="S94" s="903">
        <f>IF(SETUP!$F$58="Upfront",$E$93*'Malaria-Equipment &amp; Other HPs'!BI20,0)</f>
        <v>0</v>
      </c>
      <c r="T94" s="903">
        <f t="shared" si="10"/>
        <v>0</v>
      </c>
      <c r="U94" s="907">
        <f t="shared" si="11"/>
        <v>0</v>
      </c>
      <c r="V94" s="728"/>
      <c r="W94" s="1997"/>
      <c r="X94" s="652"/>
    </row>
    <row r="95" spans="1:38" s="665" customFormat="1" ht="15" hidden="1" customHeight="1" outlineLevel="1" thickBot="1">
      <c r="A95" s="976"/>
      <c r="B95" s="977"/>
      <c r="C95" s="3244" t="s">
        <v>36</v>
      </c>
      <c r="D95" s="3244"/>
      <c r="E95" s="1217"/>
      <c r="F95" s="908">
        <v>0</v>
      </c>
      <c r="G95" s="909">
        <f>IF(SETUP!$F$58="At delivery",IF(SETUP!$G$58=1,$E$93*'Malaria-Equipment &amp; Other HPs'!AX20,0),0)</f>
        <v>0</v>
      </c>
      <c r="H95" s="910">
        <f>IF(SETUP!$F$58="At delivery",IF(SETUP!$G$58=2,$E$93*'Malaria-Equipment &amp; Other HPs'!AX20,IF(SETUP!$G$58=1,$E$93*'Malaria-Equipment &amp; Other HPs'!AY20,0)),0)</f>
        <v>0</v>
      </c>
      <c r="I95" s="910">
        <f>IF(SETUP!$F$58="At delivery",IF(SETUP!$G$58=3,$E$93*'Malaria-Equipment &amp; Other HPs'!AX20,IF(SETUP!$G$58=2,$E$93*'Malaria-Equipment &amp; Other HPs'!AY20,IF(SETUP!$G$58=1,$E$93*'Malaria-Equipment &amp; Other HPs'!AZ20,0))),0)</f>
        <v>0</v>
      </c>
      <c r="J95" s="911">
        <f>'HPM costs'!$F95+'HPM costs'!$G95+'HPM costs'!$H95+'HPM costs'!$I95</f>
        <v>0</v>
      </c>
      <c r="K95" s="912">
        <f>IF(SETUP!$F$58="At delivery",IF(SETUP!$G$58=4,$E$93*'Malaria-Equipment &amp; Other HPs'!AX20,IF(SETUP!$G$58=3,$E$93*'Malaria-Equipment &amp; Other HPs'!AY20,IF(SETUP!$G$58=2,$E$93*'Malaria-Equipment &amp; Other HPs'!AZ20,IF(SETUP!$G$58=1,$E$93*'Malaria-Equipment &amp; Other HPs'!BA20,0)))),0)</f>
        <v>0</v>
      </c>
      <c r="L95" s="910">
        <f>IF(SETUP!$F$58="At delivery",IF(SETUP!$G$58=4,$E$93*'Malaria-Equipment &amp; Other HPs'!AY20,IF(SETUP!$G$58=3,$E$93*'Malaria-Equipment &amp; Other HPs'!AZ20,IF(SETUP!$G$58=2,$E$93*'Malaria-Equipment &amp; Other HPs'!BA20,IF(SETUP!$G$58=1,$E$93*'Malaria-Equipment &amp; Other HPs'!BB20,0)))),0)</f>
        <v>0</v>
      </c>
      <c r="M95" s="910">
        <f>IF(SETUP!$F$58="At delivery",IF(SETUP!$G$58=4,$E$93*'Malaria-Equipment &amp; Other HPs'!AZ20,IF(SETUP!$G$58=3,$E$93*'Malaria-Equipment &amp; Other HPs'!BA20,IF(SETUP!$G$58=2,$E$93*'Malaria-Equipment &amp; Other HPs'!BB20,IF(SETUP!$G$58=1,$E$93*'Malaria-Equipment &amp; Other HPs'!BC20,0)))),0)</f>
        <v>0</v>
      </c>
      <c r="N95" s="910">
        <f>IF(SETUP!$F$58="At delivery",IF(SETUP!$G$58=4,$E$93*'Malaria-Equipment &amp; Other HPs'!BA20,IF(SETUP!$G$58=3,$E$93*'Malaria-Equipment &amp; Other HPs'!BB20,IF(SETUP!$G$58=2,$E$93*'Malaria-Equipment &amp; Other HPs'!BC20,IF(SETUP!$G$58=1,$E$93*'Malaria-Equipment &amp; Other HPs'!BD20,0)))),0)</f>
        <v>0</v>
      </c>
      <c r="O95" s="913">
        <f t="shared" si="9"/>
        <v>0</v>
      </c>
      <c r="P95" s="914">
        <f>IF(SETUP!$F$58="At delivery",IF(SETUP!$G$58=4,$E$93*'Malaria-Equipment &amp; Other HPs'!BB20,IF(SETUP!$G$58=3,$E$93*'Malaria-Equipment &amp; Other HPs'!BC20,IF(SETUP!$G$58=2,$E$93*'Malaria-Equipment &amp; Other HPs'!BD20,IF(SETUP!$G$58=1,$E$93*'Malaria-Equipment &amp; Other HPs'!BE20,0)))),0)</f>
        <v>0</v>
      </c>
      <c r="Q95" s="908">
        <f>IF(SETUP!$F$58="At delivery",IF(SETUP!$G$58=4,$E$93*'Malaria-Equipment &amp; Other HPs'!BC20,IF(SETUP!$G$58=3,$E$93*'Malaria-Equipment &amp; Other HPs'!BD20,IF(SETUP!$G$58=2,$E$93*'Malaria-Equipment &amp; Other HPs'!BE20,IF(SETUP!$G$58=1,$E$93*'Malaria-Equipment &amp; Other HPs'!BF20,0)))),0)</f>
        <v>0</v>
      </c>
      <c r="R95" s="908">
        <f>IF(SETUP!$F$58="At delivery",IF(SETUP!$G$58=4,$E$93*'Malaria-Equipment &amp; Other HPs'!BD20,IF(SETUP!$G$58=3,$E$93*'Malaria-Equipment &amp; Other HPs'!BE20,IF(SETUP!$G$58=2,$E$93*'Malaria-Equipment &amp; Other HPs'!BF20,IF(SETUP!$G$58=1,$E$93*'Malaria-Equipment &amp; Other HPs'!BG20,0)))),0)</f>
        <v>0</v>
      </c>
      <c r="S95" s="908">
        <f>IF(SETUP!$F$58="At delivery",IF(SETUP!$G$58=4,$E$93*('Malaria-Equipment &amp; Other HPs'!BE20+'Malaria-Equipment &amp; Other HPs'!BF20+'Malaria-Equipment &amp; Other HPs'!BG20+'Malaria-Equipment &amp; Other HPs'!BH20+'Malaria-Equipment &amp; Other HPs'!BI20),IF(SETUP!$G$58=3,$E$93*('Malaria-Equipment &amp; Other HPs'!BF20+'Malaria-Equipment &amp; Other HPs'!BG20+'Malaria-Equipment &amp; Other HPs'!BH20+'Malaria-Equipment &amp; Other HPs'!BI20),IF(SETUP!$G$58=2,$E$93*('Malaria-Equipment &amp; Other HPs'!BG20+'Malaria-Equipment &amp; Other HPs'!BH20+'Malaria-Equipment &amp; Other HPs'!BI20),IF(SETUP!$G$58=1,$E$93*('Malaria-Equipment &amp; Other HPs'!BH20+'Malaria-Equipment &amp; Other HPs'!BI20),0)))),0)</f>
        <v>0</v>
      </c>
      <c r="T95" s="908">
        <f t="shared" si="10"/>
        <v>0</v>
      </c>
      <c r="U95" s="914">
        <f t="shared" si="11"/>
        <v>0</v>
      </c>
      <c r="V95" s="729"/>
      <c r="W95" s="1997"/>
      <c r="X95" s="652"/>
    </row>
    <row r="96" spans="1:38" s="665" customFormat="1" ht="15" customHeight="1" collapsed="1">
      <c r="A96" s="667"/>
      <c r="B96" s="667"/>
      <c r="C96" s="668"/>
      <c r="D96" s="669"/>
      <c r="E96" s="670"/>
      <c r="F96" s="731"/>
      <c r="G96" s="731"/>
      <c r="H96" s="731"/>
      <c r="I96" s="732"/>
      <c r="J96" s="733"/>
      <c r="K96" s="733"/>
      <c r="L96" s="733"/>
      <c r="M96" s="733"/>
      <c r="N96" s="733"/>
      <c r="O96" s="733"/>
      <c r="P96" s="733"/>
      <c r="Q96" s="733"/>
      <c r="R96" s="733"/>
      <c r="S96" s="733"/>
      <c r="T96" s="733"/>
      <c r="U96" s="1718">
        <f>U15+U18+U21+U24+U27+U30+U33+U36+U39+U42+U45+U48+U51+U54+U57+U60+U63+U66+U69+U72+U75+U78+U81+U84+U87+U90+U93</f>
        <v>420641.32079999999</v>
      </c>
      <c r="V96" s="730"/>
      <c r="W96" s="1998"/>
      <c r="Y96" s="672"/>
      <c r="Z96" s="669"/>
      <c r="AA96" s="669"/>
      <c r="AB96" s="669"/>
      <c r="AC96" s="669"/>
      <c r="AD96" s="669"/>
      <c r="AE96" s="669"/>
      <c r="AF96" s="669"/>
      <c r="AG96" s="669"/>
      <c r="AH96" s="669"/>
      <c r="AI96" s="669"/>
      <c r="AJ96" s="669"/>
      <c r="AK96" s="669"/>
      <c r="AL96" s="669"/>
    </row>
    <row r="97" spans="1:38" s="1081" customFormat="1" ht="25.5" customHeight="1" thickBot="1">
      <c r="A97" s="3205" t="s">
        <v>460</v>
      </c>
      <c r="B97" s="3205"/>
      <c r="C97" s="3205"/>
      <c r="D97" s="3205"/>
      <c r="E97" s="3205"/>
      <c r="F97" s="1080"/>
      <c r="G97" s="1080"/>
      <c r="H97" s="1080"/>
      <c r="V97" s="1082"/>
      <c r="W97" s="1999"/>
      <c r="Y97" s="672"/>
      <c r="Z97" s="1080"/>
      <c r="AA97" s="1080"/>
      <c r="AB97" s="1080"/>
      <c r="AC97" s="1080"/>
      <c r="AD97" s="1080"/>
      <c r="AE97" s="1080"/>
      <c r="AF97" s="1080"/>
      <c r="AG97" s="1080"/>
      <c r="AH97" s="1080"/>
      <c r="AI97" s="1080"/>
      <c r="AJ97" s="1080"/>
      <c r="AK97" s="1080"/>
      <c r="AL97" s="1080"/>
    </row>
    <row r="98" spans="1:38" s="665" customFormat="1" ht="15" customHeight="1">
      <c r="A98" s="3233" t="str">
        <f>A12</f>
        <v>Tipo de producto sanitario</v>
      </c>
      <c r="B98" s="3234"/>
      <c r="C98" s="3234"/>
      <c r="D98" s="3234"/>
      <c r="E98" s="3206" t="str">
        <f>VLOOKUP("Estimated Freight and insurance % fee (7.2)",Language!$D$794:$G$881,$L$1,FALSE)</f>
        <v>Honorario estimado en % de flete y seguro (7.2)</v>
      </c>
      <c r="F98" s="3209">
        <f>IF(ISBLANK(IMP_ST_DATE),SETUP!$A$3,YEAR(IMP_ST_DATE))</f>
        <v>2022</v>
      </c>
      <c r="G98" s="3210"/>
      <c r="H98" s="3210"/>
      <c r="I98" s="3210"/>
      <c r="J98" s="3211"/>
      <c r="K98" s="3215">
        <f>IF(ISBLANK(IMP_ST_DATE),SETUP!$A$3,YEAR(IMP_ST_DATE)+1)</f>
        <v>2023</v>
      </c>
      <c r="L98" s="3215"/>
      <c r="M98" s="3215"/>
      <c r="N98" s="3215"/>
      <c r="O98" s="3216"/>
      <c r="P98" s="3209">
        <f>IF(ISBLANK(IMP_ST_DATE),SETUP!$A$3,YEAR(IMP_ST_DATE)+2)</f>
        <v>2024</v>
      </c>
      <c r="Q98" s="3210"/>
      <c r="R98" s="3210"/>
      <c r="S98" s="3210"/>
      <c r="T98" s="3219"/>
      <c r="U98" s="3287" t="str">
        <f>U12</f>
        <v>Total del período de subvención</v>
      </c>
      <c r="V98" s="3289" t="str">
        <f>V12</f>
        <v>Finanzas</v>
      </c>
      <c r="W98" s="3284" t="str">
        <f>W12</f>
        <v>Comentarios</v>
      </c>
      <c r="X98" s="3281"/>
      <c r="Y98" s="3250" t="s">
        <v>144</v>
      </c>
    </row>
    <row r="99" spans="1:38" s="665" customFormat="1" ht="14.25" customHeight="1" thickBot="1">
      <c r="A99" s="3235"/>
      <c r="B99" s="3236"/>
      <c r="C99" s="3236"/>
      <c r="D99" s="3236"/>
      <c r="E99" s="3207"/>
      <c r="F99" s="3212"/>
      <c r="G99" s="3213"/>
      <c r="H99" s="3213"/>
      <c r="I99" s="3213"/>
      <c r="J99" s="3214"/>
      <c r="K99" s="3217"/>
      <c r="L99" s="3217"/>
      <c r="M99" s="3217"/>
      <c r="N99" s="3217"/>
      <c r="O99" s="3218"/>
      <c r="P99" s="3212"/>
      <c r="Q99" s="3213"/>
      <c r="R99" s="3213"/>
      <c r="S99" s="3213"/>
      <c r="T99" s="3220"/>
      <c r="U99" s="3288"/>
      <c r="V99" s="3297"/>
      <c r="W99" s="3286"/>
      <c r="X99" s="3282"/>
      <c r="Y99" s="3251"/>
    </row>
    <row r="100" spans="1:38" s="666" customFormat="1" ht="40.5" customHeight="1" thickBot="1">
      <c r="A100" s="3237"/>
      <c r="B100" s="3238"/>
      <c r="C100" s="3238"/>
      <c r="D100" s="3238"/>
      <c r="E100" s="3208"/>
      <c r="F100" s="651" t="str">
        <f>F14</f>
        <v>Costo del A1, T1</v>
      </c>
      <c r="G100" s="961" t="str">
        <f t="shared" ref="G100:V100" si="12">G14</f>
        <v>Costo del A1, T2</v>
      </c>
      <c r="H100" s="961" t="str">
        <f t="shared" si="12"/>
        <v>Costo del A1, T3</v>
      </c>
      <c r="I100" s="961" t="str">
        <f t="shared" si="12"/>
        <v>Costo del A1, T4</v>
      </c>
      <c r="J100" s="962" t="str">
        <f t="shared" si="12"/>
        <v>Costo total del A1</v>
      </c>
      <c r="K100" s="961" t="str">
        <f t="shared" si="12"/>
        <v>Costo del A2, T1</v>
      </c>
      <c r="L100" s="961" t="str">
        <f t="shared" si="12"/>
        <v>Costo del A2, T2</v>
      </c>
      <c r="M100" s="961" t="str">
        <f t="shared" si="12"/>
        <v>Costo del A2, T3</v>
      </c>
      <c r="N100" s="961" t="str">
        <f t="shared" si="12"/>
        <v>Costo del A2, T4</v>
      </c>
      <c r="O100" s="962" t="str">
        <f t="shared" si="12"/>
        <v>Costo total del A2</v>
      </c>
      <c r="P100" s="961" t="str">
        <f t="shared" si="12"/>
        <v>Costo del A3, T1</v>
      </c>
      <c r="Q100" s="961" t="str">
        <f t="shared" si="12"/>
        <v>Costo del A3, T2</v>
      </c>
      <c r="R100" s="961" t="str">
        <f t="shared" si="12"/>
        <v>Costo del A3, T3</v>
      </c>
      <c r="S100" s="961" t="str">
        <f t="shared" si="12"/>
        <v>Costo del A3, T4</v>
      </c>
      <c r="T100" s="962" t="str">
        <f t="shared" si="12"/>
        <v>Costo total del A3</v>
      </c>
      <c r="U100" s="961" t="str">
        <f t="shared" si="12"/>
        <v xml:space="preserve">Costo total </v>
      </c>
      <c r="V100" s="1314" t="str">
        <f t="shared" si="12"/>
        <v>Categoría de costos</v>
      </c>
      <c r="W100" s="3285"/>
      <c r="X100" s="3283"/>
    </row>
    <row r="101" spans="1:38" s="665" customFormat="1" ht="15" customHeight="1" thickBot="1">
      <c r="A101" s="3191" t="s">
        <v>435</v>
      </c>
      <c r="B101" s="3192"/>
      <c r="C101" s="3203" t="s">
        <v>436</v>
      </c>
      <c r="D101" s="3203"/>
      <c r="E101" s="1245">
        <v>9.9999999999999998E-17</v>
      </c>
      <c r="F101" s="994">
        <f>IF(SETUP!$F$20="Upfront",F102,F103)</f>
        <v>0</v>
      </c>
      <c r="G101" s="995">
        <f>IF(SETUP!$F$20="Upfront",G102,G103)</f>
        <v>0</v>
      </c>
      <c r="H101" s="996">
        <f>IF(SETUP!$F$20="Upfront",H102,H103)</f>
        <v>0</v>
      </c>
      <c r="I101" s="996">
        <f>IF(SETUP!$F$20="Upfront",I102,I103)</f>
        <v>0</v>
      </c>
      <c r="J101" s="997">
        <f>F101+G101+H101+I101</f>
        <v>0</v>
      </c>
      <c r="K101" s="996">
        <f>IF(SETUP!$F$20="Upfront",K102,K103)</f>
        <v>0</v>
      </c>
      <c r="L101" s="996">
        <f>IF(SETUP!$F$20="Upfront",L102,L103)</f>
        <v>0</v>
      </c>
      <c r="M101" s="996">
        <f>IF(SETUP!$F$20="Upfront",M102,M103)</f>
        <v>0</v>
      </c>
      <c r="N101" s="996">
        <f>IF(SETUP!$F$20="Upfront",N102,N103)</f>
        <v>0</v>
      </c>
      <c r="O101" s="998">
        <f>K101+L101+M101+N101</f>
        <v>0</v>
      </c>
      <c r="P101" s="999">
        <f>IF(SETUP!$F$20="Upfront",P102,P103)</f>
        <v>0</v>
      </c>
      <c r="Q101" s="999">
        <f>IF(SETUP!$F$20="Upfront",Q102,Q103)</f>
        <v>0</v>
      </c>
      <c r="R101" s="999">
        <f>IF(SETUP!$F$20="Upfront",R102,R103)</f>
        <v>0</v>
      </c>
      <c r="S101" s="999">
        <f>IF(SETUP!$F$20="Upfront",S102,S103)</f>
        <v>0</v>
      </c>
      <c r="T101" s="1000">
        <f>P101+Q101+R101+S101</f>
        <v>0</v>
      </c>
      <c r="U101" s="999">
        <f>J101+O101+T101</f>
        <v>0</v>
      </c>
      <c r="V101" s="1315">
        <v>7.2</v>
      </c>
      <c r="W101" s="1994"/>
      <c r="X101" s="1340"/>
    </row>
    <row r="102" spans="1:38" s="665" customFormat="1" ht="15" hidden="1" customHeight="1" outlineLevel="1">
      <c r="A102" s="3193"/>
      <c r="B102" s="3194"/>
      <c r="C102" s="3182" t="s">
        <v>777</v>
      </c>
      <c r="D102" s="3182"/>
      <c r="E102" s="1246"/>
      <c r="F102" s="966">
        <f>IF(SETUP!$F$20="Upfront",$E$101*'HIV-Pharmaceuticals'!AX14,0)</f>
        <v>0</v>
      </c>
      <c r="G102" s="921">
        <f>IF(SETUP!$F$20="Upfront",$E$101*'HIV-Pharmaceuticals'!AY14,0)</f>
        <v>0</v>
      </c>
      <c r="H102" s="920">
        <f>IF(SETUP!$F$20="Upfront",$E$101*'HIV-Pharmaceuticals'!AZ14,0)</f>
        <v>0</v>
      </c>
      <c r="I102" s="920">
        <f>IF(SETUP!$F$20="Upfront",$E$101*'HIV-Pharmaceuticals'!BA14,0)</f>
        <v>0</v>
      </c>
      <c r="J102" s="919"/>
      <c r="K102" s="920">
        <f>IF(SETUP!$F$20="Upfront",$E$101*'HIV-Pharmaceuticals'!BB14,0)</f>
        <v>0</v>
      </c>
      <c r="L102" s="920">
        <f>IF(SETUP!$F$20="Upfront",$E$101*'HIV-Pharmaceuticals'!BC14,0)</f>
        <v>0</v>
      </c>
      <c r="M102" s="920">
        <f>IF(SETUP!$F$20="Upfront",$E$101*'HIV-Pharmaceuticals'!BD14,0)</f>
        <v>0</v>
      </c>
      <c r="N102" s="920">
        <f>IF(SETUP!$F$20="Upfront",$E$101*'HIV-Pharmaceuticals'!BE14,0)</f>
        <v>0</v>
      </c>
      <c r="O102" s="917"/>
      <c r="P102" s="915">
        <f>IF(SETUP!$F$20="Upfront",$E$101*'HIV-Pharmaceuticals'!BF14,0)</f>
        <v>0</v>
      </c>
      <c r="Q102" s="915">
        <f>IF(SETUP!$F$20="Upfront",$E$101*'HIV-Pharmaceuticals'!BG14,0)</f>
        <v>0</v>
      </c>
      <c r="R102" s="915">
        <f>IF(SETUP!$F$20="Upfront",$E$101*'HIV-Pharmaceuticals'!BH14,0)</f>
        <v>0</v>
      </c>
      <c r="S102" s="915">
        <f>IF(SETUP!$F$20="Upfront",$E$101*'HIV-Pharmaceuticals'!BI14,0)</f>
        <v>0</v>
      </c>
      <c r="T102" s="916">
        <f>'HPM costs'!$F102+'HPM costs'!$G102+'HPM costs'!$H102+'HPM costs'!$I102</f>
        <v>0</v>
      </c>
      <c r="U102" s="915">
        <f>'HPM costs'!$J102+'HPM costs'!$O102+'HPM costs'!$T102</f>
        <v>0</v>
      </c>
      <c r="V102" s="1316"/>
      <c r="W102" s="1995"/>
      <c r="X102" s="1341"/>
    </row>
    <row r="103" spans="1:38" s="665" customFormat="1" ht="15" hidden="1" customHeight="1" outlineLevel="1" thickBot="1">
      <c r="A103" s="3193"/>
      <c r="B103" s="3194"/>
      <c r="C103" s="3182" t="s">
        <v>36</v>
      </c>
      <c r="D103" s="3182"/>
      <c r="E103" s="1246"/>
      <c r="F103" s="966">
        <v>0</v>
      </c>
      <c r="G103" s="921">
        <f>IF(SETUP!$F$20="At delivery",IF(SETUP!$G$20=1,$E$101*'HIV-Pharmaceuticals'!AX14,0),0)</f>
        <v>0</v>
      </c>
      <c r="H103" s="920">
        <f>IF(SETUP!$F$20="At delivery",IF(SETUP!$G$20=2,$E$101*'HIV-Pharmaceuticals'!AX14,IF(SETUP!$G$20=1,$E$101*'HIV-Pharmaceuticals'!AY14,0)),0)</f>
        <v>0</v>
      </c>
      <c r="I103" s="920">
        <f>IF(SETUP!$F$20="At delivery",IF(SETUP!$G$20=3,$E$101*'HIV-Pharmaceuticals'!AX14,IF(SETUP!$G$20=2,$E$101*'HIV-Pharmaceuticals'!AY14,IF(SETUP!$G$20=1,$E$101*'HIV-Pharmaceuticals'!AZ14,0))),0)</f>
        <v>0</v>
      </c>
      <c r="J103" s="919">
        <f>'HPM costs'!$F103+'HPM costs'!$G103+'HPM costs'!$H103+'HPM costs'!$I103</f>
        <v>0</v>
      </c>
      <c r="K103" s="920">
        <f>IF(SETUP!$F$20="At delivery",IF(SETUP!$G$20=4,$E$101*'HIV-Pharmaceuticals'!AX14,IF(SETUP!$G$20=3,$E$101*'HIV-Pharmaceuticals'!AY14,IF(SETUP!$G$20=2,$E$101*'HIV-Pharmaceuticals'!AZ14,IF(SETUP!$G$20=1,$E$101*'HIV-Pharmaceuticals'!BA14,0)))),0)</f>
        <v>0</v>
      </c>
      <c r="L103" s="920">
        <f>IF(SETUP!$F$20="At delivery",IF(SETUP!$G$20=4,$E$101*'HIV-Pharmaceuticals'!AY14,IF(SETUP!$G$20=3,$E$101*'HIV-Pharmaceuticals'!AZ14,IF(SETUP!$G$20=2,$E$101*'HIV-Pharmaceuticals'!BA14,IF(SETUP!$G$20=1,$E$101*'HIV-Pharmaceuticals'!BB14,0)))),0)</f>
        <v>0</v>
      </c>
      <c r="M103" s="920">
        <f>IF(SETUP!$F$20="At delivery",IF(SETUP!$G$20=4,$E$101*'HIV-Pharmaceuticals'!AZ14,IF(SETUP!$G$20=3,$E$101*'HIV-Pharmaceuticals'!BA14,IF(SETUP!$G$20=2,$E$101*'HIV-Pharmaceuticals'!BB14,IF(SETUP!$G$20=1,$E$101*'HIV-Pharmaceuticals'!BC14,0)))),0)</f>
        <v>0</v>
      </c>
      <c r="N103" s="920">
        <f>IF(SETUP!$F$20="At delivery",IF(SETUP!$G$20=4,$E$101*'HIV-Pharmaceuticals'!BA14,IF(SETUP!$G$20=3,$E$101*'HIV-Pharmaceuticals'!BB14,IF(SETUP!$G$20=2,$E$101*'HIV-Pharmaceuticals'!BC14,IF(SETUP!$G$20=1,$E$101*'HIV-Pharmaceuticals'!BD14,0)))),0)</f>
        <v>0</v>
      </c>
      <c r="O103" s="917">
        <f>'HPM costs'!$F103+'HPM costs'!$G103+'HPM costs'!$H103+'HPM costs'!$I103</f>
        <v>0</v>
      </c>
      <c r="P103" s="915">
        <f>IF(SETUP!$F$20="At delivery",IF(SETUP!$G$20=4,$E$101*'HIV-Pharmaceuticals'!BB14,IF(SETUP!$G$20=3,$E$101*'HIV-Pharmaceuticals'!BC14,IF(SETUP!$G$20=2,$E$101*'HIV-Pharmaceuticals'!BD14,IF(SETUP!$G$20=1,$E$101*'HIV-Pharmaceuticals'!BE14,0)))),0)</f>
        <v>0</v>
      </c>
      <c r="Q103" s="915">
        <f>IF(SETUP!$F$20="At delivery",IF(SETUP!$G$20=4,$E$101*'HIV-Pharmaceuticals'!BC14,IF(SETUP!$G$20=3,$E$101*'HIV-Pharmaceuticals'!BD14,IF(SETUP!$G$20=2,$E$101*'HIV-Pharmaceuticals'!BE14,IF(SETUP!$G$20=1,$E$101*'HIV-Pharmaceuticals'!BF14,0)))),0)</f>
        <v>0</v>
      </c>
      <c r="R103" s="915">
        <f>IF(SETUP!$F$20="At delivery",IF(SETUP!$G$20=4,$E$101*'HIV-Pharmaceuticals'!BD14,IF(SETUP!$G$20=3,$E$101*'HIV-Pharmaceuticals'!BE14,IF(SETUP!$G$20=2,$E$101*'HIV-Pharmaceuticals'!BF14,IF(SETUP!$G$20=1,$E$101*'HIV-Pharmaceuticals'!BG14,0)))),0)</f>
        <v>0</v>
      </c>
      <c r="S103" s="915">
        <f>IF(SETUP!$F$20="At delivery",IF(SETUP!$G$20=4,$E$101*('HIV-Pharmaceuticals'!BE14+'HIV-Pharmaceuticals'!BF14+'HIV-Pharmaceuticals'!BG14+'HIV-Pharmaceuticals'!BH14+'HIV-Pharmaceuticals'!BI14),IF(SETUP!$G$20=3,$E$101*('HIV-Pharmaceuticals'!BF14+'HIV-Pharmaceuticals'!BG14+'HIV-Pharmaceuticals'!BH14+'HIV-Pharmaceuticals'!BI14),IF(SETUP!$G$20=2,$E$101*('HIV-Pharmaceuticals'!BG14+'HIV-Pharmaceuticals'!BH14+'HIV-Pharmaceuticals'!BI14),IF(SETUP!$G$20=1,$E$101*('HIV-Pharmaceuticals'!BH14+'HIV-Pharmaceuticals'!BI14),0)))),0)</f>
        <v>0</v>
      </c>
      <c r="T103" s="916">
        <f>'HPM costs'!$F103+'HPM costs'!$G103+'HPM costs'!$H103+'HPM costs'!$I103</f>
        <v>0</v>
      </c>
      <c r="U103" s="915">
        <f>'HPM costs'!$J103+'HPM costs'!$O103+'HPM costs'!$T103</f>
        <v>0</v>
      </c>
      <c r="V103" s="1316"/>
      <c r="W103" s="1995"/>
      <c r="X103" s="1341"/>
    </row>
    <row r="104" spans="1:38" s="665" customFormat="1" ht="15" customHeight="1" collapsed="1" thickBot="1">
      <c r="A104" s="3193"/>
      <c r="B104" s="3194"/>
      <c r="C104" s="3188" t="s">
        <v>139</v>
      </c>
      <c r="D104" s="3188"/>
      <c r="E104" s="1245">
        <v>9.9999999999999998E-17</v>
      </c>
      <c r="F104" s="966">
        <f>IF(SETUP!$F$21="Upfront",F105,F106)</f>
        <v>0</v>
      </c>
      <c r="G104" s="921">
        <f>IF(SETUP!$F$21="Upfront",G105,G106)</f>
        <v>0</v>
      </c>
      <c r="H104" s="920">
        <f>IF(SETUP!$F$21="Upfront",H105,H106)</f>
        <v>0</v>
      </c>
      <c r="I104" s="920">
        <f>IF(SETUP!$F$21="Upfront",I105,I106)</f>
        <v>0</v>
      </c>
      <c r="J104" s="919">
        <f t="shared" ref="J104:J122" si="13">F104+G104+H104+I104</f>
        <v>0</v>
      </c>
      <c r="K104" s="920">
        <f>IF(SETUP!$F$21="Upfront",K105,K106)</f>
        <v>0</v>
      </c>
      <c r="L104" s="920">
        <f>IF(SETUP!$F$21="Upfront",L105,L106)</f>
        <v>0</v>
      </c>
      <c r="M104" s="920">
        <f>IF(SETUP!$F$21="Upfront",M105,M106)</f>
        <v>0</v>
      </c>
      <c r="N104" s="920">
        <f>IF(SETUP!$F$21="Upfront",N105,N106)</f>
        <v>0</v>
      </c>
      <c r="O104" s="917">
        <f t="shared" ref="O104:O122" si="14">K104+L104+M104+N104</f>
        <v>0</v>
      </c>
      <c r="P104" s="915">
        <f>IF(SETUP!$F$21="Upfront",P105,P106)</f>
        <v>0</v>
      </c>
      <c r="Q104" s="915">
        <f>IF(SETUP!$F$21="Upfront",Q105,Q106)</f>
        <v>0</v>
      </c>
      <c r="R104" s="915">
        <f>IF(SETUP!$F$21="Upfront",R105,R106)</f>
        <v>0</v>
      </c>
      <c r="S104" s="915">
        <f>IF(SETUP!$F$21="Upfront",S105,S106)</f>
        <v>0</v>
      </c>
      <c r="T104" s="916">
        <f t="shared" ref="T104:T122" si="15">P104+Q104+R104+S104</f>
        <v>0</v>
      </c>
      <c r="U104" s="915">
        <f t="shared" ref="U104:U122" si="16">J104+O104+T104</f>
        <v>0</v>
      </c>
      <c r="V104" s="1316">
        <v>7.2</v>
      </c>
      <c r="W104" s="1995"/>
      <c r="X104" s="1341"/>
    </row>
    <row r="105" spans="1:38" s="665" customFormat="1" ht="15" hidden="1" customHeight="1" outlineLevel="1">
      <c r="A105" s="3193"/>
      <c r="B105" s="3194"/>
      <c r="C105" s="3182" t="s">
        <v>777</v>
      </c>
      <c r="D105" s="3182"/>
      <c r="E105" s="1246"/>
      <c r="F105" s="966">
        <f>IF(SETUP!$F$21="Upfront",$E$104*'HIV-Pharmaceuticals'!AX15,0)</f>
        <v>0</v>
      </c>
      <c r="G105" s="921">
        <f>IF(SETUP!$F$21="Upfront",$E$104*'HIV-Pharmaceuticals'!AY15,0)</f>
        <v>0</v>
      </c>
      <c r="H105" s="920">
        <f>IF(SETUP!$F$21="Upfront",$E$104*'HIV-Pharmaceuticals'!AZ15,0)</f>
        <v>0</v>
      </c>
      <c r="I105" s="920">
        <f>IF(SETUP!$F$21="Upfront",$E$104*'HIV-Pharmaceuticals'!BA15,0)</f>
        <v>0</v>
      </c>
      <c r="J105" s="919">
        <f t="shared" si="13"/>
        <v>0</v>
      </c>
      <c r="K105" s="920">
        <f>IF(SETUP!$F$21="Upfront",$E$104*'HIV-Pharmaceuticals'!BB15,0)</f>
        <v>0</v>
      </c>
      <c r="L105" s="920">
        <f>IF(SETUP!$F$21="Upfront",$E$104*'HIV-Pharmaceuticals'!BC15,0)</f>
        <v>0</v>
      </c>
      <c r="M105" s="920">
        <f>IF(SETUP!$F$21="Upfront",$E$104*'HIV-Pharmaceuticals'!BD15,0)</f>
        <v>0</v>
      </c>
      <c r="N105" s="920">
        <f>IF(SETUP!$F$21="Upfront",$E$104*'HIV-Pharmaceuticals'!BE15,0)</f>
        <v>0</v>
      </c>
      <c r="O105" s="917">
        <f t="shared" si="14"/>
        <v>0</v>
      </c>
      <c r="P105" s="915">
        <f>IF(SETUP!$F$21="Upfront",$E$104*'HIV-Pharmaceuticals'!BF15,0)</f>
        <v>0</v>
      </c>
      <c r="Q105" s="915">
        <f>IF(SETUP!$F$21="Upfront",$E$104*'HIV-Pharmaceuticals'!BG15,0)</f>
        <v>0</v>
      </c>
      <c r="R105" s="915">
        <f>IF(SETUP!$F$21="Upfront",$E$104*'HIV-Pharmaceuticals'!BH15,0)</f>
        <v>0</v>
      </c>
      <c r="S105" s="915">
        <f>IF(SETUP!$F$21="Upfront",$E$104*'HIV-Pharmaceuticals'!BI15,0)</f>
        <v>0</v>
      </c>
      <c r="T105" s="916">
        <f t="shared" si="15"/>
        <v>0</v>
      </c>
      <c r="U105" s="915">
        <f t="shared" si="16"/>
        <v>0</v>
      </c>
      <c r="V105" s="1316">
        <v>7.2</v>
      </c>
      <c r="W105" s="1995"/>
      <c r="X105" s="1341"/>
    </row>
    <row r="106" spans="1:38" s="665" customFormat="1" ht="15" hidden="1" customHeight="1" outlineLevel="1" thickBot="1">
      <c r="A106" s="3193"/>
      <c r="B106" s="3194"/>
      <c r="C106" s="3182" t="s">
        <v>36</v>
      </c>
      <c r="D106" s="3182"/>
      <c r="E106" s="1246"/>
      <c r="F106" s="966">
        <v>0</v>
      </c>
      <c r="G106" s="921">
        <f>IF(SETUP!$F$21="At delivery",IF(SETUP!$G$21=1,$E$104*'HIV-Pharmaceuticals'!AX15,0),0)</f>
        <v>0</v>
      </c>
      <c r="H106" s="920">
        <f>IF(SETUP!$F$21="At delivery",IF(SETUP!$G$21=2,$E$104*'HIV-Pharmaceuticals'!AX15,IF(SETUP!$G$21=1,$E$104*'HIV-Pharmaceuticals'!AY15,0)),0)</f>
        <v>0</v>
      </c>
      <c r="I106" s="920">
        <f>IF(SETUP!$F$21="At delivery",IF(SETUP!$G$21=3,$E$104*'HIV-Pharmaceuticals'!AX15,IF(SETUP!$G$21=2,$E$104*'HIV-Pharmaceuticals'!AY15,IF(SETUP!$G$21=1,$E$104*'HIV-Pharmaceuticals'!AZ15,0))),0)</f>
        <v>0</v>
      </c>
      <c r="J106" s="919">
        <f t="shared" si="13"/>
        <v>0</v>
      </c>
      <c r="K106" s="920">
        <f>IF(SETUP!$F$21="At delivery",IF(SETUP!$G$21=4,$E$104*'HIV-Pharmaceuticals'!AX15,IF(SETUP!$G$21=3,$E$104*'HIV-Pharmaceuticals'!AY15,IF(SETUP!$G$21=2,$E$104*'HIV-Pharmaceuticals'!AZ15,IF(SETUP!$G$21=1,$E$104*'HIV-Pharmaceuticals'!BA15,0)))),0)</f>
        <v>0</v>
      </c>
      <c r="L106" s="920">
        <f>IF(SETUP!$F$21="At delivery",IF(SETUP!$G$21=4,$E$104*'HIV-Pharmaceuticals'!AY15,IF(SETUP!$G$21=3,$E$104*'HIV-Pharmaceuticals'!AZ15,IF(SETUP!$G$21=2,$E$104*'HIV-Pharmaceuticals'!BA15,IF(SETUP!$G$21=1,$E$104*'HIV-Pharmaceuticals'!BB15,0)))),0)</f>
        <v>0</v>
      </c>
      <c r="M106" s="920">
        <f>IF(SETUP!$F$21="At delivery",IF(SETUP!$G$21=4,$E$104*'HIV-Pharmaceuticals'!AZ15,IF(SETUP!$G$21=3,$E$104*'HIV-Pharmaceuticals'!BA15,IF(SETUP!$G$21=2,$E$104*'HIV-Pharmaceuticals'!BB15,IF(SETUP!$G$21=1,$E$104*'HIV-Pharmaceuticals'!BC15,0)))),0)</f>
        <v>0</v>
      </c>
      <c r="N106" s="920">
        <f>IF(SETUP!$F$21="At delivery",IF(SETUP!$G$21=4,$E$104*'HIV-Pharmaceuticals'!BA15,IF(SETUP!$G$21=3,$E$104*'HIV-Pharmaceuticals'!BB15,IF(SETUP!$G$21=2,$E$104*'HIV-Pharmaceuticals'!BC15,IF(SETUP!$G$21=1,$E$104*'HIV-Pharmaceuticals'!BD15,0)))),0)</f>
        <v>0</v>
      </c>
      <c r="O106" s="917">
        <f t="shared" si="14"/>
        <v>0</v>
      </c>
      <c r="P106" s="915">
        <f>IF(SETUP!$F$21="At delivery",IF(SETUP!$G$21=4,$E$104*'HIV-Pharmaceuticals'!BB15,IF(SETUP!$G$21=3,$E$104*'HIV-Pharmaceuticals'!BC15,IF(SETUP!$G$21=2,$E$104*'HIV-Pharmaceuticals'!BD15,IF(SETUP!$G$21=1,$E$104*'HIV-Pharmaceuticals'!BE15,0)))),0)</f>
        <v>0</v>
      </c>
      <c r="Q106" s="915">
        <f>IF(SETUP!$F$21="At delivery",IF(SETUP!$G$21=4,$E$104*'HIV-Pharmaceuticals'!BC15,IF(SETUP!$G$21=3,$E$104*'HIV-Pharmaceuticals'!BD15,IF(SETUP!$G$21=2,$E$104*'HIV-Pharmaceuticals'!BE15,IF(SETUP!$G$21=1,$E$104*'HIV-Pharmaceuticals'!BF15,0)))),0)</f>
        <v>0</v>
      </c>
      <c r="R106" s="915">
        <f>IF(SETUP!$F$21="At delivery",IF(SETUP!$G$21=4,$E$104*'HIV-Pharmaceuticals'!BD15,IF(SETUP!$G$21=3,$E$104*'HIV-Pharmaceuticals'!BE15,IF(SETUP!$G$21=2,$E$104*'HIV-Pharmaceuticals'!BF15,IF(SETUP!$G$21=1,$E$104*'HIV-Pharmaceuticals'!BG15,0)))),0)</f>
        <v>0</v>
      </c>
      <c r="S106" s="915">
        <f>IF(SETUP!$F$21="At delivery",IF(SETUP!$G$21=4,$E$104*('HIV-Pharmaceuticals'!BE15+'HIV-Pharmaceuticals'!BF15+'HIV-Pharmaceuticals'!BG15+'HIV-Pharmaceuticals'!BH15+'HIV-Pharmaceuticals'!BI15),IF(SETUP!$G$21=3,$E$104*('HIV-Pharmaceuticals'!BF15+'HIV-Pharmaceuticals'!BG15+'HIV-Pharmaceuticals'!BH15+'HIV-Pharmaceuticals'!BI15),IF(SETUP!$G$21=2,$E$104*('HIV-Pharmaceuticals'!BG15+'HIV-Pharmaceuticals'!BH15+'HIV-Pharmaceuticals'!BI15),IF(SETUP!$G$21=1,$E$104*('HIV-Pharmaceuticals'!BH15+'HIV-Pharmaceuticals'!BI15),0)))),0)</f>
        <v>0</v>
      </c>
      <c r="T106" s="916">
        <f t="shared" si="15"/>
        <v>0</v>
      </c>
      <c r="U106" s="915">
        <f t="shared" si="16"/>
        <v>0</v>
      </c>
      <c r="V106" s="1316">
        <v>7.2</v>
      </c>
      <c r="W106" s="1995"/>
      <c r="X106" s="1341"/>
    </row>
    <row r="107" spans="1:38" s="665" customFormat="1" ht="15" customHeight="1" collapsed="1" thickBot="1">
      <c r="A107" s="3193"/>
      <c r="B107" s="3194"/>
      <c r="C107" s="3201" t="s">
        <v>1054</v>
      </c>
      <c r="D107" s="3201"/>
      <c r="E107" s="1245">
        <v>9.9999999999999998E-17</v>
      </c>
      <c r="F107" s="966">
        <f>IF(SETUP!$F$22="Upfront",F108,F109)</f>
        <v>0</v>
      </c>
      <c r="G107" s="921">
        <f>IF(SETUP!$F$22="Upfront",G108,G109)</f>
        <v>1.5211249999999999E-11</v>
      </c>
      <c r="H107" s="920">
        <f>IF(SETUP!$F$22="Upfront",H108,H109)</f>
        <v>0</v>
      </c>
      <c r="I107" s="920">
        <f>IF(SETUP!$F$22="Upfront",I108,I109)</f>
        <v>0</v>
      </c>
      <c r="J107" s="919">
        <f t="shared" si="13"/>
        <v>1.5211249999999999E-11</v>
      </c>
      <c r="K107" s="920">
        <f>IF(SETUP!$F$22="Upfront",K108,K109)</f>
        <v>0</v>
      </c>
      <c r="L107" s="920">
        <f>IF(SETUP!$F$22="Upfront",L108,L109)</f>
        <v>1.5211249999999999E-11</v>
      </c>
      <c r="M107" s="920">
        <f>IF(SETUP!$F$22="Upfront",M108,M109)</f>
        <v>0</v>
      </c>
      <c r="N107" s="920">
        <f>IF(SETUP!$F$22="Upfront",N108,N109)</f>
        <v>0</v>
      </c>
      <c r="O107" s="917">
        <f t="shared" si="14"/>
        <v>1.5211249999999999E-11</v>
      </c>
      <c r="P107" s="915">
        <f>IF(SETUP!$F$22="Upfront",P108,P109)</f>
        <v>0</v>
      </c>
      <c r="Q107" s="915">
        <f>IF(SETUP!$F$22="Upfront",Q108,Q109)</f>
        <v>1.5211249999999999E-11</v>
      </c>
      <c r="R107" s="915">
        <f>IF(SETUP!$F$22="Upfront",R108,R109)</f>
        <v>0</v>
      </c>
      <c r="S107" s="915">
        <f>IF(SETUP!$F$22="Upfront",S108,S109)</f>
        <v>0</v>
      </c>
      <c r="T107" s="916">
        <f t="shared" si="15"/>
        <v>1.5211249999999999E-11</v>
      </c>
      <c r="U107" s="915">
        <f t="shared" si="16"/>
        <v>4.5633749999999995E-11</v>
      </c>
      <c r="V107" s="1316">
        <v>7.2</v>
      </c>
      <c r="W107" s="1995"/>
      <c r="X107" s="1341"/>
    </row>
    <row r="108" spans="1:38" s="665" customFormat="1" ht="15" hidden="1" customHeight="1" outlineLevel="1">
      <c r="A108" s="3184" t="s">
        <v>439</v>
      </c>
      <c r="B108" s="3185"/>
      <c r="C108" s="3182" t="s">
        <v>777</v>
      </c>
      <c r="D108" s="3182"/>
      <c r="E108" s="1246"/>
      <c r="F108" s="966">
        <f>IF(SETUP!$F$22="Upfront",$E$107*'HIV-Pharmaceuticals'!AX16,0)</f>
        <v>0</v>
      </c>
      <c r="G108" s="921">
        <f>IF(SETUP!$F$22="Upfront",$E$107*'HIV-Pharmaceuticals'!AY16,0)</f>
        <v>1.5211249999999999E-11</v>
      </c>
      <c r="H108" s="920">
        <f>IF(SETUP!$F$22="Upfront",$E$107*'HIV-Pharmaceuticals'!AZ16,0)</f>
        <v>0</v>
      </c>
      <c r="I108" s="920">
        <f>IF(SETUP!$F$22="Upfront",$E$107*'HIV-Pharmaceuticals'!BA16,0)</f>
        <v>0</v>
      </c>
      <c r="J108" s="919">
        <f t="shared" si="13"/>
        <v>1.5211249999999999E-11</v>
      </c>
      <c r="K108" s="920">
        <f>IF(SETUP!$F$22="Upfront",$E$107*'HIV-Pharmaceuticals'!BB16,0)</f>
        <v>0</v>
      </c>
      <c r="L108" s="920">
        <f>IF(SETUP!$F$22="Upfront",$E$107*'HIV-Pharmaceuticals'!BC16,0)</f>
        <v>1.5211249999999999E-11</v>
      </c>
      <c r="M108" s="920">
        <f>IF(SETUP!$F$22="Upfront",$E$107*'HIV-Pharmaceuticals'!BD16,0)</f>
        <v>0</v>
      </c>
      <c r="N108" s="920">
        <f>IF(SETUP!$F$22="Upfront",$E$107*'HIV-Pharmaceuticals'!BE16,0)</f>
        <v>0</v>
      </c>
      <c r="O108" s="917">
        <f t="shared" si="14"/>
        <v>1.5211249999999999E-11</v>
      </c>
      <c r="P108" s="915">
        <f>IF(SETUP!$F$22="Upfront",$E$107*'HIV-Pharmaceuticals'!BF16,0)</f>
        <v>0</v>
      </c>
      <c r="Q108" s="915">
        <f>IF(SETUP!$F$22="Upfront",$E$107*'HIV-Pharmaceuticals'!BG16,0)</f>
        <v>1.5211249999999999E-11</v>
      </c>
      <c r="R108" s="915">
        <f>IF(SETUP!$F$22="Upfront",$E$107*'HIV-Pharmaceuticals'!BH16,0)</f>
        <v>0</v>
      </c>
      <c r="S108" s="915">
        <f>IF(SETUP!$F$22="Upfront",$E$107*'HIV-Pharmaceuticals'!BI16,0)</f>
        <v>0</v>
      </c>
      <c r="T108" s="916">
        <f t="shared" si="15"/>
        <v>1.5211249999999999E-11</v>
      </c>
      <c r="U108" s="915">
        <f t="shared" si="16"/>
        <v>4.5633749999999995E-11</v>
      </c>
      <c r="V108" s="1316">
        <v>7.2</v>
      </c>
      <c r="W108" s="1995"/>
      <c r="X108" s="1341"/>
    </row>
    <row r="109" spans="1:38" s="665" customFormat="1" ht="15" hidden="1" customHeight="1" outlineLevel="1">
      <c r="A109" s="3184"/>
      <c r="B109" s="3185"/>
      <c r="C109" s="3182" t="s">
        <v>36</v>
      </c>
      <c r="D109" s="3182"/>
      <c r="E109" s="1246"/>
      <c r="F109" s="966">
        <v>0</v>
      </c>
      <c r="G109" s="921">
        <f>IF(SETUP!$F$22="At delivery",IF(SETUP!$G$22=1,$E$107*'HIV-Pharmaceuticals'!AX16,0),0)</f>
        <v>0</v>
      </c>
      <c r="H109" s="920">
        <f>IF(SETUP!$F$22="At delivery",IF(SETUP!$G$22=2,$E$107*'HIV-Pharmaceuticals'!AX16,IF(SETUP!$G$22=1,$E$107*'HIV-Pharmaceuticals'!AY16,0)),0)</f>
        <v>0</v>
      </c>
      <c r="I109" s="920">
        <f>IF(SETUP!$F$22="At delivery",IF(SETUP!$G$22=3,$E$107*'HIV-Pharmaceuticals'!AX16,IF(SETUP!$G$22=2,$E$107*'HIV-Pharmaceuticals'!AY16,IF(SETUP!$G$22=1,$E$107*'HIV-Pharmaceuticals'!AZ16,0))),0)</f>
        <v>0</v>
      </c>
      <c r="J109" s="919">
        <f t="shared" si="13"/>
        <v>0</v>
      </c>
      <c r="K109" s="920">
        <f>IF(SETUP!$F$22="At delivery",IF(SETUP!$G$22=4,$E$107*'HIV-Pharmaceuticals'!AX16,IF(SETUP!$G$22=3,$E$107*'HIV-Pharmaceuticals'!AY16,IF(SETUP!$G$22=2,$E$107*'HIV-Pharmaceuticals'!AZ16,IF(SETUP!$G$22=1,$E$107*'HIV-Pharmaceuticals'!BA16,0)))),0)</f>
        <v>0</v>
      </c>
      <c r="L109" s="920">
        <f>IF(SETUP!$F$22="At delivery",IF(SETUP!$G$22=4,$E$107*'HIV-Pharmaceuticals'!AY16,IF(SETUP!$G$22=3,$E$107*'HIV-Pharmaceuticals'!AZ16,IF(SETUP!$G$22=2,$E$107*'HIV-Pharmaceuticals'!BA16,IF(SETUP!$G$22=1,$E$107*'HIV-Pharmaceuticals'!BB16,0)))),0)</f>
        <v>0</v>
      </c>
      <c r="M109" s="920">
        <f>IF(SETUP!$F$22="At delivery",IF(SETUP!$G$22=4,$E$107*'HIV-Pharmaceuticals'!AZ16,IF(SETUP!$G$22=3,$E$107*'HIV-Pharmaceuticals'!BA16,IF(SETUP!$G$22=2,$E$107*'HIV-Pharmaceuticals'!BB16,IF(SETUP!$G$22=1,$E$107*'HIV-Pharmaceuticals'!BC16,0)))),0)</f>
        <v>0</v>
      </c>
      <c r="N109" s="920">
        <f>IF(SETUP!$F$22="At delivery",IF(SETUP!$G$22=4,$E$107*'HIV-Pharmaceuticals'!BA16,IF(SETUP!$G$22=3,$E$107*'HIV-Pharmaceuticals'!BB16,IF(SETUP!$G$22=2,$E$107*'HIV-Pharmaceuticals'!BC16,IF(SETUP!$G$22=1,$E$107*'HIV-Pharmaceuticals'!BD16,0)))),0)</f>
        <v>0</v>
      </c>
      <c r="O109" s="917">
        <f t="shared" si="14"/>
        <v>0</v>
      </c>
      <c r="P109" s="915">
        <f>IF(SETUP!$F$22="At delivery",IF(SETUP!$G$22=4,$E$107*'HIV-Pharmaceuticals'!BB16,IF(SETUP!$G$22=3,$E$107*'HIV-Pharmaceuticals'!BC16,IF(SETUP!$G$22=2,$E$107*'HIV-Pharmaceuticals'!BD16,IF(SETUP!$G$22=1,$E$107*'HIV-Pharmaceuticals'!BE16,0)))),0)</f>
        <v>0</v>
      </c>
      <c r="Q109" s="915">
        <f>IF(SETUP!$F$22="At delivery",IF(SETUP!$G$22=4,$E$107*'HIV-Pharmaceuticals'!BC16,IF(SETUP!$G$22=3,$E$107*'HIV-Pharmaceuticals'!BD16,IF(SETUP!$G$22=2,$E$107*'HIV-Pharmaceuticals'!BE16,IF(SETUP!$G$22=1,$E$107*'HIV-Pharmaceuticals'!BF16,0)))),0)</f>
        <v>0</v>
      </c>
      <c r="R109" s="915">
        <f>IF(SETUP!$F$22="At delivery",IF(SETUP!$G$22=4,$E$107*'HIV-Pharmaceuticals'!BD16,IF(SETUP!$G$22=3,$E$107*'HIV-Pharmaceuticals'!BE16,IF(SETUP!$G$22=2,$E$107*'HIV-Pharmaceuticals'!BF16,IF(SETUP!$G$22=1,$E$107*'HIV-Pharmaceuticals'!BG16,0)))),0)</f>
        <v>0</v>
      </c>
      <c r="S109" s="915">
        <f>IF(SETUP!$F$22="At delivery",IF(SETUP!$G$22=4,$E$107*('HIV-Pharmaceuticals'!BE16+'HIV-Pharmaceuticals'!BF16+'HIV-Pharmaceuticals'!BG16+'HIV-Pharmaceuticals'!BH16+'HIV-Pharmaceuticals'!BI16),IF(SETUP!$G$22=3,$E$107*('HIV-Pharmaceuticals'!BF16+'HIV-Pharmaceuticals'!BG16+'HIV-Pharmaceuticals'!BH16+'HIV-Pharmaceuticals'!BI16),IF(SETUP!$G$22=2,$E$107*('HIV-Pharmaceuticals'!BG16+'HIV-Pharmaceuticals'!BH16+'HIV-Pharmaceuticals'!BI16),IF(SETUP!$G$22=1,$E$107*('HIV-Pharmaceuticals'!BH16+'HIV-Pharmaceuticals'!BI16),0)))),0)</f>
        <v>0</v>
      </c>
      <c r="T109" s="916">
        <f t="shared" si="15"/>
        <v>0</v>
      </c>
      <c r="U109" s="915">
        <f t="shared" si="16"/>
        <v>0</v>
      </c>
      <c r="V109" s="1316">
        <v>7.2</v>
      </c>
      <c r="W109" s="1995"/>
      <c r="X109" s="1341"/>
    </row>
    <row r="110" spans="1:38" s="665" customFormat="1" ht="15" customHeight="1" collapsed="1" thickBot="1">
      <c r="A110" s="3184"/>
      <c r="B110" s="3185"/>
      <c r="C110" s="3202" t="s">
        <v>1390</v>
      </c>
      <c r="D110" s="3202"/>
      <c r="E110" s="1245">
        <v>9.9999999999999998E-17</v>
      </c>
      <c r="F110" s="966">
        <f>IF(SETUP!$F$23="Upfront",F111,F112)</f>
        <v>0</v>
      </c>
      <c r="G110" s="921">
        <f>IF(SETUP!$F$23="Upfront",G111,G112)</f>
        <v>2.5499999999999999E-11</v>
      </c>
      <c r="H110" s="920">
        <f>IF(SETUP!$F$23="Upfront",H111,H112)</f>
        <v>0</v>
      </c>
      <c r="I110" s="920">
        <f>IF(SETUP!$F$23="Upfront",I111,I112)</f>
        <v>0</v>
      </c>
      <c r="J110" s="919">
        <f t="shared" si="13"/>
        <v>2.5499999999999999E-11</v>
      </c>
      <c r="K110" s="920">
        <f>IF(SETUP!$F$23="Upfront",K111,K112)</f>
        <v>0</v>
      </c>
      <c r="L110" s="920">
        <f>IF(SETUP!$F$23="Upfront",L111,L112)</f>
        <v>0</v>
      </c>
      <c r="M110" s="920">
        <f>IF(SETUP!$F$23="Upfront",M111,M112)</f>
        <v>0</v>
      </c>
      <c r="N110" s="920">
        <f>IF(SETUP!$F$23="Upfront",N111,N112)</f>
        <v>0</v>
      </c>
      <c r="O110" s="917">
        <f t="shared" si="14"/>
        <v>0</v>
      </c>
      <c r="P110" s="915">
        <f>IF(SETUP!$F$23="Upfront",P111,P112)</f>
        <v>0</v>
      </c>
      <c r="Q110" s="915">
        <f>IF(SETUP!$F$23="Upfront",Q111,Q112)</f>
        <v>0</v>
      </c>
      <c r="R110" s="915">
        <f>IF(SETUP!$F$23="Upfront",R111,R112)</f>
        <v>0</v>
      </c>
      <c r="S110" s="915">
        <f>IF(SETUP!$F$23="Upfront",S111,S112)</f>
        <v>0</v>
      </c>
      <c r="T110" s="916">
        <f t="shared" si="15"/>
        <v>0</v>
      </c>
      <c r="U110" s="915">
        <f t="shared" si="16"/>
        <v>2.5499999999999999E-11</v>
      </c>
      <c r="V110" s="1316">
        <v>7.2</v>
      </c>
      <c r="W110" s="1995"/>
      <c r="X110" s="1341"/>
    </row>
    <row r="111" spans="1:38" s="665" customFormat="1" ht="15" hidden="1" customHeight="1" outlineLevel="1">
      <c r="A111" s="3184"/>
      <c r="B111" s="3185"/>
      <c r="C111" s="3182" t="s">
        <v>777</v>
      </c>
      <c r="D111" s="3182"/>
      <c r="E111" s="1246"/>
      <c r="F111" s="966">
        <f>IF(SETUP!$F$23="Upfront",$E$110*'HIV-Equipment'!AW14,0)</f>
        <v>0</v>
      </c>
      <c r="G111" s="921">
        <f>IF(SETUP!$F$23="Upfront",$E$110*'HIV-Equipment'!AX14,0)</f>
        <v>2.5499999999999999E-11</v>
      </c>
      <c r="H111" s="920">
        <f>IF(SETUP!$F$23="Upfront",$E$110*'HIV-Equipment'!AY14,0)</f>
        <v>0</v>
      </c>
      <c r="I111" s="920">
        <f>IF(SETUP!$F$23="Upfront",$E$110*'HIV-Equipment'!AZ14,0)</f>
        <v>0</v>
      </c>
      <c r="J111" s="919">
        <f t="shared" si="13"/>
        <v>2.5499999999999999E-11</v>
      </c>
      <c r="K111" s="920">
        <f>IF(SETUP!$F$23="Upfront",$E$110*'HIV-Equipment'!BA14,0)</f>
        <v>0</v>
      </c>
      <c r="L111" s="920">
        <f>IF(SETUP!$F$23="Upfront",$E$110*'HIV-Equipment'!BB14,0)</f>
        <v>0</v>
      </c>
      <c r="M111" s="920">
        <f>IF(SETUP!$F$23="Upfront",$E$110*'HIV-Equipment'!BC14,0)</f>
        <v>0</v>
      </c>
      <c r="N111" s="920">
        <f>IF(SETUP!$F$23="Upfront",$E$110*'HIV-Equipment'!BD14,0)</f>
        <v>0</v>
      </c>
      <c r="O111" s="917">
        <f t="shared" si="14"/>
        <v>0</v>
      </c>
      <c r="P111" s="915">
        <f>IF(SETUP!$F$23="Upfront",$E$110*'HIV-Equipment'!BE14,0)</f>
        <v>0</v>
      </c>
      <c r="Q111" s="915">
        <f>IF(SETUP!$F$23="Upfront",$E$110*'HIV-Equipment'!BF14,0)</f>
        <v>0</v>
      </c>
      <c r="R111" s="915">
        <f>IF(SETUP!$F$23="Upfront",$E$110*'HIV-Equipment'!BG14,0)</f>
        <v>0</v>
      </c>
      <c r="S111" s="915">
        <f>IF(SETUP!$F$23="Upfront",$E$110*'HIV-Equipment'!BH14,0)</f>
        <v>0</v>
      </c>
      <c r="T111" s="916">
        <f t="shared" si="15"/>
        <v>0</v>
      </c>
      <c r="U111" s="915">
        <f t="shared" si="16"/>
        <v>2.5499999999999999E-11</v>
      </c>
      <c r="V111" s="1316">
        <v>7.2</v>
      </c>
      <c r="W111" s="1995"/>
      <c r="X111" s="1341"/>
    </row>
    <row r="112" spans="1:38" s="665" customFormat="1" ht="15" hidden="1" customHeight="1" outlineLevel="1" thickBot="1">
      <c r="A112" s="3184"/>
      <c r="B112" s="3185"/>
      <c r="C112" s="3182" t="s">
        <v>36</v>
      </c>
      <c r="D112" s="3182"/>
      <c r="E112" s="1246"/>
      <c r="F112" s="966">
        <v>0</v>
      </c>
      <c r="G112" s="921">
        <f>IF(SETUP!$F$23="At delivery",IF(SETUP!$G$23=1,$E$110*'HIV-Equipment'!AW14,0),0)</f>
        <v>0</v>
      </c>
      <c r="H112" s="920">
        <f>IF(SETUP!$F$23="At delivery",IF(SETUP!$G$23=2,$E$110*'HIV-Equipment'!AW14,IF(SETUP!$G$23=1,$E$110*'HIV-Equipment'!AX14,0)),0)</f>
        <v>0</v>
      </c>
      <c r="I112" s="920">
        <f>IF(SETUP!$F$23="At delivery",IF(SETUP!$G$23=3,$E$110*'HIV-Equipment'!AW14,IF(SETUP!$G$23=2,$E$110*'HIV-Equipment'!AX14,IF(SETUP!$G$23=1,$E$110*'HIV-Equipment'!AY14,0))),0)</f>
        <v>0</v>
      </c>
      <c r="J112" s="919">
        <f t="shared" si="13"/>
        <v>0</v>
      </c>
      <c r="K112" s="920">
        <f>IF(SETUP!$F$23="At delivery",IF(SETUP!$G$23=4,$E$110*'HIV-Equipment'!AW14,IF(SETUP!$G$23=3,$E$110*'HIV-Equipment'!AX14,IF(SETUP!$G$23=2,$E$110*'HIV-Equipment'!AY14,IF(SETUP!$G$23=1,$E$110*'HIV-Equipment'!AZ14,0)))),0)</f>
        <v>0</v>
      </c>
      <c r="L112" s="920">
        <f>IF(SETUP!$F$23="At delivery",IF(SETUP!$G$23=4,$E$110*'HIV-Equipment'!AX14,IF(SETUP!$G$23=3,$E$110*'HIV-Equipment'!AY14,IF(SETUP!$G$23=2,$E$110*'HIV-Equipment'!AZ14,IF(SETUP!$G$23=1,$E$110*'HIV-Equipment'!BA14,0)))),0)</f>
        <v>0</v>
      </c>
      <c r="M112" s="920">
        <f>IF(SETUP!$F$23="At delivery",IF(SETUP!$G$23=4,$E$110*'HIV-Equipment'!AY14,IF(SETUP!$G$23=3,$E$110*'HIV-Equipment'!AZ14,IF(SETUP!$G$23=2,$E$110*'HIV-Equipment'!BA14,IF(SETUP!$G$23=1,$E$110*'HIV-Equipment'!BB14,0)))),0)</f>
        <v>0</v>
      </c>
      <c r="N112" s="920">
        <f>IF(SETUP!$F$23="At delivery",IF(SETUP!$G$23=4,$E$110*'HIV-Equipment'!AZ14,IF(SETUP!$G$23=3,$E$110*'HIV-Equipment'!BA14,IF(SETUP!$G$23=2,$E$110*'HIV-Equipment'!BB14,IF(SETUP!$G$23=1,$E$110*'HIV-Equipment'!BC14,0)))),0)</f>
        <v>0</v>
      </c>
      <c r="O112" s="917">
        <f t="shared" si="14"/>
        <v>0</v>
      </c>
      <c r="P112" s="915">
        <f>IF(SETUP!$F$23="At delivery",IF(SETUP!$G$23=4,$E$110*'HIV-Equipment'!BA14,IF(SETUP!$G$23=3,$E$110*'HIV-Equipment'!BB14,IF(SETUP!$G$23=2,$E$110*'HIV-Equipment'!BC14,IF(SETUP!$G$23=1,$E$110*'HIV-Equipment'!BD14,0)))),0)</f>
        <v>0</v>
      </c>
      <c r="Q112" s="915">
        <f>IF(SETUP!$F$23="At delivery",IF(SETUP!$G$23=4,$E$110*'HIV-Equipment'!BB14,IF(SETUP!$G$23=3,$E$110*'HIV-Equipment'!BC14,IF(SETUP!$G$23=2,$E$110*'HIV-Equipment'!BD14,IF(SETUP!$G$23=1,$E$110*'HIV-Equipment'!BE14,0)))),0)</f>
        <v>0</v>
      </c>
      <c r="R112" s="915">
        <f>IF(SETUP!$F$23="At delivery",IF(SETUP!$G$23=4,$E$110*'HIV-Equipment'!BC14,IF(SETUP!$G$23=3,$E$110*'HIV-Equipment'!BD14,IF(SETUP!$G$23=2,$E$110*'HIV-Equipment'!BE14,IF(SETUP!$G$23=1,$E$110*'HIV-Equipment'!BF14,0)))),0)</f>
        <v>0</v>
      </c>
      <c r="S112" s="915">
        <f>IF(SETUP!$F$23="At delivery",IF(SETUP!$G$23=4,$E$110*('HIV-Equipment'!BD14+'HIV-Equipment'!BE14+'HIV-Equipment'!BF14+'HIV-Equipment'!BG14+'HIV-Equipment'!BH14),IF(SETUP!$G$23=3,$E$110*('HIV-Equipment'!BE14+'HIV-Equipment'!BF14+'HIV-Equipment'!BG14+'HIV-Equipment'!BH14),IF(SETUP!$G$23=2,$E$110*('HIV-Equipment'!BF14+'HIV-Equipment'!BG14+'HIV-Equipment'!BH14),IF(SETUP!$G$23=1,$E$110*('HIV-Equipment'!BG14+'HIV-Equipment'!BH14),0)))),0)</f>
        <v>0</v>
      </c>
      <c r="T112" s="916">
        <f t="shared" si="15"/>
        <v>0</v>
      </c>
      <c r="U112" s="915">
        <f t="shared" si="16"/>
        <v>0</v>
      </c>
      <c r="V112" s="1316">
        <v>7.2</v>
      </c>
      <c r="W112" s="1995"/>
      <c r="X112" s="1341"/>
    </row>
    <row r="113" spans="1:24" s="665" customFormat="1" ht="15" customHeight="1" collapsed="1" thickBot="1">
      <c r="A113" s="3184" t="s">
        <v>440</v>
      </c>
      <c r="B113" s="3185"/>
      <c r="C113" s="3188" t="s">
        <v>213</v>
      </c>
      <c r="D113" s="3188"/>
      <c r="E113" s="1245">
        <v>9.9999999999999998E-17</v>
      </c>
      <c r="F113" s="966">
        <f>IF(SETUP!$F$27="Upfront",F114,F115)</f>
        <v>0</v>
      </c>
      <c r="G113" s="921">
        <f>IF(SETUP!$F$27="Upfront",G114,G115)</f>
        <v>0</v>
      </c>
      <c r="H113" s="920">
        <f>IF(SETUP!$F$27="Upfront",H114,H115)</f>
        <v>0</v>
      </c>
      <c r="I113" s="920">
        <f>IF(SETUP!$F$27="Upfront",I114,I115)</f>
        <v>0</v>
      </c>
      <c r="J113" s="919">
        <f t="shared" si="13"/>
        <v>0</v>
      </c>
      <c r="K113" s="920">
        <f>IF(SETUP!$F$27="Upfront",K114,K115)</f>
        <v>0</v>
      </c>
      <c r="L113" s="920">
        <f>IF(SETUP!$F$27="Upfront",L114,L115)</f>
        <v>0</v>
      </c>
      <c r="M113" s="920">
        <f>IF(SETUP!$F$27="Upfront",M114,M115)</f>
        <v>0</v>
      </c>
      <c r="N113" s="920">
        <f>IF(SETUP!$F$27="Upfront",N114,N115)</f>
        <v>0</v>
      </c>
      <c r="O113" s="917">
        <f t="shared" si="14"/>
        <v>0</v>
      </c>
      <c r="P113" s="915">
        <f>IF(SETUP!$F$27="Upfront",P114,P115)</f>
        <v>0</v>
      </c>
      <c r="Q113" s="915">
        <f>IF(SETUP!$F$27="Upfront",Q114,Q115)</f>
        <v>0</v>
      </c>
      <c r="R113" s="915">
        <f>IF(SETUP!$F$27="Upfront",R114,R115)</f>
        <v>0</v>
      </c>
      <c r="S113" s="915">
        <f>IF(SETUP!$F$27="Upfront",S114,S115)</f>
        <v>0</v>
      </c>
      <c r="T113" s="916">
        <f t="shared" si="15"/>
        <v>0</v>
      </c>
      <c r="U113" s="915">
        <f t="shared" si="16"/>
        <v>0</v>
      </c>
      <c r="V113" s="1316">
        <v>7.2</v>
      </c>
      <c r="W113" s="1995"/>
      <c r="X113" s="1341"/>
    </row>
    <row r="114" spans="1:24" s="665" customFormat="1" ht="15" hidden="1" customHeight="1" outlineLevel="1">
      <c r="A114" s="3184"/>
      <c r="B114" s="3185"/>
      <c r="C114" s="3182" t="s">
        <v>777</v>
      </c>
      <c r="D114" s="3182"/>
      <c r="E114" s="1246"/>
      <c r="F114" s="966">
        <f>IF(SETUP!$F$27="Upfront",$E$113*'HIV-Other HPs'!AX14,0)</f>
        <v>0</v>
      </c>
      <c r="G114" s="921">
        <f>IF(SETUP!$F$27="Upfront",$E$113*'HIV-Other HPs'!AY14,0)</f>
        <v>0</v>
      </c>
      <c r="H114" s="920">
        <f>IF(SETUP!$F$27="Upfront",$E$113*'HIV-Other HPs'!AZ14,0)</f>
        <v>0</v>
      </c>
      <c r="I114" s="920">
        <f>IF(SETUP!$F$27="Upfront",$E$113*'HIV-Other HPs'!BA14,0)</f>
        <v>0</v>
      </c>
      <c r="J114" s="919">
        <f t="shared" si="13"/>
        <v>0</v>
      </c>
      <c r="K114" s="920">
        <f>IF(SETUP!$F$27="Upfront",$E$113*'HIV-Other HPs'!BB14,0)</f>
        <v>0</v>
      </c>
      <c r="L114" s="920">
        <f>IF(SETUP!$F$27="Upfront",$E$113*'HIV-Other HPs'!BC14,0)</f>
        <v>0</v>
      </c>
      <c r="M114" s="920">
        <f>IF(SETUP!$F$27="Upfront",$E$113*'HIV-Other HPs'!BD14,0)</f>
        <v>0</v>
      </c>
      <c r="N114" s="920">
        <f>IF(SETUP!$F$27="Upfront",$E$113*'HIV-Other HPs'!BE14,0)</f>
        <v>0</v>
      </c>
      <c r="O114" s="917">
        <f t="shared" si="14"/>
        <v>0</v>
      </c>
      <c r="P114" s="915">
        <f>IF(SETUP!$F$27="Upfront",$E$113*'HIV-Other HPs'!BF14,0)</f>
        <v>0</v>
      </c>
      <c r="Q114" s="915">
        <f>IF(SETUP!$F$27="Upfront",$E$113*'HIV-Other HPs'!BG14,0)</f>
        <v>0</v>
      </c>
      <c r="R114" s="915">
        <f>IF(SETUP!$F$27="Upfront",$E$113*'HIV-Other HPs'!BH14,0)</f>
        <v>0</v>
      </c>
      <c r="S114" s="915">
        <f>IF(SETUP!$F$27="Upfront",$E$113*'HIV-Other HPs'!BI14,0)</f>
        <v>0</v>
      </c>
      <c r="T114" s="916">
        <f t="shared" si="15"/>
        <v>0</v>
      </c>
      <c r="U114" s="915">
        <f t="shared" si="16"/>
        <v>0</v>
      </c>
      <c r="V114" s="1316">
        <v>7.2</v>
      </c>
      <c r="W114" s="1995"/>
      <c r="X114" s="1341"/>
    </row>
    <row r="115" spans="1:24" s="665" customFormat="1" ht="15" hidden="1" customHeight="1" outlineLevel="1">
      <c r="A115" s="3184"/>
      <c r="B115" s="3185"/>
      <c r="C115" s="3182" t="s">
        <v>36</v>
      </c>
      <c r="D115" s="3182"/>
      <c r="E115" s="1246"/>
      <c r="F115" s="966">
        <v>0</v>
      </c>
      <c r="G115" s="921">
        <f>IF(SETUP!$F$27="At delivery",IF(SETUP!$G$27=1,$E$113*'HIV-Other HPs'!AX14,0),0)</f>
        <v>0</v>
      </c>
      <c r="H115" s="920">
        <f>IF(SETUP!$F$27="At delivery",IF(SETUP!$G$27=2,$E$113*'HIV-Other HPs'!AX14,IF(SETUP!$G$27=1,$E$113*'HIV-Other HPs'!AY14,0)),0)</f>
        <v>0</v>
      </c>
      <c r="I115" s="920">
        <f>IF(SETUP!$F$27="At delivery",IF(SETUP!$G$27=3,$E$113*'HIV-Other HPs'!AX14,IF(SETUP!$G$27=2,$E$113*'HIV-Other HPs'!AY14,IF(SETUP!$G$27=1,$E$113*'HIV-Other HPs'!AZ14,0))),0)</f>
        <v>0</v>
      </c>
      <c r="J115" s="919">
        <f t="shared" si="13"/>
        <v>0</v>
      </c>
      <c r="K115" s="920">
        <f>IF(SETUP!$F$27="At delivery",IF(SETUP!$G$27=4,$E$113*'HIV-Other HPs'!AX14,IF(SETUP!$G$27=3,$E$113*'HIV-Other HPs'!AY14,IF(SETUP!$G$27=2,$E$113*'HIV-Other HPs'!AZ14,IF(SETUP!$G$27=1,$E$113*'HIV-Other HPs'!BA14,0)))),0)</f>
        <v>0</v>
      </c>
      <c r="L115" s="920">
        <f>IF(SETUP!$F$27="At delivery",IF(SETUP!$G$27=4,$E$113*'HIV-Other HPs'!AY14,IF(SETUP!$G$27=3,$E$113*'HIV-Other HPs'!AZ14,IF(SETUP!$G$27=2,$E$113*'HIV-Other HPs'!BA14,IF(SETUP!$G$27=1,$E$113*'HIV-Other HPs'!BB14,0)))),0)</f>
        <v>0</v>
      </c>
      <c r="M115" s="920">
        <f>IF(SETUP!$F$27="At delivery",IF(SETUP!$G$27=4,$E$113*'HIV-Other HPs'!AZ14,IF(SETUP!$G$27=3,$E$113*'HIV-Other HPs'!BA14,IF(SETUP!$G$27=2,$E$113*'HIV-Other HPs'!BB14,IF(SETUP!$G$27=1,$E$113*'HIV-Other HPs'!BC14,0)))),0)</f>
        <v>0</v>
      </c>
      <c r="N115" s="920">
        <f>IF(SETUP!$F$27="At delivery",IF(SETUP!$G$27=4,$E$113*'HIV-Other HPs'!BA14,IF(SETUP!$G$27=3,$E$113*'HIV-Other HPs'!BB14,IF(SETUP!$G$27=2,$E$113*'HIV-Other HPs'!BC14,IF(SETUP!$G$27=1,$E$113*'HIV-Other HPs'!BD14,0)))),0)</f>
        <v>0</v>
      </c>
      <c r="O115" s="917">
        <f t="shared" si="14"/>
        <v>0</v>
      </c>
      <c r="P115" s="915">
        <f>IF(SETUP!$F$27="At delivery",IF(SETUP!$G$27=4,$E$113*'HIV-Other HPs'!BB14,IF(SETUP!$G$27=3,$E$113*'HIV-Other HPs'!BC14,IF(SETUP!$G$27=2,$E$113*'HIV-Other HPs'!BD14,IF(SETUP!$G$27=1,$E$113*'HIV-Other HPs'!BE14,0)))),0)</f>
        <v>0</v>
      </c>
      <c r="Q115" s="915">
        <f>IF(SETUP!$F$27="At delivery",IF(SETUP!$G$27=4,$E$113*'HIV-Other HPs'!BC14,IF(SETUP!$G$27=3,$E$113*'HIV-Other HPs'!BD14,IF(SETUP!$G$27=2,$E$113*'HIV-Other HPs'!BE14,IF(SETUP!$G$27=1,$E$113*'HIV-Other HPs'!BF14,0)))),0)</f>
        <v>0</v>
      </c>
      <c r="R115" s="915">
        <f>IF(SETUP!$F$27="At delivery",IF(SETUP!$G$27=4,$E$113*'HIV-Other HPs'!BD14,IF(SETUP!$G$27=3,$E$113*'HIV-Other HPs'!BE14,IF(SETUP!$G$27=2,$E$113*'HIV-Other HPs'!BF14,IF(SETUP!$G$27=1,$E$113*'HIV-Other HPs'!BG14,0)))),0)</f>
        <v>0</v>
      </c>
      <c r="S115" s="915">
        <f>IF(SETUP!$F$27="At delivery",IF(SETUP!$G$27=4,$E$113*('HIV-Other HPs'!BE14+'HIV-Other HPs'!BF14+'HIV-Other HPs'!BG14+'HIV-Other HPs'!BH14+'HIV-Other HPs'!BI14),IF(SETUP!$G$27=3,$E$113*('HIV-Other HPs'!BF14+'HIV-Other HPs'!BG14+'HIV-Other HPs'!BH14+'HIV-Other HPs'!BI14),IF(SETUP!$G$27=2,$E$113*('HIV-Other HPs'!BG14+'HIV-Other HPs'!BH14+'HIV-Other HPs'!BI14),IF(SETUP!$G$27=1,$E$113*('HIV-Other HPs'!BH14+'HIV-Other HPs'!BI14),0)))),0)</f>
        <v>0</v>
      </c>
      <c r="T115" s="916">
        <f t="shared" si="15"/>
        <v>0</v>
      </c>
      <c r="U115" s="915">
        <f t="shared" si="16"/>
        <v>0</v>
      </c>
      <c r="V115" s="1316">
        <v>7.2</v>
      </c>
      <c r="W115" s="1995"/>
      <c r="X115" s="1341"/>
    </row>
    <row r="116" spans="1:24" s="665" customFormat="1" ht="15" customHeight="1" collapsed="1" thickBot="1">
      <c r="A116" s="3184"/>
      <c r="B116" s="3185"/>
      <c r="C116" s="3188" t="s">
        <v>217</v>
      </c>
      <c r="D116" s="3188"/>
      <c r="E116" s="1245">
        <v>9.9999999999999998E-17</v>
      </c>
      <c r="F116" s="966">
        <f>IF(SETUP!$F$28="Upfront",F117,F118)</f>
        <v>0</v>
      </c>
      <c r="G116" s="921">
        <f>IF(SETUP!$F$28="Upfront",G117,G118)</f>
        <v>0</v>
      </c>
      <c r="H116" s="920">
        <f>IF(SETUP!$F$28="Upfront",H117,H118)</f>
        <v>0</v>
      </c>
      <c r="I116" s="920">
        <f>IF(SETUP!$F$28="Upfront",I117,I118)</f>
        <v>0</v>
      </c>
      <c r="J116" s="919">
        <f t="shared" si="13"/>
        <v>0</v>
      </c>
      <c r="K116" s="920">
        <f>IF(SETUP!$F$28="Upfront",K117,K118)</f>
        <v>0</v>
      </c>
      <c r="L116" s="920">
        <f>IF(SETUP!$F$28="Upfront",L117,L118)</f>
        <v>0</v>
      </c>
      <c r="M116" s="920">
        <f>IF(SETUP!$F$28="Upfront",M117,M118)</f>
        <v>0</v>
      </c>
      <c r="N116" s="920">
        <f>IF(SETUP!$F$28="Upfront",N117,N118)</f>
        <v>0</v>
      </c>
      <c r="O116" s="917">
        <f t="shared" si="14"/>
        <v>0</v>
      </c>
      <c r="P116" s="915">
        <f>IF(SETUP!$F$28="Upfront",P117,P118)</f>
        <v>0</v>
      </c>
      <c r="Q116" s="915">
        <f>IF(SETUP!$F$28="Upfront",Q117,Q118)</f>
        <v>0</v>
      </c>
      <c r="R116" s="915">
        <f>IF(SETUP!$F$28="Upfront",R117,R118)</f>
        <v>0</v>
      </c>
      <c r="S116" s="915">
        <f>IF(SETUP!$F$28="Upfront",S117,S118)</f>
        <v>0</v>
      </c>
      <c r="T116" s="916">
        <f t="shared" si="15"/>
        <v>0</v>
      </c>
      <c r="U116" s="915">
        <f t="shared" si="16"/>
        <v>0</v>
      </c>
      <c r="V116" s="1316">
        <v>7.2</v>
      </c>
      <c r="W116" s="1995"/>
      <c r="X116" s="1341"/>
    </row>
    <row r="117" spans="1:24" s="665" customFormat="1" ht="15" hidden="1" customHeight="1" outlineLevel="1">
      <c r="A117" s="3184"/>
      <c r="B117" s="3185"/>
      <c r="C117" s="3182" t="s">
        <v>777</v>
      </c>
      <c r="D117" s="3182"/>
      <c r="E117" s="1246"/>
      <c r="F117" s="966">
        <f>IF(SETUP!$F$28="Upfront",$E$116*'HIV-Other HPs'!AX15,0)</f>
        <v>0</v>
      </c>
      <c r="G117" s="921">
        <f>IF(SETUP!$F$28="Upfront",$E$116*'HIV-Other HPs'!AY15,0)</f>
        <v>0</v>
      </c>
      <c r="H117" s="920">
        <f>IF(SETUP!$F$28="Upfront",$E$116*'HIV-Other HPs'!AZ15,0)</f>
        <v>0</v>
      </c>
      <c r="I117" s="920">
        <f>IF(SETUP!$F$28="Upfront",$E$116*'HIV-Other HPs'!BA15,0)</f>
        <v>0</v>
      </c>
      <c r="J117" s="919">
        <f t="shared" si="13"/>
        <v>0</v>
      </c>
      <c r="K117" s="920">
        <f>IF(SETUP!$F$28="Upfront",$E$116*'HIV-Other HPs'!BB15,0)</f>
        <v>0</v>
      </c>
      <c r="L117" s="920">
        <f>IF(SETUP!$F$28="Upfront",$E$116*'HIV-Other HPs'!BC15,0)</f>
        <v>0</v>
      </c>
      <c r="M117" s="920">
        <f>IF(SETUP!$F$28="Upfront",$E$116*'HIV-Other HPs'!BD15,0)</f>
        <v>0</v>
      </c>
      <c r="N117" s="920">
        <f>IF(SETUP!$F$28="Upfront",$E$116*'HIV-Other HPs'!BE15,0)</f>
        <v>0</v>
      </c>
      <c r="O117" s="917">
        <f t="shared" si="14"/>
        <v>0</v>
      </c>
      <c r="P117" s="915">
        <f>IF(SETUP!$F$28="Upfront",$E$116*'HIV-Other HPs'!BF15,0)</f>
        <v>0</v>
      </c>
      <c r="Q117" s="915">
        <f>IF(SETUP!$F$28="Upfront",$E$116*'HIV-Other HPs'!BG15,0)</f>
        <v>0</v>
      </c>
      <c r="R117" s="915">
        <f>IF(SETUP!$F$28="Upfront",$E$116*'HIV-Other HPs'!BH15,0)</f>
        <v>0</v>
      </c>
      <c r="S117" s="915">
        <f>IF(SETUP!$F$28="Upfront",$E$116*'HIV-Other HPs'!BI15,0)</f>
        <v>0</v>
      </c>
      <c r="T117" s="916">
        <f t="shared" si="15"/>
        <v>0</v>
      </c>
      <c r="U117" s="915">
        <f t="shared" si="16"/>
        <v>0</v>
      </c>
      <c r="V117" s="1316">
        <v>7.2</v>
      </c>
      <c r="W117" s="1995"/>
      <c r="X117" s="1341"/>
    </row>
    <row r="118" spans="1:24" s="665" customFormat="1" ht="15" hidden="1" customHeight="1" outlineLevel="1">
      <c r="A118" s="3184"/>
      <c r="B118" s="3185"/>
      <c r="C118" s="3182" t="s">
        <v>36</v>
      </c>
      <c r="D118" s="3182"/>
      <c r="E118" s="1246"/>
      <c r="F118" s="966">
        <v>0</v>
      </c>
      <c r="G118" s="921">
        <f>IF(SETUP!$F$28="At delivery",IF(SETUP!$G$28=1,$E$116*'HIV-Other HPs'!AX15,0),0)</f>
        <v>0</v>
      </c>
      <c r="H118" s="920">
        <f>IF(SETUP!$F$28="At delivery",IF(SETUP!$G$28=2,$E$116*'HIV-Other HPs'!AX15,IF(SETUP!$G$28=1,$E$116*'HIV-Other HPs'!AY15,0)),0)</f>
        <v>0</v>
      </c>
      <c r="I118" s="920">
        <f>IF(SETUP!$F$28="At delivery",IF(SETUP!$G$28=3,$E$116*'HIV-Other HPs'!AX15,IF(SETUP!$G$28=2,$E$116*'HIV-Other HPs'!AY15,IF(SETUP!$G$28=1,$E$116*'HIV-Other HPs'!AZ15,0))),0)</f>
        <v>0</v>
      </c>
      <c r="J118" s="919">
        <f t="shared" si="13"/>
        <v>0</v>
      </c>
      <c r="K118" s="920">
        <f>IF(SETUP!$F$28="At delivery",IF(SETUP!$G$28=4,$E$116*'HIV-Other HPs'!AX15,IF(SETUP!$G$28=3,$E$116*'HIV-Other HPs'!AY15,IF(SETUP!$G$28=2,$E$116*'HIV-Other HPs'!AZ15,IF(SETUP!$G$28=1,$E$116*'HIV-Other HPs'!BA15,0)))),0)</f>
        <v>0</v>
      </c>
      <c r="L118" s="920">
        <f>IF(SETUP!$F$28="At delivery",IF(SETUP!$G$28=4,$E$116*'HIV-Other HPs'!AY15,IF(SETUP!$G$28=3,$E$116*'HIV-Other HPs'!AZ15,IF(SETUP!$G$28=2,$E$116*'HIV-Other HPs'!BA15,IF(SETUP!$G$28=1,$E$116*'HIV-Other HPs'!BB15,0)))),0)</f>
        <v>0</v>
      </c>
      <c r="M118" s="920">
        <f>IF(SETUP!$F$28="At delivery",IF(SETUP!$G$28=4,$E$116*'HIV-Other HPs'!AZ15,IF(SETUP!$G$28=3,$E$116*'HIV-Other HPs'!BA15,IF(SETUP!$G$28=2,$E$116*'HIV-Other HPs'!BB15,IF(SETUP!$G$28=1,$E$116*'HIV-Other HPs'!BC15,0)))),0)</f>
        <v>0</v>
      </c>
      <c r="N118" s="920">
        <f>IF(SETUP!$F$28="At delivery",IF(SETUP!$G$28=4,$E$116*'HIV-Other HPs'!BA15,IF(SETUP!$G$28=3,$E$116*'HIV-Other HPs'!BB15,IF(SETUP!$G$28=2,$E$116*'HIV-Other HPs'!BC15,IF(SETUP!$G$28=1,$E$116*'HIV-Other HPs'!BD15,0)))),0)</f>
        <v>0</v>
      </c>
      <c r="O118" s="917">
        <f t="shared" si="14"/>
        <v>0</v>
      </c>
      <c r="P118" s="915">
        <f>IF(SETUP!$F$28="At delivery",IF(SETUP!$G$28=4,$E$116*'HIV-Other HPs'!BB15,IF(SETUP!$G$28=3,$E$116*'HIV-Other HPs'!BC15,IF(SETUP!$G$28=2,$E$116*'HIV-Other HPs'!BD15,IF(SETUP!$G$28=1,$E$116*'HIV-Other HPs'!BE15,0)))),0)</f>
        <v>0</v>
      </c>
      <c r="Q118" s="915">
        <f>IF(SETUP!$F$28="At delivery",IF(SETUP!$G$28=4,$E$116*'HIV-Other HPs'!BC15,IF(SETUP!$G$28=3,$E$116*'HIV-Other HPs'!BD15,IF(SETUP!$G$28=2,$E$116*'HIV-Other HPs'!BE15,IF(SETUP!$G$28=1,$E$116*'HIV-Other HPs'!BF15,0)))),0)</f>
        <v>0</v>
      </c>
      <c r="R118" s="915">
        <f>IF(SETUP!$F$28="At delivery",IF(SETUP!$G$28=4,$E$116*'HIV-Other HPs'!BD15,IF(SETUP!$G$28=3,$E$116*'HIV-Other HPs'!BE15,IF(SETUP!$G$28=2,$E$116*'HIV-Other HPs'!BF15,IF(SETUP!$G$28=1,$E$116*'HIV-Other HPs'!BG15,0)))),0)</f>
        <v>0</v>
      </c>
      <c r="S118" s="915">
        <f>IF(SETUP!$F$28="At delivery",IF(SETUP!$G$28=4,$E$116*('HIV-Other HPs'!BE15+'HIV-Other HPs'!BF15+'HIV-Other HPs'!BG15+'HIV-Other HPs'!BH15+'HIV-Other HPs'!BI15),IF(SETUP!$G$28=3,$E$116*('HIV-Other HPs'!BF15+'HIV-Other HPs'!BG15+'HIV-Other HPs'!BH15+'HIV-Other HPs'!BI15),IF(SETUP!$G$28=2,$E$116*('HIV-Other HPs'!BG15+'HIV-Other HPs'!BH15+'HIV-Other HPs'!BI15),IF(SETUP!$G$28=1,$E$116*('HIV-Other HPs'!BH15+'HIV-Other HPs'!BI15),0)))),0)</f>
        <v>0</v>
      </c>
      <c r="T118" s="916">
        <f t="shared" si="15"/>
        <v>0</v>
      </c>
      <c r="U118" s="915">
        <f t="shared" si="16"/>
        <v>0</v>
      </c>
      <c r="V118" s="1316">
        <v>7.2</v>
      </c>
      <c r="W118" s="1995"/>
      <c r="X118" s="1341"/>
    </row>
    <row r="119" spans="1:24" s="665" customFormat="1" ht="15" customHeight="1" collapsed="1" thickBot="1">
      <c r="A119" s="3184"/>
      <c r="B119" s="3185"/>
      <c r="C119" s="3188" t="s">
        <v>441</v>
      </c>
      <c r="D119" s="3188"/>
      <c r="E119" s="1245">
        <v>9.9999999999999998E-17</v>
      </c>
      <c r="F119" s="966">
        <f>IF(SETUP!$F$29="Upfront",F120,F121)</f>
        <v>0</v>
      </c>
      <c r="G119" s="921">
        <f>IF(SETUP!$F$29="Upfront",G120,G121)</f>
        <v>1.5026270000000001E-11</v>
      </c>
      <c r="H119" s="920">
        <f>IF(SETUP!$F$29="Upfront",H120,H121)</f>
        <v>0</v>
      </c>
      <c r="I119" s="920">
        <f>IF(SETUP!$F$29="Upfront",I120,I121)</f>
        <v>0</v>
      </c>
      <c r="J119" s="919">
        <f t="shared" si="13"/>
        <v>1.5026270000000001E-11</v>
      </c>
      <c r="K119" s="920">
        <f>IF(SETUP!$F$29="Upfront",K120,K121)</f>
        <v>0</v>
      </c>
      <c r="L119" s="920">
        <f>IF(SETUP!$F$29="Upfront",L120,L121)</f>
        <v>1.5634890000000001E-11</v>
      </c>
      <c r="M119" s="920">
        <f>IF(SETUP!$F$29="Upfront",M120,M121)</f>
        <v>0</v>
      </c>
      <c r="N119" s="920">
        <f>IF(SETUP!$F$29="Upfront",N120,N121)</f>
        <v>0</v>
      </c>
      <c r="O119" s="917">
        <f t="shared" si="14"/>
        <v>1.5634890000000001E-11</v>
      </c>
      <c r="P119" s="915">
        <f>IF(SETUP!$F$29="Upfront",P120,P121)</f>
        <v>0</v>
      </c>
      <c r="Q119" s="915">
        <f>IF(SETUP!$F$29="Upfront",Q120,Q121)</f>
        <v>1.665992E-11</v>
      </c>
      <c r="R119" s="915">
        <f>IF(SETUP!$F$29="Upfront",R120,R121)</f>
        <v>0</v>
      </c>
      <c r="S119" s="915">
        <f>IF(SETUP!$F$29="Upfront",S120,S121)</f>
        <v>0</v>
      </c>
      <c r="T119" s="916">
        <f t="shared" si="15"/>
        <v>1.665992E-11</v>
      </c>
      <c r="U119" s="915">
        <f t="shared" si="16"/>
        <v>4.7321080000000001E-11</v>
      </c>
      <c r="V119" s="1316">
        <v>7.2</v>
      </c>
      <c r="W119" s="1995"/>
      <c r="X119" s="1341"/>
    </row>
    <row r="120" spans="1:24" s="665" customFormat="1" ht="15" hidden="1" customHeight="1" outlineLevel="1">
      <c r="A120" s="3184"/>
      <c r="B120" s="3185"/>
      <c r="C120" s="3182" t="s">
        <v>777</v>
      </c>
      <c r="D120" s="3182"/>
      <c r="E120" s="1246"/>
      <c r="F120" s="966">
        <f>IF(SETUP!$F$29="Upfront",$E$119*'HIV-Other HPs'!AX16,0)</f>
        <v>0</v>
      </c>
      <c r="G120" s="921">
        <f>IF(SETUP!$F$29="Upfront",$E$119*'HIV-Other HPs'!AY16,0)</f>
        <v>1.5026270000000001E-11</v>
      </c>
      <c r="H120" s="920">
        <f>IF(SETUP!$F$29="Upfront",$E$119*'HIV-Other HPs'!AZ16,0)</f>
        <v>0</v>
      </c>
      <c r="I120" s="920">
        <f>IF(SETUP!$F$29="Upfront",$E$119*'HIV-Other HPs'!BA16,0)</f>
        <v>0</v>
      </c>
      <c r="J120" s="919">
        <f t="shared" si="13"/>
        <v>1.5026270000000001E-11</v>
      </c>
      <c r="K120" s="920">
        <f>IF(SETUP!$F$29="Upfront",$E$119*'HIV-Other HPs'!BB16,0)</f>
        <v>0</v>
      </c>
      <c r="L120" s="920">
        <f>IF(SETUP!$F$29="Upfront",$E$119*'HIV-Other HPs'!BC16,0)</f>
        <v>1.5634890000000001E-11</v>
      </c>
      <c r="M120" s="920">
        <f>IF(SETUP!$F$29="Upfront",$E$119*'HIV-Other HPs'!BD16,0)</f>
        <v>0</v>
      </c>
      <c r="N120" s="920">
        <f>IF(SETUP!$F$29="Upfront",$E$119*'HIV-Other HPs'!BE16,0)</f>
        <v>0</v>
      </c>
      <c r="O120" s="917">
        <f t="shared" si="14"/>
        <v>1.5634890000000001E-11</v>
      </c>
      <c r="P120" s="915">
        <f>IF(SETUP!$F$29="Upfront",$E$119*'HIV-Other HPs'!BF16,0)</f>
        <v>0</v>
      </c>
      <c r="Q120" s="915">
        <f>IF(SETUP!$F$29="Upfront",$E$119*'HIV-Other HPs'!BG16,0)</f>
        <v>1.665992E-11</v>
      </c>
      <c r="R120" s="915">
        <f>IF(SETUP!$F$29="Upfront",$E$119*'HIV-Other HPs'!BH16,0)</f>
        <v>0</v>
      </c>
      <c r="S120" s="915">
        <f>IF(SETUP!$F$29="Upfront",$E$119*'HIV-Other HPs'!BI16,0)</f>
        <v>0</v>
      </c>
      <c r="T120" s="916">
        <f t="shared" si="15"/>
        <v>1.665992E-11</v>
      </c>
      <c r="U120" s="915">
        <f t="shared" si="16"/>
        <v>4.7321080000000001E-11</v>
      </c>
      <c r="V120" s="1316">
        <v>7.2</v>
      </c>
      <c r="W120" s="1995"/>
      <c r="X120" s="1341"/>
    </row>
    <row r="121" spans="1:24" s="665" customFormat="1" ht="15" hidden="1" customHeight="1" outlineLevel="1" thickBot="1">
      <c r="A121" s="3184"/>
      <c r="B121" s="3185"/>
      <c r="C121" s="3182" t="s">
        <v>36</v>
      </c>
      <c r="D121" s="3182"/>
      <c r="E121" s="1246"/>
      <c r="F121" s="966">
        <v>0</v>
      </c>
      <c r="G121" s="921">
        <f>IF(SETUP!$F$29="At delivery",IF(SETUP!$G$29=1,$E$119*'HIV-Other HPs'!AX16,0),0)</f>
        <v>0</v>
      </c>
      <c r="H121" s="920">
        <f>IF(SETUP!$F$29="At delivery",IF(SETUP!$G$29=2,$E$119*'HIV-Other HPs'!AX16,IF(SETUP!$G$29=1,$E$119*'HIV-Other HPs'!AY16,0)),0)</f>
        <v>0</v>
      </c>
      <c r="I121" s="920">
        <f>IF(SETUP!$F$29="At delivery",IF(SETUP!$G$29=3,$E$119*'HIV-Other HPs'!AX16,IF(SETUP!$G$29=2,$E$119*'HIV-Other HPs'!AY16,IF(SETUP!$G$29=1,$E$119*'HIV-Other HPs'!AZ16,0))),0)</f>
        <v>0</v>
      </c>
      <c r="J121" s="919">
        <f t="shared" si="13"/>
        <v>0</v>
      </c>
      <c r="K121" s="920">
        <f>IF(SETUP!$F$29="At delivery",IF(SETUP!$G$29=4,$E$119*'HIV-Other HPs'!AX16,IF(SETUP!$G$29=3,$E$119*'HIV-Other HPs'!AY16,IF(SETUP!$G$29=2,$E$119*'HIV-Other HPs'!AZ16,IF(SETUP!$G$29=1,$E$119*'HIV-Other HPs'!BA16,0)))),0)</f>
        <v>0</v>
      </c>
      <c r="L121" s="920">
        <f>IF(SETUP!$F$29="At delivery",IF(SETUP!$G$29=4,$E$119*'HIV-Other HPs'!AY16,IF(SETUP!$G$29=3,$E$119*'HIV-Other HPs'!AZ16,IF(SETUP!$G$29=2,$E$119*'HIV-Other HPs'!BA16,IF(SETUP!$G$29=1,$E$119*'HIV-Other HPs'!BB16,0)))),0)</f>
        <v>0</v>
      </c>
      <c r="M121" s="920">
        <f>IF(SETUP!$F$29="At delivery",IF(SETUP!$G$29=4,$E$119*'HIV-Other HPs'!AZ16,IF(SETUP!$G$29=3,$E$119*'HIV-Other HPs'!BA16,IF(SETUP!$G$29=2,$E$119*'HIV-Other HPs'!BB16,IF(SETUP!$G$29=1,$E$119*'HIV-Other HPs'!BC16,0)))),0)</f>
        <v>0</v>
      </c>
      <c r="N121" s="920">
        <f>IF(SETUP!$F$29="At delivery",IF(SETUP!$G$29=4,$E$119*'HIV-Other HPs'!BA16,IF(SETUP!$G$29=3,$E$119*'HIV-Other HPs'!BB16,IF(SETUP!$G$29=2,$E$119*'HIV-Other HPs'!BC16,IF(SETUP!$G$29=1,$E$119*'HIV-Other HPs'!BD16,0)))),0)</f>
        <v>0</v>
      </c>
      <c r="O121" s="917">
        <f t="shared" si="14"/>
        <v>0</v>
      </c>
      <c r="P121" s="915">
        <f>IF(SETUP!$F$29="At delivery",IF(SETUP!$G$29=4,$E$119*'HIV-Other HPs'!BB16,IF(SETUP!$G$29=3,$E$119*'HIV-Other HPs'!BC16,IF(SETUP!$G$29=2,$E$119*'HIV-Other HPs'!BD16,IF(SETUP!$G$29=1,$E$119*'HIV-Other HPs'!BE16,0)))),0)</f>
        <v>0</v>
      </c>
      <c r="Q121" s="915">
        <f>IF(SETUP!$F$29="At delivery",IF(SETUP!$G$29=4,$E$119*'HIV-Other HPs'!BC16,IF(SETUP!$G$29=3,$E$119*'HIV-Other HPs'!BD16,IF(SETUP!$G$29=2,$E$119*'HIV-Other HPs'!BE16,IF(SETUP!$G$29=1,$E$119*'HIV-Other HPs'!BF16,0)))),0)</f>
        <v>0</v>
      </c>
      <c r="R121" s="915">
        <f>IF(SETUP!$F$29="At delivery",IF(SETUP!$G$29=4,$E$119*'HIV-Other HPs'!BD16,IF(SETUP!$G$29=3,$E$119*'HIV-Other HPs'!BE16,IF(SETUP!$G$29=2,$E$119*'HIV-Other HPs'!BF16,IF(SETUP!$G$29=1,$E$119*'HIV-Other HPs'!BG16,0)))),0)</f>
        <v>0</v>
      </c>
      <c r="S121" s="915">
        <f>IF(SETUP!$F$29="At delivery",IF(SETUP!$G$29=4,$E$119*('HIV-Other HPs'!BE16+'HIV-Other HPs'!BF16+'HIV-Other HPs'!BG16+'HIV-Other HPs'!BH16+'HIV-Other HPs'!BI16),IF(SETUP!$G$29=3,$E$119*('HIV-Other HPs'!BF16+'HIV-Other HPs'!BG16+'HIV-Other HPs'!BH16+'HIV-Other HPs'!BI16),IF(SETUP!$G$29=2,$E$119*('HIV-Other HPs'!BG16+'HIV-Other HPs'!BH16+'HIV-Other HPs'!BI16),IF(SETUP!$G$29=1,$E$119*('HIV-Other HPs'!BH16+'HIV-Other HPs'!BI16),0)))),0)</f>
        <v>0</v>
      </c>
      <c r="T121" s="916">
        <f t="shared" si="15"/>
        <v>0</v>
      </c>
      <c r="U121" s="915">
        <f t="shared" si="16"/>
        <v>0</v>
      </c>
      <c r="V121" s="1316">
        <v>7.2</v>
      </c>
      <c r="W121" s="1995"/>
      <c r="X121" s="1341"/>
    </row>
    <row r="122" spans="1:24" s="665" customFormat="1" ht="15" customHeight="1" collapsed="1" thickBot="1">
      <c r="A122" s="3184"/>
      <c r="B122" s="3185"/>
      <c r="C122" s="3188" t="s">
        <v>1452</v>
      </c>
      <c r="D122" s="3188"/>
      <c r="E122" s="1245">
        <v>9.9999999999999998E-17</v>
      </c>
      <c r="F122" s="966">
        <f>IF(SETUP!$F$30="Upfront",F123,F124)</f>
        <v>0</v>
      </c>
      <c r="G122" s="921">
        <f>IF(SETUP!$F$30="Upfront",G123,G124)</f>
        <v>0</v>
      </c>
      <c r="H122" s="920">
        <f>IF(SETUP!$F$30="Upfront",H123,H124)</f>
        <v>0</v>
      </c>
      <c r="I122" s="920">
        <f>IF(SETUP!$F$30="Upfront",I123,I124)</f>
        <v>0</v>
      </c>
      <c r="J122" s="919">
        <f t="shared" si="13"/>
        <v>0</v>
      </c>
      <c r="K122" s="920">
        <f>IF(SETUP!$F$30="Upfront",K123,K124)</f>
        <v>0</v>
      </c>
      <c r="L122" s="920">
        <f>IF(SETUP!$F$30="Upfront",L123,L124)</f>
        <v>0</v>
      </c>
      <c r="M122" s="920">
        <f>IF(SETUP!$F$30="Upfront",M123,M124)</f>
        <v>0</v>
      </c>
      <c r="N122" s="920">
        <f>IF(SETUP!$F$30="Upfront",N123,N124)</f>
        <v>0</v>
      </c>
      <c r="O122" s="917">
        <f t="shared" si="14"/>
        <v>0</v>
      </c>
      <c r="P122" s="915">
        <f>IF(SETUP!$F$30="Upfront",P123,P124)</f>
        <v>0</v>
      </c>
      <c r="Q122" s="915">
        <f>IF(SETUP!$F$30="Upfront",Q123,Q124)</f>
        <v>0</v>
      </c>
      <c r="R122" s="915">
        <f>IF(SETUP!$F$30="Upfront",R123,R124)</f>
        <v>0</v>
      </c>
      <c r="S122" s="915">
        <f>IF(SETUP!$F$30="Upfront",S123,S124)</f>
        <v>0</v>
      </c>
      <c r="T122" s="916">
        <f t="shared" si="15"/>
        <v>0</v>
      </c>
      <c r="U122" s="915">
        <f t="shared" si="16"/>
        <v>0</v>
      </c>
      <c r="V122" s="1316">
        <v>7.2</v>
      </c>
      <c r="W122" s="1995"/>
      <c r="X122" s="1341"/>
    </row>
    <row r="123" spans="1:24" s="665" customFormat="1" ht="15" hidden="1" customHeight="1" outlineLevel="1">
      <c r="A123" s="3184"/>
      <c r="B123" s="3185"/>
      <c r="C123" s="3182" t="s">
        <v>777</v>
      </c>
      <c r="D123" s="3182"/>
      <c r="E123" s="1246"/>
      <c r="F123" s="966">
        <f>IF(SETUP!$F$30="Upfront",$E$122*'HIV-Other HPs'!AX17,0)</f>
        <v>0</v>
      </c>
      <c r="G123" s="921">
        <f>IF(SETUP!$F$30="Upfront",$E$122*'HIV-Other HPs'!AY17,0)</f>
        <v>0</v>
      </c>
      <c r="H123" s="920">
        <f>IF(SETUP!$F$30="Upfront",$E$122*'HIV-Other HPs'!AZ17,0)</f>
        <v>0</v>
      </c>
      <c r="I123" s="920">
        <f>IF(SETUP!$F$30="Upfront",$E$122*'HIV-Other HPs'!BA17,0)</f>
        <v>0</v>
      </c>
      <c r="J123" s="919"/>
      <c r="K123" s="920">
        <f>IF(SETUP!$F$30="Upfront",$E$122*'HIV-Other HPs'!BB17,0)</f>
        <v>0</v>
      </c>
      <c r="L123" s="920">
        <f>IF(SETUP!$F$30="Upfront",$E$122*'HIV-Other HPs'!BC17,0)</f>
        <v>0</v>
      </c>
      <c r="M123" s="920">
        <f>IF(SETUP!$F$30="Upfront",$E$122*'HIV-Other HPs'!BD17,0)</f>
        <v>0</v>
      </c>
      <c r="N123" s="920">
        <f>IF(SETUP!$F$30="Upfront",$E$122*'HIV-Other HPs'!BE17,0)</f>
        <v>0</v>
      </c>
      <c r="O123" s="917"/>
      <c r="P123" s="915">
        <f>IF(SETUP!$F$30="Upfront",$E$122*'HIV-Other HPs'!BF17,0)</f>
        <v>0</v>
      </c>
      <c r="Q123" s="915">
        <f>IF(SETUP!$F$30="Upfront",$E$122*'HIV-Other HPs'!BG17,0)</f>
        <v>0</v>
      </c>
      <c r="R123" s="915">
        <f>IF(SETUP!$F$30="Upfront",$E$122*'HIV-Other HPs'!BH17,0)</f>
        <v>0</v>
      </c>
      <c r="S123" s="915">
        <f>IF(SETUP!$F$30="Upfront",$E$122*'HIV-Other HPs'!BI17,0)</f>
        <v>0</v>
      </c>
      <c r="T123" s="916"/>
      <c r="U123" s="915"/>
      <c r="V123" s="1316">
        <v>7.2</v>
      </c>
      <c r="W123" s="1995"/>
      <c r="X123" s="1341"/>
    </row>
    <row r="124" spans="1:24" s="665" customFormat="1" ht="15" hidden="1" customHeight="1" outlineLevel="1" thickBot="1">
      <c r="A124" s="3184"/>
      <c r="B124" s="3185"/>
      <c r="C124" s="3182" t="s">
        <v>36</v>
      </c>
      <c r="D124" s="3182"/>
      <c r="E124" s="1246"/>
      <c r="F124" s="966">
        <v>0</v>
      </c>
      <c r="G124" s="921">
        <f>IF(SETUP!$F$30="At delivery",IF(SETUP!$G$30=1,$E$122*'HIV-Other HPs'!AX17,0),0)</f>
        <v>0</v>
      </c>
      <c r="H124" s="920">
        <f>IF(SETUP!$F$30="At delivery",IF(SETUP!$G$30=2,$E$122*'HIV-Other HPs'!AX17,IF(SETUP!$G$30=1,$E$122*'HIV-Other HPs'!AY17,0)),0)</f>
        <v>0</v>
      </c>
      <c r="I124" s="920">
        <f>IF(SETUP!$F$30="At delivery",IF(SETUP!$G$30=3,$E$122*'HIV-Other HPs'!AX17,IF(SETUP!$G$30=2,$E$122*'HIV-Other HPs'!AY17,IF(SETUP!$G$30=1,$E$122*'HIV-Other HPs'!AZ17,0))),0)</f>
        <v>0</v>
      </c>
      <c r="J124" s="919"/>
      <c r="K124" s="920">
        <f>IF(SETUP!$F$30="At delivery",IF(SETUP!$G$30=4,$E$122*'HIV-Other HPs'!AX17,IF(SETUP!$G$30=3,$E$122*'HIV-Other HPs'!AY17,IF(SETUP!$G$30=2,$E$122*'HIV-Other HPs'!AZ17,IF(SETUP!$G$30=1,$E$122*'HIV-Other HPs'!BA17,0)))),0)</f>
        <v>0</v>
      </c>
      <c r="L124" s="920">
        <f>IF(SETUP!$F$30="At delivery",IF(SETUP!$G$30=4,$E$122*'HIV-Other HPs'!AY17,IF(SETUP!$G$30=3,$E$122*'HIV-Other HPs'!AZ17,IF(SETUP!$G$30=2,$E$122*'HIV-Other HPs'!BA17,IF(SETUP!$G$30=1,$E$122*'HIV-Other HPs'!BB17,0)))),0)</f>
        <v>0</v>
      </c>
      <c r="M124" s="920">
        <f>IF(SETUP!$F$30="At delivery",IF(SETUP!$G$30=4,$E$122*'HIV-Other HPs'!AZ17,IF(SETUP!$G$30=3,$E$122*'HIV-Other HPs'!BA17,IF(SETUP!$G$30=2,$E$122*'HIV-Other HPs'!BB17,IF(SETUP!$G$30=1,$E$122*'HIV-Other HPs'!BC17,0)))),0)</f>
        <v>0</v>
      </c>
      <c r="N124" s="920">
        <f>IF(SETUP!$F$30="At delivery",IF(SETUP!$G$30=4,$E$122*'HIV-Other HPs'!BA17,IF(SETUP!$G$30=3,$E$122*'HIV-Other HPs'!BB17,IF(SETUP!$G$30=2,$E$122*'HIV-Other HPs'!BC17,IF(SETUP!$G$30=1,$E$122*'HIV-Other HPs'!BD17,0)))),0)</f>
        <v>0</v>
      </c>
      <c r="O124" s="917"/>
      <c r="P124" s="915">
        <f>IF(SETUP!$F$30="At delivery",IF(SETUP!$G$30=4,$E$122*'HIV-Other HPs'!BB17,IF(SETUP!$G$30=3,$E$122*'HIV-Other HPs'!BC17,IF(SETUP!$G$30=2,$E$122*'HIV-Other HPs'!BD17,IF(SETUP!$G$30=1,$E$122*'HIV-Other HPs'!BE17,0)))),0)</f>
        <v>0</v>
      </c>
      <c r="Q124" s="915">
        <f>IF(SETUP!$F$30="At delivery",IF(SETUP!$G$30=4,$E$122*'HIV-Other HPs'!BC17,IF(SETUP!$G$30=3,$E$122*'HIV-Other HPs'!BD17,IF(SETUP!$G$30=2,$E$122*'HIV-Other HPs'!BE17,IF(SETUP!$G$30=1,$E$122*'HIV-Other HPs'!BF17,0)))),0)</f>
        <v>0</v>
      </c>
      <c r="R124" s="915">
        <f>IF(SETUP!$F$30="At delivery",IF(SETUP!$G$30=4,$E$122*'HIV-Other HPs'!BD17,IF(SETUP!$G$30=3,$E$122*'HIV-Other HPs'!BE17,IF(SETUP!$G$30=2,$E$122*'HIV-Other HPs'!BF17,IF(SETUP!$G$30=1,$E$122*'HIV-Other HPs'!BG17,0)))),0)</f>
        <v>0</v>
      </c>
      <c r="S124" s="915">
        <f>IF(SETUP!$F$30="At delivery",IF(SETUP!$G$30=4,$E$122*('HIV-Other HPs'!BE17+'HIV-Other HPs'!BF17+'HIV-Other HPs'!BG17+'HIV-Other HPs'!BH17+'HIV-Other HPs'!BI17),IF(SETUP!$G$30=3,$E$122*('HIV-Other HPs'!BF17+'HIV-Other HPs'!BG17+'HIV-Other HPs'!BH17+'HIV-Other HPs'!BI17),IF(SETUP!$G$30=2,$E$122*('HIV-Other HPs'!BG17+'HIV-Other HPs'!BH17+'HIV-Other HPs'!BI17),IF(SETUP!$G$30=1,$E$122*('HIV-Other HPs'!BH17+'HIV-Other HPs'!BI17),0)))),0)</f>
        <v>0</v>
      </c>
      <c r="T124" s="916"/>
      <c r="U124" s="915"/>
      <c r="V124" s="1316">
        <v>7.2</v>
      </c>
      <c r="W124" s="1995"/>
      <c r="X124" s="1341"/>
    </row>
    <row r="125" spans="1:24" s="665" customFormat="1" ht="15" customHeight="1" collapsed="1" thickBot="1">
      <c r="A125" s="3184"/>
      <c r="B125" s="3185"/>
      <c r="C125" s="3188" t="s">
        <v>1391</v>
      </c>
      <c r="D125" s="3188"/>
      <c r="E125" s="1245">
        <v>9.9999999999999998E-17</v>
      </c>
      <c r="F125" s="966">
        <f>IF(SETUP!$F$31="Upfront",F126,F127)</f>
        <v>0</v>
      </c>
      <c r="G125" s="921">
        <f>IF(SETUP!$F$31="Upfront",G126,G127)</f>
        <v>9.8138299999999988E-12</v>
      </c>
      <c r="H125" s="920">
        <f>IF(SETUP!$F$31="Upfront",H126,H127)</f>
        <v>0</v>
      </c>
      <c r="I125" s="920">
        <f>IF(SETUP!$F$31="Upfront",I126,I127)</f>
        <v>0</v>
      </c>
      <c r="J125" s="919">
        <f t="shared" ref="J125:J156" si="17">F125+G125+H125+I125</f>
        <v>9.8138299999999988E-12</v>
      </c>
      <c r="K125" s="920">
        <f>IF(SETUP!$F$31="Upfront",K126,K127)</f>
        <v>0</v>
      </c>
      <c r="L125" s="920">
        <f>IF(SETUP!$F$31="Upfront",L126,L127)</f>
        <v>1.0296113E-11</v>
      </c>
      <c r="M125" s="920">
        <f>IF(SETUP!$F$31="Upfront",M126,M127)</f>
        <v>0</v>
      </c>
      <c r="N125" s="920">
        <f>IF(SETUP!$F$31="Upfront",N126,N127)</f>
        <v>0</v>
      </c>
      <c r="O125" s="917">
        <f t="shared" ref="O125:O156" si="18">K125+L125+M125+N125</f>
        <v>1.0296113E-11</v>
      </c>
      <c r="P125" s="915">
        <f>IF(SETUP!$F$31="Upfront",P126,P127)</f>
        <v>0</v>
      </c>
      <c r="Q125" s="915">
        <f>IF(SETUP!$F$31="Upfront",Q126,Q127)</f>
        <v>1.0945653E-11</v>
      </c>
      <c r="R125" s="915">
        <f>IF(SETUP!$F$31="Upfront",R126,R127)</f>
        <v>0</v>
      </c>
      <c r="S125" s="915">
        <f>IF(SETUP!$F$31="Upfront",S126,S127)</f>
        <v>0</v>
      </c>
      <c r="T125" s="916">
        <f t="shared" ref="T125:T156" si="19">P125+Q125+R125+S125</f>
        <v>1.0945653E-11</v>
      </c>
      <c r="U125" s="915">
        <f t="shared" ref="U125:U156" si="20">J125+O125+T125</f>
        <v>3.1055595999999998E-11</v>
      </c>
      <c r="V125" s="1316">
        <v>7.2</v>
      </c>
      <c r="W125" s="1995"/>
      <c r="X125" s="1341"/>
    </row>
    <row r="126" spans="1:24" s="665" customFormat="1" ht="15" hidden="1" customHeight="1" outlineLevel="1">
      <c r="A126" s="3184"/>
      <c r="B126" s="3185"/>
      <c r="C126" s="3182" t="s">
        <v>777</v>
      </c>
      <c r="D126" s="3182"/>
      <c r="E126" s="1246"/>
      <c r="F126" s="966">
        <f>IF(SETUP!$F$31="Upfront",$E$125*'HIV-Other HPs'!AX18,0)</f>
        <v>0</v>
      </c>
      <c r="G126" s="921">
        <f>IF(SETUP!$F$31="Upfront",$E$125*'HIV-Other HPs'!AY18,0)</f>
        <v>9.8138299999999988E-12</v>
      </c>
      <c r="H126" s="920">
        <f>IF(SETUP!$F$31="Upfront",$E$125*'HIV-Other HPs'!AZ18,0)</f>
        <v>0</v>
      </c>
      <c r="I126" s="920">
        <f>IF(SETUP!$F$31="Upfront",$E$125*'HIV-Other HPs'!BA18,0)</f>
        <v>0</v>
      </c>
      <c r="J126" s="919">
        <f t="shared" si="17"/>
        <v>9.8138299999999988E-12</v>
      </c>
      <c r="K126" s="920">
        <f>IF(SETUP!$F$31="Upfront",$E$125*'HIV-Other HPs'!BB18,0)</f>
        <v>0</v>
      </c>
      <c r="L126" s="920">
        <f>IF(SETUP!$F$31="Upfront",$E$125*'HIV-Other HPs'!BC18,0)</f>
        <v>1.0296113E-11</v>
      </c>
      <c r="M126" s="920">
        <f>IF(SETUP!$F$31="Upfront",$E$125*'HIV-Other HPs'!BD18,0)</f>
        <v>0</v>
      </c>
      <c r="N126" s="920">
        <f>IF(SETUP!$F$31="Upfront",$E$125*'HIV-Other HPs'!BE18,0)</f>
        <v>0</v>
      </c>
      <c r="O126" s="917">
        <f t="shared" si="18"/>
        <v>1.0296113E-11</v>
      </c>
      <c r="P126" s="915">
        <f>IF(SETUP!$F$31="Upfront",$E$125*'HIV-Other HPs'!BF18,0)</f>
        <v>0</v>
      </c>
      <c r="Q126" s="915">
        <f>IF(SETUP!$F$31="Upfront",$E$125*'HIV-Other HPs'!BG18,0)</f>
        <v>1.0945653E-11</v>
      </c>
      <c r="R126" s="915">
        <f>IF(SETUP!$F$31="Upfront",$E$125*'HIV-Other HPs'!BH18,0)</f>
        <v>0</v>
      </c>
      <c r="S126" s="915">
        <f>IF(SETUP!$F$31="Upfront",$E$125*'HIV-Other HPs'!BI18,0)</f>
        <v>0</v>
      </c>
      <c r="T126" s="916">
        <f t="shared" si="19"/>
        <v>1.0945653E-11</v>
      </c>
      <c r="U126" s="915">
        <f t="shared" si="20"/>
        <v>3.1055595999999998E-11</v>
      </c>
      <c r="V126" s="1316">
        <v>7.2</v>
      </c>
      <c r="W126" s="1995"/>
      <c r="X126" s="1341"/>
    </row>
    <row r="127" spans="1:24" s="665" customFormat="1" ht="15" hidden="1" customHeight="1" outlineLevel="1" thickBot="1">
      <c r="A127" s="3184"/>
      <c r="B127" s="3185"/>
      <c r="C127" s="3182" t="s">
        <v>36</v>
      </c>
      <c r="D127" s="3182"/>
      <c r="E127" s="1246"/>
      <c r="F127" s="966">
        <v>0</v>
      </c>
      <c r="G127" s="921">
        <f>IF(SETUP!$F$31="At delivery",IF(SETUP!$G$31=1,$E$125*'HIV-Other HPs'!AX18,0),0)</f>
        <v>0</v>
      </c>
      <c r="H127" s="920">
        <f>IF(SETUP!$F$31="At delivery",IF(SETUP!$G$31=2,$E$125*'HIV-Other HPs'!AX18,IF(SETUP!$G$31=1,$E$125*'HIV-Other HPs'!AY18,0)),0)</f>
        <v>0</v>
      </c>
      <c r="I127" s="920">
        <f>IF(SETUP!$F$31="At delivery",IF(SETUP!$G$31=3,$E$125*'HIV-Other HPs'!AX18,IF(SETUP!$G$31=2,$E$125*'HIV-Other HPs'!AY18,IF(SETUP!$G$31=1,$E$125*'HIV-Other HPs'!AZ18,0))),0)</f>
        <v>0</v>
      </c>
      <c r="J127" s="919">
        <f t="shared" si="17"/>
        <v>0</v>
      </c>
      <c r="K127" s="920">
        <f>IF(SETUP!$F$31="At delivery",IF(SETUP!$G$31=4,$E$125*'HIV-Other HPs'!AX18,IF(SETUP!$G$31=3,$E$125*'HIV-Other HPs'!AY18,IF(SETUP!$G$31=2,$E$125*'HIV-Other HPs'!AZ18,IF(SETUP!$G$31=1,$E$125*'HIV-Other HPs'!BA18,0)))),0)</f>
        <v>0</v>
      </c>
      <c r="L127" s="920">
        <f>IF(SETUP!$F$31="At delivery",IF(SETUP!$G$31=4,$E$125*'HIV-Other HPs'!AY18,IF(SETUP!$G$31=3,$E$125*'HIV-Other HPs'!AZ18,IF(SETUP!$G$31=2,$E$125*'HIV-Other HPs'!BA18,IF(SETUP!$G$31=1,$E$125*'HIV-Other HPs'!BB18,0)))),0)</f>
        <v>0</v>
      </c>
      <c r="M127" s="920">
        <f>IF(SETUP!$F$31="At delivery",IF(SETUP!$G$31=4,$E$125*'HIV-Other HPs'!AZ18,IF(SETUP!$G$31=3,$E$125*'HIV-Other HPs'!BA18,IF(SETUP!$G$31=2,$E$125*'HIV-Other HPs'!BB18,IF(SETUP!$G$31=1,$E$125*'HIV-Other HPs'!BC18,0)))),0)</f>
        <v>0</v>
      </c>
      <c r="N127" s="920">
        <f>IF(SETUP!$F$31="At delivery",IF(SETUP!$G$31=4,$E$125*'HIV-Other HPs'!BA18,IF(SETUP!$G$31=3,$E$125*'HIV-Other HPs'!BB18,IF(SETUP!$G$31=2,$E$125*'HIV-Other HPs'!BC18,IF(SETUP!$G$31=1,$E$125*'HIV-Other HPs'!BD18,0)))),0)</f>
        <v>0</v>
      </c>
      <c r="O127" s="917">
        <f t="shared" si="18"/>
        <v>0</v>
      </c>
      <c r="P127" s="915">
        <f>IF(SETUP!$F$31="At delivery",IF(SETUP!$G$31=4,$E$125*'HIV-Other HPs'!BB18,IF(SETUP!$G$31=3,$E$125*'HIV-Other HPs'!BC18,IF(SETUP!$G$31=2,$E$125*'HIV-Other HPs'!BD18,IF(SETUP!$G$31=1,$E$125*'HIV-Other HPs'!BE18,0)))),0)</f>
        <v>0</v>
      </c>
      <c r="Q127" s="915">
        <f>IF(SETUP!$F$31="At delivery",IF(SETUP!$G$31=4,$E$125*'HIV-Other HPs'!BC18,IF(SETUP!$G$31=3,$E$125*'HIV-Other HPs'!BD18,IF(SETUP!$G$31=2,$E$125*'HIV-Other HPs'!BE18,IF(SETUP!$G$31=1,$E$125*'HIV-Other HPs'!BF18,0)))),0)</f>
        <v>0</v>
      </c>
      <c r="R127" s="915">
        <f>IF(SETUP!$F$31="At delivery",IF(SETUP!$G$31=4,$E$125*'HIV-Other HPs'!BD18,IF(SETUP!$G$31=3,$E$125*'HIV-Other HPs'!BE18,IF(SETUP!$G$31=2,$E$125*'HIV-Other HPs'!BF18,IF(SETUP!$G$31=1,$E$125*'HIV-Other HPs'!BG18,0)))),0)</f>
        <v>0</v>
      </c>
      <c r="S127" s="915">
        <f>IF(SETUP!$F$31="At delivery",IF(SETUP!$G$31=4,$E$125*('HIV-Other HPs'!BE18+'HIV-Other HPs'!BF18+'HIV-Other HPs'!BG18+'HIV-Other HPs'!BH18+'HIV-Other HPs'!BI18),IF(SETUP!$G$31=3,$E$125*('HIV-Other HPs'!BF18+'HIV-Other HPs'!BG18+'HIV-Other HPs'!BH18+'HIV-Other HPs'!BI18),IF(SETUP!$G$31=2,$E$125*('HIV-Other HPs'!BG18+'HIV-Other HPs'!BH18+'HIV-Other HPs'!BI18),IF(SETUP!$G$31=1,$E$125*('HIV-Other HPs'!BH18+'HIV-Other HPs'!BI18),0)))),0)</f>
        <v>0</v>
      </c>
      <c r="T127" s="916">
        <f t="shared" si="19"/>
        <v>0</v>
      </c>
      <c r="U127" s="915">
        <f t="shared" si="20"/>
        <v>0</v>
      </c>
      <c r="V127" s="1316">
        <v>7.2</v>
      </c>
      <c r="W127" s="1995"/>
      <c r="X127" s="1341"/>
    </row>
    <row r="128" spans="1:24" s="665" customFormat="1" ht="15" customHeight="1" collapsed="1" thickBot="1">
      <c r="A128" s="3184"/>
      <c r="B128" s="3185"/>
      <c r="C128" s="3188" t="s">
        <v>443</v>
      </c>
      <c r="D128" s="3188"/>
      <c r="E128" s="1245">
        <v>9.9999999999999998E-17</v>
      </c>
      <c r="F128" s="966">
        <f>IF(SETUP!$F$32="Upfront",F129,F130)</f>
        <v>0</v>
      </c>
      <c r="G128" s="921">
        <f>IF(SETUP!$F$32="Upfront",G129,G130)</f>
        <v>3.8041343999999993E-11</v>
      </c>
      <c r="H128" s="920">
        <f>IF(SETUP!$F$32="Upfront",H129,H130)</f>
        <v>0</v>
      </c>
      <c r="I128" s="920">
        <f>IF(SETUP!$F$32="Upfront",I129,I130)</f>
        <v>0</v>
      </c>
      <c r="J128" s="919">
        <f t="shared" si="17"/>
        <v>3.8041343999999993E-11</v>
      </c>
      <c r="K128" s="920">
        <f>IF(SETUP!$F$32="Upfront",K129,K130)</f>
        <v>0</v>
      </c>
      <c r="L128" s="920">
        <f>IF(SETUP!$F$32="Upfront",L129,L130)</f>
        <v>3.8541887999999995E-11</v>
      </c>
      <c r="M128" s="920">
        <f>IF(SETUP!$F$32="Upfront",M129,M130)</f>
        <v>0</v>
      </c>
      <c r="N128" s="920">
        <f>IF(SETUP!$F$32="Upfront",N129,N130)</f>
        <v>0</v>
      </c>
      <c r="O128" s="917">
        <f t="shared" si="18"/>
        <v>3.8541887999999995E-11</v>
      </c>
      <c r="P128" s="915">
        <f>IF(SETUP!$F$32="Upfront",P129,P130)</f>
        <v>0</v>
      </c>
      <c r="Q128" s="915">
        <f>IF(SETUP!$F$32="Upfront",Q129,Q130)</f>
        <v>3.8792159999999996E-11</v>
      </c>
      <c r="R128" s="915">
        <f>IF(SETUP!$F$32="Upfront",R129,R130)</f>
        <v>0</v>
      </c>
      <c r="S128" s="915">
        <f>IF(SETUP!$F$32="Upfront",S129,S130)</f>
        <v>0</v>
      </c>
      <c r="T128" s="916">
        <f t="shared" si="19"/>
        <v>3.8792159999999996E-11</v>
      </c>
      <c r="U128" s="915">
        <f t="shared" si="20"/>
        <v>1.1537539199999998E-10</v>
      </c>
      <c r="V128" s="1316">
        <v>7.2</v>
      </c>
      <c r="W128" s="1995"/>
      <c r="X128" s="1341"/>
    </row>
    <row r="129" spans="1:24" s="665" customFormat="1" ht="15" hidden="1" customHeight="1" outlineLevel="1">
      <c r="A129" s="3184"/>
      <c r="B129" s="3185"/>
      <c r="C129" s="3182" t="s">
        <v>777</v>
      </c>
      <c r="D129" s="3182"/>
      <c r="E129" s="1246"/>
      <c r="F129" s="966">
        <f>IF(SETUP!$F$32="Upfront",$E$128*'HIV-Other HPs'!AX19,0)</f>
        <v>0</v>
      </c>
      <c r="G129" s="921">
        <f>IF(SETUP!$F$32="Upfront",$E$128*'HIV-Other HPs'!AY19,0)</f>
        <v>3.8041343999999993E-11</v>
      </c>
      <c r="H129" s="920">
        <f>IF(SETUP!$F$32="Upfront",$E$128*'HIV-Other HPs'!AZ19,0)</f>
        <v>0</v>
      </c>
      <c r="I129" s="920">
        <f>IF(SETUP!$F$32="Upfront",$E$128*'HIV-Other HPs'!BA19,0)</f>
        <v>0</v>
      </c>
      <c r="J129" s="919">
        <f t="shared" si="17"/>
        <v>3.8041343999999993E-11</v>
      </c>
      <c r="K129" s="920">
        <f>IF(SETUP!$F$32="Upfront",$E$128*'HIV-Other HPs'!BB19,0)</f>
        <v>0</v>
      </c>
      <c r="L129" s="920">
        <f>IF(SETUP!$F$32="Upfront",$E$128*'HIV-Other HPs'!BC19,0)</f>
        <v>3.8541887999999995E-11</v>
      </c>
      <c r="M129" s="920">
        <f>IF(SETUP!$F$32="Upfront",$E$128*'HIV-Other HPs'!BD19,0)</f>
        <v>0</v>
      </c>
      <c r="N129" s="920">
        <f>IF(SETUP!$F$32="Upfront",$E$128*'HIV-Other HPs'!BE19,0)</f>
        <v>0</v>
      </c>
      <c r="O129" s="917">
        <f t="shared" si="18"/>
        <v>3.8541887999999995E-11</v>
      </c>
      <c r="P129" s="915">
        <f>IF(SETUP!$F$32="Upfront",$E$128*'HIV-Other HPs'!BF19,0)</f>
        <v>0</v>
      </c>
      <c r="Q129" s="915">
        <f>IF(SETUP!$F$32="Upfront",$E$128*'HIV-Other HPs'!BG19,0)</f>
        <v>3.8792159999999996E-11</v>
      </c>
      <c r="R129" s="915">
        <f>IF(SETUP!$F$32="Upfront",$E$128*'HIV-Other HPs'!BH19,0)</f>
        <v>0</v>
      </c>
      <c r="S129" s="915">
        <f>IF(SETUP!$F$32="Upfront",$E$128*'HIV-Other HPs'!BI19,0)</f>
        <v>0</v>
      </c>
      <c r="T129" s="916">
        <f t="shared" si="19"/>
        <v>3.8792159999999996E-11</v>
      </c>
      <c r="U129" s="915">
        <f t="shared" si="20"/>
        <v>1.1537539199999998E-10</v>
      </c>
      <c r="V129" s="1316">
        <v>7.2</v>
      </c>
      <c r="W129" s="1995"/>
      <c r="X129" s="1341"/>
    </row>
    <row r="130" spans="1:24" s="665" customFormat="1" ht="15" hidden="1" customHeight="1" outlineLevel="1">
      <c r="A130" s="3184"/>
      <c r="B130" s="3185"/>
      <c r="C130" s="3182" t="s">
        <v>36</v>
      </c>
      <c r="D130" s="3182"/>
      <c r="E130" s="1246"/>
      <c r="F130" s="966">
        <v>0</v>
      </c>
      <c r="G130" s="921">
        <f>IF(SETUP!$F$32="At delivery",IF(SETUP!$G$32=1,$E$128*'HIV-Other HPs'!AX19,0),0)</f>
        <v>0</v>
      </c>
      <c r="H130" s="920">
        <f>IF(SETUP!$F$32="At delivery",IF(SETUP!$G$32=2,$E$128*'HIV-Other HPs'!AX19,IF(SETUP!$G$32=1,$E$128*'HIV-Other HPs'!AY19,0)),0)</f>
        <v>0</v>
      </c>
      <c r="I130" s="920">
        <f>IF(SETUP!$F$32="At delivery",IF(SETUP!$G$32=3,$E$128*'HIV-Other HPs'!AX19,IF(SETUP!$G$32=2,$E$128*'HIV-Other HPs'!AY19,IF(SETUP!$G$32=1,$E$128*'HIV-Other HPs'!AZ19,0))),0)</f>
        <v>0</v>
      </c>
      <c r="J130" s="919">
        <f t="shared" si="17"/>
        <v>0</v>
      </c>
      <c r="K130" s="920">
        <f>IF(SETUP!$F$32="At delivery",IF(SETUP!$G$32=4,$E$128*'HIV-Other HPs'!AX19,IF(SETUP!$G$32=3,$E$128*'HIV-Other HPs'!AY19,IF(SETUP!$G$32=2,$E$128*'HIV-Other HPs'!AZ19,IF(SETUP!$G$32=1,$E$128*'HIV-Other HPs'!BA19,0)))),0)</f>
        <v>0</v>
      </c>
      <c r="L130" s="920">
        <f>IF(SETUP!$F$32="At delivery",IF(SETUP!$G$32=4,$E$128*'HIV-Other HPs'!AY19,IF(SETUP!$G$32=3,$E$128*'HIV-Other HPs'!AZ19,IF(SETUP!$G$32=2,$E$128*'HIV-Other HPs'!BA19,IF(SETUP!$G$32=1,$E$128*'HIV-Other HPs'!BB19,0)))),0)</f>
        <v>0</v>
      </c>
      <c r="M130" s="920">
        <f>IF(SETUP!$F$32="At delivery",IF(SETUP!$G$32=4,$E$128*'HIV-Other HPs'!AZ19,IF(SETUP!$G$32=3,$E$128*'HIV-Other HPs'!BA19,IF(SETUP!$G$32=2,$E$128*'HIV-Other HPs'!BB19,IF(SETUP!$G$32=1,$E$128*'HIV-Other HPs'!BC19,0)))),0)</f>
        <v>0</v>
      </c>
      <c r="N130" s="920">
        <f>IF(SETUP!$F$32="At delivery",IF(SETUP!$G$32=4,$E$128*'HIV-Other HPs'!BA19,IF(SETUP!$G$32=3,$E$128*'HIV-Other HPs'!BB19,IF(SETUP!$G$32=2,$E$128*'HIV-Other HPs'!BC19,IF(SETUP!$G$32=1,$E$128*'HIV-Other HPs'!BD19,0)))),0)</f>
        <v>0</v>
      </c>
      <c r="O130" s="917">
        <f t="shared" si="18"/>
        <v>0</v>
      </c>
      <c r="P130" s="915">
        <f>IF(SETUP!$F$32="At delivery",IF(SETUP!$G$32=4,$E$128*'HIV-Other HPs'!BB19,IF(SETUP!$G$32=3,$E$128*'HIV-Other HPs'!BC19,IF(SETUP!$G$32=2,$E$128*'HIV-Other HPs'!BD19,IF(SETUP!$G$32=1,$E$128*'HIV-Other HPs'!BE19,0)))),0)</f>
        <v>0</v>
      </c>
      <c r="Q130" s="915">
        <f>IF(SETUP!$F$32="At delivery",IF(SETUP!$G$32=4,$E$128*'HIV-Other HPs'!BC19,IF(SETUP!$G$32=3,$E$128*'HIV-Other HPs'!BD19,IF(SETUP!$G$32=2,$E$128*'HIV-Other HPs'!BE19,IF(SETUP!$G$32=1,$E$128*'HIV-Other HPs'!BF19,0)))),0)</f>
        <v>0</v>
      </c>
      <c r="R130" s="915">
        <f>IF(SETUP!$F$32="At delivery",IF(SETUP!$G$32=4,$E$128*'HIV-Other HPs'!BD19,IF(SETUP!$G$32=3,$E$128*'HIV-Other HPs'!BE19,IF(SETUP!$G$32=2,$E$128*'HIV-Other HPs'!BF19,IF(SETUP!$G$32=1,$E$128*'HIV-Other HPs'!BG19,0)))),0)</f>
        <v>0</v>
      </c>
      <c r="S130" s="915">
        <f>IF(SETUP!$F$32="At delivery",IF(SETUP!$G$32=4,$E$128*('HIV-Other HPs'!BE19+'HIV-Other HPs'!BF19+'HIV-Other HPs'!BG19+'HIV-Other HPs'!BH19+'HIV-Other HPs'!BI19),IF(SETUP!$G$32=3,$E$128*('HIV-Other HPs'!BF19+'HIV-Other HPs'!BG19+'HIV-Other HPs'!BH19+'HIV-Other HPs'!BI19),IF(SETUP!$G$32=2,$E$128*('HIV-Other HPs'!BG19+'HIV-Other HPs'!BH19+'HIV-Other HPs'!BI19),IF(SETUP!$G$32=1,$E$128*('HIV-Other HPs'!BH19+'HIV-Other HPs'!BI19),0)))),0)</f>
        <v>0</v>
      </c>
      <c r="T130" s="916">
        <f t="shared" si="19"/>
        <v>0</v>
      </c>
      <c r="U130" s="915">
        <f t="shared" si="20"/>
        <v>0</v>
      </c>
      <c r="V130" s="1316">
        <v>7.2</v>
      </c>
      <c r="W130" s="1995"/>
      <c r="X130" s="1341"/>
    </row>
    <row r="131" spans="1:24" s="665" customFormat="1" ht="15" customHeight="1" collapsed="1">
      <c r="A131" s="3184"/>
      <c r="B131" s="3185"/>
      <c r="C131" s="3202" t="s">
        <v>1392</v>
      </c>
      <c r="D131" s="3202"/>
      <c r="E131" s="1245">
        <v>9.9999999999999998E-17</v>
      </c>
      <c r="F131" s="966">
        <f>IF(SETUP!$F$33="Upfront",F132,F133)</f>
        <v>0</v>
      </c>
      <c r="G131" s="921">
        <f>IF(SETUP!$F$33="Upfront",G132,G133)</f>
        <v>0</v>
      </c>
      <c r="H131" s="920">
        <f>IF(SETUP!$F$33="Upfront",H132,H133)</f>
        <v>1.322345E-10</v>
      </c>
      <c r="I131" s="920">
        <f>IF(SETUP!$F$33="Upfront",I132,I133)</f>
        <v>0</v>
      </c>
      <c r="J131" s="919">
        <f t="shared" si="17"/>
        <v>1.322345E-10</v>
      </c>
      <c r="K131" s="920">
        <f>IF(SETUP!$F$33="Upfront",K132,K133)</f>
        <v>0</v>
      </c>
      <c r="L131" s="920">
        <f>IF(SETUP!$F$33="Upfront",L132,L133)</f>
        <v>1.4465504999999999E-10</v>
      </c>
      <c r="M131" s="920">
        <f>IF(SETUP!$F$33="Upfront",M132,M133)</f>
        <v>0</v>
      </c>
      <c r="N131" s="920">
        <f>IF(SETUP!$F$33="Upfront",N132,N133)</f>
        <v>0</v>
      </c>
      <c r="O131" s="917">
        <f t="shared" si="18"/>
        <v>1.4465504999999999E-10</v>
      </c>
      <c r="P131" s="915">
        <f>IF(SETUP!$F$33="Upfront",P132,P133)</f>
        <v>0</v>
      </c>
      <c r="Q131" s="915">
        <f>IF(SETUP!$F$33="Upfront",Q132,Q133)</f>
        <v>1.592935E-10</v>
      </c>
      <c r="R131" s="915">
        <f>IF(SETUP!$F$33="Upfront",R132,R133)</f>
        <v>0</v>
      </c>
      <c r="S131" s="915">
        <f>IF(SETUP!$F$33="Upfront",S132,S133)</f>
        <v>0</v>
      </c>
      <c r="T131" s="916">
        <f t="shared" si="19"/>
        <v>1.592935E-10</v>
      </c>
      <c r="U131" s="915">
        <f t="shared" si="20"/>
        <v>4.3618305000000003E-10</v>
      </c>
      <c r="V131" s="1316">
        <v>7.2</v>
      </c>
      <c r="W131" s="1995"/>
      <c r="X131" s="1341"/>
    </row>
    <row r="132" spans="1:24" s="665" customFormat="1" ht="15" hidden="1" customHeight="1" outlineLevel="1">
      <c r="A132" s="3184"/>
      <c r="B132" s="3185"/>
      <c r="C132" s="3182" t="s">
        <v>777</v>
      </c>
      <c r="D132" s="3182"/>
      <c r="E132" s="1246"/>
      <c r="F132" s="966">
        <f>IF(SETUP!$F$33="Upfront",$E$131*'HIV-Other HPs'!AX20,0)</f>
        <v>0</v>
      </c>
      <c r="G132" s="921">
        <f>IF(SETUP!$F$33="Upfront",$E$131*'HIV-Other HPs'!AY20,0)</f>
        <v>0</v>
      </c>
      <c r="H132" s="920">
        <f>IF(SETUP!$F$33="Upfront",$E$131*'HIV-Other HPs'!AZ20,0)</f>
        <v>1.322345E-10</v>
      </c>
      <c r="I132" s="920">
        <f>IF(SETUP!$F$33="Upfront",$E$131*'HIV-Other HPs'!BA20,0)</f>
        <v>0</v>
      </c>
      <c r="J132" s="919">
        <f t="shared" si="17"/>
        <v>1.322345E-10</v>
      </c>
      <c r="K132" s="920">
        <f>IF(SETUP!$F$33="Upfront",$E$131*'HIV-Other HPs'!BB20,0)</f>
        <v>0</v>
      </c>
      <c r="L132" s="920">
        <f>IF(SETUP!$F$33="Upfront",$E$131*'HIV-Other HPs'!BC20,0)</f>
        <v>1.4465504999999999E-10</v>
      </c>
      <c r="M132" s="920">
        <f>IF(SETUP!$F$33="Upfront",$E$131*'HIV-Other HPs'!BD20,0)</f>
        <v>0</v>
      </c>
      <c r="N132" s="920">
        <f>IF(SETUP!$F$33="Upfront",$E$131*'HIV-Other HPs'!BE20,0)</f>
        <v>0</v>
      </c>
      <c r="O132" s="917">
        <f t="shared" si="18"/>
        <v>1.4465504999999999E-10</v>
      </c>
      <c r="P132" s="915">
        <f>IF(SETUP!$F$33="Upfront",$E$131*'HIV-Other HPs'!BF20,0)</f>
        <v>0</v>
      </c>
      <c r="Q132" s="915">
        <f>IF(SETUP!$F$33="Upfront",$E$131*'HIV-Other HPs'!BG20,0)</f>
        <v>1.592935E-10</v>
      </c>
      <c r="R132" s="915">
        <f>IF(SETUP!$F$33="Upfront",$E$131*'HIV-Other HPs'!BH20,0)</f>
        <v>0</v>
      </c>
      <c r="S132" s="915">
        <f>IF(SETUP!$F$33="Upfront",$E$131*'HIV-Other HPs'!BI20,0)</f>
        <v>0</v>
      </c>
      <c r="T132" s="916">
        <f t="shared" si="19"/>
        <v>1.592935E-10</v>
      </c>
      <c r="U132" s="915">
        <f t="shared" si="20"/>
        <v>4.3618305000000003E-10</v>
      </c>
      <c r="V132" s="1316">
        <v>7.2</v>
      </c>
      <c r="W132" s="1995"/>
      <c r="X132" s="1341"/>
    </row>
    <row r="133" spans="1:24" s="665" customFormat="1" ht="15" hidden="1" customHeight="1" outlineLevel="1" thickBot="1">
      <c r="A133" s="3184"/>
      <c r="B133" s="3185"/>
      <c r="C133" s="3182" t="s">
        <v>36</v>
      </c>
      <c r="D133" s="3182"/>
      <c r="E133" s="1246"/>
      <c r="F133" s="966">
        <v>0</v>
      </c>
      <c r="G133" s="921">
        <f>IF(SETUP!$F$33="At delivery",IF(SETUP!$G$33=1,$E$131*'HIV-Other HPs'!AX20,0),0)</f>
        <v>0</v>
      </c>
      <c r="H133" s="920">
        <f>IF(SETUP!$F$33="At delivery",IF(SETUP!$G$33=2,$E$131*'HIV-Other HPs'!AX20,IF(SETUP!$G$33=1,$E$131*'HIV-Other HPs'!AY20,0)),0)</f>
        <v>0</v>
      </c>
      <c r="I133" s="920">
        <f>IF(SETUP!$F$33="At delivery",IF(SETUP!$G$33=3,$E$131*'HIV-Other HPs'!AX20,IF(SETUP!$G$33=2,$E$131*'HIV-Other HPs'!AY20,IF(SETUP!$G$33=1,$E$131*'HIV-Other HPs'!AZ20,0))),0)</f>
        <v>0</v>
      </c>
      <c r="J133" s="919">
        <f t="shared" si="17"/>
        <v>0</v>
      </c>
      <c r="K133" s="920">
        <f>IF(SETUP!$F$33="At delivery",IF(SETUP!$G$33=4,$E$131*'HIV-Other HPs'!AX20,IF(SETUP!$G$33=3,$E$131*'HIV-Other HPs'!AY20,IF(SETUP!$G$33=2,$E$131*'HIV-Other HPs'!AZ20,IF(SETUP!$G$33=1,$E$131*'HIV-Other HPs'!BA20,0)))),0)</f>
        <v>0</v>
      </c>
      <c r="L133" s="920">
        <f>IF(SETUP!$F$33="At delivery",IF(SETUP!$G$33=4,$E$131*'HIV-Other HPs'!AY20,IF(SETUP!$G$33=3,$E$131*'HIV-Other HPs'!AZ20,IF(SETUP!$G$33=2,$E$131*'HIV-Other HPs'!BA20,IF(SETUP!$G$33=1,$E$131*'HIV-Other HPs'!BB20,0)))),0)</f>
        <v>0</v>
      </c>
      <c r="M133" s="920">
        <f>IF(SETUP!$F$33="At delivery",IF(SETUP!$G$33=4,$E$131*'HIV-Other HPs'!AZ20,IF(SETUP!$G$33=3,$E$131*'HIV-Other HPs'!BA20,IF(SETUP!$G$33=2,$E$131*'HIV-Other HPs'!BB20,IF(SETUP!$G$33=1,$E$131*'HIV-Other HPs'!BC20,0)))),0)</f>
        <v>0</v>
      </c>
      <c r="N133" s="920">
        <f>IF(SETUP!$F$33="At delivery",IF(SETUP!$G$33=4,$E$131*'HIV-Other HPs'!BA20,IF(SETUP!$G$33=3,$E$131*'HIV-Other HPs'!BB20,IF(SETUP!$G$33=2,$E$131*'HIV-Other HPs'!BC20,IF(SETUP!$G$33=1,$E$131*'HIV-Other HPs'!BD20,0)))),0)</f>
        <v>0</v>
      </c>
      <c r="O133" s="917">
        <f t="shared" si="18"/>
        <v>0</v>
      </c>
      <c r="P133" s="915">
        <f>IF(SETUP!$F$33="At delivery",IF(SETUP!$G$33=4,$E$131*'HIV-Other HPs'!BB20,IF(SETUP!$G$33=3,$E$131*'HIV-Other HPs'!BC20,IF(SETUP!$G$33=2,$E$131*'HIV-Other HPs'!BD20,IF(SETUP!$G$33=1,$E$131*'HIV-Other HPs'!BE20,0)))),0)</f>
        <v>0</v>
      </c>
      <c r="Q133" s="915">
        <f>IF(SETUP!$F$33="At delivery",IF(SETUP!$G$33=4,$E$131*'HIV-Other HPs'!BC20,IF(SETUP!$G$33=3,$E$131*'HIV-Other HPs'!BD20,IF(SETUP!$G$33=2,$E$131*'HIV-Other HPs'!BE20,IF(SETUP!$G$33=1,$E$131*'HIV-Other HPs'!BF20,0)))),0)</f>
        <v>0</v>
      </c>
      <c r="R133" s="915">
        <f>IF(SETUP!$F$33="At delivery",IF(SETUP!$G$33=4,$E$131*'HIV-Other HPs'!BD20,IF(SETUP!$G$33=3,$E$131*'HIV-Other HPs'!BE20,IF(SETUP!$G$33=2,$E$131*'HIV-Other HPs'!BF20,IF(SETUP!$G$33=1,$E$131*'HIV-Other HPs'!BG20,0)))),0)</f>
        <v>0</v>
      </c>
      <c r="S133" s="915">
        <f>IF(SETUP!$F$33="At delivery",IF(SETUP!$G$33=4,$E$131*('HIV-Other HPs'!BE20+'HIV-Other HPs'!BF20+'HIV-Other HPs'!BG20+'HIV-Other HPs'!BH20+'HIV-Other HPs'!BI20),IF(SETUP!$G$33=3,$E$131*('HIV-Other HPs'!BF20+'HIV-Other HPs'!BG20+'HIV-Other HPs'!BH20+'HIV-Other HPs'!BI20),IF(SETUP!$G$33=2,$E$131*('HIV-Other HPs'!BG20+'HIV-Other HPs'!BH20+'HIV-Other HPs'!BI20),IF(SETUP!$G$33=1,$E$131*('HIV-Other HPs'!BH20+'HIV-Other HPs'!BI20),0)))),0)</f>
        <v>0</v>
      </c>
      <c r="T133" s="916">
        <f t="shared" si="19"/>
        <v>0</v>
      </c>
      <c r="U133" s="915">
        <f t="shared" si="20"/>
        <v>0</v>
      </c>
      <c r="V133" s="1316">
        <v>7.2</v>
      </c>
      <c r="W133" s="1995"/>
      <c r="X133" s="1341"/>
    </row>
    <row r="134" spans="1:24" s="665" customFormat="1" ht="15" hidden="1" customHeight="1" collapsed="1" thickBot="1">
      <c r="A134" s="3186" t="s">
        <v>444</v>
      </c>
      <c r="B134" s="3187"/>
      <c r="C134" s="3188" t="s">
        <v>445</v>
      </c>
      <c r="D134" s="3188"/>
      <c r="E134" s="1245">
        <v>9.9999999999999998E-17</v>
      </c>
      <c r="F134" s="966">
        <f>IF(SETUP!$F$36="Upfront",F135,F136)</f>
        <v>0</v>
      </c>
      <c r="G134" s="921">
        <f>IF(SETUP!$F$36="Upfront",G135,G136)</f>
        <v>0</v>
      </c>
      <c r="H134" s="920">
        <f>IF(SETUP!$F$36="Upfront",H135,H136)</f>
        <v>0</v>
      </c>
      <c r="I134" s="920">
        <f>IF(SETUP!$F$36="Upfront",I135,I136)</f>
        <v>0</v>
      </c>
      <c r="J134" s="919">
        <f t="shared" si="17"/>
        <v>0</v>
      </c>
      <c r="K134" s="915">
        <f>IF(SETUP!$F$36="Upfront",K135,K136)</f>
        <v>0</v>
      </c>
      <c r="L134" s="921">
        <f>IF(SETUP!$F$36="Upfront",L135,L136)</f>
        <v>0</v>
      </c>
      <c r="M134" s="920">
        <f>IF(SETUP!$F$36="Upfront",M135,M136)</f>
        <v>0</v>
      </c>
      <c r="N134" s="920">
        <f>IF(SETUP!$F$36="Upfront",N135,N136)</f>
        <v>0</v>
      </c>
      <c r="O134" s="917">
        <f t="shared" si="18"/>
        <v>0</v>
      </c>
      <c r="P134" s="915">
        <f>IF(SETUP!$F$36="Upfront",P135,P136)</f>
        <v>0</v>
      </c>
      <c r="Q134" s="921">
        <f>IF(SETUP!$F$36="Upfront",Q135,Q136)</f>
        <v>0</v>
      </c>
      <c r="R134" s="920">
        <f>IF(SETUP!$F$36="Upfront",R135,R136)</f>
        <v>0</v>
      </c>
      <c r="S134" s="920">
        <f>IF(SETUP!$F$36="Upfront",S135,S136)</f>
        <v>0</v>
      </c>
      <c r="T134" s="916">
        <f t="shared" si="19"/>
        <v>0</v>
      </c>
      <c r="U134" s="915">
        <f t="shared" si="20"/>
        <v>0</v>
      </c>
      <c r="V134" s="1316">
        <v>7.2</v>
      </c>
      <c r="W134" s="1995"/>
      <c r="X134" s="1341"/>
    </row>
    <row r="135" spans="1:24" s="665" customFormat="1" ht="15" hidden="1" customHeight="1" outlineLevel="1">
      <c r="A135" s="3186"/>
      <c r="B135" s="3187"/>
      <c r="C135" s="3182" t="s">
        <v>777</v>
      </c>
      <c r="D135" s="3182"/>
      <c r="E135" s="1246"/>
      <c r="F135" s="966">
        <f>IF(SETUP!$F$36="Upfront",$E$134*'TB-Pharmaceuticals'!AX14,0)</f>
        <v>0</v>
      </c>
      <c r="G135" s="915">
        <f>IF(SETUP!$F$36="Upfront",$E$134*'TB-Pharmaceuticals'!AY14,0)</f>
        <v>0</v>
      </c>
      <c r="H135" s="915">
        <f>IF(SETUP!$F$36="Upfront",$E$134*'TB-Pharmaceuticals'!AZ14,0)</f>
        <v>0</v>
      </c>
      <c r="I135" s="915">
        <f>IF(SETUP!$F$36="Upfront",$E$134*'TB-Pharmaceuticals'!BA14,0)</f>
        <v>0</v>
      </c>
      <c r="J135" s="919">
        <f t="shared" si="17"/>
        <v>0</v>
      </c>
      <c r="K135" s="915">
        <f>IF(SETUP!$F$36="Upfront",$E$134*'TB-Pharmaceuticals'!BB14,0)</f>
        <v>0</v>
      </c>
      <c r="L135" s="915">
        <f>IF(SETUP!$F$36="Upfront",$E$134*'TB-Pharmaceuticals'!BC14,0)</f>
        <v>0</v>
      </c>
      <c r="M135" s="915">
        <f>IF(SETUP!$F$36="Upfront",$E$134*'TB-Pharmaceuticals'!BD14,0)</f>
        <v>0</v>
      </c>
      <c r="N135" s="915">
        <f>IF(SETUP!$F$36="Upfront",$E$134*'TB-Pharmaceuticals'!BE14,0)</f>
        <v>0</v>
      </c>
      <c r="O135" s="917">
        <f t="shared" si="18"/>
        <v>0</v>
      </c>
      <c r="P135" s="915">
        <f>IF(SETUP!$F$36="Upfront",$E$134*'TB-Pharmaceuticals'!BF14,0)</f>
        <v>0</v>
      </c>
      <c r="Q135" s="915">
        <f>IF(SETUP!$F$36="Upfront",$E$134*'TB-Pharmaceuticals'!BG14,0)</f>
        <v>0</v>
      </c>
      <c r="R135" s="915">
        <f>IF(SETUP!$F$36="Upfront",$E$134*'TB-Pharmaceuticals'!BH14,0)</f>
        <v>0</v>
      </c>
      <c r="S135" s="915">
        <f>IF(SETUP!$F$36="Upfront",$E$134*'TB-Pharmaceuticals'!BI14,0)</f>
        <v>0</v>
      </c>
      <c r="T135" s="916">
        <f t="shared" si="19"/>
        <v>0</v>
      </c>
      <c r="U135" s="915">
        <f t="shared" si="20"/>
        <v>0</v>
      </c>
      <c r="V135" s="1316">
        <v>7.2</v>
      </c>
      <c r="W135" s="1995"/>
      <c r="X135" s="1341"/>
    </row>
    <row r="136" spans="1:24" s="665" customFormat="1" ht="15" hidden="1" customHeight="1" outlineLevel="1">
      <c r="A136" s="3186"/>
      <c r="B136" s="3187"/>
      <c r="C136" s="3182" t="s">
        <v>36</v>
      </c>
      <c r="D136" s="3182"/>
      <c r="E136" s="1246"/>
      <c r="F136" s="966">
        <v>0</v>
      </c>
      <c r="G136" s="921">
        <f>IF(SETUP!$F$36="At delivery",IF(SETUP!$G$36=1,$E$134*'TB-Pharmaceuticals'!AX14,0),0)</f>
        <v>0</v>
      </c>
      <c r="H136" s="920">
        <f>IF(SETUP!$F$36="At delivery",IF(SETUP!$G$36=2,$E$134*'TB-Pharmaceuticals'!AX14,IF(SETUP!$G$36=1,$E$134*'TB-Pharmaceuticals'!AY14,0)),0)</f>
        <v>0</v>
      </c>
      <c r="I136" s="920">
        <f>IF(SETUP!$F$36="At delivery",IF(SETUP!$G$36=3,$E$134*'TB-Pharmaceuticals'!AX14,IF(SETUP!$G$36=2,$E$134*'TB-Pharmaceuticals'!AY14,IF(SETUP!$G$36=1,$E$134*'TB-Pharmaceuticals'!AZ14,0))),0)</f>
        <v>0</v>
      </c>
      <c r="J136" s="919">
        <f t="shared" si="17"/>
        <v>0</v>
      </c>
      <c r="K136" s="920">
        <f>IF(SETUP!$F$36="At delivery",IF(SETUP!$G$36=4,$E$134*'TB-Pharmaceuticals'!AX14,IF(SETUP!$G$36=3,$E$134*'TB-Pharmaceuticals'!AY14,IF(SETUP!$G$36=2,$E$134*'TB-Pharmaceuticals'!AZ14,IF(SETUP!$G$36=1,$E$134*'TB-Pharmaceuticals'!BA14,0)))),0)</f>
        <v>0</v>
      </c>
      <c r="L136" s="920">
        <f>IF(SETUP!$F$36="At delivery",IF(SETUP!$G$36=4,$E$134*'TB-Pharmaceuticals'!AY14,IF(SETUP!$G$36=3,$E$134*'TB-Pharmaceuticals'!AZ14,IF(SETUP!$G$36=2,$E$134*'TB-Pharmaceuticals'!BA14,IF(SETUP!$G$36=1,$E$134*'TB-Pharmaceuticals'!BB14,0)))),0)</f>
        <v>0</v>
      </c>
      <c r="M136" s="920">
        <f>IF(SETUP!$F$36="At delivery",IF(SETUP!$G$36=4,$E$134*'TB-Pharmaceuticals'!AZ14,IF(SETUP!$G$36=3,$E$134*'TB-Pharmaceuticals'!BA14,IF(SETUP!$G$36=2,$E$134*'TB-Pharmaceuticals'!BB14,IF(SETUP!$G$36=1,$E$134*'TB-Pharmaceuticals'!BC14,0)))),0)</f>
        <v>0</v>
      </c>
      <c r="N136" s="920">
        <f>IF(SETUP!$F$36="At delivery",IF(SETUP!$G$36=4,$E$134*'TB-Pharmaceuticals'!BA14,IF(SETUP!$G$36=3,$E$134*'TB-Pharmaceuticals'!BB14,IF(SETUP!$G$36=2,$E$134*'TB-Pharmaceuticals'!BC14,IF(SETUP!$G$36=1,$E$134*'TB-Pharmaceuticals'!BD14,0)))),0)</f>
        <v>0</v>
      </c>
      <c r="O136" s="917">
        <f t="shared" si="18"/>
        <v>0</v>
      </c>
      <c r="P136" s="915">
        <f>IF(SETUP!$F$36="At delivery",IF(SETUP!$G$36=4,$E$134*'TB-Pharmaceuticals'!BB14,IF(SETUP!$G$36=3,$E$134*'TB-Pharmaceuticals'!BC14,IF(SETUP!$G$36=2,$E$134*'TB-Pharmaceuticals'!BD14,IF(SETUP!$G$36=1,$E$134*'TB-Pharmaceuticals'!BE14,0)))),0)</f>
        <v>0</v>
      </c>
      <c r="Q136" s="915">
        <f>IF(SETUP!$F$36="At delivery",IF(SETUP!$G$36=4,$E$134*'TB-Pharmaceuticals'!BC14,IF(SETUP!$G$36=3,$E$134*'TB-Pharmaceuticals'!BD14,IF(SETUP!$G$36=2,$E$134*'TB-Pharmaceuticals'!BE14,IF(SETUP!$G$36=1,$E$134*'TB-Pharmaceuticals'!BF14,0)))),0)</f>
        <v>0</v>
      </c>
      <c r="R136" s="915">
        <f>IF(SETUP!$F$36="At delivery",IF(SETUP!$G$36=4,$E$134*'TB-Pharmaceuticals'!BD14,IF(SETUP!$G$36=3,$E$134*'TB-Pharmaceuticals'!BE14,IF(SETUP!$G$36=2,$E$134*'TB-Pharmaceuticals'!BF14,IF(SETUP!$G$36=1,$E$134*'TB-Pharmaceuticals'!BG14,0)))),0)</f>
        <v>0</v>
      </c>
      <c r="S136" s="915">
        <f>IF(SETUP!$F$36="At delivery",IF(SETUP!$G$36=4,$E$134*('TB-Pharmaceuticals'!BE14+'TB-Pharmaceuticals'!BF14+'TB-Pharmaceuticals'!BG14+'TB-Pharmaceuticals'!BH14+'TB-Pharmaceuticals'!BI14),IF(SETUP!$G$36=3,$E$134*('TB-Pharmaceuticals'!BF14+'TB-Pharmaceuticals'!BG14+'TB-Pharmaceuticals'!BH14+'TB-Pharmaceuticals'!BI14),IF(SETUP!$G$36=2,$E$134*('TB-Pharmaceuticals'!BG14+'TB-Pharmaceuticals'!BH14+'TB-Pharmaceuticals'!BI14),IF(SETUP!$G$36=1,$E$134*('TB-Pharmaceuticals'!BH14+'TB-Pharmaceuticals'!BI14),0)))),0)</f>
        <v>0</v>
      </c>
      <c r="T136" s="916">
        <f t="shared" si="19"/>
        <v>0</v>
      </c>
      <c r="U136" s="915">
        <f t="shared" si="20"/>
        <v>0</v>
      </c>
      <c r="V136" s="1316">
        <v>7.2</v>
      </c>
      <c r="W136" s="1995"/>
      <c r="X136" s="1341"/>
    </row>
    <row r="137" spans="1:24" s="665" customFormat="1" ht="15" hidden="1" customHeight="1" collapsed="1" thickBot="1">
      <c r="A137" s="3186"/>
      <c r="B137" s="3187"/>
      <c r="C137" s="3188" t="s">
        <v>446</v>
      </c>
      <c r="D137" s="3188"/>
      <c r="E137" s="1245">
        <v>9.9999999999999998E-17</v>
      </c>
      <c r="F137" s="966">
        <f>IF(SETUP!$F$38="Upfront",F138,F139)</f>
        <v>0</v>
      </c>
      <c r="G137" s="921">
        <f>IF(SETUP!$F$38="Upfront",G138,G139)</f>
        <v>0</v>
      </c>
      <c r="H137" s="920">
        <f>IF(SETUP!$F$38="Upfront",H138,H139)</f>
        <v>0</v>
      </c>
      <c r="I137" s="920">
        <f>IF(SETUP!$F$38="Upfront",I138,I139)</f>
        <v>0</v>
      </c>
      <c r="J137" s="919">
        <f t="shared" si="17"/>
        <v>0</v>
      </c>
      <c r="K137" s="920">
        <f>IF(SETUP!$F$38="Upfront",K138,K139)</f>
        <v>0</v>
      </c>
      <c r="L137" s="920">
        <f>IF(SETUP!$F$38="Upfront",L138,L139)</f>
        <v>0</v>
      </c>
      <c r="M137" s="920">
        <f>IF(SETUP!$F$38="Upfront",M138,M139)</f>
        <v>0</v>
      </c>
      <c r="N137" s="920">
        <f>IF(SETUP!$F$38="Upfront",N138,N139)</f>
        <v>0</v>
      </c>
      <c r="O137" s="917">
        <f t="shared" si="18"/>
        <v>0</v>
      </c>
      <c r="P137" s="915">
        <f>IF(SETUP!$F$38="Upfront",P138,P139)</f>
        <v>0</v>
      </c>
      <c r="Q137" s="915">
        <f>IF(SETUP!$F$38="Upfront",Q138,Q139)</f>
        <v>0</v>
      </c>
      <c r="R137" s="915">
        <f>IF(SETUP!$F$38="Upfront",R138,R139)</f>
        <v>0</v>
      </c>
      <c r="S137" s="915">
        <f>IF(SETUP!$F$38="Upfront",S138,S139)</f>
        <v>0</v>
      </c>
      <c r="T137" s="916">
        <f t="shared" si="19"/>
        <v>0</v>
      </c>
      <c r="U137" s="915">
        <f t="shared" si="20"/>
        <v>0</v>
      </c>
      <c r="V137" s="1316">
        <v>7.2</v>
      </c>
      <c r="W137" s="1995"/>
      <c r="X137" s="1341"/>
    </row>
    <row r="138" spans="1:24" s="665" customFormat="1" ht="15" hidden="1" customHeight="1" outlineLevel="1">
      <c r="A138" s="3186"/>
      <c r="B138" s="3187"/>
      <c r="C138" s="3182" t="s">
        <v>777</v>
      </c>
      <c r="D138" s="3182"/>
      <c r="E138" s="1246"/>
      <c r="F138" s="966">
        <f>IF(SETUP!$F$38="Upfront",$E$137*'TB-Pharmaceuticals'!AX15,0)</f>
        <v>0</v>
      </c>
      <c r="G138" s="921">
        <f>IF(SETUP!$F$38="Upfront",$E$137*'TB-Pharmaceuticals'!AY15,0)</f>
        <v>0</v>
      </c>
      <c r="H138" s="920">
        <f>IF(SETUP!$F$38="Upfront",$E$137*'TB-Pharmaceuticals'!AZ15,0)</f>
        <v>0</v>
      </c>
      <c r="I138" s="920">
        <f>IF(SETUP!$F$38="Upfront",$E$137*'TB-Pharmaceuticals'!BA15,0)</f>
        <v>0</v>
      </c>
      <c r="J138" s="919">
        <f t="shared" si="17"/>
        <v>0</v>
      </c>
      <c r="K138" s="920">
        <f>IF(SETUP!$F$38="Upfront",$E$137*'TB-Pharmaceuticals'!BB15,0)</f>
        <v>0</v>
      </c>
      <c r="L138" s="920">
        <f>IF(SETUP!$F$38="Upfront",$E$137*'TB-Pharmaceuticals'!BC15,0)</f>
        <v>0</v>
      </c>
      <c r="M138" s="920">
        <f>IF(SETUP!$F$38="Upfront",$E$137*'TB-Pharmaceuticals'!BD15,0)</f>
        <v>0</v>
      </c>
      <c r="N138" s="920">
        <f>IF(SETUP!$F$38="Upfront",$E$137*'TB-Pharmaceuticals'!BE15,0)</f>
        <v>0</v>
      </c>
      <c r="O138" s="917">
        <f t="shared" si="18"/>
        <v>0</v>
      </c>
      <c r="P138" s="915">
        <f>IF(SETUP!$F$38="Upfront",$E$137*'TB-Pharmaceuticals'!BF15,0)</f>
        <v>0</v>
      </c>
      <c r="Q138" s="915">
        <f>IF(SETUP!$F$38="Upfront",$E$137*'TB-Pharmaceuticals'!BG15,0)</f>
        <v>0</v>
      </c>
      <c r="R138" s="915">
        <f>IF(SETUP!$F$38="Upfront",$E$137*'TB-Pharmaceuticals'!BH15,0)</f>
        <v>0</v>
      </c>
      <c r="S138" s="915">
        <f>IF(SETUP!$F$38="Upfront",$E$137*'TB-Pharmaceuticals'!BI15,0)</f>
        <v>0</v>
      </c>
      <c r="T138" s="916">
        <f t="shared" si="19"/>
        <v>0</v>
      </c>
      <c r="U138" s="915">
        <f t="shared" si="20"/>
        <v>0</v>
      </c>
      <c r="V138" s="1316">
        <v>7.2</v>
      </c>
      <c r="W138" s="1995"/>
      <c r="X138" s="1341"/>
    </row>
    <row r="139" spans="1:24" s="665" customFormat="1" ht="15" hidden="1" customHeight="1" outlineLevel="1">
      <c r="A139" s="3186"/>
      <c r="B139" s="3187"/>
      <c r="C139" s="3182" t="s">
        <v>36</v>
      </c>
      <c r="D139" s="3182"/>
      <c r="E139" s="1246"/>
      <c r="F139" s="966">
        <v>0</v>
      </c>
      <c r="G139" s="921">
        <f>IF(SETUP!$F$38="At delivery",IF(SETUP!$G$38=1,$E$137*'TB-Pharmaceuticals'!AX15,0),0)</f>
        <v>0</v>
      </c>
      <c r="H139" s="920">
        <f>IF(SETUP!$F$38="At delivery",IF(SETUP!$G$38=2,$E$137*'TB-Pharmaceuticals'!AX15,IF(SETUP!$G$38=1,$E$137*'TB-Pharmaceuticals'!AY15,0)),0)</f>
        <v>0</v>
      </c>
      <c r="I139" s="920">
        <f>IF(SETUP!$F$38="At delivery",IF(SETUP!$G$38=3,$E$137*'TB-Pharmaceuticals'!AX15,IF(SETUP!$G$38=2,$E$137*'TB-Pharmaceuticals'!AY15,IF(SETUP!$G$38=1,$E$137*'TB-Pharmaceuticals'!AZ15,0))),0)</f>
        <v>0</v>
      </c>
      <c r="J139" s="919">
        <f t="shared" si="17"/>
        <v>0</v>
      </c>
      <c r="K139" s="920">
        <f>IF(SETUP!$F$38="At delivery",IF(SETUP!$G$38=4,$E$137*'TB-Pharmaceuticals'!AX15,IF(SETUP!$G$38=3,$E$137*'TB-Pharmaceuticals'!AY15,IF(SETUP!$G$38=2,$E$137*'TB-Pharmaceuticals'!AZ15,IF(SETUP!$G$38=1,$E$137*'TB-Pharmaceuticals'!BA15,0)))),0)</f>
        <v>0</v>
      </c>
      <c r="L139" s="920">
        <f>IF(SETUP!$F$38="At delivery",IF(SETUP!$G$38=4,$E$137*'TB-Pharmaceuticals'!AY15,IF(SETUP!$G$38=3,$E$137*'TB-Pharmaceuticals'!AZ15,IF(SETUP!$G$38=2,$E$137*'TB-Pharmaceuticals'!BA15,IF(SETUP!$G$38=1,$E$137*'TB-Pharmaceuticals'!BB15,0)))),0)</f>
        <v>0</v>
      </c>
      <c r="M139" s="920">
        <f>IF(SETUP!$F$38="At delivery",IF(SETUP!$G$38=4,$E$137*'TB-Pharmaceuticals'!AZ15,IF(SETUP!$G$38=3,$E$137*'TB-Pharmaceuticals'!BA15,IF(SETUP!$G$38=2,$E$137*'TB-Pharmaceuticals'!BB15,IF(SETUP!$G$38=1,$E$137*'TB-Pharmaceuticals'!BC15,0)))),0)</f>
        <v>0</v>
      </c>
      <c r="N139" s="920">
        <f>IF(SETUP!$F$38="At delivery",IF(SETUP!$G$38=4,$E$137*'TB-Pharmaceuticals'!BA15,IF(SETUP!$G$38=3,$E$137*'TB-Pharmaceuticals'!BB15,IF(SETUP!$G$38=2,$E$137*'TB-Pharmaceuticals'!BC15,IF(SETUP!$G$38=1,$E$137*'TB-Pharmaceuticals'!BD15,0)))),0)</f>
        <v>0</v>
      </c>
      <c r="O139" s="917">
        <f t="shared" si="18"/>
        <v>0</v>
      </c>
      <c r="P139" s="915">
        <f>IF(SETUP!$F$38="At delivery",IF(SETUP!$G$38=4,$E$137*'TB-Pharmaceuticals'!BB15,IF(SETUP!$G$38=3,$E$137*'TB-Pharmaceuticals'!BC15,IF(SETUP!$G$38=2,$E$137*'TB-Pharmaceuticals'!BD15,IF(SETUP!$G$38=1,$E$137*'TB-Pharmaceuticals'!BE15,0)))),0)</f>
        <v>0</v>
      </c>
      <c r="Q139" s="915">
        <f>IF(SETUP!$F$38="At delivery",IF(SETUP!$G$38=4,$E$137*'TB-Pharmaceuticals'!BC15,IF(SETUP!$G$38=3,$E$137*'TB-Pharmaceuticals'!BD15,IF(SETUP!$G$38=2,$E$137*'TB-Pharmaceuticals'!BE15,IF(SETUP!$G$38=1,$E$137*'TB-Pharmaceuticals'!BF15,0)))),0)</f>
        <v>0</v>
      </c>
      <c r="R139" s="915">
        <f>IF(SETUP!$F$38="At delivery",IF(SETUP!$G$38=4,$E$137*'TB-Pharmaceuticals'!BD15,IF(SETUP!$G$38=3,$E$137*'TB-Pharmaceuticals'!BE15,IF(SETUP!$G$38=2,$E$137*'TB-Pharmaceuticals'!BF15,IF(SETUP!$G$38=1,$E$137*'TB-Pharmaceuticals'!BG15,0)))),0)</f>
        <v>0</v>
      </c>
      <c r="S139" s="915">
        <f>IF(SETUP!$F$38="At delivery",IF(SETUP!$G$38=4,$E$137*('TB-Pharmaceuticals'!BE15+'TB-Pharmaceuticals'!BF15+'TB-Pharmaceuticals'!BG15+'TB-Pharmaceuticals'!BH15+'TB-Pharmaceuticals'!BI15),IF(SETUP!$G$38=3,$E$137*('TB-Pharmaceuticals'!BF15+'TB-Pharmaceuticals'!BG15+'TB-Pharmaceuticals'!BH15+'TB-Pharmaceuticals'!BI15),IF(SETUP!$G$38=2,$E$137*('TB-Pharmaceuticals'!BG15+'TB-Pharmaceuticals'!BH15+'TB-Pharmaceuticals'!BI15),IF(SETUP!$G$38=1,$E$137*('TB-Pharmaceuticals'!BH15+'TB-Pharmaceuticals'!BI15),0)))),0)</f>
        <v>0</v>
      </c>
      <c r="T139" s="916">
        <f t="shared" si="19"/>
        <v>0</v>
      </c>
      <c r="U139" s="915">
        <f t="shared" si="20"/>
        <v>0</v>
      </c>
      <c r="V139" s="1316">
        <v>7.2</v>
      </c>
      <c r="W139" s="1995"/>
      <c r="X139" s="1341"/>
    </row>
    <row r="140" spans="1:24" s="665" customFormat="1" ht="15" hidden="1" customHeight="1" collapsed="1" thickBot="1">
      <c r="A140" s="3186"/>
      <c r="B140" s="3187"/>
      <c r="C140" s="3188" t="s">
        <v>1389</v>
      </c>
      <c r="D140" s="3188"/>
      <c r="E140" s="1245">
        <v>9.9999999999999998E-17</v>
      </c>
      <c r="F140" s="966">
        <f>IF(SETUP!$F$39="Upfront",F141,F142)</f>
        <v>0</v>
      </c>
      <c r="G140" s="921">
        <f>IF(SETUP!$F$39="Upfront",G141,G142)</f>
        <v>0</v>
      </c>
      <c r="H140" s="920">
        <f>IF(SETUP!$F$39="Upfront",H141,H142)</f>
        <v>0</v>
      </c>
      <c r="I140" s="920">
        <f>IF(SETUP!$F$39="Upfront",I141,I142)</f>
        <v>0</v>
      </c>
      <c r="J140" s="919">
        <f t="shared" si="17"/>
        <v>0</v>
      </c>
      <c r="K140" s="920">
        <f>IF(SETUP!$F$39="Upfront",K141,K142)</f>
        <v>0</v>
      </c>
      <c r="L140" s="920">
        <f>IF(SETUP!$F$39="Upfront",L141,L142)</f>
        <v>0</v>
      </c>
      <c r="M140" s="920">
        <f>IF(SETUP!$F$39="Upfront",M141,M142)</f>
        <v>0</v>
      </c>
      <c r="N140" s="920">
        <f>IF(SETUP!$F$39="Upfront",N141,N142)</f>
        <v>0</v>
      </c>
      <c r="O140" s="917">
        <f t="shared" si="18"/>
        <v>0</v>
      </c>
      <c r="P140" s="915">
        <f>IF(SETUP!$F$39="Upfront",P141,P142)</f>
        <v>0</v>
      </c>
      <c r="Q140" s="915">
        <f>IF(SETUP!$F$39="Upfront",Q141,Q142)</f>
        <v>0</v>
      </c>
      <c r="R140" s="915">
        <f>IF(SETUP!$F$39="Upfront",R141,R142)</f>
        <v>0</v>
      </c>
      <c r="S140" s="915">
        <f>IF(SETUP!$F$39="Upfront",S141,S142)</f>
        <v>0</v>
      </c>
      <c r="T140" s="916">
        <f t="shared" si="19"/>
        <v>0</v>
      </c>
      <c r="U140" s="915">
        <f t="shared" si="20"/>
        <v>0</v>
      </c>
      <c r="V140" s="1316">
        <v>7.2</v>
      </c>
      <c r="W140" s="1995"/>
      <c r="X140" s="1341"/>
    </row>
    <row r="141" spans="1:24" s="665" customFormat="1" ht="15" hidden="1" customHeight="1" outlineLevel="1">
      <c r="A141" s="3186"/>
      <c r="B141" s="3187"/>
      <c r="C141" s="3182" t="s">
        <v>777</v>
      </c>
      <c r="D141" s="3182"/>
      <c r="E141" s="1246"/>
      <c r="F141" s="966">
        <f>IF(SETUP!$F$39="Upfront",$E$140*'TB-Pharmaceuticals'!AX16,0)</f>
        <v>0</v>
      </c>
      <c r="G141" s="921">
        <f>IF(SETUP!$F$39="Upfront",$E$140*'TB-Pharmaceuticals'!AY16,0)</f>
        <v>0</v>
      </c>
      <c r="H141" s="920">
        <f>IF(SETUP!$F$39="Upfront",$E$140*'TB-Pharmaceuticals'!AZ16,0)</f>
        <v>0</v>
      </c>
      <c r="I141" s="920">
        <f>IF(SETUP!$F$39="Upfront",$E$140*'TB-Pharmaceuticals'!BA16,0)</f>
        <v>0</v>
      </c>
      <c r="J141" s="919">
        <f t="shared" si="17"/>
        <v>0</v>
      </c>
      <c r="K141" s="920">
        <f>IF(SETUP!$F$39="Upfront",$E$140*'TB-Pharmaceuticals'!BB16,0)</f>
        <v>0</v>
      </c>
      <c r="L141" s="920">
        <f>IF(SETUP!$F$39="Upfront",$E$140*'TB-Pharmaceuticals'!BC16,0)</f>
        <v>0</v>
      </c>
      <c r="M141" s="920">
        <f>IF(SETUP!$F$39="Upfront",$E$140*'TB-Pharmaceuticals'!BD16,0)</f>
        <v>0</v>
      </c>
      <c r="N141" s="920">
        <f>IF(SETUP!$F$39="Upfront",$E$140*'TB-Pharmaceuticals'!BE16,0)</f>
        <v>0</v>
      </c>
      <c r="O141" s="917">
        <f t="shared" si="18"/>
        <v>0</v>
      </c>
      <c r="P141" s="915">
        <f>IF(SETUP!$F$39="Upfront",$E$140*'TB-Pharmaceuticals'!BF16,0)</f>
        <v>0</v>
      </c>
      <c r="Q141" s="915">
        <f>IF(SETUP!$F$39="Upfront",$E$140*'TB-Pharmaceuticals'!BG16,0)</f>
        <v>0</v>
      </c>
      <c r="R141" s="915">
        <f>IF(SETUP!$F$39="Upfront",$E$140*'TB-Pharmaceuticals'!BH16,0)</f>
        <v>0</v>
      </c>
      <c r="S141" s="915">
        <f>IF(SETUP!$F$39="Upfront",$E$140*'TB-Pharmaceuticals'!BI16,0)</f>
        <v>0</v>
      </c>
      <c r="T141" s="916">
        <f t="shared" si="19"/>
        <v>0</v>
      </c>
      <c r="U141" s="915">
        <f t="shared" si="20"/>
        <v>0</v>
      </c>
      <c r="V141" s="1316">
        <v>7.2</v>
      </c>
      <c r="W141" s="1995"/>
      <c r="X141" s="1341"/>
    </row>
    <row r="142" spans="1:24" s="665" customFormat="1" ht="15" hidden="1" customHeight="1" outlineLevel="1">
      <c r="A142" s="3186"/>
      <c r="B142" s="3187"/>
      <c r="C142" s="3182" t="s">
        <v>36</v>
      </c>
      <c r="D142" s="3182"/>
      <c r="E142" s="1246"/>
      <c r="F142" s="966">
        <v>0</v>
      </c>
      <c r="G142" s="921">
        <f>IF(SETUP!$F$39="At delivery",IF(SETUP!$G$39=1,$E$140*'TB-Pharmaceuticals'!AX16,0),0)</f>
        <v>0</v>
      </c>
      <c r="H142" s="920">
        <f>IF(SETUP!$F$39="At delivery",IF(SETUP!$G$39=2,$E$140*'TB-Pharmaceuticals'!AX16,IF(SETUP!$G$39=1,$E$140*'TB-Pharmaceuticals'!AY16,0)),0)</f>
        <v>0</v>
      </c>
      <c r="I142" s="920">
        <f>IF(SETUP!$F$39="At delivery",IF(SETUP!$G$39=3,$E$140*'TB-Pharmaceuticals'!AX16,IF(SETUP!$G$39=2,$E$140*'TB-Pharmaceuticals'!AY16,IF(SETUP!$G$39=1,$E$140*'TB-Pharmaceuticals'!AZ16,0))),0)</f>
        <v>0</v>
      </c>
      <c r="J142" s="919">
        <f t="shared" si="17"/>
        <v>0</v>
      </c>
      <c r="K142" s="920">
        <f>IF(SETUP!$F$39="At delivery",IF(SETUP!$G$39=4,$E$140*'TB-Pharmaceuticals'!AX16,IF(SETUP!$G$39=3,$E$140*'TB-Pharmaceuticals'!AY16,IF(SETUP!$G$39=2,$E$140*'TB-Pharmaceuticals'!AZ16,IF(SETUP!$G$39=1,$E$140*'TB-Pharmaceuticals'!BA16,0)))),0)</f>
        <v>0</v>
      </c>
      <c r="L142" s="920">
        <f>IF(SETUP!$F$39="At delivery",IF(SETUP!$G$39=4,$E$140*'TB-Pharmaceuticals'!AY16,IF(SETUP!$G$39=3,$E$140*'TB-Pharmaceuticals'!AZ16,IF(SETUP!$G$39=2,$E$140*'TB-Pharmaceuticals'!BA16,IF(SETUP!$G$39=1,$E$140*'TB-Pharmaceuticals'!BB16,0)))),0)</f>
        <v>0</v>
      </c>
      <c r="M142" s="920">
        <f>IF(SETUP!$F$39="At delivery",IF(SETUP!$G$39=4,$E$140*'TB-Pharmaceuticals'!AZ16,IF(SETUP!$G$39=3,$E$140*'TB-Pharmaceuticals'!BA16,IF(SETUP!$G$39=2,$E$140*'TB-Pharmaceuticals'!BB16,IF(SETUP!$G$39=1,$E$140*'TB-Pharmaceuticals'!BC16,0)))),0)</f>
        <v>0</v>
      </c>
      <c r="N142" s="920">
        <f>IF(SETUP!$F$39="At delivery",IF(SETUP!$G$39=4,$E$140*'TB-Pharmaceuticals'!BA16,IF(SETUP!$G$39=3,$E$140*'TB-Pharmaceuticals'!BB16,IF(SETUP!$G$39=2,$E$140*'TB-Pharmaceuticals'!BC16,IF(SETUP!$G$39=1,$E$140*'TB-Pharmaceuticals'!BD16,0)))),0)</f>
        <v>0</v>
      </c>
      <c r="O142" s="917">
        <f t="shared" si="18"/>
        <v>0</v>
      </c>
      <c r="P142" s="915">
        <f>IF(SETUP!$F$39="At delivery",IF(SETUP!$G$39=4,$E$140*'TB-Pharmaceuticals'!BB16,IF(SETUP!$G$39=3,$E$140*'TB-Pharmaceuticals'!BC16,IF(SETUP!$G$39=2,$E$140*'TB-Pharmaceuticals'!BD16,IF(SETUP!$G$39=1,$E$140*'TB-Pharmaceuticals'!BE16,0)))),0)</f>
        <v>0</v>
      </c>
      <c r="Q142" s="915">
        <f>IF(SETUP!$F$39="At delivery",IF(SETUP!$G$39=4,$E$140*'TB-Pharmaceuticals'!BC16,IF(SETUP!$G$39=3,$E$140*'TB-Pharmaceuticals'!BD16,IF(SETUP!$G$39=2,$E$140*'TB-Pharmaceuticals'!BE16,IF(SETUP!$G$39=1,$E$140*'TB-Pharmaceuticals'!BF16,0)))),0)</f>
        <v>0</v>
      </c>
      <c r="R142" s="915">
        <f>IF(SETUP!$F$39="At delivery",IF(SETUP!$G$39=4,$E$140*'TB-Pharmaceuticals'!BD16,IF(SETUP!$G$39=3,$E$140*'TB-Pharmaceuticals'!BE16,IF(SETUP!$G$39=2,$E$140*'TB-Pharmaceuticals'!BF16,IF(SETUP!$G$39=1,$E$140*'TB-Pharmaceuticals'!BG16,0)))),0)</f>
        <v>0</v>
      </c>
      <c r="S142" s="915">
        <f>IF(SETUP!$F$39="At delivery",IF(SETUP!$G$39=4,$E$140*('TB-Pharmaceuticals'!BE16+'TB-Pharmaceuticals'!BF16+'TB-Pharmaceuticals'!BG16+'TB-Pharmaceuticals'!BH16+'TB-Pharmaceuticals'!BI16),IF(SETUP!$G$39=3,$E$140*('TB-Pharmaceuticals'!BF16+'TB-Pharmaceuticals'!BG16+'TB-Pharmaceuticals'!BH16+'TB-Pharmaceuticals'!BI16),IF(SETUP!$G$39=2,$E$140*('TB-Pharmaceuticals'!BG16+'TB-Pharmaceuticals'!BH16+'TB-Pharmaceuticals'!BI16),IF(SETUP!$G$39=1,$E$140*('TB-Pharmaceuticals'!BH16+'TB-Pharmaceuticals'!BI16),0)))),0)</f>
        <v>0</v>
      </c>
      <c r="T142" s="916">
        <f t="shared" si="19"/>
        <v>0</v>
      </c>
      <c r="U142" s="915">
        <f t="shared" si="20"/>
        <v>0</v>
      </c>
      <c r="V142" s="1316">
        <v>7.2</v>
      </c>
      <c r="W142" s="1995"/>
      <c r="X142" s="1341"/>
    </row>
    <row r="143" spans="1:24" s="665" customFormat="1" ht="15" hidden="1" customHeight="1" collapsed="1" thickBot="1">
      <c r="A143" s="3186" t="s">
        <v>447</v>
      </c>
      <c r="B143" s="3187"/>
      <c r="C143" s="3188" t="s">
        <v>292</v>
      </c>
      <c r="D143" s="3188"/>
      <c r="E143" s="1245">
        <v>9.9999999999999998E-17</v>
      </c>
      <c r="F143" s="966">
        <f>IF(SETUP!$F$40="Upfront",F144,F145)</f>
        <v>0</v>
      </c>
      <c r="G143" s="921">
        <f>IF(SETUP!$F$40="Upfront",G144,G145)</f>
        <v>0</v>
      </c>
      <c r="H143" s="920">
        <f>IF(SETUP!$F$40="Upfront",H144,H145)</f>
        <v>0</v>
      </c>
      <c r="I143" s="920">
        <f>IF(SETUP!$F$40="Upfront",I144,I145)</f>
        <v>0</v>
      </c>
      <c r="J143" s="919">
        <f t="shared" si="17"/>
        <v>0</v>
      </c>
      <c r="K143" s="920">
        <f>IF(SETUP!$F$40="Upfront",K144,K145)</f>
        <v>0</v>
      </c>
      <c r="L143" s="920">
        <f>IF(SETUP!$F$40="Upfront",L144,L145)</f>
        <v>0</v>
      </c>
      <c r="M143" s="920">
        <f>IF(SETUP!$F$40="Upfront",M144,M145)</f>
        <v>0</v>
      </c>
      <c r="N143" s="920">
        <f>IF(SETUP!$F$40="Upfront",N144,N145)</f>
        <v>0</v>
      </c>
      <c r="O143" s="917">
        <f t="shared" si="18"/>
        <v>0</v>
      </c>
      <c r="P143" s="915">
        <f>IF(SETUP!$F$40="Upfront",P144,P145)</f>
        <v>0</v>
      </c>
      <c r="Q143" s="915">
        <f>IF(SETUP!$F$40="Upfront",Q144,Q145)</f>
        <v>0</v>
      </c>
      <c r="R143" s="915">
        <f>IF(SETUP!$F$40="Upfront",R144,R145)</f>
        <v>0</v>
      </c>
      <c r="S143" s="915">
        <f>IF(SETUP!$F$40="Upfront",S144,S145)</f>
        <v>0</v>
      </c>
      <c r="T143" s="916">
        <f t="shared" si="19"/>
        <v>0</v>
      </c>
      <c r="U143" s="915">
        <f t="shared" si="20"/>
        <v>0</v>
      </c>
      <c r="V143" s="1316">
        <v>7.2</v>
      </c>
      <c r="W143" s="1995"/>
      <c r="X143" s="1341"/>
    </row>
    <row r="144" spans="1:24" s="665" customFormat="1" ht="15" hidden="1" customHeight="1" outlineLevel="1">
      <c r="A144" s="3186"/>
      <c r="B144" s="3187"/>
      <c r="C144" s="3182" t="s">
        <v>777</v>
      </c>
      <c r="D144" s="3182"/>
      <c r="E144" s="1246"/>
      <c r="F144" s="966">
        <f>IF(SETUP!$F$40="Upfront",$E$143*'TB-EQUIPMENT &amp; OTHER HPs'!AX14,0)</f>
        <v>0</v>
      </c>
      <c r="G144" s="921">
        <f>IF(SETUP!$F$40="Upfront",$E$143*'TB-EQUIPMENT &amp; OTHER HPs'!AY14,0)</f>
        <v>0</v>
      </c>
      <c r="H144" s="920">
        <f>IF(SETUP!$F$40="Upfront",$E$143*'TB-EQUIPMENT &amp; OTHER HPs'!AZ14,0)</f>
        <v>0</v>
      </c>
      <c r="I144" s="920">
        <f>IF(SETUP!$F$40="Upfront",$E$143*'TB-EQUIPMENT &amp; OTHER HPs'!BA14,0)</f>
        <v>0</v>
      </c>
      <c r="J144" s="919">
        <f t="shared" si="17"/>
        <v>0</v>
      </c>
      <c r="K144" s="920">
        <f>IF(SETUP!$F$40="Upfront",$E$143*'TB-EQUIPMENT &amp; OTHER HPs'!BB14,0)</f>
        <v>0</v>
      </c>
      <c r="L144" s="920">
        <f>IF(SETUP!$F$40="Upfront",$E$143*'TB-EQUIPMENT &amp; OTHER HPs'!BC14,0)</f>
        <v>0</v>
      </c>
      <c r="M144" s="920">
        <f>IF(SETUP!$F$40="Upfront",$E$143*'TB-EQUIPMENT &amp; OTHER HPs'!BD14,0)</f>
        <v>0</v>
      </c>
      <c r="N144" s="920">
        <f>IF(SETUP!$F$40="Upfront",$E$143*'TB-EQUIPMENT &amp; OTHER HPs'!BE14,0)</f>
        <v>0</v>
      </c>
      <c r="O144" s="917">
        <f t="shared" si="18"/>
        <v>0</v>
      </c>
      <c r="P144" s="915">
        <f>IF(SETUP!$F$40="Upfront",$E$143*'TB-EQUIPMENT &amp; OTHER HPs'!BF14,0)</f>
        <v>0</v>
      </c>
      <c r="Q144" s="915">
        <f>IF(SETUP!$F$40="Upfront",$E$143*'TB-EQUIPMENT &amp; OTHER HPs'!BG14,0)</f>
        <v>0</v>
      </c>
      <c r="R144" s="915">
        <f>IF(SETUP!$F$40="Upfront",$E$143*'TB-EQUIPMENT &amp; OTHER HPs'!BH14,0)</f>
        <v>0</v>
      </c>
      <c r="S144" s="915">
        <f>IF(SETUP!$F$40="Upfront",$E$143*'TB-EQUIPMENT &amp; OTHER HPs'!BI14,0)</f>
        <v>0</v>
      </c>
      <c r="T144" s="916">
        <f t="shared" si="19"/>
        <v>0</v>
      </c>
      <c r="U144" s="915">
        <f t="shared" si="20"/>
        <v>0</v>
      </c>
      <c r="V144" s="1316">
        <v>7.2</v>
      </c>
      <c r="W144" s="1995"/>
      <c r="X144" s="1341"/>
    </row>
    <row r="145" spans="1:24" s="665" customFormat="1" ht="15" hidden="1" customHeight="1" outlineLevel="1">
      <c r="A145" s="3186"/>
      <c r="B145" s="3187"/>
      <c r="C145" s="3182" t="s">
        <v>36</v>
      </c>
      <c r="D145" s="3182"/>
      <c r="E145" s="1246"/>
      <c r="F145" s="966">
        <v>0</v>
      </c>
      <c r="G145" s="921">
        <f>IF(SETUP!$F$40="At delivery",IF(SETUP!$G$40=1,$E$143*'TB-EQUIPMENT &amp; OTHER HPs'!AX14,0),0)</f>
        <v>0</v>
      </c>
      <c r="H145" s="920">
        <f>IF(SETUP!$F$40="At delivery",IF(SETUP!$G$40=2,$E$143*'TB-EQUIPMENT &amp; OTHER HPs'!AX14,IF(SETUP!$G$40=1,$E$143*'TB-EQUIPMENT &amp; OTHER HPs'!AY14,0)),0)</f>
        <v>0</v>
      </c>
      <c r="I145" s="920">
        <f>IF(SETUP!$F$40="At delivery",IF(SETUP!$G$40=3,$E$143*'TB-EQUIPMENT &amp; OTHER HPs'!AX14,IF(SETUP!$G$40=2,$E$143*'TB-EQUIPMENT &amp; OTHER HPs'!AY14,IF(SETUP!$G$40=1,$E$143*'TB-EQUIPMENT &amp; OTHER HPs'!AZ14,0))),0)</f>
        <v>0</v>
      </c>
      <c r="J145" s="919">
        <f t="shared" si="17"/>
        <v>0</v>
      </c>
      <c r="K145" s="920">
        <f>IF(SETUP!$F$40="At delivery",IF(SETUP!$G$40=4,$E$143*'TB-EQUIPMENT &amp; OTHER HPs'!AX14,IF(SETUP!$G$40=3,$E$143*'TB-EQUIPMENT &amp; OTHER HPs'!AY14,IF(SETUP!$G$40=2,$E$143*'TB-EQUIPMENT &amp; OTHER HPs'!AZ14,IF(SETUP!$G$40=1,$E$143*'TB-EQUIPMENT &amp; OTHER HPs'!BA14,0)))),0)</f>
        <v>0</v>
      </c>
      <c r="L145" s="920">
        <f>IF(SETUP!$F$40="At delivery",IF(SETUP!$G$40=4,$E$143*'TB-EQUIPMENT &amp; OTHER HPs'!AY14,IF(SETUP!$G$40=3,$E$143*'TB-EQUIPMENT &amp; OTHER HPs'!AZ14,IF(SETUP!$G$40=2,$E$143*'TB-EQUIPMENT &amp; OTHER HPs'!BA14,IF(SETUP!$G$40=1,$E$143*'TB-EQUIPMENT &amp; OTHER HPs'!BB14,0)))),0)</f>
        <v>0</v>
      </c>
      <c r="M145" s="920">
        <f>IF(SETUP!$F$40="At delivery",IF(SETUP!$G$40=4,$E$143*'TB-EQUIPMENT &amp; OTHER HPs'!AZ14,IF(SETUP!$G$40=3,$E$143*'TB-EQUIPMENT &amp; OTHER HPs'!BA14,IF(SETUP!$G$40=2,$E$143*'TB-EQUIPMENT &amp; OTHER HPs'!BB14,IF(SETUP!$G$40=1,$E$143*'TB-EQUIPMENT &amp; OTHER HPs'!BC14,0)))),0)</f>
        <v>0</v>
      </c>
      <c r="N145" s="920">
        <f>IF(SETUP!$F$40="At delivery",IF(SETUP!$G$40=4,$E$143*'TB-EQUIPMENT &amp; OTHER HPs'!BA14,IF(SETUP!$G$40=3,$E$143*'TB-EQUIPMENT &amp; OTHER HPs'!BB14,IF(SETUP!$G$40=2,$E$143*'TB-EQUIPMENT &amp; OTHER HPs'!BC14,IF(SETUP!$G$40=1,$E$143*'TB-EQUIPMENT &amp; OTHER HPs'!BD14,0)))),0)</f>
        <v>0</v>
      </c>
      <c r="O145" s="917">
        <f t="shared" si="18"/>
        <v>0</v>
      </c>
      <c r="P145" s="915">
        <f>IF(SETUP!$F$40="At delivery",IF(SETUP!$G$40=4,$E$143*'TB-EQUIPMENT &amp; OTHER HPs'!BB14,IF(SETUP!$G$40=3,$E$143*'TB-EQUIPMENT &amp; OTHER HPs'!BC14,IF(SETUP!$G$40=2,$E$143*'TB-EQUIPMENT &amp; OTHER HPs'!BD14,IF(SETUP!$G$40=1,$E$143*'TB-EQUIPMENT &amp; OTHER HPs'!BE14,0)))),0)</f>
        <v>0</v>
      </c>
      <c r="Q145" s="915">
        <f>IF(SETUP!$F$40="At delivery",IF(SETUP!$G$40=4,$E$143*'TB-EQUIPMENT &amp; OTHER HPs'!BC14,IF(SETUP!$G$40=3,$E$143*'TB-EQUIPMENT &amp; OTHER HPs'!BD14,IF(SETUP!$G$40=2,$E$143*'TB-EQUIPMENT &amp; OTHER HPs'!BE14,IF(SETUP!$G$40=1,$E$143*'TB-EQUIPMENT &amp; OTHER HPs'!BF14,0)))),0)</f>
        <v>0</v>
      </c>
      <c r="R145" s="915">
        <f>IF(SETUP!$F$40="At delivery",IF(SETUP!$G$40=4,$E$143*'TB-EQUIPMENT &amp; OTHER HPs'!BD14,IF(SETUP!$G$40=3,$E$143*'TB-EQUIPMENT &amp; OTHER HPs'!BE14,IF(SETUP!$G$40=2,$E$143*'TB-EQUIPMENT &amp; OTHER HPs'!BF14,IF(SETUP!$G$40=1,$E$143*'TB-EQUIPMENT &amp; OTHER HPs'!BG14,0)))),0)</f>
        <v>0</v>
      </c>
      <c r="S145" s="915">
        <f>IF(SETUP!$F$40="At delivery",IF(SETUP!$G$40=4,$E$143*('TB-EQUIPMENT &amp; OTHER HPs'!BE14+'TB-EQUIPMENT &amp; OTHER HPs'!BF14+'TB-EQUIPMENT &amp; OTHER HPs'!BG14+'TB-EQUIPMENT &amp; OTHER HPs'!BH14+'TB-EQUIPMENT &amp; OTHER HPs'!BI14),IF(SETUP!$G$40=3,$E$143*('TB-EQUIPMENT &amp; OTHER HPs'!BF14+'TB-EQUIPMENT &amp; OTHER HPs'!BG14+'TB-EQUIPMENT &amp; OTHER HPs'!BH14+'TB-EQUIPMENT &amp; OTHER HPs'!BI14),IF(SETUP!$G$40=2,$E$143*('TB-EQUIPMENT &amp; OTHER HPs'!BG14+'TB-EQUIPMENT &amp; OTHER HPs'!BH14+'TB-EQUIPMENT &amp; OTHER HPs'!BI14),IF(SETUP!$G$40=1,$E$143*('TB-EQUIPMENT &amp; OTHER HPs'!BH14+'TB-EQUIPMENT &amp; OTHER HPs'!BI14),0)))),0)</f>
        <v>0</v>
      </c>
      <c r="T145" s="916">
        <f t="shared" si="19"/>
        <v>0</v>
      </c>
      <c r="U145" s="915">
        <f t="shared" si="20"/>
        <v>0</v>
      </c>
      <c r="V145" s="1316">
        <v>7.2</v>
      </c>
      <c r="W145" s="1995"/>
      <c r="X145" s="1341"/>
    </row>
    <row r="146" spans="1:24" s="665" customFormat="1" ht="15" hidden="1" customHeight="1" collapsed="1" thickBot="1">
      <c r="A146" s="3186"/>
      <c r="B146" s="3187"/>
      <c r="C146" s="3188" t="s">
        <v>1348</v>
      </c>
      <c r="D146" s="3188"/>
      <c r="E146" s="1245">
        <v>9.9999999999999998E-17</v>
      </c>
      <c r="F146" s="966">
        <f>IF(SETUP!$F$41="Upfront",F147,F148)</f>
        <v>0</v>
      </c>
      <c r="G146" s="921">
        <f>IF(SETUP!$F$41="Upfront",G147,G148)</f>
        <v>0</v>
      </c>
      <c r="H146" s="920">
        <f>IF(SETUP!$F$41="Upfront",H147,H148)</f>
        <v>0</v>
      </c>
      <c r="I146" s="920">
        <f>IF(SETUP!$F$41="Upfront",I147,I148)</f>
        <v>0</v>
      </c>
      <c r="J146" s="919">
        <f t="shared" si="17"/>
        <v>0</v>
      </c>
      <c r="K146" s="920">
        <f>IF(SETUP!$F$41="Upfront",K147,K148)</f>
        <v>0</v>
      </c>
      <c r="L146" s="920">
        <f>IF(SETUP!$F$41="Upfront",L147,L148)</f>
        <v>0</v>
      </c>
      <c r="M146" s="920">
        <f>IF(SETUP!$F$41="Upfront",M147,M148)</f>
        <v>0</v>
      </c>
      <c r="N146" s="920">
        <f>IF(SETUP!$F$41="Upfront",N147,N148)</f>
        <v>0</v>
      </c>
      <c r="O146" s="917">
        <f t="shared" si="18"/>
        <v>0</v>
      </c>
      <c r="P146" s="915">
        <f>IF(SETUP!$F$41="Upfront",P147,P148)</f>
        <v>0</v>
      </c>
      <c r="Q146" s="915">
        <f>IF(SETUP!$F$41="Upfront",Q147,Q148)</f>
        <v>0</v>
      </c>
      <c r="R146" s="915">
        <f>IF(SETUP!$F$41="Upfront",R147,R148)</f>
        <v>0</v>
      </c>
      <c r="S146" s="915">
        <f>IF(SETUP!$F$41="Upfront",S147,S148)</f>
        <v>0</v>
      </c>
      <c r="T146" s="916">
        <f t="shared" si="19"/>
        <v>0</v>
      </c>
      <c r="U146" s="915">
        <f t="shared" si="20"/>
        <v>0</v>
      </c>
      <c r="V146" s="1316">
        <v>7.2</v>
      </c>
      <c r="W146" s="1995"/>
      <c r="X146" s="1341"/>
    </row>
    <row r="147" spans="1:24" s="665" customFormat="1" ht="15" hidden="1" customHeight="1" outlineLevel="1">
      <c r="A147" s="3186"/>
      <c r="B147" s="3187"/>
      <c r="C147" s="3182" t="s">
        <v>777</v>
      </c>
      <c r="D147" s="3182"/>
      <c r="E147" s="1246"/>
      <c r="F147" s="966">
        <f>IF(SETUP!$F$41="Upfront",$E$146*'TB-EQUIPMENT &amp; OTHER HPs'!AX15,0)</f>
        <v>0</v>
      </c>
      <c r="G147" s="921">
        <f>IF(SETUP!$F$41="Upfront",$E$146*'TB-EQUIPMENT &amp; OTHER HPs'!AY15,0)</f>
        <v>0</v>
      </c>
      <c r="H147" s="920">
        <f>IF(SETUP!$F$41="Upfront",$E$146*'TB-EQUIPMENT &amp; OTHER HPs'!AZ15,0)</f>
        <v>0</v>
      </c>
      <c r="I147" s="920">
        <f>IF(SETUP!$F$41="Upfront",$E$146*'TB-EQUIPMENT &amp; OTHER HPs'!BA15,0)</f>
        <v>0</v>
      </c>
      <c r="J147" s="919">
        <f t="shared" si="17"/>
        <v>0</v>
      </c>
      <c r="K147" s="920">
        <f>IF(SETUP!$F$41="Upfront",$E$146*'TB-EQUIPMENT &amp; OTHER HPs'!BB15,0)</f>
        <v>0</v>
      </c>
      <c r="L147" s="920">
        <f>IF(SETUP!$F$41="Upfront",$E$146*'TB-EQUIPMENT &amp; OTHER HPs'!BC15,0)</f>
        <v>0</v>
      </c>
      <c r="M147" s="920">
        <f>IF(SETUP!$F$41="Upfront",$E$146*'TB-EQUIPMENT &amp; OTHER HPs'!BD15,0)</f>
        <v>0</v>
      </c>
      <c r="N147" s="920">
        <f>IF(SETUP!$F$41="Upfront",$E$146*'TB-EQUIPMENT &amp; OTHER HPs'!BE15,0)</f>
        <v>0</v>
      </c>
      <c r="O147" s="917">
        <f t="shared" si="18"/>
        <v>0</v>
      </c>
      <c r="P147" s="915">
        <f>IF(SETUP!$F$41="Upfront",$E$146*'TB-EQUIPMENT &amp; OTHER HPs'!BF15,0)</f>
        <v>0</v>
      </c>
      <c r="Q147" s="915">
        <f>IF(SETUP!$F$41="Upfront",$E$146*'TB-EQUIPMENT &amp; OTHER HPs'!BG15,0)</f>
        <v>0</v>
      </c>
      <c r="R147" s="915">
        <f>IF(SETUP!$F$41="Upfront",$E$146*'TB-EQUIPMENT &amp; OTHER HPs'!BH15,0)</f>
        <v>0</v>
      </c>
      <c r="S147" s="915">
        <f>IF(SETUP!$F$41="Upfront",$E$146*'TB-EQUIPMENT &amp; OTHER HPs'!BI15,0)</f>
        <v>0</v>
      </c>
      <c r="T147" s="916">
        <f t="shared" si="19"/>
        <v>0</v>
      </c>
      <c r="U147" s="915">
        <f t="shared" si="20"/>
        <v>0</v>
      </c>
      <c r="V147" s="1316">
        <v>7.2</v>
      </c>
      <c r="W147" s="1995"/>
      <c r="X147" s="1341"/>
    </row>
    <row r="148" spans="1:24" s="665" customFormat="1" ht="15" hidden="1" customHeight="1" outlineLevel="1">
      <c r="A148" s="3186"/>
      <c r="B148" s="3187"/>
      <c r="C148" s="3182" t="s">
        <v>36</v>
      </c>
      <c r="D148" s="3182"/>
      <c r="E148" s="1246"/>
      <c r="F148" s="966">
        <v>0</v>
      </c>
      <c r="G148" s="921">
        <f>IF(SETUP!$F$41="At delivery",IF(SETUP!$G$41=1,$E$146*'TB-EQUIPMENT &amp; OTHER HPs'!AX15,0),0)</f>
        <v>0</v>
      </c>
      <c r="H148" s="920">
        <f>IF(SETUP!$F$41="At delivery",IF(SETUP!$G$41=2,$E$146*'TB-EQUIPMENT &amp; OTHER HPs'!AX15,IF(SETUP!$G$41=1,$E$146*'TB-EQUIPMENT &amp; OTHER HPs'!AY15,0)),0)</f>
        <v>0</v>
      </c>
      <c r="I148" s="920">
        <f>IF(SETUP!$F$41="At delivery",IF(SETUP!$G$41=3,$E$146*'TB-EQUIPMENT &amp; OTHER HPs'!AX15,IF(SETUP!$G$41=2,$E$146*'TB-EQUIPMENT &amp; OTHER HPs'!AY15,IF(SETUP!$G$41=1,$E$146*'TB-EQUIPMENT &amp; OTHER HPs'!AZ15,0))),0)</f>
        <v>0</v>
      </c>
      <c r="J148" s="919">
        <f t="shared" si="17"/>
        <v>0</v>
      </c>
      <c r="K148" s="920">
        <f>IF(SETUP!$F$41="At delivery",IF(SETUP!$G$41=4,$E$146*'TB-EQUIPMENT &amp; OTHER HPs'!AX15,IF(SETUP!$G$41=3,$E$146*'TB-EQUIPMENT &amp; OTHER HPs'!AY15,IF(SETUP!$G$41=2,$E$146*'TB-EQUIPMENT &amp; OTHER HPs'!AZ15,IF(SETUP!$G$41=1,$E$146*'TB-EQUIPMENT &amp; OTHER HPs'!BA15,0)))),0)</f>
        <v>0</v>
      </c>
      <c r="L148" s="920">
        <f>IF(SETUP!$F$41="At delivery",IF(SETUP!$G$41=4,$E$146*'TB-EQUIPMENT &amp; OTHER HPs'!AY15,IF(SETUP!$G$41=3,$E$146*'TB-EQUIPMENT &amp; OTHER HPs'!AZ15,IF(SETUP!$G$41=2,$E$146*'TB-EQUIPMENT &amp; OTHER HPs'!BA15,IF(SETUP!$G$41=1,$E$146*'TB-EQUIPMENT &amp; OTHER HPs'!BB15,0)))),0)</f>
        <v>0</v>
      </c>
      <c r="M148" s="920">
        <f>IF(SETUP!$F$41="At delivery",IF(SETUP!$G$41=4,$E$146*'TB-EQUIPMENT &amp; OTHER HPs'!AZ15,IF(SETUP!$G$41=3,$E$146*'TB-EQUIPMENT &amp; OTHER HPs'!BA15,IF(SETUP!$G$41=2,$E$146*'TB-EQUIPMENT &amp; OTHER HPs'!BB15,IF(SETUP!$G$41=1,$E$146*'TB-EQUIPMENT &amp; OTHER HPs'!BC15,0)))),0)</f>
        <v>0</v>
      </c>
      <c r="N148" s="920">
        <f>IF(SETUP!$F$41="At delivery",IF(SETUP!$G$41=4,$E$146*'TB-EQUIPMENT &amp; OTHER HPs'!BA15,IF(SETUP!$G$41=3,$E$146*'TB-EQUIPMENT &amp; OTHER HPs'!BB15,IF(SETUP!$G$41=2,$E$146*'TB-EQUIPMENT &amp; OTHER HPs'!BC15,IF(SETUP!$G$41=1,$E$146*'TB-EQUIPMENT &amp; OTHER HPs'!BD15,0)))),0)</f>
        <v>0</v>
      </c>
      <c r="O148" s="917">
        <f t="shared" si="18"/>
        <v>0</v>
      </c>
      <c r="P148" s="915">
        <f>IF(SETUP!$F$41="At delivery",IF(SETUP!$G$41=4,$E$146*'TB-EQUIPMENT &amp; OTHER HPs'!BB15,IF(SETUP!$G$41=3,$E$146*'TB-EQUIPMENT &amp; OTHER HPs'!BC15,IF(SETUP!$G$41=2,$E$146*'TB-EQUIPMENT &amp; OTHER HPs'!BD15,IF(SETUP!$G$41=1,$E$146*'TB-EQUIPMENT &amp; OTHER HPs'!BE15,0)))),0)</f>
        <v>0</v>
      </c>
      <c r="Q148" s="915">
        <f>IF(SETUP!$F$41="At delivery",IF(SETUP!$G$41=4,$E$146*'TB-EQUIPMENT &amp; OTHER HPs'!BC15,IF(SETUP!$G$41=3,$E$146*'TB-EQUIPMENT &amp; OTHER HPs'!BD15,IF(SETUP!$G$41=2,$E$146*'TB-EQUIPMENT &amp; OTHER HPs'!BE15,IF(SETUP!$G$41=1,$E$146*'TB-EQUIPMENT &amp; OTHER HPs'!BF15,0)))),0)</f>
        <v>0</v>
      </c>
      <c r="R148" s="915">
        <f>IF(SETUP!$F$41="At delivery",IF(SETUP!$G$41=4,$E$146*'TB-EQUIPMENT &amp; OTHER HPs'!BD15,IF(SETUP!$G$41=3,$E$146*'TB-EQUIPMENT &amp; OTHER HPs'!BE15,IF(SETUP!$G$41=2,$E$146*'TB-EQUIPMENT &amp; OTHER HPs'!BF15,IF(SETUP!$G$41=1,$E$146*'TB-EQUIPMENT &amp; OTHER HPs'!BG15,0)))),0)</f>
        <v>0</v>
      </c>
      <c r="S148" s="915">
        <f>IF(SETUP!$F$41="At delivery",IF(SETUP!$G$41=4,$E$146*('TB-EQUIPMENT &amp; OTHER HPs'!BE15+'TB-EQUIPMENT &amp; OTHER HPs'!BF15+'TB-EQUIPMENT &amp; OTHER HPs'!BG15+'TB-EQUIPMENT &amp; OTHER HPs'!BH15+'TB-EQUIPMENT &amp; OTHER HPs'!BI15),IF(SETUP!$G$41=3,$E$146*('TB-EQUIPMENT &amp; OTHER HPs'!BF15+'TB-EQUIPMENT &amp; OTHER HPs'!BG15+'TB-EQUIPMENT &amp; OTHER HPs'!BH15+'TB-EQUIPMENT &amp; OTHER HPs'!BI15),IF(SETUP!$G$41=2,$E$146*('TB-EQUIPMENT &amp; OTHER HPs'!BG15+'TB-EQUIPMENT &amp; OTHER HPs'!BH15+'TB-EQUIPMENT &amp; OTHER HPs'!BI15),IF(SETUP!$G$41=1,$E$146*('TB-EQUIPMENT &amp; OTHER HPs'!BH15+'TB-EQUIPMENT &amp; OTHER HPs'!BI15),0)))),0)</f>
        <v>0</v>
      </c>
      <c r="T148" s="916">
        <f t="shared" si="19"/>
        <v>0</v>
      </c>
      <c r="U148" s="915">
        <f t="shared" si="20"/>
        <v>0</v>
      </c>
      <c r="V148" s="1316">
        <v>7.2</v>
      </c>
      <c r="W148" s="1995"/>
      <c r="X148" s="1341"/>
    </row>
    <row r="149" spans="1:24" s="665" customFormat="1" ht="15" hidden="1" customHeight="1" collapsed="1" thickBot="1">
      <c r="A149" s="3186"/>
      <c r="B149" s="3187"/>
      <c r="C149" s="3188" t="s">
        <v>1354</v>
      </c>
      <c r="D149" s="3188"/>
      <c r="E149" s="1245">
        <v>9.9999999999999998E-17</v>
      </c>
      <c r="F149" s="966">
        <f>IF(SETUP!$F$43="Upfront",F150,F151)</f>
        <v>0</v>
      </c>
      <c r="G149" s="921">
        <f>IF(SETUP!$F$43="Upfront",G150,G151)</f>
        <v>0</v>
      </c>
      <c r="H149" s="920">
        <f>IF(SETUP!$F$43="Upfront",H150,H151)</f>
        <v>0</v>
      </c>
      <c r="I149" s="920">
        <f>IF(SETUP!$F$43="Upfront",I150,I151)</f>
        <v>0</v>
      </c>
      <c r="J149" s="919">
        <f t="shared" si="17"/>
        <v>0</v>
      </c>
      <c r="K149" s="920">
        <f>IF(SETUP!$F$43="Upfront",K150,K151)</f>
        <v>0</v>
      </c>
      <c r="L149" s="920">
        <f>IF(SETUP!$F$43="Upfront",L150,L151)</f>
        <v>0</v>
      </c>
      <c r="M149" s="920">
        <f>IF(SETUP!$F$43="Upfront",M150,M151)</f>
        <v>0</v>
      </c>
      <c r="N149" s="920">
        <f>IF(SETUP!$F$43="Upfront",N150,N151)</f>
        <v>0</v>
      </c>
      <c r="O149" s="917">
        <f t="shared" si="18"/>
        <v>0</v>
      </c>
      <c r="P149" s="915">
        <f>IF(SETUP!$F$43="Upfront",P150,P151)</f>
        <v>0</v>
      </c>
      <c r="Q149" s="915">
        <f>IF(SETUP!$F$43="Upfront",Q150,Q151)</f>
        <v>0</v>
      </c>
      <c r="R149" s="915">
        <f>IF(SETUP!$F$43="Upfront",R150,R151)</f>
        <v>0</v>
      </c>
      <c r="S149" s="915">
        <f>IF(SETUP!$F$43="Upfront",S150,S151)</f>
        <v>0</v>
      </c>
      <c r="T149" s="916">
        <f t="shared" si="19"/>
        <v>0</v>
      </c>
      <c r="U149" s="915">
        <f t="shared" si="20"/>
        <v>0</v>
      </c>
      <c r="V149" s="1316">
        <v>7.2</v>
      </c>
      <c r="W149" s="1995"/>
      <c r="X149" s="1341"/>
    </row>
    <row r="150" spans="1:24" s="665" customFormat="1" ht="15" hidden="1" customHeight="1" outlineLevel="1">
      <c r="A150" s="3186"/>
      <c r="B150" s="3187"/>
      <c r="C150" s="3182" t="s">
        <v>777</v>
      </c>
      <c r="D150" s="3182"/>
      <c r="E150" s="1246"/>
      <c r="F150" s="966">
        <f>IF(SETUP!$F$43="Upfront",$E$149*'TB-EQUIPMENT &amp; OTHER HPs'!AX16,0)</f>
        <v>0</v>
      </c>
      <c r="G150" s="921">
        <f>IF(SETUP!$F$43="Upfront",$E$149*'TB-EQUIPMENT &amp; OTHER HPs'!AY16,0)</f>
        <v>0</v>
      </c>
      <c r="H150" s="920">
        <f>IF(SETUP!$F$43="Upfront",$E$149*'TB-EQUIPMENT &amp; OTHER HPs'!AZ16,0)</f>
        <v>0</v>
      </c>
      <c r="I150" s="920">
        <f>IF(SETUP!$F$43="Upfront",$E$149*'TB-EQUIPMENT &amp; OTHER HPs'!BA16,0)</f>
        <v>0</v>
      </c>
      <c r="J150" s="919">
        <f t="shared" si="17"/>
        <v>0</v>
      </c>
      <c r="K150" s="920">
        <f>IF(SETUP!$F$43="Upfront",$E$149*'TB-EQUIPMENT &amp; OTHER HPs'!BB16,0)</f>
        <v>0</v>
      </c>
      <c r="L150" s="920">
        <f>IF(SETUP!$F$43="Upfront",$E$149*'TB-EQUIPMENT &amp; OTHER HPs'!BC16,0)</f>
        <v>0</v>
      </c>
      <c r="M150" s="920">
        <f>IF(SETUP!$F$43="Upfront",$E$149*'TB-EQUIPMENT &amp; OTHER HPs'!BD16,0)</f>
        <v>0</v>
      </c>
      <c r="N150" s="920">
        <f>IF(SETUP!$F$43="Upfront",$E$149*'TB-EQUIPMENT &amp; OTHER HPs'!BE16,0)</f>
        <v>0</v>
      </c>
      <c r="O150" s="917">
        <f t="shared" si="18"/>
        <v>0</v>
      </c>
      <c r="P150" s="915">
        <f>IF(SETUP!$F$43="Upfront",$E$149*'TB-EQUIPMENT &amp; OTHER HPs'!BF16,0)</f>
        <v>0</v>
      </c>
      <c r="Q150" s="915">
        <f>IF(SETUP!$F$43="Upfront",$E$149*'TB-EQUIPMENT &amp; OTHER HPs'!BG16,0)</f>
        <v>0</v>
      </c>
      <c r="R150" s="915">
        <f>IF(SETUP!$F$43="Upfront",$E$149*'TB-EQUIPMENT &amp; OTHER HPs'!BH16,0)</f>
        <v>0</v>
      </c>
      <c r="S150" s="915">
        <f>IF(SETUP!$F$43="Upfront",$E$149*'TB-EQUIPMENT &amp; OTHER HPs'!BI16,0)</f>
        <v>0</v>
      </c>
      <c r="T150" s="916">
        <f t="shared" si="19"/>
        <v>0</v>
      </c>
      <c r="U150" s="915">
        <f t="shared" si="20"/>
        <v>0</v>
      </c>
      <c r="V150" s="1316">
        <v>7.2</v>
      </c>
      <c r="W150" s="1995"/>
      <c r="X150" s="1341"/>
    </row>
    <row r="151" spans="1:24" s="665" customFormat="1" ht="15" hidden="1" customHeight="1" outlineLevel="1">
      <c r="A151" s="3186"/>
      <c r="B151" s="3187"/>
      <c r="C151" s="3182" t="s">
        <v>36</v>
      </c>
      <c r="D151" s="3182"/>
      <c r="E151" s="1246"/>
      <c r="F151" s="966">
        <v>0</v>
      </c>
      <c r="G151" s="921">
        <f>IF(SETUP!$F$43="At delivery",IF(SETUP!$G$43=1,$E$149*'TB-EQUIPMENT &amp; OTHER HPs'!AX16,0),0)</f>
        <v>0</v>
      </c>
      <c r="H151" s="920">
        <f>IF(SETUP!$F$43="At delivery",IF(SETUP!$G$43=2,$E$149*'TB-EQUIPMENT &amp; OTHER HPs'!AX16,IF(SETUP!$G$43=1,$E$149*'TB-EQUIPMENT &amp; OTHER HPs'!AY16,0)),0)</f>
        <v>0</v>
      </c>
      <c r="I151" s="920">
        <f>IF(SETUP!$F$43="At delivery",IF(SETUP!$G$43=3,$E$149*'TB-EQUIPMENT &amp; OTHER HPs'!AX16,IF(SETUP!$G$43=2,$E$149*'TB-EQUIPMENT &amp; OTHER HPs'!AY16,IF(SETUP!$G$43=1,$E$149*'TB-EQUIPMENT &amp; OTHER HPs'!AZ16,0))),0)</f>
        <v>0</v>
      </c>
      <c r="J151" s="919">
        <f t="shared" si="17"/>
        <v>0</v>
      </c>
      <c r="K151" s="920">
        <f>IF(SETUP!$F$43="At delivery",IF(SETUP!$G$43=4,$E$149*'TB-EQUIPMENT &amp; OTHER HPs'!AX16,IF(SETUP!$G$43=3,$E$149*'TB-EQUIPMENT &amp; OTHER HPs'!AY16,IF(SETUP!$G$43=2,$E$149*'TB-EQUIPMENT &amp; OTHER HPs'!AZ16,IF(SETUP!$G$43=1,$E$149*'TB-EQUIPMENT &amp; OTHER HPs'!BA16,0)))),0)</f>
        <v>0</v>
      </c>
      <c r="L151" s="920">
        <f>IF(SETUP!$F$43="At delivery",IF(SETUP!$G$43=4,$E$149*'TB-EQUIPMENT &amp; OTHER HPs'!AY16,IF(SETUP!$G$43=3,$E$149*'TB-EQUIPMENT &amp; OTHER HPs'!AZ16,IF(SETUP!$G$43=2,$E$149*'TB-EQUIPMENT &amp; OTHER HPs'!BA16,IF(SETUP!$G$43=1,$E$149*'TB-EQUIPMENT &amp; OTHER HPs'!BB16,0)))),0)</f>
        <v>0</v>
      </c>
      <c r="M151" s="920">
        <f>IF(SETUP!$F$43="At delivery",IF(SETUP!$G$43=4,$E$149*'TB-EQUIPMENT &amp; OTHER HPs'!AZ16,IF(SETUP!$G$43=3,$E$149*'TB-EQUIPMENT &amp; OTHER HPs'!BA16,IF(SETUP!$G$43=2,$E$149*'TB-EQUIPMENT &amp; OTHER HPs'!BB16,IF(SETUP!$G$43=1,$E$149*'TB-EQUIPMENT &amp; OTHER HPs'!BC16,0)))),0)</f>
        <v>0</v>
      </c>
      <c r="N151" s="920">
        <f>IF(SETUP!$F$43="At delivery",IF(SETUP!$G$43=4,$E$149*'TB-EQUIPMENT &amp; OTHER HPs'!BA16,IF(SETUP!$G$43=3,$E$149*'TB-EQUIPMENT &amp; OTHER HPs'!BB16,IF(SETUP!$G$43=2,$E$149*'TB-EQUIPMENT &amp; OTHER HPs'!BC16,IF(SETUP!$G$43=1,$E$149*'TB-EQUIPMENT &amp; OTHER HPs'!BD16,0)))),0)</f>
        <v>0</v>
      </c>
      <c r="O151" s="917">
        <f t="shared" si="18"/>
        <v>0</v>
      </c>
      <c r="P151" s="915">
        <f>IF(SETUP!$F$43="At delivery",IF(SETUP!$G$43=4,$E$149*'TB-EQUIPMENT &amp; OTHER HPs'!BB16,IF(SETUP!$G$43=3,$E$149*'TB-EQUIPMENT &amp; OTHER HPs'!BC16,IF(SETUP!$G$43=2,$E$149*'TB-EQUIPMENT &amp; OTHER HPs'!BD16,IF(SETUP!$G$43=1,$E$149*'TB-EQUIPMENT &amp; OTHER HPs'!BE16,0)))),0)</f>
        <v>0</v>
      </c>
      <c r="Q151" s="915">
        <f>IF(SETUP!$F$43="At delivery",IF(SETUP!$G$43=4,$E$149*'TB-EQUIPMENT &amp; OTHER HPs'!BC16,IF(SETUP!$G$43=3,$E$149*'TB-EQUIPMENT &amp; OTHER HPs'!BD16,IF(SETUP!$G$43=2,$E$149*'TB-EQUIPMENT &amp; OTHER HPs'!BE16,IF(SETUP!$G$43=1,$E$149*'TB-EQUIPMENT &amp; OTHER HPs'!BF16,0)))),0)</f>
        <v>0</v>
      </c>
      <c r="R151" s="915">
        <f>IF(SETUP!$F$43="At delivery",IF(SETUP!$G$43=4,$E$149*'TB-EQUIPMENT &amp; OTHER HPs'!BD16,IF(SETUP!$G$43=3,$E$149*'TB-EQUIPMENT &amp; OTHER HPs'!BE16,IF(SETUP!$G$43=2,$E$149*'TB-EQUIPMENT &amp; OTHER HPs'!BF16,IF(SETUP!$G$43=1,$E$149*'TB-EQUIPMENT &amp; OTHER HPs'!BG16,0)))),0)</f>
        <v>0</v>
      </c>
      <c r="S151" s="915">
        <f>IF(SETUP!$F$43="At delivery",IF(SETUP!$G$43=4,$E$149*('TB-EQUIPMENT &amp; OTHER HPs'!BE16+'TB-EQUIPMENT &amp; OTHER HPs'!BF16+'TB-EQUIPMENT &amp; OTHER HPs'!BG16+'TB-EQUIPMENT &amp; OTHER HPs'!BH16+'TB-EQUIPMENT &amp; OTHER HPs'!BI16),IF(SETUP!$G$43=3,$E$149*('TB-EQUIPMENT &amp; OTHER HPs'!BF16+'TB-EQUIPMENT &amp; OTHER HPs'!BG16+'TB-EQUIPMENT &amp; OTHER HPs'!BH16+'TB-EQUIPMENT &amp; OTHER HPs'!BI16),IF(SETUP!$G$43=2,$E$149*('TB-EQUIPMENT &amp; OTHER HPs'!BG16+'TB-EQUIPMENT &amp; OTHER HPs'!BH16+'TB-EQUIPMENT &amp; OTHER HPs'!BI16),IF(SETUP!$G$43=1,$E$149*('TB-EQUIPMENT &amp; OTHER HPs'!BH16+'TB-EQUIPMENT &amp; OTHER HPs'!BI16),0)))),0)</f>
        <v>0</v>
      </c>
      <c r="T151" s="916">
        <f t="shared" si="19"/>
        <v>0</v>
      </c>
      <c r="U151" s="915">
        <f t="shared" si="20"/>
        <v>0</v>
      </c>
      <c r="V151" s="1316">
        <v>7.2</v>
      </c>
      <c r="W151" s="1995"/>
      <c r="X151" s="1341"/>
    </row>
    <row r="152" spans="1:24" s="665" customFormat="1" ht="15" hidden="1" customHeight="1" collapsed="1" thickBot="1">
      <c r="A152" s="3186"/>
      <c r="B152" s="3187"/>
      <c r="C152" s="3188" t="s">
        <v>449</v>
      </c>
      <c r="D152" s="3188"/>
      <c r="E152" s="1245">
        <v>9.9999999999999998E-17</v>
      </c>
      <c r="F152" s="966">
        <f>IF(SETUP!$F$44="Upfront",F153,F154)</f>
        <v>0</v>
      </c>
      <c r="G152" s="921">
        <f>IF(SETUP!$F$44="Upfront",G153,G154)</f>
        <v>0</v>
      </c>
      <c r="H152" s="920">
        <f>IF(SETUP!$F$44="Upfront",H153,H154)</f>
        <v>0</v>
      </c>
      <c r="I152" s="920">
        <f>IF(SETUP!$F$44="Upfront",I153,I154)</f>
        <v>0</v>
      </c>
      <c r="J152" s="919">
        <f t="shared" si="17"/>
        <v>0</v>
      </c>
      <c r="K152" s="920">
        <f>IF(SETUP!$F$44="Upfront",K153,K154)</f>
        <v>0</v>
      </c>
      <c r="L152" s="920">
        <f>IF(SETUP!$F$44="Upfront",L153,L154)</f>
        <v>0</v>
      </c>
      <c r="M152" s="920">
        <f>IF(SETUP!$F$44="Upfront",M153,M154)</f>
        <v>0</v>
      </c>
      <c r="N152" s="920">
        <f>IF(SETUP!$F$44="Upfront",N153,N154)</f>
        <v>0</v>
      </c>
      <c r="O152" s="917">
        <f t="shared" si="18"/>
        <v>0</v>
      </c>
      <c r="P152" s="915">
        <f>IF(SETUP!$F$44="Upfront",P153,P154)</f>
        <v>0</v>
      </c>
      <c r="Q152" s="915">
        <f>IF(SETUP!$F$44="Upfront",Q153,Q154)</f>
        <v>0</v>
      </c>
      <c r="R152" s="915">
        <f>IF(SETUP!$F$44="Upfront",R153,R154)</f>
        <v>0</v>
      </c>
      <c r="S152" s="915">
        <f>IF(SETUP!$F$44="Upfront",S153,S154)</f>
        <v>0</v>
      </c>
      <c r="T152" s="916">
        <f t="shared" si="19"/>
        <v>0</v>
      </c>
      <c r="U152" s="915">
        <f t="shared" si="20"/>
        <v>0</v>
      </c>
      <c r="V152" s="1316">
        <v>7.2</v>
      </c>
      <c r="W152" s="1995"/>
      <c r="X152" s="1341"/>
    </row>
    <row r="153" spans="1:24" s="665" customFormat="1" ht="15" hidden="1" customHeight="1" outlineLevel="1">
      <c r="A153" s="3186"/>
      <c r="B153" s="3187"/>
      <c r="C153" s="3182" t="s">
        <v>777</v>
      </c>
      <c r="D153" s="3182"/>
      <c r="E153" s="1246"/>
      <c r="F153" s="966">
        <f>IF(SETUP!$F$44="Upfront",$E$152*'TB-EQUIPMENT &amp; OTHER HPs'!AX17,0)</f>
        <v>0</v>
      </c>
      <c r="G153" s="921">
        <f>IF(SETUP!$F$44="Upfront",$E$152*'TB-EQUIPMENT &amp; OTHER HPs'!AY17,0)</f>
        <v>0</v>
      </c>
      <c r="H153" s="920">
        <f>IF(SETUP!$F$44="Upfront",$E$152*'TB-EQUIPMENT &amp; OTHER HPs'!AZ17,0)</f>
        <v>0</v>
      </c>
      <c r="I153" s="920">
        <f>IF(SETUP!$F$44="Upfront",$E$152*'TB-EQUIPMENT &amp; OTHER HPs'!BA17,0)</f>
        <v>0</v>
      </c>
      <c r="J153" s="919">
        <f t="shared" si="17"/>
        <v>0</v>
      </c>
      <c r="K153" s="920">
        <f>IF(SETUP!$F$44="Upfront",$E$152*'TB-EQUIPMENT &amp; OTHER HPs'!BB17,0)</f>
        <v>0</v>
      </c>
      <c r="L153" s="920">
        <f>IF(SETUP!$F$44="Upfront",$E$152*'TB-EQUIPMENT &amp; OTHER HPs'!BC17,0)</f>
        <v>0</v>
      </c>
      <c r="M153" s="920">
        <f>IF(SETUP!$F$44="Upfront",$E$152*'TB-EQUIPMENT &amp; OTHER HPs'!BD17,0)</f>
        <v>0</v>
      </c>
      <c r="N153" s="920">
        <f>IF(SETUP!$F$44="Upfront",$E$152*'TB-EQUIPMENT &amp; OTHER HPs'!BE17,0)</f>
        <v>0</v>
      </c>
      <c r="O153" s="917">
        <f t="shared" si="18"/>
        <v>0</v>
      </c>
      <c r="P153" s="915">
        <f>IF(SETUP!$F$44="Upfront",$E$152*'TB-EQUIPMENT &amp; OTHER HPs'!BF17,0)</f>
        <v>0</v>
      </c>
      <c r="Q153" s="915">
        <f>IF(SETUP!$F$44="Upfront",$E$152*'TB-EQUIPMENT &amp; OTHER HPs'!BG17,0)</f>
        <v>0</v>
      </c>
      <c r="R153" s="915">
        <f>IF(SETUP!$F$44="Upfront",$E$152*'TB-EQUIPMENT &amp; OTHER HPs'!BH17,0)</f>
        <v>0</v>
      </c>
      <c r="S153" s="915">
        <f>IF(SETUP!$F$44="Upfront",$E$152*'TB-EQUIPMENT &amp; OTHER HPs'!BI17,0)</f>
        <v>0</v>
      </c>
      <c r="T153" s="916">
        <f t="shared" si="19"/>
        <v>0</v>
      </c>
      <c r="U153" s="915">
        <f t="shared" si="20"/>
        <v>0</v>
      </c>
      <c r="V153" s="1316">
        <v>7.2</v>
      </c>
      <c r="W153" s="1995"/>
      <c r="X153" s="1341"/>
    </row>
    <row r="154" spans="1:24" s="665" customFormat="1" ht="15" hidden="1" customHeight="1" outlineLevel="1" thickBot="1">
      <c r="A154" s="3186"/>
      <c r="B154" s="3187"/>
      <c r="C154" s="3182" t="s">
        <v>36</v>
      </c>
      <c r="D154" s="3182"/>
      <c r="E154" s="1246"/>
      <c r="F154" s="966">
        <v>0</v>
      </c>
      <c r="G154" s="921">
        <f>IF(SETUP!$F$44="At delivery",IF(SETUP!$G$44=1,$E$152*'TB-EQUIPMENT &amp; OTHER HPs'!AX17,0),0)</f>
        <v>0</v>
      </c>
      <c r="H154" s="920">
        <f>IF(SETUP!$F$44="At delivery",IF(SETUP!$G$44=2,$E$152*'TB-EQUIPMENT &amp; OTHER HPs'!AX17,IF(SETUP!$G$44=1,$E$152*'TB-EQUIPMENT &amp; OTHER HPs'!AY17,0)),0)</f>
        <v>0</v>
      </c>
      <c r="I154" s="920">
        <f>IF(SETUP!$F$44="At delivery",IF(SETUP!$G$44=3,$E$152*'TB-EQUIPMENT &amp; OTHER HPs'!AX17,IF(SETUP!$G$44=2,$E$152*'TB-EQUIPMENT &amp; OTHER HPs'!AY17,IF(SETUP!$G$44=1,$E$152*'TB-EQUIPMENT &amp; OTHER HPs'!AZ17,0))),0)</f>
        <v>0</v>
      </c>
      <c r="J154" s="919">
        <f t="shared" si="17"/>
        <v>0</v>
      </c>
      <c r="K154" s="920">
        <f>IF(SETUP!$F$44="At delivery",IF(SETUP!$G$44=4,$E$152*'TB-EQUIPMENT &amp; OTHER HPs'!AX17,IF(SETUP!$G$44=3,$E$152*'TB-EQUIPMENT &amp; OTHER HPs'!AY17,IF(SETUP!$G$44=2,$E$152*'TB-EQUIPMENT &amp; OTHER HPs'!AZ17,IF(SETUP!$G$44=1,$E$152*'TB-EQUIPMENT &amp; OTHER HPs'!BA17,0)))),0)</f>
        <v>0</v>
      </c>
      <c r="L154" s="920">
        <f>IF(SETUP!$F$44="At delivery",IF(SETUP!$G$44=4,$E$152*'TB-EQUIPMENT &amp; OTHER HPs'!AY17,IF(SETUP!$G$44=3,$E$152*'TB-EQUIPMENT &amp; OTHER HPs'!AZ17,IF(SETUP!$G$44=2,$E$152*'TB-EQUIPMENT &amp; OTHER HPs'!BA17,IF(SETUP!$G$44=1,$E$152*'TB-EQUIPMENT &amp; OTHER HPs'!BB17,0)))),0)</f>
        <v>0</v>
      </c>
      <c r="M154" s="920">
        <f>IF(SETUP!$F$44="At delivery",IF(SETUP!$G$44=4,$E$152*'TB-EQUIPMENT &amp; OTHER HPs'!AZ17,IF(SETUP!$G$44=3,$E$152*'TB-EQUIPMENT &amp; OTHER HPs'!BA17,IF(SETUP!$G$44=2,$E$152*'TB-EQUIPMENT &amp; OTHER HPs'!BB17,IF(SETUP!$G$44=1,$E$152*'TB-EQUIPMENT &amp; OTHER HPs'!BC17,0)))),0)</f>
        <v>0</v>
      </c>
      <c r="N154" s="920">
        <f>IF(SETUP!$F$44="At delivery",IF(SETUP!$G$44=4,$E$152*'TB-EQUIPMENT &amp; OTHER HPs'!BA17,IF(SETUP!$G$44=3,$E$152*'TB-EQUIPMENT &amp; OTHER HPs'!BB17,IF(SETUP!$G$44=2,$E$152*'TB-EQUIPMENT &amp; OTHER HPs'!BC17,IF(SETUP!$G$44=1,$E$152*'TB-EQUIPMENT &amp; OTHER HPs'!BD17,0)))),0)</f>
        <v>0</v>
      </c>
      <c r="O154" s="917">
        <f t="shared" si="18"/>
        <v>0</v>
      </c>
      <c r="P154" s="915">
        <f>IF(SETUP!$F$44="At delivery",IF(SETUP!$G$44=4,$E$152*'TB-EQUIPMENT &amp; OTHER HPs'!BB17,IF(SETUP!$G$44=3,$E$152*'TB-EQUIPMENT &amp; OTHER HPs'!BC17,IF(SETUP!$G$44=2,$E$152*'TB-EQUIPMENT &amp; OTHER HPs'!BD17,IF(SETUP!$G$44=1,$E$152*'TB-EQUIPMENT &amp; OTHER HPs'!BE17,0)))),0)</f>
        <v>0</v>
      </c>
      <c r="Q154" s="915">
        <f>IF(SETUP!$F$44="At delivery",IF(SETUP!$G$44=4,$E$152*'TB-EQUIPMENT &amp; OTHER HPs'!BC17,IF(SETUP!$G$44=3,$E$152*'TB-EQUIPMENT &amp; OTHER HPs'!BD17,IF(SETUP!$G$44=2,$E$152*'TB-EQUIPMENT &amp; OTHER HPs'!BE17,IF(SETUP!$G$44=1,$E$152*'TB-EQUIPMENT &amp; OTHER HPs'!BF17,0)))),0)</f>
        <v>0</v>
      </c>
      <c r="R154" s="915">
        <f>IF(SETUP!$F$44="At delivery",IF(SETUP!$G$44=4,$E$152*'TB-EQUIPMENT &amp; OTHER HPs'!BD17,IF(SETUP!$G$44=3,$E$152*'TB-EQUIPMENT &amp; OTHER HPs'!BE17,IF(SETUP!$G$44=2,$E$152*'TB-EQUIPMENT &amp; OTHER HPs'!BF17,IF(SETUP!$G$44=1,$E$152*'TB-EQUIPMENT &amp; OTHER HPs'!BG17,0)))),0)</f>
        <v>0</v>
      </c>
      <c r="S154" s="915">
        <f>IF(SETUP!$F$44="At delivery",IF(SETUP!$G$44=4,$E$152*('TB-EQUIPMENT &amp; OTHER HPs'!BE17+'TB-EQUIPMENT &amp; OTHER HPs'!BF17+'TB-EQUIPMENT &amp; OTHER HPs'!BG17+'TB-EQUIPMENT &amp; OTHER HPs'!BH17+'TB-EQUIPMENT &amp; OTHER HPs'!BI17),IF(SETUP!$G$44=3,$E$152*('TB-EQUIPMENT &amp; OTHER HPs'!BF17+'TB-EQUIPMENT &amp; OTHER HPs'!BG17+'TB-EQUIPMENT &amp; OTHER HPs'!BH17+'TB-EQUIPMENT &amp; OTHER HPs'!BI17),IF(SETUP!$G$44=2,$E$152*('TB-EQUIPMENT &amp; OTHER HPs'!BG17+'TB-EQUIPMENT &amp; OTHER HPs'!BH17+'TB-EQUIPMENT &amp; OTHER HPs'!BI17),IF(SETUP!$G$44=1,$E$152*('TB-EQUIPMENT &amp; OTHER HPs'!BH17+'TB-EQUIPMENT &amp; OTHER HPs'!BI17),0)))),0)</f>
        <v>0</v>
      </c>
      <c r="T154" s="916">
        <f t="shared" si="19"/>
        <v>0</v>
      </c>
      <c r="U154" s="915">
        <f t="shared" si="20"/>
        <v>0</v>
      </c>
      <c r="V154" s="1316">
        <v>7.2</v>
      </c>
      <c r="W154" s="1995"/>
      <c r="X154" s="1341"/>
    </row>
    <row r="155" spans="1:24" s="665" customFormat="1" ht="15" hidden="1" customHeight="1" collapsed="1" thickBot="1">
      <c r="A155" s="3189" t="s">
        <v>450</v>
      </c>
      <c r="B155" s="3190"/>
      <c r="C155" s="3183" t="s">
        <v>451</v>
      </c>
      <c r="D155" s="3183"/>
      <c r="E155" s="1245">
        <v>9.9999999999999998E-17</v>
      </c>
      <c r="F155" s="966">
        <f>IF(SETUP!$F$50="Upfront",F156,F157)</f>
        <v>0</v>
      </c>
      <c r="G155" s="915">
        <f>IF(SETUP!$F$50="Upfront",G156,G157)</f>
        <v>0</v>
      </c>
      <c r="H155" s="915">
        <f>IF(SETUP!$F$50="Upfront",H156,H157)</f>
        <v>0</v>
      </c>
      <c r="I155" s="915">
        <f>IF(SETUP!$F$50="Upfront",I156,I157)</f>
        <v>0</v>
      </c>
      <c r="J155" s="919">
        <f t="shared" si="17"/>
        <v>0</v>
      </c>
      <c r="K155" s="920">
        <f>IF(SETUP!$F$50="Upfront",K156,K157)</f>
        <v>0</v>
      </c>
      <c r="L155" s="920">
        <f>IF(SETUP!$F$50="Upfront",L156,L157)</f>
        <v>0</v>
      </c>
      <c r="M155" s="920">
        <f>IF(SETUP!$F$50="Upfront",M156,M157)</f>
        <v>0</v>
      </c>
      <c r="N155" s="920">
        <f>IF(SETUP!$F$50="Upfront",N156,N157)</f>
        <v>0</v>
      </c>
      <c r="O155" s="917">
        <f t="shared" si="18"/>
        <v>0</v>
      </c>
      <c r="P155" s="915">
        <f>IF(SETUP!$F$50="Upfront",P156,P157)</f>
        <v>0</v>
      </c>
      <c r="Q155" s="915">
        <f>IF(SETUP!$F$50="Upfront",Q156,Q157)</f>
        <v>0</v>
      </c>
      <c r="R155" s="915">
        <f>IF(SETUP!$F$50="Upfront",R156,R157)</f>
        <v>0</v>
      </c>
      <c r="S155" s="915">
        <f>IF(SETUP!$F$50="Upfront",S156,S157)</f>
        <v>0</v>
      </c>
      <c r="T155" s="916">
        <f t="shared" si="19"/>
        <v>0</v>
      </c>
      <c r="U155" s="915">
        <f t="shared" si="20"/>
        <v>0</v>
      </c>
      <c r="V155" s="1316">
        <v>7.2</v>
      </c>
      <c r="W155" s="1995"/>
      <c r="X155" s="1341" t="s">
        <v>452</v>
      </c>
    </row>
    <row r="156" spans="1:24" s="665" customFormat="1" ht="15" hidden="1" customHeight="1" outlineLevel="1">
      <c r="A156" s="3189"/>
      <c r="B156" s="3190"/>
      <c r="C156" s="3182" t="s">
        <v>777</v>
      </c>
      <c r="D156" s="3182"/>
      <c r="E156" s="1246"/>
      <c r="F156" s="966">
        <f>IF(SETUP!$F$50="Upfront",$E$155*'Malaria-Pharmaceuticals'!AX14,0)</f>
        <v>0</v>
      </c>
      <c r="G156" s="915">
        <f>IF(SETUP!$F$50="Upfront",$E$155*'Malaria-Pharmaceuticals'!AY14,0)</f>
        <v>0</v>
      </c>
      <c r="H156" s="915">
        <f>IF(SETUP!$F$50="Upfront",$E$155*'Malaria-Pharmaceuticals'!AZ14,0)</f>
        <v>0</v>
      </c>
      <c r="I156" s="915">
        <f>IF(SETUP!$F$50="Upfront",$E$155*'Malaria-Pharmaceuticals'!BA14,0)</f>
        <v>0</v>
      </c>
      <c r="J156" s="916">
        <f t="shared" si="17"/>
        <v>0</v>
      </c>
      <c r="K156" s="915">
        <f>IF(SETUP!$F$50="Upfront",$E$155*'Malaria-Pharmaceuticals'!BB14,0)</f>
        <v>0</v>
      </c>
      <c r="L156" s="915">
        <f>IF(SETUP!$F$50="Upfront",$E$155*'Malaria-Pharmaceuticals'!BC14,0)</f>
        <v>0</v>
      </c>
      <c r="M156" s="915">
        <f>IF(SETUP!$F$50="Upfront",$E$155*'Malaria-Pharmaceuticals'!BD14,0)</f>
        <v>0</v>
      </c>
      <c r="N156" s="915">
        <f>IF(SETUP!$F$50="Upfront",$E$155*'Malaria-Pharmaceuticals'!BE14,0)</f>
        <v>0</v>
      </c>
      <c r="O156" s="917">
        <f t="shared" si="18"/>
        <v>0</v>
      </c>
      <c r="P156" s="918">
        <f>IF(SETUP!$F$50="Upfront",$E$155*'Malaria-Pharmaceuticals'!BF14,0)</f>
        <v>0</v>
      </c>
      <c r="Q156" s="918">
        <f>IF(SETUP!$F$50="Upfront",$E$155*'Malaria-Pharmaceuticals'!BG14,0)</f>
        <v>0</v>
      </c>
      <c r="R156" s="918">
        <f>IF(SETUP!$F$50="Upfront",$E$155*'Malaria-Pharmaceuticals'!BH14,0)</f>
        <v>0</v>
      </c>
      <c r="S156" s="918">
        <f>IF(SETUP!$F$50="Upfront",$E$155*'Malaria-Pharmaceuticals'!BI14,0)</f>
        <v>0</v>
      </c>
      <c r="T156" s="916">
        <f t="shared" si="19"/>
        <v>0</v>
      </c>
      <c r="U156" s="915">
        <f t="shared" si="20"/>
        <v>0</v>
      </c>
      <c r="V156" s="1316">
        <v>7.2</v>
      </c>
      <c r="W156" s="1995"/>
      <c r="X156" s="1341"/>
    </row>
    <row r="157" spans="1:24" s="665" customFormat="1" ht="15" hidden="1" customHeight="1" outlineLevel="1" thickBot="1">
      <c r="A157" s="3189"/>
      <c r="B157" s="3190"/>
      <c r="C157" s="3182" t="s">
        <v>36</v>
      </c>
      <c r="D157" s="3182"/>
      <c r="E157" s="1246"/>
      <c r="F157" s="966">
        <v>0</v>
      </c>
      <c r="G157" s="918">
        <f>IF(SETUP!$F$50="At delivery",IF(SETUP!$G$50=1,$E$155*'Malaria-Pharmaceuticals'!AX14,0),0)</f>
        <v>0</v>
      </c>
      <c r="H157" s="918">
        <f>IF(SETUP!$F$50="At delivery",IF(SETUP!$G$50=2,$E$155*'Malaria-Pharmaceuticals'!AX14,IF(SETUP!$G$50=1,$E$155*'Malaria-Pharmaceuticals'!AY14,0)),0)</f>
        <v>0</v>
      </c>
      <c r="I157" s="918">
        <f>IF(SETUP!$F$50="At delivery",IF(SETUP!$G$50=3,$E$155*'Malaria-Pharmaceuticals'!AX14,IF(SETUP!$G$50=2,$E$155*'Malaria-Pharmaceuticals'!AY14,IF(SETUP!$G$50=1,$E$155*'Malaria-Pharmaceuticals'!AZ14,0))),0)</f>
        <v>0</v>
      </c>
      <c r="J157" s="919">
        <f t="shared" ref="J157:J179" si="21">F157+G157+H157+I157</f>
        <v>0</v>
      </c>
      <c r="K157" s="920">
        <f>IF(SETUP!$F$50="At delivery",IF(SETUP!$G$50=4,$E$155*'Malaria-Pharmaceuticals'!AX14,IF(SETUP!$G$50=3,$E$155*'Malaria-Pharmaceuticals'!AY14,IF(SETUP!$G$50=2,$E$155*'Malaria-Pharmaceuticals'!AZ14,IF(SETUP!$G$50=1,$E$155*'Malaria-Pharmaceuticals'!BA14,0)))),0)</f>
        <v>0</v>
      </c>
      <c r="L157" s="920">
        <f>IF(SETUP!$F$50="At delivery",IF(SETUP!$G$50=4,$E$155*'Malaria-Pharmaceuticals'!AY14,IF(SETUP!$G$50=3,$E$155*'Malaria-Pharmaceuticals'!AZ14,IF(SETUP!$G$50=2,$E$155*'Malaria-Pharmaceuticals'!BA14,IF(SETUP!$G$50=1,$E$155*'Malaria-Pharmaceuticals'!BB14,0)))),0)</f>
        <v>0</v>
      </c>
      <c r="M157" s="920">
        <f>IF(SETUP!$F$50="At delivery",IF(SETUP!$G$50=4,$E$155*'Malaria-Pharmaceuticals'!AZ14,IF(SETUP!$G$50=3,$E$155*'Malaria-Pharmaceuticals'!BA14,IF(SETUP!$G$50=2,$E$155*'Malaria-Pharmaceuticals'!BB14,IF(SETUP!$G$50=1,$E$155*'Malaria-Pharmaceuticals'!BC14,0)))),0)</f>
        <v>0</v>
      </c>
      <c r="N157" s="920">
        <f>IF(SETUP!$F$50="At delivery",IF(SETUP!$G$50=4,$E$155*'Malaria-Pharmaceuticals'!BA14,IF(SETUP!$G$50=3,$E$155*'Malaria-Pharmaceuticals'!BB14,IF(SETUP!$G$50=2,$E$155*'Malaria-Pharmaceuticals'!BC14,IF(SETUP!$G$50=1,$E$155*'Malaria-Pharmaceuticals'!BD14,0)))),0)</f>
        <v>0</v>
      </c>
      <c r="O157" s="917">
        <f t="shared" ref="O157:O179" si="22">K157+L157+M157+N157</f>
        <v>0</v>
      </c>
      <c r="P157" s="915">
        <f>IF(SETUP!$F$50="At delivery",IF(SETUP!$G$50=4,$E$155*'Malaria-Pharmaceuticals'!BB14,IF(SETUP!$G$50=3,$E$155*'Malaria-Pharmaceuticals'!BC14,IF(SETUP!$G$50=2,$E$155*'Malaria-Pharmaceuticals'!BD14,IF(SETUP!$G$50=1,$E$155*'Malaria-Pharmaceuticals'!BE14,0)))),0)</f>
        <v>0</v>
      </c>
      <c r="Q157" s="915">
        <f>IF(SETUP!$F$50="At delivery",IF(SETUP!$G$50=4,$E$155*'Malaria-Pharmaceuticals'!BC14,IF(SETUP!$G$50=3,$E$155*'Malaria-Pharmaceuticals'!BD14,IF(SETUP!$G$50=2,$E$155*'Malaria-Pharmaceuticals'!BE14,IF(SETUP!$G$50=1,$E$155*'Malaria-Pharmaceuticals'!BF14,0)))),0)</f>
        <v>0</v>
      </c>
      <c r="R157" s="915">
        <f>IF(SETUP!$F$50="At delivery",IF(SETUP!$G$50=4,$E$155*'Malaria-Pharmaceuticals'!BD14,IF(SETUP!$G$50=3,$E$155*'Malaria-Pharmaceuticals'!BE14,IF(SETUP!$G$50=2,$E$155*'Malaria-Pharmaceuticals'!BF14,IF(SETUP!$G$50=1,$E$155*'Malaria-Pharmaceuticals'!BG14,0)))),0)</f>
        <v>0</v>
      </c>
      <c r="S157" s="915">
        <f>IF(SETUP!$F$50="At delivery",IF(SETUP!$G$50=4,$E$155*('Malaria-Pharmaceuticals'!BE14+'Malaria-Pharmaceuticals'!BF14+'Malaria-Pharmaceuticals'!BG14+'Malaria-Pharmaceuticals'!BH14+'Malaria-Pharmaceuticals'!BI14),IF(SETUP!$G$50=3,$E$155*('Malaria-Pharmaceuticals'!BF14+'Malaria-Pharmaceuticals'!BG14+'Malaria-Pharmaceuticals'!BH14+'Malaria-Pharmaceuticals'!BI14),IF(SETUP!$G$50=2,$E$155*('Malaria-Pharmaceuticals'!BG14+'Malaria-Pharmaceuticals'!BH14+'Malaria-Pharmaceuticals'!BI14),IF(SETUP!$G$50=1,$E$155*('Malaria-Pharmaceuticals'!BH14+'Malaria-Pharmaceuticals'!BI14),0)))),0)</f>
        <v>0</v>
      </c>
      <c r="T157" s="916">
        <f t="shared" ref="T157:T179" si="23">P157+Q157+R157+S157</f>
        <v>0</v>
      </c>
      <c r="U157" s="915">
        <f t="shared" ref="U157:U179" si="24">J157+O157+T157</f>
        <v>0</v>
      </c>
      <c r="V157" s="1316">
        <v>7.2</v>
      </c>
      <c r="W157" s="1995"/>
      <c r="X157" s="1341"/>
    </row>
    <row r="158" spans="1:24" s="665" customFormat="1" ht="15" hidden="1" customHeight="1" collapsed="1" thickBot="1">
      <c r="A158" s="3189"/>
      <c r="B158" s="3190"/>
      <c r="C158" s="3183" t="s">
        <v>1029</v>
      </c>
      <c r="D158" s="3183"/>
      <c r="E158" s="1245">
        <v>9.9999999999999998E-17</v>
      </c>
      <c r="F158" s="966">
        <f>IF(SETUP!$F$51="Upfront",F159,F160)</f>
        <v>0</v>
      </c>
      <c r="G158" s="915">
        <f>IF(SETUP!$F$51="Upfront",G159,G160)</f>
        <v>0</v>
      </c>
      <c r="H158" s="915">
        <f>IF(SETUP!$F$51="Upfront",H159,H160)</f>
        <v>0</v>
      </c>
      <c r="I158" s="915">
        <f>IF(SETUP!$F$51="Upfront",I159,I160)</f>
        <v>0</v>
      </c>
      <c r="J158" s="919">
        <f t="shared" si="21"/>
        <v>0</v>
      </c>
      <c r="K158" s="920">
        <f>IF(SETUP!$F$51="Upfront",K159,K160)</f>
        <v>0</v>
      </c>
      <c r="L158" s="920">
        <f>IF(SETUP!$F$51="Upfront",L159,L160)</f>
        <v>0</v>
      </c>
      <c r="M158" s="920">
        <f>IF(SETUP!$F$51="Upfront",M159,M160)</f>
        <v>0</v>
      </c>
      <c r="N158" s="920">
        <f>IF(SETUP!$F$51="Upfront",N159,N160)</f>
        <v>0</v>
      </c>
      <c r="O158" s="917">
        <f t="shared" si="22"/>
        <v>0</v>
      </c>
      <c r="P158" s="915">
        <f>IF(SETUP!$F$51="Upfront",P159,P160)</f>
        <v>0</v>
      </c>
      <c r="Q158" s="915">
        <f>IF(SETUP!$F$51="Upfront",Q159,Q160)</f>
        <v>0</v>
      </c>
      <c r="R158" s="915">
        <f>IF(SETUP!$F$51="Upfront",R159,R160)</f>
        <v>0</v>
      </c>
      <c r="S158" s="915">
        <f>IF(SETUP!$F$51="Upfront",S159,S160)</f>
        <v>0</v>
      </c>
      <c r="T158" s="916">
        <f t="shared" si="23"/>
        <v>0</v>
      </c>
      <c r="U158" s="915">
        <f t="shared" si="24"/>
        <v>0</v>
      </c>
      <c r="V158" s="1316">
        <v>7.2</v>
      </c>
      <c r="W158" s="1995"/>
      <c r="X158" s="1341"/>
    </row>
    <row r="159" spans="1:24" s="665" customFormat="1" ht="15" hidden="1" customHeight="1" outlineLevel="1">
      <c r="A159" s="3189"/>
      <c r="B159" s="3190"/>
      <c r="C159" s="3182" t="s">
        <v>777</v>
      </c>
      <c r="D159" s="3182"/>
      <c r="E159" s="1246"/>
      <c r="F159" s="967">
        <f>IF(SETUP!$F$51="Upfront",$E$158*'Malaria-Pharmaceuticals'!AX15,0)</f>
        <v>0</v>
      </c>
      <c r="G159" s="931">
        <f>IF(SETUP!$F$51="Upfront",$E$158*'Malaria-Pharmaceuticals'!AY15,0)</f>
        <v>0</v>
      </c>
      <c r="H159" s="931">
        <f>IF(SETUP!$F$51="Upfront",$E$158*'Malaria-Pharmaceuticals'!AZ15,0)</f>
        <v>0</v>
      </c>
      <c r="I159" s="931">
        <f>IF(SETUP!$F$51="Upfront",$E$158*'Malaria-Pharmaceuticals'!BA15,0)</f>
        <v>0</v>
      </c>
      <c r="J159" s="919">
        <f t="shared" si="21"/>
        <v>0</v>
      </c>
      <c r="K159" s="931">
        <f>IF(SETUP!$F$51="Upfront",$E$158*'Malaria-Pharmaceuticals'!BB15,0)</f>
        <v>0</v>
      </c>
      <c r="L159" s="931">
        <f>IF(SETUP!$F$51="Upfront",$E$158*'Malaria-Pharmaceuticals'!BC15,0)</f>
        <v>0</v>
      </c>
      <c r="M159" s="931">
        <f>IF(SETUP!$F$51="Upfront",$E$158*'Malaria-Pharmaceuticals'!BD15,0)</f>
        <v>0</v>
      </c>
      <c r="N159" s="931">
        <f>IF(SETUP!$F$51="Upfront",$E$158*'Malaria-Pharmaceuticals'!BE15,0)</f>
        <v>0</v>
      </c>
      <c r="O159" s="917">
        <f t="shared" si="22"/>
        <v>0</v>
      </c>
      <c r="P159" s="931">
        <f>IF(SETUP!$F$51="Upfront",$E$158*'Malaria-Pharmaceuticals'!BF15,0)</f>
        <v>0</v>
      </c>
      <c r="Q159" s="931">
        <f>IF(SETUP!$F$51="Upfront",$E$158*'Malaria-Pharmaceuticals'!BG15,0)</f>
        <v>0</v>
      </c>
      <c r="R159" s="931">
        <f>IF(SETUP!$F$51="Upfront",$E$158*'Malaria-Pharmaceuticals'!BH15,0)</f>
        <v>0</v>
      </c>
      <c r="S159" s="931">
        <f>IF(SETUP!$F$51="Upfront",$E$158*'Malaria-Pharmaceuticals'!BI15,0)</f>
        <v>0</v>
      </c>
      <c r="T159" s="916">
        <f t="shared" si="23"/>
        <v>0</v>
      </c>
      <c r="U159" s="915">
        <f t="shared" si="24"/>
        <v>0</v>
      </c>
      <c r="V159" s="1316">
        <v>7.2</v>
      </c>
      <c r="W159" s="1995"/>
      <c r="X159" s="1341"/>
    </row>
    <row r="160" spans="1:24" s="665" customFormat="1" ht="15" hidden="1" customHeight="1" outlineLevel="1">
      <c r="A160" s="3189"/>
      <c r="B160" s="3190"/>
      <c r="C160" s="3182" t="s">
        <v>36</v>
      </c>
      <c r="D160" s="3182"/>
      <c r="E160" s="1246"/>
      <c r="F160" s="967">
        <v>0</v>
      </c>
      <c r="G160" s="932">
        <f>IF(SETUP!$F$51="At delivery",IF(SETUP!$G$51=1,$E$158*'Malaria-Pharmaceuticals'!AX15,0),0)</f>
        <v>0</v>
      </c>
      <c r="H160" s="932">
        <f>IF(SETUP!$F$51="At delivery",IF(SETUP!$G$51=2,$E$158*'Malaria-Pharmaceuticals'!AX15,IF(SETUP!$G$51=1,$E$158*'Malaria-Pharmaceuticals'!AY15,0)),0)</f>
        <v>0</v>
      </c>
      <c r="I160" s="932">
        <f>IF(SETUP!$F$51="At delivery",IF(SETUP!$G$51=3,$E$158*'Malaria-Pharmaceuticals'!AX15,IF(SETUP!$G$51=2,$E$158*'Malaria-Pharmaceuticals'!AY15,IF(SETUP!$G$51=1,$E$158*'Malaria-Pharmaceuticals'!AZ15,0))),0)</f>
        <v>0</v>
      </c>
      <c r="J160" s="919">
        <f t="shared" si="21"/>
        <v>0</v>
      </c>
      <c r="K160" s="932">
        <f>IF(SETUP!$F$51="At delivery",IF(SETUP!$G$51=4,$E$158*'Malaria-Pharmaceuticals'!AX15,IF(SETUP!$G$51=3,$E$158*'Malaria-Pharmaceuticals'!AY15,IF(SETUP!$G$51=2,$E$158*'Malaria-Pharmaceuticals'!AZ15,IF(SETUP!$G$51=1,$E$158*'Malaria-Pharmaceuticals'!BA15,0)))),0)</f>
        <v>0</v>
      </c>
      <c r="L160" s="932">
        <f>IF(SETUP!$F$51="At delivery",IF(SETUP!$G$51=4,$E$158*'Malaria-Pharmaceuticals'!AY15,IF(SETUP!$G$51=3,$E$158*'Malaria-Pharmaceuticals'!AZ15,IF(SETUP!$G$51=2,$E$158*'Malaria-Pharmaceuticals'!BA15,IF(SETUP!$G$51=1,$E$158*'Malaria-Pharmaceuticals'!BB15,0)))),0)</f>
        <v>0</v>
      </c>
      <c r="M160" s="932">
        <f>IF(SETUP!$F$51="At delivery",IF(SETUP!$G$51=4,$E$158*'Malaria-Pharmaceuticals'!AZ15,IF(SETUP!$G$51=3,$E$158*'Malaria-Pharmaceuticals'!BA15,IF(SETUP!$G$51=2,$E$158*'Malaria-Pharmaceuticals'!BB15,IF(SETUP!$G$51=1,$E$158*'Malaria-Pharmaceuticals'!BC15,0)))),0)</f>
        <v>0</v>
      </c>
      <c r="N160" s="932">
        <f>IF(SETUP!$F$51="At delivery",IF(SETUP!$G$51=4,$E$158*'Malaria-Pharmaceuticals'!BA15,IF(SETUP!$G$51=3,$E$158*'Malaria-Pharmaceuticals'!BB15,IF(SETUP!$G$51=2,$E$158*'Malaria-Pharmaceuticals'!BC15,IF(SETUP!$G$51=1,$E$158*'Malaria-Pharmaceuticals'!BD15,0)))),0)</f>
        <v>0</v>
      </c>
      <c r="O160" s="917">
        <f t="shared" si="22"/>
        <v>0</v>
      </c>
      <c r="P160" s="931">
        <f>IF(SETUP!$F$51="At delivery",IF(SETUP!$G$51=4,$E$158*'Malaria-Pharmaceuticals'!BB15,IF(SETUP!$G$51=3,$E$158*'Malaria-Pharmaceuticals'!BC15,IF(SETUP!$G$51=2,$E$158*'Malaria-Pharmaceuticals'!BD15,IF(SETUP!$G$51=1,$E$158*'Malaria-Pharmaceuticals'!BE15,0)))),0)</f>
        <v>0</v>
      </c>
      <c r="Q160" s="931">
        <f>IF(SETUP!$F$51="At delivery",IF(SETUP!$G$51=4,$E$158*'Malaria-Pharmaceuticals'!BC15,IF(SETUP!$G$51=3,$E$158*'Malaria-Pharmaceuticals'!BD15,IF(SETUP!$G$51=2,$E$158*'Malaria-Pharmaceuticals'!BE15,IF(SETUP!$G$51=1,$E$158*'Malaria-Pharmaceuticals'!BF15,0)))),0)</f>
        <v>0</v>
      </c>
      <c r="R160" s="931">
        <f>IF(SETUP!$F$51="At delivery",IF(SETUP!$G$51=4,$E$158*'Malaria-Pharmaceuticals'!BD15,IF(SETUP!$G$51=3,$E$158*'Malaria-Pharmaceuticals'!BE15,IF(SETUP!$G$51=2,$E$158*'Malaria-Pharmaceuticals'!BF15,IF(SETUP!$G$51=1,$E$158*'Malaria-Pharmaceuticals'!BG15,0)))),0)</f>
        <v>0</v>
      </c>
      <c r="S160" s="931">
        <f>IF(SETUP!$F$51="At delivery",IF(SETUP!$G$51=4,$E$158*('Malaria-Pharmaceuticals'!BE15+'Malaria-Pharmaceuticals'!BF15+'Malaria-Pharmaceuticals'!BG15+'Malaria-Pharmaceuticals'!BH15+'Malaria-Pharmaceuticals'!BI15),IF(SETUP!$G$51=3,$E$158*('Malaria-Pharmaceuticals'!BF15+'Malaria-Pharmaceuticals'!BG15+'Malaria-Pharmaceuticals'!BH15+'Malaria-Pharmaceuticals'!BI15),IF(SETUP!$G$51=2,$E$158*('Malaria-Pharmaceuticals'!BG15+'Malaria-Pharmaceuticals'!BH15+'Malaria-Pharmaceuticals'!BI15),IF(SETUP!$G$51=1,$E$158*('Malaria-Pharmaceuticals'!BH15+'Malaria-Pharmaceuticals'!BI15),0)))),0)</f>
        <v>0</v>
      </c>
      <c r="T160" s="916">
        <f t="shared" si="23"/>
        <v>0</v>
      </c>
      <c r="U160" s="915">
        <f t="shared" si="24"/>
        <v>0</v>
      </c>
      <c r="V160" s="1316">
        <v>7.2</v>
      </c>
      <c r="W160" s="1995"/>
      <c r="X160" s="1341"/>
    </row>
    <row r="161" spans="1:24" s="665" customFormat="1" ht="15" hidden="1" customHeight="1" collapsed="1" thickBot="1">
      <c r="A161" s="3195" t="s">
        <v>454</v>
      </c>
      <c r="B161" s="3196"/>
      <c r="C161" s="3188" t="s">
        <v>292</v>
      </c>
      <c r="D161" s="3188"/>
      <c r="E161" s="1245">
        <v>9.9999999999999998E-17</v>
      </c>
      <c r="F161" s="966">
        <f>IF(SETUP!$F$52="Upfront",F162,F163)</f>
        <v>0</v>
      </c>
      <c r="G161" s="915">
        <f>IF(SETUP!$F$52="Upfront",G162,G163)</f>
        <v>0</v>
      </c>
      <c r="H161" s="915">
        <f>IF(SETUP!$F$52="Upfront",H162,H163)</f>
        <v>0</v>
      </c>
      <c r="I161" s="915">
        <f>IF(SETUP!$F$52="Upfront",I162,I163)</f>
        <v>0</v>
      </c>
      <c r="J161" s="919">
        <f t="shared" si="21"/>
        <v>0</v>
      </c>
      <c r="K161" s="915">
        <f>IF(SETUP!$F$52="Upfront",K162,K163)</f>
        <v>0</v>
      </c>
      <c r="L161" s="915">
        <f>IF(SETUP!$F$52="Upfront",L162,L163)</f>
        <v>0</v>
      </c>
      <c r="M161" s="915">
        <f>IF(SETUP!$F$52="Upfront",M162,M163)</f>
        <v>0</v>
      </c>
      <c r="N161" s="915">
        <f>IF(SETUP!$F$52="Upfront",N162,N163)</f>
        <v>0</v>
      </c>
      <c r="O161" s="917">
        <f t="shared" si="22"/>
        <v>0</v>
      </c>
      <c r="P161" s="915">
        <f>IF(SETUP!$F$52="Upfront",P162,P163)</f>
        <v>0</v>
      </c>
      <c r="Q161" s="915">
        <f>IF(SETUP!$F$52="Upfront",Q162,Q163)</f>
        <v>0</v>
      </c>
      <c r="R161" s="915">
        <f>IF(SETUP!$F$52="Upfront",R162,R163)</f>
        <v>0</v>
      </c>
      <c r="S161" s="915">
        <f>IF(SETUP!$F$52="Upfront",S162,S163)</f>
        <v>0</v>
      </c>
      <c r="T161" s="916">
        <f t="shared" si="23"/>
        <v>0</v>
      </c>
      <c r="U161" s="915">
        <f t="shared" si="24"/>
        <v>0</v>
      </c>
      <c r="V161" s="1316">
        <v>7.2</v>
      </c>
      <c r="W161" s="1995"/>
      <c r="X161" s="1341"/>
    </row>
    <row r="162" spans="1:24" s="665" customFormat="1" ht="15" hidden="1" customHeight="1" outlineLevel="1">
      <c r="A162" s="3197"/>
      <c r="B162" s="3198"/>
      <c r="C162" s="3182" t="s">
        <v>777</v>
      </c>
      <c r="D162" s="3182"/>
      <c r="E162" s="1246"/>
      <c r="F162" s="966">
        <f>IF(SETUP!$F$52="Upfront",$E$161*'Malaria-Equipment &amp; Other HPs'!AX14,0)</f>
        <v>0</v>
      </c>
      <c r="G162" s="915">
        <f>IF(SETUP!$F$52="Upfront",$E$161*'Malaria-Equipment &amp; Other HPs'!AY14,0)</f>
        <v>0</v>
      </c>
      <c r="H162" s="915">
        <f>IF(SETUP!$F$52="Upfront",$E$161*'Malaria-Equipment &amp; Other HPs'!AZ14,0)</f>
        <v>0</v>
      </c>
      <c r="I162" s="915">
        <f>IF(SETUP!$F$52="Upfront",$E$161*'Malaria-Equipment &amp; Other HPs'!BA14,0)</f>
        <v>0</v>
      </c>
      <c r="J162" s="919">
        <f t="shared" si="21"/>
        <v>0</v>
      </c>
      <c r="K162" s="915">
        <f>IF(SETUP!$F$52="Upfront",$E$161*'Malaria-Equipment &amp; Other HPs'!BB14,0)</f>
        <v>0</v>
      </c>
      <c r="L162" s="915">
        <f>IF(SETUP!$F$52="Upfront",$E$161*'Malaria-Equipment &amp; Other HPs'!BC14,0)</f>
        <v>0</v>
      </c>
      <c r="M162" s="915">
        <f>IF(SETUP!$F$52="Upfront",$E$161*'Malaria-Equipment &amp; Other HPs'!BD14,0)</f>
        <v>0</v>
      </c>
      <c r="N162" s="915">
        <f>IF(SETUP!$F$52="Upfront",$E$161*'Malaria-Equipment &amp; Other HPs'!BE14,0)</f>
        <v>0</v>
      </c>
      <c r="O162" s="917">
        <f t="shared" si="22"/>
        <v>0</v>
      </c>
      <c r="P162" s="915">
        <f>IF(SETUP!$F$52="Upfront",$E$161*'Malaria-Equipment &amp; Other HPs'!BF14,0)</f>
        <v>0</v>
      </c>
      <c r="Q162" s="915">
        <f>IF(SETUP!$F$52="Upfront",$E$161*'Malaria-Equipment &amp; Other HPs'!BG14,0)</f>
        <v>0</v>
      </c>
      <c r="R162" s="915">
        <f>IF(SETUP!$F$52="Upfront",$E$161*'Malaria-Equipment &amp; Other HPs'!BH14,0)</f>
        <v>0</v>
      </c>
      <c r="S162" s="915">
        <f>IF(SETUP!$F$52="Upfront",$E$161*'Malaria-Equipment &amp; Other HPs'!BI14,0)</f>
        <v>0</v>
      </c>
      <c r="T162" s="916">
        <f t="shared" si="23"/>
        <v>0</v>
      </c>
      <c r="U162" s="915">
        <f t="shared" si="24"/>
        <v>0</v>
      </c>
      <c r="V162" s="1316">
        <v>7.2</v>
      </c>
      <c r="W162" s="1995"/>
      <c r="X162" s="1341"/>
    </row>
    <row r="163" spans="1:24" s="665" customFormat="1" ht="15" hidden="1" customHeight="1" outlineLevel="1">
      <c r="A163" s="3197"/>
      <c r="B163" s="3198"/>
      <c r="C163" s="3182" t="s">
        <v>36</v>
      </c>
      <c r="D163" s="3182"/>
      <c r="E163" s="1246"/>
      <c r="F163" s="966">
        <v>0</v>
      </c>
      <c r="G163" s="921">
        <f>IF(SETUP!$F$52="At delivery",IF(SETUP!$G$52=1,$E$161*'Malaria-Equipment &amp; Other HPs'!AX14,0),0)</f>
        <v>0</v>
      </c>
      <c r="H163" s="920">
        <f>IF(SETUP!$F$52="At delivery",IF(SETUP!$G$52=2,$E$161*'Malaria-Equipment &amp; Other HPs'!AX14,IF(SETUP!$G$52=1,$E$161*'Malaria-Equipment &amp; Other HPs'!AY14,0)),0)</f>
        <v>0</v>
      </c>
      <c r="I163" s="920">
        <f>IF(SETUP!$F$52="At delivery",IF(SETUP!$G$52=3,$E$161*'Malaria-Equipment &amp; Other HPs'!AX14,IF(SETUP!$G$52=2,$E$161*'Malaria-Equipment &amp; Other HPs'!AY14,IF(SETUP!$G$52=1,$E$161*'Malaria-Equipment &amp; Other HPs'!AZ14,0))),0)</f>
        <v>0</v>
      </c>
      <c r="J163" s="919">
        <f t="shared" si="21"/>
        <v>0</v>
      </c>
      <c r="K163" s="920">
        <f>IF(SETUP!$F$52="At delivery",IF(SETUP!$G$52=4,$E$161*'Malaria-Equipment &amp; Other HPs'!AX14,IF(SETUP!$G$52=3,$E$161*'Malaria-Equipment &amp; Other HPs'!AY14,IF(SETUP!$G$52=2,$E$161*'Malaria-Equipment &amp; Other HPs'!AZ14,IF(SETUP!$G$52=1,$E$161*'Malaria-Equipment &amp; Other HPs'!BA14,0)))),0)</f>
        <v>0</v>
      </c>
      <c r="L163" s="920">
        <f>IF(SETUP!$F$52="At delivery",IF(SETUP!$G$52=4,$E$161*'Malaria-Equipment &amp; Other HPs'!AY14,IF(SETUP!$G$52=3,$E$161*'Malaria-Equipment &amp; Other HPs'!AZ14,IF(SETUP!$G$52=2,$E$161*'Malaria-Equipment &amp; Other HPs'!BA14,IF(SETUP!$G$52=1,$E$161*'Malaria-Equipment &amp; Other HPs'!BB14,0)))),0)</f>
        <v>0</v>
      </c>
      <c r="M163" s="920">
        <f>IF(SETUP!$F$52="At delivery",IF(SETUP!$G$52=4,$E$161*'Malaria-Equipment &amp; Other HPs'!AZ14,IF(SETUP!$G$52=3,$E$161*'Malaria-Equipment &amp; Other HPs'!BA14,IF(SETUP!$G$52=2,$E$161*'Malaria-Equipment &amp; Other HPs'!BB14,IF(SETUP!$G$52=1,$E$161*'Malaria-Equipment &amp; Other HPs'!BC14,0)))),0)</f>
        <v>0</v>
      </c>
      <c r="N163" s="920">
        <f>IF(SETUP!$F$52="At delivery",IF(SETUP!$G$52=4,$E$161*'Malaria-Equipment &amp; Other HPs'!BA14,IF(SETUP!$G$52=3,$E$161*'Malaria-Equipment &amp; Other HPs'!BB14,IF(SETUP!$G$52=2,$E$161*'Malaria-Equipment &amp; Other HPs'!BC14,IF(SETUP!$G$52=1,$E$161*'Malaria-Equipment &amp; Other HPs'!BD14,0)))),0)</f>
        <v>0</v>
      </c>
      <c r="O163" s="917">
        <f t="shared" si="22"/>
        <v>0</v>
      </c>
      <c r="P163" s="915">
        <f>IF(SETUP!$F$52="At delivery",IF(SETUP!$G$52=4,$E$161*'Malaria-Equipment &amp; Other HPs'!BB14,IF(SETUP!$G$52=3,$E$161*'Malaria-Equipment &amp; Other HPs'!BC14,IF(SETUP!$G$52=2,$E$161*'Malaria-Equipment &amp; Other HPs'!BD14,IF(SETUP!$G$52=1,$E$161*'Malaria-Equipment &amp; Other HPs'!BE14,0)))),0)</f>
        <v>0</v>
      </c>
      <c r="Q163" s="915">
        <f>IF(SETUP!$F$52="At delivery",IF(SETUP!$G$52=4,$E$161*'Malaria-Equipment &amp; Other HPs'!BC14,IF(SETUP!$G$52=3,$E$161*'Malaria-Equipment &amp; Other HPs'!BD14,IF(SETUP!$G$52=2,$E$161*'Malaria-Equipment &amp; Other HPs'!BE14,IF(SETUP!$G$52=1,$E$161*'Malaria-Equipment &amp; Other HPs'!BF14,0)))),0)</f>
        <v>0</v>
      </c>
      <c r="R163" s="915">
        <f>IF(SETUP!$F$52="At delivery",IF(SETUP!$G$52=4,$E$161*'Malaria-Equipment &amp; Other HPs'!BD14,IF(SETUP!$G$52=3,$E$161*'Malaria-Equipment &amp; Other HPs'!BE14,IF(SETUP!$G$52=2,$E$161*'Malaria-Equipment &amp; Other HPs'!BF14,IF(SETUP!$G$52=1,$E$161*'Malaria-Equipment &amp; Other HPs'!BG14,0)))),0)</f>
        <v>0</v>
      </c>
      <c r="S163" s="915">
        <f>IF(SETUP!$F$52="At delivery",IF(SETUP!$G$52=4,$E$161*('Malaria-Equipment &amp; Other HPs'!BE14+'Malaria-Equipment &amp; Other HPs'!BF14+'Malaria-Equipment &amp; Other HPs'!BG14+'Malaria-Equipment &amp; Other HPs'!BH14+'Malaria-Equipment &amp; Other HPs'!BI14),IF(SETUP!$G$52=3,$E$161*('Malaria-Equipment &amp; Other HPs'!BF14+'Malaria-Equipment &amp; Other HPs'!BG14+'Malaria-Equipment &amp; Other HPs'!BH14+'Malaria-Equipment &amp; Other HPs'!BI14),IF(SETUP!$G$52=2,$E$161*('Malaria-Equipment &amp; Other HPs'!BG14+'Malaria-Equipment &amp; Other HPs'!BH14+'Malaria-Equipment &amp; Other HPs'!BI14),IF(SETUP!$G$52=1,$E$161*('Malaria-Equipment &amp; Other HPs'!BH14+'Malaria-Equipment &amp; Other HPs'!BI14),0)))),0)</f>
        <v>0</v>
      </c>
      <c r="T163" s="916">
        <f t="shared" si="23"/>
        <v>0</v>
      </c>
      <c r="U163" s="915">
        <f t="shared" si="24"/>
        <v>0</v>
      </c>
      <c r="V163" s="1316">
        <v>7.2</v>
      </c>
      <c r="W163" s="1995"/>
      <c r="X163" s="1341"/>
    </row>
    <row r="164" spans="1:24" s="665" customFormat="1" ht="15" hidden="1" customHeight="1" collapsed="1" thickBot="1">
      <c r="A164" s="3197"/>
      <c r="B164" s="3198"/>
      <c r="C164" s="3188" t="s">
        <v>455</v>
      </c>
      <c r="D164" s="3188"/>
      <c r="E164" s="1245">
        <v>9.9999999999999998E-17</v>
      </c>
      <c r="F164" s="967">
        <f>IF(SETUP!$F$53="Upfront",F165,F166)</f>
        <v>0</v>
      </c>
      <c r="G164" s="931">
        <f>IF(SETUP!$F$53="Upfront",G165,G166)</f>
        <v>0</v>
      </c>
      <c r="H164" s="931">
        <f>IF(SETUP!$F$53="Upfront",H165,H166)</f>
        <v>0</v>
      </c>
      <c r="I164" s="931">
        <f>IF(SETUP!$F$53="Upfront",I165,I166)</f>
        <v>0</v>
      </c>
      <c r="J164" s="919">
        <f t="shared" si="21"/>
        <v>0</v>
      </c>
      <c r="K164" s="920">
        <f>IF(SETUP!$F$53="Upfront",K165,K166)</f>
        <v>0</v>
      </c>
      <c r="L164" s="920">
        <f>IF(SETUP!$F$53="Upfront",L165,L166)</f>
        <v>0</v>
      </c>
      <c r="M164" s="920">
        <f>IF(SETUP!$F$53="Upfront",M165,M166)</f>
        <v>0</v>
      </c>
      <c r="N164" s="920">
        <f>IF(SETUP!$F$53="Upfront",N165,N166)</f>
        <v>0</v>
      </c>
      <c r="O164" s="917">
        <f t="shared" si="22"/>
        <v>0</v>
      </c>
      <c r="P164" s="915">
        <f>IF(SETUP!$F$53="Upfront",P165,P166)</f>
        <v>0</v>
      </c>
      <c r="Q164" s="915">
        <f>IF(SETUP!$F$53="Upfront",Q165,Q166)</f>
        <v>0</v>
      </c>
      <c r="R164" s="915">
        <f>IF(SETUP!$F$53="Upfront",R165,R166)</f>
        <v>0</v>
      </c>
      <c r="S164" s="915">
        <f>IF(SETUP!$F$53="Upfront",S165,S166)</f>
        <v>0</v>
      </c>
      <c r="T164" s="916">
        <f t="shared" si="23"/>
        <v>0</v>
      </c>
      <c r="U164" s="915">
        <f t="shared" si="24"/>
        <v>0</v>
      </c>
      <c r="V164" s="1316">
        <v>7.2</v>
      </c>
      <c r="W164" s="1995"/>
      <c r="X164" s="1341"/>
    </row>
    <row r="165" spans="1:24" s="665" customFormat="1" ht="15" hidden="1" customHeight="1" outlineLevel="1">
      <c r="A165" s="3197"/>
      <c r="B165" s="3198"/>
      <c r="C165" s="3182" t="s">
        <v>777</v>
      </c>
      <c r="D165" s="3182"/>
      <c r="E165" s="1246"/>
      <c r="F165" s="966">
        <f>IF(SETUP!$F$53="Upfront",$E$164*'Malaria-Equipment &amp; Other HPs'!AX15,0)</f>
        <v>0</v>
      </c>
      <c r="G165" s="915">
        <f>IF(SETUP!$F$53="Upfront",$E$164*'Malaria-Equipment &amp; Other HPs'!AY15,0)</f>
        <v>0</v>
      </c>
      <c r="H165" s="915">
        <f>IF(SETUP!$F$53="Upfront",$E$164*'Malaria-Equipment &amp; Other HPs'!AZ15,0)</f>
        <v>0</v>
      </c>
      <c r="I165" s="915">
        <f>IF(SETUP!$F$53="Upfront",$E$164*'Malaria-Equipment &amp; Other HPs'!BA15,0)</f>
        <v>0</v>
      </c>
      <c r="J165" s="919">
        <f t="shared" si="21"/>
        <v>0</v>
      </c>
      <c r="K165" s="915">
        <f>IF(SETUP!$F$53="Upfront",$E$164*'Malaria-Equipment &amp; Other HPs'!BB15,0)</f>
        <v>0</v>
      </c>
      <c r="L165" s="915">
        <f>IF(SETUP!$F$53="Upfront",$E$164*'Malaria-Equipment &amp; Other HPs'!BC15,0)</f>
        <v>0</v>
      </c>
      <c r="M165" s="915">
        <f>IF(SETUP!$F$53="Upfront",$E$164*'Malaria-Equipment &amp; Other HPs'!BD15,0)</f>
        <v>0</v>
      </c>
      <c r="N165" s="915">
        <f>IF(SETUP!$F$53="Upfront",$E$164*'Malaria-Equipment &amp; Other HPs'!BE15,0)</f>
        <v>0</v>
      </c>
      <c r="O165" s="917">
        <f t="shared" si="22"/>
        <v>0</v>
      </c>
      <c r="P165" s="915">
        <f>IF(SETUP!$F$53="Upfront",$E$164*'Malaria-Equipment &amp; Other HPs'!BF15,0)</f>
        <v>0</v>
      </c>
      <c r="Q165" s="915">
        <f>IF(SETUP!$F$53="Upfront",$E$164*'Malaria-Equipment &amp; Other HPs'!BG15,0)</f>
        <v>0</v>
      </c>
      <c r="R165" s="915">
        <f>IF(SETUP!$F$53="Upfront",$E$164*'Malaria-Equipment &amp; Other HPs'!BH15,0)</f>
        <v>0</v>
      </c>
      <c r="S165" s="915">
        <f>IF(SETUP!$F$53="Upfront",$E$164*'Malaria-Equipment &amp; Other HPs'!BI15,0)</f>
        <v>0</v>
      </c>
      <c r="T165" s="916">
        <f t="shared" si="23"/>
        <v>0</v>
      </c>
      <c r="U165" s="915">
        <f t="shared" si="24"/>
        <v>0</v>
      </c>
      <c r="V165" s="1316">
        <v>7.2</v>
      </c>
      <c r="W165" s="1995"/>
      <c r="X165" s="1341"/>
    </row>
    <row r="166" spans="1:24" s="665" customFormat="1" ht="15" hidden="1" customHeight="1" outlineLevel="1" thickBot="1">
      <c r="A166" s="3197"/>
      <c r="B166" s="3198"/>
      <c r="C166" s="3182" t="s">
        <v>36</v>
      </c>
      <c r="D166" s="3182"/>
      <c r="E166" s="1246"/>
      <c r="F166" s="966">
        <v>0</v>
      </c>
      <c r="G166" s="921">
        <f>IF(SETUP!$F$53="At delivery",IF(SETUP!$G$53=1,$E$164*'Malaria-Equipment &amp; Other HPs'!AX15,0),0)</f>
        <v>0</v>
      </c>
      <c r="H166" s="920">
        <f>IF(SETUP!$F$53="At delivery",IF(SETUP!$G$53=2,$E$164*'Malaria-Equipment &amp; Other HPs'!AX15,IF(SETUP!$G$53=1,$E$164*'Malaria-Equipment &amp; Other HPs'!AY15,0)),0)</f>
        <v>0</v>
      </c>
      <c r="I166" s="920">
        <f>IF(SETUP!$F$53="At delivery",IF(SETUP!$G$53=3,$E$164*'Malaria-Equipment &amp; Other HPs'!AX15,IF(SETUP!$G$53=2,$E$164*'Malaria-Equipment &amp; Other HPs'!AY15,IF(SETUP!$G$53=1,$E$164*'Malaria-Equipment &amp; Other HPs'!AZ15,0))),0)</f>
        <v>0</v>
      </c>
      <c r="J166" s="919">
        <f t="shared" si="21"/>
        <v>0</v>
      </c>
      <c r="K166" s="920">
        <f>IF(SETUP!$F$53="At delivery",IF(SETUP!$G$53=4,$E$164*'Malaria-Equipment &amp; Other HPs'!AX15,IF(SETUP!$G$53=3,$E$164*'Malaria-Equipment &amp; Other HPs'!AY15,IF(SETUP!$G$53=2,$E$164*'Malaria-Equipment &amp; Other HPs'!AZ15,IF(SETUP!$G$53=1,$E$164*'Malaria-Equipment &amp; Other HPs'!BA15,0)))),0)</f>
        <v>0</v>
      </c>
      <c r="L166" s="920">
        <f>IF(SETUP!$F$53="At delivery",IF(SETUP!$G$53=4,$E$164*'Malaria-Equipment &amp; Other HPs'!AY15,IF(SETUP!$G$53=3,$E$164*'Malaria-Equipment &amp; Other HPs'!AZ15,IF(SETUP!$G$53=2,$E$164*'Malaria-Equipment &amp; Other HPs'!BA15,IF(SETUP!$G$53=1,$E$164*'Malaria-Equipment &amp; Other HPs'!BB15,0)))),0)</f>
        <v>0</v>
      </c>
      <c r="M166" s="920">
        <f>IF(SETUP!$F$53="At delivery",IF(SETUP!$G$53=4,$E$164*'Malaria-Equipment &amp; Other HPs'!AZ15,IF(SETUP!$G$53=3,$E$164*'Malaria-Equipment &amp; Other HPs'!BA15,IF(SETUP!$G$53=2,$E$164*'Malaria-Equipment &amp; Other HPs'!BB15,IF(SETUP!$G$53=1,$E$164*'Malaria-Equipment &amp; Other HPs'!BC15,0)))),0)</f>
        <v>0</v>
      </c>
      <c r="N166" s="920">
        <f>IF(SETUP!$F$53="At delivery",IF(SETUP!$G$53=4,$E$164*'Malaria-Equipment &amp; Other HPs'!BA15,IF(SETUP!$G$53=3,$E$164*'Malaria-Equipment &amp; Other HPs'!BB15,IF(SETUP!$G$53=2,$E$164*'Malaria-Equipment &amp; Other HPs'!BC15,IF(SETUP!$G$53=1,$E$164*'Malaria-Equipment &amp; Other HPs'!BD15,0)))),0)</f>
        <v>0</v>
      </c>
      <c r="O166" s="917">
        <f t="shared" si="22"/>
        <v>0</v>
      </c>
      <c r="P166" s="915">
        <f>IF(SETUP!$F$53="At delivery",IF(SETUP!$G$53=4,$E$164*'Malaria-Equipment &amp; Other HPs'!BB15,IF(SETUP!$G$53=3,$E$164*'Malaria-Equipment &amp; Other HPs'!BC15,IF(SETUP!$G$53=2,$E$164*'Malaria-Equipment &amp; Other HPs'!BD15,IF(SETUP!$G$53=1,$E$164*'Malaria-Equipment &amp; Other HPs'!BE15,0)))),0)</f>
        <v>0</v>
      </c>
      <c r="Q166" s="915">
        <f>IF(SETUP!$F$53="At delivery",IF(SETUP!$G$53=4,$E$164*'Malaria-Equipment &amp; Other HPs'!BC15,IF(SETUP!$G$53=3,$E$164*'Malaria-Equipment &amp; Other HPs'!BD15,IF(SETUP!$G$53=2,$E$164*'Malaria-Equipment &amp; Other HPs'!BE15,IF(SETUP!$G$53=1,$E$164*'Malaria-Equipment &amp; Other HPs'!BF15,0)))),0)</f>
        <v>0</v>
      </c>
      <c r="R166" s="915">
        <f>IF(SETUP!$F$53="At delivery",IF(SETUP!$G$53=4,$E$164*'Malaria-Equipment &amp; Other HPs'!BD15,IF(SETUP!$G$53=3,$E$164*'Malaria-Equipment &amp; Other HPs'!BE15,IF(SETUP!$G$53=2,$E$164*'Malaria-Equipment &amp; Other HPs'!BF15,IF(SETUP!$G$53=1,$E$164*'Malaria-Equipment &amp; Other HPs'!BG15,0)))),0)</f>
        <v>0</v>
      </c>
      <c r="S166" s="915">
        <f>IF(SETUP!$F$53="At delivery",IF(SETUP!$G$53=4,$E$164*('Malaria-Equipment &amp; Other HPs'!BE15+'Malaria-Equipment &amp; Other HPs'!BF15+'Malaria-Equipment &amp; Other HPs'!BG15+'Malaria-Equipment &amp; Other HPs'!BH15+'Malaria-Equipment &amp; Other HPs'!BI15),IF(SETUP!$G$53=3,$E$164*('Malaria-Equipment &amp; Other HPs'!BF15+'Malaria-Equipment &amp; Other HPs'!BG15+'Malaria-Equipment &amp; Other HPs'!BH15+'Malaria-Equipment &amp; Other HPs'!BI15),IF(SETUP!$G$53=2,$E$164*('Malaria-Equipment &amp; Other HPs'!BG15+'Malaria-Equipment &amp; Other HPs'!BH15+'Malaria-Equipment &amp; Other HPs'!BI15),IF(SETUP!$G$53=1,$E$164*('Malaria-Equipment &amp; Other HPs'!BH15+'Malaria-Equipment &amp; Other HPs'!BI15),0)))),0)</f>
        <v>0</v>
      </c>
      <c r="T166" s="916">
        <f t="shared" si="23"/>
        <v>0</v>
      </c>
      <c r="U166" s="915">
        <f t="shared" si="24"/>
        <v>0</v>
      </c>
      <c r="V166" s="1316">
        <v>7.2</v>
      </c>
      <c r="W166" s="1995"/>
      <c r="X166" s="1341"/>
    </row>
    <row r="167" spans="1:24" s="665" customFormat="1" ht="15" hidden="1" customHeight="1" collapsed="1" thickBot="1">
      <c r="A167" s="3197"/>
      <c r="B167" s="3198"/>
      <c r="C167" s="3188" t="s">
        <v>456</v>
      </c>
      <c r="D167" s="3188"/>
      <c r="E167" s="1245">
        <v>9.9999999999999998E-17</v>
      </c>
      <c r="F167" s="966">
        <f>IF(SETUP!$F$54="Upfront",F168,F169)</f>
        <v>0</v>
      </c>
      <c r="G167" s="915">
        <f>IF(SETUP!$F$54="Upfront",G168,G169)</f>
        <v>0</v>
      </c>
      <c r="H167" s="915">
        <f>IF(SETUP!$F$54="Upfront",H168,H169)</f>
        <v>0</v>
      </c>
      <c r="I167" s="915">
        <f>IF(SETUP!$F$54="Upfront",I168,I169)</f>
        <v>0</v>
      </c>
      <c r="J167" s="919">
        <f t="shared" si="21"/>
        <v>0</v>
      </c>
      <c r="K167" s="920">
        <f>IF(SETUP!$F$54="Upfront",K168,K169)</f>
        <v>0</v>
      </c>
      <c r="L167" s="920">
        <f>IF(SETUP!$F$54="Upfront",L168,L169)</f>
        <v>0</v>
      </c>
      <c r="M167" s="920">
        <f>IF(SETUP!$F$54="Upfront",M168,M169)</f>
        <v>0</v>
      </c>
      <c r="N167" s="920">
        <f>IF(SETUP!$F$54="Upfront",N168,N169)</f>
        <v>0</v>
      </c>
      <c r="O167" s="917">
        <f t="shared" si="22"/>
        <v>0</v>
      </c>
      <c r="P167" s="915">
        <f>IF(SETUP!$F$54="Upfront",P168,P169)</f>
        <v>0</v>
      </c>
      <c r="Q167" s="915">
        <f>IF(SETUP!$F$54="Upfront",Q168,Q169)</f>
        <v>0</v>
      </c>
      <c r="R167" s="915">
        <f>IF(SETUP!$F$54="Upfront",R168,R169)</f>
        <v>0</v>
      </c>
      <c r="S167" s="915">
        <f>IF(SETUP!$F$54="Upfront",S168,S169)</f>
        <v>0</v>
      </c>
      <c r="T167" s="916">
        <f t="shared" si="23"/>
        <v>0</v>
      </c>
      <c r="U167" s="915">
        <f t="shared" si="24"/>
        <v>0</v>
      </c>
      <c r="V167" s="1316">
        <v>7.2</v>
      </c>
      <c r="W167" s="1995"/>
      <c r="X167" s="1341"/>
    </row>
    <row r="168" spans="1:24" s="665" customFormat="1" ht="15" hidden="1" customHeight="1" outlineLevel="1">
      <c r="A168" s="3197"/>
      <c r="B168" s="3198"/>
      <c r="C168" s="3182" t="s">
        <v>777</v>
      </c>
      <c r="D168" s="3182"/>
      <c r="E168" s="1246"/>
      <c r="F168" s="966">
        <f>IF(SETUP!$F$54="Upfront",$E$167*'Malaria-Equipment &amp; Other HPs'!AX16,0)</f>
        <v>0</v>
      </c>
      <c r="G168" s="915">
        <f>IF(SETUP!$F$54="Upfront",$E$167*'Malaria-Equipment &amp; Other HPs'!AY16,0)</f>
        <v>0</v>
      </c>
      <c r="H168" s="915">
        <f>IF(SETUP!$F$54="Upfront",$E$167*'Malaria-Equipment &amp; Other HPs'!AZ16,0)</f>
        <v>0</v>
      </c>
      <c r="I168" s="915">
        <f>IF(SETUP!$F$54="Upfront",$E$167*'Malaria-Equipment &amp; Other HPs'!BA16,0)</f>
        <v>0</v>
      </c>
      <c r="J168" s="919">
        <f t="shared" si="21"/>
        <v>0</v>
      </c>
      <c r="K168" s="915">
        <f>IF(SETUP!$F$54="Upfront",$E$167*'Malaria-Equipment &amp; Other HPs'!BB16,0)</f>
        <v>0</v>
      </c>
      <c r="L168" s="915">
        <f>IF(SETUP!$F$54="Upfront",$E$167*'Malaria-Equipment &amp; Other HPs'!BC16,0)</f>
        <v>0</v>
      </c>
      <c r="M168" s="915">
        <f>IF(SETUP!$F$54="Upfront",$E$167*'Malaria-Equipment &amp; Other HPs'!BD16,0)</f>
        <v>0</v>
      </c>
      <c r="N168" s="915">
        <f>IF(SETUP!$F$54="Upfront",$E$167*'Malaria-Equipment &amp; Other HPs'!BE16,0)</f>
        <v>0</v>
      </c>
      <c r="O168" s="917">
        <f t="shared" si="22"/>
        <v>0</v>
      </c>
      <c r="P168" s="915">
        <f>IF(SETUP!$F$54="Upfront",$E$167*'Malaria-Equipment &amp; Other HPs'!BF16,0)</f>
        <v>0</v>
      </c>
      <c r="Q168" s="915">
        <f>IF(SETUP!$F$54="Upfront",$E$167*'Malaria-Equipment &amp; Other HPs'!BG16,0)</f>
        <v>0</v>
      </c>
      <c r="R168" s="915">
        <f>IF(SETUP!$F$54="Upfront",$E$167*'Malaria-Equipment &amp; Other HPs'!BH16,0)</f>
        <v>0</v>
      </c>
      <c r="S168" s="915">
        <f>IF(SETUP!$F$54="Upfront",$E$167*'Malaria-Equipment &amp; Other HPs'!BI16,0)</f>
        <v>0</v>
      </c>
      <c r="T168" s="916">
        <f t="shared" si="23"/>
        <v>0</v>
      </c>
      <c r="U168" s="915">
        <f t="shared" si="24"/>
        <v>0</v>
      </c>
      <c r="V168" s="1316">
        <v>7.2</v>
      </c>
      <c r="W168" s="1995"/>
      <c r="X168" s="1341"/>
    </row>
    <row r="169" spans="1:24" s="665" customFormat="1" ht="15" hidden="1" customHeight="1" outlineLevel="1" thickBot="1">
      <c r="A169" s="3197"/>
      <c r="B169" s="3198"/>
      <c r="C169" s="3182" t="s">
        <v>36</v>
      </c>
      <c r="D169" s="3182"/>
      <c r="E169" s="1246"/>
      <c r="F169" s="966">
        <v>0</v>
      </c>
      <c r="G169" s="921">
        <f>IF(SETUP!$F$54="At delivery",IF(SETUP!$G$54=1,$E$167*'Malaria-Equipment &amp; Other HPs'!AX16,0),0)</f>
        <v>0</v>
      </c>
      <c r="H169" s="920">
        <f>IF(SETUP!$F$54="At delivery",IF(SETUP!$G$54=2,$E$167*'Malaria-Equipment &amp; Other HPs'!AX16,IF(SETUP!$G$54=1,$E$167*'Malaria-Equipment &amp; Other HPs'!AY16,0)),0)</f>
        <v>0</v>
      </c>
      <c r="I169" s="920">
        <f>IF(SETUP!$F$54="At delivery",IF(SETUP!$G$54=3,$E$167*'Malaria-Equipment &amp; Other HPs'!AX16,IF(SETUP!$G$54=2,$E$167*'Malaria-Equipment &amp; Other HPs'!AY16,IF(SETUP!$G$54=1,$E$167*'Malaria-Equipment &amp; Other HPs'!AZ16,0))),0)</f>
        <v>0</v>
      </c>
      <c r="J169" s="919">
        <f t="shared" si="21"/>
        <v>0</v>
      </c>
      <c r="K169" s="920">
        <f>IF(SETUP!$F$54="At delivery",IF(SETUP!$G$54=4,$E$167*'Malaria-Equipment &amp; Other HPs'!AX16,IF(SETUP!$G$54=3,$E$167*'Malaria-Equipment &amp; Other HPs'!AY16,IF(SETUP!$G$54=2,$E$167*'Malaria-Equipment &amp; Other HPs'!AZ16,IF(SETUP!$G$54=1,$E$167*'Malaria-Equipment &amp; Other HPs'!BA16,0)))),0)</f>
        <v>0</v>
      </c>
      <c r="L169" s="920">
        <f>IF(SETUP!$F$54="At delivery",IF(SETUP!$G$54=4,$E$167*'Malaria-Equipment &amp; Other HPs'!AY16,IF(SETUP!$G$54=3,$E$167*'Malaria-Equipment &amp; Other HPs'!AZ16,IF(SETUP!$G$54=2,$E$167*'Malaria-Equipment &amp; Other HPs'!BA16,IF(SETUP!$G$54=1,$E$167*'Malaria-Equipment &amp; Other HPs'!BB16,0)))),0)</f>
        <v>0</v>
      </c>
      <c r="M169" s="920">
        <f>IF(SETUP!$F$54="At delivery",IF(SETUP!$G$54=4,$E$167*'Malaria-Equipment &amp; Other HPs'!AZ16,IF(SETUP!$G$54=3,$E$167*'Malaria-Equipment &amp; Other HPs'!BA16,IF(SETUP!$G$54=2,$E$167*'Malaria-Equipment &amp; Other HPs'!BB16,IF(SETUP!$G$54=1,$E$167*'Malaria-Equipment &amp; Other HPs'!BC16,0)))),0)</f>
        <v>0</v>
      </c>
      <c r="N169" s="920">
        <f>IF(SETUP!$F$54="At delivery",IF(SETUP!$G$54=4,$E$167*'Malaria-Equipment &amp; Other HPs'!BA16,IF(SETUP!$G$54=3,$E$167*'Malaria-Equipment &amp; Other HPs'!BB16,IF(SETUP!$G$54=2,$E$167*'Malaria-Equipment &amp; Other HPs'!BC16,IF(SETUP!$G$54=1,$E$167*'Malaria-Equipment &amp; Other HPs'!BD16,0)))),0)</f>
        <v>0</v>
      </c>
      <c r="O169" s="917">
        <f t="shared" si="22"/>
        <v>0</v>
      </c>
      <c r="P169" s="915">
        <f>IF(SETUP!$F$54="At delivery",IF(SETUP!$G$54=4,$E$167*'Malaria-Equipment &amp; Other HPs'!BB16,IF(SETUP!$G$54=3,$E$167*'Malaria-Equipment &amp; Other HPs'!BC16,IF(SETUP!$G$54=2,$E$167*'Malaria-Equipment &amp; Other HPs'!BD16,IF(SETUP!$G$54=1,$E$167*'Malaria-Equipment &amp; Other HPs'!BE16,0)))),0)</f>
        <v>0</v>
      </c>
      <c r="Q169" s="915">
        <f>IF(SETUP!$F$54="At delivery",IF(SETUP!$G$54=4,$E$167*'Malaria-Equipment &amp; Other HPs'!BC16,IF(SETUP!$G$54=3,$E$167*'Malaria-Equipment &amp; Other HPs'!BD16,IF(SETUP!$G$54=2,$E$167*'Malaria-Equipment &amp; Other HPs'!BE16,IF(SETUP!$G$54=1,$E$167*'Malaria-Equipment &amp; Other HPs'!BF16,0)))),0)</f>
        <v>0</v>
      </c>
      <c r="R169" s="915">
        <f>IF(SETUP!$F$54="At delivery",IF(SETUP!$G$54=4,$E$167*'Malaria-Equipment &amp; Other HPs'!BD16,IF(SETUP!$G$54=3,$E$167*'Malaria-Equipment &amp; Other HPs'!BE16,IF(SETUP!$G$54=2,$E$167*'Malaria-Equipment &amp; Other HPs'!BF16,IF(SETUP!$G$54=1,$E$167*'Malaria-Equipment &amp; Other HPs'!BG16,0)))),0)</f>
        <v>0</v>
      </c>
      <c r="S169" s="915">
        <f>IF(SETUP!$F$54="At delivery",IF(SETUP!$G$54=4,$E$167*('Malaria-Equipment &amp; Other HPs'!BE16+'Malaria-Equipment &amp; Other HPs'!BF16+'Malaria-Equipment &amp; Other HPs'!BG16+'Malaria-Equipment &amp; Other HPs'!BH16+'Malaria-Equipment &amp; Other HPs'!BI16),IF(SETUP!$G$54=3,$E$167*('Malaria-Equipment &amp; Other HPs'!BF16+'Malaria-Equipment &amp; Other HPs'!BG16+'Malaria-Equipment &amp; Other HPs'!BH16+'Malaria-Equipment &amp; Other HPs'!BI16),IF(SETUP!$G$54=2,$E$167*('Malaria-Equipment &amp; Other HPs'!BG16+'Malaria-Equipment &amp; Other HPs'!BH16+'Malaria-Equipment &amp; Other HPs'!BI16),IF(SETUP!$G$54=1,$E$167*('Malaria-Equipment &amp; Other HPs'!BH16+'Malaria-Equipment &amp; Other HPs'!BI16),0)))),0)</f>
        <v>0</v>
      </c>
      <c r="T169" s="916">
        <f t="shared" si="23"/>
        <v>0</v>
      </c>
      <c r="U169" s="915">
        <f t="shared" si="24"/>
        <v>0</v>
      </c>
      <c r="V169" s="1316">
        <v>7.2</v>
      </c>
      <c r="W169" s="1995"/>
      <c r="X169" s="1341"/>
    </row>
    <row r="170" spans="1:24" s="665" customFormat="1" ht="15" hidden="1" customHeight="1" collapsed="1" thickBot="1">
      <c r="A170" s="3197"/>
      <c r="B170" s="3198"/>
      <c r="C170" s="3188" t="s">
        <v>457</v>
      </c>
      <c r="D170" s="3188"/>
      <c r="E170" s="1245">
        <v>9.9999999999999998E-17</v>
      </c>
      <c r="F170" s="966">
        <f>IF(SETUP!$F$55="Upfront",F171,F172)</f>
        <v>0</v>
      </c>
      <c r="G170" s="915">
        <f>IF(SETUP!$F$55="Upfront",G171,G172)</f>
        <v>0</v>
      </c>
      <c r="H170" s="915">
        <f>IF(SETUP!$F$55="Upfront",H171,H172)</f>
        <v>0</v>
      </c>
      <c r="I170" s="915">
        <f>IF(SETUP!$F$55="Upfront",I171,I172)</f>
        <v>0</v>
      </c>
      <c r="J170" s="919">
        <f t="shared" si="21"/>
        <v>0</v>
      </c>
      <c r="K170" s="915">
        <f>IF(SETUP!$F$55="Upfront",K171,K172)</f>
        <v>0</v>
      </c>
      <c r="L170" s="915">
        <f>IF(SETUP!$F$55="Upfront",L171,L172)</f>
        <v>0</v>
      </c>
      <c r="M170" s="915">
        <f>IF(SETUP!$F$55="Upfront",M171,M172)</f>
        <v>0</v>
      </c>
      <c r="N170" s="915">
        <f>IF(SETUP!$F$55="Upfront",N171,N172)</f>
        <v>0</v>
      </c>
      <c r="O170" s="917">
        <f t="shared" si="22"/>
        <v>0</v>
      </c>
      <c r="P170" s="915">
        <f>IF(SETUP!$F$55="Upfront",P171,P172)</f>
        <v>0</v>
      </c>
      <c r="Q170" s="915">
        <f>IF(SETUP!$F$55="Upfront",Q171,Q172)</f>
        <v>0</v>
      </c>
      <c r="R170" s="915">
        <f>IF(SETUP!$F$55="Upfront",R171,R172)</f>
        <v>0</v>
      </c>
      <c r="S170" s="915">
        <f>IF(SETUP!$F$55="Upfront",S171,S172)</f>
        <v>0</v>
      </c>
      <c r="T170" s="916">
        <f t="shared" si="23"/>
        <v>0</v>
      </c>
      <c r="U170" s="915">
        <f t="shared" si="24"/>
        <v>0</v>
      </c>
      <c r="V170" s="1316">
        <v>7.2</v>
      </c>
      <c r="W170" s="1995"/>
      <c r="X170" s="1341"/>
    </row>
    <row r="171" spans="1:24" s="665" customFormat="1" ht="15" hidden="1" customHeight="1" outlineLevel="1">
      <c r="A171" s="3197"/>
      <c r="B171" s="3198"/>
      <c r="C171" s="3182" t="s">
        <v>777</v>
      </c>
      <c r="D171" s="3182"/>
      <c r="E171" s="1246"/>
      <c r="F171" s="966">
        <f>IF(SETUP!$F$55="Upfront",$E$170*'Malaria-Equipment &amp; Other HPs'!AX17,0)</f>
        <v>0</v>
      </c>
      <c r="G171" s="915">
        <f>IF(SETUP!$F$55="Upfront",$E$170*'Malaria-Equipment &amp; Other HPs'!AY17,0)</f>
        <v>0</v>
      </c>
      <c r="H171" s="915">
        <f>IF(SETUP!$F$55="Upfront",$E$170*'Malaria-Equipment &amp; Other HPs'!AZ17,0)</f>
        <v>0</v>
      </c>
      <c r="I171" s="915">
        <f>IF(SETUP!$F$55="Upfront",$E$170*'Malaria-Equipment &amp; Other HPs'!BA17,0)</f>
        <v>0</v>
      </c>
      <c r="J171" s="919">
        <f t="shared" si="21"/>
        <v>0</v>
      </c>
      <c r="K171" s="915">
        <f>IF(SETUP!$F$55="Upfront",$E$170*'Malaria-Equipment &amp; Other HPs'!BB17,0)</f>
        <v>0</v>
      </c>
      <c r="L171" s="915">
        <f>IF(SETUP!$F$55="Upfront",$E$170*'Malaria-Equipment &amp; Other HPs'!BC17,0)</f>
        <v>0</v>
      </c>
      <c r="M171" s="915">
        <f>IF(SETUP!$F$55="Upfront",$E$170*'Malaria-Equipment &amp; Other HPs'!BD17,0)</f>
        <v>0</v>
      </c>
      <c r="N171" s="915">
        <f>IF(SETUP!$F$55="Upfront",$E$170*'Malaria-Equipment &amp; Other HPs'!BE17,0)</f>
        <v>0</v>
      </c>
      <c r="O171" s="917">
        <f t="shared" si="22"/>
        <v>0</v>
      </c>
      <c r="P171" s="915">
        <f>IF(SETUP!$F$55="Upfront",$E$170*'Malaria-Equipment &amp; Other HPs'!BF17,0)</f>
        <v>0</v>
      </c>
      <c r="Q171" s="915">
        <f>IF(SETUP!$F$55="Upfront",$E$170*'Malaria-Equipment &amp; Other HPs'!BG17,0)</f>
        <v>0</v>
      </c>
      <c r="R171" s="915">
        <f>IF(SETUP!$F$55="Upfront",$E$170*'Malaria-Equipment &amp; Other HPs'!BH17,0)</f>
        <v>0</v>
      </c>
      <c r="S171" s="915">
        <f>IF(SETUP!$F$55="Upfront",$E$170*'Malaria-Equipment &amp; Other HPs'!BI17,0)</f>
        <v>0</v>
      </c>
      <c r="T171" s="916">
        <f t="shared" si="23"/>
        <v>0</v>
      </c>
      <c r="U171" s="915">
        <f t="shared" si="24"/>
        <v>0</v>
      </c>
      <c r="V171" s="1316">
        <v>7.2</v>
      </c>
      <c r="W171" s="1995"/>
      <c r="X171" s="1341"/>
    </row>
    <row r="172" spans="1:24" s="665" customFormat="1" ht="15" hidden="1" customHeight="1" outlineLevel="1" thickBot="1">
      <c r="A172" s="3197"/>
      <c r="B172" s="3198"/>
      <c r="C172" s="3182" t="s">
        <v>36</v>
      </c>
      <c r="D172" s="3182"/>
      <c r="E172" s="1246"/>
      <c r="F172" s="966">
        <v>0</v>
      </c>
      <c r="G172" s="921">
        <f>IF(SETUP!$F$55="At delivery",IF(SETUP!$G$55=1,$E$170*'Malaria-Equipment &amp; Other HPs'!AX17,0),0)</f>
        <v>0</v>
      </c>
      <c r="H172" s="920">
        <f>IF(SETUP!$F$55="At delivery",IF(SETUP!$G$55=2,$E$170*'Malaria-Equipment &amp; Other HPs'!AX17,IF(SETUP!$G$55=1,$E$170*'Malaria-Equipment &amp; Other HPs'!AY17,0)),0)</f>
        <v>0</v>
      </c>
      <c r="I172" s="920">
        <f>IF(SETUP!$F$55="At delivery",IF(SETUP!$G$55=3,$E$170*'Malaria-Equipment &amp; Other HPs'!AX17,IF(SETUP!$G$55=2,$E$170*'Malaria-Equipment &amp; Other HPs'!AY17,IF(SETUP!$G$55=1,$E$170*'Malaria-Equipment &amp; Other HPs'!AZ17,0))),0)</f>
        <v>0</v>
      </c>
      <c r="J172" s="919">
        <f t="shared" si="21"/>
        <v>0</v>
      </c>
      <c r="K172" s="920">
        <f>IF(SETUP!$F$55="At delivery",IF(SETUP!$G$55=4,$E$170*'Malaria-Equipment &amp; Other HPs'!AX17,IF(SETUP!$G$55=3,$E$170*'Malaria-Equipment &amp; Other HPs'!AY17,IF(SETUP!$G$55=2,$E$170*'Malaria-Equipment &amp; Other HPs'!AZ17,IF(SETUP!$G$55=1,$E$170*'Malaria-Equipment &amp; Other HPs'!BA17,0)))),0)</f>
        <v>0</v>
      </c>
      <c r="L172" s="920">
        <f>IF(SETUP!$F$55="At delivery",IF(SETUP!$G$55=4,$E$170*'Malaria-Equipment &amp; Other HPs'!AY17,IF(SETUP!$G$55=3,$E$170*'Malaria-Equipment &amp; Other HPs'!AZ17,IF(SETUP!$G$55=2,$E$170*'Malaria-Equipment &amp; Other HPs'!BA17,IF(SETUP!$G$55=1,$E$170*'Malaria-Equipment &amp; Other HPs'!BB17,0)))),0)</f>
        <v>0</v>
      </c>
      <c r="M172" s="920">
        <f>IF(SETUP!$F$55="At delivery",IF(SETUP!$G$55=4,$E$170*'Malaria-Equipment &amp; Other HPs'!AZ17,IF(SETUP!$G$55=3,$E$170*'Malaria-Equipment &amp; Other HPs'!BA17,IF(SETUP!$G$55=2,$E$170*'Malaria-Equipment &amp; Other HPs'!BB17,IF(SETUP!$G$55=1,$E$170*'Malaria-Equipment &amp; Other HPs'!BC17,0)))),0)</f>
        <v>0</v>
      </c>
      <c r="N172" s="920">
        <f>IF(SETUP!$F$55="At delivery",IF(SETUP!$G$55=4,$E$170*'Malaria-Equipment &amp; Other HPs'!BA17,IF(SETUP!$G$55=3,$E$170*'Malaria-Equipment &amp; Other HPs'!BB17,IF(SETUP!$G$55=2,$E$170*'Malaria-Equipment &amp; Other HPs'!BC17,IF(SETUP!$G$55=1,$E$170*'Malaria-Equipment &amp; Other HPs'!BD17,0)))),0)</f>
        <v>0</v>
      </c>
      <c r="O172" s="917">
        <f t="shared" si="22"/>
        <v>0</v>
      </c>
      <c r="P172" s="915">
        <f>IF(SETUP!$F$55="At delivery",IF(SETUP!$G$55=4,$E$170*'Malaria-Equipment &amp; Other HPs'!BB17,IF(SETUP!$G$55=3,$E$170*'Malaria-Equipment &amp; Other HPs'!BC17,IF(SETUP!$G$55=2,$E$170*'Malaria-Equipment &amp; Other HPs'!BD17,IF(SETUP!$G$55=1,$E$170*'Malaria-Equipment &amp; Other HPs'!BE17,0)))),0)</f>
        <v>0</v>
      </c>
      <c r="Q172" s="915">
        <f>IF(SETUP!$F$55="At delivery",IF(SETUP!$G$55=4,$E$170*'Malaria-Equipment &amp; Other HPs'!BC17,IF(SETUP!$G$55=3,$E$170*'Malaria-Equipment &amp; Other HPs'!BD17,IF(SETUP!$G$55=2,$E$170*'Malaria-Equipment &amp; Other HPs'!BE17,IF(SETUP!$G$55=1,$E$170*'Malaria-Equipment &amp; Other HPs'!BF17,0)))),0)</f>
        <v>0</v>
      </c>
      <c r="R172" s="915">
        <f>IF(SETUP!$F$55="At delivery",IF(SETUP!$G$55=4,$E$170*'Malaria-Equipment &amp; Other HPs'!BD17,IF(SETUP!$G$55=3,$E$170*'Malaria-Equipment &amp; Other HPs'!BE17,IF(SETUP!$G$55=2,$E$170*'Malaria-Equipment &amp; Other HPs'!BF17,IF(SETUP!$G$55=1,$E$170*'Malaria-Equipment &amp; Other HPs'!BG17,0)))),0)</f>
        <v>0</v>
      </c>
      <c r="S172" s="915">
        <f>IF(SETUP!$F$55="At delivery",IF(SETUP!$G$55=4,$E$170*('Malaria-Equipment &amp; Other HPs'!BE17+'Malaria-Equipment &amp; Other HPs'!BF17+'Malaria-Equipment &amp; Other HPs'!BG17+'Malaria-Equipment &amp; Other HPs'!BH17+'Malaria-Equipment &amp; Other HPs'!BI17),IF(SETUP!$G$55=3,$E$170*('Malaria-Equipment &amp; Other HPs'!BF17+'Malaria-Equipment &amp; Other HPs'!BG17+'Malaria-Equipment &amp; Other HPs'!BH17+'Malaria-Equipment &amp; Other HPs'!BI17),IF(SETUP!$G$55=2,$E$170*('Malaria-Equipment &amp; Other HPs'!BG17+'Malaria-Equipment &amp; Other HPs'!BH17+'Malaria-Equipment &amp; Other HPs'!BI17),IF(SETUP!$G$55=1,$E$170*('Malaria-Equipment &amp; Other HPs'!BH17+'Malaria-Equipment &amp; Other HPs'!BI17),0)))),0)</f>
        <v>0</v>
      </c>
      <c r="T172" s="916">
        <f t="shared" si="23"/>
        <v>0</v>
      </c>
      <c r="U172" s="915">
        <f t="shared" si="24"/>
        <v>0</v>
      </c>
      <c r="V172" s="1316">
        <v>7.2</v>
      </c>
      <c r="W172" s="1995"/>
      <c r="X172" s="1341"/>
    </row>
    <row r="173" spans="1:24" s="665" customFormat="1" ht="15" hidden="1" customHeight="1" collapsed="1" thickBot="1">
      <c r="A173" s="3197"/>
      <c r="B173" s="3198"/>
      <c r="C173" s="3188" t="s">
        <v>458</v>
      </c>
      <c r="D173" s="3188"/>
      <c r="E173" s="1245">
        <v>9.9999999999999998E-17</v>
      </c>
      <c r="F173" s="966">
        <f>IF(SETUP!$F$56="Upfront",F174,F175)</f>
        <v>0</v>
      </c>
      <c r="G173" s="915">
        <f>IF(SETUP!$F$56="Upfront",G174,G175)</f>
        <v>0</v>
      </c>
      <c r="H173" s="915">
        <f>IF(SETUP!$F$56="Upfront",H174,H175)</f>
        <v>0</v>
      </c>
      <c r="I173" s="915">
        <f>IF(SETUP!$F$56="Upfront",I174,I175)</f>
        <v>0</v>
      </c>
      <c r="J173" s="919">
        <f t="shared" si="21"/>
        <v>0</v>
      </c>
      <c r="K173" s="915">
        <f>IF(SETUP!$F$56="Upfront",K174,K175)</f>
        <v>0</v>
      </c>
      <c r="L173" s="915">
        <f>IF(SETUP!$F$56="Upfront",L174,L175)</f>
        <v>0</v>
      </c>
      <c r="M173" s="915">
        <f>IF(SETUP!$F$56="Upfront",M174,M175)</f>
        <v>0</v>
      </c>
      <c r="N173" s="915">
        <f>IF(SETUP!$F$56="Upfront",N174,N175)</f>
        <v>0</v>
      </c>
      <c r="O173" s="917">
        <f t="shared" si="22"/>
        <v>0</v>
      </c>
      <c r="P173" s="915">
        <f>IF(SETUP!$F$56="Upfront",P174,P175)</f>
        <v>0</v>
      </c>
      <c r="Q173" s="915">
        <f>IF(SETUP!$F$56="Upfront",Q174,Q175)</f>
        <v>0</v>
      </c>
      <c r="R173" s="915">
        <f>IF(SETUP!$F$56="Upfront",R174,R175)</f>
        <v>0</v>
      </c>
      <c r="S173" s="915">
        <f>IF(SETUP!$F$56="Upfront",S174,S175)</f>
        <v>0</v>
      </c>
      <c r="T173" s="916">
        <f t="shared" si="23"/>
        <v>0</v>
      </c>
      <c r="U173" s="915">
        <f t="shared" si="24"/>
        <v>0</v>
      </c>
      <c r="V173" s="1316">
        <v>7.2</v>
      </c>
      <c r="W173" s="1995"/>
      <c r="X173" s="1341"/>
    </row>
    <row r="174" spans="1:24" s="665" customFormat="1" ht="15" hidden="1" customHeight="1" outlineLevel="1">
      <c r="A174" s="3197"/>
      <c r="B174" s="3198"/>
      <c r="C174" s="3182" t="s">
        <v>777</v>
      </c>
      <c r="D174" s="3182"/>
      <c r="E174" s="1246"/>
      <c r="F174" s="966">
        <f>IF(SETUP!$F$56="Upfront",$E$173*'Malaria-Equipment &amp; Other HPs'!AX18,0)</f>
        <v>0</v>
      </c>
      <c r="G174" s="915">
        <f>IF(SETUP!$F$56="Upfront",$E$173*'Malaria-Equipment &amp; Other HPs'!AY18,0)</f>
        <v>0</v>
      </c>
      <c r="H174" s="915">
        <f>IF(SETUP!$F$56="Upfront",$E$173*'Malaria-Equipment &amp; Other HPs'!AZ18,0)</f>
        <v>0</v>
      </c>
      <c r="I174" s="915">
        <f>IF(SETUP!$F$56="Upfront",$E$173*'Malaria-Equipment &amp; Other HPs'!BA18,0)</f>
        <v>0</v>
      </c>
      <c r="J174" s="919">
        <f t="shared" si="21"/>
        <v>0</v>
      </c>
      <c r="K174" s="915">
        <f>IF(SETUP!$F$56="Upfront",$E$173*'Malaria-Equipment &amp; Other HPs'!BB18,0)</f>
        <v>0</v>
      </c>
      <c r="L174" s="915">
        <f>IF(SETUP!$F$56="Upfront",$E$173*'Malaria-Equipment &amp; Other HPs'!BC18,0)</f>
        <v>0</v>
      </c>
      <c r="M174" s="915">
        <f>IF(SETUP!$F$56="Upfront",$E$173*'Malaria-Equipment &amp; Other HPs'!BD18,0)</f>
        <v>0</v>
      </c>
      <c r="N174" s="915">
        <f>IF(SETUP!$F$56="Upfront",$E$173*'Malaria-Equipment &amp; Other HPs'!BE18,0)</f>
        <v>0</v>
      </c>
      <c r="O174" s="917">
        <f t="shared" si="22"/>
        <v>0</v>
      </c>
      <c r="P174" s="915">
        <f>IF(SETUP!$F$56="Upfront",$E$173*'Malaria-Equipment &amp; Other HPs'!BF18,0)</f>
        <v>0</v>
      </c>
      <c r="Q174" s="915">
        <f>IF(SETUP!$F$56="Upfront",$E$173*'Malaria-Equipment &amp; Other HPs'!BG18,0)</f>
        <v>0</v>
      </c>
      <c r="R174" s="915">
        <f>IF(SETUP!$F$56="Upfront",$E$173*'Malaria-Equipment &amp; Other HPs'!BH18,0)</f>
        <v>0</v>
      </c>
      <c r="S174" s="915">
        <f>IF(SETUP!$F$56="Upfront",$E$173*'Malaria-Equipment &amp; Other HPs'!BI18,0)</f>
        <v>0</v>
      </c>
      <c r="T174" s="916">
        <f t="shared" si="23"/>
        <v>0</v>
      </c>
      <c r="U174" s="915">
        <f t="shared" si="24"/>
        <v>0</v>
      </c>
      <c r="V174" s="1316">
        <v>7.2</v>
      </c>
      <c r="W174" s="1995"/>
      <c r="X174" s="1341"/>
    </row>
    <row r="175" spans="1:24" s="665" customFormat="1" ht="15" hidden="1" customHeight="1" outlineLevel="1" thickBot="1">
      <c r="A175" s="3197"/>
      <c r="B175" s="3198"/>
      <c r="C175" s="3182" t="s">
        <v>36</v>
      </c>
      <c r="D175" s="3182"/>
      <c r="E175" s="1246"/>
      <c r="F175" s="966">
        <v>0</v>
      </c>
      <c r="G175" s="921">
        <f>IF(SETUP!$F$56="At delivery",IF(SETUP!$G$56=1,$E$173*'Malaria-Equipment &amp; Other HPs'!AX18,0),0)</f>
        <v>0</v>
      </c>
      <c r="H175" s="920">
        <f>IF(SETUP!$F$56="At delivery",IF(SETUP!$G$56=2,$E$173*'Malaria-Equipment &amp; Other HPs'!AX18,IF(SETUP!$G$56=1,$E$173*'Malaria-Equipment &amp; Other HPs'!AY18,0)),0)</f>
        <v>0</v>
      </c>
      <c r="I175" s="920">
        <f>IF(SETUP!$F$56="At delivery",IF(SETUP!$G$56=3,$E$173*'Malaria-Equipment &amp; Other HPs'!AX18,IF(SETUP!$G$56=2,$E$173*'Malaria-Equipment &amp; Other HPs'!AY18,IF(SETUP!$G$56=1,$E$173*'Malaria-Equipment &amp; Other HPs'!AZ18,0))),0)</f>
        <v>0</v>
      </c>
      <c r="J175" s="919">
        <f t="shared" si="21"/>
        <v>0</v>
      </c>
      <c r="K175" s="920">
        <f>IF(SETUP!$F$56="At delivery",IF(SETUP!$G$56=4,$E$173*'Malaria-Equipment &amp; Other HPs'!AX18,IF(SETUP!$G$56=3,$E$173*'Malaria-Equipment &amp; Other HPs'!AY18,IF(SETUP!$G$56=2,$E$173*'Malaria-Equipment &amp; Other HPs'!AZ18,IF(SETUP!$G$56=1,$E$173*'Malaria-Equipment &amp; Other HPs'!BA18,0)))),0)</f>
        <v>0</v>
      </c>
      <c r="L175" s="920">
        <f>IF(SETUP!$F$56="At delivery",IF(SETUP!$G$56=4,$E$173*'Malaria-Equipment &amp; Other HPs'!AY18,IF(SETUP!$G$56=3,$E$173*'Malaria-Equipment &amp; Other HPs'!AZ18,IF(SETUP!$G$56=2,$E$173*'Malaria-Equipment &amp; Other HPs'!BA18,IF(SETUP!$G$56=1,$E$173*'Malaria-Equipment &amp; Other HPs'!BB18,0)))),0)</f>
        <v>0</v>
      </c>
      <c r="M175" s="920">
        <f>IF(SETUP!$F$56="At delivery",IF(SETUP!$G$56=4,$E$173*'Malaria-Equipment &amp; Other HPs'!AZ18,IF(SETUP!$G$56=3,$E$173*'Malaria-Equipment &amp; Other HPs'!BA18,IF(SETUP!$G$56=2,$E$173*'Malaria-Equipment &amp; Other HPs'!BB18,IF(SETUP!$G$56=1,$E$173*'Malaria-Equipment &amp; Other HPs'!BC18,0)))),0)</f>
        <v>0</v>
      </c>
      <c r="N175" s="920">
        <f>IF(SETUP!$F$56="At delivery",IF(SETUP!$G$56=4,$E$173*'Malaria-Equipment &amp; Other HPs'!BA18,IF(SETUP!$G$56=3,$E$173*'Malaria-Equipment &amp; Other HPs'!BB18,IF(SETUP!$G$56=2,$E$173*'Malaria-Equipment &amp; Other HPs'!BC18,IF(SETUP!$G$56=1,$E$173*'Malaria-Equipment &amp; Other HPs'!BD18,0)))),0)</f>
        <v>0</v>
      </c>
      <c r="O175" s="917">
        <f t="shared" si="22"/>
        <v>0</v>
      </c>
      <c r="P175" s="915">
        <f>IF(SETUP!$F$56="At delivery",IF(SETUP!$G$56=4,$E$173*'Malaria-Equipment &amp; Other HPs'!BB18,IF(SETUP!$G$56=3,$E$173*'Malaria-Equipment &amp; Other HPs'!BC18,IF(SETUP!$G$56=2,$E$173*'Malaria-Equipment &amp; Other HPs'!BD18,IF(SETUP!$G$56=1,$E$173*'Malaria-Equipment &amp; Other HPs'!BE18,0)))),0)</f>
        <v>0</v>
      </c>
      <c r="Q175" s="915">
        <f>IF(SETUP!$F$56="At delivery",IF(SETUP!$G$56=4,$E$173*'Malaria-Equipment &amp; Other HPs'!BC18,IF(SETUP!$G$56=3,$E$173*'Malaria-Equipment &amp; Other HPs'!BD18,IF(SETUP!$G$56=2,$E$173*'Malaria-Equipment &amp; Other HPs'!BE18,IF(SETUP!$G$56=1,$E$173*'Malaria-Equipment &amp; Other HPs'!BF18,0)))),0)</f>
        <v>0</v>
      </c>
      <c r="R175" s="915">
        <f>IF(SETUP!$F$56="At delivery",IF(SETUP!$G$56=4,$E$173*'Malaria-Equipment &amp; Other HPs'!BD18,IF(SETUP!$G$56=3,$E$173*'Malaria-Equipment &amp; Other HPs'!BE18,IF(SETUP!$G$56=2,$E$173*'Malaria-Equipment &amp; Other HPs'!BF18,IF(SETUP!$G$56=1,$E$173*'Malaria-Equipment &amp; Other HPs'!BG18,0)))),0)</f>
        <v>0</v>
      </c>
      <c r="S175" s="915">
        <f>IF(SETUP!$F$56="At delivery",IF(SETUP!$G$56=4,$E$173*('Malaria-Equipment &amp; Other HPs'!BE18+'Malaria-Equipment &amp; Other HPs'!BF18+'Malaria-Equipment &amp; Other HPs'!BG18+'Malaria-Equipment &amp; Other HPs'!BH18+'Malaria-Equipment &amp; Other HPs'!BI18),IF(SETUP!$G$56=3,$E$173*('Malaria-Equipment &amp; Other HPs'!BF18+'Malaria-Equipment &amp; Other HPs'!BG18+'Malaria-Equipment &amp; Other HPs'!BH18+'Malaria-Equipment &amp; Other HPs'!BI18),IF(SETUP!$G$56=2,$E$173*('Malaria-Equipment &amp; Other HPs'!BG18+'Malaria-Equipment &amp; Other HPs'!BH18+'Malaria-Equipment &amp; Other HPs'!BI18),IF(SETUP!$G$56=1,$E$173*('Malaria-Equipment &amp; Other HPs'!BH18+'Malaria-Equipment &amp; Other HPs'!BI18),0)))),0)</f>
        <v>0</v>
      </c>
      <c r="T175" s="916">
        <f t="shared" si="23"/>
        <v>0</v>
      </c>
      <c r="U175" s="915">
        <f t="shared" si="24"/>
        <v>0</v>
      </c>
      <c r="V175" s="1316">
        <v>7.2</v>
      </c>
      <c r="W175" s="1995"/>
      <c r="X175" s="1341"/>
    </row>
    <row r="176" spans="1:24" s="665" customFormat="1" ht="15" hidden="1" customHeight="1" collapsed="1" thickBot="1">
      <c r="A176" s="3197"/>
      <c r="B176" s="3198"/>
      <c r="C176" s="3188" t="s">
        <v>429</v>
      </c>
      <c r="D176" s="3188"/>
      <c r="E176" s="1245">
        <v>9.9999999999999998E-17</v>
      </c>
      <c r="F176" s="966">
        <f>IF(SETUP!$F$57="Upfront",F177,F178)</f>
        <v>0</v>
      </c>
      <c r="G176" s="915">
        <f>IF(SETUP!$F$57="Upfront",G177,G178)</f>
        <v>0</v>
      </c>
      <c r="H176" s="915">
        <f>IF(SETUP!$F$57="Upfront",H177,H178)</f>
        <v>0</v>
      </c>
      <c r="I176" s="915">
        <f>IF(SETUP!$F$57="Upfront",I177,I178)</f>
        <v>0</v>
      </c>
      <c r="J176" s="919">
        <f t="shared" si="21"/>
        <v>0</v>
      </c>
      <c r="K176" s="915">
        <f>IF(SETUP!$F$57="Upfront",K177,K178)</f>
        <v>0</v>
      </c>
      <c r="L176" s="915">
        <f>IF(SETUP!$F$57="Upfront",L177,L178)</f>
        <v>0</v>
      </c>
      <c r="M176" s="915">
        <f>IF(SETUP!$F$57="Upfront",M177,M178)</f>
        <v>0</v>
      </c>
      <c r="N176" s="915">
        <f>IF(SETUP!$F$57="Upfront",N177,N178)</f>
        <v>0</v>
      </c>
      <c r="O176" s="917">
        <f t="shared" si="22"/>
        <v>0</v>
      </c>
      <c r="P176" s="915">
        <f>IF(SETUP!$F$57="Upfront",P177,P178)</f>
        <v>0</v>
      </c>
      <c r="Q176" s="915">
        <f>IF(SETUP!$F$57="Upfront",Q177,Q178)</f>
        <v>0</v>
      </c>
      <c r="R176" s="915">
        <f>IF(SETUP!$F$57="Upfront",R177,R178)</f>
        <v>0</v>
      </c>
      <c r="S176" s="915">
        <f>IF(SETUP!$F$57="Upfront",S177,S178)</f>
        <v>0</v>
      </c>
      <c r="T176" s="916">
        <f t="shared" si="23"/>
        <v>0</v>
      </c>
      <c r="U176" s="915">
        <f t="shared" si="24"/>
        <v>0</v>
      </c>
      <c r="V176" s="1316">
        <v>7.2</v>
      </c>
      <c r="W176" s="1995"/>
      <c r="X176" s="1341"/>
    </row>
    <row r="177" spans="1:38" s="665" customFormat="1" ht="15" hidden="1" customHeight="1" outlineLevel="1">
      <c r="A177" s="3197"/>
      <c r="B177" s="3198"/>
      <c r="C177" s="3182" t="s">
        <v>777</v>
      </c>
      <c r="D177" s="3182"/>
      <c r="E177" s="1246"/>
      <c r="F177" s="966">
        <f>IF(SETUP!$F$57="Upfront",$E$176*'Malaria-Equipment &amp; Other HPs'!AX19,0)</f>
        <v>0</v>
      </c>
      <c r="G177" s="915">
        <f>IF(SETUP!$F$57="Upfront",$E$176*'Malaria-Equipment &amp; Other HPs'!AY19,0)</f>
        <v>0</v>
      </c>
      <c r="H177" s="915">
        <f>IF(SETUP!$F$57="Upfront",$E$176*'Malaria-Equipment &amp; Other HPs'!AZ19,0)</f>
        <v>0</v>
      </c>
      <c r="I177" s="915">
        <f>IF(SETUP!$F$57="Upfront",$E$176*'Malaria-Equipment &amp; Other HPs'!BA19,0)</f>
        <v>0</v>
      </c>
      <c r="J177" s="919">
        <f t="shared" si="21"/>
        <v>0</v>
      </c>
      <c r="K177" s="915">
        <f>IF(SETUP!$F$57="Upfront",$E$176*'Malaria-Equipment &amp; Other HPs'!BB19,0)</f>
        <v>0</v>
      </c>
      <c r="L177" s="915">
        <f>IF(SETUP!$F$57="Upfront",$E$176*'Malaria-Equipment &amp; Other HPs'!BC19,0)</f>
        <v>0</v>
      </c>
      <c r="M177" s="915">
        <f>IF(SETUP!$F$57="Upfront",$E$176*'Malaria-Equipment &amp; Other HPs'!BD19,0)</f>
        <v>0</v>
      </c>
      <c r="N177" s="915">
        <f>IF(SETUP!$F$57="Upfront",$E$176*'Malaria-Equipment &amp; Other HPs'!BE19,0)</f>
        <v>0</v>
      </c>
      <c r="O177" s="917">
        <f t="shared" si="22"/>
        <v>0</v>
      </c>
      <c r="P177" s="915">
        <f>IF(SETUP!$F$57="Upfront",$E$176*'Malaria-Equipment &amp; Other HPs'!BF19,0)</f>
        <v>0</v>
      </c>
      <c r="Q177" s="915">
        <f>IF(SETUP!$F$57="Upfront",$E$176*'Malaria-Equipment &amp; Other HPs'!BG19,0)</f>
        <v>0</v>
      </c>
      <c r="R177" s="915">
        <f>IF(SETUP!$F$57="Upfront",$E$176*'Malaria-Equipment &amp; Other HPs'!BH19,0)</f>
        <v>0</v>
      </c>
      <c r="S177" s="915">
        <f>IF(SETUP!$F$57="Upfront",$E$176*'Malaria-Equipment &amp; Other HPs'!BI19,0)</f>
        <v>0</v>
      </c>
      <c r="T177" s="916">
        <f t="shared" si="23"/>
        <v>0</v>
      </c>
      <c r="U177" s="915">
        <f t="shared" si="24"/>
        <v>0</v>
      </c>
      <c r="V177" s="1316">
        <v>7.2</v>
      </c>
      <c r="W177" s="1995"/>
      <c r="X177" s="1341"/>
    </row>
    <row r="178" spans="1:38" s="665" customFormat="1" ht="15" hidden="1" customHeight="1" outlineLevel="1">
      <c r="A178" s="3197"/>
      <c r="B178" s="3198"/>
      <c r="C178" s="3182" t="s">
        <v>36</v>
      </c>
      <c r="D178" s="3182"/>
      <c r="E178" s="1246"/>
      <c r="F178" s="966">
        <v>0</v>
      </c>
      <c r="G178" s="921">
        <f>IF(SETUP!$F$57="At delivery",IF(SETUP!$G$57=1,$E$176*'Malaria-Equipment &amp; Other HPs'!AX19,0),0)</f>
        <v>0</v>
      </c>
      <c r="H178" s="920">
        <f>IF(SETUP!$F$57="At delivery",IF(SETUP!$G$57=2,$E$176*'Malaria-Equipment &amp; Other HPs'!AX19,IF(SETUP!$G$57=1,$E$176*'Malaria-Equipment &amp; Other HPs'!AY19,0)),0)</f>
        <v>0</v>
      </c>
      <c r="I178" s="920">
        <f>IF(SETUP!$F$57="At delivery",IF(SETUP!$G$57=3,$E$176*'Malaria-Equipment &amp; Other HPs'!AX19,IF(SETUP!$G$57=2,$E$176*'Malaria-Equipment &amp; Other HPs'!AY19,IF(SETUP!$G$57=1,$E$176*'Malaria-Equipment &amp; Other HPs'!AZ19,0))),0)</f>
        <v>0</v>
      </c>
      <c r="J178" s="919">
        <f t="shared" si="21"/>
        <v>0</v>
      </c>
      <c r="K178" s="920">
        <f>IF(SETUP!$F$57="At delivery",IF(SETUP!$G$57=4,$E$176*'Malaria-Equipment &amp; Other HPs'!AX19,IF(SETUP!$G$57=3,$E$176*'Malaria-Equipment &amp; Other HPs'!AY19,IF(SETUP!$G$57=2,$E$176*'Malaria-Equipment &amp; Other HPs'!AZ19,IF(SETUP!$G$57=1,$E$176*'Malaria-Equipment &amp; Other HPs'!BA19,0)))),0)</f>
        <v>0</v>
      </c>
      <c r="L178" s="920">
        <f>IF(SETUP!$F$57="At delivery",IF(SETUP!$G$57=4,$E$176*'Malaria-Equipment &amp; Other HPs'!AY19,IF(SETUP!$G$57=3,$E$176*'Malaria-Equipment &amp; Other HPs'!AZ19,IF(SETUP!$G$57=2,$E$176*'Malaria-Equipment &amp; Other HPs'!BA19,IF(SETUP!$G$57=1,$E$176*'Malaria-Equipment &amp; Other HPs'!BB19,0)))),0)</f>
        <v>0</v>
      </c>
      <c r="M178" s="920">
        <f>IF(SETUP!$F$57="At delivery",IF(SETUP!$G$57=4,$E$176*'Malaria-Equipment &amp; Other HPs'!AZ19,IF(SETUP!$G$57=3,$E$176*'Malaria-Equipment &amp; Other HPs'!BA19,IF(SETUP!$G$57=2,$E$176*'Malaria-Equipment &amp; Other HPs'!BB19,IF(SETUP!$G$57=1,$E$176*'Malaria-Equipment &amp; Other HPs'!BC19,0)))),0)</f>
        <v>0</v>
      </c>
      <c r="N178" s="920">
        <f>IF(SETUP!$F$57="At delivery",IF(SETUP!$G$57=4,$E$176*'Malaria-Equipment &amp; Other HPs'!BA19,IF(SETUP!$G$57=3,$E$176*'Malaria-Equipment &amp; Other HPs'!BB19,IF(SETUP!$G$57=2,$E$176*'Malaria-Equipment &amp; Other HPs'!BC19,IF(SETUP!$G$57=1,$E$176*'Malaria-Equipment &amp; Other HPs'!BD19,0)))),0)</f>
        <v>0</v>
      </c>
      <c r="O178" s="917">
        <f t="shared" si="22"/>
        <v>0</v>
      </c>
      <c r="P178" s="915">
        <f>IF(SETUP!$F$57="At delivery",IF(SETUP!$G$57=4,$E$176*'Malaria-Equipment &amp; Other HPs'!BB19,IF(SETUP!$G$57=3,$E$176*'Malaria-Equipment &amp; Other HPs'!BC19,IF(SETUP!$G$57=2,$E$176*'Malaria-Equipment &amp; Other HPs'!BD19,IF(SETUP!$G$57=1,$E$176*'Malaria-Equipment &amp; Other HPs'!BE19,0)))),0)</f>
        <v>0</v>
      </c>
      <c r="Q178" s="915">
        <f>IF(SETUP!$F$57="At delivery",IF(SETUP!$G$57=4,$E$176*'Malaria-Equipment &amp; Other HPs'!BC19,IF(SETUP!$G$57=3,$E$176*'Malaria-Equipment &amp; Other HPs'!BD19,IF(SETUP!$G$57=2,$E$176*'Malaria-Equipment &amp; Other HPs'!BE19,IF(SETUP!$G$57=1,$E$176*'Malaria-Equipment &amp; Other HPs'!BF19,0)))),0)</f>
        <v>0</v>
      </c>
      <c r="R178" s="915">
        <f>IF(SETUP!$F$57="At delivery",IF(SETUP!$G$57=4,$E$176*'Malaria-Equipment &amp; Other HPs'!BD19,IF(SETUP!$G$57=3,$E$176*'Malaria-Equipment &amp; Other HPs'!BE19,IF(SETUP!$G$57=2,$E$176*'Malaria-Equipment &amp; Other HPs'!BF19,IF(SETUP!$G$57=1,$E$176*'Malaria-Equipment &amp; Other HPs'!BG19,0)))),0)</f>
        <v>0</v>
      </c>
      <c r="S178" s="915">
        <f>IF(SETUP!$F$57="At delivery",IF(SETUP!$G$57=4,$E$176*('Malaria-Equipment &amp; Other HPs'!BE19+'Malaria-Equipment &amp; Other HPs'!BF19+'Malaria-Equipment &amp; Other HPs'!BG19+'Malaria-Equipment &amp; Other HPs'!BH19+'Malaria-Equipment &amp; Other HPs'!BI19),IF(SETUP!$G$57=3,$E$176*('Malaria-Equipment &amp; Other HPs'!BF19+'Malaria-Equipment &amp; Other HPs'!BG19+'Malaria-Equipment &amp; Other HPs'!BH19+'Malaria-Equipment &amp; Other HPs'!BI19),IF(SETUP!$G$57=2,$E$176*('Malaria-Equipment &amp; Other HPs'!BG19+'Malaria-Equipment &amp; Other HPs'!BH19+'Malaria-Equipment &amp; Other HPs'!BI19),IF(SETUP!$G$57=1,$E$176*('Malaria-Equipment &amp; Other HPs'!BH19+'Malaria-Equipment &amp; Other HPs'!BI19),0)))),0)</f>
        <v>0</v>
      </c>
      <c r="T178" s="916">
        <f t="shared" si="23"/>
        <v>0</v>
      </c>
      <c r="U178" s="915">
        <f t="shared" si="24"/>
        <v>0</v>
      </c>
      <c r="V178" s="1316">
        <v>7.2</v>
      </c>
      <c r="W178" s="1995"/>
      <c r="X178" s="1341"/>
    </row>
    <row r="179" spans="1:38" s="665" customFormat="1" ht="15" hidden="1" customHeight="1" collapsed="1" thickBot="1">
      <c r="A179" s="3199"/>
      <c r="B179" s="3200"/>
      <c r="C179" s="3204" t="s">
        <v>459</v>
      </c>
      <c r="D179" s="3204"/>
      <c r="E179" s="1245">
        <v>9.9999999999999998E-17</v>
      </c>
      <c r="F179" s="1025">
        <f>IF(SETUP!$F$58="Upfront",F180,F181)</f>
        <v>0</v>
      </c>
      <c r="G179" s="969">
        <f>IF(SETUP!$F$58="Upfront",G180,G181)</f>
        <v>0</v>
      </c>
      <c r="H179" s="969">
        <f>IF(SETUP!$F$58="Upfront",H180,H181)</f>
        <v>0</v>
      </c>
      <c r="I179" s="969">
        <f>IF(SETUP!$F$58="Upfront",I180,I181)</f>
        <v>0</v>
      </c>
      <c r="J179" s="970">
        <f t="shared" si="21"/>
        <v>0</v>
      </c>
      <c r="K179" s="969">
        <f>IF(SETUP!$F$58="Upfront",K180,K181)</f>
        <v>0</v>
      </c>
      <c r="L179" s="969">
        <f>IF(SETUP!$F$58="Upfront",L180,L181)</f>
        <v>0</v>
      </c>
      <c r="M179" s="969">
        <f>IF(SETUP!$F$58="Upfront",M180,M181)</f>
        <v>0</v>
      </c>
      <c r="N179" s="969">
        <f>IF(SETUP!$F$58="Upfront",N180,N181)</f>
        <v>0</v>
      </c>
      <c r="O179" s="971">
        <f t="shared" si="22"/>
        <v>0</v>
      </c>
      <c r="P179" s="969">
        <f>IF(SETUP!$F$58="Upfront",P180,P181)</f>
        <v>0</v>
      </c>
      <c r="Q179" s="969">
        <f>IF(SETUP!$F$58="Upfront",Q180,Q181)</f>
        <v>0</v>
      </c>
      <c r="R179" s="969">
        <f>IF(SETUP!$F$58="Upfront",R180,R181)</f>
        <v>0</v>
      </c>
      <c r="S179" s="969">
        <f>IF(SETUP!$F$58="Upfront",S180,S181)</f>
        <v>0</v>
      </c>
      <c r="T179" s="972">
        <f t="shared" si="23"/>
        <v>0</v>
      </c>
      <c r="U179" s="969">
        <f t="shared" si="24"/>
        <v>0</v>
      </c>
      <c r="V179" s="1317">
        <v>7.2</v>
      </c>
      <c r="W179" s="2000"/>
      <c r="X179" s="1342"/>
    </row>
    <row r="180" spans="1:38" s="665" customFormat="1" ht="15" hidden="1" customHeight="1" outlineLevel="1">
      <c r="A180" s="1027"/>
      <c r="B180" s="1028"/>
      <c r="C180" s="3241" t="s">
        <v>777</v>
      </c>
      <c r="D180" s="3241"/>
      <c r="E180" s="1218"/>
      <c r="F180" s="922">
        <f>IF(SETUP!$F$58="Upfront",$E$179*'Malaria-Equipment &amp; Other HPs'!AX20,0)</f>
        <v>0</v>
      </c>
      <c r="G180" s="922">
        <f>IF(SETUP!$F$58="Upfront",$E$179*'Malaria-Equipment &amp; Other HPs'!AY20,0)</f>
        <v>0</v>
      </c>
      <c r="H180" s="922">
        <f>IF(SETUP!$F$58="Upfront",$E$179*'Malaria-Equipment &amp; Other HPs'!AZ20,0)</f>
        <v>0</v>
      </c>
      <c r="I180" s="922">
        <f>IF(SETUP!$F$58="Upfront",$E$179*'Malaria-Equipment &amp; Other HPs'!BA20,0)</f>
        <v>0</v>
      </c>
      <c r="J180" s="923"/>
      <c r="K180" s="922">
        <f>IF(SETUP!$F$58="Upfront",$E$179*'Malaria-Equipment &amp; Other HPs'!BB20,0)</f>
        <v>0</v>
      </c>
      <c r="L180" s="922">
        <f>IF(SETUP!$F$58="Upfront",$E$179*'Malaria-Equipment &amp; Other HPs'!BC20,0)</f>
        <v>0</v>
      </c>
      <c r="M180" s="922">
        <f>IF(SETUP!$F$58="Upfront",$E$179*'Malaria-Equipment &amp; Other HPs'!BD20,0)</f>
        <v>0</v>
      </c>
      <c r="N180" s="922">
        <f>IF(SETUP!$F$58="Upfront",$E$179*'Malaria-Equipment &amp; Other HPs'!BE20,0)</f>
        <v>0</v>
      </c>
      <c r="O180" s="924"/>
      <c r="P180" s="922">
        <f>IF(SETUP!$F$58="Upfront",$E$179*'Malaria-Equipment &amp; Other HPs'!BF20,0)</f>
        <v>0</v>
      </c>
      <c r="Q180" s="922">
        <f>IF(SETUP!$F$58="Upfront",$E$179*'Malaria-Equipment &amp; Other HPs'!BG20,0)</f>
        <v>0</v>
      </c>
      <c r="R180" s="922">
        <f>IF(SETUP!$F$58="Upfront",$E$179*'Malaria-Equipment &amp; Other HPs'!BH20,0)</f>
        <v>0</v>
      </c>
      <c r="S180" s="922">
        <f>IF(SETUP!$F$58="Upfront",$E$179*'Malaria-Equipment &amp; Other HPs'!BI20,0)</f>
        <v>0</v>
      </c>
      <c r="T180" s="925"/>
      <c r="U180" s="922"/>
      <c r="V180" s="1356"/>
      <c r="W180" s="2001"/>
    </row>
    <row r="181" spans="1:38" s="665" customFormat="1" ht="15" hidden="1" customHeight="1" outlineLevel="1" thickBot="1">
      <c r="A181" s="976"/>
      <c r="B181" s="977"/>
      <c r="C181" s="3244" t="s">
        <v>36</v>
      </c>
      <c r="D181" s="3244"/>
      <c r="E181" s="1217"/>
      <c r="F181" s="926">
        <v>0</v>
      </c>
      <c r="G181" s="927">
        <f>IF(SETUP!$F$58="At delivery",IF(SETUP!$G$58=1,$E$179*'Malaria-Equipment &amp; Other HPs'!AX20,0),0)</f>
        <v>0</v>
      </c>
      <c r="H181" s="928">
        <f>IF(SETUP!$F$58="At delivery",IF(SETUP!$G$58=2,$E$179*'Malaria-Equipment &amp; Other HPs'!AX20,IF(SETUP!$G$58=1,$E$179*'Malaria-Equipment &amp; Other HPs'!AY20,0)),0)</f>
        <v>0</v>
      </c>
      <c r="I181" s="928">
        <f>IF(SETUP!$F$58="At delivery",IF(SETUP!$G$58=3,$E$179*'Malaria-Equipment &amp; Other HPs'!AX20,IF(SETUP!$G$58=2,$E$179*'Malaria-Equipment &amp; Other HPs'!AY20,IF(SETUP!$G$58=1,$E$179*'Malaria-Equipment &amp; Other HPs'!AZ20,0))),0)</f>
        <v>0</v>
      </c>
      <c r="J181" s="911"/>
      <c r="K181" s="928">
        <f>IF(SETUP!$F$58="At delivery",IF(SETUP!$G$58=4,$E$179*'Malaria-Equipment &amp; Other HPs'!AX20,IF(SETUP!$G$58=3,$E$179*'Malaria-Equipment &amp; Other HPs'!AY20,IF(SETUP!$G$58=2,$E$179*'Malaria-Equipment &amp; Other HPs'!AZ20,IF(SETUP!$G$58=1,$E$179*'Malaria-Equipment &amp; Other HPs'!BA20,0)))),0)</f>
        <v>0</v>
      </c>
      <c r="L181" s="928">
        <f>IF(SETUP!$F$58="At delivery",IF(SETUP!$G$58=4,$E$179*'Malaria-Equipment &amp; Other HPs'!AY20,IF(SETUP!$G$58=3,$E$179*'Malaria-Equipment &amp; Other HPs'!AZ20,IF(SETUP!$G$58=2,$E$179*'Malaria-Equipment &amp; Other HPs'!BA20,IF(SETUP!$G$58=1,$E$179*'Malaria-Equipment &amp; Other HPs'!BB20,0)))),0)</f>
        <v>0</v>
      </c>
      <c r="M181" s="928">
        <f>IF(SETUP!$F$58="At delivery",IF(SETUP!$G$58=4,$E$179*'Malaria-Equipment &amp; Other HPs'!AZ20,IF(SETUP!$G$58=3,$E$179*'Malaria-Equipment &amp; Other HPs'!BA20,IF(SETUP!$G$58=2,$E$179*'Malaria-Equipment &amp; Other HPs'!BB20,IF(SETUP!$G$58=1,$E$179*'Malaria-Equipment &amp; Other HPs'!BC20,0)))),0)</f>
        <v>0</v>
      </c>
      <c r="N181" s="928">
        <f>IF(SETUP!$F$58="At delivery",IF(SETUP!$G$58=4,$E$179*'Malaria-Equipment &amp; Other HPs'!BA20,IF(SETUP!$G$58=3,$E$179*'Malaria-Equipment &amp; Other HPs'!BB20,IF(SETUP!$G$58=2,$E$179*'Malaria-Equipment &amp; Other HPs'!BC20,IF(SETUP!$G$58=1,$E$179*'Malaria-Equipment &amp; Other HPs'!BD20,0)))),0)</f>
        <v>0</v>
      </c>
      <c r="O181" s="929"/>
      <c r="P181" s="926">
        <f>IF(SETUP!$F$58="At delivery",IF(SETUP!$G$58=4,$E$179*'Malaria-Equipment &amp; Other HPs'!BB20,IF(SETUP!$G$58=3,$E$179*'Malaria-Equipment &amp; Other HPs'!BC20,IF(SETUP!$G$58=2,$E$179*'Malaria-Equipment &amp; Other HPs'!BD20,IF(SETUP!$G$58=1,$E$179*'Malaria-Equipment &amp; Other HPs'!BE20,0)))),0)</f>
        <v>0</v>
      </c>
      <c r="Q181" s="926">
        <f>IF(SETUP!$F$58="At delivery",IF(SETUP!$G$58=4,$E$179*'Malaria-Equipment &amp; Other HPs'!BC20,IF(SETUP!$G$58=3,$E$179*'Malaria-Equipment &amp; Other HPs'!BD20,IF(SETUP!$G$58=2,$E$179*'Malaria-Equipment &amp; Other HPs'!BE20,IF(SETUP!$G$58=1,$E$179*'Malaria-Equipment &amp; Other HPs'!BF20,0)))),0)</f>
        <v>0</v>
      </c>
      <c r="R181" s="926">
        <f>IF(SETUP!$F$58="At delivery",IF(SETUP!$G$58=4,$E$179*'Malaria-Equipment &amp; Other HPs'!BD20,IF(SETUP!$G$58=3,$E$179*'Malaria-Equipment &amp; Other HPs'!BE20,IF(SETUP!$G$58=2,$E$179*'Malaria-Equipment &amp; Other HPs'!BF20,IF(SETUP!$G$58=1,$E$179*'Malaria-Equipment &amp; Other HPs'!BG20,0)))),0)</f>
        <v>0</v>
      </c>
      <c r="S181" s="926">
        <f>IF(SETUP!$F$58="At delivery",IF(SETUP!$G$58=4,$E$179*('Malaria-Equipment &amp; Other HPs'!BE20+'Malaria-Equipment &amp; Other HPs'!BF20+'Malaria-Equipment &amp; Other HPs'!BG20+'Malaria-Equipment &amp; Other HPs'!BH20+'Malaria-Equipment &amp; Other HPs'!BI20),IF(SETUP!$G$58=3,$E$179*('Malaria-Equipment &amp; Other HPs'!BF20+'Malaria-Equipment &amp; Other HPs'!BG20+'Malaria-Equipment &amp; Other HPs'!BH20+'Malaria-Equipment &amp; Other HPs'!BI20),IF(SETUP!$G$58=2,$E$179*('Malaria-Equipment &amp; Other HPs'!BG20+'Malaria-Equipment &amp; Other HPs'!BH20+'Malaria-Equipment &amp; Other HPs'!BI20),IF(SETUP!$G$58=1,$E$179*('Malaria-Equipment &amp; Other HPs'!BH20+'Malaria-Equipment &amp; Other HPs'!BI20),0)))),0)</f>
        <v>0</v>
      </c>
      <c r="T181" s="930">
        <f>P181+Q181+R181+S181</f>
        <v>0</v>
      </c>
      <c r="U181" s="926"/>
      <c r="V181" s="1357"/>
      <c r="W181" s="2002"/>
    </row>
    <row r="182" spans="1:38" s="665" customFormat="1" ht="15" customHeight="1" collapsed="1">
      <c r="A182" s="667"/>
      <c r="B182" s="667"/>
      <c r="C182" s="668"/>
      <c r="D182" s="669"/>
      <c r="E182" s="670"/>
      <c r="F182" s="669"/>
      <c r="G182" s="669"/>
      <c r="H182" s="669"/>
      <c r="I182" s="671"/>
      <c r="U182" s="1718">
        <f>U101+U104+U107+U110+U113+U116+U119+U122+U125+U128+U131+U134+U137+U140+U143+U146+U149+U152+U155+U158+U161+U164+U167+U170+U173+U176+U179</f>
        <v>7.0106886799999998E-10</v>
      </c>
      <c r="V182" s="736"/>
      <c r="W182" s="1998"/>
      <c r="Y182" s="672"/>
      <c r="Z182" s="669"/>
      <c r="AA182" s="669"/>
      <c r="AB182" s="669"/>
      <c r="AC182" s="669"/>
      <c r="AD182" s="669"/>
      <c r="AE182" s="669"/>
      <c r="AF182" s="669"/>
      <c r="AG182" s="669"/>
      <c r="AH182" s="669"/>
      <c r="AI182" s="669"/>
      <c r="AJ182" s="669"/>
      <c r="AK182" s="669"/>
      <c r="AL182" s="669"/>
    </row>
    <row r="183" spans="1:38" s="1081" customFormat="1" ht="24" customHeight="1" thickBot="1">
      <c r="A183" s="3205" t="s">
        <v>2664</v>
      </c>
      <c r="B183" s="3205"/>
      <c r="C183" s="3205"/>
      <c r="D183" s="3205"/>
      <c r="E183" s="3205"/>
      <c r="F183" s="1080"/>
      <c r="G183" s="1080"/>
      <c r="H183" s="1080"/>
      <c r="V183" s="1082"/>
      <c r="W183" s="1999"/>
      <c r="Y183" s="672"/>
      <c r="Z183" s="1080"/>
      <c r="AA183" s="1080"/>
      <c r="AB183" s="1080"/>
      <c r="AC183" s="1080"/>
      <c r="AD183" s="1080"/>
      <c r="AE183" s="1080"/>
      <c r="AF183" s="1080"/>
      <c r="AG183" s="1080"/>
      <c r="AH183" s="1080"/>
      <c r="AI183" s="1080"/>
      <c r="AJ183" s="1080"/>
      <c r="AK183" s="1080"/>
      <c r="AL183" s="1080"/>
    </row>
    <row r="184" spans="1:38" s="665" customFormat="1" ht="15" customHeight="1">
      <c r="A184" s="3233" t="str">
        <f>A98</f>
        <v>Tipo de producto sanitario</v>
      </c>
      <c r="B184" s="3234"/>
      <c r="C184" s="3234"/>
      <c r="D184" s="3234"/>
      <c r="E184" s="3206" t="str">
        <f>VLOOKUP("Estimated QA/QC % fee (7.5)",Language!$D$794:$G$881,$L$1,FALSE)</f>
        <v>Honorario estimado en % de aseguramiento y control de la calidad (7.5)</v>
      </c>
      <c r="F184" s="3209">
        <f>IF(ISBLANK(IMP_ST_DATE),SETUP!$A$3,YEAR(IMP_ST_DATE))</f>
        <v>2022</v>
      </c>
      <c r="G184" s="3210"/>
      <c r="H184" s="3210"/>
      <c r="I184" s="3210"/>
      <c r="J184" s="3211"/>
      <c r="K184" s="3210">
        <f>IF(ISBLANK(IMP_ST_DATE),SETUP!$A$3,YEAR(IMP_ST_DATE)+1)</f>
        <v>2023</v>
      </c>
      <c r="L184" s="3210"/>
      <c r="M184" s="3210"/>
      <c r="N184" s="3210"/>
      <c r="O184" s="3221"/>
      <c r="P184" s="3223">
        <f>IF(ISBLANK(IMP_ST_DATE),SETUP!$A$3,YEAR(IMP_ST_DATE)+2)</f>
        <v>2024</v>
      </c>
      <c r="Q184" s="3215"/>
      <c r="R184" s="3215"/>
      <c r="S184" s="3215"/>
      <c r="T184" s="3224"/>
      <c r="U184" s="3287" t="str">
        <f>U98</f>
        <v>Total del período de subvención</v>
      </c>
      <c r="V184" s="3291" t="str">
        <f>V98</f>
        <v>Finanzas</v>
      </c>
      <c r="W184" s="3284" t="str">
        <f>W98</f>
        <v>Comentarios</v>
      </c>
      <c r="X184" s="3281"/>
      <c r="Y184" s="3250" t="s">
        <v>144</v>
      </c>
    </row>
    <row r="185" spans="1:38" s="665" customFormat="1" ht="14.25" customHeight="1" thickBot="1">
      <c r="A185" s="3235"/>
      <c r="B185" s="3236"/>
      <c r="C185" s="3236"/>
      <c r="D185" s="3236"/>
      <c r="E185" s="3207"/>
      <c r="F185" s="3212"/>
      <c r="G185" s="3213"/>
      <c r="H185" s="3213"/>
      <c r="I185" s="3213"/>
      <c r="J185" s="3214"/>
      <c r="K185" s="3213"/>
      <c r="L185" s="3213"/>
      <c r="M185" s="3213"/>
      <c r="N185" s="3213"/>
      <c r="O185" s="3222"/>
      <c r="P185" s="3225"/>
      <c r="Q185" s="3217"/>
      <c r="R185" s="3217"/>
      <c r="S185" s="3217"/>
      <c r="T185" s="3226"/>
      <c r="U185" s="3288"/>
      <c r="V185" s="3292"/>
      <c r="W185" s="3286"/>
      <c r="X185" s="3282"/>
      <c r="Y185" s="3251"/>
    </row>
    <row r="186" spans="1:38" s="666" customFormat="1" ht="50.25" customHeight="1" thickBot="1">
      <c r="A186" s="3237"/>
      <c r="B186" s="3238"/>
      <c r="C186" s="3238"/>
      <c r="D186" s="3238"/>
      <c r="E186" s="3208"/>
      <c r="F186" s="651" t="str">
        <f>F100</f>
        <v>Costo del A1, T1</v>
      </c>
      <c r="G186" s="961" t="str">
        <f t="shared" ref="G186:V186" si="25">G100</f>
        <v>Costo del A1, T2</v>
      </c>
      <c r="H186" s="961" t="str">
        <f t="shared" si="25"/>
        <v>Costo del A1, T3</v>
      </c>
      <c r="I186" s="961" t="str">
        <f t="shared" si="25"/>
        <v>Costo del A1, T4</v>
      </c>
      <c r="J186" s="1367" t="str">
        <f t="shared" si="25"/>
        <v>Costo total del A1</v>
      </c>
      <c r="K186" s="961" t="str">
        <f t="shared" si="25"/>
        <v>Costo del A2, T1</v>
      </c>
      <c r="L186" s="961" t="str">
        <f t="shared" si="25"/>
        <v>Costo del A2, T2</v>
      </c>
      <c r="M186" s="961" t="str">
        <f t="shared" si="25"/>
        <v>Costo del A2, T3</v>
      </c>
      <c r="N186" s="961" t="str">
        <f t="shared" si="25"/>
        <v>Costo del A2, T4</v>
      </c>
      <c r="O186" s="962" t="str">
        <f t="shared" si="25"/>
        <v>Costo total del A2</v>
      </c>
      <c r="P186" s="961" t="str">
        <f t="shared" si="25"/>
        <v>Costo del A3, T1</v>
      </c>
      <c r="Q186" s="961" t="str">
        <f t="shared" si="25"/>
        <v>Costo del A3, T2</v>
      </c>
      <c r="R186" s="961" t="str">
        <f t="shared" si="25"/>
        <v>Costo del A3, T3</v>
      </c>
      <c r="S186" s="961" t="str">
        <f t="shared" si="25"/>
        <v>Costo del A3, T4</v>
      </c>
      <c r="T186" s="962" t="str">
        <f t="shared" si="25"/>
        <v>Costo total del A3</v>
      </c>
      <c r="U186" s="961" t="str">
        <f t="shared" si="25"/>
        <v xml:space="preserve">Costo total </v>
      </c>
      <c r="V186" s="1314" t="str">
        <f t="shared" si="25"/>
        <v>Categoría de costos</v>
      </c>
      <c r="W186" s="3285"/>
      <c r="X186" s="3283"/>
    </row>
    <row r="187" spans="1:38" s="665" customFormat="1" ht="15" customHeight="1" thickBot="1">
      <c r="A187" s="3191" t="s">
        <v>435</v>
      </c>
      <c r="B187" s="3192"/>
      <c r="C187" s="3203" t="s">
        <v>436</v>
      </c>
      <c r="D187" s="3203"/>
      <c r="E187" s="1245">
        <v>0</v>
      </c>
      <c r="F187" s="994">
        <f>IF(SETUP!$F$20="Upfront",F188,F189)</f>
        <v>0</v>
      </c>
      <c r="G187" s="995">
        <f>IF(SETUP!$F$20="Upfront",G188,G189)</f>
        <v>0</v>
      </c>
      <c r="H187" s="996">
        <f>IF(SETUP!$F$20="Upfront",H188,H189)</f>
        <v>0</v>
      </c>
      <c r="I187" s="996">
        <f>IF(SETUP!$F$20="Upfront",I188,I189)</f>
        <v>0</v>
      </c>
      <c r="J187" s="997">
        <f>F187+G187+H187+I187</f>
        <v>0</v>
      </c>
      <c r="K187" s="996">
        <f>IF(SETUP!$F$20="Upfront",K188,K189)</f>
        <v>0</v>
      </c>
      <c r="L187" s="996">
        <f>IF(SETUP!$F$20="Upfront",L188,L189)</f>
        <v>0</v>
      </c>
      <c r="M187" s="996">
        <f>IF(SETUP!$F$20="Upfront",M188,M189)</f>
        <v>0</v>
      </c>
      <c r="N187" s="996">
        <f>IF(SETUP!$F$20="Upfront",N188,N189)</f>
        <v>0</v>
      </c>
      <c r="O187" s="998">
        <f>K187+L187+M187+N187</f>
        <v>0</v>
      </c>
      <c r="P187" s="999">
        <f>IF(SETUP!$F$20="Upfront",P188,P189)</f>
        <v>0</v>
      </c>
      <c r="Q187" s="999">
        <f>IF(SETUP!$F$20="Upfront",Q188,Q189)</f>
        <v>0</v>
      </c>
      <c r="R187" s="999">
        <f>IF(SETUP!$F$20="Upfront",R188,R189)</f>
        <v>0</v>
      </c>
      <c r="S187" s="999">
        <f>IF(SETUP!$F$20="Upfront",S188,S189)</f>
        <v>0</v>
      </c>
      <c r="T187" s="1000">
        <f>P187+Q187+R187+S187</f>
        <v>0</v>
      </c>
      <c r="U187" s="999">
        <f>J187+O187+T187</f>
        <v>0</v>
      </c>
      <c r="V187" s="1315">
        <v>7.5</v>
      </c>
      <c r="W187" s="1994"/>
      <c r="X187" s="1340"/>
      <c r="AA187" s="1723"/>
    </row>
    <row r="188" spans="1:38" s="665" customFormat="1" ht="15" hidden="1" customHeight="1" outlineLevel="1">
      <c r="A188" s="3193"/>
      <c r="B188" s="3194"/>
      <c r="C188" s="3182" t="s">
        <v>777</v>
      </c>
      <c r="D188" s="3182"/>
      <c r="E188" s="1246"/>
      <c r="F188" s="966">
        <f>IF(SETUP!$F$20="Upfront",$E$187*'HIV-Pharmaceuticals'!AX14,0)</f>
        <v>0</v>
      </c>
      <c r="G188" s="921">
        <f>IF(SETUP!$F$20="Upfront",$E$187*'HIV-Pharmaceuticals'!AY14,0)</f>
        <v>0</v>
      </c>
      <c r="H188" s="920">
        <f>IF(SETUP!$F$20="Upfront",$E$187*'HIV-Pharmaceuticals'!AZ14,0)</f>
        <v>0</v>
      </c>
      <c r="I188" s="920">
        <f>IF(SETUP!$F$20="Upfront",$E$187*'HIV-Pharmaceuticals'!BA14,0)</f>
        <v>0</v>
      </c>
      <c r="J188" s="919">
        <f>'HPM costs'!$F188+'HPM costs'!$G188+'HPM costs'!$H188+'HPM costs'!$I188</f>
        <v>0</v>
      </c>
      <c r="K188" s="920">
        <f>IF(SETUP!$F$20="Upfront",$E$187*'HIV-Pharmaceuticals'!BB14,0)</f>
        <v>0</v>
      </c>
      <c r="L188" s="920">
        <f>IF(SETUP!$F$20="Upfront",$E$187*'HIV-Pharmaceuticals'!BC14,0)</f>
        <v>0</v>
      </c>
      <c r="M188" s="920">
        <f>IF(SETUP!$F$20="Upfront",$E$187*'HIV-Pharmaceuticals'!BD14,0)</f>
        <v>0</v>
      </c>
      <c r="N188" s="920">
        <f>IF(SETUP!$F$20="Upfront",$E$187*'HIV-Pharmaceuticals'!BE14,0)</f>
        <v>0</v>
      </c>
      <c r="O188" s="917">
        <f>'HPM costs'!$F188+'HPM costs'!$G188+'HPM costs'!$H188+'HPM costs'!$I188</f>
        <v>0</v>
      </c>
      <c r="P188" s="915">
        <f>IF(SETUP!$F$20="Upfront",$E$187*'HIV-Pharmaceuticals'!BF14,0)</f>
        <v>0</v>
      </c>
      <c r="Q188" s="915">
        <f>IF(SETUP!$F$20="Upfront",$E$187*'HIV-Pharmaceuticals'!BG14,0)</f>
        <v>0</v>
      </c>
      <c r="R188" s="915">
        <f>IF(SETUP!$F$20="Upfront",$E$187*'HIV-Pharmaceuticals'!BH14,0)</f>
        <v>0</v>
      </c>
      <c r="S188" s="915">
        <f>IF(SETUP!$F$20="Upfront",$E$187*'HIV-Pharmaceuticals'!BI14,0)</f>
        <v>0</v>
      </c>
      <c r="T188" s="916">
        <f>'HPM costs'!$F188+'HPM costs'!$G188+'HPM costs'!$H188+'HPM costs'!$I188</f>
        <v>0</v>
      </c>
      <c r="U188" s="915">
        <f>'HPM costs'!$J188+'HPM costs'!$O188+'HPM costs'!$T188</f>
        <v>0</v>
      </c>
      <c r="V188" s="1316"/>
      <c r="W188" s="1995"/>
      <c r="X188" s="1341"/>
      <c r="AA188" s="1721"/>
    </row>
    <row r="189" spans="1:38" s="665" customFormat="1" ht="15" hidden="1" customHeight="1" outlineLevel="1" thickBot="1">
      <c r="A189" s="3193"/>
      <c r="B189" s="3194"/>
      <c r="C189" s="3182" t="s">
        <v>36</v>
      </c>
      <c r="D189" s="3182"/>
      <c r="E189" s="1246"/>
      <c r="F189" s="966">
        <v>0</v>
      </c>
      <c r="G189" s="921">
        <f>IF(SETUP!$F$20="At delivery",IF(SETUP!$G$20=1,$E$187*'HIV-Pharmaceuticals'!AX14,0),0)</f>
        <v>0</v>
      </c>
      <c r="H189" s="920">
        <f>IF(SETUP!$F$20="At delivery",IF(SETUP!$G$20=2,$E$187*'HIV-Pharmaceuticals'!AX14,IF(SETUP!$G$20=1,$E$187*'HIV-Pharmaceuticals'!AY14,0)),0)</f>
        <v>0</v>
      </c>
      <c r="I189" s="920">
        <f>IF(SETUP!$F$20="At delivery",IF(SETUP!$G$20=3,$E$187*'HIV-Pharmaceuticals'!AX14,IF(SETUP!$G$20=2,$E$187*'HIV-Pharmaceuticals'!AY14,IF(SETUP!$G$20=1,$E$187*'HIV-Pharmaceuticals'!AZ14,0))),0)</f>
        <v>0</v>
      </c>
      <c r="J189" s="919">
        <f>'HPM costs'!$F189+'HPM costs'!$G189+'HPM costs'!$H189+'HPM costs'!$I189</f>
        <v>0</v>
      </c>
      <c r="K189" s="920">
        <f>IF(SETUP!$F$20="At delivery",IF(SETUP!$G$20=4,$E$187*'HIV-Pharmaceuticals'!AX14,IF(SETUP!$G$20=3,$E$187*'HIV-Pharmaceuticals'!AY14,IF(SETUP!$G$20=2,$E$187*'HIV-Pharmaceuticals'!AZ14,IF(SETUP!$G$20=1,$E$187*'HIV-Pharmaceuticals'!BA14,0)))),0)</f>
        <v>0</v>
      </c>
      <c r="L189" s="920">
        <f>IF(SETUP!$F$20="At delivery",IF(SETUP!$G$20=4,$E$187*'HIV-Pharmaceuticals'!AY14,IF(SETUP!$G$20=3,$E$187*'HIV-Pharmaceuticals'!AZ14,IF(SETUP!$G$20=2,$E$187*'HIV-Pharmaceuticals'!BA14,IF(SETUP!$G$20=1,$E$187*'HIV-Pharmaceuticals'!BB14,0)))),0)</f>
        <v>0</v>
      </c>
      <c r="M189" s="920">
        <f>IF(SETUP!$F$20="At delivery",IF(SETUP!$G$20=4,$E$187*'HIV-Pharmaceuticals'!AZ14,IF(SETUP!$G$20=3,$E$187*'HIV-Pharmaceuticals'!BA14,IF(SETUP!$G$20=2,$E$187*'HIV-Pharmaceuticals'!BB14,IF(SETUP!$G$20=1,$E$187*'HIV-Pharmaceuticals'!BC14,0)))),0)</f>
        <v>0</v>
      </c>
      <c r="N189" s="920">
        <f>IF(SETUP!$F$20="At delivery",IF(SETUP!$G$20=4,$E$187*'HIV-Pharmaceuticals'!BA14,IF(SETUP!$G$20=3,$E$187*'HIV-Pharmaceuticals'!BB14,IF(SETUP!$G$20=2,$E$187*'HIV-Pharmaceuticals'!BC14,IF(SETUP!$G$20=1,$E$187*'HIV-Pharmaceuticals'!BD14,0)))),0)</f>
        <v>0</v>
      </c>
      <c r="O189" s="917">
        <f>'HPM costs'!$F189+'HPM costs'!$G189+'HPM costs'!$H189+'HPM costs'!$I189</f>
        <v>0</v>
      </c>
      <c r="P189" s="915">
        <f>IF(SETUP!$F$20="At delivery",IF(SETUP!$G$20=4,$E$187*'HIV-Pharmaceuticals'!BB14,IF(SETUP!$G$20=3,$E$187*'HIV-Pharmaceuticals'!BC14,IF(SETUP!$G$20=2,$E$187*'HIV-Pharmaceuticals'!BD14,IF(SETUP!$G$20=1,$E$187*'HIV-Pharmaceuticals'!BE14,0)))),0)</f>
        <v>0</v>
      </c>
      <c r="Q189" s="915">
        <f>IF(SETUP!$F$20="At delivery",IF(SETUP!$G$20=4,$E$187*'HIV-Pharmaceuticals'!BC14,IF(SETUP!$G$20=3,$E$187*'HIV-Pharmaceuticals'!BD14,IF(SETUP!$G$20=2,$E$187*'HIV-Pharmaceuticals'!BE14,IF(SETUP!$G$20=1,$E$187*'HIV-Pharmaceuticals'!BF14,0)))),0)</f>
        <v>0</v>
      </c>
      <c r="R189" s="915">
        <f>IF(SETUP!$F$20="At delivery",IF(SETUP!$G$20=4,$E$187*'HIV-Pharmaceuticals'!BD14,IF(SETUP!$G$20=3,$E$187*'HIV-Pharmaceuticals'!BE14,IF(SETUP!$G$20=2,$E$187*'HIV-Pharmaceuticals'!BF14,IF(SETUP!$G$20=1,$E$187*'HIV-Pharmaceuticals'!BG14,0)))),0)</f>
        <v>0</v>
      </c>
      <c r="S189" s="915">
        <f>IF(SETUP!$F$20="At delivery",IF(SETUP!$G$20=4,$E$187*('HIV-Pharmaceuticals'!BE14+'HIV-Pharmaceuticals'!BF14+'HIV-Pharmaceuticals'!BG14+'HIV-Pharmaceuticals'!BH14+'HIV-Pharmaceuticals'!BI14),IF(SETUP!$G$20=3,$E$187*('HIV-Pharmaceuticals'!BF14+'HIV-Pharmaceuticals'!BG14+'HIV-Pharmaceuticals'!BH14+'HIV-Pharmaceuticals'!BI14),IF(SETUP!$G$20=2,$E$187*('HIV-Pharmaceuticals'!BG14+'HIV-Pharmaceuticals'!BH14+'HIV-Pharmaceuticals'!BI14),IF(SETUP!$G$20=1,$E$187*('HIV-Pharmaceuticals'!BH14+'HIV-Pharmaceuticals'!BI14),0)))),0)</f>
        <v>0</v>
      </c>
      <c r="T189" s="916">
        <f>'HPM costs'!$F189+'HPM costs'!$G189+'HPM costs'!$H189+'HPM costs'!$I189</f>
        <v>0</v>
      </c>
      <c r="U189" s="915">
        <f>'HPM costs'!$J189+'HPM costs'!$O189+'HPM costs'!$T189</f>
        <v>0</v>
      </c>
      <c r="V189" s="1316"/>
      <c r="W189" s="1995"/>
      <c r="X189" s="1341"/>
      <c r="AA189" s="1721"/>
    </row>
    <row r="190" spans="1:38" s="665" customFormat="1" ht="15" customHeight="1" collapsed="1" thickBot="1">
      <c r="A190" s="3193"/>
      <c r="B190" s="3194"/>
      <c r="C190" s="3188" t="s">
        <v>139</v>
      </c>
      <c r="D190" s="3188"/>
      <c r="E190" s="1245">
        <v>0</v>
      </c>
      <c r="F190" s="966">
        <f>IF(SETUP!$F$21="Upfront",F191,F192)</f>
        <v>0</v>
      </c>
      <c r="G190" s="921">
        <f>IF(SETUP!$F$21="Upfront",G191,G192)</f>
        <v>0</v>
      </c>
      <c r="H190" s="920">
        <f>IF(SETUP!$F$21="Upfront",H191,H192)</f>
        <v>0</v>
      </c>
      <c r="I190" s="920">
        <f>IF(SETUP!$F$21="Upfront",I191,I192)</f>
        <v>0</v>
      </c>
      <c r="J190" s="919">
        <f t="shared" ref="J190:J208" si="26">F190+G190+H190+I190</f>
        <v>0</v>
      </c>
      <c r="K190" s="920">
        <f>IF(SETUP!$F$21="Upfront",K191,K192)</f>
        <v>0</v>
      </c>
      <c r="L190" s="920">
        <f>IF(SETUP!$F$21="Upfront",L191,L192)</f>
        <v>0</v>
      </c>
      <c r="M190" s="920">
        <f>IF(SETUP!$F$21="Upfront",M191,M192)</f>
        <v>0</v>
      </c>
      <c r="N190" s="920">
        <f>IF(SETUP!$F$21="Upfront",N191,N192)</f>
        <v>0</v>
      </c>
      <c r="O190" s="917">
        <f t="shared" ref="O190:O208" si="27">K190+L190+M190+N190</f>
        <v>0</v>
      </c>
      <c r="P190" s="915">
        <f>IF(SETUP!$F$21="Upfront",P191,P192)</f>
        <v>0</v>
      </c>
      <c r="Q190" s="915">
        <f>IF(SETUP!$F$21="Upfront",Q191,Q192)</f>
        <v>0</v>
      </c>
      <c r="R190" s="915">
        <f>IF(SETUP!$F$21="Upfront",R191,R192)</f>
        <v>0</v>
      </c>
      <c r="S190" s="915">
        <f>IF(SETUP!$F$21="Upfront",S191,S192)</f>
        <v>0</v>
      </c>
      <c r="T190" s="916">
        <f t="shared" ref="T190:T207" si="28">P190+Q190+R190+S190</f>
        <v>0</v>
      </c>
      <c r="U190" s="915">
        <f t="shared" ref="U190:U207" si="29">J190+O190+T190</f>
        <v>0</v>
      </c>
      <c r="V190" s="1316">
        <v>7.5</v>
      </c>
      <c r="W190" s="1995"/>
      <c r="X190" s="1341"/>
      <c r="AA190" s="1721"/>
    </row>
    <row r="191" spans="1:38" s="665" customFormat="1" ht="15" hidden="1" customHeight="1" outlineLevel="1">
      <c r="A191" s="3193"/>
      <c r="B191" s="3194"/>
      <c r="C191" s="3182" t="s">
        <v>777</v>
      </c>
      <c r="D191" s="3182"/>
      <c r="E191" s="1246"/>
      <c r="F191" s="966">
        <f>IF(SETUP!$F$21="Upfront",$E$190*'HIV-Pharmaceuticals'!AX15,0)</f>
        <v>0</v>
      </c>
      <c r="G191" s="921">
        <f>IF(SETUP!$F$21="Upfront",$E$190*'HIV-Pharmaceuticals'!AY15,0)</f>
        <v>0</v>
      </c>
      <c r="H191" s="920">
        <f>IF(SETUP!$F$21="Upfront",$E$190*'HIV-Pharmaceuticals'!AZ15,0)</f>
        <v>0</v>
      </c>
      <c r="I191" s="920">
        <f>IF(SETUP!$F$21="Upfront",$E$190*'HIV-Pharmaceuticals'!BA15,0)</f>
        <v>0</v>
      </c>
      <c r="J191" s="919">
        <f t="shared" si="26"/>
        <v>0</v>
      </c>
      <c r="K191" s="920">
        <f>IF(SETUP!$F$21="Upfront",$E$190*'HIV-Pharmaceuticals'!BB15,0)</f>
        <v>0</v>
      </c>
      <c r="L191" s="920">
        <f>IF(SETUP!$F$21="Upfront",$E$190*'HIV-Pharmaceuticals'!BC15,0)</f>
        <v>0</v>
      </c>
      <c r="M191" s="920">
        <f>IF(SETUP!$F$21="Upfront",$E$190*'HIV-Pharmaceuticals'!BD15,0)</f>
        <v>0</v>
      </c>
      <c r="N191" s="920">
        <f>IF(SETUP!$F$21="Upfront",$E$190*'HIV-Pharmaceuticals'!BE15,0)</f>
        <v>0</v>
      </c>
      <c r="O191" s="917">
        <f t="shared" si="27"/>
        <v>0</v>
      </c>
      <c r="P191" s="915">
        <f>IF(SETUP!$F$21="Upfront",$E$190*'HIV-Pharmaceuticals'!BF15,0)</f>
        <v>0</v>
      </c>
      <c r="Q191" s="915">
        <f>IF(SETUP!$F$21="Upfront",$E$190*'HIV-Pharmaceuticals'!BG15,0)</f>
        <v>0</v>
      </c>
      <c r="R191" s="915">
        <f>IF(SETUP!$F$21="Upfront",$E$190*'HIV-Pharmaceuticals'!BH15,0)</f>
        <v>0</v>
      </c>
      <c r="S191" s="915">
        <f>IF(SETUP!$F$21="Upfront",$E$190*'HIV-Pharmaceuticals'!BI15,0)</f>
        <v>0</v>
      </c>
      <c r="T191" s="916">
        <f t="shared" si="28"/>
        <v>0</v>
      </c>
      <c r="U191" s="915">
        <f t="shared" si="29"/>
        <v>0</v>
      </c>
      <c r="V191" s="1316">
        <v>7.5</v>
      </c>
      <c r="W191" s="1995"/>
      <c r="X191" s="1341"/>
      <c r="AA191" s="1721"/>
    </row>
    <row r="192" spans="1:38" s="665" customFormat="1" ht="15" hidden="1" customHeight="1" outlineLevel="1" thickBot="1">
      <c r="A192" s="3193"/>
      <c r="B192" s="3194"/>
      <c r="C192" s="3182" t="s">
        <v>36</v>
      </c>
      <c r="D192" s="3182"/>
      <c r="E192" s="1246"/>
      <c r="F192" s="966">
        <v>0</v>
      </c>
      <c r="G192" s="921">
        <f>IF(SETUP!$F$21="At delivery",IF(SETUP!$G$21=1,$E$190*'HIV-Pharmaceuticals'!AX15,0),0)</f>
        <v>0</v>
      </c>
      <c r="H192" s="920">
        <f>IF(SETUP!$F$21="At delivery",IF(SETUP!$G$21=2,$E$190*'HIV-Pharmaceuticals'!AX15,IF(SETUP!$G$21=1,$E$190*'HIV-Pharmaceuticals'!AY15,0)),0)</f>
        <v>0</v>
      </c>
      <c r="I192" s="920">
        <f>IF(SETUP!$F$21="At delivery",IF(SETUP!$G$21=3,$E$190*'HIV-Pharmaceuticals'!AX15,IF(SETUP!$G$21=2,$E$190*'HIV-Pharmaceuticals'!AY15,IF(SETUP!$G$21=1,$E$190*'HIV-Pharmaceuticals'!AZ15,0))),0)</f>
        <v>0</v>
      </c>
      <c r="J192" s="919">
        <f t="shared" si="26"/>
        <v>0</v>
      </c>
      <c r="K192" s="920">
        <f>IF(SETUP!$F$21="At delivery",IF(SETUP!$G$21=4,$E$190*'HIV-Pharmaceuticals'!AX15,IF(SETUP!$G$21=3,$E$190*'HIV-Pharmaceuticals'!AY15,IF(SETUP!$G$21=2,$E$190*'HIV-Pharmaceuticals'!AZ15,IF(SETUP!$G$21=1,$E$190*'HIV-Pharmaceuticals'!BA15,0)))),0)</f>
        <v>0</v>
      </c>
      <c r="L192" s="920">
        <f>IF(SETUP!$F$21="At delivery",IF(SETUP!$G$21=4,$E$190*'HIV-Pharmaceuticals'!AY15,IF(SETUP!$G$21=3,$E$190*'HIV-Pharmaceuticals'!AZ15,IF(SETUP!$G$21=2,$E$190*'HIV-Pharmaceuticals'!BA15,IF(SETUP!$G$21=1,$E$190*'HIV-Pharmaceuticals'!BB15,0)))),0)</f>
        <v>0</v>
      </c>
      <c r="M192" s="920">
        <f>IF(SETUP!$F$21="At delivery",IF(SETUP!$G$21=4,$E$190*'HIV-Pharmaceuticals'!AZ15,IF(SETUP!$G$21=3,$E$190*'HIV-Pharmaceuticals'!BA15,IF(SETUP!$G$21=2,$E$190*'HIV-Pharmaceuticals'!BB15,IF(SETUP!$G$21=1,$E$190*'HIV-Pharmaceuticals'!BC15,0)))),0)</f>
        <v>0</v>
      </c>
      <c r="N192" s="920">
        <f>IF(SETUP!$F$21="At delivery",IF(SETUP!$G$21=4,$E$190*'HIV-Pharmaceuticals'!BA15,IF(SETUP!$G$21=3,$E$190*'HIV-Pharmaceuticals'!BB15,IF(SETUP!$G$21=2,$E$190*'HIV-Pharmaceuticals'!BC15,IF(SETUP!$G$21=1,$E$190*'HIV-Pharmaceuticals'!BD15,0)))),0)</f>
        <v>0</v>
      </c>
      <c r="O192" s="917">
        <f t="shared" si="27"/>
        <v>0</v>
      </c>
      <c r="P192" s="915">
        <f>IF(SETUP!$F$21="At delivery",IF(SETUP!$G$21=4,$E$190*'HIV-Pharmaceuticals'!BB15,IF(SETUP!$G$21=3,$E$190*'HIV-Pharmaceuticals'!BC15,IF(SETUP!$G$21=2,$E$190*'HIV-Pharmaceuticals'!BD15,IF(SETUP!$G$21=1,$E$190*'HIV-Pharmaceuticals'!BE15,0)))),0)</f>
        <v>0</v>
      </c>
      <c r="Q192" s="915">
        <f>IF(SETUP!$F$21="At delivery",IF(SETUP!$G$21=4,$E$190*'HIV-Pharmaceuticals'!BC15,IF(SETUP!$G$21=3,$E$190*'HIV-Pharmaceuticals'!BD15,IF(SETUP!$G$21=2,$E$190*'HIV-Pharmaceuticals'!BE15,IF(SETUP!$G$21=1,$E$190*'HIV-Pharmaceuticals'!BF15,0)))),0)</f>
        <v>0</v>
      </c>
      <c r="R192" s="915">
        <f>IF(SETUP!$F$21="At delivery",IF(SETUP!$G$21=4,$E$190*'HIV-Pharmaceuticals'!BD15,IF(SETUP!$G$21=3,$E$190*'HIV-Pharmaceuticals'!BE15,IF(SETUP!$G$21=2,$E$190*'HIV-Pharmaceuticals'!BF15,IF(SETUP!$G$21=1,$E$190*'HIV-Pharmaceuticals'!BG15,0)))),0)</f>
        <v>0</v>
      </c>
      <c r="S192" s="915">
        <f>IF(SETUP!$F$21="At delivery",IF(SETUP!$G$21=4,$E$190*('HIV-Pharmaceuticals'!BE15+'HIV-Pharmaceuticals'!BF15+'HIV-Pharmaceuticals'!BG15+'HIV-Pharmaceuticals'!BH15+'HIV-Pharmaceuticals'!BI15),IF(SETUP!$G$21=3,$E$190*('HIV-Pharmaceuticals'!BF15+'HIV-Pharmaceuticals'!BG15+'HIV-Pharmaceuticals'!BH15+'HIV-Pharmaceuticals'!BI15),IF(SETUP!$G$21=2,$E$190*('HIV-Pharmaceuticals'!BG15+'HIV-Pharmaceuticals'!BH15+'HIV-Pharmaceuticals'!BI15),IF(SETUP!$G$21=1,$E$190*('HIV-Pharmaceuticals'!BH15+'HIV-Pharmaceuticals'!BI15),0)))),0)</f>
        <v>0</v>
      </c>
      <c r="T192" s="916">
        <f t="shared" si="28"/>
        <v>0</v>
      </c>
      <c r="U192" s="915">
        <f t="shared" si="29"/>
        <v>0</v>
      </c>
      <c r="V192" s="1316">
        <v>7.5</v>
      </c>
      <c r="W192" s="1995"/>
      <c r="X192" s="1341"/>
      <c r="AA192" s="1721"/>
    </row>
    <row r="193" spans="1:27" s="665" customFormat="1" ht="15" customHeight="1" collapsed="1" thickBot="1">
      <c r="A193" s="3193"/>
      <c r="B193" s="3194"/>
      <c r="C193" s="3201" t="s">
        <v>1054</v>
      </c>
      <c r="D193" s="3201"/>
      <c r="E193" s="1245">
        <v>0</v>
      </c>
      <c r="F193" s="966">
        <f>IF(SETUP!$F$22="Upfront",F194,F195)</f>
        <v>0</v>
      </c>
      <c r="G193" s="921">
        <f>IF(SETUP!$F$22="Upfront",G194,G195)</f>
        <v>0</v>
      </c>
      <c r="H193" s="920">
        <f>IF(SETUP!$F$22="Upfront",H194,H195)</f>
        <v>0</v>
      </c>
      <c r="I193" s="920">
        <f>IF(SETUP!$F$22="Upfront",I194,I195)</f>
        <v>0</v>
      </c>
      <c r="J193" s="919">
        <f t="shared" si="26"/>
        <v>0</v>
      </c>
      <c r="K193" s="920">
        <f>IF(SETUP!$F$22="Upfront",K194,K195)</f>
        <v>0</v>
      </c>
      <c r="L193" s="920">
        <f>IF(SETUP!$F$22="Upfront",L194,L195)</f>
        <v>0</v>
      </c>
      <c r="M193" s="920">
        <f>IF(SETUP!$F$22="Upfront",M194,M195)</f>
        <v>0</v>
      </c>
      <c r="N193" s="920">
        <f>IF(SETUP!$F$22="Upfront",N194,N195)</f>
        <v>0</v>
      </c>
      <c r="O193" s="917">
        <f t="shared" si="27"/>
        <v>0</v>
      </c>
      <c r="P193" s="915">
        <f>IF(SETUP!$F$22="Upfront",P194,P195)</f>
        <v>0</v>
      </c>
      <c r="Q193" s="915">
        <f>IF(SETUP!$F$22="Upfront",Q194,Q195)</f>
        <v>0</v>
      </c>
      <c r="R193" s="915">
        <f>IF(SETUP!$F$22="Upfront",R194,R195)</f>
        <v>0</v>
      </c>
      <c r="S193" s="915">
        <f>IF(SETUP!$F$22="Upfront",S194,S195)</f>
        <v>0</v>
      </c>
      <c r="T193" s="916">
        <f t="shared" si="28"/>
        <v>0</v>
      </c>
      <c r="U193" s="1334">
        <f t="shared" si="29"/>
        <v>0</v>
      </c>
      <c r="V193" s="1355">
        <v>7.5</v>
      </c>
      <c r="W193" s="1995"/>
      <c r="X193" s="1341"/>
      <c r="AA193" s="1721"/>
    </row>
    <row r="194" spans="1:27" s="665" customFormat="1" ht="15" hidden="1" customHeight="1" outlineLevel="1">
      <c r="A194" s="3184" t="s">
        <v>439</v>
      </c>
      <c r="B194" s="3185"/>
      <c r="C194" s="3182" t="s">
        <v>777</v>
      </c>
      <c r="D194" s="3182"/>
      <c r="E194" s="1246"/>
      <c r="F194" s="966">
        <f>IF(SETUP!$F$22="Upfront",$E$193*'HIV-Pharmaceuticals'!AX16,0)</f>
        <v>0</v>
      </c>
      <c r="G194" s="921">
        <f>IF(SETUP!$F$22="Upfront",$E$193*'HIV-Pharmaceuticals'!AY16,0)</f>
        <v>0</v>
      </c>
      <c r="H194" s="920">
        <f>IF(SETUP!$F$22="Upfront",$E$193*'HIV-Pharmaceuticals'!AZ16,0)</f>
        <v>0</v>
      </c>
      <c r="I194" s="920">
        <f>IF(SETUP!$F$22="Upfront",$E$193*'HIV-Pharmaceuticals'!BA16,0)</f>
        <v>0</v>
      </c>
      <c r="J194" s="919">
        <f t="shared" si="26"/>
        <v>0</v>
      </c>
      <c r="K194" s="920">
        <f>IF(SETUP!$F$22="Upfront",$E$193*'HIV-Pharmaceuticals'!BB16,0)</f>
        <v>0</v>
      </c>
      <c r="L194" s="920">
        <f>IF(SETUP!$F$22="Upfront",$E$193*'HIV-Pharmaceuticals'!BC16,0)</f>
        <v>0</v>
      </c>
      <c r="M194" s="920">
        <f>IF(SETUP!$F$22="Upfront",$E$193*'HIV-Pharmaceuticals'!BD16,0)</f>
        <v>0</v>
      </c>
      <c r="N194" s="920">
        <f>IF(SETUP!$F$22="Upfront",$E$193*'HIV-Pharmaceuticals'!BE16,0)</f>
        <v>0</v>
      </c>
      <c r="O194" s="917">
        <f t="shared" si="27"/>
        <v>0</v>
      </c>
      <c r="P194" s="915">
        <f>IF(SETUP!$F$22="Upfront",$E$193*'HIV-Pharmaceuticals'!BF16,0)</f>
        <v>0</v>
      </c>
      <c r="Q194" s="915">
        <f>IF(SETUP!$F$22="Upfront",$E$193*'HIV-Pharmaceuticals'!BG16,0)</f>
        <v>0</v>
      </c>
      <c r="R194" s="915">
        <f>IF(SETUP!$F$22="Upfront",$E$193*'HIV-Pharmaceuticals'!BH16,0)</f>
        <v>0</v>
      </c>
      <c r="S194" s="915">
        <f>IF(SETUP!$F$22="Upfront",$E$193*'HIV-Pharmaceuticals'!BI16,0)</f>
        <v>0</v>
      </c>
      <c r="T194" s="916">
        <f t="shared" si="28"/>
        <v>0</v>
      </c>
      <c r="U194" s="1334">
        <f t="shared" si="29"/>
        <v>0</v>
      </c>
      <c r="V194" s="1355">
        <v>7.5</v>
      </c>
      <c r="W194" s="1995"/>
      <c r="X194" s="1341"/>
      <c r="AA194" s="1721"/>
    </row>
    <row r="195" spans="1:27" s="665" customFormat="1" ht="15" hidden="1" customHeight="1" outlineLevel="1">
      <c r="A195" s="3184"/>
      <c r="B195" s="3185"/>
      <c r="C195" s="3182" t="s">
        <v>36</v>
      </c>
      <c r="D195" s="3182"/>
      <c r="E195" s="1246"/>
      <c r="F195" s="966">
        <v>0</v>
      </c>
      <c r="G195" s="921">
        <f>IF(SETUP!$F$22="At delivery",IF(SETUP!$G$22=1,$E$193*'HIV-Pharmaceuticals'!AX16,0),0)</f>
        <v>0</v>
      </c>
      <c r="H195" s="920">
        <f>IF(SETUP!$F$22="At delivery",IF(SETUP!$G$22=2,$E$193*'HIV-Pharmaceuticals'!AX16,IF(SETUP!$G$22=1,$E$193*'HIV-Pharmaceuticals'!AY16,0)),0)</f>
        <v>0</v>
      </c>
      <c r="I195" s="920">
        <f>IF(SETUP!$F$22="At delivery",IF(SETUP!$G$22=3,$E$193*'HIV-Pharmaceuticals'!AX16,IF(SETUP!$G$22=2,$E$193*'HIV-Pharmaceuticals'!AY16,IF(SETUP!$G$22=1,$E$193*'HIV-Pharmaceuticals'!AZ16,0))),0)</f>
        <v>0</v>
      </c>
      <c r="J195" s="919">
        <f t="shared" si="26"/>
        <v>0</v>
      </c>
      <c r="K195" s="920">
        <f>IF(SETUP!$F$22="At delivery",IF(SETUP!$G$22=4,$E$193*'HIV-Pharmaceuticals'!AX16,IF(SETUP!$G$22=3,$E$193*'HIV-Pharmaceuticals'!AY16,IF(SETUP!$G$22=2,$E$193*'HIV-Pharmaceuticals'!AZ16,IF(SETUP!$G$22=1,$E$193*'HIV-Pharmaceuticals'!BA16,0)))),0)</f>
        <v>0</v>
      </c>
      <c r="L195" s="920">
        <f>IF(SETUP!$F$22="At delivery",IF(SETUP!$G$22=4,$E$193*'HIV-Pharmaceuticals'!AY16,IF(SETUP!$G$22=3,$E$193*'HIV-Pharmaceuticals'!AZ16,IF(SETUP!$G$22=2,$E$193*'HIV-Pharmaceuticals'!BA16,IF(SETUP!$G$22=1,$E$193*'HIV-Pharmaceuticals'!BB16,0)))),0)</f>
        <v>0</v>
      </c>
      <c r="M195" s="920">
        <f>IF(SETUP!$F$22="At delivery",IF(SETUP!$G$22=4,$E$193*'HIV-Pharmaceuticals'!AZ16,IF(SETUP!$G$22=3,$E$193*'HIV-Pharmaceuticals'!BA16,IF(SETUP!$G$22=2,$E$193*'HIV-Pharmaceuticals'!BB16,IF(SETUP!$G$22=1,$E$193*'HIV-Pharmaceuticals'!BC16,0)))),0)</f>
        <v>0</v>
      </c>
      <c r="N195" s="920">
        <f>IF(SETUP!$F$22="At delivery",IF(SETUP!$G$22=4,$E$193*'HIV-Pharmaceuticals'!BA16,IF(SETUP!$G$22=3,$E$193*'HIV-Pharmaceuticals'!BB16,IF(SETUP!$G$22=2,$E$193*'HIV-Pharmaceuticals'!BC16,IF(SETUP!$G$22=1,$E$193*'HIV-Pharmaceuticals'!BD16,0)))),0)</f>
        <v>0</v>
      </c>
      <c r="O195" s="917">
        <f t="shared" si="27"/>
        <v>0</v>
      </c>
      <c r="P195" s="915">
        <f>IF(SETUP!$F$22="At delivery",IF(SETUP!$G$22=4,$E$193*'HIV-Pharmaceuticals'!BB16,IF(SETUP!$G$22=3,$E$193*'HIV-Pharmaceuticals'!BC16,IF(SETUP!$G$22=2,$E$193*'HIV-Pharmaceuticals'!BD16,IF(SETUP!$G$22=1,$E$193*'HIV-Pharmaceuticals'!BE16,0)))),0)</f>
        <v>0</v>
      </c>
      <c r="Q195" s="915">
        <f>IF(SETUP!$F$22="At delivery",IF(SETUP!$G$22=4,$E$193*'HIV-Pharmaceuticals'!BC16,IF(SETUP!$G$22=3,$E$193*'HIV-Pharmaceuticals'!BD16,IF(SETUP!$G$22=2,$E$193*'HIV-Pharmaceuticals'!BE16,IF(SETUP!$G$22=1,$E$193*'HIV-Pharmaceuticals'!BF16,0)))),0)</f>
        <v>0</v>
      </c>
      <c r="R195" s="915">
        <f>IF(SETUP!$F$22="At delivery",IF(SETUP!$G$22=4,$E$193*'HIV-Pharmaceuticals'!BD16,IF(SETUP!$G$22=3,$E$193*'HIV-Pharmaceuticals'!BE16,IF(SETUP!$G$22=2,$E$193*'HIV-Pharmaceuticals'!BF16,IF(SETUP!$G$22=1,$E$193*'HIV-Pharmaceuticals'!BG16,0)))),0)</f>
        <v>0</v>
      </c>
      <c r="S195" s="915">
        <f>IF(SETUP!$F$22="At delivery",IF(SETUP!$G$22=4,$E$193*('HIV-Pharmaceuticals'!BE16+'HIV-Pharmaceuticals'!BF16+'HIV-Pharmaceuticals'!BG16+'HIV-Pharmaceuticals'!BH16+'HIV-Pharmaceuticals'!BI16),IF(SETUP!$G$22=3,$E$193*('HIV-Pharmaceuticals'!BF16+'HIV-Pharmaceuticals'!BG16+'HIV-Pharmaceuticals'!BH16+'HIV-Pharmaceuticals'!BI16),IF(SETUP!$G$22=2,$E$193*('HIV-Pharmaceuticals'!BG16+'HIV-Pharmaceuticals'!BH16+'HIV-Pharmaceuticals'!BI16),IF(SETUP!$G$22=1,$E$193*('HIV-Pharmaceuticals'!BH16+'HIV-Pharmaceuticals'!BI16),0)))),0)</f>
        <v>0</v>
      </c>
      <c r="T195" s="916">
        <f t="shared" si="28"/>
        <v>0</v>
      </c>
      <c r="U195" s="1334">
        <f t="shared" si="29"/>
        <v>0</v>
      </c>
      <c r="V195" s="1355">
        <v>7.5</v>
      </c>
      <c r="W195" s="1995"/>
      <c r="X195" s="1341"/>
      <c r="AA195" s="1721"/>
    </row>
    <row r="196" spans="1:27" s="665" customFormat="1" ht="15" customHeight="1" collapsed="1" thickBot="1">
      <c r="A196" s="3184"/>
      <c r="B196" s="3185"/>
      <c r="C196" s="3202" t="s">
        <v>1390</v>
      </c>
      <c r="D196" s="3202"/>
      <c r="E196" s="1245">
        <v>0</v>
      </c>
      <c r="F196" s="966">
        <f>IF(SETUP!$F$23="Upfront",F197,F198)</f>
        <v>0</v>
      </c>
      <c r="G196" s="921">
        <f>IF(SETUP!$F$23="Upfront",G197,G198)</f>
        <v>0</v>
      </c>
      <c r="H196" s="920">
        <f>IF(SETUP!$F$23="Upfront",H197,H198)</f>
        <v>0</v>
      </c>
      <c r="I196" s="920">
        <f>IF(SETUP!$F$23="Upfront",I197,I198)</f>
        <v>0</v>
      </c>
      <c r="J196" s="919">
        <f t="shared" si="26"/>
        <v>0</v>
      </c>
      <c r="K196" s="920">
        <f>IF(SETUP!$F$23="Upfront",K197,K198)</f>
        <v>0</v>
      </c>
      <c r="L196" s="920">
        <f>IF(SETUP!$F$23="Upfront",L197,L198)</f>
        <v>0</v>
      </c>
      <c r="M196" s="920">
        <f>IF(SETUP!$F$23="Upfront",M197,M198)</f>
        <v>0</v>
      </c>
      <c r="N196" s="920">
        <f>IF(SETUP!$F$23="Upfront",N197,N198)</f>
        <v>0</v>
      </c>
      <c r="O196" s="917">
        <f t="shared" si="27"/>
        <v>0</v>
      </c>
      <c r="P196" s="915">
        <f>IF(SETUP!$F$23="Upfront",P197,P198)</f>
        <v>0</v>
      </c>
      <c r="Q196" s="915">
        <f>IF(SETUP!$F$23="Upfront",Q197,Q198)</f>
        <v>0</v>
      </c>
      <c r="R196" s="915">
        <f>IF(SETUP!$F$23="Upfront",R197,R198)</f>
        <v>0</v>
      </c>
      <c r="S196" s="915">
        <f>IF(SETUP!$F$23="Upfront",S197,S198)</f>
        <v>0</v>
      </c>
      <c r="T196" s="916">
        <f t="shared" si="28"/>
        <v>0</v>
      </c>
      <c r="U196" s="1334">
        <f t="shared" si="29"/>
        <v>0</v>
      </c>
      <c r="V196" s="1355">
        <v>7.5</v>
      </c>
      <c r="W196" s="1995"/>
      <c r="X196" s="1341"/>
      <c r="AA196" s="920"/>
    </row>
    <row r="197" spans="1:27" s="665" customFormat="1" ht="15" hidden="1" customHeight="1" outlineLevel="1">
      <c r="A197" s="3184"/>
      <c r="B197" s="3185"/>
      <c r="C197" s="3182" t="s">
        <v>777</v>
      </c>
      <c r="D197" s="3182"/>
      <c r="E197" s="1246"/>
      <c r="F197" s="966">
        <f>IF(SETUP!$F$23="Upfront",$E$196*'HIV-Equipment'!AW14,0)</f>
        <v>0</v>
      </c>
      <c r="G197" s="921">
        <f>IF(SETUP!$F$23="Upfront",$E$196*'HIV-Equipment'!AX14,0)</f>
        <v>0</v>
      </c>
      <c r="H197" s="920">
        <f>IF(SETUP!$F$23="Upfront",$E$196*'HIV-Equipment'!AY14,0)</f>
        <v>0</v>
      </c>
      <c r="I197" s="920">
        <f>IF(SETUP!$F$23="Upfront",$E$196*'HIV-Equipment'!AZ14,0)</f>
        <v>0</v>
      </c>
      <c r="J197" s="919">
        <f t="shared" si="26"/>
        <v>0</v>
      </c>
      <c r="K197" s="920">
        <f>IF(SETUP!$F$23="Upfront",$E$196*'HIV-Equipment'!BA14,0)</f>
        <v>0</v>
      </c>
      <c r="L197" s="920">
        <f>IF(SETUP!$F$23="Upfront",$E$196*'HIV-Equipment'!BB14,0)</f>
        <v>0</v>
      </c>
      <c r="M197" s="920">
        <f>IF(SETUP!$F$23="Upfront",$E$196*'HIV-Equipment'!BC14,0)</f>
        <v>0</v>
      </c>
      <c r="N197" s="920">
        <f>IF(SETUP!$F$23="Upfront",$E$196*'HIV-Equipment'!BD14,0)</f>
        <v>0</v>
      </c>
      <c r="O197" s="917">
        <f t="shared" si="27"/>
        <v>0</v>
      </c>
      <c r="P197" s="915">
        <f>IF(SETUP!$F$23="Upfront",$E$196*'HIV-Equipment'!BE14,0)</f>
        <v>0</v>
      </c>
      <c r="Q197" s="915">
        <f>IF(SETUP!$F$23="Upfront",$E$196*'HIV-Equipment'!BF14,0)</f>
        <v>0</v>
      </c>
      <c r="R197" s="915">
        <f>IF(SETUP!$F$23="Upfront",$E$196*'HIV-Equipment'!BG14,0)</f>
        <v>0</v>
      </c>
      <c r="S197" s="915">
        <f>IF(SETUP!$F$23="Upfront",$E$196*'HIV-Equipment'!BH14,0)</f>
        <v>0</v>
      </c>
      <c r="T197" s="916">
        <f t="shared" si="28"/>
        <v>0</v>
      </c>
      <c r="U197" s="1334">
        <f t="shared" si="29"/>
        <v>0</v>
      </c>
      <c r="V197" s="1355">
        <v>7.5</v>
      </c>
      <c r="W197" s="1995"/>
      <c r="X197" s="1341"/>
      <c r="AA197" s="1721"/>
    </row>
    <row r="198" spans="1:27" s="665" customFormat="1" ht="15" hidden="1" customHeight="1" outlineLevel="1">
      <c r="A198" s="3184"/>
      <c r="B198" s="3185"/>
      <c r="C198" s="3182" t="s">
        <v>36</v>
      </c>
      <c r="D198" s="3182"/>
      <c r="E198" s="1246"/>
      <c r="F198" s="966">
        <v>0</v>
      </c>
      <c r="G198" s="921">
        <f>IF(SETUP!$F$23="At delivery",IF(SETUP!$G$23=1,$E$196*'HIV-Equipment'!AW14,0),0)</f>
        <v>0</v>
      </c>
      <c r="H198" s="920">
        <f>IF(SETUP!$F$23="At delivery",IF(SETUP!$G$23=2,$E$196*'HIV-Equipment'!AW14,IF(SETUP!$G$23=1,$E$196*'HIV-Equipment'!AX14,0)),0)</f>
        <v>0</v>
      </c>
      <c r="I198" s="920">
        <f>IF(SETUP!$F$23="At delivery",IF(SETUP!$G$23=3,$E$196*'HIV-Equipment'!AW14,IF(SETUP!$G$23=2,$E$196*'HIV-Equipment'!AX14,IF(SETUP!$G$23=1,$E$196*'HIV-Equipment'!AY14,0))),0)</f>
        <v>0</v>
      </c>
      <c r="J198" s="919">
        <f t="shared" si="26"/>
        <v>0</v>
      </c>
      <c r="K198" s="920">
        <f>IF(SETUP!$F$23="At delivery",IF(SETUP!$G$23=4,$E$196*'HIV-Equipment'!AW14,IF(SETUP!$G$23=3,$E$196*'HIV-Equipment'!AX14,IF(SETUP!$G$23=2,$E$196*'HIV-Equipment'!AY14,IF(SETUP!$G$23=1,$E$196*'HIV-Equipment'!AZ14,0)))),0)</f>
        <v>0</v>
      </c>
      <c r="L198" s="920">
        <f>IF(SETUP!$F$23="At delivery",IF(SETUP!$G$23=4,$E$196*'HIV-Equipment'!AX14,IF(SETUP!$G$23=3,$E$196*'HIV-Equipment'!AY14,IF(SETUP!$G$23=2,$E$196*'HIV-Equipment'!AZ14,IF(SETUP!$G$23=1,$E$196*'HIV-Equipment'!BA14,0)))),0)</f>
        <v>0</v>
      </c>
      <c r="M198" s="920">
        <f>IF(SETUP!$F$23="At delivery",IF(SETUP!$G$23=4,$E$196*'HIV-Equipment'!AY14,IF(SETUP!$G$23=3,$E$196*'HIV-Equipment'!AZ14,IF(SETUP!$G$23=2,$E$196*'HIV-Equipment'!BA14,IF(SETUP!$G$23=1,$E$196*'HIV-Equipment'!BB14,0)))),0)</f>
        <v>0</v>
      </c>
      <c r="N198" s="920">
        <f>IF(SETUP!$F$23="At delivery",IF(SETUP!$G$23=4,$E$196*'HIV-Equipment'!AZ14,IF(SETUP!$G$23=3,$E$196*'HIV-Equipment'!BA14,IF(SETUP!$G$23=2,$E$196*'HIV-Equipment'!BB14,IF(SETUP!$G$23=1,$E$196*'HIV-Equipment'!BC14,0)))),0)</f>
        <v>0</v>
      </c>
      <c r="O198" s="917">
        <f t="shared" si="27"/>
        <v>0</v>
      </c>
      <c r="P198" s="915">
        <f>IF(SETUP!$F$23="At delivery",IF(SETUP!$G$23=4,$E$196*'HIV-Equipment'!BA14,IF(SETUP!$G$23=3,$E$196*'HIV-Equipment'!BB14,IF(SETUP!$G$23=2,$E$196*'HIV-Equipment'!BC14,IF(SETUP!$G$23=1,$E$196*'HIV-Equipment'!BD14,0)))),0)</f>
        <v>0</v>
      </c>
      <c r="Q198" s="915">
        <f>IF(SETUP!$F$23="At delivery",IF(SETUP!$G$23=4,$E$196*'HIV-Equipment'!BB14,IF(SETUP!$G$23=3,$E$196*'HIV-Equipment'!BC14,IF(SETUP!$G$23=2,$E$196*'HIV-Equipment'!BD14,IF(SETUP!$G$23=1,$E$196*'HIV-Equipment'!BE14,0)))),0)</f>
        <v>0</v>
      </c>
      <c r="R198" s="915">
        <f>IF(SETUP!$F$23="At delivery",IF(SETUP!$G$23=4,$E$196*'HIV-Equipment'!BC14,IF(SETUP!$G$23=3,$E$196*'HIV-Equipment'!BD14,IF(SETUP!$G$23=2,$E$196*'HIV-Equipment'!BE14,IF(SETUP!$G$23=1,$E$196*'HIV-Equipment'!BF14,0)))),0)</f>
        <v>0</v>
      </c>
      <c r="S198" s="915">
        <f>IF(SETUP!$F$23="At delivery",IF(SETUP!$G$23=4,$E$196*('HIV-Equipment'!BD14+'HIV-Equipment'!BE14+'HIV-Equipment'!BF14+'HIV-Equipment'!BG14+'HIV-Equipment'!BH14),IF(SETUP!$G$23=3,$E$196*('HIV-Equipment'!BE14+'HIV-Equipment'!BF14+'HIV-Equipment'!BG14+'HIV-Equipment'!BH14),IF(SETUP!$G$23=2,$E$196*('HIV-Equipment'!BF14+'HIV-Equipment'!BG14+'HIV-Equipment'!BH14),IF(SETUP!$G$23=1,$E$196*('HIV-Equipment'!BG14+'HIV-Equipment'!BH14),0)))),0)</f>
        <v>0</v>
      </c>
      <c r="T198" s="916">
        <f t="shared" si="28"/>
        <v>0</v>
      </c>
      <c r="U198" s="1334">
        <f t="shared" si="29"/>
        <v>0</v>
      </c>
      <c r="V198" s="1355">
        <v>7.5</v>
      </c>
      <c r="W198" s="1995"/>
      <c r="X198" s="1341"/>
      <c r="AA198" s="1721"/>
    </row>
    <row r="199" spans="1:27" s="665" customFormat="1" ht="15" customHeight="1" collapsed="1" thickBot="1">
      <c r="A199" s="3184" t="s">
        <v>440</v>
      </c>
      <c r="B199" s="3185"/>
      <c r="C199" s="3188" t="s">
        <v>213</v>
      </c>
      <c r="D199" s="3188"/>
      <c r="E199" s="1245">
        <v>0</v>
      </c>
      <c r="F199" s="966">
        <f>IF(SETUP!$F$27="Upfront",F200,F201)</f>
        <v>0</v>
      </c>
      <c r="G199" s="921">
        <f>IF(SETUP!$F$27="Upfront",G200,G201)</f>
        <v>0</v>
      </c>
      <c r="H199" s="920">
        <f>IF(SETUP!$F$27="Upfront",H200,H201)</f>
        <v>0</v>
      </c>
      <c r="I199" s="920">
        <f>IF(SETUP!$F$27="Upfront",I200,I201)</f>
        <v>0</v>
      </c>
      <c r="J199" s="919">
        <f t="shared" si="26"/>
        <v>0</v>
      </c>
      <c r="K199" s="920">
        <f>IF(SETUP!$F$27="Upfront",K200,K201)</f>
        <v>0</v>
      </c>
      <c r="L199" s="920">
        <f>IF(SETUP!$F$27="Upfront",L200,L201)</f>
        <v>0</v>
      </c>
      <c r="M199" s="920">
        <f>IF(SETUP!$F$27="Upfront",M200,M201)</f>
        <v>0</v>
      </c>
      <c r="N199" s="920">
        <f>IF(SETUP!$F$27="Upfront",N200,N201)</f>
        <v>0</v>
      </c>
      <c r="O199" s="917">
        <f t="shared" si="27"/>
        <v>0</v>
      </c>
      <c r="P199" s="915">
        <f>IF(SETUP!$F$27="Upfront",P200,P201)</f>
        <v>0</v>
      </c>
      <c r="Q199" s="915">
        <f>IF(SETUP!$F$27="Upfront",Q200,Q201)</f>
        <v>0</v>
      </c>
      <c r="R199" s="915">
        <f>IF(SETUP!$F$27="Upfront",R200,R201)</f>
        <v>0</v>
      </c>
      <c r="S199" s="915">
        <f>IF(SETUP!$F$27="Upfront",S200,S201)</f>
        <v>0</v>
      </c>
      <c r="T199" s="916">
        <f t="shared" si="28"/>
        <v>0</v>
      </c>
      <c r="U199" s="1334">
        <f t="shared" si="29"/>
        <v>0</v>
      </c>
      <c r="V199" s="1355">
        <v>7.5</v>
      </c>
      <c r="W199" s="1995"/>
      <c r="X199" s="1341"/>
      <c r="AA199" s="1721"/>
    </row>
    <row r="200" spans="1:27" s="665" customFormat="1" ht="15" hidden="1" customHeight="1" outlineLevel="1">
      <c r="A200" s="3184"/>
      <c r="B200" s="3185"/>
      <c r="C200" s="3182" t="s">
        <v>777</v>
      </c>
      <c r="D200" s="3182"/>
      <c r="E200" s="1246"/>
      <c r="F200" s="966">
        <f>IF(SETUP!$F$27="Upfront",$E$199*'HIV-Other HPs'!AX14,0)</f>
        <v>0</v>
      </c>
      <c r="G200" s="921">
        <f>IF(SETUP!$F$27="Upfront",$E$199*'HIV-Other HPs'!AY14,0)</f>
        <v>0</v>
      </c>
      <c r="H200" s="920">
        <f>IF(SETUP!$F$27="Upfront",$E$199*'HIV-Other HPs'!AZ14,0)</f>
        <v>0</v>
      </c>
      <c r="I200" s="920">
        <f>IF(SETUP!$F$27="Upfront",$E$199*'HIV-Other HPs'!BA14,0)</f>
        <v>0</v>
      </c>
      <c r="J200" s="919">
        <f t="shared" si="26"/>
        <v>0</v>
      </c>
      <c r="K200" s="920">
        <f>IF(SETUP!$F$27="Upfront",$E$199*'HIV-Other HPs'!BB14,0)</f>
        <v>0</v>
      </c>
      <c r="L200" s="920">
        <f>IF(SETUP!$F$27="Upfront",$E$199*'HIV-Other HPs'!BC14,0)</f>
        <v>0</v>
      </c>
      <c r="M200" s="920">
        <f>IF(SETUP!$F$27="Upfront",$E$199*'HIV-Other HPs'!BD14,0)</f>
        <v>0</v>
      </c>
      <c r="N200" s="920">
        <f>IF(SETUP!$F$27="Upfront",$E$199*'HIV-Other HPs'!BE14,0)</f>
        <v>0</v>
      </c>
      <c r="O200" s="917">
        <f t="shared" si="27"/>
        <v>0</v>
      </c>
      <c r="P200" s="915">
        <f>IF(SETUP!$F$27="Upfront",$E$199*'HIV-Other HPs'!BF14,0)</f>
        <v>0</v>
      </c>
      <c r="Q200" s="915">
        <f>IF(SETUP!$F$27="Upfront",$E$199*'HIV-Other HPs'!BG14,0)</f>
        <v>0</v>
      </c>
      <c r="R200" s="915">
        <f>IF(SETUP!$F$27="Upfront",$E$199*'HIV-Other HPs'!BH14,0)</f>
        <v>0</v>
      </c>
      <c r="S200" s="915">
        <f>IF(SETUP!$F$27="Upfront",$E$199*'HIV-Other HPs'!BI14,0)</f>
        <v>0</v>
      </c>
      <c r="T200" s="916">
        <f t="shared" si="28"/>
        <v>0</v>
      </c>
      <c r="U200" s="915">
        <f t="shared" si="29"/>
        <v>0</v>
      </c>
      <c r="V200" s="1316">
        <v>7.5</v>
      </c>
      <c r="W200" s="1995"/>
      <c r="X200" s="1341"/>
      <c r="AA200" s="1721"/>
    </row>
    <row r="201" spans="1:27" s="665" customFormat="1" ht="15" hidden="1" customHeight="1" outlineLevel="1">
      <c r="A201" s="3184"/>
      <c r="B201" s="3185"/>
      <c r="C201" s="3182" t="s">
        <v>36</v>
      </c>
      <c r="D201" s="3182"/>
      <c r="E201" s="1246"/>
      <c r="F201" s="966">
        <v>0</v>
      </c>
      <c r="G201" s="921">
        <f>IF(SETUP!$F$27="At delivery",IF(SETUP!$G$27=1,$E$199*'HIV-Other HPs'!AX14,0),0)</f>
        <v>0</v>
      </c>
      <c r="H201" s="920">
        <f>IF(SETUP!$F$27="At delivery",IF(SETUP!$G$27=2,$E$199*'HIV-Other HPs'!AX14,IF(SETUP!$G$27=1,$E$199*'HIV-Other HPs'!AY14,0)),0)</f>
        <v>0</v>
      </c>
      <c r="I201" s="920">
        <f>IF(SETUP!$F$27="At delivery",IF(SETUP!$G$27=3,$E$199*'HIV-Other HPs'!AX14,IF(SETUP!$G$27=2,$E$199*'HIV-Other HPs'!AY14,IF(SETUP!$G$27=1,$E$199*'HIV-Other HPs'!AZ14,0))),0)</f>
        <v>0</v>
      </c>
      <c r="J201" s="919">
        <f t="shared" si="26"/>
        <v>0</v>
      </c>
      <c r="K201" s="920">
        <f>IF(SETUP!$F$27="At delivery",IF(SETUP!$G$27=4,$E$199*'HIV-Other HPs'!AX14,IF(SETUP!$G$27=3,$E$199*'HIV-Other HPs'!AY14,IF(SETUP!$G$27=2,$E$199*'HIV-Other HPs'!AZ14,IF(SETUP!$G$27=1,$E$199*'HIV-Other HPs'!BA14,0)))),0)</f>
        <v>0</v>
      </c>
      <c r="L201" s="920">
        <f>IF(SETUP!$F$27="At delivery",IF(SETUP!$G$27=4,$E$199*'HIV-Other HPs'!AY14,IF(SETUP!$G$27=3,$E$199*'HIV-Other HPs'!AZ14,IF(SETUP!$G$27=2,$E$199*'HIV-Other HPs'!BA14,IF(SETUP!$G$27=1,$E$199*'HIV-Other HPs'!BB14,0)))),0)</f>
        <v>0</v>
      </c>
      <c r="M201" s="920">
        <f>IF(SETUP!$F$27="At delivery",IF(SETUP!$G$27=4,$E$199*'HIV-Other HPs'!AZ14,IF(SETUP!$G$27=3,$E$199*'HIV-Other HPs'!BA14,IF(SETUP!$G$27=2,$E$199*'HIV-Other HPs'!BB14,IF(SETUP!$G$27=1,$E$199*'HIV-Other HPs'!BC14,0)))),0)</f>
        <v>0</v>
      </c>
      <c r="N201" s="920">
        <f>IF(SETUP!$F$27="At delivery",IF(SETUP!$G$27=4,$E$199*'HIV-Other HPs'!BA14,IF(SETUP!$G$27=3,$E$199*'HIV-Other HPs'!BB14,IF(SETUP!$G$27=2,$E$199*'HIV-Other HPs'!BC14,IF(SETUP!$G$27=1,$E$199*'HIV-Other HPs'!BD14,0)))),0)</f>
        <v>0</v>
      </c>
      <c r="O201" s="917">
        <f t="shared" si="27"/>
        <v>0</v>
      </c>
      <c r="P201" s="915">
        <f>IF(SETUP!$F$27="At delivery",IF(SETUP!$G$27=4,$E$199*'HIV-Other HPs'!BB14,IF(SETUP!$G$27=3,$E$199*'HIV-Other HPs'!BC14,IF(SETUP!$G$27=2,$E$199*'HIV-Other HPs'!BD14,IF(SETUP!$G$27=1,$E$199*'HIV-Other HPs'!BE14,0)))),0)</f>
        <v>0</v>
      </c>
      <c r="Q201" s="915">
        <f>IF(SETUP!$F$27="At delivery",IF(SETUP!$G$27=4,$E$199*'HIV-Other HPs'!BC14,IF(SETUP!$G$27=3,$E$199*'HIV-Other HPs'!BD14,IF(SETUP!$G$27=2,$E$199*'HIV-Other HPs'!BE14,IF(SETUP!$G$27=1,$E$199*'HIV-Other HPs'!BF14,0)))),0)</f>
        <v>0</v>
      </c>
      <c r="R201" s="915">
        <f>IF(SETUP!$F$27="At delivery",IF(SETUP!$G$27=4,$E$199*'HIV-Other HPs'!BD14,IF(SETUP!$G$27=3,$E$199*'HIV-Other HPs'!BE14,IF(SETUP!$G$27=2,$E$199*'HIV-Other HPs'!BF14,IF(SETUP!$G$27=1,$E$199*'HIV-Other HPs'!BG14,0)))),0)</f>
        <v>0</v>
      </c>
      <c r="S201" s="915">
        <f>IF(SETUP!$F$27="At delivery",IF(SETUP!$G$27=4,$E$199*('HIV-Other HPs'!BE14+'HIV-Other HPs'!BF14+'HIV-Other HPs'!BG14+'HIV-Other HPs'!BH14+'HIV-Other HPs'!BI14),IF(SETUP!$G$27=3,$E$199*('HIV-Other HPs'!BF14+'HIV-Other HPs'!BG14+'HIV-Other HPs'!BH14+'HIV-Other HPs'!BI14),IF(SETUP!$G$27=2,$E$199*('HIV-Other HPs'!BG14+'HIV-Other HPs'!BH14+'HIV-Other HPs'!BI14),IF(SETUP!$G$27=1,$E$199*('HIV-Other HPs'!BH14+'HIV-Other HPs'!BI14),0)))),0)</f>
        <v>0</v>
      </c>
      <c r="T201" s="916">
        <f t="shared" si="28"/>
        <v>0</v>
      </c>
      <c r="U201" s="915">
        <f t="shared" si="29"/>
        <v>0</v>
      </c>
      <c r="V201" s="1316">
        <v>7.5</v>
      </c>
      <c r="W201" s="1995"/>
      <c r="X201" s="1341"/>
      <c r="AA201" s="1721"/>
    </row>
    <row r="202" spans="1:27" s="665" customFormat="1" ht="15" customHeight="1" collapsed="1" thickBot="1">
      <c r="A202" s="3184"/>
      <c r="B202" s="3185"/>
      <c r="C202" s="3188" t="s">
        <v>217</v>
      </c>
      <c r="D202" s="3188"/>
      <c r="E202" s="1245">
        <v>0</v>
      </c>
      <c r="F202" s="966">
        <f>IF(SETUP!$F$28="Upfront",F203,F204)</f>
        <v>0</v>
      </c>
      <c r="G202" s="921">
        <f>IF(SETUP!$F$28="Upfront",G203,G204)</f>
        <v>0</v>
      </c>
      <c r="H202" s="920">
        <f>IF(SETUP!$F$28="Upfront",H203,H204)</f>
        <v>0</v>
      </c>
      <c r="I202" s="920">
        <f>IF(SETUP!$F$28="Upfront",I203,I204)</f>
        <v>0</v>
      </c>
      <c r="J202" s="919">
        <f t="shared" si="26"/>
        <v>0</v>
      </c>
      <c r="K202" s="920">
        <f>IF(SETUP!$F$28="Upfront",K203,K204)</f>
        <v>0</v>
      </c>
      <c r="L202" s="920">
        <f>IF(SETUP!$F$28="Upfront",L203,L204)</f>
        <v>0</v>
      </c>
      <c r="M202" s="920">
        <f>IF(SETUP!$F$28="Upfront",M203,M204)</f>
        <v>0</v>
      </c>
      <c r="N202" s="920">
        <f>IF(SETUP!$F$28="Upfront",N203,N204)</f>
        <v>0</v>
      </c>
      <c r="O202" s="917">
        <f t="shared" si="27"/>
        <v>0</v>
      </c>
      <c r="P202" s="915">
        <f>IF(SETUP!$F$28="Upfront",P203,P204)</f>
        <v>0</v>
      </c>
      <c r="Q202" s="915">
        <f>IF(SETUP!$F$28="Upfront",Q203,Q204)</f>
        <v>0</v>
      </c>
      <c r="R202" s="915">
        <f>IF(SETUP!$F$28="Upfront",R203,R204)</f>
        <v>0</v>
      </c>
      <c r="S202" s="915">
        <f>IF(SETUP!$F$28="Upfront",S203,S204)</f>
        <v>0</v>
      </c>
      <c r="T202" s="916">
        <f t="shared" si="28"/>
        <v>0</v>
      </c>
      <c r="U202" s="915">
        <f t="shared" si="29"/>
        <v>0</v>
      </c>
      <c r="V202" s="1316">
        <v>7.5</v>
      </c>
      <c r="W202" s="1995"/>
      <c r="X202" s="1341"/>
      <c r="AA202" s="1721"/>
    </row>
    <row r="203" spans="1:27" s="665" customFormat="1" ht="15" hidden="1" customHeight="1" outlineLevel="1">
      <c r="A203" s="3184"/>
      <c r="B203" s="3185"/>
      <c r="C203" s="3182" t="s">
        <v>777</v>
      </c>
      <c r="D203" s="3182"/>
      <c r="E203" s="1246"/>
      <c r="F203" s="966">
        <f>IF(SETUP!$F$28="Upfront",$E$202*'HIV-Other HPs'!AX15,0)</f>
        <v>0</v>
      </c>
      <c r="G203" s="921">
        <f>IF(SETUP!$F$28="Upfront",$E$202*'HIV-Other HPs'!AY15,0)</f>
        <v>0</v>
      </c>
      <c r="H203" s="920">
        <f>IF(SETUP!$F$28="Upfront",$E$202*'HIV-Other HPs'!AZ15,0)</f>
        <v>0</v>
      </c>
      <c r="I203" s="920">
        <f>IF(SETUP!$F$28="Upfront",$E$202*'HIV-Other HPs'!BA15,0)</f>
        <v>0</v>
      </c>
      <c r="J203" s="919">
        <f t="shared" si="26"/>
        <v>0</v>
      </c>
      <c r="K203" s="920">
        <f>IF(SETUP!$F$28="Upfront",$E$202*'HIV-Other HPs'!BB15,0)</f>
        <v>0</v>
      </c>
      <c r="L203" s="920">
        <f>IF(SETUP!$F$28="Upfront",$E$202*'HIV-Other HPs'!BC15,0)</f>
        <v>0</v>
      </c>
      <c r="M203" s="920">
        <f>IF(SETUP!$F$28="Upfront",$E$202*'HIV-Other HPs'!BD15,0)</f>
        <v>0</v>
      </c>
      <c r="N203" s="920">
        <f>IF(SETUP!$F$28="Upfront",$E$202*'HIV-Other HPs'!BE15,0)</f>
        <v>0</v>
      </c>
      <c r="O203" s="917">
        <f t="shared" si="27"/>
        <v>0</v>
      </c>
      <c r="P203" s="915">
        <f>IF(SETUP!$F$28="Upfront",$E$202*'HIV-Other HPs'!BF15,0)</f>
        <v>0</v>
      </c>
      <c r="Q203" s="915">
        <f>IF(SETUP!$F$28="Upfront",$E$202*'HIV-Other HPs'!BG15,0)</f>
        <v>0</v>
      </c>
      <c r="R203" s="915">
        <f>IF(SETUP!$F$28="Upfront",$E$202*'HIV-Other HPs'!BH15,0)</f>
        <v>0</v>
      </c>
      <c r="S203" s="915">
        <f>IF(SETUP!$F$28="Upfront",$E$202*'HIV-Other HPs'!BI15,0)</f>
        <v>0</v>
      </c>
      <c r="T203" s="916">
        <f t="shared" si="28"/>
        <v>0</v>
      </c>
      <c r="U203" s="915">
        <f t="shared" si="29"/>
        <v>0</v>
      </c>
      <c r="V203" s="1316">
        <v>7.5</v>
      </c>
      <c r="W203" s="1995"/>
      <c r="X203" s="1341"/>
      <c r="AA203" s="1721"/>
    </row>
    <row r="204" spans="1:27" s="665" customFormat="1" ht="15" hidden="1" customHeight="1" outlineLevel="1">
      <c r="A204" s="3184"/>
      <c r="B204" s="3185"/>
      <c r="C204" s="3182" t="s">
        <v>36</v>
      </c>
      <c r="D204" s="3182"/>
      <c r="E204" s="1246"/>
      <c r="F204" s="966">
        <v>0</v>
      </c>
      <c r="G204" s="921">
        <f>IF(SETUP!$F$28="At delivery",IF(SETUP!$G$28=1,$E$202*'HIV-Other HPs'!AX15,0),0)</f>
        <v>0</v>
      </c>
      <c r="H204" s="920">
        <f>IF(SETUP!$F$28="At delivery",IF(SETUP!$G$28=2,$E$202*'HIV-Other HPs'!AX15,IF(SETUP!$G$28=1,$E$202*'HIV-Other HPs'!AY15,0)),0)</f>
        <v>0</v>
      </c>
      <c r="I204" s="920">
        <f>IF(SETUP!$F$28="At delivery",IF(SETUP!$G$28=3,$E$202*'HIV-Other HPs'!AX15,IF(SETUP!$G$28=2,$E$202*'HIV-Other HPs'!AY15,IF(SETUP!$G$28=1,$E$202*'HIV-Other HPs'!AZ15,0))),0)</f>
        <v>0</v>
      </c>
      <c r="J204" s="919">
        <f t="shared" si="26"/>
        <v>0</v>
      </c>
      <c r="K204" s="920">
        <f>IF(SETUP!$F$28="At delivery",IF(SETUP!$G$28=4,$E$202*'HIV-Other HPs'!AX15,IF(SETUP!$G$28=3,$E$202*'HIV-Other HPs'!AY15,IF(SETUP!$G$28=2,$E$202*'HIV-Other HPs'!AZ15,IF(SETUP!$G$28=1,$E$202*'HIV-Other HPs'!BA15,0)))),0)</f>
        <v>0</v>
      </c>
      <c r="L204" s="920">
        <f>IF(SETUP!$F$28="At delivery",IF(SETUP!$G$28=4,$E$202*'HIV-Other HPs'!AY15,IF(SETUP!$G$28=3,$E$202*'HIV-Other HPs'!AZ15,IF(SETUP!$G$28=2,$E$202*'HIV-Other HPs'!BA15,IF(SETUP!$G$28=1,$E$202*'HIV-Other HPs'!BB15,0)))),0)</f>
        <v>0</v>
      </c>
      <c r="M204" s="920">
        <f>IF(SETUP!$F$28="At delivery",IF(SETUP!$G$28=4,$E$202*'HIV-Other HPs'!AZ15,IF(SETUP!$G$28=3,$E$202*'HIV-Other HPs'!BA15,IF(SETUP!$G$28=2,$E$202*'HIV-Other HPs'!BB15,IF(SETUP!$G$28=1,$E$202*'HIV-Other HPs'!BC15,0)))),0)</f>
        <v>0</v>
      </c>
      <c r="N204" s="920">
        <f>IF(SETUP!$F$28="At delivery",IF(SETUP!$G$28=4,$E$202*'HIV-Other HPs'!BA15,IF(SETUP!$G$28=3,$E$202*'HIV-Other HPs'!BB15,IF(SETUP!$G$28=2,$E$202*'HIV-Other HPs'!BC15,IF(SETUP!$G$28=1,$E$202*'HIV-Other HPs'!BD15,0)))),0)</f>
        <v>0</v>
      </c>
      <c r="O204" s="917">
        <f t="shared" si="27"/>
        <v>0</v>
      </c>
      <c r="P204" s="915">
        <f>IF(SETUP!$F$28="At delivery",IF(SETUP!$G$28=4,$E$202*'HIV-Other HPs'!BB15,IF(SETUP!$G$28=3,$E$202*'HIV-Other HPs'!BC15,IF(SETUP!$G$28=2,$E$202*'HIV-Other HPs'!BD15,IF(SETUP!$G$28=1,$E$202*'HIV-Other HPs'!BE15,0)))),0)</f>
        <v>0</v>
      </c>
      <c r="Q204" s="915">
        <f>IF(SETUP!$F$28="At delivery",IF(SETUP!$G$28=4,$E$202*'HIV-Other HPs'!BC15,IF(SETUP!$G$28=3,$E$202*'HIV-Other HPs'!BD15,IF(SETUP!$G$28=2,$E$202*'HIV-Other HPs'!BE15,IF(SETUP!$G$28=1,$E$202*'HIV-Other HPs'!BF15,0)))),0)</f>
        <v>0</v>
      </c>
      <c r="R204" s="915">
        <f>IF(SETUP!$F$28="At delivery",IF(SETUP!$G$28=4,$E$202*'HIV-Other HPs'!BD15,IF(SETUP!$G$28=3,$E$202*'HIV-Other HPs'!BE15,IF(SETUP!$G$28=2,$E$202*'HIV-Other HPs'!BF15,IF(SETUP!$G$28=1,$E$202*'HIV-Other HPs'!BG15,0)))),0)</f>
        <v>0</v>
      </c>
      <c r="S204" s="915">
        <f>IF(SETUP!$F$28="At delivery",IF(SETUP!$G$28=4,$E$202*('HIV-Other HPs'!BE15+'HIV-Other HPs'!BF15+'HIV-Other HPs'!BG15+'HIV-Other HPs'!BH15+'HIV-Other HPs'!BI15),IF(SETUP!$G$28=3,$E$202*('HIV-Other HPs'!BF15+'HIV-Other HPs'!BG15+'HIV-Other HPs'!BH15+'HIV-Other HPs'!BI15),IF(SETUP!$G$28=2,$E$202*('HIV-Other HPs'!BG15+'HIV-Other HPs'!BH15+'HIV-Other HPs'!BI15),IF(SETUP!$G$28=1,$E$202*('HIV-Other HPs'!BH15+'HIV-Other HPs'!BI15),0)))),0)</f>
        <v>0</v>
      </c>
      <c r="T204" s="916">
        <f t="shared" si="28"/>
        <v>0</v>
      </c>
      <c r="U204" s="915">
        <f t="shared" si="29"/>
        <v>0</v>
      </c>
      <c r="V204" s="1316">
        <v>7.5</v>
      </c>
      <c r="W204" s="1995"/>
      <c r="X204" s="1341"/>
      <c r="AA204" s="1721"/>
    </row>
    <row r="205" spans="1:27" s="665" customFormat="1" ht="15" customHeight="1" collapsed="1" thickBot="1">
      <c r="A205" s="3184"/>
      <c r="B205" s="3185"/>
      <c r="C205" s="3188" t="s">
        <v>441</v>
      </c>
      <c r="D205" s="3188"/>
      <c r="E205" s="1245">
        <v>0</v>
      </c>
      <c r="F205" s="966">
        <f>IF(SETUP!$F$29="Upfront",F206,F207)</f>
        <v>0</v>
      </c>
      <c r="G205" s="921">
        <f>IF(SETUP!$F$29="Upfront",G206,G207)</f>
        <v>0</v>
      </c>
      <c r="H205" s="920">
        <f>IF(SETUP!$F$29="Upfront",H206,H207)</f>
        <v>0</v>
      </c>
      <c r="I205" s="920">
        <f>IF(SETUP!$F$29="Upfront",I206,I207)</f>
        <v>0</v>
      </c>
      <c r="J205" s="919">
        <f t="shared" si="26"/>
        <v>0</v>
      </c>
      <c r="K205" s="920">
        <f>IF(SETUP!$F$29="Upfront",K206,K207)</f>
        <v>0</v>
      </c>
      <c r="L205" s="920">
        <f>IF(SETUP!$F$29="Upfront",L206,L207)</f>
        <v>0</v>
      </c>
      <c r="M205" s="920">
        <f>IF(SETUP!$F$29="Upfront",M206,M207)</f>
        <v>0</v>
      </c>
      <c r="N205" s="920">
        <f>IF(SETUP!$F$29="Upfront",N206,N207)</f>
        <v>0</v>
      </c>
      <c r="O205" s="917">
        <f t="shared" si="27"/>
        <v>0</v>
      </c>
      <c r="P205" s="915">
        <f>IF(SETUP!$F$29="Upfront",P206,P207)</f>
        <v>0</v>
      </c>
      <c r="Q205" s="915">
        <f>IF(SETUP!$F$29="Upfront",Q206,Q207)</f>
        <v>0</v>
      </c>
      <c r="R205" s="915">
        <f>IF(SETUP!$F$29="Upfront",R206,R207)</f>
        <v>0</v>
      </c>
      <c r="S205" s="915">
        <f>IF(SETUP!$F$29="Upfront",S206,S207)</f>
        <v>0</v>
      </c>
      <c r="T205" s="916">
        <f t="shared" si="28"/>
        <v>0</v>
      </c>
      <c r="U205" s="915">
        <f t="shared" si="29"/>
        <v>0</v>
      </c>
      <c r="V205" s="1316">
        <v>7.5</v>
      </c>
      <c r="W205" s="1995"/>
      <c r="X205" s="1341"/>
      <c r="AA205" s="1721"/>
    </row>
    <row r="206" spans="1:27" s="665" customFormat="1" ht="15" hidden="1" customHeight="1" outlineLevel="1">
      <c r="A206" s="3184"/>
      <c r="B206" s="3185"/>
      <c r="C206" s="3182" t="s">
        <v>777</v>
      </c>
      <c r="D206" s="3182"/>
      <c r="E206" s="1246"/>
      <c r="F206" s="966">
        <f>IF(SETUP!$F$29="Upfront",$E$205*'HIV-Other HPs'!AX16,0)</f>
        <v>0</v>
      </c>
      <c r="G206" s="921">
        <f>IF(SETUP!$F$29="Upfront",$E$205*'HIV-Other HPs'!AY16,0)</f>
        <v>0</v>
      </c>
      <c r="H206" s="920">
        <f>IF(SETUP!$F$29="Upfront",$E$205*'HIV-Other HPs'!AZ16,0)</f>
        <v>0</v>
      </c>
      <c r="I206" s="920">
        <f>IF(SETUP!$F$29="Upfront",$E$205*'HIV-Other HPs'!BA16,0)</f>
        <v>0</v>
      </c>
      <c r="J206" s="919">
        <f t="shared" si="26"/>
        <v>0</v>
      </c>
      <c r="K206" s="920">
        <f>IF(SETUP!$F$29="Upfront",$E$205*'HIV-Other HPs'!BB16,0)</f>
        <v>0</v>
      </c>
      <c r="L206" s="920">
        <f>IF(SETUP!$F$29="Upfront",$E$205*'HIV-Other HPs'!BC16,0)</f>
        <v>0</v>
      </c>
      <c r="M206" s="920">
        <f>IF(SETUP!$F$29="Upfront",$E$205*'HIV-Other HPs'!BD16,0)</f>
        <v>0</v>
      </c>
      <c r="N206" s="920">
        <f>IF(SETUP!$F$29="Upfront",$E$205*'HIV-Other HPs'!BE16,0)</f>
        <v>0</v>
      </c>
      <c r="O206" s="917">
        <f t="shared" si="27"/>
        <v>0</v>
      </c>
      <c r="P206" s="915">
        <f>IF(SETUP!$F$29="Upfront",$E$205*'HIV-Other HPs'!BF16,0)</f>
        <v>0</v>
      </c>
      <c r="Q206" s="915">
        <f>IF(SETUP!$F$29="Upfront",$E$205*'HIV-Other HPs'!BG16,0)</f>
        <v>0</v>
      </c>
      <c r="R206" s="915">
        <f>IF(SETUP!$F$29="Upfront",$E$205*'HIV-Other HPs'!BH16,0)</f>
        <v>0</v>
      </c>
      <c r="S206" s="915">
        <f>IF(SETUP!$F$29="Upfront",$E$205*'HIV-Other HPs'!BI16,0)</f>
        <v>0</v>
      </c>
      <c r="T206" s="916">
        <f t="shared" si="28"/>
        <v>0</v>
      </c>
      <c r="U206" s="915">
        <f t="shared" si="29"/>
        <v>0</v>
      </c>
      <c r="V206" s="1316">
        <v>7.5</v>
      </c>
      <c r="W206" s="1995"/>
      <c r="X206" s="1341"/>
      <c r="AA206" s="1721"/>
    </row>
    <row r="207" spans="1:27" s="665" customFormat="1" ht="15" hidden="1" customHeight="1" outlineLevel="1">
      <c r="A207" s="3184"/>
      <c r="B207" s="3185"/>
      <c r="C207" s="3182" t="s">
        <v>36</v>
      </c>
      <c r="D207" s="3182"/>
      <c r="E207" s="1246"/>
      <c r="F207" s="966">
        <v>0</v>
      </c>
      <c r="G207" s="921">
        <f>IF(SETUP!$F$29="At delivery",IF(SETUP!$G$29=1,$E$205*'HIV-Other HPs'!AX16,0),0)</f>
        <v>0</v>
      </c>
      <c r="H207" s="920">
        <f>IF(SETUP!$F$29="At delivery",IF(SETUP!$G$29=2,$E$205*'HIV-Other HPs'!AX16,IF(SETUP!$G$29=1,$E$205*'HIV-Other HPs'!AY16,0)),0)</f>
        <v>0</v>
      </c>
      <c r="I207" s="920">
        <f>IF(SETUP!$F$29="At delivery",IF(SETUP!$G$29=3,$E$205*'HIV-Other HPs'!AX16,IF(SETUP!$G$29=2,$E$205*'HIV-Other HPs'!AY16,IF(SETUP!$G$29=1,$E$205*'HIV-Other HPs'!AZ16,0))),0)</f>
        <v>0</v>
      </c>
      <c r="J207" s="919">
        <f t="shared" si="26"/>
        <v>0</v>
      </c>
      <c r="K207" s="920">
        <f>IF(SETUP!$F$29="At delivery",IF(SETUP!$G$29=4,$E$205*'HIV-Other HPs'!AX16,IF(SETUP!$G$29=3,$E$205*'HIV-Other HPs'!AY16,IF(SETUP!$G$29=2,$E$205*'HIV-Other HPs'!AZ16,IF(SETUP!$G$29=1,$E$205*'HIV-Other HPs'!BA16,0)))),0)</f>
        <v>0</v>
      </c>
      <c r="L207" s="920">
        <f>IF(SETUP!$F$29="At delivery",IF(SETUP!$G$29=4,$E$205*'HIV-Other HPs'!AY16,IF(SETUP!$G$29=3,$E$205*'HIV-Other HPs'!AZ16,IF(SETUP!$G$29=2,$E$205*'HIV-Other HPs'!BA16,IF(SETUP!$G$29=1,$E$205*'HIV-Other HPs'!BB16,0)))),0)</f>
        <v>0</v>
      </c>
      <c r="M207" s="920">
        <f>IF(SETUP!$F$29="At delivery",IF(SETUP!$G$29=4,$E$205*'HIV-Other HPs'!AZ16,IF(SETUP!$G$29=3,$E$205*'HIV-Other HPs'!BA16,IF(SETUP!$G$29=2,$E$205*'HIV-Other HPs'!BB16,IF(SETUP!$G$29=1,$E$205*'HIV-Other HPs'!BC16,0)))),0)</f>
        <v>0</v>
      </c>
      <c r="N207" s="920">
        <f>IF(SETUP!$F$29="At delivery",IF(SETUP!$G$29=4,$E$205*'HIV-Other HPs'!BA16,IF(SETUP!$G$29=3,$E$205*'HIV-Other HPs'!BB16,IF(SETUP!$G$29=2,$E$205*'HIV-Other HPs'!BC16,IF(SETUP!$G$29=1,$E$205*'HIV-Other HPs'!BD16,0)))),0)</f>
        <v>0</v>
      </c>
      <c r="O207" s="917">
        <f t="shared" si="27"/>
        <v>0</v>
      </c>
      <c r="P207" s="915">
        <f>IF(SETUP!$F$29="At delivery",IF(SETUP!$G$29=4,$E$205*'HIV-Other HPs'!BB16,IF(SETUP!$G$29=3,$E$205*'HIV-Other HPs'!BC16,IF(SETUP!$G$29=2,$E$205*'HIV-Other HPs'!BD16,IF(SETUP!$G$29=1,$E$205*'HIV-Other HPs'!BE16,0)))),0)</f>
        <v>0</v>
      </c>
      <c r="Q207" s="915">
        <f>IF(SETUP!$F$29="At delivery",IF(SETUP!$G$29=4,$E$205*'HIV-Other HPs'!BC16,IF(SETUP!$G$29=3,$E$205*'HIV-Other HPs'!BD16,IF(SETUP!$G$29=2,$E$205*'HIV-Other HPs'!BE16,IF(SETUP!$G$29=1,$E$205*'HIV-Other HPs'!BF16,0)))),0)</f>
        <v>0</v>
      </c>
      <c r="R207" s="915">
        <f>IF(SETUP!$F$29="At delivery",IF(SETUP!$G$29=4,$E$205*'HIV-Other HPs'!BD16,IF(SETUP!$G$29=3,$E$205*'HIV-Other HPs'!BE16,IF(SETUP!$G$29=2,$E$205*'HIV-Other HPs'!BF16,IF(SETUP!$G$29=1,$E$205*'HIV-Other HPs'!BG16,0)))),0)</f>
        <v>0</v>
      </c>
      <c r="S207" s="915">
        <f>IF(SETUP!$F$29="At delivery",IF(SETUP!$G$29=4,$E$205*('HIV-Other HPs'!BE16+'HIV-Other HPs'!BF16+'HIV-Other HPs'!BG16+'HIV-Other HPs'!BH16+'HIV-Other HPs'!BI16),IF(SETUP!$G$29=3,$E$205*('HIV-Other HPs'!BF16+'HIV-Other HPs'!BG16+'HIV-Other HPs'!BH16+'HIV-Other HPs'!BI16),IF(SETUP!$G$29=2,$E$205*('HIV-Other HPs'!BG16+'HIV-Other HPs'!BH16+'HIV-Other HPs'!BI16),IF(SETUP!$G$29=1,$E$205*('HIV-Other HPs'!BH16+'HIV-Other HPs'!BI16),0)))),0)</f>
        <v>0</v>
      </c>
      <c r="T207" s="916">
        <f t="shared" si="28"/>
        <v>0</v>
      </c>
      <c r="U207" s="915">
        <f t="shared" si="29"/>
        <v>0</v>
      </c>
      <c r="V207" s="1316">
        <v>7.5</v>
      </c>
      <c r="W207" s="1995"/>
      <c r="X207" s="1341"/>
      <c r="AA207" s="1721"/>
    </row>
    <row r="208" spans="1:27" s="665" customFormat="1" ht="15" customHeight="1" collapsed="1" thickBot="1">
      <c r="A208" s="3184"/>
      <c r="B208" s="3185"/>
      <c r="C208" s="3188" t="s">
        <v>1452</v>
      </c>
      <c r="D208" s="3188"/>
      <c r="E208" s="1245">
        <v>0</v>
      </c>
      <c r="F208" s="966">
        <f>IF(SETUP!$F$30="Upfront",F209,F210)</f>
        <v>0</v>
      </c>
      <c r="G208" s="921">
        <f>IF(SETUP!$F$30="Upfront",G209,G210)</f>
        <v>0</v>
      </c>
      <c r="H208" s="920">
        <f>IF(SETUP!$F$30="Upfront",H209,H210)</f>
        <v>0</v>
      </c>
      <c r="I208" s="920">
        <f>IF(SETUP!$F$30="Upfront",I209,I210)</f>
        <v>0</v>
      </c>
      <c r="J208" s="919">
        <f t="shared" si="26"/>
        <v>0</v>
      </c>
      <c r="K208" s="920">
        <f>IF(SETUP!$F$30="Upfront",K209,K210)</f>
        <v>0</v>
      </c>
      <c r="L208" s="920">
        <f>IF(SETUP!$F$30="Upfront",L209,L210)</f>
        <v>0</v>
      </c>
      <c r="M208" s="920">
        <f>IF(SETUP!$F$30="Upfront",M209,M210)</f>
        <v>0</v>
      </c>
      <c r="N208" s="920">
        <f>IF(SETUP!$F$30="Upfront",N209,N210)</f>
        <v>0</v>
      </c>
      <c r="O208" s="917">
        <f t="shared" si="27"/>
        <v>0</v>
      </c>
      <c r="P208" s="915">
        <f>IF(SETUP!$F$30="Upfront",P209,P210)</f>
        <v>0</v>
      </c>
      <c r="Q208" s="915">
        <f>IF(SETUP!$F$30="Upfront",Q209,Q210)</f>
        <v>0</v>
      </c>
      <c r="R208" s="915">
        <f>IF(SETUP!$F$30="Upfront",R209,R210)</f>
        <v>0</v>
      </c>
      <c r="S208" s="915">
        <f>IF(SETUP!$F$30="Upfront",S209,S210)</f>
        <v>0</v>
      </c>
      <c r="T208" s="916">
        <f t="shared" ref="T208" si="30">P208+Q208+R208+S208</f>
        <v>0</v>
      </c>
      <c r="U208" s="915">
        <f t="shared" ref="U208" si="31">J208+O208+T208</f>
        <v>0</v>
      </c>
      <c r="V208" s="1316">
        <v>7.5</v>
      </c>
      <c r="W208" s="1995"/>
      <c r="X208" s="1341"/>
      <c r="AA208" s="1721"/>
    </row>
    <row r="209" spans="1:27" s="665" customFormat="1" ht="15" hidden="1" customHeight="1" outlineLevel="1">
      <c r="A209" s="3184"/>
      <c r="B209" s="3185"/>
      <c r="C209" s="3182" t="s">
        <v>777</v>
      </c>
      <c r="D209" s="3182"/>
      <c r="E209" s="1246"/>
      <c r="F209" s="966">
        <f>IF(SETUP!$F$30="Upfront",$E$208*'HIV-Other HPs'!AX17,0)</f>
        <v>0</v>
      </c>
      <c r="G209" s="921">
        <f>IF(SETUP!$F$30="Upfront",$E$208*'HIV-Other HPs'!AY17,0)</f>
        <v>0</v>
      </c>
      <c r="H209" s="920">
        <f>IF(SETUP!$F$30="Upfront",$E$208*'HIV-Other HPs'!AZ17,0)</f>
        <v>0</v>
      </c>
      <c r="I209" s="920">
        <f>IF(SETUP!$F$30="Upfront",$E$208*'HIV-Other HPs'!BA17,0)</f>
        <v>0</v>
      </c>
      <c r="J209" s="919"/>
      <c r="K209" s="920">
        <f>IF(SETUP!$F$30="Upfront",$E$208*'HIV-Other HPs'!BB17,0)</f>
        <v>0</v>
      </c>
      <c r="L209" s="920">
        <f>IF(SETUP!$F$30="Upfront",$E$208*'HIV-Other HPs'!BC17,0)</f>
        <v>0</v>
      </c>
      <c r="M209" s="920">
        <f>IF(SETUP!$F$30="Upfront",$E$208*'HIV-Other HPs'!BD17,0)</f>
        <v>0</v>
      </c>
      <c r="N209" s="920">
        <f>IF(SETUP!$F$30="Upfront",$E$208*'HIV-Other HPs'!BE17,0)</f>
        <v>0</v>
      </c>
      <c r="O209" s="917"/>
      <c r="P209" s="915">
        <f>IF(SETUP!$F$30="Upfront",$E$208*'HIV-Other HPs'!BF17,0)</f>
        <v>0</v>
      </c>
      <c r="Q209" s="915">
        <f>IF(SETUP!$F$30="Upfront",$E$208*'HIV-Other HPs'!BG17,0)</f>
        <v>0</v>
      </c>
      <c r="R209" s="915">
        <f>IF(SETUP!$F$30="Upfront",$E$208*'HIV-Other HPs'!BH17,0)</f>
        <v>0</v>
      </c>
      <c r="S209" s="915">
        <f>IF(SETUP!$F$30="Upfront",$E$208*'HIV-Other HPs'!BI17,0)</f>
        <v>0</v>
      </c>
      <c r="T209" s="916"/>
      <c r="U209" s="915"/>
      <c r="V209" s="1316">
        <v>7.5</v>
      </c>
      <c r="W209" s="1995"/>
      <c r="X209" s="1341"/>
      <c r="AA209" s="1721"/>
    </row>
    <row r="210" spans="1:27" s="665" customFormat="1" ht="15" hidden="1" customHeight="1" outlineLevel="1">
      <c r="A210" s="3184"/>
      <c r="B210" s="3185"/>
      <c r="C210" s="3182" t="s">
        <v>36</v>
      </c>
      <c r="D210" s="3182"/>
      <c r="E210" s="1246"/>
      <c r="F210" s="966">
        <v>0</v>
      </c>
      <c r="G210" s="921">
        <f>IF(SETUP!$F$30="At delivery",IF(SETUP!$G$30=1,$E$208*'HIV-Other HPs'!AX17,0),0)</f>
        <v>0</v>
      </c>
      <c r="H210" s="920">
        <f>IF(SETUP!$F$30="At delivery",IF(SETUP!$G$30=2,$E$208*'HIV-Other HPs'!AX17,IF(SETUP!$G$30=1,$E$208*'HIV-Other HPs'!AY17,0)),0)</f>
        <v>0</v>
      </c>
      <c r="I210" s="920">
        <f>IF(SETUP!$F$30="At delivery",IF(SETUP!$G$30=3,$E$208*'HIV-Other HPs'!AX17,IF(SETUP!$G$30=2,$E$208*'HIV-Other HPs'!AY17,IF(SETUP!$G$30=1,$E$208*'HIV-Other HPs'!AZ17,0))),0)</f>
        <v>0</v>
      </c>
      <c r="J210" s="919"/>
      <c r="K210" s="920">
        <f>IF(SETUP!$F$30="At delivery",IF(SETUP!$G$30=4,$E$208*'HIV-Other HPs'!AX17,IF(SETUP!$G$30=3,$E$208*'HIV-Other HPs'!AY17,IF(SETUP!$G$30=2,$E$208*'HIV-Other HPs'!AZ17,IF(SETUP!$G$30=1,$E$208*'HIV-Other HPs'!BA17,0)))),0)</f>
        <v>0</v>
      </c>
      <c r="L210" s="920">
        <f>IF(SETUP!$F$30="At delivery",IF(SETUP!$G$30=4,$E$208*'HIV-Other HPs'!AY17,IF(SETUP!$G$30=3,$E$208*'HIV-Other HPs'!AZ17,IF(SETUP!$G$30=2,$E$208*'HIV-Other HPs'!BA17,IF(SETUP!$G$30=1,$E$208*'HIV-Other HPs'!BB17,0)))),0)</f>
        <v>0</v>
      </c>
      <c r="M210" s="920">
        <f>IF(SETUP!$F$30="At delivery",IF(SETUP!$G$30=4,$E$208*'HIV-Other HPs'!AZ17,IF(SETUP!$G$30=3,$E$208*'HIV-Other HPs'!BA17,IF(SETUP!$G$30=2,$E$208*'HIV-Other HPs'!BB17,IF(SETUP!$G$30=1,$E$208*'HIV-Other HPs'!BC17,0)))),0)</f>
        <v>0</v>
      </c>
      <c r="N210" s="920">
        <f>IF(SETUP!$F$30="At delivery",IF(SETUP!$G$30=4,$E$208*'HIV-Other HPs'!BA17,IF(SETUP!$G$30=3,$E$208*'HIV-Other HPs'!BB17,IF(SETUP!$G$30=2,$E$208*'HIV-Other HPs'!BC17,IF(SETUP!$G$30=1,$E$208*'HIV-Other HPs'!BD17,0)))),0)</f>
        <v>0</v>
      </c>
      <c r="O210" s="917"/>
      <c r="P210" s="915">
        <f>IF(SETUP!$F$30="At delivery",IF(SETUP!$G$30=4,$E$208*'HIV-Other HPs'!BB17,IF(SETUP!$G$30=3,$E$208*'HIV-Other HPs'!BC17,IF(SETUP!$G$30=2,$E$208*'HIV-Other HPs'!BD17,IF(SETUP!$G$30=1,$E$208*'HIV-Other HPs'!BE17,0)))),0)</f>
        <v>0</v>
      </c>
      <c r="Q210" s="915">
        <f>IF(SETUP!$F$30="At delivery",IF(SETUP!$G$30=4,$E$208*'HIV-Other HPs'!BC17,IF(SETUP!$G$30=3,$E$208*'HIV-Other HPs'!BD17,IF(SETUP!$G$30=2,$E$208*'HIV-Other HPs'!BE17,IF(SETUP!$G$30=1,$E$208*'HIV-Other HPs'!BF17,0)))),0)</f>
        <v>0</v>
      </c>
      <c r="R210" s="915">
        <f>IF(SETUP!$F$30="At delivery",IF(SETUP!$G$30=4,$E$208*'HIV-Other HPs'!BD17,IF(SETUP!$G$30=3,$E$208*'HIV-Other HPs'!BE17,IF(SETUP!$G$30=2,$E$208*'HIV-Other HPs'!BF17,IF(SETUP!$G$30=1,$E$208*'HIV-Other HPs'!BG17,0)))),0)</f>
        <v>0</v>
      </c>
      <c r="S210" s="915">
        <f>IF(SETUP!$F$30="At delivery",IF(SETUP!$G$30=4,$E$208*('HIV-Other HPs'!BE17+'HIV-Other HPs'!BF17+'HIV-Other HPs'!BG17+'HIV-Other HPs'!BH17+'HIV-Other HPs'!BI17),IF(SETUP!$G$30=3,$E$208*('HIV-Other HPs'!BF17+'HIV-Other HPs'!BG17+'HIV-Other HPs'!BH17+'HIV-Other HPs'!BI17),IF(SETUP!$G$30=2,$E$208*('HIV-Other HPs'!BG17+'HIV-Other HPs'!BH17+'HIV-Other HPs'!BI17),IF(SETUP!$G$30=1,$E$208*('HIV-Other HPs'!BH17+'HIV-Other HPs'!BI17),0)))),0)</f>
        <v>0</v>
      </c>
      <c r="T210" s="916"/>
      <c r="U210" s="915"/>
      <c r="V210" s="1316">
        <v>7.5</v>
      </c>
      <c r="W210" s="1995"/>
      <c r="X210" s="1341"/>
      <c r="AA210" s="1721"/>
    </row>
    <row r="211" spans="1:27" s="665" customFormat="1" ht="15" customHeight="1" collapsed="1" thickBot="1">
      <c r="A211" s="3184"/>
      <c r="B211" s="3185"/>
      <c r="C211" s="3188" t="s">
        <v>1391</v>
      </c>
      <c r="D211" s="3188"/>
      <c r="E211" s="1245">
        <v>0</v>
      </c>
      <c r="F211" s="966">
        <f>IF(SETUP!$F$31="Upfront",F212,F213)</f>
        <v>0</v>
      </c>
      <c r="G211" s="921">
        <f>IF(SETUP!$F$31="Upfront",G212,G213)</f>
        <v>0</v>
      </c>
      <c r="H211" s="920">
        <f>IF(SETUP!$F$31="Upfront",H212,H213)</f>
        <v>0</v>
      </c>
      <c r="I211" s="920">
        <f>IF(SETUP!$F$31="Upfront",I212,I213)</f>
        <v>0</v>
      </c>
      <c r="J211" s="919">
        <f t="shared" ref="J211:J242" si="32">F211+G211+H211+I211</f>
        <v>0</v>
      </c>
      <c r="K211" s="920">
        <f>IF(SETUP!$F$31="Upfront",K212,K213)</f>
        <v>0</v>
      </c>
      <c r="L211" s="920">
        <f>IF(SETUP!$F$31="Upfront",L212,L213)</f>
        <v>0</v>
      </c>
      <c r="M211" s="920">
        <f>IF(SETUP!$F$31="Upfront",M212,M213)</f>
        <v>0</v>
      </c>
      <c r="N211" s="920">
        <f>IF(SETUP!$F$31="Upfront",N212,N213)</f>
        <v>0</v>
      </c>
      <c r="O211" s="917">
        <f t="shared" ref="O211:O242" si="33">K211+L211+M211+N211</f>
        <v>0</v>
      </c>
      <c r="P211" s="915">
        <f>IF(SETUP!$F$31="Upfront",P212,P213)</f>
        <v>0</v>
      </c>
      <c r="Q211" s="915">
        <f>IF(SETUP!$F$31="Upfront",Q212,Q213)</f>
        <v>0</v>
      </c>
      <c r="R211" s="915">
        <f>IF(SETUP!$F$31="Upfront",R212,R213)</f>
        <v>0</v>
      </c>
      <c r="S211" s="915">
        <f>IF(SETUP!$F$31="Upfront",S212,S213)</f>
        <v>0</v>
      </c>
      <c r="T211" s="916">
        <f t="shared" ref="T211:T242" si="34">P211+Q211+R211+S211</f>
        <v>0</v>
      </c>
      <c r="U211" s="915">
        <f t="shared" ref="U211:U242" si="35">J211+O211+T211</f>
        <v>0</v>
      </c>
      <c r="V211" s="1316">
        <v>7.5</v>
      </c>
      <c r="W211" s="1995"/>
      <c r="X211" s="1341"/>
      <c r="AA211" s="1721"/>
    </row>
    <row r="212" spans="1:27" s="665" customFormat="1" ht="15" hidden="1" customHeight="1" outlineLevel="1">
      <c r="A212" s="3184"/>
      <c r="B212" s="3185"/>
      <c r="C212" s="3182" t="s">
        <v>777</v>
      </c>
      <c r="D212" s="3182"/>
      <c r="E212" s="1246"/>
      <c r="F212" s="966">
        <f>IF(SETUP!$F$31="Upfront",$E$211*'HIV-Other HPs'!AX18,0)</f>
        <v>0</v>
      </c>
      <c r="G212" s="921">
        <f>IF(SETUP!$F$31="Upfront",$E$211*'HIV-Other HPs'!AY18,0)</f>
        <v>0</v>
      </c>
      <c r="H212" s="920">
        <f>IF(SETUP!$F$31="Upfront",$E$211*'HIV-Other HPs'!AZ18,0)</f>
        <v>0</v>
      </c>
      <c r="I212" s="920">
        <f>IF(SETUP!$F$31="Upfront",$E$211*'HIV-Other HPs'!BA18,0)</f>
        <v>0</v>
      </c>
      <c r="J212" s="919">
        <f t="shared" si="32"/>
        <v>0</v>
      </c>
      <c r="K212" s="920">
        <f>IF(SETUP!$F$31="Upfront",$E$211*'HIV-Other HPs'!BB18,0)</f>
        <v>0</v>
      </c>
      <c r="L212" s="920">
        <f>IF(SETUP!$F$31="Upfront",$E$211*'HIV-Other HPs'!BC18,0)</f>
        <v>0</v>
      </c>
      <c r="M212" s="920">
        <f>IF(SETUP!$F$31="Upfront",$E$211*'HIV-Other HPs'!BD18,0)</f>
        <v>0</v>
      </c>
      <c r="N212" s="920">
        <f>IF(SETUP!$F$31="Upfront",$E$211*'HIV-Other HPs'!BE18,0)</f>
        <v>0</v>
      </c>
      <c r="O212" s="917">
        <f t="shared" si="33"/>
        <v>0</v>
      </c>
      <c r="P212" s="915">
        <f>IF(SETUP!$F$31="Upfront",$E$211*'HIV-Other HPs'!BF18,0)</f>
        <v>0</v>
      </c>
      <c r="Q212" s="915">
        <f>IF(SETUP!$F$31="Upfront",$E$211*'HIV-Other HPs'!BG18,0)</f>
        <v>0</v>
      </c>
      <c r="R212" s="915">
        <f>IF(SETUP!$F$31="Upfront",$E$211*'HIV-Other HPs'!BH18,0)</f>
        <v>0</v>
      </c>
      <c r="S212" s="915">
        <f>IF(SETUP!$F$31="Upfront",$E$211*'HIV-Other HPs'!BI18,0)</f>
        <v>0</v>
      </c>
      <c r="T212" s="916">
        <f t="shared" si="34"/>
        <v>0</v>
      </c>
      <c r="U212" s="915">
        <f t="shared" si="35"/>
        <v>0</v>
      </c>
      <c r="V212" s="1316">
        <v>7.5</v>
      </c>
      <c r="W212" s="1995"/>
      <c r="X212" s="1341"/>
      <c r="AA212" s="1721"/>
    </row>
    <row r="213" spans="1:27" s="665" customFormat="1" ht="15" hidden="1" customHeight="1" outlineLevel="1">
      <c r="A213" s="3184"/>
      <c r="B213" s="3185"/>
      <c r="C213" s="3182" t="s">
        <v>36</v>
      </c>
      <c r="D213" s="3182"/>
      <c r="E213" s="1246"/>
      <c r="F213" s="966">
        <v>0</v>
      </c>
      <c r="G213" s="921">
        <f>IF(SETUP!$F$31="At delivery",IF(SETUP!$G$31=1,$E$211*'HIV-Other HPs'!AX18,0),0)</f>
        <v>0</v>
      </c>
      <c r="H213" s="920">
        <f>IF(SETUP!$F$31="At delivery",IF(SETUP!$G$31=2,$E$211*'HIV-Other HPs'!AX18,IF(SETUP!$G$31=1,$E$211*'HIV-Other HPs'!AY18,0)),0)</f>
        <v>0</v>
      </c>
      <c r="I213" s="920">
        <f>IF(SETUP!$F$31="At delivery",IF(SETUP!$G$31=3,$E$211*'HIV-Other HPs'!AX18,IF(SETUP!$G$31=2,$E$211*'HIV-Other HPs'!AY18,IF(SETUP!$G$31=1,$E$211*'HIV-Other HPs'!AZ18,0))),0)</f>
        <v>0</v>
      </c>
      <c r="J213" s="919">
        <f t="shared" si="32"/>
        <v>0</v>
      </c>
      <c r="K213" s="920">
        <f>IF(SETUP!$F$31="At delivery",IF(SETUP!$G$31=4,$E$211*'HIV-Other HPs'!AX18,IF(SETUP!$G$31=3,$E$211*'HIV-Other HPs'!AY18,IF(SETUP!$G$31=2,$E$211*'HIV-Other HPs'!AZ18,IF(SETUP!$G$31=1,$E$211*'HIV-Other HPs'!BA18,0)))),0)</f>
        <v>0</v>
      </c>
      <c r="L213" s="920">
        <f>IF(SETUP!$F$31="At delivery",IF(SETUP!$G$31=4,$E$211*'HIV-Other HPs'!AY18,IF(SETUP!$G$31=3,$E$211*'HIV-Other HPs'!AZ18,IF(SETUP!$G$31=2,$E$211*'HIV-Other HPs'!BA18,IF(SETUP!$G$31=1,$E$211*'HIV-Other HPs'!BB18,0)))),0)</f>
        <v>0</v>
      </c>
      <c r="M213" s="920">
        <f>IF(SETUP!$F$31="At delivery",IF(SETUP!$G$31=4,$E$211*'HIV-Other HPs'!AZ18,IF(SETUP!$G$31=3,$E$211*'HIV-Other HPs'!BA18,IF(SETUP!$G$31=2,$E$211*'HIV-Other HPs'!BB18,IF(SETUP!$G$31=1,$E$211*'HIV-Other HPs'!BC18,0)))),0)</f>
        <v>0</v>
      </c>
      <c r="N213" s="920">
        <f>IF(SETUP!$F$31="At delivery",IF(SETUP!$G$31=4,$E$211*'HIV-Other HPs'!BA18,IF(SETUP!$G$31=3,$E$211*'HIV-Other HPs'!BB18,IF(SETUP!$G$31=2,$E$211*'HIV-Other HPs'!BC18,IF(SETUP!$G$31=1,$E$211*'HIV-Other HPs'!BD18,0)))),0)</f>
        <v>0</v>
      </c>
      <c r="O213" s="917">
        <f t="shared" si="33"/>
        <v>0</v>
      </c>
      <c r="P213" s="915">
        <f>IF(SETUP!$F$31="At delivery",IF(SETUP!$G$31=4,$E$211*'HIV-Other HPs'!BB18,IF(SETUP!$G$31=3,$E$211*'HIV-Other HPs'!BC18,IF(SETUP!$G$31=2,$E$211*'HIV-Other HPs'!BD18,IF(SETUP!$G$31=1,$E$211*'HIV-Other HPs'!BE18,0)))),0)</f>
        <v>0</v>
      </c>
      <c r="Q213" s="915">
        <f>IF(SETUP!$F$31="At delivery",IF(SETUP!$G$31=4,$E$211*'HIV-Other HPs'!BC18,IF(SETUP!$G$31=3,$E$211*'HIV-Other HPs'!BD18,IF(SETUP!$G$31=2,$E$211*'HIV-Other HPs'!BE18,IF(SETUP!$G$31=1,$E$211*'HIV-Other HPs'!BF18,0)))),0)</f>
        <v>0</v>
      </c>
      <c r="R213" s="915">
        <f>IF(SETUP!$F$31="At delivery",IF(SETUP!$G$31=4,$E$211*'HIV-Other HPs'!BD18,IF(SETUP!$G$31=3,$E$211*'HIV-Other HPs'!BE18,IF(SETUP!$G$31=2,$E$211*'HIV-Other HPs'!BF18,IF(SETUP!$G$31=1,$E$211*'HIV-Other HPs'!BG18,0)))),0)</f>
        <v>0</v>
      </c>
      <c r="S213" s="915">
        <f>IF(SETUP!$F$31="At delivery",IF(SETUP!$G$31=4,$E$211*('HIV-Other HPs'!BE18+'HIV-Other HPs'!BF18+'HIV-Other HPs'!BG18+'HIV-Other HPs'!BH18+'HIV-Other HPs'!BI18),IF(SETUP!$G$31=3,$E$211*('HIV-Other HPs'!BF18+'HIV-Other HPs'!BG18+'HIV-Other HPs'!BH18+'HIV-Other HPs'!BI18),IF(SETUP!$G$31=2,$E$211*('HIV-Other HPs'!BG18+'HIV-Other HPs'!BH18+'HIV-Other HPs'!BI18),IF(SETUP!$G$31=1,$E$211*('HIV-Other HPs'!BH18+'HIV-Other HPs'!BI18),0)))),0)</f>
        <v>0</v>
      </c>
      <c r="T213" s="916">
        <f t="shared" si="34"/>
        <v>0</v>
      </c>
      <c r="U213" s="915">
        <f t="shared" si="35"/>
        <v>0</v>
      </c>
      <c r="V213" s="1316">
        <v>7.5</v>
      </c>
      <c r="W213" s="1995"/>
      <c r="X213" s="1341"/>
      <c r="AA213" s="1721"/>
    </row>
    <row r="214" spans="1:27" s="665" customFormat="1" ht="15" customHeight="1" collapsed="1" thickBot="1">
      <c r="A214" s="3184"/>
      <c r="B214" s="3185"/>
      <c r="C214" s="3188" t="s">
        <v>443</v>
      </c>
      <c r="D214" s="3188"/>
      <c r="E214" s="1245">
        <v>0</v>
      </c>
      <c r="F214" s="966">
        <f>IF(SETUP!$F$32="Upfront",F215,F216)</f>
        <v>0</v>
      </c>
      <c r="G214" s="921">
        <f>IF(SETUP!$F$32="Upfront",G215,G216)</f>
        <v>0</v>
      </c>
      <c r="H214" s="920">
        <f>IF(SETUP!$F$32="Upfront",H215,H216)</f>
        <v>0</v>
      </c>
      <c r="I214" s="920">
        <f>IF(SETUP!$F$32="Upfront",I215,I216)</f>
        <v>0</v>
      </c>
      <c r="J214" s="919">
        <f t="shared" si="32"/>
        <v>0</v>
      </c>
      <c r="K214" s="920">
        <f>IF(SETUP!$F$32="Upfront",K215,K216)</f>
        <v>0</v>
      </c>
      <c r="L214" s="920">
        <f>IF(SETUP!$F$32="Upfront",L215,L216)</f>
        <v>0</v>
      </c>
      <c r="M214" s="920">
        <f>IF(SETUP!$F$32="Upfront",M215,M216)</f>
        <v>0</v>
      </c>
      <c r="N214" s="920">
        <f>IF(SETUP!$F$32="Upfront",N215,N216)</f>
        <v>0</v>
      </c>
      <c r="O214" s="917">
        <f t="shared" si="33"/>
        <v>0</v>
      </c>
      <c r="P214" s="915">
        <f>IF(SETUP!$F$32="Upfront",P215,P216)</f>
        <v>0</v>
      </c>
      <c r="Q214" s="915">
        <f>IF(SETUP!$F$32="Upfront",Q215,Q216)</f>
        <v>0</v>
      </c>
      <c r="R214" s="915">
        <f>IF(SETUP!$F$32="Upfront",R215,R216)</f>
        <v>0</v>
      </c>
      <c r="S214" s="915">
        <f>IF(SETUP!$F$32="Upfront",S215,S216)</f>
        <v>0</v>
      </c>
      <c r="T214" s="916">
        <f t="shared" si="34"/>
        <v>0</v>
      </c>
      <c r="U214" s="915">
        <f t="shared" si="35"/>
        <v>0</v>
      </c>
      <c r="V214" s="1316">
        <v>7.5</v>
      </c>
      <c r="W214" s="1995"/>
      <c r="X214" s="1341"/>
      <c r="AA214" s="1721"/>
    </row>
    <row r="215" spans="1:27" s="665" customFormat="1" ht="15" hidden="1" customHeight="1" outlineLevel="1">
      <c r="A215" s="3184"/>
      <c r="B215" s="3185"/>
      <c r="C215" s="3182" t="s">
        <v>777</v>
      </c>
      <c r="D215" s="3182"/>
      <c r="E215" s="1246"/>
      <c r="F215" s="966">
        <f>IF(SETUP!$F$32="Upfront",$E$214*'HIV-Other HPs'!AX19,0)</f>
        <v>0</v>
      </c>
      <c r="G215" s="921">
        <f>IF(SETUP!$F$32="Upfront",$E$214*'HIV-Other HPs'!AY19,0)</f>
        <v>0</v>
      </c>
      <c r="H215" s="920">
        <f>IF(SETUP!$F$32="Upfront",$E$214*'HIV-Other HPs'!AZ19,0)</f>
        <v>0</v>
      </c>
      <c r="I215" s="920">
        <f>IF(SETUP!$F$32="Upfront",$E$214*'HIV-Other HPs'!BA19,0)</f>
        <v>0</v>
      </c>
      <c r="J215" s="919">
        <f t="shared" si="32"/>
        <v>0</v>
      </c>
      <c r="K215" s="920">
        <f>IF(SETUP!$F$32="Upfront",$E$214*'HIV-Other HPs'!BB19,0)</f>
        <v>0</v>
      </c>
      <c r="L215" s="920">
        <f>IF(SETUP!$F$32="Upfront",$E$214*'HIV-Other HPs'!BC19,0)</f>
        <v>0</v>
      </c>
      <c r="M215" s="920">
        <f>IF(SETUP!$F$32="Upfront",$E$214*'HIV-Other HPs'!BD19,0)</f>
        <v>0</v>
      </c>
      <c r="N215" s="920">
        <f>IF(SETUP!$F$32="Upfront",$E$214*'HIV-Other HPs'!BE19,0)</f>
        <v>0</v>
      </c>
      <c r="O215" s="917">
        <f t="shared" si="33"/>
        <v>0</v>
      </c>
      <c r="P215" s="915">
        <f>IF(SETUP!$F$32="Upfront",$E$214*'HIV-Other HPs'!BF19,0)</f>
        <v>0</v>
      </c>
      <c r="Q215" s="915">
        <f>IF(SETUP!$F$32="Upfront",$E$214*'HIV-Other HPs'!BG19,0)</f>
        <v>0</v>
      </c>
      <c r="R215" s="915">
        <f>IF(SETUP!$F$32="Upfront",$E$214*'HIV-Other HPs'!BH19,0)</f>
        <v>0</v>
      </c>
      <c r="S215" s="915">
        <f>IF(SETUP!$F$32="Upfront",$E$214*'HIV-Other HPs'!BI19,0)</f>
        <v>0</v>
      </c>
      <c r="T215" s="916">
        <f t="shared" si="34"/>
        <v>0</v>
      </c>
      <c r="U215" s="915">
        <f t="shared" si="35"/>
        <v>0</v>
      </c>
      <c r="V215" s="1316">
        <v>7.5</v>
      </c>
      <c r="W215" s="1995"/>
      <c r="X215" s="1341"/>
      <c r="AA215" s="1721"/>
    </row>
    <row r="216" spans="1:27" s="665" customFormat="1" ht="15" hidden="1" customHeight="1" outlineLevel="1">
      <c r="A216" s="3184"/>
      <c r="B216" s="3185"/>
      <c r="C216" s="3182" t="s">
        <v>36</v>
      </c>
      <c r="D216" s="3182"/>
      <c r="E216" s="1246"/>
      <c r="F216" s="966">
        <v>0</v>
      </c>
      <c r="G216" s="921">
        <f>IF(SETUP!$F$32="At delivery",IF(SETUP!$G$32=1,$E$214*'HIV-Other HPs'!AX19,0),0)</f>
        <v>0</v>
      </c>
      <c r="H216" s="920">
        <f>IF(SETUP!$F$32="At delivery",IF(SETUP!$G$32=2,$E$214*'HIV-Other HPs'!AX19,IF(SETUP!$G$32=1,$E$214*'HIV-Other HPs'!AY19,0)),0)</f>
        <v>0</v>
      </c>
      <c r="I216" s="920">
        <f>IF(SETUP!$F$32="At delivery",IF(SETUP!$G$32=3,$E$214*'HIV-Other HPs'!AX19,IF(SETUP!$G$32=2,$E$214*'HIV-Other HPs'!AY19,IF(SETUP!$G$32=1,$E$214*'HIV-Other HPs'!AZ19,0))),0)</f>
        <v>0</v>
      </c>
      <c r="J216" s="919">
        <f t="shared" si="32"/>
        <v>0</v>
      </c>
      <c r="K216" s="920">
        <f>IF(SETUP!$F$32="At delivery",IF(SETUP!$G$32=4,$E$214*'HIV-Other HPs'!AX19,IF(SETUP!$G$32=3,$E$214*'HIV-Other HPs'!AY19,IF(SETUP!$G$32=2,$E$214*'HIV-Other HPs'!AZ19,IF(SETUP!$G$32=1,$E$214*'HIV-Other HPs'!BA19,0)))),0)</f>
        <v>0</v>
      </c>
      <c r="L216" s="920">
        <f>IF(SETUP!$F$32="At delivery",IF(SETUP!$G$32=4,$E$214*'HIV-Other HPs'!AY19,IF(SETUP!$G$32=3,$E$214*'HIV-Other HPs'!AZ19,IF(SETUP!$G$32=2,$E$214*'HIV-Other HPs'!BA19,IF(SETUP!$G$32=1,$E$214*'HIV-Other HPs'!BB19,0)))),0)</f>
        <v>0</v>
      </c>
      <c r="M216" s="920">
        <f>IF(SETUP!$F$32="At delivery",IF(SETUP!$G$32=4,$E$214*'HIV-Other HPs'!AZ19,IF(SETUP!$G$32=3,$E$214*'HIV-Other HPs'!BA19,IF(SETUP!$G$32=2,$E$214*'HIV-Other HPs'!BB19,IF(SETUP!$G$32=1,$E$214*'HIV-Other HPs'!BC19,0)))),0)</f>
        <v>0</v>
      </c>
      <c r="N216" s="920">
        <f>IF(SETUP!$F$32="At delivery",IF(SETUP!$G$32=4,$E$214*'HIV-Other HPs'!BA19,IF(SETUP!$G$32=3,$E$214*'HIV-Other HPs'!BB19,IF(SETUP!$G$32=2,$E$214*'HIV-Other HPs'!BC19,IF(SETUP!$G$32=1,$E$214*'HIV-Other HPs'!BD19,0)))),0)</f>
        <v>0</v>
      </c>
      <c r="O216" s="917">
        <f t="shared" si="33"/>
        <v>0</v>
      </c>
      <c r="P216" s="915">
        <f>IF(SETUP!$F$32="At delivery",IF(SETUP!$G$32=4,$E$214*'HIV-Other HPs'!BB19,IF(SETUP!$G$32=3,$E$214*'HIV-Other HPs'!BC19,IF(SETUP!$G$32=2,$E$214*'HIV-Other HPs'!BD19,IF(SETUP!$G$32=1,$E$214*'HIV-Other HPs'!BE19,0)))),0)</f>
        <v>0</v>
      </c>
      <c r="Q216" s="915">
        <f>IF(SETUP!$F$32="At delivery",IF(SETUP!$G$32=4,$E$214*'HIV-Other HPs'!BC19,IF(SETUP!$G$32=3,$E$214*'HIV-Other HPs'!BD19,IF(SETUP!$G$32=2,$E$214*'HIV-Other HPs'!BE19,IF(SETUP!$G$32=1,$E$214*'HIV-Other HPs'!BF19,0)))),0)</f>
        <v>0</v>
      </c>
      <c r="R216" s="915">
        <f>IF(SETUP!$F$32="At delivery",IF(SETUP!$G$32=4,$E$214*'HIV-Other HPs'!BD19,IF(SETUP!$G$32=3,$E$214*'HIV-Other HPs'!BE19,IF(SETUP!$G$32=2,$E$214*'HIV-Other HPs'!BF19,IF(SETUP!$G$32=1,$E$214*'HIV-Other HPs'!BG19,0)))),0)</f>
        <v>0</v>
      </c>
      <c r="S216" s="915">
        <f>IF(SETUP!$F$32="At delivery",IF(SETUP!$G$32=4,$E$214*('HIV-Other HPs'!BE19+'HIV-Other HPs'!BF19+'HIV-Other HPs'!BG19+'HIV-Other HPs'!BH19+'HIV-Other HPs'!BI19),IF(SETUP!$G$32=3,$E$214*('HIV-Other HPs'!BF19+'HIV-Other HPs'!BG19+'HIV-Other HPs'!BH19+'HIV-Other HPs'!BI19),IF(SETUP!$G$32=2,$E$214*('HIV-Other HPs'!BG19+'HIV-Other HPs'!BH19+'HIV-Other HPs'!BI19),IF(SETUP!$G$32=1,$E$214*('HIV-Other HPs'!BH19+'HIV-Other HPs'!BI19),0)))),0)</f>
        <v>0</v>
      </c>
      <c r="T216" s="916">
        <f t="shared" si="34"/>
        <v>0</v>
      </c>
      <c r="U216" s="915">
        <f t="shared" si="35"/>
        <v>0</v>
      </c>
      <c r="V216" s="1316">
        <v>7.5</v>
      </c>
      <c r="W216" s="1995"/>
      <c r="X216" s="1341"/>
      <c r="AA216" s="1721"/>
    </row>
    <row r="217" spans="1:27" s="665" customFormat="1" ht="15" customHeight="1" collapsed="1">
      <c r="A217" s="3184"/>
      <c r="B217" s="3185"/>
      <c r="C217" s="3202" t="s">
        <v>1392</v>
      </c>
      <c r="D217" s="3202"/>
      <c r="E217" s="1245">
        <v>0</v>
      </c>
      <c r="F217" s="966">
        <f>IF(SETUP!$F$33="Upfront",F218,F219)</f>
        <v>0</v>
      </c>
      <c r="G217" s="921">
        <f>IF(SETUP!$F$33="Upfront",G218,G219)</f>
        <v>0</v>
      </c>
      <c r="H217" s="920">
        <f>IF(SETUP!$F$33="Upfront",H218,H219)</f>
        <v>0</v>
      </c>
      <c r="I217" s="920">
        <f>IF(SETUP!$F$33="Upfront",I218,I219)</f>
        <v>0</v>
      </c>
      <c r="J217" s="919">
        <f t="shared" si="32"/>
        <v>0</v>
      </c>
      <c r="K217" s="920">
        <f>IF(SETUP!$F$33="Upfront",K218,K219)</f>
        <v>0</v>
      </c>
      <c r="L217" s="920">
        <f>IF(SETUP!$F$33="Upfront",L218,L219)</f>
        <v>0</v>
      </c>
      <c r="M217" s="920">
        <f>IF(SETUP!$F$33="Upfront",M218,M219)</f>
        <v>0</v>
      </c>
      <c r="N217" s="920">
        <f>IF(SETUP!$F$33="Upfront",N218,N219)</f>
        <v>0</v>
      </c>
      <c r="O217" s="917">
        <f t="shared" si="33"/>
        <v>0</v>
      </c>
      <c r="P217" s="915">
        <f>IF(SETUP!$F$33="Upfront",P218,P219)</f>
        <v>0</v>
      </c>
      <c r="Q217" s="915">
        <f>IF(SETUP!$F$33="Upfront",Q218,Q219)</f>
        <v>0</v>
      </c>
      <c r="R217" s="915">
        <f>IF(SETUP!$F$33="Upfront",R218,R219)</f>
        <v>0</v>
      </c>
      <c r="S217" s="915">
        <f>IF(SETUP!$F$33="Upfront",S218,S219)</f>
        <v>0</v>
      </c>
      <c r="T217" s="916">
        <f t="shared" si="34"/>
        <v>0</v>
      </c>
      <c r="U217" s="915">
        <f t="shared" si="35"/>
        <v>0</v>
      </c>
      <c r="V217" s="1316">
        <v>7.5</v>
      </c>
      <c r="W217" s="1995"/>
      <c r="X217" s="1341"/>
      <c r="AA217" s="1721"/>
    </row>
    <row r="218" spans="1:27" s="665" customFormat="1" ht="15" hidden="1" customHeight="1" outlineLevel="1">
      <c r="A218" s="3184"/>
      <c r="B218" s="3185"/>
      <c r="C218" s="3182" t="s">
        <v>777</v>
      </c>
      <c r="D218" s="3182"/>
      <c r="E218" s="1246"/>
      <c r="F218" s="966">
        <f>IF(SETUP!$F$33="Upfront",$E$217*'HIV-Other HPs'!AX20,0)</f>
        <v>0</v>
      </c>
      <c r="G218" s="921">
        <f>IF(SETUP!$F$33="Upfront",$E$217*'HIV-Other HPs'!AY20,0)</f>
        <v>0</v>
      </c>
      <c r="H218" s="920">
        <f>IF(SETUP!$F$33="Upfront",$E$217*'HIV-Other HPs'!AZ20,0)</f>
        <v>0</v>
      </c>
      <c r="I218" s="920">
        <f>IF(SETUP!$F$33="Upfront",$E$217*'HIV-Other HPs'!BA20,0)</f>
        <v>0</v>
      </c>
      <c r="J218" s="919">
        <f t="shared" si="32"/>
        <v>0</v>
      </c>
      <c r="K218" s="920">
        <f>IF(SETUP!$F$33="Upfront",$E$217*'HIV-Other HPs'!BB20,0)</f>
        <v>0</v>
      </c>
      <c r="L218" s="920">
        <f>IF(SETUP!$F$33="Upfront",$E$217*'HIV-Other HPs'!BC20,0)</f>
        <v>0</v>
      </c>
      <c r="M218" s="920">
        <f>IF(SETUP!$F$33="Upfront",$E$217*'HIV-Other HPs'!BD20,0)</f>
        <v>0</v>
      </c>
      <c r="N218" s="920">
        <f>IF(SETUP!$F$33="Upfront",$E$217*'HIV-Other HPs'!BE20,0)</f>
        <v>0</v>
      </c>
      <c r="O218" s="917">
        <f t="shared" si="33"/>
        <v>0</v>
      </c>
      <c r="P218" s="915">
        <f>IF(SETUP!$F$33="Upfront",$E$217*'HIV-Other HPs'!BF20,0)</f>
        <v>0</v>
      </c>
      <c r="Q218" s="915">
        <f>IF(SETUP!$F$33="Upfront",$E$217*'HIV-Other HPs'!BG20,0)</f>
        <v>0</v>
      </c>
      <c r="R218" s="915">
        <f>IF(SETUP!$F$33="Upfront",$E$217*'HIV-Other HPs'!BH20,0)</f>
        <v>0</v>
      </c>
      <c r="S218" s="915">
        <f>IF(SETUP!$F$33="Upfront",$E$217*'HIV-Other HPs'!BI20,0)</f>
        <v>0</v>
      </c>
      <c r="T218" s="916">
        <f t="shared" si="34"/>
        <v>0</v>
      </c>
      <c r="U218" s="915">
        <f t="shared" si="35"/>
        <v>0</v>
      </c>
      <c r="V218" s="1316">
        <v>7.5</v>
      </c>
      <c r="W218" s="1995"/>
      <c r="X218" s="1341"/>
      <c r="AA218" s="1721"/>
    </row>
    <row r="219" spans="1:27" s="665" customFormat="1" ht="15" hidden="1" customHeight="1" outlineLevel="1">
      <c r="A219" s="3184"/>
      <c r="B219" s="3185"/>
      <c r="C219" s="3182" t="s">
        <v>36</v>
      </c>
      <c r="D219" s="3182"/>
      <c r="E219" s="1246"/>
      <c r="F219" s="966">
        <v>0</v>
      </c>
      <c r="G219" s="921">
        <f>IF(SETUP!$F$33="At delivery",IF(SETUP!$G$33=1,$E$217*'HIV-Other HPs'!AX20,0),0)</f>
        <v>0</v>
      </c>
      <c r="H219" s="920">
        <f>IF(SETUP!$F$33="At delivery",IF(SETUP!$G$33=2,$E$217*'HIV-Other HPs'!AX20,IF(SETUP!$G$33=1,$E$217*'HIV-Other HPs'!AY20,0)),0)</f>
        <v>0</v>
      </c>
      <c r="I219" s="920">
        <f>IF(SETUP!$F$33="At delivery",IF(SETUP!$G$33=3,$E$217*'HIV-Other HPs'!AX20,IF(SETUP!$G$33=2,$E$217*'HIV-Other HPs'!AY20,IF(SETUP!$G$33=1,$E$217*'HIV-Other HPs'!AZ20,0))),0)</f>
        <v>0</v>
      </c>
      <c r="J219" s="919">
        <f t="shared" si="32"/>
        <v>0</v>
      </c>
      <c r="K219" s="920">
        <f>IF(SETUP!$F$33="At delivery",IF(SETUP!$G$33=4,$E$217*'HIV-Other HPs'!AX20,IF(SETUP!$G$33=3,$E$217*'HIV-Other HPs'!AY20,IF(SETUP!$G$33=2,$E$217*'HIV-Other HPs'!AZ20,IF(SETUP!$G$33=1,$E$217*'HIV-Other HPs'!BA20,0)))),0)</f>
        <v>0</v>
      </c>
      <c r="L219" s="920">
        <f>IF(SETUP!$F$33="At delivery",IF(SETUP!$G$33=4,$E$217*'HIV-Other HPs'!AY20,IF(SETUP!$G$33=3,$E$217*'HIV-Other HPs'!AZ20,IF(SETUP!$G$33=2,$E$217*'HIV-Other HPs'!BA20,IF(SETUP!$G$33=1,$E$217*'HIV-Other HPs'!BB20,0)))),0)</f>
        <v>0</v>
      </c>
      <c r="M219" s="920">
        <f>IF(SETUP!$F$33="At delivery",IF(SETUP!$G$33=4,$E$217*'HIV-Other HPs'!AZ20,IF(SETUP!$G$33=3,$E$217*'HIV-Other HPs'!BA20,IF(SETUP!$G$33=2,$E$217*'HIV-Other HPs'!BB20,IF(SETUP!$G$33=1,$E$217*'HIV-Other HPs'!BC20,0)))),0)</f>
        <v>0</v>
      </c>
      <c r="N219" s="920">
        <f>IF(SETUP!$F$33="At delivery",IF(SETUP!$G$33=4,$E$217*'HIV-Other HPs'!BA20,IF(SETUP!$G$33=3,$E$217*'HIV-Other HPs'!BB20,IF(SETUP!$G$33=2,$E$217*'HIV-Other HPs'!BC20,IF(SETUP!$G$33=1,$E$217*'HIV-Other HPs'!BD20,0)))),0)</f>
        <v>0</v>
      </c>
      <c r="O219" s="917">
        <f t="shared" si="33"/>
        <v>0</v>
      </c>
      <c r="P219" s="915">
        <f>IF(SETUP!$F$33="At delivery",IF(SETUP!$G$33=4,$E$217*'HIV-Other HPs'!BB20,IF(SETUP!$G$33=3,$E$217*'HIV-Other HPs'!BC20,IF(SETUP!$G$33=2,$E$217*'HIV-Other HPs'!BD20,IF(SETUP!$G$33=1,$E$217*'HIV-Other HPs'!BE20,0)))),0)</f>
        <v>0</v>
      </c>
      <c r="Q219" s="915">
        <f>IF(SETUP!$F$33="At delivery",IF(SETUP!$G$33=4,$E$217*'HIV-Other HPs'!BC20,IF(SETUP!$G$33=3,$E$217*'HIV-Other HPs'!BD20,IF(SETUP!$G$33=2,$E$217*'HIV-Other HPs'!BE20,IF(SETUP!$G$33=1,$E$217*'HIV-Other HPs'!BF20,0)))),0)</f>
        <v>0</v>
      </c>
      <c r="R219" s="915">
        <f>IF(SETUP!$F$33="At delivery",IF(SETUP!$G$33=4,$E$217*'HIV-Other HPs'!BD20,IF(SETUP!$G$33=3,$E$217*'HIV-Other HPs'!BE20,IF(SETUP!$G$33=2,$E$217*'HIV-Other HPs'!BF20,IF(SETUP!$G$33=1,$E$217*'HIV-Other HPs'!BG20,0)))),0)</f>
        <v>0</v>
      </c>
      <c r="S219" s="915">
        <f>IF(SETUP!$F$33="At delivery",IF(SETUP!$G$33=4,$E$217*('HIV-Other HPs'!BE20+'HIV-Other HPs'!BF20+'HIV-Other HPs'!BG20+'HIV-Other HPs'!BH20+'HIV-Other HPs'!BI20),IF(SETUP!$G$33=3,$E$217*('HIV-Other HPs'!BF20+'HIV-Other HPs'!BG20+'HIV-Other HPs'!BH20+'HIV-Other HPs'!BI20),IF(SETUP!$G$33=2,$E$217*('HIV-Other HPs'!BG20+'HIV-Other HPs'!BH20+'HIV-Other HPs'!BI20),IF(SETUP!$G$33=1,$E$217*('HIV-Other HPs'!BH20+'HIV-Other HPs'!BI20),0)))),0)</f>
        <v>0</v>
      </c>
      <c r="T219" s="916">
        <f t="shared" si="34"/>
        <v>0</v>
      </c>
      <c r="U219" s="915">
        <f t="shared" si="35"/>
        <v>0</v>
      </c>
      <c r="V219" s="1316">
        <v>7.5</v>
      </c>
      <c r="W219" s="1995"/>
      <c r="X219" s="1341"/>
      <c r="AA219" s="1721"/>
    </row>
    <row r="220" spans="1:27" s="665" customFormat="1" ht="15" hidden="1" customHeight="1" collapsed="1" thickBot="1">
      <c r="A220" s="3186" t="s">
        <v>444</v>
      </c>
      <c r="B220" s="3187"/>
      <c r="C220" s="3188" t="s">
        <v>445</v>
      </c>
      <c r="D220" s="3188"/>
      <c r="E220" s="1245">
        <v>0</v>
      </c>
      <c r="F220" s="966">
        <f>IF(SETUP!$F$36="Upfront",F221,F222)</f>
        <v>0</v>
      </c>
      <c r="G220" s="921">
        <f>IF(SETUP!$F$36="Upfront",G221,G222)</f>
        <v>0</v>
      </c>
      <c r="H220" s="920">
        <f>IF(SETUP!$F$36="Upfront",H221,H222)</f>
        <v>0</v>
      </c>
      <c r="I220" s="920">
        <f>IF(SETUP!$F$36="Upfront",I221,I222)</f>
        <v>0</v>
      </c>
      <c r="J220" s="919">
        <f t="shared" si="32"/>
        <v>0</v>
      </c>
      <c r="K220" s="920">
        <f>IF(SETUP!$F$36="Upfront",K221,K222)</f>
        <v>0</v>
      </c>
      <c r="L220" s="920">
        <f>IF(SETUP!$F$36="Upfront",L221,L222)</f>
        <v>0</v>
      </c>
      <c r="M220" s="920">
        <f>IF(SETUP!$F$36="Upfront",M221,M222)</f>
        <v>0</v>
      </c>
      <c r="N220" s="920">
        <f>IF(SETUP!$F$36="Upfront",N221,N222)</f>
        <v>0</v>
      </c>
      <c r="O220" s="917">
        <f t="shared" si="33"/>
        <v>0</v>
      </c>
      <c r="P220" s="915">
        <f>IF(SETUP!$F$36="Upfront",P221,P222)</f>
        <v>0</v>
      </c>
      <c r="Q220" s="915">
        <f>IF(SETUP!$F$36="Upfront",Q221,Q222)</f>
        <v>0</v>
      </c>
      <c r="R220" s="915">
        <f>IF(SETUP!$F$36="Upfront",R221,R222)</f>
        <v>0</v>
      </c>
      <c r="S220" s="915">
        <f>IF(SETUP!$F$36="Upfront",S221,S222)</f>
        <v>0</v>
      </c>
      <c r="T220" s="916">
        <f t="shared" si="34"/>
        <v>0</v>
      </c>
      <c r="U220" s="915">
        <f t="shared" si="35"/>
        <v>0</v>
      </c>
      <c r="V220" s="1316">
        <v>7.5</v>
      </c>
      <c r="W220" s="1995"/>
      <c r="X220" s="1341"/>
      <c r="AA220" s="1721"/>
    </row>
    <row r="221" spans="1:27" s="665" customFormat="1" ht="15" hidden="1" customHeight="1" outlineLevel="1">
      <c r="A221" s="3186"/>
      <c r="B221" s="3187"/>
      <c r="C221" s="3182" t="s">
        <v>777</v>
      </c>
      <c r="D221" s="3182"/>
      <c r="E221" s="1246"/>
      <c r="F221" s="966">
        <f>IF(SETUP!$F$36="Upfront",$E$220*'TB-Pharmaceuticals'!AX14,0)</f>
        <v>0</v>
      </c>
      <c r="G221" s="915">
        <f>IF(SETUP!$F$36="Upfront",$E$220*'TB-Pharmaceuticals'!AY14,0)</f>
        <v>0</v>
      </c>
      <c r="H221" s="915">
        <f>IF(SETUP!$F$36="Upfront",$E$220*'TB-Pharmaceuticals'!AZ14,0)</f>
        <v>0</v>
      </c>
      <c r="I221" s="915">
        <f>IF(SETUP!$F$36="Upfront",$E$220*'TB-Pharmaceuticals'!BA14,0)</f>
        <v>0</v>
      </c>
      <c r="J221" s="919">
        <f t="shared" si="32"/>
        <v>0</v>
      </c>
      <c r="K221" s="915">
        <f>IF(SETUP!$F$36="Upfront",$E$220*'TB-Pharmaceuticals'!BB14,0)</f>
        <v>0</v>
      </c>
      <c r="L221" s="915">
        <f>IF(SETUP!$F$36="Upfront",$E$220*'TB-Pharmaceuticals'!BC14,0)</f>
        <v>0</v>
      </c>
      <c r="M221" s="915">
        <f>IF(SETUP!$F$36="Upfront",$E$220*'TB-Pharmaceuticals'!BD14,0)</f>
        <v>0</v>
      </c>
      <c r="N221" s="915">
        <f>IF(SETUP!$F$36="Upfront",$E$220*'TB-Pharmaceuticals'!BE14,0)</f>
        <v>0</v>
      </c>
      <c r="O221" s="917">
        <f t="shared" si="33"/>
        <v>0</v>
      </c>
      <c r="P221" s="915">
        <f>IF(SETUP!$F$36="Upfront",$E$220*'TB-Pharmaceuticals'!BF14,0)</f>
        <v>0</v>
      </c>
      <c r="Q221" s="915">
        <f>IF(SETUP!$F$36="Upfront",$E$220*'TB-Pharmaceuticals'!BG14,0)</f>
        <v>0</v>
      </c>
      <c r="R221" s="915">
        <f>IF(SETUP!$F$36="Upfront",$E$220*'TB-Pharmaceuticals'!BH14,0)</f>
        <v>0</v>
      </c>
      <c r="S221" s="915">
        <f>IF(SETUP!$F$36="Upfront",$E$220*'TB-Pharmaceuticals'!BI14,0)</f>
        <v>0</v>
      </c>
      <c r="T221" s="916">
        <f t="shared" si="34"/>
        <v>0</v>
      </c>
      <c r="U221" s="915">
        <f t="shared" si="35"/>
        <v>0</v>
      </c>
      <c r="V221" s="1316">
        <v>7.5</v>
      </c>
      <c r="W221" s="1995"/>
      <c r="X221" s="1341"/>
      <c r="AA221" s="1721"/>
    </row>
    <row r="222" spans="1:27" s="665" customFormat="1" ht="15" hidden="1" customHeight="1" outlineLevel="1">
      <c r="A222" s="3186"/>
      <c r="B222" s="3187"/>
      <c r="C222" s="3182" t="s">
        <v>36</v>
      </c>
      <c r="D222" s="3182"/>
      <c r="E222" s="1246"/>
      <c r="F222" s="966">
        <v>0</v>
      </c>
      <c r="G222" s="921">
        <f>IF(SETUP!$F$36="At delivery",IF(SETUP!$G$36=1,$E$220*'TB-Pharmaceuticals'!AX14,0),0)</f>
        <v>0</v>
      </c>
      <c r="H222" s="920">
        <f>IF(SETUP!$F$36="At delivery",IF(SETUP!$G$36=2,$E$220*'TB-Pharmaceuticals'!AX14,IF(SETUP!$G$36=1,$E$220*'TB-Pharmaceuticals'!AY14,0)),0)</f>
        <v>0</v>
      </c>
      <c r="I222" s="920">
        <f>IF(SETUP!$F$36="At delivery",IF(SETUP!$G$36=3,$E$220*'TB-Pharmaceuticals'!AX14,IF(SETUP!$G$36=2,$E$220*'TB-Pharmaceuticals'!AY14,IF(SETUP!$G$36=1,$E$220*'TB-Pharmaceuticals'!AZ14,0))),0)</f>
        <v>0</v>
      </c>
      <c r="J222" s="919">
        <f t="shared" si="32"/>
        <v>0</v>
      </c>
      <c r="K222" s="920">
        <f>IF(SETUP!$F$36="At delivery",IF(SETUP!$G$36=4,$E$220*'TB-Pharmaceuticals'!AX14,IF(SETUP!$G$36=3,$E$220*'TB-Pharmaceuticals'!AY14,IF(SETUP!$G$36=2,$E$220*'TB-Pharmaceuticals'!AZ14,IF(SETUP!$G$36=1,$E$220*'TB-Pharmaceuticals'!BA14,0)))),0)</f>
        <v>0</v>
      </c>
      <c r="L222" s="920">
        <f>IF(SETUP!$F$36="At delivery",IF(SETUP!$G$36=4,$E$220*'TB-Pharmaceuticals'!AY14,IF(SETUP!$G$36=3,$E$220*'TB-Pharmaceuticals'!AZ14,IF(SETUP!$G$36=2,$E$220*'TB-Pharmaceuticals'!BA14,IF(SETUP!$G$36=1,$E$220*'TB-Pharmaceuticals'!BB14,0)))),0)</f>
        <v>0</v>
      </c>
      <c r="M222" s="920">
        <f>IF(SETUP!$F$36="At delivery",IF(SETUP!$G$36=4,$E$220*'TB-Pharmaceuticals'!AZ14,IF(SETUP!$G$36=3,$E$220*'TB-Pharmaceuticals'!BA14,IF(SETUP!$G$36=2,$E$220*'TB-Pharmaceuticals'!BB14,IF(SETUP!$G$36=1,$E$220*'TB-Pharmaceuticals'!BC14,0)))),0)</f>
        <v>0</v>
      </c>
      <c r="N222" s="920">
        <f>IF(SETUP!$F$36="At delivery",IF(SETUP!$G$36=4,$E$220*'TB-Pharmaceuticals'!BA14,IF(SETUP!$G$36=3,$E$220*'TB-Pharmaceuticals'!BB14,IF(SETUP!$G$36=2,$E$220*'TB-Pharmaceuticals'!BC14,IF(SETUP!$G$36=1,$E$220*'TB-Pharmaceuticals'!BD14,0)))),0)</f>
        <v>0</v>
      </c>
      <c r="O222" s="917">
        <f t="shared" si="33"/>
        <v>0</v>
      </c>
      <c r="P222" s="915">
        <f>IF(SETUP!$F$36="At delivery",IF(SETUP!$G$36=4,$E$220*'TB-Pharmaceuticals'!BB14,IF(SETUP!$G$36=3,$E$220*'TB-Pharmaceuticals'!BC14,IF(SETUP!$G$36=2,$E$220*'TB-Pharmaceuticals'!BD14,IF(SETUP!$G$36=1,$E$220*'TB-Pharmaceuticals'!BE14,0)))),0)</f>
        <v>0</v>
      </c>
      <c r="Q222" s="915">
        <f>IF(SETUP!$F$36="At delivery",IF(SETUP!$G$36=4,$E$220*'TB-Pharmaceuticals'!BC14,IF(SETUP!$G$36=3,$E$220*'TB-Pharmaceuticals'!BD14,IF(SETUP!$G$36=2,$E$220*'TB-Pharmaceuticals'!BE14,IF(SETUP!$G$36=1,$E$220*'TB-Pharmaceuticals'!BF14,0)))),0)</f>
        <v>0</v>
      </c>
      <c r="R222" s="915">
        <f>IF(SETUP!$F$36="At delivery",IF(SETUP!$G$36=4,$E$220*'TB-Pharmaceuticals'!BD14,IF(SETUP!$G$36=3,$E$220*'TB-Pharmaceuticals'!BE14,IF(SETUP!$G$36=2,$E$220*'TB-Pharmaceuticals'!BF14,IF(SETUP!$G$36=1,$E$220*'TB-Pharmaceuticals'!BG14,0)))),0)</f>
        <v>0</v>
      </c>
      <c r="S222" s="915">
        <f>IF(SETUP!$F$36="At delivery",IF(SETUP!$G$36=4,$E$220*('TB-Pharmaceuticals'!BE14+'TB-Pharmaceuticals'!BF14+'TB-Pharmaceuticals'!BG14+'TB-Pharmaceuticals'!BH14+'TB-Pharmaceuticals'!BI14),IF(SETUP!$G$36=3,$E$220*('TB-Pharmaceuticals'!BF14+'TB-Pharmaceuticals'!BG14+'TB-Pharmaceuticals'!BH14+'TB-Pharmaceuticals'!BI14),IF(SETUP!$G$36=2,$E$220*('TB-Pharmaceuticals'!BG14+'TB-Pharmaceuticals'!BH14+'TB-Pharmaceuticals'!BI14),IF(SETUP!$G$36=1,$E$220*('TB-Pharmaceuticals'!BH14+'TB-Pharmaceuticals'!BI14),0)))),0)</f>
        <v>0</v>
      </c>
      <c r="T222" s="916">
        <f t="shared" si="34"/>
        <v>0</v>
      </c>
      <c r="U222" s="915">
        <f t="shared" si="35"/>
        <v>0</v>
      </c>
      <c r="V222" s="1316">
        <v>7.5</v>
      </c>
      <c r="W222" s="1995"/>
      <c r="X222" s="1341"/>
      <c r="AA222" s="1721"/>
    </row>
    <row r="223" spans="1:27" s="665" customFormat="1" ht="15" hidden="1" customHeight="1" collapsed="1" thickBot="1">
      <c r="A223" s="3186"/>
      <c r="B223" s="3187"/>
      <c r="C223" s="3188" t="s">
        <v>446</v>
      </c>
      <c r="D223" s="3188"/>
      <c r="E223" s="1245">
        <v>0</v>
      </c>
      <c r="F223" s="966">
        <f>IF(SETUP!$F$38="Upfront",F224,F225)</f>
        <v>0</v>
      </c>
      <c r="G223" s="921">
        <f>IF(SETUP!$F$38="Upfront",G224,G225)</f>
        <v>0</v>
      </c>
      <c r="H223" s="920">
        <f>IF(SETUP!$F$38="Upfront",H224,H225)</f>
        <v>0</v>
      </c>
      <c r="I223" s="920">
        <f>IF(SETUP!$F$38="Upfront",I224,I225)</f>
        <v>0</v>
      </c>
      <c r="J223" s="919">
        <f t="shared" si="32"/>
        <v>0</v>
      </c>
      <c r="K223" s="920">
        <f>IF(SETUP!$F$38="Upfront",K224,K225)</f>
        <v>0</v>
      </c>
      <c r="L223" s="920">
        <f>IF(SETUP!$F$38="Upfront",L224,L225)</f>
        <v>0</v>
      </c>
      <c r="M223" s="920">
        <f>IF(SETUP!$F$38="Upfront",M224,M225)</f>
        <v>0</v>
      </c>
      <c r="N223" s="920">
        <f>IF(SETUP!$F$38="Upfront",N224,N225)</f>
        <v>0</v>
      </c>
      <c r="O223" s="917">
        <f t="shared" si="33"/>
        <v>0</v>
      </c>
      <c r="P223" s="915">
        <f>IF(SETUP!$F$38="Upfront",P224,P225)</f>
        <v>0</v>
      </c>
      <c r="Q223" s="915">
        <f>IF(SETUP!$F$38="Upfront",Q224,Q225)</f>
        <v>0</v>
      </c>
      <c r="R223" s="915">
        <f>IF(SETUP!$F$38="Upfront",R224,R225)</f>
        <v>0</v>
      </c>
      <c r="S223" s="915">
        <f>IF(SETUP!$F$38="Upfront",S224,S225)</f>
        <v>0</v>
      </c>
      <c r="T223" s="916">
        <f t="shared" si="34"/>
        <v>0</v>
      </c>
      <c r="U223" s="915">
        <f t="shared" si="35"/>
        <v>0</v>
      </c>
      <c r="V223" s="1316">
        <v>7.5</v>
      </c>
      <c r="W223" s="1995"/>
      <c r="X223" s="1341"/>
      <c r="AA223" s="1721"/>
    </row>
    <row r="224" spans="1:27" s="665" customFormat="1" ht="15" hidden="1" customHeight="1" outlineLevel="1">
      <c r="A224" s="3186"/>
      <c r="B224" s="3187"/>
      <c r="C224" s="3182" t="s">
        <v>777</v>
      </c>
      <c r="D224" s="3182"/>
      <c r="E224" s="1246"/>
      <c r="F224" s="966">
        <f>IF(SETUP!$F$38="Upfront",$E$223*'TB-Pharmaceuticals'!AX15,0)</f>
        <v>0</v>
      </c>
      <c r="G224" s="921">
        <f>IF(SETUP!$F$38="Upfront",$E$223*'TB-Pharmaceuticals'!AY15,0)</f>
        <v>0</v>
      </c>
      <c r="H224" s="920">
        <f>IF(SETUP!$F$38="Upfront",$E$223*'TB-Pharmaceuticals'!AZ15,0)</f>
        <v>0</v>
      </c>
      <c r="I224" s="920">
        <f>IF(SETUP!$F$38="Upfront",$E$223*'TB-Pharmaceuticals'!BA15,0)</f>
        <v>0</v>
      </c>
      <c r="J224" s="919">
        <f t="shared" si="32"/>
        <v>0</v>
      </c>
      <c r="K224" s="920">
        <f>IF(SETUP!$F$38="Upfront",$E$223*'TB-Pharmaceuticals'!BB15,0)</f>
        <v>0</v>
      </c>
      <c r="L224" s="920">
        <f>IF(SETUP!$F$38="Upfront",$E$223*'TB-Pharmaceuticals'!BC15,0)</f>
        <v>0</v>
      </c>
      <c r="M224" s="920">
        <f>IF(SETUP!$F$38="Upfront",$E$223*'TB-Pharmaceuticals'!BD15,0)</f>
        <v>0</v>
      </c>
      <c r="N224" s="920">
        <f>IF(SETUP!$F$38="Upfront",$E$223*'TB-Pharmaceuticals'!BE15,0)</f>
        <v>0</v>
      </c>
      <c r="O224" s="917">
        <f t="shared" si="33"/>
        <v>0</v>
      </c>
      <c r="P224" s="915">
        <f>IF(SETUP!$F$38="Upfront",$E$223*'TB-Pharmaceuticals'!BF15,0)</f>
        <v>0</v>
      </c>
      <c r="Q224" s="915">
        <f>IF(SETUP!$F$38="Upfront",$E$223*'TB-Pharmaceuticals'!BG15,0)</f>
        <v>0</v>
      </c>
      <c r="R224" s="915">
        <f>IF(SETUP!$F$38="Upfront",$E$223*'TB-Pharmaceuticals'!BH15,0)</f>
        <v>0</v>
      </c>
      <c r="S224" s="915">
        <f>IF(SETUP!$F$38="Upfront",$E$223*'TB-Pharmaceuticals'!BI15,0)</f>
        <v>0</v>
      </c>
      <c r="T224" s="916">
        <f t="shared" si="34"/>
        <v>0</v>
      </c>
      <c r="U224" s="915">
        <f t="shared" si="35"/>
        <v>0</v>
      </c>
      <c r="V224" s="1316">
        <v>7.5</v>
      </c>
      <c r="W224" s="1995"/>
      <c r="X224" s="1341"/>
      <c r="AA224" s="1721"/>
    </row>
    <row r="225" spans="1:27" s="665" customFormat="1" ht="15" hidden="1" customHeight="1" outlineLevel="1">
      <c r="A225" s="3186"/>
      <c r="B225" s="3187"/>
      <c r="C225" s="3182" t="s">
        <v>36</v>
      </c>
      <c r="D225" s="3182"/>
      <c r="E225" s="1246"/>
      <c r="F225" s="966">
        <v>0</v>
      </c>
      <c r="G225" s="921">
        <f>IF(SETUP!$F$38="At delivery",IF(SETUP!$G$38=1,$E$223*'TB-Pharmaceuticals'!AX15,0),0)</f>
        <v>0</v>
      </c>
      <c r="H225" s="920">
        <f>IF(SETUP!$F$38="At delivery",IF(SETUP!$G$38=2,$E$223*'TB-Pharmaceuticals'!AX15,IF(SETUP!$G$38=1,$E$223*'TB-Pharmaceuticals'!AY15,0)),0)</f>
        <v>0</v>
      </c>
      <c r="I225" s="920">
        <f>IF(SETUP!$F$38="At delivery",IF(SETUP!$G$38=3,$E$223*'TB-Pharmaceuticals'!AX15,IF(SETUP!$G$38=2,$E$223*'TB-Pharmaceuticals'!AY15,IF(SETUP!$G$38=1,$E$223*'TB-Pharmaceuticals'!AZ15,0))),0)</f>
        <v>0</v>
      </c>
      <c r="J225" s="919">
        <f t="shared" si="32"/>
        <v>0</v>
      </c>
      <c r="K225" s="920">
        <f>IF(SETUP!$F$38="At delivery",IF(SETUP!$G$38=4,$E$223*'TB-Pharmaceuticals'!AX15,IF(SETUP!$G$38=3,$E$223*'TB-Pharmaceuticals'!AY15,IF(SETUP!$G$38=2,$E$223*'TB-Pharmaceuticals'!AZ15,IF(SETUP!$G$38=1,$E$223*'TB-Pharmaceuticals'!BA15,0)))),0)</f>
        <v>0</v>
      </c>
      <c r="L225" s="920">
        <f>IF(SETUP!$F$38="At delivery",IF(SETUP!$G$38=4,$E$223*'TB-Pharmaceuticals'!AY15,IF(SETUP!$G$38=3,$E$223*'TB-Pharmaceuticals'!AZ15,IF(SETUP!$G$38=2,$E$223*'TB-Pharmaceuticals'!BA15,IF(SETUP!$G$38=1,$E$223*'TB-Pharmaceuticals'!BB15,0)))),0)</f>
        <v>0</v>
      </c>
      <c r="M225" s="920">
        <f>IF(SETUP!$F$38="At delivery",IF(SETUP!$G$38=4,$E$223*'TB-Pharmaceuticals'!AZ15,IF(SETUP!$G$38=3,$E$223*'TB-Pharmaceuticals'!BA15,IF(SETUP!$G$38=2,$E$223*'TB-Pharmaceuticals'!BB15,IF(SETUP!$G$38=1,$E$223*'TB-Pharmaceuticals'!BC15,0)))),0)</f>
        <v>0</v>
      </c>
      <c r="N225" s="920">
        <f>IF(SETUP!$F$38="At delivery",IF(SETUP!$G$38=4,$E$223*'TB-Pharmaceuticals'!BA15,IF(SETUP!$G$38=3,$E$223*'TB-Pharmaceuticals'!BB15,IF(SETUP!$G$38=2,$E$223*'TB-Pharmaceuticals'!BC15,IF(SETUP!$G$38=1,$E$223*'TB-Pharmaceuticals'!BD15,0)))),0)</f>
        <v>0</v>
      </c>
      <c r="O225" s="917">
        <f t="shared" si="33"/>
        <v>0</v>
      </c>
      <c r="P225" s="915">
        <f>IF(SETUP!$F$38="At delivery",IF(SETUP!$G$38=4,$E$223*'TB-Pharmaceuticals'!BB15,IF(SETUP!$G$38=3,$E$223*'TB-Pharmaceuticals'!BC15,IF(SETUP!$G$38=2,$E$223*'TB-Pharmaceuticals'!BD15,IF(SETUP!$G$38=1,$E$223*'TB-Pharmaceuticals'!BE15,0)))),0)</f>
        <v>0</v>
      </c>
      <c r="Q225" s="915">
        <f>IF(SETUP!$F$38="At delivery",IF(SETUP!$G$38=4,$E$223*'TB-Pharmaceuticals'!BC15,IF(SETUP!$G$38=3,$E$223*'TB-Pharmaceuticals'!BD15,IF(SETUP!$G$38=2,$E$223*'TB-Pharmaceuticals'!BE15,IF(SETUP!$G$38=1,$E$223*'TB-Pharmaceuticals'!BF15,0)))),0)</f>
        <v>0</v>
      </c>
      <c r="R225" s="915">
        <f>IF(SETUP!$F$38="At delivery",IF(SETUP!$G$38=4,$E$223*'TB-Pharmaceuticals'!BD15,IF(SETUP!$G$38=3,$E$223*'TB-Pharmaceuticals'!BE15,IF(SETUP!$G$38=2,$E$223*'TB-Pharmaceuticals'!BF15,IF(SETUP!$G$38=1,$E$223*'TB-Pharmaceuticals'!BG15,0)))),0)</f>
        <v>0</v>
      </c>
      <c r="S225" s="915">
        <f>IF(SETUP!$F$38="At delivery",IF(SETUP!$G$38=4,$E$223*('TB-Pharmaceuticals'!BE15+'TB-Pharmaceuticals'!BF15+'TB-Pharmaceuticals'!BG15+'TB-Pharmaceuticals'!BH15+'TB-Pharmaceuticals'!BI15),IF(SETUP!$G$38=3,$E$223*('TB-Pharmaceuticals'!BF15+'TB-Pharmaceuticals'!BG15+'TB-Pharmaceuticals'!BH15+'TB-Pharmaceuticals'!BI15),IF(SETUP!$G$38=2,$E$223*('TB-Pharmaceuticals'!BG15+'TB-Pharmaceuticals'!BH15+'TB-Pharmaceuticals'!BI15),IF(SETUP!$G$38=1,$E$223*('TB-Pharmaceuticals'!BH15+'TB-Pharmaceuticals'!BI15),0)))),0)</f>
        <v>0</v>
      </c>
      <c r="T225" s="916">
        <f t="shared" si="34"/>
        <v>0</v>
      </c>
      <c r="U225" s="915">
        <f t="shared" si="35"/>
        <v>0</v>
      </c>
      <c r="V225" s="1316">
        <v>7.5</v>
      </c>
      <c r="W225" s="1995"/>
      <c r="X225" s="1341"/>
      <c r="AA225" s="1721"/>
    </row>
    <row r="226" spans="1:27" s="665" customFormat="1" ht="15" hidden="1" customHeight="1" collapsed="1" thickBot="1">
      <c r="A226" s="3186"/>
      <c r="B226" s="3187"/>
      <c r="C226" s="3188" t="s">
        <v>1389</v>
      </c>
      <c r="D226" s="3188"/>
      <c r="E226" s="1245">
        <v>0</v>
      </c>
      <c r="F226" s="966">
        <f>IF(SETUP!$F$39="Upfront",F227,F228)</f>
        <v>0</v>
      </c>
      <c r="G226" s="921">
        <f>IF(SETUP!$F$39="Upfront",G227,G228)</f>
        <v>0</v>
      </c>
      <c r="H226" s="920">
        <f>IF(SETUP!$F$39="Upfront",H227,H228)</f>
        <v>0</v>
      </c>
      <c r="I226" s="920">
        <f>IF(SETUP!$F$39="Upfront",I227,I228)</f>
        <v>0</v>
      </c>
      <c r="J226" s="919">
        <f t="shared" si="32"/>
        <v>0</v>
      </c>
      <c r="K226" s="920">
        <f>IF(SETUP!$F$39="Upfront",K227,K228)</f>
        <v>0</v>
      </c>
      <c r="L226" s="920">
        <f>IF(SETUP!$F$39="Upfront",L227,L228)</f>
        <v>0</v>
      </c>
      <c r="M226" s="920">
        <f>IF(SETUP!$F$39="Upfront",M227,M228)</f>
        <v>0</v>
      </c>
      <c r="N226" s="920">
        <f>IF(SETUP!$F$39="Upfront",N227,N228)</f>
        <v>0</v>
      </c>
      <c r="O226" s="917">
        <f t="shared" si="33"/>
        <v>0</v>
      </c>
      <c r="P226" s="915">
        <f>IF(SETUP!$F$39="Upfront",P227,P228)</f>
        <v>0</v>
      </c>
      <c r="Q226" s="915">
        <f>IF(SETUP!$F$39="Upfront",Q227,Q228)</f>
        <v>0</v>
      </c>
      <c r="R226" s="915">
        <f>IF(SETUP!$F$39="Upfront",R227,R228)</f>
        <v>0</v>
      </c>
      <c r="S226" s="915">
        <f>IF(SETUP!$F$39="Upfront",S227,S228)</f>
        <v>0</v>
      </c>
      <c r="T226" s="916">
        <f t="shared" si="34"/>
        <v>0</v>
      </c>
      <c r="U226" s="915">
        <f t="shared" si="35"/>
        <v>0</v>
      </c>
      <c r="V226" s="1316">
        <v>7.5</v>
      </c>
      <c r="W226" s="1995"/>
      <c r="X226" s="1341"/>
      <c r="AA226" s="1721"/>
    </row>
    <row r="227" spans="1:27" s="665" customFormat="1" ht="15" hidden="1" customHeight="1" outlineLevel="1">
      <c r="A227" s="3186"/>
      <c r="B227" s="3187"/>
      <c r="C227" s="3182" t="s">
        <v>777</v>
      </c>
      <c r="D227" s="3182"/>
      <c r="E227" s="1246"/>
      <c r="F227" s="966">
        <f>IF(SETUP!$F$39="Upfront",$E$226*'TB-Pharmaceuticals'!AX16,0)</f>
        <v>0</v>
      </c>
      <c r="G227" s="921">
        <f>IF(SETUP!$F$39="Upfront",$E$226*'TB-Pharmaceuticals'!AY16,0)</f>
        <v>0</v>
      </c>
      <c r="H227" s="920">
        <f>IF(SETUP!$F$39="Upfront",$E$226*'TB-Pharmaceuticals'!AZ16,0)</f>
        <v>0</v>
      </c>
      <c r="I227" s="920">
        <f>IF(SETUP!$F$39="Upfront",$E$226*'TB-Pharmaceuticals'!BA16,0)</f>
        <v>0</v>
      </c>
      <c r="J227" s="919">
        <f t="shared" si="32"/>
        <v>0</v>
      </c>
      <c r="K227" s="920">
        <f>IF(SETUP!$F$39="Upfront",$E$226*'TB-Pharmaceuticals'!BB16,0)</f>
        <v>0</v>
      </c>
      <c r="L227" s="920">
        <f>IF(SETUP!$F$39="Upfront",$E$226*'TB-Pharmaceuticals'!BC16,0)</f>
        <v>0</v>
      </c>
      <c r="M227" s="920">
        <f>IF(SETUP!$F$39="Upfront",$E$226*'TB-Pharmaceuticals'!BD16,0)</f>
        <v>0</v>
      </c>
      <c r="N227" s="920">
        <f>IF(SETUP!$F$39="Upfront",$E$226*'TB-Pharmaceuticals'!BE16,0)</f>
        <v>0</v>
      </c>
      <c r="O227" s="917">
        <f t="shared" si="33"/>
        <v>0</v>
      </c>
      <c r="P227" s="915">
        <f>IF(SETUP!$F$39="Upfront",$E$226*'TB-Pharmaceuticals'!BF16,0)</f>
        <v>0</v>
      </c>
      <c r="Q227" s="915">
        <f>IF(SETUP!$F$39="Upfront",$E$226*'TB-Pharmaceuticals'!BG16,0)</f>
        <v>0</v>
      </c>
      <c r="R227" s="915">
        <f>IF(SETUP!$F$39="Upfront",$E$226*'TB-Pharmaceuticals'!BH16,0)</f>
        <v>0</v>
      </c>
      <c r="S227" s="915">
        <f>IF(SETUP!$F$39="Upfront",$E$226*'TB-Pharmaceuticals'!BI16,0)</f>
        <v>0</v>
      </c>
      <c r="T227" s="916">
        <f t="shared" si="34"/>
        <v>0</v>
      </c>
      <c r="U227" s="915">
        <f t="shared" si="35"/>
        <v>0</v>
      </c>
      <c r="V227" s="1316">
        <v>7.5</v>
      </c>
      <c r="W227" s="1995"/>
      <c r="X227" s="1341"/>
      <c r="AA227" s="1721"/>
    </row>
    <row r="228" spans="1:27" s="665" customFormat="1" ht="15" hidden="1" customHeight="1" outlineLevel="1">
      <c r="A228" s="3186"/>
      <c r="B228" s="3187"/>
      <c r="C228" s="3182" t="s">
        <v>36</v>
      </c>
      <c r="D228" s="3182"/>
      <c r="E228" s="1246"/>
      <c r="F228" s="966">
        <v>0</v>
      </c>
      <c r="G228" s="921">
        <f>IF(SETUP!$F$39="At delivery",IF(SETUP!$G$39=1,$E$226*'TB-Pharmaceuticals'!AX16,0),0)</f>
        <v>0</v>
      </c>
      <c r="H228" s="920">
        <f>IF(SETUP!$F$39="At delivery",IF(SETUP!$G$39=2,$E$226*'TB-Pharmaceuticals'!AX16,IF(SETUP!$G$39=1,$E$226*'TB-Pharmaceuticals'!AY16,0)),0)</f>
        <v>0</v>
      </c>
      <c r="I228" s="920">
        <f>IF(SETUP!$F$39="At delivery",IF(SETUP!$G$39=3,$E$226*'TB-Pharmaceuticals'!AX16,IF(SETUP!$G$39=2,$E$226*'TB-Pharmaceuticals'!AY16,IF(SETUP!$G$39=1,$E$226*'TB-Pharmaceuticals'!AZ16,0))),0)</f>
        <v>0</v>
      </c>
      <c r="J228" s="919">
        <f t="shared" si="32"/>
        <v>0</v>
      </c>
      <c r="K228" s="920">
        <f>IF(SETUP!$F$39="At delivery",IF(SETUP!$G$39=4,$E$226*'TB-Pharmaceuticals'!AX16,IF(SETUP!$G$39=3,$E$226*'TB-Pharmaceuticals'!AY16,IF(SETUP!$G$39=2,$E$226*'TB-Pharmaceuticals'!AZ16,IF(SETUP!$G$39=1,$E$226*'TB-Pharmaceuticals'!BA16,0)))),0)</f>
        <v>0</v>
      </c>
      <c r="L228" s="920">
        <f>IF(SETUP!$F$39="At delivery",IF(SETUP!$G$39=4,$E$226*'TB-Pharmaceuticals'!AY16,IF(SETUP!$G$39=3,$E$226*'TB-Pharmaceuticals'!AZ16,IF(SETUP!$G$39=2,$E$226*'TB-Pharmaceuticals'!BA16,IF(SETUP!$G$39=1,$E$226*'TB-Pharmaceuticals'!BB16,0)))),0)</f>
        <v>0</v>
      </c>
      <c r="M228" s="920">
        <f>IF(SETUP!$F$39="At delivery",IF(SETUP!$G$39=4,$E$226*'TB-Pharmaceuticals'!AZ16,IF(SETUP!$G$39=3,$E$226*'TB-Pharmaceuticals'!BA16,IF(SETUP!$G$39=2,$E$226*'TB-Pharmaceuticals'!BB16,IF(SETUP!$G$39=1,$E$226*'TB-Pharmaceuticals'!BC16,0)))),0)</f>
        <v>0</v>
      </c>
      <c r="N228" s="920">
        <f>IF(SETUP!$F$39="At delivery",IF(SETUP!$G$39=4,$E$226*'TB-Pharmaceuticals'!BA16,IF(SETUP!$G$39=3,$E$226*'TB-Pharmaceuticals'!BB16,IF(SETUP!$G$39=2,$E$226*'TB-Pharmaceuticals'!BC16,IF(SETUP!$G$39=1,$E$226*'TB-Pharmaceuticals'!BD16,0)))),0)</f>
        <v>0</v>
      </c>
      <c r="O228" s="917">
        <f t="shared" si="33"/>
        <v>0</v>
      </c>
      <c r="P228" s="915">
        <f>IF(SETUP!$F$39="At delivery",IF(SETUP!$G$39=4,$E$226*'TB-Pharmaceuticals'!BB16,IF(SETUP!$G$39=3,$E$226*'TB-Pharmaceuticals'!BC16,IF(SETUP!$G$39=2,$E$226*'TB-Pharmaceuticals'!BD16,IF(SETUP!$G$39=1,$E$226*'TB-Pharmaceuticals'!BE16,0)))),0)</f>
        <v>0</v>
      </c>
      <c r="Q228" s="915">
        <f>IF(SETUP!$F$39="At delivery",IF(SETUP!$G$39=4,$E$226*'TB-Pharmaceuticals'!BC16,IF(SETUP!$G$39=3,$E$226*'TB-Pharmaceuticals'!BD16,IF(SETUP!$G$39=2,$E$226*'TB-Pharmaceuticals'!BE16,IF(SETUP!$G$39=1,$E$226*'TB-Pharmaceuticals'!BF16,0)))),0)</f>
        <v>0</v>
      </c>
      <c r="R228" s="915">
        <f>IF(SETUP!$F$39="At delivery",IF(SETUP!$G$39=4,$E$226*'TB-Pharmaceuticals'!BD16,IF(SETUP!$G$39=3,$E$226*'TB-Pharmaceuticals'!BE16,IF(SETUP!$G$39=2,$E$226*'TB-Pharmaceuticals'!BF16,IF(SETUP!$G$39=1,$E$226*'TB-Pharmaceuticals'!BG16,0)))),0)</f>
        <v>0</v>
      </c>
      <c r="S228" s="915">
        <f>IF(SETUP!$F$39="At delivery",IF(SETUP!$G$39=4,$E$226*('TB-Pharmaceuticals'!BE16+'TB-Pharmaceuticals'!BF16+'TB-Pharmaceuticals'!BG16+'TB-Pharmaceuticals'!BH16+'TB-Pharmaceuticals'!BI16),IF(SETUP!$G$39=3,$E$226*('TB-Pharmaceuticals'!BF16+'TB-Pharmaceuticals'!BG16+'TB-Pharmaceuticals'!BH16+'TB-Pharmaceuticals'!BI16),IF(SETUP!$G$39=2,$E$226*('TB-Pharmaceuticals'!BG16+'TB-Pharmaceuticals'!BH16+'TB-Pharmaceuticals'!BI16),IF(SETUP!$G$39=1,$E$226*('TB-Pharmaceuticals'!BH16+'TB-Pharmaceuticals'!BI16),0)))),0)</f>
        <v>0</v>
      </c>
      <c r="T228" s="916">
        <f t="shared" si="34"/>
        <v>0</v>
      </c>
      <c r="U228" s="915">
        <f t="shared" si="35"/>
        <v>0</v>
      </c>
      <c r="V228" s="1316">
        <v>7.5</v>
      </c>
      <c r="W228" s="1995"/>
      <c r="X228" s="1341"/>
      <c r="AA228" s="1721"/>
    </row>
    <row r="229" spans="1:27" s="665" customFormat="1" ht="15" hidden="1" customHeight="1" collapsed="1" thickBot="1">
      <c r="A229" s="3186" t="s">
        <v>447</v>
      </c>
      <c r="B229" s="3187"/>
      <c r="C229" s="3188" t="s">
        <v>292</v>
      </c>
      <c r="D229" s="3188"/>
      <c r="E229" s="1245">
        <v>0</v>
      </c>
      <c r="F229" s="966">
        <f>IF(SETUP!$F$40="Upfront",F230,F231)</f>
        <v>0</v>
      </c>
      <c r="G229" s="921">
        <f>IF(SETUP!$F$40="Upfront",G230,G231)</f>
        <v>0</v>
      </c>
      <c r="H229" s="920">
        <f>IF(SETUP!$F$40="Upfront",H230,H231)</f>
        <v>0</v>
      </c>
      <c r="I229" s="920">
        <f>IF(SETUP!$F$40="Upfront",I230,I231)</f>
        <v>0</v>
      </c>
      <c r="J229" s="919">
        <f t="shared" si="32"/>
        <v>0</v>
      </c>
      <c r="K229" s="920">
        <f>IF(SETUP!$F$40="Upfront",K230,K231)</f>
        <v>0</v>
      </c>
      <c r="L229" s="920">
        <f>IF(SETUP!$F$40="Upfront",L230,L231)</f>
        <v>0</v>
      </c>
      <c r="M229" s="920">
        <f>IF(SETUP!$F$40="Upfront",M230,M231)</f>
        <v>0</v>
      </c>
      <c r="N229" s="920">
        <f>IF(SETUP!$F$40="Upfront",N230,N231)</f>
        <v>0</v>
      </c>
      <c r="O229" s="917">
        <f t="shared" si="33"/>
        <v>0</v>
      </c>
      <c r="P229" s="915">
        <f>IF(SETUP!$F$40="Upfront",P230,P231)</f>
        <v>0</v>
      </c>
      <c r="Q229" s="915">
        <f>IF(SETUP!$F$40="Upfront",Q230,Q231)</f>
        <v>0</v>
      </c>
      <c r="R229" s="915">
        <f>IF(SETUP!$F$40="Upfront",R230,R231)</f>
        <v>0</v>
      </c>
      <c r="S229" s="915">
        <f>IF(SETUP!$F$40="Upfront",S230,S231)</f>
        <v>0</v>
      </c>
      <c r="T229" s="916">
        <f t="shared" si="34"/>
        <v>0</v>
      </c>
      <c r="U229" s="915">
        <f t="shared" si="35"/>
        <v>0</v>
      </c>
      <c r="V229" s="1316">
        <v>7.5</v>
      </c>
      <c r="W229" s="1995"/>
      <c r="X229" s="1341"/>
      <c r="AA229" s="1721"/>
    </row>
    <row r="230" spans="1:27" s="665" customFormat="1" ht="15" hidden="1" customHeight="1" outlineLevel="1">
      <c r="A230" s="3186"/>
      <c r="B230" s="3187"/>
      <c r="C230" s="3182" t="s">
        <v>777</v>
      </c>
      <c r="D230" s="3182"/>
      <c r="E230" s="1246"/>
      <c r="F230" s="966">
        <f>IF(SETUP!$F$40="Upfront",$E$229*'TB-EQUIPMENT &amp; OTHER HPs'!AX14,0)</f>
        <v>0</v>
      </c>
      <c r="G230" s="921">
        <f>IF(SETUP!$F$40="Upfront",$E$229*'TB-EQUIPMENT &amp; OTHER HPs'!AY14,0)</f>
        <v>0</v>
      </c>
      <c r="H230" s="920">
        <f>IF(SETUP!$F$40="Upfront",$E$229*'TB-EQUIPMENT &amp; OTHER HPs'!AZ14,0)</f>
        <v>0</v>
      </c>
      <c r="I230" s="920">
        <f>IF(SETUP!$F$40="Upfront",$E$229*'TB-EQUIPMENT &amp; OTHER HPs'!BA14,0)</f>
        <v>0</v>
      </c>
      <c r="J230" s="919">
        <f t="shared" si="32"/>
        <v>0</v>
      </c>
      <c r="K230" s="920">
        <f>IF(SETUP!$F$40="Upfront",$E$229*'TB-EQUIPMENT &amp; OTHER HPs'!BB14,0)</f>
        <v>0</v>
      </c>
      <c r="L230" s="920">
        <f>IF(SETUP!$F$40="Upfront",$E$229*'TB-EQUIPMENT &amp; OTHER HPs'!BC14,0)</f>
        <v>0</v>
      </c>
      <c r="M230" s="920">
        <f>IF(SETUP!$F$40="Upfront",$E$229*'TB-EQUIPMENT &amp; OTHER HPs'!BD14,0)</f>
        <v>0</v>
      </c>
      <c r="N230" s="920">
        <f>IF(SETUP!$F$40="Upfront",$E$229*'TB-EQUIPMENT &amp; OTHER HPs'!BE14,0)</f>
        <v>0</v>
      </c>
      <c r="O230" s="917">
        <f t="shared" si="33"/>
        <v>0</v>
      </c>
      <c r="P230" s="915">
        <f>IF(SETUP!$F$40="Upfront",$E$229*'TB-EQUIPMENT &amp; OTHER HPs'!BF14,0)</f>
        <v>0</v>
      </c>
      <c r="Q230" s="915">
        <f>IF(SETUP!$F$40="Upfront",$E$229*'TB-EQUIPMENT &amp; OTHER HPs'!BG14,0)</f>
        <v>0</v>
      </c>
      <c r="R230" s="915">
        <f>IF(SETUP!$F$40="Upfront",$E$229*'TB-EQUIPMENT &amp; OTHER HPs'!BH14,0)</f>
        <v>0</v>
      </c>
      <c r="S230" s="915">
        <f>IF(SETUP!$F$40="Upfront",$E$229*'TB-EQUIPMENT &amp; OTHER HPs'!BI14,0)</f>
        <v>0</v>
      </c>
      <c r="T230" s="916">
        <f t="shared" si="34"/>
        <v>0</v>
      </c>
      <c r="U230" s="915">
        <f t="shared" si="35"/>
        <v>0</v>
      </c>
      <c r="V230" s="1316">
        <v>7.5</v>
      </c>
      <c r="W230" s="1995"/>
      <c r="X230" s="1341"/>
      <c r="AA230" s="1721"/>
    </row>
    <row r="231" spans="1:27" s="665" customFormat="1" ht="15" hidden="1" customHeight="1" outlineLevel="1">
      <c r="A231" s="3186"/>
      <c r="B231" s="3187"/>
      <c r="C231" s="3182" t="s">
        <v>36</v>
      </c>
      <c r="D231" s="3182"/>
      <c r="E231" s="1246"/>
      <c r="F231" s="966">
        <v>0</v>
      </c>
      <c r="G231" s="921">
        <f>IF(SETUP!$F$40="At delivery",IF(SETUP!$G$40=1,$E$229*'TB-EQUIPMENT &amp; OTHER HPs'!AX14,0),0)</f>
        <v>0</v>
      </c>
      <c r="H231" s="920">
        <f>IF(SETUP!$F$40="At delivery",IF(SETUP!$G$40=2,$E$229*'TB-EQUIPMENT &amp; OTHER HPs'!AX14,IF(SETUP!$G$40=1,$E$229*'TB-EQUIPMENT &amp; OTHER HPs'!AY14,0)),0)</f>
        <v>0</v>
      </c>
      <c r="I231" s="920">
        <f>IF(SETUP!$F$40="At delivery",IF(SETUP!$G$40=3,$E$229*'TB-EQUIPMENT &amp; OTHER HPs'!AX14,IF(SETUP!$G$40=2,$E$229*'TB-EQUIPMENT &amp; OTHER HPs'!AY14,IF(SETUP!$G$40=1,$E$229*'TB-EQUIPMENT &amp; OTHER HPs'!AZ14,0))),0)</f>
        <v>0</v>
      </c>
      <c r="J231" s="919">
        <f t="shared" si="32"/>
        <v>0</v>
      </c>
      <c r="K231" s="920">
        <f>IF(SETUP!$F$40="At delivery",IF(SETUP!$G$40=4,$E$229*'TB-EQUIPMENT &amp; OTHER HPs'!AX14,IF(SETUP!$G$40=3,$E$229*'TB-EQUIPMENT &amp; OTHER HPs'!AY14,IF(SETUP!$G$40=2,$E$229*'TB-EQUIPMENT &amp; OTHER HPs'!AZ14,IF(SETUP!$G$40=1,$E$229*'TB-EQUIPMENT &amp; OTHER HPs'!BA14,0)))),0)</f>
        <v>0</v>
      </c>
      <c r="L231" s="920">
        <f>IF(SETUP!$F$40="At delivery",IF(SETUP!$G$40=4,$E$229*'TB-EQUIPMENT &amp; OTHER HPs'!AY14,IF(SETUP!$G$40=3,$E$229*'TB-EQUIPMENT &amp; OTHER HPs'!AZ14,IF(SETUP!$G$40=2,$E$229*'TB-EQUIPMENT &amp; OTHER HPs'!BA14,IF(SETUP!$G$40=1,$E$229*'TB-EQUIPMENT &amp; OTHER HPs'!BB14,0)))),0)</f>
        <v>0</v>
      </c>
      <c r="M231" s="920">
        <f>IF(SETUP!$F$40="At delivery",IF(SETUP!$G$40=4,$E$229*'TB-EQUIPMENT &amp; OTHER HPs'!AZ14,IF(SETUP!$G$40=3,$E$229*'TB-EQUIPMENT &amp; OTHER HPs'!BA14,IF(SETUP!$G$40=2,$E$229*'TB-EQUIPMENT &amp; OTHER HPs'!BB14,IF(SETUP!$G$40=1,$E$229*'TB-EQUIPMENT &amp; OTHER HPs'!BC14,0)))),0)</f>
        <v>0</v>
      </c>
      <c r="N231" s="920">
        <f>IF(SETUP!$F$40="At delivery",IF(SETUP!$G$40=4,$E$229*'TB-EQUIPMENT &amp; OTHER HPs'!BA14,IF(SETUP!$G$40=3,$E$229*'TB-EQUIPMENT &amp; OTHER HPs'!BB14,IF(SETUP!$G$40=2,$E$229*'TB-EQUIPMENT &amp; OTHER HPs'!BC14,IF(SETUP!$G$40=1,$E$229*'TB-EQUIPMENT &amp; OTHER HPs'!BD14,0)))),0)</f>
        <v>0</v>
      </c>
      <c r="O231" s="917">
        <f t="shared" si="33"/>
        <v>0</v>
      </c>
      <c r="P231" s="915">
        <f>IF(SETUP!$F$40="At delivery",IF(SETUP!$G$40=4,$E$229*'TB-EQUIPMENT &amp; OTHER HPs'!BB14,IF(SETUP!$G$40=3,$E$229*'TB-EQUIPMENT &amp; OTHER HPs'!BC14,IF(SETUP!$G$40=2,$E$229*'TB-EQUIPMENT &amp; OTHER HPs'!BD14,IF(SETUP!$G$40=1,$E$229*'TB-EQUIPMENT &amp; OTHER HPs'!BE14,0)))),0)</f>
        <v>0</v>
      </c>
      <c r="Q231" s="915">
        <f>IF(SETUP!$F$40="At delivery",IF(SETUP!$G$40=4,$E$229*'TB-EQUIPMENT &amp; OTHER HPs'!BC14,IF(SETUP!$G$40=3,$E$229*'TB-EQUIPMENT &amp; OTHER HPs'!BD14,IF(SETUP!$G$40=2,$E$229*'TB-EQUIPMENT &amp; OTHER HPs'!BE14,IF(SETUP!$G$40=1,$E$229*'TB-EQUIPMENT &amp; OTHER HPs'!BF14,0)))),0)</f>
        <v>0</v>
      </c>
      <c r="R231" s="915">
        <f>IF(SETUP!$F$40="At delivery",IF(SETUP!$G$40=4,$E$229*'TB-EQUIPMENT &amp; OTHER HPs'!BD14,IF(SETUP!$G$40=3,$E$229*'TB-EQUIPMENT &amp; OTHER HPs'!BE14,IF(SETUP!$G$40=2,$E$229*'TB-EQUIPMENT &amp; OTHER HPs'!BF14,IF(SETUP!$G$40=1,$E$229*'TB-EQUIPMENT &amp; OTHER HPs'!BG14,0)))),0)</f>
        <v>0</v>
      </c>
      <c r="S231" s="915">
        <f>IF(SETUP!$F$40="At delivery",IF(SETUP!$G$40=4,$E$229*('TB-EQUIPMENT &amp; OTHER HPs'!BE14+'TB-EQUIPMENT &amp; OTHER HPs'!BF14+'TB-EQUIPMENT &amp; OTHER HPs'!BG14+'TB-EQUIPMENT &amp; OTHER HPs'!BH14+'TB-EQUIPMENT &amp; OTHER HPs'!BI14),IF(SETUP!$G$40=3,$E$229*('TB-EQUIPMENT &amp; OTHER HPs'!BF14+'TB-EQUIPMENT &amp; OTHER HPs'!BG14+'TB-EQUIPMENT &amp; OTHER HPs'!BH14+'TB-EQUIPMENT &amp; OTHER HPs'!BI14),IF(SETUP!$G$40=2,$E$229*('TB-EQUIPMENT &amp; OTHER HPs'!BG14+'TB-EQUIPMENT &amp; OTHER HPs'!BH14+'TB-EQUIPMENT &amp; OTHER HPs'!BI14),IF(SETUP!$G$40=1,$E$229*('TB-EQUIPMENT &amp; OTHER HPs'!BH14+'TB-EQUIPMENT &amp; OTHER HPs'!BI14),0)))),0)</f>
        <v>0</v>
      </c>
      <c r="T231" s="916">
        <f t="shared" si="34"/>
        <v>0</v>
      </c>
      <c r="U231" s="915">
        <f t="shared" si="35"/>
        <v>0</v>
      </c>
      <c r="V231" s="1316">
        <v>7.5</v>
      </c>
      <c r="W231" s="1995"/>
      <c r="X231" s="1341"/>
      <c r="AA231" s="1721"/>
    </row>
    <row r="232" spans="1:27" s="665" customFormat="1" ht="15" hidden="1" customHeight="1" collapsed="1" thickBot="1">
      <c r="A232" s="3186"/>
      <c r="B232" s="3187"/>
      <c r="C232" s="3188" t="s">
        <v>1348</v>
      </c>
      <c r="D232" s="3188"/>
      <c r="E232" s="1245">
        <v>0</v>
      </c>
      <c r="F232" s="966">
        <f>IF(SETUP!$F$41="Upfront",F233,F234)</f>
        <v>0</v>
      </c>
      <c r="G232" s="921">
        <f>IF(SETUP!$F$41="Upfront",G233,G234)</f>
        <v>0</v>
      </c>
      <c r="H232" s="920">
        <f>IF(SETUP!$F$41="Upfront",H233,H234)</f>
        <v>0</v>
      </c>
      <c r="I232" s="920">
        <f>IF(SETUP!$F$41="Upfront",I233,I234)</f>
        <v>0</v>
      </c>
      <c r="J232" s="919">
        <f t="shared" si="32"/>
        <v>0</v>
      </c>
      <c r="K232" s="920">
        <f>IF(SETUP!$F$41="Upfront",K233,K234)</f>
        <v>0</v>
      </c>
      <c r="L232" s="920">
        <f>IF(SETUP!$F$41="Upfront",L233,L234)</f>
        <v>0</v>
      </c>
      <c r="M232" s="920">
        <f>IF(SETUP!$F$41="Upfront",M233,M234)</f>
        <v>0</v>
      </c>
      <c r="N232" s="920">
        <f>IF(SETUP!$F$41="Upfront",N233,N234)</f>
        <v>0</v>
      </c>
      <c r="O232" s="917">
        <f t="shared" si="33"/>
        <v>0</v>
      </c>
      <c r="P232" s="915">
        <f>IF(SETUP!$F$41="Upfront",P233,P234)</f>
        <v>0</v>
      </c>
      <c r="Q232" s="915">
        <f>IF(SETUP!$F$41="Upfront",Q233,Q234)</f>
        <v>0</v>
      </c>
      <c r="R232" s="915">
        <f>IF(SETUP!$F$41="Upfront",R233,R234)</f>
        <v>0</v>
      </c>
      <c r="S232" s="915">
        <f>IF(SETUP!$F$41="Upfront",S233,S234)</f>
        <v>0</v>
      </c>
      <c r="T232" s="916">
        <f t="shared" si="34"/>
        <v>0</v>
      </c>
      <c r="U232" s="915">
        <f t="shared" si="35"/>
        <v>0</v>
      </c>
      <c r="V232" s="1316">
        <v>7.5</v>
      </c>
      <c r="W232" s="1995"/>
      <c r="X232" s="1341"/>
      <c r="AA232" s="1721"/>
    </row>
    <row r="233" spans="1:27" s="665" customFormat="1" ht="15" hidden="1" customHeight="1" outlineLevel="1">
      <c r="A233" s="3186"/>
      <c r="B233" s="3187"/>
      <c r="C233" s="3182" t="s">
        <v>777</v>
      </c>
      <c r="D233" s="3182"/>
      <c r="E233" s="1246"/>
      <c r="F233" s="966">
        <f>IF(SETUP!$F$41="Upfront",$E$232*'TB-EQUIPMENT &amp; OTHER HPs'!AX15,0)</f>
        <v>0</v>
      </c>
      <c r="G233" s="921">
        <f>IF(SETUP!$F$41="Upfront",$E$232*'TB-EQUIPMENT &amp; OTHER HPs'!AY15,0)</f>
        <v>0</v>
      </c>
      <c r="H233" s="920">
        <f>IF(SETUP!$F$41="Upfront",$E$232*'TB-EQUIPMENT &amp; OTHER HPs'!AZ15,0)</f>
        <v>0</v>
      </c>
      <c r="I233" s="920">
        <f>IF(SETUP!$F$41="Upfront",$E$232*'TB-EQUIPMENT &amp; OTHER HPs'!BA15,0)</f>
        <v>0</v>
      </c>
      <c r="J233" s="919">
        <f t="shared" si="32"/>
        <v>0</v>
      </c>
      <c r="K233" s="920">
        <f>IF(SETUP!$F$41="Upfront",$E$232*'TB-EQUIPMENT &amp; OTHER HPs'!BB15,0)</f>
        <v>0</v>
      </c>
      <c r="L233" s="920">
        <f>IF(SETUP!$F$41="Upfront",$E$232*'TB-EQUIPMENT &amp; OTHER HPs'!BC15,0)</f>
        <v>0</v>
      </c>
      <c r="M233" s="920">
        <f>IF(SETUP!$F$41="Upfront",$E$232*'TB-EQUIPMENT &amp; OTHER HPs'!BD15,0)</f>
        <v>0</v>
      </c>
      <c r="N233" s="920">
        <f>IF(SETUP!$F$41="Upfront",$E$232*'TB-EQUIPMENT &amp; OTHER HPs'!BE15,0)</f>
        <v>0</v>
      </c>
      <c r="O233" s="917">
        <f t="shared" si="33"/>
        <v>0</v>
      </c>
      <c r="P233" s="915">
        <f>IF(SETUP!$F$41="Upfront",$E$232*'TB-EQUIPMENT &amp; OTHER HPs'!BF15,0)</f>
        <v>0</v>
      </c>
      <c r="Q233" s="915">
        <f>IF(SETUP!$F$41="Upfront",$E$232*'TB-EQUIPMENT &amp; OTHER HPs'!BG15,0)</f>
        <v>0</v>
      </c>
      <c r="R233" s="915">
        <f>IF(SETUP!$F$41="Upfront",$E$232*'TB-EQUIPMENT &amp; OTHER HPs'!BH15,0)</f>
        <v>0</v>
      </c>
      <c r="S233" s="915">
        <f>IF(SETUP!$F$41="Upfront",$E$232*'TB-EQUIPMENT &amp; OTHER HPs'!BI15,0)</f>
        <v>0</v>
      </c>
      <c r="T233" s="916">
        <f t="shared" si="34"/>
        <v>0</v>
      </c>
      <c r="U233" s="915">
        <f t="shared" si="35"/>
        <v>0</v>
      </c>
      <c r="V233" s="1316">
        <v>7.5</v>
      </c>
      <c r="W233" s="1995"/>
      <c r="X233" s="1341"/>
      <c r="AA233" s="1721"/>
    </row>
    <row r="234" spans="1:27" s="665" customFormat="1" ht="15" hidden="1" customHeight="1" outlineLevel="1" thickBot="1">
      <c r="A234" s="3186"/>
      <c r="B234" s="3187"/>
      <c r="C234" s="3182" t="s">
        <v>36</v>
      </c>
      <c r="D234" s="3182"/>
      <c r="E234" s="1246"/>
      <c r="F234" s="966">
        <v>0</v>
      </c>
      <c r="G234" s="921">
        <f>IF(SETUP!$F$41="At delivery",IF(SETUP!$G$41=1,$E$232*'TB-EQUIPMENT &amp; OTHER HPs'!AX15,0),0)</f>
        <v>0</v>
      </c>
      <c r="H234" s="920">
        <f>IF(SETUP!$F$41="At delivery",IF(SETUP!$G$41=2,$E$232*'TB-EQUIPMENT &amp; OTHER HPs'!AX15,IF(SETUP!$G$41=1,$E$232*'TB-EQUIPMENT &amp; OTHER HPs'!AY15,0)),0)</f>
        <v>0</v>
      </c>
      <c r="I234" s="920">
        <f>IF(SETUP!$F$41="At delivery",IF(SETUP!$G$41=3,$E$232*'TB-EQUIPMENT &amp; OTHER HPs'!AX15,IF(SETUP!$G$41=2,$E$232*'TB-EQUIPMENT &amp; OTHER HPs'!AY15,IF(SETUP!$G$41=1,$E$232*'TB-EQUIPMENT &amp; OTHER HPs'!AZ15,0))),0)</f>
        <v>0</v>
      </c>
      <c r="J234" s="919">
        <f t="shared" si="32"/>
        <v>0</v>
      </c>
      <c r="K234" s="920">
        <f>IF(SETUP!$F$41="At delivery",IF(SETUP!$G$41=4,$E$232*'TB-EQUIPMENT &amp; OTHER HPs'!AX15,IF(SETUP!$G$41=3,$E$232*'TB-EQUIPMENT &amp; OTHER HPs'!AY15,IF(SETUP!$G$41=2,$E$232*'TB-EQUIPMENT &amp; OTHER HPs'!AZ15,IF(SETUP!$G$41=1,$E$232*'TB-EQUIPMENT &amp; OTHER HPs'!BA15,0)))),0)</f>
        <v>0</v>
      </c>
      <c r="L234" s="920">
        <f>IF(SETUP!$F$41="At delivery",IF(SETUP!$G$41=4,$E$232*'TB-EQUIPMENT &amp; OTHER HPs'!AY15,IF(SETUP!$G$41=3,$E$232*'TB-EQUIPMENT &amp; OTHER HPs'!AZ15,IF(SETUP!$G$41=2,$E$232*'TB-EQUIPMENT &amp; OTHER HPs'!BA15,IF(SETUP!$G$41=1,$E$232*'TB-EQUIPMENT &amp; OTHER HPs'!BB15,0)))),0)</f>
        <v>0</v>
      </c>
      <c r="M234" s="920">
        <f>IF(SETUP!$F$41="At delivery",IF(SETUP!$G$41=4,$E$232*'TB-EQUIPMENT &amp; OTHER HPs'!AZ15,IF(SETUP!$G$41=3,$E$232*'TB-EQUIPMENT &amp; OTHER HPs'!BA15,IF(SETUP!$G$41=2,$E$232*'TB-EQUIPMENT &amp; OTHER HPs'!BB15,IF(SETUP!$G$41=1,$E$232*'TB-EQUIPMENT &amp; OTHER HPs'!BC15,0)))),0)</f>
        <v>0</v>
      </c>
      <c r="N234" s="920">
        <f>IF(SETUP!$F$41="At delivery",IF(SETUP!$G$41=4,$E$232*'TB-EQUIPMENT &amp; OTHER HPs'!BA15,IF(SETUP!$G$41=3,$E$232*'TB-EQUIPMENT &amp; OTHER HPs'!BB15,IF(SETUP!$G$41=2,$E$232*'TB-EQUIPMENT &amp; OTHER HPs'!BC15,IF(SETUP!$G$41=1,$E$232*'TB-EQUIPMENT &amp; OTHER HPs'!BD15,0)))),0)</f>
        <v>0</v>
      </c>
      <c r="O234" s="917">
        <f t="shared" si="33"/>
        <v>0</v>
      </c>
      <c r="P234" s="915">
        <f>IF(SETUP!$F$41="At delivery",IF(SETUP!$G$41=4,$E$232*'TB-EQUIPMENT &amp; OTHER HPs'!BB15,IF(SETUP!$G$41=3,$E$232*'TB-EQUIPMENT &amp; OTHER HPs'!BC15,IF(SETUP!$G$41=2,$E$232*'TB-EQUIPMENT &amp; OTHER HPs'!BD15,IF(SETUP!$G$41=1,$E$232*'TB-EQUIPMENT &amp; OTHER HPs'!BE15,0)))),0)</f>
        <v>0</v>
      </c>
      <c r="Q234" s="915">
        <f>IF(SETUP!$F$41="At delivery",IF(SETUP!$G$41=4,$E$232*'TB-EQUIPMENT &amp; OTHER HPs'!BC15,IF(SETUP!$G$41=3,$E$232*'TB-EQUIPMENT &amp; OTHER HPs'!BD15,IF(SETUP!$G$41=2,$E$232*'TB-EQUIPMENT &amp; OTHER HPs'!BE15,IF(SETUP!$G$41=1,$E$232*'TB-EQUIPMENT &amp; OTHER HPs'!BF15,0)))),0)</f>
        <v>0</v>
      </c>
      <c r="R234" s="915">
        <f>IF(SETUP!$F$41="At delivery",IF(SETUP!$G$41=4,$E$232*'TB-EQUIPMENT &amp; OTHER HPs'!BD15,IF(SETUP!$G$41=3,$E$232*'TB-EQUIPMENT &amp; OTHER HPs'!BE15,IF(SETUP!$G$41=2,$E$232*'TB-EQUIPMENT &amp; OTHER HPs'!BF15,IF(SETUP!$G$41=1,$E$232*'TB-EQUIPMENT &amp; OTHER HPs'!BG15,0)))),0)</f>
        <v>0</v>
      </c>
      <c r="S234" s="915">
        <f>IF(SETUP!$F$41="At delivery",IF(SETUP!$G$41=4,$E$232*('TB-EQUIPMENT &amp; OTHER HPs'!BE15+'TB-EQUIPMENT &amp; OTHER HPs'!BF15+'TB-EQUIPMENT &amp; OTHER HPs'!BG15+'TB-EQUIPMENT &amp; OTHER HPs'!BH15+'TB-EQUIPMENT &amp; OTHER HPs'!BI15),IF(SETUP!$G$41=3,$E$232*('TB-EQUIPMENT &amp; OTHER HPs'!BF15+'TB-EQUIPMENT &amp; OTHER HPs'!BG15+'TB-EQUIPMENT &amp; OTHER HPs'!BH15+'TB-EQUIPMENT &amp; OTHER HPs'!BI15),IF(SETUP!$G$41=2,$E$232*('TB-EQUIPMENT &amp; OTHER HPs'!BG15+'TB-EQUIPMENT &amp; OTHER HPs'!BH15+'TB-EQUIPMENT &amp; OTHER HPs'!BI15),IF(SETUP!$G$41=1,$E$232*('TB-EQUIPMENT &amp; OTHER HPs'!BH15+'TB-EQUIPMENT &amp; OTHER HPs'!BI15),0)))),0)</f>
        <v>0</v>
      </c>
      <c r="T234" s="916">
        <f t="shared" si="34"/>
        <v>0</v>
      </c>
      <c r="U234" s="915">
        <f t="shared" si="35"/>
        <v>0</v>
      </c>
      <c r="V234" s="1316">
        <v>7.5</v>
      </c>
      <c r="W234" s="1995"/>
      <c r="X234" s="1341"/>
      <c r="AA234" s="1721"/>
    </row>
    <row r="235" spans="1:27" s="665" customFormat="1" ht="15" hidden="1" customHeight="1" collapsed="1" thickBot="1">
      <c r="A235" s="3186"/>
      <c r="B235" s="3187"/>
      <c r="C235" s="3188" t="s">
        <v>1354</v>
      </c>
      <c r="D235" s="3188"/>
      <c r="E235" s="1245">
        <v>0</v>
      </c>
      <c r="F235" s="966">
        <f>IF(SETUP!$F$43="Upfront",F236,F237)</f>
        <v>0</v>
      </c>
      <c r="G235" s="921">
        <f>IF(SETUP!$F$43="Upfront",G236,G237)</f>
        <v>0</v>
      </c>
      <c r="H235" s="920">
        <f>IF(SETUP!$F$43="Upfront",H236,H237)</f>
        <v>0</v>
      </c>
      <c r="I235" s="920">
        <f>IF(SETUP!$F$43="Upfront",I236,I237)</f>
        <v>0</v>
      </c>
      <c r="J235" s="919">
        <f t="shared" si="32"/>
        <v>0</v>
      </c>
      <c r="K235" s="920">
        <f>IF(SETUP!$F$43="Upfront",K236,K237)</f>
        <v>0</v>
      </c>
      <c r="L235" s="920">
        <f>IF(SETUP!$F$43="Upfront",L236,L237)</f>
        <v>0</v>
      </c>
      <c r="M235" s="920">
        <f>IF(SETUP!$F$43="Upfront",M236,M237)</f>
        <v>0</v>
      </c>
      <c r="N235" s="920">
        <f>IF(SETUP!$F$43="Upfront",N236,N237)</f>
        <v>0</v>
      </c>
      <c r="O235" s="917">
        <f t="shared" si="33"/>
        <v>0</v>
      </c>
      <c r="P235" s="915">
        <f>IF(SETUP!$F$43="Upfront",P236,P237)</f>
        <v>0</v>
      </c>
      <c r="Q235" s="915">
        <f>IF(SETUP!$F$43="Upfront",Q236,Q237)</f>
        <v>0</v>
      </c>
      <c r="R235" s="915">
        <f>IF(SETUP!$F$43="Upfront",R236,R237)</f>
        <v>0</v>
      </c>
      <c r="S235" s="915">
        <f>IF(SETUP!$F$43="Upfront",S236,S237)</f>
        <v>0</v>
      </c>
      <c r="T235" s="916">
        <f t="shared" si="34"/>
        <v>0</v>
      </c>
      <c r="U235" s="915">
        <f t="shared" si="35"/>
        <v>0</v>
      </c>
      <c r="V235" s="1316">
        <v>7.5</v>
      </c>
      <c r="W235" s="1995"/>
      <c r="X235" s="1341"/>
      <c r="AA235" s="1721"/>
    </row>
    <row r="236" spans="1:27" s="665" customFormat="1" ht="15" hidden="1" customHeight="1" outlineLevel="1">
      <c r="A236" s="3186"/>
      <c r="B236" s="3187"/>
      <c r="C236" s="3182" t="s">
        <v>777</v>
      </c>
      <c r="D236" s="3182"/>
      <c r="E236" s="1246"/>
      <c r="F236" s="966">
        <f>IF(SETUP!$F$43="Upfront",$E$235*'TB-EQUIPMENT &amp; OTHER HPs'!AX16,0)</f>
        <v>0</v>
      </c>
      <c r="G236" s="921">
        <f>IF(SETUP!$F$43="Upfront",$E$235*'TB-EQUIPMENT &amp; OTHER HPs'!AY16,0)</f>
        <v>0</v>
      </c>
      <c r="H236" s="920">
        <f>IF(SETUP!$F$43="Upfront",$E$235*'TB-EQUIPMENT &amp; OTHER HPs'!AZ16,0)</f>
        <v>0</v>
      </c>
      <c r="I236" s="920">
        <f>IF(SETUP!$F$43="Upfront",$E$235*'TB-EQUIPMENT &amp; OTHER HPs'!BA16,0)</f>
        <v>0</v>
      </c>
      <c r="J236" s="919">
        <f t="shared" si="32"/>
        <v>0</v>
      </c>
      <c r="K236" s="920">
        <f>IF(SETUP!$F$43="Upfront",$E$235*'TB-EQUIPMENT &amp; OTHER HPs'!BB16,0)</f>
        <v>0</v>
      </c>
      <c r="L236" s="920">
        <f>IF(SETUP!$F$43="Upfront",$E$235*'TB-EQUIPMENT &amp; OTHER HPs'!BC16,0)</f>
        <v>0</v>
      </c>
      <c r="M236" s="920">
        <f>IF(SETUP!$F$43="Upfront",$E$235*'TB-EQUIPMENT &amp; OTHER HPs'!BD16,0)</f>
        <v>0</v>
      </c>
      <c r="N236" s="920">
        <f>IF(SETUP!$F$43="Upfront",$E$235*'TB-EQUIPMENT &amp; OTHER HPs'!BE16,0)</f>
        <v>0</v>
      </c>
      <c r="O236" s="917">
        <f t="shared" si="33"/>
        <v>0</v>
      </c>
      <c r="P236" s="915">
        <f>IF(SETUP!$F$43="Upfront",$E$235*'TB-EQUIPMENT &amp; OTHER HPs'!BF16,0)</f>
        <v>0</v>
      </c>
      <c r="Q236" s="915">
        <f>IF(SETUP!$F$43="Upfront",$E$235*'TB-EQUIPMENT &amp; OTHER HPs'!BG16,0)</f>
        <v>0</v>
      </c>
      <c r="R236" s="915">
        <f>IF(SETUP!$F$43="Upfront",$E$235*'TB-EQUIPMENT &amp; OTHER HPs'!BH16,0)</f>
        <v>0</v>
      </c>
      <c r="S236" s="915">
        <f>IF(SETUP!$F$43="Upfront",$E$235*'TB-EQUIPMENT &amp; OTHER HPs'!BI16,0)</f>
        <v>0</v>
      </c>
      <c r="T236" s="916">
        <f t="shared" si="34"/>
        <v>0</v>
      </c>
      <c r="U236" s="915">
        <f t="shared" si="35"/>
        <v>0</v>
      </c>
      <c r="V236" s="1316">
        <v>7.5</v>
      </c>
      <c r="W236" s="1995"/>
      <c r="X236" s="1341"/>
      <c r="AA236" s="1721"/>
    </row>
    <row r="237" spans="1:27" s="665" customFormat="1" ht="15" hidden="1" customHeight="1" outlineLevel="1">
      <c r="A237" s="3186"/>
      <c r="B237" s="3187"/>
      <c r="C237" s="3182" t="s">
        <v>36</v>
      </c>
      <c r="D237" s="3182"/>
      <c r="E237" s="1246"/>
      <c r="F237" s="966">
        <v>0</v>
      </c>
      <c r="G237" s="921">
        <f>IF(SETUP!$F$43="At delivery",IF(SETUP!$G$43=1,$E$235*'TB-EQUIPMENT &amp; OTHER HPs'!AX16,0),0)</f>
        <v>0</v>
      </c>
      <c r="H237" s="920">
        <f>IF(SETUP!$F$43="At delivery",IF(SETUP!$G$43=2,$E$235*'TB-EQUIPMENT &amp; OTHER HPs'!AX16,IF(SETUP!$G$43=1,$E$235*'TB-EQUIPMENT &amp; OTHER HPs'!AY16,0)),0)</f>
        <v>0</v>
      </c>
      <c r="I237" s="920">
        <f>IF(SETUP!$F$43="At delivery",IF(SETUP!$G$43=3,$E$235*'TB-EQUIPMENT &amp; OTHER HPs'!AX16,IF(SETUP!$G$43=2,$E$235*'TB-EQUIPMENT &amp; OTHER HPs'!AY16,IF(SETUP!$G$43=1,$E$235*'TB-EQUIPMENT &amp; OTHER HPs'!AZ16,0))),0)</f>
        <v>0</v>
      </c>
      <c r="J237" s="919">
        <f t="shared" si="32"/>
        <v>0</v>
      </c>
      <c r="K237" s="920">
        <f>IF(SETUP!$F$43="At delivery",IF(SETUP!$G$43=4,$E$235*'TB-EQUIPMENT &amp; OTHER HPs'!AX16,IF(SETUP!$G$43=3,$E$235*'TB-EQUIPMENT &amp; OTHER HPs'!AY16,IF(SETUP!$G$43=2,$E$235*'TB-EQUIPMENT &amp; OTHER HPs'!AZ16,IF(SETUP!$G$43=1,$E$235*'TB-EQUIPMENT &amp; OTHER HPs'!BA16,0)))),0)</f>
        <v>0</v>
      </c>
      <c r="L237" s="920">
        <f>IF(SETUP!$F$43="At delivery",IF(SETUP!$G$43=4,$E$235*'TB-EQUIPMENT &amp; OTHER HPs'!AY16,IF(SETUP!$G$43=3,$E$235*'TB-EQUIPMENT &amp; OTHER HPs'!AZ16,IF(SETUP!$G$43=2,$E$235*'TB-EQUIPMENT &amp; OTHER HPs'!BA16,IF(SETUP!$G$43=1,$E$235*'TB-EQUIPMENT &amp; OTHER HPs'!BB16,0)))),0)</f>
        <v>0</v>
      </c>
      <c r="M237" s="920">
        <f>IF(SETUP!$F$43="At delivery",IF(SETUP!$G$43=4,$E$235*'TB-EQUIPMENT &amp; OTHER HPs'!AZ16,IF(SETUP!$G$43=3,$E$235*'TB-EQUIPMENT &amp; OTHER HPs'!BA16,IF(SETUP!$G$43=2,$E$235*'TB-EQUIPMENT &amp; OTHER HPs'!BB16,IF(SETUP!$G$43=1,$E$235*'TB-EQUIPMENT &amp; OTHER HPs'!BC16,0)))),0)</f>
        <v>0</v>
      </c>
      <c r="N237" s="920">
        <f>IF(SETUP!$F$43="At delivery",IF(SETUP!$G$43=4,$E$235*'TB-EQUIPMENT &amp; OTHER HPs'!BA16,IF(SETUP!$G$43=3,$E$235*'TB-EQUIPMENT &amp; OTHER HPs'!BB16,IF(SETUP!$G$43=2,$E$235*'TB-EQUIPMENT &amp; OTHER HPs'!BC16,IF(SETUP!$G$43=1,$E$235*'TB-EQUIPMENT &amp; OTHER HPs'!BD16,0)))),0)</f>
        <v>0</v>
      </c>
      <c r="O237" s="917">
        <f t="shared" si="33"/>
        <v>0</v>
      </c>
      <c r="P237" s="915">
        <f>IF(SETUP!$F$43="At delivery",IF(SETUP!$G$43=4,$E$235*'TB-EQUIPMENT &amp; OTHER HPs'!BB16,IF(SETUP!$G$43=3,$E$235*'TB-EQUIPMENT &amp; OTHER HPs'!BC16,IF(SETUP!$G$43=2,$E$235*'TB-EQUIPMENT &amp; OTHER HPs'!BD16,IF(SETUP!$G$43=1,$E$235*'TB-EQUIPMENT &amp; OTHER HPs'!BE16,0)))),0)</f>
        <v>0</v>
      </c>
      <c r="Q237" s="915">
        <f>IF(SETUP!$F$43="At delivery",IF(SETUP!$G$43=4,$E$235*'TB-EQUIPMENT &amp; OTHER HPs'!BC16,IF(SETUP!$G$43=3,$E$235*'TB-EQUIPMENT &amp; OTHER HPs'!BD16,IF(SETUP!$G$43=2,$E$235*'TB-EQUIPMENT &amp; OTHER HPs'!BE16,IF(SETUP!$G$43=1,$E$235*'TB-EQUIPMENT &amp; OTHER HPs'!BF16,0)))),0)</f>
        <v>0</v>
      </c>
      <c r="R237" s="915">
        <f>IF(SETUP!$F$43="At delivery",IF(SETUP!$G$43=4,$E$235*'TB-EQUIPMENT &amp; OTHER HPs'!BD16,IF(SETUP!$G$43=3,$E$235*'TB-EQUIPMENT &amp; OTHER HPs'!BE16,IF(SETUP!$G$43=2,$E$235*'TB-EQUIPMENT &amp; OTHER HPs'!BF16,IF(SETUP!$G$43=1,$E$235*'TB-EQUIPMENT &amp; OTHER HPs'!BG16,0)))),0)</f>
        <v>0</v>
      </c>
      <c r="S237" s="915">
        <f>IF(SETUP!$F$43="At delivery",IF(SETUP!$G$43=4,$E$235*('TB-EQUIPMENT &amp; OTHER HPs'!BE16+'TB-EQUIPMENT &amp; OTHER HPs'!BF16+'TB-EQUIPMENT &amp; OTHER HPs'!BG16+'TB-EQUIPMENT &amp; OTHER HPs'!BH16+'TB-EQUIPMENT &amp; OTHER HPs'!BI16),IF(SETUP!$G$43=3,$E$235*('TB-EQUIPMENT &amp; OTHER HPs'!BF16+'TB-EQUIPMENT &amp; OTHER HPs'!BG16+'TB-EQUIPMENT &amp; OTHER HPs'!BH16+'TB-EQUIPMENT &amp; OTHER HPs'!BI16),IF(SETUP!$G$43=2,$E$235*('TB-EQUIPMENT &amp; OTHER HPs'!BG16+'TB-EQUIPMENT &amp; OTHER HPs'!BH16+'TB-EQUIPMENT &amp; OTHER HPs'!BI16),IF(SETUP!$G$43=1,$E$235*('TB-EQUIPMENT &amp; OTHER HPs'!BH16+'TB-EQUIPMENT &amp; OTHER HPs'!BI16),0)))),0)</f>
        <v>0</v>
      </c>
      <c r="T237" s="916">
        <f t="shared" si="34"/>
        <v>0</v>
      </c>
      <c r="U237" s="915">
        <f t="shared" si="35"/>
        <v>0</v>
      </c>
      <c r="V237" s="1316">
        <v>7.5</v>
      </c>
      <c r="W237" s="1995"/>
      <c r="X237" s="1341"/>
      <c r="AA237" s="1721"/>
    </row>
    <row r="238" spans="1:27" s="665" customFormat="1" ht="15" hidden="1" customHeight="1" collapsed="1" thickBot="1">
      <c r="A238" s="3186"/>
      <c r="B238" s="3187"/>
      <c r="C238" s="3188" t="s">
        <v>449</v>
      </c>
      <c r="D238" s="3188"/>
      <c r="E238" s="1245">
        <v>0</v>
      </c>
      <c r="F238" s="966">
        <f>IF(SETUP!$F$44="Upfront",F239,F240)</f>
        <v>0</v>
      </c>
      <c r="G238" s="921">
        <f>IF(SETUP!$F$44="Upfront",G239,G240)</f>
        <v>0</v>
      </c>
      <c r="H238" s="920">
        <f>IF(SETUP!$F$44="Upfront",H239,H240)</f>
        <v>0</v>
      </c>
      <c r="I238" s="920">
        <f>IF(SETUP!$F$44="Upfront",I239,I240)</f>
        <v>0</v>
      </c>
      <c r="J238" s="919">
        <f t="shared" si="32"/>
        <v>0</v>
      </c>
      <c r="K238" s="920">
        <f>IF(SETUP!$F$44="Upfront",K239,K240)</f>
        <v>0</v>
      </c>
      <c r="L238" s="920">
        <f>IF(SETUP!$F$44="Upfront",L239,L240)</f>
        <v>0</v>
      </c>
      <c r="M238" s="920">
        <f>IF(SETUP!$F$44="Upfront",M239,M240)</f>
        <v>0</v>
      </c>
      <c r="N238" s="920">
        <f>IF(SETUP!$F$44="Upfront",N239,N240)</f>
        <v>0</v>
      </c>
      <c r="O238" s="917">
        <f t="shared" si="33"/>
        <v>0</v>
      </c>
      <c r="P238" s="915">
        <f>IF(SETUP!$F$44="Upfront",P239,P240)</f>
        <v>0</v>
      </c>
      <c r="Q238" s="915">
        <f>IF(SETUP!$F$44="Upfront",Q239,Q240)</f>
        <v>0</v>
      </c>
      <c r="R238" s="915">
        <f>IF(SETUP!$F$44="Upfront",R239,R240)</f>
        <v>0</v>
      </c>
      <c r="S238" s="915">
        <f>IF(SETUP!$F$44="Upfront",S239,S240)</f>
        <v>0</v>
      </c>
      <c r="T238" s="916">
        <f t="shared" si="34"/>
        <v>0</v>
      </c>
      <c r="U238" s="915">
        <f t="shared" si="35"/>
        <v>0</v>
      </c>
      <c r="V238" s="1316">
        <v>7.5</v>
      </c>
      <c r="W238" s="1995"/>
      <c r="X238" s="1341"/>
      <c r="AA238" s="1721"/>
    </row>
    <row r="239" spans="1:27" s="665" customFormat="1" ht="15" hidden="1" customHeight="1" outlineLevel="1">
      <c r="A239" s="3186"/>
      <c r="B239" s="3187"/>
      <c r="C239" s="3182" t="s">
        <v>777</v>
      </c>
      <c r="D239" s="3182"/>
      <c r="E239" s="1246"/>
      <c r="F239" s="966">
        <f>IF(SETUP!$F$44="Upfront",$E$238*'TB-EQUIPMENT &amp; OTHER HPs'!AX17,0)</f>
        <v>0</v>
      </c>
      <c r="G239" s="921">
        <f>IF(SETUP!$F$44="Upfront",$E$238*'TB-EQUIPMENT &amp; OTHER HPs'!AY17,0)</f>
        <v>0</v>
      </c>
      <c r="H239" s="920">
        <f>IF(SETUP!$F$44="Upfront",$E$238*'TB-EQUIPMENT &amp; OTHER HPs'!AZ17,0)</f>
        <v>0</v>
      </c>
      <c r="I239" s="920">
        <f>IF(SETUP!$F$44="Upfront",$E$238*'TB-EQUIPMENT &amp; OTHER HPs'!BA17,0)</f>
        <v>0</v>
      </c>
      <c r="J239" s="919">
        <f t="shared" si="32"/>
        <v>0</v>
      </c>
      <c r="K239" s="920">
        <f>IF(SETUP!$F$44="Upfront",$E$238*'TB-EQUIPMENT &amp; OTHER HPs'!BB17,0)</f>
        <v>0</v>
      </c>
      <c r="L239" s="920">
        <f>IF(SETUP!$F$44="Upfront",$E$238*'TB-EQUIPMENT &amp; OTHER HPs'!BC17,0)</f>
        <v>0</v>
      </c>
      <c r="M239" s="920">
        <f>IF(SETUP!$F$44="Upfront",$E$238*'TB-EQUIPMENT &amp; OTHER HPs'!BD17,0)</f>
        <v>0</v>
      </c>
      <c r="N239" s="920">
        <f>IF(SETUP!$F$44="Upfront",$E$238*'TB-EQUIPMENT &amp; OTHER HPs'!BE17,0)</f>
        <v>0</v>
      </c>
      <c r="O239" s="917">
        <f t="shared" si="33"/>
        <v>0</v>
      </c>
      <c r="P239" s="915">
        <f>IF(SETUP!$F$44="Upfront",$E$238*'TB-EQUIPMENT &amp; OTHER HPs'!BF17,0)</f>
        <v>0</v>
      </c>
      <c r="Q239" s="915">
        <f>IF(SETUP!$F$44="Upfront",$E$238*'TB-EQUIPMENT &amp; OTHER HPs'!BG17,0)</f>
        <v>0</v>
      </c>
      <c r="R239" s="915">
        <f>IF(SETUP!$F$44="Upfront",$E$238*'TB-EQUIPMENT &amp; OTHER HPs'!BH17,0)</f>
        <v>0</v>
      </c>
      <c r="S239" s="915">
        <f>IF(SETUP!$F$44="Upfront",$E$238*'TB-EQUIPMENT &amp; OTHER HPs'!BI17,0)</f>
        <v>0</v>
      </c>
      <c r="T239" s="916">
        <f t="shared" si="34"/>
        <v>0</v>
      </c>
      <c r="U239" s="915">
        <f t="shared" si="35"/>
        <v>0</v>
      </c>
      <c r="V239" s="1316">
        <v>7.5</v>
      </c>
      <c r="W239" s="1995"/>
      <c r="X239" s="1341"/>
      <c r="AA239" s="1721"/>
    </row>
    <row r="240" spans="1:27" s="665" customFormat="1" ht="15" hidden="1" customHeight="1" outlineLevel="1">
      <c r="A240" s="3186"/>
      <c r="B240" s="3187"/>
      <c r="C240" s="3182" t="s">
        <v>36</v>
      </c>
      <c r="D240" s="3182"/>
      <c r="E240" s="1246"/>
      <c r="F240" s="966">
        <v>0</v>
      </c>
      <c r="G240" s="921">
        <f>IF(SETUP!$F$44="At delivery",IF(SETUP!$G$44=1,$E$238*'TB-EQUIPMENT &amp; OTHER HPs'!AX17,0),0)</f>
        <v>0</v>
      </c>
      <c r="H240" s="920">
        <f>IF(SETUP!$F$44="At delivery",IF(SETUP!$G$44=2,$E$238*'TB-EQUIPMENT &amp; OTHER HPs'!AX17,IF(SETUP!$G$44=1,$E$238*'TB-EQUIPMENT &amp; OTHER HPs'!AY17,0)),0)</f>
        <v>0</v>
      </c>
      <c r="I240" s="920">
        <f>IF(SETUP!$F$44="At delivery",IF(SETUP!$G$44=3,$E$238*'TB-EQUIPMENT &amp; OTHER HPs'!AX17,IF(SETUP!$G$44=2,$E$238*'TB-EQUIPMENT &amp; OTHER HPs'!AY17,IF(SETUP!$G$44=1,$E$238*'TB-EQUIPMENT &amp; OTHER HPs'!AZ17,0))),0)</f>
        <v>0</v>
      </c>
      <c r="J240" s="919">
        <f t="shared" si="32"/>
        <v>0</v>
      </c>
      <c r="K240" s="920">
        <f>IF(SETUP!$F$44="At delivery",IF(SETUP!$G$44=4,$E$238*'TB-EQUIPMENT &amp; OTHER HPs'!AX17,IF(SETUP!$G$44=3,$E$238*'TB-EQUIPMENT &amp; OTHER HPs'!AY17,IF(SETUP!$G$44=2,$E$238*'TB-EQUIPMENT &amp; OTHER HPs'!AZ17,IF(SETUP!$G$44=1,$E$238*'TB-EQUIPMENT &amp; OTHER HPs'!BA17,0)))),0)</f>
        <v>0</v>
      </c>
      <c r="L240" s="920">
        <f>IF(SETUP!$F$44="At delivery",IF(SETUP!$G$44=4,$E$238*'TB-EQUIPMENT &amp; OTHER HPs'!AY17,IF(SETUP!$G$44=3,$E$238*'TB-EQUIPMENT &amp; OTHER HPs'!AZ17,IF(SETUP!$G$44=2,$E$238*'TB-EQUIPMENT &amp; OTHER HPs'!BA17,IF(SETUP!$G$44=1,$E$238*'TB-EQUIPMENT &amp; OTHER HPs'!BB17,0)))),0)</f>
        <v>0</v>
      </c>
      <c r="M240" s="920">
        <f>IF(SETUP!$F$44="At delivery",IF(SETUP!$G$44=4,$E$238*'TB-EQUIPMENT &amp; OTHER HPs'!AZ17,IF(SETUP!$G$44=3,$E$238*'TB-EQUIPMENT &amp; OTHER HPs'!BA17,IF(SETUP!$G$44=2,$E$238*'TB-EQUIPMENT &amp; OTHER HPs'!BB17,IF(SETUP!$G$44=1,$E$238*'TB-EQUIPMENT &amp; OTHER HPs'!BC17,0)))),0)</f>
        <v>0</v>
      </c>
      <c r="N240" s="920">
        <f>IF(SETUP!$F$44="At delivery",IF(SETUP!$G$44=4,$E$238*'TB-EQUIPMENT &amp; OTHER HPs'!BA17,IF(SETUP!$G$44=3,$E$238*'TB-EQUIPMENT &amp; OTHER HPs'!BB17,IF(SETUP!$G$44=2,$E$238*'TB-EQUIPMENT &amp; OTHER HPs'!BC17,IF(SETUP!$G$44=1,$E$238*'TB-EQUIPMENT &amp; OTHER HPs'!BD17,0)))),0)</f>
        <v>0</v>
      </c>
      <c r="O240" s="917">
        <f t="shared" si="33"/>
        <v>0</v>
      </c>
      <c r="P240" s="915">
        <f>IF(SETUP!$F$44="At delivery",IF(SETUP!$G$44=4,$E$238*'TB-EQUIPMENT &amp; OTHER HPs'!BB17,IF(SETUP!$G$44=3,$E$238*'TB-EQUIPMENT &amp; OTHER HPs'!BC17,IF(SETUP!$G$44=2,$E$238*'TB-EQUIPMENT &amp; OTHER HPs'!BD17,IF(SETUP!$G$44=1,$E$238*'TB-EQUIPMENT &amp; OTHER HPs'!BE17,0)))),0)</f>
        <v>0</v>
      </c>
      <c r="Q240" s="915">
        <f>IF(SETUP!$F$44="At delivery",IF(SETUP!$G$44=4,$E$238*'TB-EQUIPMENT &amp; OTHER HPs'!BC17,IF(SETUP!$G$44=3,$E$238*'TB-EQUIPMENT &amp; OTHER HPs'!BD17,IF(SETUP!$G$44=2,$E$238*'TB-EQUIPMENT &amp; OTHER HPs'!BE17,IF(SETUP!$G$44=1,$E$238*'TB-EQUIPMENT &amp; OTHER HPs'!BF17,0)))),0)</f>
        <v>0</v>
      </c>
      <c r="R240" s="915">
        <f>IF(SETUP!$F$44="At delivery",IF(SETUP!$G$44=4,$E$238*'TB-EQUIPMENT &amp; OTHER HPs'!BD17,IF(SETUP!$G$44=3,$E$238*'TB-EQUIPMENT &amp; OTHER HPs'!BE17,IF(SETUP!$G$44=2,$E$238*'TB-EQUIPMENT &amp; OTHER HPs'!BF17,IF(SETUP!$G$44=1,$E$238*'TB-EQUIPMENT &amp; OTHER HPs'!BG17,0)))),0)</f>
        <v>0</v>
      </c>
      <c r="S240" s="915">
        <f>IF(SETUP!$F$44="At delivery",IF(SETUP!$G$44=4,$E$238*('TB-EQUIPMENT &amp; OTHER HPs'!BE17+'TB-EQUIPMENT &amp; OTHER HPs'!BF17+'TB-EQUIPMENT &amp; OTHER HPs'!BG17+'TB-EQUIPMENT &amp; OTHER HPs'!BH17+'TB-EQUIPMENT &amp; OTHER HPs'!BI17),IF(SETUP!$G$44=3,$E$238*('TB-EQUIPMENT &amp; OTHER HPs'!BF17+'TB-EQUIPMENT &amp; OTHER HPs'!BG17+'TB-EQUIPMENT &amp; OTHER HPs'!BH17+'TB-EQUIPMENT &amp; OTHER HPs'!BI17),IF(SETUP!$G$44=2,$E$238*('TB-EQUIPMENT &amp; OTHER HPs'!BG17+'TB-EQUIPMENT &amp; OTHER HPs'!BH17+'TB-EQUIPMENT &amp; OTHER HPs'!BI17),IF(SETUP!$G$44=1,$E$238*('TB-EQUIPMENT &amp; OTHER HPs'!BH17+'TB-EQUIPMENT &amp; OTHER HPs'!BI17),0)))),0)</f>
        <v>0</v>
      </c>
      <c r="T240" s="916">
        <f t="shared" si="34"/>
        <v>0</v>
      </c>
      <c r="U240" s="915">
        <f t="shared" si="35"/>
        <v>0</v>
      </c>
      <c r="V240" s="1316">
        <v>7.5</v>
      </c>
      <c r="W240" s="1995"/>
      <c r="X240" s="1341"/>
      <c r="AA240" s="1721"/>
    </row>
    <row r="241" spans="1:27" s="665" customFormat="1" ht="15" hidden="1" customHeight="1" collapsed="1" thickBot="1">
      <c r="A241" s="3189" t="s">
        <v>450</v>
      </c>
      <c r="B241" s="3190"/>
      <c r="C241" s="3183" t="s">
        <v>451</v>
      </c>
      <c r="D241" s="3183"/>
      <c r="E241" s="1245">
        <v>0</v>
      </c>
      <c r="F241" s="966">
        <f>IF(SETUP!$F$50="Upfront",F242,F243)</f>
        <v>0</v>
      </c>
      <c r="G241" s="915">
        <f>IF(SETUP!$F$50="Upfront",G242,G243)</f>
        <v>0</v>
      </c>
      <c r="H241" s="915">
        <f>IF(SETUP!$F$50="Upfront",H242,H243)</f>
        <v>0</v>
      </c>
      <c r="I241" s="915">
        <f>IF(SETUP!$F$50="Upfront",I242,I243)</f>
        <v>0</v>
      </c>
      <c r="J241" s="919">
        <f t="shared" si="32"/>
        <v>0</v>
      </c>
      <c r="K241" s="915">
        <f>IF(SETUP!$F$50="Upfront",K242,K243)</f>
        <v>0</v>
      </c>
      <c r="L241" s="915">
        <f>IF(SETUP!$F$50="Upfront",L242,L243)</f>
        <v>0</v>
      </c>
      <c r="M241" s="915">
        <f>IF(SETUP!$F$50="Upfront",M242,M243)</f>
        <v>0</v>
      </c>
      <c r="N241" s="915">
        <f>IF(SETUP!$F$50="Upfront",N242,N243)</f>
        <v>0</v>
      </c>
      <c r="O241" s="917">
        <f t="shared" si="33"/>
        <v>0</v>
      </c>
      <c r="P241" s="915">
        <f>IF(SETUP!$F$50="Upfront",P242,P243)</f>
        <v>0</v>
      </c>
      <c r="Q241" s="915">
        <f>IF(SETUP!$F$50="Upfront",Q242,Q243)</f>
        <v>0</v>
      </c>
      <c r="R241" s="915">
        <f>IF(SETUP!$F$50="Upfront",R242,R243)</f>
        <v>0</v>
      </c>
      <c r="S241" s="915">
        <f>IF(SETUP!$F$50="Upfront",S242,S243)</f>
        <v>0</v>
      </c>
      <c r="T241" s="916">
        <f t="shared" si="34"/>
        <v>0</v>
      </c>
      <c r="U241" s="915">
        <f t="shared" si="35"/>
        <v>0</v>
      </c>
      <c r="V241" s="1316">
        <v>7.5</v>
      </c>
      <c r="W241" s="1995"/>
      <c r="X241" s="1341" t="s">
        <v>452</v>
      </c>
      <c r="AA241" s="1721"/>
    </row>
    <row r="242" spans="1:27" s="665" customFormat="1" ht="15" hidden="1" customHeight="1" outlineLevel="1">
      <c r="A242" s="3189"/>
      <c r="B242" s="3190"/>
      <c r="C242" s="3182" t="s">
        <v>777</v>
      </c>
      <c r="D242" s="3182"/>
      <c r="E242" s="1246"/>
      <c r="F242" s="966">
        <f>IF(SETUP!$F$50="Upfront",$E$241*'Malaria-Pharmaceuticals'!AX14,0)</f>
        <v>0</v>
      </c>
      <c r="G242" s="915">
        <f>IF(SETUP!$F$50="Upfront",$E$241*'Malaria-Pharmaceuticals'!AY14,0)</f>
        <v>0</v>
      </c>
      <c r="H242" s="915">
        <f>IF(SETUP!$F$50="Upfront",$E$241*'Malaria-Pharmaceuticals'!AZ14,0)</f>
        <v>0</v>
      </c>
      <c r="I242" s="915">
        <f>IF(SETUP!$F$50="Upfront",$E$241*'Malaria-Pharmaceuticals'!BA14,0)</f>
        <v>0</v>
      </c>
      <c r="J242" s="919">
        <f t="shared" si="32"/>
        <v>0</v>
      </c>
      <c r="K242" s="915">
        <f>IF(SETUP!$F$50="Upfront",$E$241*'Malaria-Pharmaceuticals'!BB14,0)</f>
        <v>0</v>
      </c>
      <c r="L242" s="915">
        <f>IF(SETUP!$F$50="Upfront",$E$241*'Malaria-Pharmaceuticals'!BC14,0)</f>
        <v>0</v>
      </c>
      <c r="M242" s="915">
        <f>IF(SETUP!$F$50="Upfront",$E$241*'Malaria-Pharmaceuticals'!BD14,0)</f>
        <v>0</v>
      </c>
      <c r="N242" s="915">
        <f>IF(SETUP!$F$50="Upfront",$E$241*'Malaria-Pharmaceuticals'!BE14,0)</f>
        <v>0</v>
      </c>
      <c r="O242" s="917">
        <f t="shared" si="33"/>
        <v>0</v>
      </c>
      <c r="P242" s="915">
        <f>IF(SETUP!$F$50="Upfront",$E$241*'Malaria-Pharmaceuticals'!BF14,0)</f>
        <v>0</v>
      </c>
      <c r="Q242" s="915">
        <f>IF(SETUP!$F$50="Upfront",$E$241*'Malaria-Pharmaceuticals'!BG14,0)</f>
        <v>0</v>
      </c>
      <c r="R242" s="915">
        <f>IF(SETUP!$F$50="Upfront",$E$241*'Malaria-Pharmaceuticals'!BH14,0)</f>
        <v>0</v>
      </c>
      <c r="S242" s="915">
        <f>IF(SETUP!$F$50="Upfront",$E$241*'Malaria-Pharmaceuticals'!BI14,0)</f>
        <v>0</v>
      </c>
      <c r="T242" s="916">
        <f t="shared" si="34"/>
        <v>0</v>
      </c>
      <c r="U242" s="915">
        <f t="shared" si="35"/>
        <v>0</v>
      </c>
      <c r="V242" s="1316">
        <v>7.5</v>
      </c>
      <c r="W242" s="1995"/>
      <c r="X242" s="1341"/>
      <c r="AA242" s="1721"/>
    </row>
    <row r="243" spans="1:27" s="665" customFormat="1" ht="15" hidden="1" customHeight="1" outlineLevel="1" thickBot="1">
      <c r="A243" s="3189"/>
      <c r="B243" s="3190"/>
      <c r="C243" s="3182" t="s">
        <v>36</v>
      </c>
      <c r="D243" s="3182"/>
      <c r="E243" s="1246"/>
      <c r="F243" s="966">
        <v>0</v>
      </c>
      <c r="G243" s="921">
        <f>IF(SETUP!$F$50="At delivery",IF(SETUP!$G$50=1,$E$241*'Malaria-Pharmaceuticals'!AX14,0),0)</f>
        <v>0</v>
      </c>
      <c r="H243" s="920">
        <f>IF(SETUP!$F$50="At delivery",IF(SETUP!$G$50=2,$E$241*'Malaria-Pharmaceuticals'!AX14,IF(SETUP!$G$50=1,$E$241*'Malaria-Pharmaceuticals'!AY14,0)),0)</f>
        <v>0</v>
      </c>
      <c r="I243" s="920">
        <f>IF(SETUP!$F$50="At delivery",IF(SETUP!$G$50=3,$E$241*'Malaria-Pharmaceuticals'!AX14,IF(SETUP!$G$50=2,$E$241*'Malaria-Pharmaceuticals'!AY14,IF(SETUP!$G$50=1,$E$241*'Malaria-Pharmaceuticals'!AZ14,0))),0)</f>
        <v>0</v>
      </c>
      <c r="J243" s="919">
        <f t="shared" ref="J243:J265" si="36">F243+G243+H243+I243</f>
        <v>0</v>
      </c>
      <c r="K243" s="920">
        <f>IF(SETUP!$F$50="At delivery",IF(SETUP!$G$50=4,$E$241*'Malaria-Pharmaceuticals'!AX14,IF(SETUP!$G$50=3,$E$241*'Malaria-Pharmaceuticals'!AY14,IF(SETUP!$G$50=2,$E$241*'Malaria-Pharmaceuticals'!AZ14,IF(SETUP!$G$50=1,$E$241*'Malaria-Pharmaceuticals'!BA14,0)))),0)</f>
        <v>0</v>
      </c>
      <c r="L243" s="920">
        <f>IF(SETUP!$F$50="At delivery",IF(SETUP!$G$50=4,$E$241*'Malaria-Pharmaceuticals'!AY14,IF(SETUP!$G$50=3,$E$241*'Malaria-Pharmaceuticals'!AZ14,IF(SETUP!$G$50=2,$E$241*'Malaria-Pharmaceuticals'!BA14,IF(SETUP!$G$50=1,$E$241*'Malaria-Pharmaceuticals'!BB14,0)))),0)</f>
        <v>0</v>
      </c>
      <c r="M243" s="920">
        <f>IF(SETUP!$F$50="At delivery",IF(SETUP!$G$50=4,$E$241*'Malaria-Pharmaceuticals'!AZ14,IF(SETUP!$G$50=3,$E$241*'Malaria-Pharmaceuticals'!BA14,IF(SETUP!$G$50=2,$E$241*'Malaria-Pharmaceuticals'!BB14,IF(SETUP!$G$50=1,$E$241*'Malaria-Pharmaceuticals'!BC14,0)))),0)</f>
        <v>0</v>
      </c>
      <c r="N243" s="920">
        <f>IF(SETUP!$F$50="At delivery",IF(SETUP!$G$50=4,$E$241*'Malaria-Pharmaceuticals'!BA14,IF(SETUP!$G$50=3,$E$241*'Malaria-Pharmaceuticals'!BB14,IF(SETUP!$G$50=2,$E$241*'Malaria-Pharmaceuticals'!BC14,IF(SETUP!$G$50=1,$E$241*'Malaria-Pharmaceuticals'!BD14,0)))),0)</f>
        <v>0</v>
      </c>
      <c r="O243" s="917">
        <f t="shared" ref="O243:O265" si="37">K243+L243+M243+N243</f>
        <v>0</v>
      </c>
      <c r="P243" s="915">
        <f>IF(SETUP!$F$50="At delivery",IF(SETUP!$G$50=4,$E$241*'Malaria-Pharmaceuticals'!BB14,IF(SETUP!$G$50=3,$E$241*'Malaria-Pharmaceuticals'!BC14,IF(SETUP!$G$50=2,$E$241*'Malaria-Pharmaceuticals'!BD14,IF(SETUP!$G$50=1,$E$241*'Malaria-Pharmaceuticals'!BE14,0)))),0)</f>
        <v>0</v>
      </c>
      <c r="Q243" s="915">
        <f>IF(SETUP!$F$50="At delivery",IF(SETUP!$G$50=4,$E$241*'Malaria-Pharmaceuticals'!BC14,IF(SETUP!$G$50=3,$E$241*'Malaria-Pharmaceuticals'!BD14,IF(SETUP!$G$50=2,$E$241*'Malaria-Pharmaceuticals'!BE14,IF(SETUP!$G$50=1,$E$241*'Malaria-Pharmaceuticals'!BF14,0)))),0)</f>
        <v>0</v>
      </c>
      <c r="R243" s="915">
        <f>IF(SETUP!$F$50="At delivery",IF(SETUP!$G$50=4,$E$241*'Malaria-Pharmaceuticals'!BD14,IF(SETUP!$G$50=3,$E$241*'Malaria-Pharmaceuticals'!BE14,IF(SETUP!$G$50=2,$E$241*'Malaria-Pharmaceuticals'!BF14,IF(SETUP!$G$50=1,$E$241*'Malaria-Pharmaceuticals'!BG14,0)))),0)</f>
        <v>0</v>
      </c>
      <c r="S243" s="915">
        <f>IF(SETUP!$F$50="At delivery",IF(SETUP!$G$50=4,$E$241*('Malaria-Pharmaceuticals'!BE14+'Malaria-Pharmaceuticals'!BF14+'Malaria-Pharmaceuticals'!BG14+'Malaria-Pharmaceuticals'!BH14+'Malaria-Pharmaceuticals'!BI14),IF(SETUP!$G$50=3,$E$241*('Malaria-Pharmaceuticals'!BF14+'Malaria-Pharmaceuticals'!BG14+'Malaria-Pharmaceuticals'!BH14+'Malaria-Pharmaceuticals'!BI14),IF(SETUP!$G$50=2,$E$241*('Malaria-Pharmaceuticals'!BG14+'Malaria-Pharmaceuticals'!BH14+'Malaria-Pharmaceuticals'!BI14),IF(SETUP!$G$50=1,$E$241*('Malaria-Pharmaceuticals'!BH14+'Malaria-Pharmaceuticals'!BI14),0)))),0)</f>
        <v>0</v>
      </c>
      <c r="T243" s="916">
        <f t="shared" ref="T243:T265" si="38">P243+Q243+R243+S243</f>
        <v>0</v>
      </c>
      <c r="U243" s="915">
        <f t="shared" ref="U243:U265" si="39">J243+O243+T243</f>
        <v>0</v>
      </c>
      <c r="V243" s="1316">
        <v>7.5</v>
      </c>
      <c r="W243" s="1995"/>
      <c r="X243" s="1341"/>
      <c r="AA243" s="1721"/>
    </row>
    <row r="244" spans="1:27" s="665" customFormat="1" ht="15" hidden="1" customHeight="1" collapsed="1" thickBot="1">
      <c r="A244" s="3189"/>
      <c r="B244" s="3190"/>
      <c r="C244" s="3183" t="s">
        <v>1029</v>
      </c>
      <c r="D244" s="3183"/>
      <c r="E244" s="1245">
        <v>0</v>
      </c>
      <c r="F244" s="966">
        <f>IF(SETUP!$F$51="Upfront",F245,F246)</f>
        <v>0</v>
      </c>
      <c r="G244" s="915">
        <f>IF(SETUP!$F$51="Upfront",G245,G246)</f>
        <v>0</v>
      </c>
      <c r="H244" s="915">
        <f>IF(SETUP!$F$51="Upfront",H245,H246)</f>
        <v>0</v>
      </c>
      <c r="I244" s="915">
        <f>IF(SETUP!$F$51="Upfront",I245,I246)</f>
        <v>0</v>
      </c>
      <c r="J244" s="919">
        <f t="shared" si="36"/>
        <v>0</v>
      </c>
      <c r="K244" s="915">
        <f>IF(SETUP!$F$51="Upfront",K245,K246)</f>
        <v>0</v>
      </c>
      <c r="L244" s="915">
        <f>IF(SETUP!$F$51="Upfront",L245,L246)</f>
        <v>0</v>
      </c>
      <c r="M244" s="915">
        <f>IF(SETUP!$F$51="Upfront",M245,M246)</f>
        <v>0</v>
      </c>
      <c r="N244" s="915">
        <f>IF(SETUP!$F$51="Upfront",N245,N246)</f>
        <v>0</v>
      </c>
      <c r="O244" s="917">
        <f t="shared" si="37"/>
        <v>0</v>
      </c>
      <c r="P244" s="915">
        <f>IF(SETUP!$F$51="Upfront",P245,P246)</f>
        <v>0</v>
      </c>
      <c r="Q244" s="915">
        <f>IF(SETUP!$F$51="Upfront",Q245,Q246)</f>
        <v>0</v>
      </c>
      <c r="R244" s="915">
        <f>IF(SETUP!$F$51="Upfront",R245,R246)</f>
        <v>0</v>
      </c>
      <c r="S244" s="915">
        <f>IF(SETUP!$F$51="Upfront",S245,S246)</f>
        <v>0</v>
      </c>
      <c r="T244" s="916">
        <f t="shared" si="38"/>
        <v>0</v>
      </c>
      <c r="U244" s="915">
        <f t="shared" si="39"/>
        <v>0</v>
      </c>
      <c r="V244" s="1316">
        <v>7.5</v>
      </c>
      <c r="W244" s="1995"/>
      <c r="X244" s="1341"/>
      <c r="AA244" s="1721"/>
    </row>
    <row r="245" spans="1:27" s="665" customFormat="1" ht="15" hidden="1" customHeight="1" outlineLevel="1">
      <c r="A245" s="3189"/>
      <c r="B245" s="3190"/>
      <c r="C245" s="3182" t="s">
        <v>777</v>
      </c>
      <c r="D245" s="3182"/>
      <c r="E245" s="1246"/>
      <c r="F245" s="966">
        <f>IF(SETUP!$F$51="Upfront",$E$244*'Malaria-Pharmaceuticals'!AX15,0)</f>
        <v>0</v>
      </c>
      <c r="G245" s="915">
        <f>IF(SETUP!$F$51="Upfront",$E$244*'Malaria-Pharmaceuticals'!AY15,0)</f>
        <v>0</v>
      </c>
      <c r="H245" s="915">
        <f>IF(SETUP!$F$51="Upfront",$E$244*'Malaria-Pharmaceuticals'!AZ15,0)</f>
        <v>0</v>
      </c>
      <c r="I245" s="915">
        <f>IF(SETUP!$F$51="Upfront",$E$244*'Malaria-Pharmaceuticals'!BA15,0)</f>
        <v>0</v>
      </c>
      <c r="J245" s="919">
        <f t="shared" si="36"/>
        <v>0</v>
      </c>
      <c r="K245" s="915">
        <f>IF(SETUP!$F$51="Upfront",$E$244*'Malaria-Pharmaceuticals'!BB15,0)</f>
        <v>0</v>
      </c>
      <c r="L245" s="915">
        <f>IF(SETUP!$F$51="Upfront",$E$244*'Malaria-Pharmaceuticals'!BC15,0)</f>
        <v>0</v>
      </c>
      <c r="M245" s="915">
        <f>IF(SETUP!$F$51="Upfront",$E$244*'Malaria-Pharmaceuticals'!BD15,0)</f>
        <v>0</v>
      </c>
      <c r="N245" s="915">
        <f>IF(SETUP!$F$51="Upfront",$E$244*'Malaria-Pharmaceuticals'!BE15,0)</f>
        <v>0</v>
      </c>
      <c r="O245" s="917">
        <f t="shared" si="37"/>
        <v>0</v>
      </c>
      <c r="P245" s="915">
        <f>IF(SETUP!$F$51="Upfront",$E$244*'Malaria-Pharmaceuticals'!BF15,0)</f>
        <v>0</v>
      </c>
      <c r="Q245" s="915">
        <f>IF(SETUP!$F$51="Upfront",$E$244*'Malaria-Pharmaceuticals'!BG15,0)</f>
        <v>0</v>
      </c>
      <c r="R245" s="915">
        <f>IF(SETUP!$F$51="Upfront",$E$244*'Malaria-Pharmaceuticals'!BH15,0)</f>
        <v>0</v>
      </c>
      <c r="S245" s="915">
        <f>IF(SETUP!$F$51="Upfront",$E$244*'Malaria-Pharmaceuticals'!BI15,0)</f>
        <v>0</v>
      </c>
      <c r="T245" s="916">
        <f t="shared" si="38"/>
        <v>0</v>
      </c>
      <c r="U245" s="915">
        <f t="shared" si="39"/>
        <v>0</v>
      </c>
      <c r="V245" s="1316">
        <v>7.5</v>
      </c>
      <c r="W245" s="1995"/>
      <c r="X245" s="1341"/>
      <c r="AA245" s="1721"/>
    </row>
    <row r="246" spans="1:27" s="665" customFormat="1" ht="15" hidden="1" customHeight="1" outlineLevel="1" thickBot="1">
      <c r="A246" s="3189"/>
      <c r="B246" s="3190"/>
      <c r="C246" s="3182" t="s">
        <v>36</v>
      </c>
      <c r="D246" s="3182"/>
      <c r="E246" s="1246"/>
      <c r="F246" s="967">
        <v>0</v>
      </c>
      <c r="G246" s="932">
        <f>IF(SETUP!$F$51="At delivery",IF(SETUP!$G$51=1,$E$244*'Malaria-Pharmaceuticals'!AX15,0),0)</f>
        <v>0</v>
      </c>
      <c r="H246" s="932">
        <f>IF(SETUP!$F$51="At delivery",IF(SETUP!$G$51=2,$E$244*'Malaria-Pharmaceuticals'!AX15,IF(SETUP!$G$51=1,$E$244*'Malaria-Pharmaceuticals'!AY15,0)),0)</f>
        <v>0</v>
      </c>
      <c r="I246" s="932">
        <f>IF(SETUP!$F$51="At delivery",IF(SETUP!$G$51=3,$E$244*'Malaria-Pharmaceuticals'!AX15,IF(SETUP!$G$51=2,$E$244*'Malaria-Pharmaceuticals'!AY15,IF(SETUP!$G$51=1,$E$244*'Malaria-Pharmaceuticals'!AZ15,0))),0)</f>
        <v>0</v>
      </c>
      <c r="J246" s="919">
        <f t="shared" si="36"/>
        <v>0</v>
      </c>
      <c r="K246" s="932">
        <f>IF(SETUP!$F$51="At delivery",IF(SETUP!$G$51=4,$E$244*'Malaria-Pharmaceuticals'!AX15,IF(SETUP!$G$51=3,$E$244*'Malaria-Pharmaceuticals'!AY15,IF(SETUP!$G$51=2,$E$244*'Malaria-Pharmaceuticals'!AZ15,IF(SETUP!$G$51=1,$E$244*'Malaria-Pharmaceuticals'!BA15,0)))),0)</f>
        <v>0</v>
      </c>
      <c r="L246" s="932">
        <f>IF(SETUP!$F$51="At delivery",IF(SETUP!$G$51=4,$E$244*'Malaria-Pharmaceuticals'!AY15,IF(SETUP!$G$51=3,$E$244*'Malaria-Pharmaceuticals'!AZ15,IF(SETUP!$G$51=2,$E$244*'Malaria-Pharmaceuticals'!BA15,IF(SETUP!$G$51=1,$E$244*'Malaria-Pharmaceuticals'!BB15,0)))),0)</f>
        <v>0</v>
      </c>
      <c r="M246" s="932">
        <f>IF(SETUP!$F$51="At delivery",IF(SETUP!$G$51=4,$E$244*'Malaria-Pharmaceuticals'!AZ15,IF(SETUP!$G$51=3,$E$244*'Malaria-Pharmaceuticals'!BA15,IF(SETUP!$G$51=2,$E$244*'Malaria-Pharmaceuticals'!BB15,IF(SETUP!$G$51=1,$E$244*'Malaria-Pharmaceuticals'!BC15,0)))),0)</f>
        <v>0</v>
      </c>
      <c r="N246" s="932">
        <f>IF(SETUP!$F$51="At delivery",IF(SETUP!$G$51=4,$E$244*'Malaria-Pharmaceuticals'!BA15,IF(SETUP!$G$51=3,$E$244*'Malaria-Pharmaceuticals'!BB15,IF(SETUP!$G$51=2,$E$244*'Malaria-Pharmaceuticals'!BC15,IF(SETUP!$G$51=1,$E$244*'Malaria-Pharmaceuticals'!BD15,0)))),0)</f>
        <v>0</v>
      </c>
      <c r="O246" s="917">
        <f t="shared" si="37"/>
        <v>0</v>
      </c>
      <c r="P246" s="915">
        <f>IF(SETUP!$F$51="At delivery",IF(SETUP!$G$51=4,$E$244*'Malaria-Pharmaceuticals'!BB15,IF(SETUP!$G$51=3,$E$244*'Malaria-Pharmaceuticals'!BC15,IF(SETUP!$G$51=2,$E$244*'Malaria-Pharmaceuticals'!BD15,IF(SETUP!$G$51=1,$E$244*'Malaria-Pharmaceuticals'!BE15,0)))),0)</f>
        <v>0</v>
      </c>
      <c r="Q246" s="915">
        <f>IF(SETUP!$F$51="At delivery",IF(SETUP!$G$51=4,$E$244*'Malaria-Pharmaceuticals'!BC15,IF(SETUP!$G$51=3,$E$244*'Malaria-Pharmaceuticals'!BD15,IF(SETUP!$G$51=2,$E$244*'Malaria-Pharmaceuticals'!BE15,IF(SETUP!$G$51=1,$E$244*'Malaria-Pharmaceuticals'!BF15,0)))),0)</f>
        <v>0</v>
      </c>
      <c r="R246" s="915">
        <f>IF(SETUP!$F$51="At delivery",IF(SETUP!$G$51=4,$E$244*'Malaria-Pharmaceuticals'!BD15,IF(SETUP!$G$51=3,$E$244*'Malaria-Pharmaceuticals'!BE15,IF(SETUP!$G$51=2,$E$244*'Malaria-Pharmaceuticals'!BF15,IF(SETUP!$G$51=1,$E$244*'Malaria-Pharmaceuticals'!BG15,0)))),0)</f>
        <v>0</v>
      </c>
      <c r="S246" s="915">
        <f>IF(SETUP!$F$51="At delivery",IF(SETUP!$G$51=4,$E$244*('Malaria-Pharmaceuticals'!BE15+'Malaria-Pharmaceuticals'!BF15+'Malaria-Pharmaceuticals'!BG15+'Malaria-Pharmaceuticals'!BH15+'Malaria-Pharmaceuticals'!BI15),IF(SETUP!$G$51=3,$E$244*('Malaria-Pharmaceuticals'!BF15+'Malaria-Pharmaceuticals'!BG15+'Malaria-Pharmaceuticals'!BH15+'Malaria-Pharmaceuticals'!BI15),IF(SETUP!$G$51=2,$E$244*('Malaria-Pharmaceuticals'!BG15+'Malaria-Pharmaceuticals'!BH15+'Malaria-Pharmaceuticals'!BI15),IF(SETUP!$G$51=1,$E$244*('Malaria-Pharmaceuticals'!BH15+'Malaria-Pharmaceuticals'!BI15),0)))),0)</f>
        <v>0</v>
      </c>
      <c r="T246" s="916">
        <f t="shared" si="38"/>
        <v>0</v>
      </c>
      <c r="U246" s="915">
        <f t="shared" si="39"/>
        <v>0</v>
      </c>
      <c r="V246" s="1316">
        <v>7.5</v>
      </c>
      <c r="W246" s="1995"/>
      <c r="X246" s="1341"/>
      <c r="AA246" s="1721"/>
    </row>
    <row r="247" spans="1:27" s="665" customFormat="1" ht="15" hidden="1" customHeight="1" collapsed="1" thickBot="1">
      <c r="A247" s="3195" t="s">
        <v>454</v>
      </c>
      <c r="B247" s="3196"/>
      <c r="C247" s="3188" t="s">
        <v>292</v>
      </c>
      <c r="D247" s="3188"/>
      <c r="E247" s="1245">
        <v>0</v>
      </c>
      <c r="F247" s="966">
        <f>IF(SETUP!$F$52="Upfront",F248,F249)</f>
        <v>0</v>
      </c>
      <c r="G247" s="915">
        <f>IF(SETUP!$F$52="Upfront",G248,G249)</f>
        <v>0</v>
      </c>
      <c r="H247" s="915">
        <f>IF(SETUP!$F$52="Upfront",H248,H249)</f>
        <v>0</v>
      </c>
      <c r="I247" s="915">
        <f>IF(SETUP!$F$52="Upfront",I248,I249)</f>
        <v>0</v>
      </c>
      <c r="J247" s="919">
        <f t="shared" si="36"/>
        <v>0</v>
      </c>
      <c r="K247" s="915">
        <f>IF(SETUP!$F$52="Upfront",K248,K249)</f>
        <v>0</v>
      </c>
      <c r="L247" s="915">
        <f>IF(SETUP!$F$52="Upfront",L248,L249)</f>
        <v>0</v>
      </c>
      <c r="M247" s="915">
        <f>IF(SETUP!$F$52="Upfront",M248,M249)</f>
        <v>0</v>
      </c>
      <c r="N247" s="915">
        <f>IF(SETUP!$F$52="Upfront",N248,N249)</f>
        <v>0</v>
      </c>
      <c r="O247" s="917">
        <f t="shared" si="37"/>
        <v>0</v>
      </c>
      <c r="P247" s="915">
        <f>IF(SETUP!$F$52="Upfront",P248,P249)</f>
        <v>0</v>
      </c>
      <c r="Q247" s="915">
        <f>IF(SETUP!$F$52="Upfront",Q248,Q249)</f>
        <v>0</v>
      </c>
      <c r="R247" s="915">
        <f>IF(SETUP!$F$52="Upfront",R248,R249)</f>
        <v>0</v>
      </c>
      <c r="S247" s="915">
        <f>IF(SETUP!$F$52="Upfront",S248,S249)</f>
        <v>0</v>
      </c>
      <c r="T247" s="916">
        <f t="shared" si="38"/>
        <v>0</v>
      </c>
      <c r="U247" s="915">
        <f t="shared" si="39"/>
        <v>0</v>
      </c>
      <c r="V247" s="1316">
        <v>7.5</v>
      </c>
      <c r="W247" s="1995"/>
      <c r="X247" s="1341"/>
      <c r="AA247" s="1722"/>
    </row>
    <row r="248" spans="1:27" s="665" customFormat="1" ht="15" hidden="1" customHeight="1" outlineLevel="1">
      <c r="A248" s="3197"/>
      <c r="B248" s="3198"/>
      <c r="C248" s="3182" t="s">
        <v>777</v>
      </c>
      <c r="D248" s="3182"/>
      <c r="E248" s="1246"/>
      <c r="F248" s="966">
        <f>IF(SETUP!$F$52="Upfront",$E$247*'Malaria-Equipment &amp; Other HPs'!AX14,0)</f>
        <v>0</v>
      </c>
      <c r="G248" s="915">
        <f>IF(SETUP!$F$52="Upfront",$E$247*'Malaria-Equipment &amp; Other HPs'!AY14,0)</f>
        <v>0</v>
      </c>
      <c r="H248" s="915">
        <f>IF(SETUP!$F$52="Upfront",$E$247*'Malaria-Equipment &amp; Other HPs'!AZ14,0)</f>
        <v>0</v>
      </c>
      <c r="I248" s="915">
        <f>IF(SETUP!$F$52="Upfront",$E$247*'Malaria-Equipment &amp; Other HPs'!BA14,0)</f>
        <v>0</v>
      </c>
      <c r="J248" s="919">
        <f t="shared" si="36"/>
        <v>0</v>
      </c>
      <c r="K248" s="915">
        <f>IF(SETUP!$F$52="Upfront",$E$247*'Malaria-Equipment &amp; Other HPs'!BB14,0)</f>
        <v>0</v>
      </c>
      <c r="L248" s="915">
        <f>IF(SETUP!$F$52="Upfront",$E$247*'Malaria-Equipment &amp; Other HPs'!BC14,0)</f>
        <v>0</v>
      </c>
      <c r="M248" s="915">
        <f>IF(SETUP!$F$52="Upfront",$E$247*'Malaria-Equipment &amp; Other HPs'!BD14,0)</f>
        <v>0</v>
      </c>
      <c r="N248" s="915">
        <f>IF(SETUP!$F$52="Upfront",$E$247*'Malaria-Equipment &amp; Other HPs'!BE14,0)</f>
        <v>0</v>
      </c>
      <c r="O248" s="917">
        <f t="shared" si="37"/>
        <v>0</v>
      </c>
      <c r="P248" s="915">
        <f>IF(SETUP!$F$52="Upfront",$E$247*'Malaria-Equipment &amp; Other HPs'!BF14,0)</f>
        <v>0</v>
      </c>
      <c r="Q248" s="915">
        <f>IF(SETUP!$F$52="Upfront",$E$247*'Malaria-Equipment &amp; Other HPs'!BG14,0)</f>
        <v>0</v>
      </c>
      <c r="R248" s="915">
        <f>IF(SETUP!$F$52="Upfront",$E$247*'Malaria-Equipment &amp; Other HPs'!BH14,0)</f>
        <v>0</v>
      </c>
      <c r="S248" s="915">
        <f>IF(SETUP!$F$52="Upfront",$E$247*'Malaria-Equipment &amp; Other HPs'!BI14,0)</f>
        <v>0</v>
      </c>
      <c r="T248" s="916">
        <f t="shared" si="38"/>
        <v>0</v>
      </c>
      <c r="U248" s="915">
        <f t="shared" si="39"/>
        <v>0</v>
      </c>
      <c r="V248" s="1316">
        <v>7.5</v>
      </c>
      <c r="W248" s="1995"/>
      <c r="X248" s="1341"/>
    </row>
    <row r="249" spans="1:27" s="665" customFormat="1" ht="15" hidden="1" customHeight="1" outlineLevel="1" thickBot="1">
      <c r="A249" s="3197"/>
      <c r="B249" s="3198"/>
      <c r="C249" s="3182" t="s">
        <v>36</v>
      </c>
      <c r="D249" s="3182"/>
      <c r="E249" s="1246"/>
      <c r="F249" s="966">
        <v>0</v>
      </c>
      <c r="G249" s="921">
        <f>IF(SETUP!$F$52="At delivery",IF(SETUP!$G$52=1,$E$247*'Malaria-Equipment &amp; Other HPs'!AX14,0),0)</f>
        <v>0</v>
      </c>
      <c r="H249" s="920">
        <f>IF(SETUP!$F$52="At delivery",IF(SETUP!$G$52=2,$E$247*'Malaria-Equipment &amp; Other HPs'!AX14,IF(SETUP!$G$52=1,$E$247*'Malaria-Equipment &amp; Other HPs'!AY14,0)),0)</f>
        <v>0</v>
      </c>
      <c r="I249" s="920">
        <f>IF(SETUP!$F$52="At delivery",IF(SETUP!$G$52=3,$E$247*'Malaria-Equipment &amp; Other HPs'!AX14,IF(SETUP!$G$52=2,$E$247*'Malaria-Equipment &amp; Other HPs'!AY14,IF(SETUP!$G$52=1,$E$247*'Malaria-Equipment &amp; Other HPs'!AZ14,0))),0)</f>
        <v>0</v>
      </c>
      <c r="J249" s="919">
        <f t="shared" si="36"/>
        <v>0</v>
      </c>
      <c r="K249" s="920">
        <f>IF(SETUP!$F$52="At delivery",IF(SETUP!$G$52=4,$E$247*'Malaria-Equipment &amp; Other HPs'!AX14,IF(SETUP!$G$52=3,$E$247*'Malaria-Equipment &amp; Other HPs'!AY14,IF(SETUP!$G$52=2,$E$247*'Malaria-Equipment &amp; Other HPs'!AZ14,IF(SETUP!$G$52=1,$E$247*'Malaria-Equipment &amp; Other HPs'!BA14,0)))),0)</f>
        <v>0</v>
      </c>
      <c r="L249" s="920">
        <f>IF(SETUP!$F$52="At delivery",IF(SETUP!$G$52=4,$E$247*'Malaria-Equipment &amp; Other HPs'!AY14,IF(SETUP!$G$52=3,$E$247*'Malaria-Equipment &amp; Other HPs'!AZ14,IF(SETUP!$G$52=2,$E$247*'Malaria-Equipment &amp; Other HPs'!BA14,IF(SETUP!$G$52=1,$E$247*'Malaria-Equipment &amp; Other HPs'!BB14,0)))),0)</f>
        <v>0</v>
      </c>
      <c r="M249" s="920">
        <f>IF(SETUP!$F$52="At delivery",IF(SETUP!$G$52=4,$E$247*'Malaria-Equipment &amp; Other HPs'!AZ14,IF(SETUP!$G$52=3,$E$247*'Malaria-Equipment &amp; Other HPs'!BA14,IF(SETUP!$G$52=2,$E$247*'Malaria-Equipment &amp; Other HPs'!BB14,IF(SETUP!$G$52=1,$E$247*'Malaria-Equipment &amp; Other HPs'!BC14,0)))),0)</f>
        <v>0</v>
      </c>
      <c r="N249" s="920">
        <f>IF(SETUP!$F$52="At delivery",IF(SETUP!$G$52=4,$E$247*'Malaria-Equipment &amp; Other HPs'!BA14,IF(SETUP!$G$52=3,$E$247*'Malaria-Equipment &amp; Other HPs'!BB14,IF(SETUP!$G$52=2,$E$247*'Malaria-Equipment &amp; Other HPs'!BC14,IF(SETUP!$G$52=1,$E$247*'Malaria-Equipment &amp; Other HPs'!BD14,0)))),0)</f>
        <v>0</v>
      </c>
      <c r="O249" s="917">
        <f t="shared" si="37"/>
        <v>0</v>
      </c>
      <c r="P249" s="915">
        <f>IF(SETUP!$F$52="At delivery",IF(SETUP!$G$52=4,$E$247*'Malaria-Equipment &amp; Other HPs'!BB14,IF(SETUP!$G$52=3,$E$247*'Malaria-Equipment &amp; Other HPs'!BC14,IF(SETUP!$G$52=2,$E$247*'Malaria-Equipment &amp; Other HPs'!BD14,IF(SETUP!$G$52=1,$E$247*'Malaria-Equipment &amp; Other HPs'!BE14,0)))),0)</f>
        <v>0</v>
      </c>
      <c r="Q249" s="915">
        <f>IF(SETUP!$F$52="At delivery",IF(SETUP!$G$52=4,$E$247*'Malaria-Equipment &amp; Other HPs'!BC14,IF(SETUP!$G$52=3,$E$247*'Malaria-Equipment &amp; Other HPs'!BD14,IF(SETUP!$G$52=2,$E$247*'Malaria-Equipment &amp; Other HPs'!BE14,IF(SETUP!$G$52=1,$E$247*'Malaria-Equipment &amp; Other HPs'!BF14,0)))),0)</f>
        <v>0</v>
      </c>
      <c r="R249" s="915">
        <f>IF(SETUP!$F$52="At delivery",IF(SETUP!$G$52=4,$E$247*'Malaria-Equipment &amp; Other HPs'!BD14,IF(SETUP!$G$52=3,$E$247*'Malaria-Equipment &amp; Other HPs'!BE14,IF(SETUP!$G$52=2,$E$247*'Malaria-Equipment &amp; Other HPs'!BF14,IF(SETUP!$G$52=1,$E$247*'Malaria-Equipment &amp; Other HPs'!BG14,0)))),0)</f>
        <v>0</v>
      </c>
      <c r="S249" s="915">
        <f>IF(SETUP!$F$52="At delivery",IF(SETUP!$G$52=4,$E$247*('Malaria-Equipment &amp; Other HPs'!BE14+'Malaria-Equipment &amp; Other HPs'!BF14+'Malaria-Equipment &amp; Other HPs'!BG14+'Malaria-Equipment &amp; Other HPs'!BH14+'Malaria-Equipment &amp; Other HPs'!BI14),IF(SETUP!$G$52=3,$E$247*('Malaria-Equipment &amp; Other HPs'!BF14+'Malaria-Equipment &amp; Other HPs'!BG14+'Malaria-Equipment &amp; Other HPs'!BH14+'Malaria-Equipment &amp; Other HPs'!BI14),IF(SETUP!$G$52=2,$E$247*('Malaria-Equipment &amp; Other HPs'!BG14+'Malaria-Equipment &amp; Other HPs'!BH14+'Malaria-Equipment &amp; Other HPs'!BI14),IF(SETUP!$G$52=1,$E$247*('Malaria-Equipment &amp; Other HPs'!BH14+'Malaria-Equipment &amp; Other HPs'!BI14),0)))),0)</f>
        <v>0</v>
      </c>
      <c r="T249" s="916">
        <f t="shared" si="38"/>
        <v>0</v>
      </c>
      <c r="U249" s="915">
        <f t="shared" si="39"/>
        <v>0</v>
      </c>
      <c r="V249" s="1316">
        <v>7.5</v>
      </c>
      <c r="W249" s="1995"/>
      <c r="X249" s="1341"/>
    </row>
    <row r="250" spans="1:27" s="665" customFormat="1" ht="15" hidden="1" customHeight="1" collapsed="1" thickBot="1">
      <c r="A250" s="3197"/>
      <c r="B250" s="3198"/>
      <c r="C250" s="3188" t="s">
        <v>455</v>
      </c>
      <c r="D250" s="3188"/>
      <c r="E250" s="1245">
        <v>0</v>
      </c>
      <c r="F250" s="966">
        <f>IF(SETUP!$F$53="Upfront",F251,F252)</f>
        <v>0</v>
      </c>
      <c r="G250" s="915">
        <f>IF(SETUP!$F$53="Upfront",G251,G252)</f>
        <v>0</v>
      </c>
      <c r="H250" s="915">
        <f>IF(SETUP!$F$53="Upfront",H251,H252)</f>
        <v>0</v>
      </c>
      <c r="I250" s="915">
        <f>IF(SETUP!$F$53="Upfront",I251,I252)</f>
        <v>0</v>
      </c>
      <c r="J250" s="919">
        <f t="shared" si="36"/>
        <v>0</v>
      </c>
      <c r="K250" s="915">
        <f>IF(SETUP!$F$53="Upfront",K251,K252)</f>
        <v>0</v>
      </c>
      <c r="L250" s="915">
        <f>IF(SETUP!$F$53="Upfront",L251,L252)</f>
        <v>0</v>
      </c>
      <c r="M250" s="915">
        <f>IF(SETUP!$F$53="Upfront",M251,M252)</f>
        <v>0</v>
      </c>
      <c r="N250" s="915">
        <f>IF(SETUP!$F$53="Upfront",N251,N252)</f>
        <v>0</v>
      </c>
      <c r="O250" s="917">
        <f t="shared" si="37"/>
        <v>0</v>
      </c>
      <c r="P250" s="915">
        <f>IF(SETUP!$F$53="Upfront",P251,P252)</f>
        <v>0</v>
      </c>
      <c r="Q250" s="915">
        <f>IF(SETUP!$F$53="Upfront",Q251,Q252)</f>
        <v>0</v>
      </c>
      <c r="R250" s="915">
        <f>IF(SETUP!$F$53="Upfront",R251,R252)</f>
        <v>0</v>
      </c>
      <c r="S250" s="915">
        <f>IF(SETUP!$F$53="Upfront",S251,S252)</f>
        <v>0</v>
      </c>
      <c r="T250" s="916">
        <f t="shared" si="38"/>
        <v>0</v>
      </c>
      <c r="U250" s="915">
        <f t="shared" si="39"/>
        <v>0</v>
      </c>
      <c r="V250" s="1316">
        <v>7.5</v>
      </c>
      <c r="W250" s="1995"/>
      <c r="X250" s="1341"/>
    </row>
    <row r="251" spans="1:27" s="665" customFormat="1" ht="15" hidden="1" customHeight="1" outlineLevel="1">
      <c r="A251" s="3197"/>
      <c r="B251" s="3198"/>
      <c r="C251" s="3182" t="s">
        <v>777</v>
      </c>
      <c r="D251" s="3182"/>
      <c r="E251" s="1246"/>
      <c r="F251" s="966">
        <f>IF(SETUP!$F$53="Upfront",$E$250*'Malaria-Equipment &amp; Other HPs'!AX15,0)</f>
        <v>0</v>
      </c>
      <c r="G251" s="915">
        <f>IF(SETUP!$F$53="Upfront",$E$250*'Malaria-Equipment &amp; Other HPs'!AY15,0)</f>
        <v>0</v>
      </c>
      <c r="H251" s="915">
        <f>IF(SETUP!$F$53="Upfront",$E$250*'Malaria-Equipment &amp; Other HPs'!AZ15,0)</f>
        <v>0</v>
      </c>
      <c r="I251" s="915">
        <f>IF(SETUP!$F$53="Upfront",$E$250*'Malaria-Equipment &amp; Other HPs'!BA15,0)</f>
        <v>0</v>
      </c>
      <c r="J251" s="919">
        <f t="shared" si="36"/>
        <v>0</v>
      </c>
      <c r="K251" s="915">
        <f>IF(SETUP!$F$53="Upfront",$E$250*'Malaria-Equipment &amp; Other HPs'!BB15,0)</f>
        <v>0</v>
      </c>
      <c r="L251" s="915">
        <f>IF(SETUP!$F$53="Upfront",$E$250*'Malaria-Equipment &amp; Other HPs'!BC15,0)</f>
        <v>0</v>
      </c>
      <c r="M251" s="915">
        <f>IF(SETUP!$F$53="Upfront",$E$250*'Malaria-Equipment &amp; Other HPs'!BD15,0)</f>
        <v>0</v>
      </c>
      <c r="N251" s="915">
        <f>IF(SETUP!$F$53="Upfront",$E$250*'Malaria-Equipment &amp; Other HPs'!BE15,0)</f>
        <v>0</v>
      </c>
      <c r="O251" s="917">
        <f t="shared" si="37"/>
        <v>0</v>
      </c>
      <c r="P251" s="915">
        <f>IF(SETUP!$F$53="Upfront",$E$250*'Malaria-Equipment &amp; Other HPs'!BF15,0)</f>
        <v>0</v>
      </c>
      <c r="Q251" s="915">
        <f>IF(SETUP!$F$53="Upfront",$E$250*'Malaria-Equipment &amp; Other HPs'!BG15,0)</f>
        <v>0</v>
      </c>
      <c r="R251" s="915">
        <f>IF(SETUP!$F$53="Upfront",$E$250*'Malaria-Equipment &amp; Other HPs'!BH15,0)</f>
        <v>0</v>
      </c>
      <c r="S251" s="915">
        <f>IF(SETUP!$F$53="Upfront",$E$250*'Malaria-Equipment &amp; Other HPs'!BI15,0)</f>
        <v>0</v>
      </c>
      <c r="T251" s="916">
        <f t="shared" si="38"/>
        <v>0</v>
      </c>
      <c r="U251" s="915">
        <f t="shared" si="39"/>
        <v>0</v>
      </c>
      <c r="V251" s="1316">
        <v>7.5</v>
      </c>
      <c r="W251" s="1995"/>
      <c r="X251" s="1341"/>
    </row>
    <row r="252" spans="1:27" s="665" customFormat="1" ht="15" hidden="1" customHeight="1" outlineLevel="1" thickBot="1">
      <c r="A252" s="3197"/>
      <c r="B252" s="3198"/>
      <c r="C252" s="3182" t="s">
        <v>36</v>
      </c>
      <c r="D252" s="3182"/>
      <c r="E252" s="1246"/>
      <c r="F252" s="966">
        <v>0</v>
      </c>
      <c r="G252" s="921">
        <f>IF(SETUP!$F$53="At delivery",IF(SETUP!$G$53=1,$E$250*'Malaria-Equipment &amp; Other HPs'!AX15,0),0)</f>
        <v>0</v>
      </c>
      <c r="H252" s="920">
        <f>IF(SETUP!$F$53="At delivery",IF(SETUP!$G$53=2,$E$250*'Malaria-Equipment &amp; Other HPs'!AX15,IF(SETUP!$G$53=1,$E$250*'Malaria-Equipment &amp; Other HPs'!AY15,0)),0)</f>
        <v>0</v>
      </c>
      <c r="I252" s="920">
        <f>IF(SETUP!$F$53="At delivery",IF(SETUP!$G$53=3,$E$250*'Malaria-Equipment &amp; Other HPs'!AX15,IF(SETUP!$G$53=2,$E$250*'Malaria-Equipment &amp; Other HPs'!AY15,IF(SETUP!$G$53=1,$E$250*'Malaria-Equipment &amp; Other HPs'!AZ15,0))),0)</f>
        <v>0</v>
      </c>
      <c r="J252" s="919">
        <f t="shared" si="36"/>
        <v>0</v>
      </c>
      <c r="K252" s="920">
        <f>IF(SETUP!$F$53="At delivery",IF(SETUP!$G$53=4,$E$250*'Malaria-Equipment &amp; Other HPs'!AX15,IF(SETUP!$G$53=3,$E$250*'Malaria-Equipment &amp; Other HPs'!AY15,IF(SETUP!$G$53=2,$E$250*'Malaria-Equipment &amp; Other HPs'!AZ15,IF(SETUP!$G$53=1,$E$250*'Malaria-Equipment &amp; Other HPs'!BA15,0)))),0)</f>
        <v>0</v>
      </c>
      <c r="L252" s="920">
        <f>IF(SETUP!$F$53="At delivery",IF(SETUP!$G$53=4,$E$250*'Malaria-Equipment &amp; Other HPs'!AY15,IF(SETUP!$G$53=3,$E$250*'Malaria-Equipment &amp; Other HPs'!AZ15,IF(SETUP!$G$53=2,$E$250*'Malaria-Equipment &amp; Other HPs'!BA15,IF(SETUP!$G$53=1,$E$250*'Malaria-Equipment &amp; Other HPs'!BB15,0)))),0)</f>
        <v>0</v>
      </c>
      <c r="M252" s="920">
        <f>IF(SETUP!$F$53="At delivery",IF(SETUP!$G$53=4,$E$250*'Malaria-Equipment &amp; Other HPs'!AZ15,IF(SETUP!$G$53=3,$E$250*'Malaria-Equipment &amp; Other HPs'!BA15,IF(SETUP!$G$53=2,$E$250*'Malaria-Equipment &amp; Other HPs'!BB15,IF(SETUP!$G$53=1,$E$250*'Malaria-Equipment &amp; Other HPs'!BC15,0)))),0)</f>
        <v>0</v>
      </c>
      <c r="N252" s="920">
        <f>IF(SETUP!$F$53="At delivery",IF(SETUP!$G$53=4,$E$250*'Malaria-Equipment &amp; Other HPs'!BA15,IF(SETUP!$G$53=3,$E$250*'Malaria-Equipment &amp; Other HPs'!BB15,IF(SETUP!$G$53=2,$E$250*'Malaria-Equipment &amp; Other HPs'!BC15,IF(SETUP!$G$53=1,$E$250*'Malaria-Equipment &amp; Other HPs'!BD15,0)))),0)</f>
        <v>0</v>
      </c>
      <c r="O252" s="917">
        <f t="shared" si="37"/>
        <v>0</v>
      </c>
      <c r="P252" s="915">
        <f>IF(SETUP!$F$53="At delivery",IF(SETUP!$G$53=4,$E$250*'Malaria-Equipment &amp; Other HPs'!BB15,IF(SETUP!$G$53=3,$E$250*'Malaria-Equipment &amp; Other HPs'!BC15,IF(SETUP!$G$53=2,$E$250*'Malaria-Equipment &amp; Other HPs'!BD15,IF(SETUP!$G$53=1,$E$250*'Malaria-Equipment &amp; Other HPs'!BE15,0)))),0)</f>
        <v>0</v>
      </c>
      <c r="Q252" s="915">
        <f>IF(SETUP!$F$53="At delivery",IF(SETUP!$G$53=4,$E$250*'Malaria-Equipment &amp; Other HPs'!BC15,IF(SETUP!$G$53=3,$E$250*'Malaria-Equipment &amp; Other HPs'!BD15,IF(SETUP!$G$53=2,$E$250*'Malaria-Equipment &amp; Other HPs'!BE15,IF(SETUP!$G$53=1,$E$250*'Malaria-Equipment &amp; Other HPs'!BF15,0)))),0)</f>
        <v>0</v>
      </c>
      <c r="R252" s="915">
        <f>IF(SETUP!$F$53="At delivery",IF(SETUP!$G$53=4,$E$250*'Malaria-Equipment &amp; Other HPs'!BD15,IF(SETUP!$G$53=3,$E$250*'Malaria-Equipment &amp; Other HPs'!BE15,IF(SETUP!$G$53=2,$E$250*'Malaria-Equipment &amp; Other HPs'!BF15,IF(SETUP!$G$53=1,$E$250*'Malaria-Equipment &amp; Other HPs'!BG15,0)))),0)</f>
        <v>0</v>
      </c>
      <c r="S252" s="915">
        <f>IF(SETUP!$F$53="At delivery",IF(SETUP!$G$53=4,$E$250*('Malaria-Equipment &amp; Other HPs'!BE15+'Malaria-Equipment &amp; Other HPs'!BF15+'Malaria-Equipment &amp; Other HPs'!BG15+'Malaria-Equipment &amp; Other HPs'!BH15+'Malaria-Equipment &amp; Other HPs'!BI15),IF(SETUP!$G$53=3,$E$250*('Malaria-Equipment &amp; Other HPs'!BF15+'Malaria-Equipment &amp; Other HPs'!BG15+'Malaria-Equipment &amp; Other HPs'!BH15+'Malaria-Equipment &amp; Other HPs'!BI15),IF(SETUP!$G$53=2,$E$250*('Malaria-Equipment &amp; Other HPs'!BG15+'Malaria-Equipment &amp; Other HPs'!BH15+'Malaria-Equipment &amp; Other HPs'!BI15),IF(SETUP!$G$53=1,$E$250*('Malaria-Equipment &amp; Other HPs'!BH15+'Malaria-Equipment &amp; Other HPs'!BI15),0)))),0)</f>
        <v>0</v>
      </c>
      <c r="T252" s="916">
        <f t="shared" si="38"/>
        <v>0</v>
      </c>
      <c r="U252" s="915">
        <f t="shared" si="39"/>
        <v>0</v>
      </c>
      <c r="V252" s="1316">
        <v>7.5</v>
      </c>
      <c r="W252" s="1995"/>
      <c r="X252" s="1341"/>
    </row>
    <row r="253" spans="1:27" s="665" customFormat="1" ht="15" hidden="1" customHeight="1" collapsed="1" thickBot="1">
      <c r="A253" s="3197"/>
      <c r="B253" s="3198"/>
      <c r="C253" s="3188" t="s">
        <v>456</v>
      </c>
      <c r="D253" s="3188"/>
      <c r="E253" s="1245">
        <v>0</v>
      </c>
      <c r="F253" s="966">
        <f>IF(SETUP!$F$54="Upfront",F254,F255)</f>
        <v>0</v>
      </c>
      <c r="G253" s="915">
        <f>IF(SETUP!$F$54="Upfront",G254,G255)</f>
        <v>0</v>
      </c>
      <c r="H253" s="915">
        <f>IF(SETUP!$F$54="Upfront",H254,H255)</f>
        <v>0</v>
      </c>
      <c r="I253" s="915">
        <f>IF(SETUP!$F$54="Upfront",I254,I255)</f>
        <v>0</v>
      </c>
      <c r="J253" s="919">
        <f t="shared" si="36"/>
        <v>0</v>
      </c>
      <c r="K253" s="915">
        <f>IF(SETUP!$F$54="Upfront",K254,K255)</f>
        <v>0</v>
      </c>
      <c r="L253" s="915">
        <f>IF(SETUP!$F$54="Upfront",L254,L255)</f>
        <v>0</v>
      </c>
      <c r="M253" s="915">
        <f>IF(SETUP!$F$54="Upfront",M254,M255)</f>
        <v>0</v>
      </c>
      <c r="N253" s="915">
        <f>IF(SETUP!$F$54="Upfront",N254,N255)</f>
        <v>0</v>
      </c>
      <c r="O253" s="917">
        <f t="shared" si="37"/>
        <v>0</v>
      </c>
      <c r="P253" s="915">
        <f>IF(SETUP!$F$54="Upfront",P254,P255)</f>
        <v>0</v>
      </c>
      <c r="Q253" s="915">
        <f>IF(SETUP!$F$54="Upfront",Q254,Q255)</f>
        <v>0</v>
      </c>
      <c r="R253" s="915">
        <f>IF(SETUP!$F$54="Upfront",R254,R255)</f>
        <v>0</v>
      </c>
      <c r="S253" s="915">
        <f>IF(SETUP!$F$54="Upfront",S254,S255)</f>
        <v>0</v>
      </c>
      <c r="T253" s="916">
        <f t="shared" si="38"/>
        <v>0</v>
      </c>
      <c r="U253" s="915">
        <f t="shared" si="39"/>
        <v>0</v>
      </c>
      <c r="V253" s="1316">
        <v>7.5</v>
      </c>
      <c r="W253" s="1995"/>
      <c r="X253" s="1341"/>
    </row>
    <row r="254" spans="1:27" s="665" customFormat="1" ht="15" hidden="1" customHeight="1" outlineLevel="1">
      <c r="A254" s="3197"/>
      <c r="B254" s="3198"/>
      <c r="C254" s="3182" t="s">
        <v>777</v>
      </c>
      <c r="D254" s="3182"/>
      <c r="E254" s="1246"/>
      <c r="F254" s="966">
        <f>IF(SETUP!$F$54="Upfront",$E$253*'Malaria-Equipment &amp; Other HPs'!AX16,0)</f>
        <v>0</v>
      </c>
      <c r="G254" s="915">
        <f>IF(SETUP!$F$54="Upfront",$E$253*'Malaria-Equipment &amp; Other HPs'!AY16,0)</f>
        <v>0</v>
      </c>
      <c r="H254" s="915">
        <f>IF(SETUP!$F$54="Upfront",$E$253*'Malaria-Equipment &amp; Other HPs'!AZ16,0)</f>
        <v>0</v>
      </c>
      <c r="I254" s="915">
        <f>IF(SETUP!$F$54="Upfront",$E$253*'Malaria-Equipment &amp; Other HPs'!BA16,0)</f>
        <v>0</v>
      </c>
      <c r="J254" s="919">
        <f t="shared" si="36"/>
        <v>0</v>
      </c>
      <c r="K254" s="915">
        <f>IF(SETUP!$F$54="Upfront",$E$253*'Malaria-Equipment &amp; Other HPs'!BB16,0)</f>
        <v>0</v>
      </c>
      <c r="L254" s="915">
        <f>IF(SETUP!$F$54="Upfront",$E$253*'Malaria-Equipment &amp; Other HPs'!BC16,0)</f>
        <v>0</v>
      </c>
      <c r="M254" s="915">
        <f>IF(SETUP!$F$54="Upfront",$E$253*'Malaria-Equipment &amp; Other HPs'!BD16,0)</f>
        <v>0</v>
      </c>
      <c r="N254" s="915">
        <f>IF(SETUP!$F$54="Upfront",$E$253*'Malaria-Equipment &amp; Other HPs'!BE16,0)</f>
        <v>0</v>
      </c>
      <c r="O254" s="917">
        <f t="shared" si="37"/>
        <v>0</v>
      </c>
      <c r="P254" s="915">
        <f>IF(SETUP!$F$54="Upfront",$E$253*'Malaria-Equipment &amp; Other HPs'!BF16,0)</f>
        <v>0</v>
      </c>
      <c r="Q254" s="915">
        <f>IF(SETUP!$F$54="Upfront",$E$253*'Malaria-Equipment &amp; Other HPs'!BG16,0)</f>
        <v>0</v>
      </c>
      <c r="R254" s="915">
        <f>IF(SETUP!$F$54="Upfront",$E$253*'Malaria-Equipment &amp; Other HPs'!BH16,0)</f>
        <v>0</v>
      </c>
      <c r="S254" s="915">
        <f>IF(SETUP!$F$54="Upfront",$E$253*'Malaria-Equipment &amp; Other HPs'!BI16,0)</f>
        <v>0</v>
      </c>
      <c r="T254" s="916">
        <f t="shared" si="38"/>
        <v>0</v>
      </c>
      <c r="U254" s="915">
        <f t="shared" si="39"/>
        <v>0</v>
      </c>
      <c r="V254" s="1316">
        <v>7.5</v>
      </c>
      <c r="W254" s="1995"/>
      <c r="X254" s="1341"/>
    </row>
    <row r="255" spans="1:27" s="665" customFormat="1" ht="15" hidden="1" customHeight="1" outlineLevel="1" thickBot="1">
      <c r="A255" s="3197"/>
      <c r="B255" s="3198"/>
      <c r="C255" s="3182" t="s">
        <v>36</v>
      </c>
      <c r="D255" s="3182"/>
      <c r="E255" s="1246"/>
      <c r="F255" s="966">
        <v>0</v>
      </c>
      <c r="G255" s="921">
        <f>IF(SETUP!$F$54="At delivery",IF(SETUP!$G$54=1,$E$253*'Malaria-Equipment &amp; Other HPs'!AX16,0),0)</f>
        <v>0</v>
      </c>
      <c r="H255" s="920">
        <f>IF(SETUP!$F$54="At delivery",IF(SETUP!$G$54=2,$E$253*'Malaria-Equipment &amp; Other HPs'!AX16,IF(SETUP!$G$54=1,$E$253*'Malaria-Equipment &amp; Other HPs'!AY16,0)),0)</f>
        <v>0</v>
      </c>
      <c r="I255" s="920">
        <f>IF(SETUP!$F$54="At delivery",IF(SETUP!$G$54=3,$E$253*'Malaria-Equipment &amp; Other HPs'!AX16,IF(SETUP!$G$54=2,$E$253*'Malaria-Equipment &amp; Other HPs'!AY16,IF(SETUP!$G$54=1,$E$253*'Malaria-Equipment &amp; Other HPs'!AZ16,0))),0)</f>
        <v>0</v>
      </c>
      <c r="J255" s="919">
        <f t="shared" si="36"/>
        <v>0</v>
      </c>
      <c r="K255" s="920">
        <f>IF(SETUP!$F$54="At delivery",IF(SETUP!$G$54=4,$E$253*'Malaria-Equipment &amp; Other HPs'!AX16,IF(SETUP!$G$54=3,$E$253*'Malaria-Equipment &amp; Other HPs'!AY16,IF(SETUP!$G$54=2,$E$253*'Malaria-Equipment &amp; Other HPs'!AZ16,IF(SETUP!$G$54=1,$E$253*'Malaria-Equipment &amp; Other HPs'!BA16,0)))),0)</f>
        <v>0</v>
      </c>
      <c r="L255" s="920">
        <f>IF(SETUP!$F$54="At delivery",IF(SETUP!$G$54=4,$E$253*'Malaria-Equipment &amp; Other HPs'!AY16,IF(SETUP!$G$54=3,$E$253*'Malaria-Equipment &amp; Other HPs'!AZ16,IF(SETUP!$G$54=2,$E$253*'Malaria-Equipment &amp; Other HPs'!BA16,IF(SETUP!$G$54=1,$E$253*'Malaria-Equipment &amp; Other HPs'!BB16,0)))),0)</f>
        <v>0</v>
      </c>
      <c r="M255" s="920">
        <f>IF(SETUP!$F$54="At delivery",IF(SETUP!$G$54=4,$E$253*'Malaria-Equipment &amp; Other HPs'!AZ16,IF(SETUP!$G$54=3,$E$253*'Malaria-Equipment &amp; Other HPs'!BA16,IF(SETUP!$G$54=2,$E$253*'Malaria-Equipment &amp; Other HPs'!BB16,IF(SETUP!$G$54=1,$E$253*'Malaria-Equipment &amp; Other HPs'!BC16,0)))),0)</f>
        <v>0</v>
      </c>
      <c r="N255" s="920">
        <f>IF(SETUP!$F$54="At delivery",IF(SETUP!$G$54=4,$E$253*'Malaria-Equipment &amp; Other HPs'!BA16,IF(SETUP!$G$54=3,$E$253*'Malaria-Equipment &amp; Other HPs'!BB16,IF(SETUP!$G$54=2,$E$253*'Malaria-Equipment &amp; Other HPs'!BC16,IF(SETUP!$G$54=1,$E$253*'Malaria-Equipment &amp; Other HPs'!BD16,0)))),0)</f>
        <v>0</v>
      </c>
      <c r="O255" s="917">
        <f t="shared" si="37"/>
        <v>0</v>
      </c>
      <c r="P255" s="915">
        <f>IF(SETUP!$F$54="At delivery",IF(SETUP!$G$54=4,$E$253*'Malaria-Equipment &amp; Other HPs'!BB16,IF(SETUP!$G$54=3,$E$253*'Malaria-Equipment &amp; Other HPs'!BC16,IF(SETUP!$G$54=2,$E$253*'Malaria-Equipment &amp; Other HPs'!BD16,IF(SETUP!$G$54=1,$E$253*'Malaria-Equipment &amp; Other HPs'!BE16,0)))),0)</f>
        <v>0</v>
      </c>
      <c r="Q255" s="915">
        <f>IF(SETUP!$F$54="At delivery",IF(SETUP!$G$54=4,$E$253*'Malaria-Equipment &amp; Other HPs'!BC16,IF(SETUP!$G$54=3,$E$253*'Malaria-Equipment &amp; Other HPs'!BD16,IF(SETUP!$G$54=2,$E$253*'Malaria-Equipment &amp; Other HPs'!BE16,IF(SETUP!$G$54=1,$E$253*'Malaria-Equipment &amp; Other HPs'!BF16,0)))),0)</f>
        <v>0</v>
      </c>
      <c r="R255" s="915">
        <f>IF(SETUP!$F$54="At delivery",IF(SETUP!$G$54=4,$E$253*'Malaria-Equipment &amp; Other HPs'!BD16,IF(SETUP!$G$54=3,$E$253*'Malaria-Equipment &amp; Other HPs'!BE16,IF(SETUP!$G$54=2,$E$253*'Malaria-Equipment &amp; Other HPs'!BF16,IF(SETUP!$G$54=1,$E$253*'Malaria-Equipment &amp; Other HPs'!BG16,0)))),0)</f>
        <v>0</v>
      </c>
      <c r="S255" s="915">
        <f>IF(SETUP!$F$54="At delivery",IF(SETUP!$G$54=4,$E$253*('Malaria-Equipment &amp; Other HPs'!BE16+'Malaria-Equipment &amp; Other HPs'!BF16+'Malaria-Equipment &amp; Other HPs'!BG16+'Malaria-Equipment &amp; Other HPs'!BH16+'Malaria-Equipment &amp; Other HPs'!BI16),IF(SETUP!$G$54=3,$E$253*('Malaria-Equipment &amp; Other HPs'!BF16+'Malaria-Equipment &amp; Other HPs'!BG16+'Malaria-Equipment &amp; Other HPs'!BH16+'Malaria-Equipment &amp; Other HPs'!BI16),IF(SETUP!$G$54=2,$E$253*('Malaria-Equipment &amp; Other HPs'!BG16+'Malaria-Equipment &amp; Other HPs'!BH16+'Malaria-Equipment &amp; Other HPs'!BI16),IF(SETUP!$G$54=1,$E$253*('Malaria-Equipment &amp; Other HPs'!BH16+'Malaria-Equipment &amp; Other HPs'!BI16),0)))),0)</f>
        <v>0</v>
      </c>
      <c r="T255" s="916">
        <f t="shared" si="38"/>
        <v>0</v>
      </c>
      <c r="U255" s="915">
        <f t="shared" si="39"/>
        <v>0</v>
      </c>
      <c r="V255" s="1316">
        <v>7.5</v>
      </c>
      <c r="W255" s="1995"/>
      <c r="X255" s="1341"/>
    </row>
    <row r="256" spans="1:27" s="665" customFormat="1" ht="15" hidden="1" customHeight="1" collapsed="1" thickBot="1">
      <c r="A256" s="3197"/>
      <c r="B256" s="3198"/>
      <c r="C256" s="3188" t="s">
        <v>457</v>
      </c>
      <c r="D256" s="3188"/>
      <c r="E256" s="1245">
        <v>0</v>
      </c>
      <c r="F256" s="966">
        <f>IF(SETUP!$F$55="Upfront",F257,F258)</f>
        <v>0</v>
      </c>
      <c r="G256" s="915">
        <f>IF(SETUP!$F$55="Upfront",G257,G258)</f>
        <v>0</v>
      </c>
      <c r="H256" s="915">
        <f>IF(SETUP!$F$55="Upfront",H257,H258)</f>
        <v>0</v>
      </c>
      <c r="I256" s="915">
        <f>IF(SETUP!$F$55="Upfront",I257,I258)</f>
        <v>0</v>
      </c>
      <c r="J256" s="919">
        <f t="shared" si="36"/>
        <v>0</v>
      </c>
      <c r="K256" s="915">
        <f>IF(SETUP!$F$55="Upfront",K257,K258)</f>
        <v>0</v>
      </c>
      <c r="L256" s="915">
        <f>IF(SETUP!$F$55="Upfront",L257,L258)</f>
        <v>0</v>
      </c>
      <c r="M256" s="915">
        <f>IF(SETUP!$F$55="Upfront",M257,M258)</f>
        <v>0</v>
      </c>
      <c r="N256" s="915">
        <f>IF(SETUP!$F$55="Upfront",N257,N258)</f>
        <v>0</v>
      </c>
      <c r="O256" s="917">
        <f t="shared" si="37"/>
        <v>0</v>
      </c>
      <c r="P256" s="915">
        <f>IF(SETUP!$F$55="Upfront",P257,P258)</f>
        <v>0</v>
      </c>
      <c r="Q256" s="915">
        <f>IF(SETUP!$F$55="Upfront",Q257,Q258)</f>
        <v>0</v>
      </c>
      <c r="R256" s="915">
        <f>IF(SETUP!$F$55="Upfront",R257,R258)</f>
        <v>0</v>
      </c>
      <c r="S256" s="915">
        <f>IF(SETUP!$F$55="Upfront",S257,S258)</f>
        <v>0</v>
      </c>
      <c r="T256" s="916">
        <f t="shared" si="38"/>
        <v>0</v>
      </c>
      <c r="U256" s="915">
        <f t="shared" si="39"/>
        <v>0</v>
      </c>
      <c r="V256" s="1316">
        <v>7.5</v>
      </c>
      <c r="W256" s="1995"/>
      <c r="X256" s="1341"/>
    </row>
    <row r="257" spans="1:38" s="665" customFormat="1" ht="15" hidden="1" customHeight="1" outlineLevel="1">
      <c r="A257" s="3197"/>
      <c r="B257" s="3198"/>
      <c r="C257" s="3182" t="s">
        <v>777</v>
      </c>
      <c r="D257" s="3182"/>
      <c r="E257" s="1246"/>
      <c r="F257" s="966">
        <f>IF(SETUP!$F$55="Upfront",$E$256*'Malaria-Equipment &amp; Other HPs'!AX17,0)</f>
        <v>0</v>
      </c>
      <c r="G257" s="915">
        <f>IF(SETUP!$F$55="Upfront",$E$256*'Malaria-Equipment &amp; Other HPs'!AY17,0)</f>
        <v>0</v>
      </c>
      <c r="H257" s="915">
        <f>IF(SETUP!$F$55="Upfront",$E$256*'Malaria-Equipment &amp; Other HPs'!AZ17,0)</f>
        <v>0</v>
      </c>
      <c r="I257" s="915">
        <f>IF(SETUP!$F$55="Upfront",$E$256*'Malaria-Equipment &amp; Other HPs'!BA17,0)</f>
        <v>0</v>
      </c>
      <c r="J257" s="919">
        <f t="shared" si="36"/>
        <v>0</v>
      </c>
      <c r="K257" s="915">
        <f>IF(SETUP!$F$55="Upfront",$E$256*'Malaria-Equipment &amp; Other HPs'!BB17,0)</f>
        <v>0</v>
      </c>
      <c r="L257" s="915">
        <f>IF(SETUP!$F$55="Upfront",$E$256*'Malaria-Equipment &amp; Other HPs'!BC17,0)</f>
        <v>0</v>
      </c>
      <c r="M257" s="915">
        <f>IF(SETUP!$F$55="Upfront",$E$256*'Malaria-Equipment &amp; Other HPs'!BD17,0)</f>
        <v>0</v>
      </c>
      <c r="N257" s="915">
        <f>IF(SETUP!$F$55="Upfront",$E$256*'Malaria-Equipment &amp; Other HPs'!BE17,0)</f>
        <v>0</v>
      </c>
      <c r="O257" s="917">
        <f t="shared" si="37"/>
        <v>0</v>
      </c>
      <c r="P257" s="915">
        <f>IF(SETUP!$F$55="Upfront",$E$256*'Malaria-Equipment &amp; Other HPs'!BF17,0)</f>
        <v>0</v>
      </c>
      <c r="Q257" s="915">
        <f>IF(SETUP!$F$55="Upfront",$E$256*'Malaria-Equipment &amp; Other HPs'!BG17,0)</f>
        <v>0</v>
      </c>
      <c r="R257" s="915">
        <f>IF(SETUP!$F$55="Upfront",$E$256*'Malaria-Equipment &amp; Other HPs'!BH17,0)</f>
        <v>0</v>
      </c>
      <c r="S257" s="915">
        <f>IF(SETUP!$F$55="Upfront",$E$256*'Malaria-Equipment &amp; Other HPs'!BI17,0)</f>
        <v>0</v>
      </c>
      <c r="T257" s="916">
        <f t="shared" si="38"/>
        <v>0</v>
      </c>
      <c r="U257" s="915">
        <f t="shared" si="39"/>
        <v>0</v>
      </c>
      <c r="V257" s="1316">
        <v>7.5</v>
      </c>
      <c r="W257" s="1995"/>
      <c r="X257" s="1341"/>
    </row>
    <row r="258" spans="1:38" s="665" customFormat="1" ht="15" hidden="1" customHeight="1" outlineLevel="1" thickBot="1">
      <c r="A258" s="3197"/>
      <c r="B258" s="3198"/>
      <c r="C258" s="3182" t="s">
        <v>36</v>
      </c>
      <c r="D258" s="3182"/>
      <c r="E258" s="1246"/>
      <c r="F258" s="966">
        <v>0</v>
      </c>
      <c r="G258" s="921">
        <f>IF(SETUP!$F$55="At delivery",IF(SETUP!$G$55=1,$E$256*'Malaria-Equipment &amp; Other HPs'!AX17,0),0)</f>
        <v>0</v>
      </c>
      <c r="H258" s="920">
        <f>IF(SETUP!$F$55="At delivery",IF(SETUP!$G$55=2,$E$256*'Malaria-Equipment &amp; Other HPs'!AX17,IF(SETUP!$G$55=1,$E$256*'Malaria-Equipment &amp; Other HPs'!AY17,0)),0)</f>
        <v>0</v>
      </c>
      <c r="I258" s="920">
        <f>IF(SETUP!$F$55="At delivery",IF(SETUP!$G$55=3,$E$256*'Malaria-Equipment &amp; Other HPs'!AX17,IF(SETUP!$G$55=2,$E$256*'Malaria-Equipment &amp; Other HPs'!AY17,IF(SETUP!$G$55=1,$E$256*'Malaria-Equipment &amp; Other HPs'!AZ17,0))),0)</f>
        <v>0</v>
      </c>
      <c r="J258" s="919">
        <f t="shared" si="36"/>
        <v>0</v>
      </c>
      <c r="K258" s="920">
        <f>IF(SETUP!$F$55="At delivery",IF(SETUP!$G$55=4,$E$256*'Malaria-Equipment &amp; Other HPs'!AX17,IF(SETUP!$G$55=3,$E$256*'Malaria-Equipment &amp; Other HPs'!AY17,IF(SETUP!$G$55=2,$E$256*'Malaria-Equipment &amp; Other HPs'!AZ17,IF(SETUP!$G$55=1,$E$256*'Malaria-Equipment &amp; Other HPs'!BA17,0)))),0)</f>
        <v>0</v>
      </c>
      <c r="L258" s="920">
        <f>IF(SETUP!$F$55="At delivery",IF(SETUP!$G$55=4,$E$256*'Malaria-Equipment &amp; Other HPs'!AY17,IF(SETUP!$G$55=3,$E$256*'Malaria-Equipment &amp; Other HPs'!AZ17,IF(SETUP!$G$55=2,$E$256*'Malaria-Equipment &amp; Other HPs'!BA17,IF(SETUP!$G$55=1,$E$256*'Malaria-Equipment &amp; Other HPs'!BB17,0)))),0)</f>
        <v>0</v>
      </c>
      <c r="M258" s="920">
        <f>IF(SETUP!$F$55="At delivery",IF(SETUP!$G$55=4,$E$256*'Malaria-Equipment &amp; Other HPs'!AZ17,IF(SETUP!$G$55=3,$E$256*'Malaria-Equipment &amp; Other HPs'!BA17,IF(SETUP!$G$55=2,$E$256*'Malaria-Equipment &amp; Other HPs'!BB17,IF(SETUP!$G$55=1,$E$256*'Malaria-Equipment &amp; Other HPs'!BC17,0)))),0)</f>
        <v>0</v>
      </c>
      <c r="N258" s="920">
        <f>IF(SETUP!$F$55="At delivery",IF(SETUP!$G$55=4,$E$256*'Malaria-Equipment &amp; Other HPs'!BA17,IF(SETUP!$G$55=3,$E$256*'Malaria-Equipment &amp; Other HPs'!BB17,IF(SETUP!$G$55=2,$E$256*'Malaria-Equipment &amp; Other HPs'!BC17,IF(SETUP!$G$55=1,$E$256*'Malaria-Equipment &amp; Other HPs'!BD17,0)))),0)</f>
        <v>0</v>
      </c>
      <c r="O258" s="917">
        <f t="shared" si="37"/>
        <v>0</v>
      </c>
      <c r="P258" s="915">
        <f>IF(SETUP!$F$55="At delivery",IF(SETUP!$G$55=4,$E$256*'Malaria-Equipment &amp; Other HPs'!BB17,IF(SETUP!$G$55=3,$E$256*'Malaria-Equipment &amp; Other HPs'!BC17,IF(SETUP!$G$55=2,$E$256*'Malaria-Equipment &amp; Other HPs'!BD17,IF(SETUP!$G$55=1,$E$256*'Malaria-Equipment &amp; Other HPs'!BE17,0)))),0)</f>
        <v>0</v>
      </c>
      <c r="Q258" s="915">
        <f>IF(SETUP!$F$55="At delivery",IF(SETUP!$G$55=4,$E$256*'Malaria-Equipment &amp; Other HPs'!BC17,IF(SETUP!$G$55=3,$E$256*'Malaria-Equipment &amp; Other HPs'!BD17,IF(SETUP!$G$55=2,$E$256*'Malaria-Equipment &amp; Other HPs'!BE17,IF(SETUP!$G$55=1,$E$256*'Malaria-Equipment &amp; Other HPs'!BF17,0)))),0)</f>
        <v>0</v>
      </c>
      <c r="R258" s="915">
        <f>IF(SETUP!$F$55="At delivery",IF(SETUP!$G$55=4,$E$256*'Malaria-Equipment &amp; Other HPs'!BD17,IF(SETUP!$G$55=3,$E$256*'Malaria-Equipment &amp; Other HPs'!BE17,IF(SETUP!$G$55=2,$E$256*'Malaria-Equipment &amp; Other HPs'!BF17,IF(SETUP!$G$55=1,$E$256*'Malaria-Equipment &amp; Other HPs'!BG17,0)))),0)</f>
        <v>0</v>
      </c>
      <c r="S258" s="915">
        <f>IF(SETUP!$F$55="At delivery",IF(SETUP!$G$55=4,$E$256*('Malaria-Equipment &amp; Other HPs'!BE17+'Malaria-Equipment &amp; Other HPs'!BF17+'Malaria-Equipment &amp; Other HPs'!BG17+'Malaria-Equipment &amp; Other HPs'!BH17+'Malaria-Equipment &amp; Other HPs'!BI17),IF(SETUP!$G$55=3,$E$256*('Malaria-Equipment &amp; Other HPs'!BF17+'Malaria-Equipment &amp; Other HPs'!BG17+'Malaria-Equipment &amp; Other HPs'!BH17+'Malaria-Equipment &amp; Other HPs'!BI17),IF(SETUP!$G$55=2,$E$256*('Malaria-Equipment &amp; Other HPs'!BG17+'Malaria-Equipment &amp; Other HPs'!BH17+'Malaria-Equipment &amp; Other HPs'!BI17),IF(SETUP!$G$55=1,$E$256*('Malaria-Equipment &amp; Other HPs'!BH17+'Malaria-Equipment &amp; Other HPs'!BI17),0)))),0)</f>
        <v>0</v>
      </c>
      <c r="T258" s="916">
        <f t="shared" si="38"/>
        <v>0</v>
      </c>
      <c r="U258" s="915">
        <f t="shared" si="39"/>
        <v>0</v>
      </c>
      <c r="V258" s="1316">
        <v>7.5</v>
      </c>
      <c r="W258" s="1995"/>
      <c r="X258" s="1341"/>
    </row>
    <row r="259" spans="1:38" s="665" customFormat="1" ht="15" hidden="1" customHeight="1" collapsed="1" thickBot="1">
      <c r="A259" s="3197"/>
      <c r="B259" s="3198"/>
      <c r="C259" s="3188" t="s">
        <v>458</v>
      </c>
      <c r="D259" s="3188"/>
      <c r="E259" s="1245">
        <v>0</v>
      </c>
      <c r="F259" s="966">
        <f>IF(SETUP!$F$56="Upfront",F260,F261)</f>
        <v>0</v>
      </c>
      <c r="G259" s="915">
        <f>IF(SETUP!$F$56="Upfront",G260,G261)</f>
        <v>0</v>
      </c>
      <c r="H259" s="915">
        <f>IF(SETUP!$F$56="Upfront",H260,H261)</f>
        <v>0</v>
      </c>
      <c r="I259" s="915">
        <f>IF(SETUP!$F$56="Upfront",I260,I261)</f>
        <v>0</v>
      </c>
      <c r="J259" s="919">
        <f t="shared" si="36"/>
        <v>0</v>
      </c>
      <c r="K259" s="915">
        <f>IF(SETUP!$F$56="Upfront",K260,K261)</f>
        <v>0</v>
      </c>
      <c r="L259" s="915">
        <f>IF(SETUP!$F$56="Upfront",L260,L261)</f>
        <v>0</v>
      </c>
      <c r="M259" s="915">
        <f>IF(SETUP!$F$56="Upfront",M260,M261)</f>
        <v>0</v>
      </c>
      <c r="N259" s="915">
        <f>IF(SETUP!$F$56="Upfront",N260,N261)</f>
        <v>0</v>
      </c>
      <c r="O259" s="917">
        <f t="shared" si="37"/>
        <v>0</v>
      </c>
      <c r="P259" s="915">
        <f>IF(SETUP!$F$56="Upfront",P260,P261)</f>
        <v>0</v>
      </c>
      <c r="Q259" s="915">
        <f>IF(SETUP!$F$56="Upfront",Q260,Q261)</f>
        <v>0</v>
      </c>
      <c r="R259" s="915">
        <f>IF(SETUP!$F$56="Upfront",R260,R261)</f>
        <v>0</v>
      </c>
      <c r="S259" s="915">
        <f>IF(SETUP!$F$56="Upfront",S260,S261)</f>
        <v>0</v>
      </c>
      <c r="T259" s="916">
        <f t="shared" si="38"/>
        <v>0</v>
      </c>
      <c r="U259" s="915">
        <f t="shared" si="39"/>
        <v>0</v>
      </c>
      <c r="V259" s="1316">
        <v>7.5</v>
      </c>
      <c r="W259" s="1995"/>
      <c r="X259" s="1341"/>
    </row>
    <row r="260" spans="1:38" s="665" customFormat="1" ht="15" hidden="1" customHeight="1" outlineLevel="1">
      <c r="A260" s="3197"/>
      <c r="B260" s="3198"/>
      <c r="C260" s="3182" t="s">
        <v>777</v>
      </c>
      <c r="D260" s="3182"/>
      <c r="E260" s="1246"/>
      <c r="F260" s="966">
        <f>IF(SETUP!$F$56="Upfront",$E$259*'Malaria-Equipment &amp; Other HPs'!AX18,0)</f>
        <v>0</v>
      </c>
      <c r="G260" s="915">
        <f>IF(SETUP!$F$56="Upfront",$E$259*'Malaria-Equipment &amp; Other HPs'!AY18,0)</f>
        <v>0</v>
      </c>
      <c r="H260" s="915">
        <f>IF(SETUP!$F$56="Upfront",$E$259*'Malaria-Equipment &amp; Other HPs'!AZ18,0)</f>
        <v>0</v>
      </c>
      <c r="I260" s="915">
        <f>IF(SETUP!$F$56="Upfront",$E$259*'Malaria-Equipment &amp; Other HPs'!BA18,0)</f>
        <v>0</v>
      </c>
      <c r="J260" s="919">
        <f t="shared" si="36"/>
        <v>0</v>
      </c>
      <c r="K260" s="915">
        <f>IF(SETUP!$F$56="Upfront",$E$259*'Malaria-Equipment &amp; Other HPs'!BB18,0)</f>
        <v>0</v>
      </c>
      <c r="L260" s="915">
        <f>IF(SETUP!$F$56="Upfront",$E$259*'Malaria-Equipment &amp; Other HPs'!BC18,0)</f>
        <v>0</v>
      </c>
      <c r="M260" s="915">
        <f>IF(SETUP!$F$56="Upfront",$E$259*'Malaria-Equipment &amp; Other HPs'!BD18,0)</f>
        <v>0</v>
      </c>
      <c r="N260" s="915">
        <f>IF(SETUP!$F$56="Upfront",$E$259*'Malaria-Equipment &amp; Other HPs'!BE18,0)</f>
        <v>0</v>
      </c>
      <c r="O260" s="917">
        <f t="shared" si="37"/>
        <v>0</v>
      </c>
      <c r="P260" s="915">
        <f>IF(SETUP!$F$56="Upfront",$E$259*'Malaria-Equipment &amp; Other HPs'!BF18,0)</f>
        <v>0</v>
      </c>
      <c r="Q260" s="915">
        <f>IF(SETUP!$F$56="Upfront",$E$259*'Malaria-Equipment &amp; Other HPs'!BG18,0)</f>
        <v>0</v>
      </c>
      <c r="R260" s="915">
        <f>IF(SETUP!$F$56="Upfront",$E$259*'Malaria-Equipment &amp; Other HPs'!BH18,0)</f>
        <v>0</v>
      </c>
      <c r="S260" s="915">
        <f>IF(SETUP!$F$56="Upfront",$E$259*'Malaria-Equipment &amp; Other HPs'!BI18,0)</f>
        <v>0</v>
      </c>
      <c r="T260" s="916">
        <f t="shared" si="38"/>
        <v>0</v>
      </c>
      <c r="U260" s="915">
        <f t="shared" si="39"/>
        <v>0</v>
      </c>
      <c r="V260" s="1316">
        <v>7.5</v>
      </c>
      <c r="W260" s="1995"/>
      <c r="X260" s="1341"/>
    </row>
    <row r="261" spans="1:38" s="665" customFormat="1" ht="15" hidden="1" customHeight="1" outlineLevel="1">
      <c r="A261" s="3197"/>
      <c r="B261" s="3198"/>
      <c r="C261" s="3182" t="s">
        <v>36</v>
      </c>
      <c r="D261" s="3182"/>
      <c r="E261" s="1246"/>
      <c r="F261" s="967">
        <v>0</v>
      </c>
      <c r="G261" s="932">
        <f>IF(SETUP!$F$56="At delivery",IF(SETUP!$G$56=1,$E$259*'Malaria-Equipment &amp; Other HPs'!AX18,0),0)</f>
        <v>0</v>
      </c>
      <c r="H261" s="932">
        <f>IF(SETUP!$F$56="At delivery",IF(SETUP!$G$56=2,$E$259*'Malaria-Equipment &amp; Other HPs'!AX18,IF(SETUP!$G$56=1,$E$259*'Malaria-Equipment &amp; Other HPs'!AY18,0)),0)</f>
        <v>0</v>
      </c>
      <c r="I261" s="932">
        <f>IF(SETUP!$F$56="At delivery",IF(SETUP!$G$56=3,$E$259*'Malaria-Equipment &amp; Other HPs'!AX18,IF(SETUP!$G$56=2,$E$259*'Malaria-Equipment &amp; Other HPs'!AY18,IF(SETUP!$G$56=1,$E$259*'Malaria-Equipment &amp; Other HPs'!AZ18,0))),0)</f>
        <v>0</v>
      </c>
      <c r="J261" s="919">
        <f t="shared" si="36"/>
        <v>0</v>
      </c>
      <c r="K261" s="931">
        <f>IF(SETUP!$F$56="At delivery",IF(SETUP!$G$56=4,$E$259*'Malaria-Equipment &amp; Other HPs'!AX18,IF(SETUP!$G$56=3,$E$259*'Malaria-Equipment &amp; Other HPs'!AY18,IF(SETUP!$G$56=2,$E$259*'Malaria-Equipment &amp; Other HPs'!AZ18,IF(SETUP!$G$56=1,$E$259*'Malaria-Equipment &amp; Other HPs'!BA18,0)))),0)</f>
        <v>0</v>
      </c>
      <c r="L261" s="931">
        <f>IF(SETUP!$F$56="At delivery",IF(SETUP!$G$56=4,$E$259*'Malaria-Equipment &amp; Other HPs'!AY18,IF(SETUP!$G$56=3,$E$259*'Malaria-Equipment &amp; Other HPs'!AZ18,IF(SETUP!$G$56=2,$E$259*'Malaria-Equipment &amp; Other HPs'!BA18,IF(SETUP!$G$56=1,$E$259*'Malaria-Equipment &amp; Other HPs'!BB18,0)))),0)</f>
        <v>0</v>
      </c>
      <c r="M261" s="931">
        <f>IF(SETUP!$F$56="At delivery",IF(SETUP!$G$56=4,$E$259*'Malaria-Equipment &amp; Other HPs'!AZ18,IF(SETUP!$G$56=3,$E$259*'Malaria-Equipment &amp; Other HPs'!BA18,IF(SETUP!$G$56=2,$E$259*'Malaria-Equipment &amp; Other HPs'!BB18,IF(SETUP!$G$56=1,$E$259*'Malaria-Equipment &amp; Other HPs'!BC18,0)))),0)</f>
        <v>0</v>
      </c>
      <c r="N261" s="931">
        <f>IF(SETUP!$F$56="At delivery",IF(SETUP!$G$56=4,$E$259*'Malaria-Equipment &amp; Other HPs'!BA18,IF(SETUP!$G$56=3,$E$259*'Malaria-Equipment &amp; Other HPs'!BB18,IF(SETUP!$G$56=2,$E$259*'Malaria-Equipment &amp; Other HPs'!BC18,IF(SETUP!$G$56=1,$E$259*'Malaria-Equipment &amp; Other HPs'!BD18,0)))),0)</f>
        <v>0</v>
      </c>
      <c r="O261" s="917">
        <f t="shared" si="37"/>
        <v>0</v>
      </c>
      <c r="P261" s="915">
        <f>IF(SETUP!$F$56="At delivery",IF(SETUP!$G$56=4,$E$259*'Malaria-Equipment &amp; Other HPs'!BB18,IF(SETUP!$G$56=3,$E$259*'Malaria-Equipment &amp; Other HPs'!BC18,IF(SETUP!$G$56=2,$E$259*'Malaria-Equipment &amp; Other HPs'!BD18,IF(SETUP!$G$56=1,$E$259*'Malaria-Equipment &amp; Other HPs'!BE18,0)))),0)</f>
        <v>0</v>
      </c>
      <c r="Q261" s="915">
        <f>IF(SETUP!$F$56="At delivery",IF(SETUP!$G$56=4,$E$259*'Malaria-Equipment &amp; Other HPs'!BC18,IF(SETUP!$G$56=3,$E$259*'Malaria-Equipment &amp; Other HPs'!BD18,IF(SETUP!$G$56=2,$E$259*'Malaria-Equipment &amp; Other HPs'!BE18,IF(SETUP!$G$56=1,$E$259*'Malaria-Equipment &amp; Other HPs'!BF18,0)))),0)</f>
        <v>0</v>
      </c>
      <c r="R261" s="915">
        <f>IF(SETUP!$F$56="At delivery",IF(SETUP!$G$56=4,$E$259*'Malaria-Equipment &amp; Other HPs'!BD18,IF(SETUP!$G$56=3,$E$259*'Malaria-Equipment &amp; Other HPs'!BE18,IF(SETUP!$G$56=2,$E$259*'Malaria-Equipment &amp; Other HPs'!BF18,IF(SETUP!$G$56=1,$E$259*'Malaria-Equipment &amp; Other HPs'!BG18,0)))),0)</f>
        <v>0</v>
      </c>
      <c r="S261" s="915">
        <f>IF(SETUP!$F$56="At delivery",IF(SETUP!$G$56=4,$E$259*('Malaria-Equipment &amp; Other HPs'!BE18+'Malaria-Equipment &amp; Other HPs'!BF18+'Malaria-Equipment &amp; Other HPs'!BG18+'Malaria-Equipment &amp; Other HPs'!BH18+'Malaria-Equipment &amp; Other HPs'!BI18),IF(SETUP!$G$56=3,$E$259*('Malaria-Equipment &amp; Other HPs'!BF18+'Malaria-Equipment &amp; Other HPs'!BG18+'Malaria-Equipment &amp; Other HPs'!BH18+'Malaria-Equipment &amp; Other HPs'!BI18),IF(SETUP!$G$56=2,$E$259*('Malaria-Equipment &amp; Other HPs'!BG18+'Malaria-Equipment &amp; Other HPs'!BH18+'Malaria-Equipment &amp; Other HPs'!BI18),IF(SETUP!$G$56=1,$E$259*('Malaria-Equipment &amp; Other HPs'!BH18+'Malaria-Equipment &amp; Other HPs'!BI18),0)))),0)</f>
        <v>0</v>
      </c>
      <c r="T261" s="916">
        <f t="shared" si="38"/>
        <v>0</v>
      </c>
      <c r="U261" s="915">
        <f t="shared" si="39"/>
        <v>0</v>
      </c>
      <c r="V261" s="1316">
        <v>7.5</v>
      </c>
      <c r="W261" s="1995"/>
      <c r="X261" s="1341"/>
    </row>
    <row r="262" spans="1:38" s="665" customFormat="1" ht="15" hidden="1" customHeight="1" collapsed="1" thickBot="1">
      <c r="A262" s="3197"/>
      <c r="B262" s="3198"/>
      <c r="C262" s="3188" t="s">
        <v>429</v>
      </c>
      <c r="D262" s="3188"/>
      <c r="E262" s="1245">
        <v>0</v>
      </c>
      <c r="F262" s="966">
        <f>IF(SETUP!$F$57="Upfront",F263,F264)</f>
        <v>0</v>
      </c>
      <c r="G262" s="915">
        <f>IF(SETUP!$F$57="Upfront",G263,G264)</f>
        <v>0</v>
      </c>
      <c r="H262" s="915">
        <f>IF(SETUP!$F$57="Upfront",H263,H264)</f>
        <v>0</v>
      </c>
      <c r="I262" s="915">
        <f>IF(SETUP!$F$57="Upfront",I263,I264)</f>
        <v>0</v>
      </c>
      <c r="J262" s="919">
        <f t="shared" si="36"/>
        <v>0</v>
      </c>
      <c r="K262" s="915">
        <f>IF(SETUP!$F$57="Upfront",K263,K264)</f>
        <v>0</v>
      </c>
      <c r="L262" s="915">
        <f>IF(SETUP!$F$57="Upfront",L263,L264)</f>
        <v>0</v>
      </c>
      <c r="M262" s="915">
        <f>IF(SETUP!$F$57="Upfront",M263,M264)</f>
        <v>0</v>
      </c>
      <c r="N262" s="915">
        <f>IF(SETUP!$F$57="Upfront",N263,N264)</f>
        <v>0</v>
      </c>
      <c r="O262" s="917">
        <f t="shared" si="37"/>
        <v>0</v>
      </c>
      <c r="P262" s="915">
        <f>IF(SETUP!$F$57="Upfront",P263,P264)</f>
        <v>0</v>
      </c>
      <c r="Q262" s="915">
        <f>IF(SETUP!$F$57="Upfront",Q263,Q264)</f>
        <v>0</v>
      </c>
      <c r="R262" s="915">
        <f>IF(SETUP!$F$57="Upfront",R263,R264)</f>
        <v>0</v>
      </c>
      <c r="S262" s="915">
        <f>IF(SETUP!$F$57="Upfront",S263,S264)</f>
        <v>0</v>
      </c>
      <c r="T262" s="916">
        <f t="shared" si="38"/>
        <v>0</v>
      </c>
      <c r="U262" s="915">
        <f t="shared" si="39"/>
        <v>0</v>
      </c>
      <c r="V262" s="1316">
        <v>7.5</v>
      </c>
      <c r="W262" s="1995"/>
      <c r="X262" s="1341"/>
    </row>
    <row r="263" spans="1:38" s="665" customFormat="1" ht="15" hidden="1" customHeight="1" outlineLevel="1">
      <c r="A263" s="3197"/>
      <c r="B263" s="3198"/>
      <c r="C263" s="3182" t="s">
        <v>777</v>
      </c>
      <c r="D263" s="3182"/>
      <c r="E263" s="1246"/>
      <c r="F263" s="966">
        <f>IF(SETUP!$F$57="Upfront",$E$262*'Malaria-Equipment &amp; Other HPs'!AX19,0)</f>
        <v>0</v>
      </c>
      <c r="G263" s="915">
        <f>IF(SETUP!$F$57="Upfront",$E$262*'Malaria-Equipment &amp; Other HPs'!AY19,0)</f>
        <v>0</v>
      </c>
      <c r="H263" s="915">
        <f>IF(SETUP!$F$57="Upfront",$E$262*'Malaria-Equipment &amp; Other HPs'!AZ19,0)</f>
        <v>0</v>
      </c>
      <c r="I263" s="915">
        <f>IF(SETUP!$F$57="Upfront",$E$262*'Malaria-Equipment &amp; Other HPs'!BA19,0)</f>
        <v>0</v>
      </c>
      <c r="J263" s="919">
        <f t="shared" si="36"/>
        <v>0</v>
      </c>
      <c r="K263" s="915">
        <f>IF(SETUP!$F$57="Upfront",$E$262*'Malaria-Equipment &amp; Other HPs'!BB19,0)</f>
        <v>0</v>
      </c>
      <c r="L263" s="915">
        <f>IF(SETUP!$F$57="Upfront",$E$262*'Malaria-Equipment &amp; Other HPs'!BC19,0)</f>
        <v>0</v>
      </c>
      <c r="M263" s="915">
        <f>IF(SETUP!$F$57="Upfront",$E$262*'Malaria-Equipment &amp; Other HPs'!BD19,0)</f>
        <v>0</v>
      </c>
      <c r="N263" s="915">
        <f>IF(SETUP!$F$57="Upfront",$E$262*'Malaria-Equipment &amp; Other HPs'!BE19,0)</f>
        <v>0</v>
      </c>
      <c r="O263" s="917">
        <f t="shared" si="37"/>
        <v>0</v>
      </c>
      <c r="P263" s="915">
        <f>IF(SETUP!$F$57="Upfront",$E$262*'Malaria-Equipment &amp; Other HPs'!BF19,0)</f>
        <v>0</v>
      </c>
      <c r="Q263" s="915">
        <f>IF(SETUP!$F$57="Upfront",$E$262*'Malaria-Equipment &amp; Other HPs'!BG19,0)</f>
        <v>0</v>
      </c>
      <c r="R263" s="915">
        <f>IF(SETUP!$F$57="Upfront",$E$262*'Malaria-Equipment &amp; Other HPs'!BH19,0)</f>
        <v>0</v>
      </c>
      <c r="S263" s="915">
        <f>IF(SETUP!$F$57="Upfront",$E$262*'Malaria-Equipment &amp; Other HPs'!BI19,0)</f>
        <v>0</v>
      </c>
      <c r="T263" s="916">
        <f t="shared" si="38"/>
        <v>0</v>
      </c>
      <c r="U263" s="915">
        <f t="shared" si="39"/>
        <v>0</v>
      </c>
      <c r="V263" s="1316">
        <v>7.5</v>
      </c>
      <c r="W263" s="1995"/>
      <c r="X263" s="1341"/>
    </row>
    <row r="264" spans="1:38" s="665" customFormat="1" ht="15" hidden="1" customHeight="1" outlineLevel="1" thickBot="1">
      <c r="A264" s="3197"/>
      <c r="B264" s="3198"/>
      <c r="C264" s="3182" t="s">
        <v>36</v>
      </c>
      <c r="D264" s="3182"/>
      <c r="E264" s="1246"/>
      <c r="F264" s="966">
        <v>0</v>
      </c>
      <c r="G264" s="921">
        <f>IF(SETUP!$F$57="At delivery",IF(SETUP!$G$57=1,$E$262*'Malaria-Equipment &amp; Other HPs'!AX19,0),0)</f>
        <v>0</v>
      </c>
      <c r="H264" s="920">
        <f>IF(SETUP!$F$57="At delivery",IF(SETUP!$G$57=2,$E$262*'Malaria-Equipment &amp; Other HPs'!AX19,IF(SETUP!$G$57=1,$E$262*'Malaria-Equipment &amp; Other HPs'!AY19,0)),0)</f>
        <v>0</v>
      </c>
      <c r="I264" s="920">
        <f>IF(SETUP!$F$57="At delivery",IF(SETUP!$G$57=3,$E$262*'Malaria-Equipment &amp; Other HPs'!AX19,IF(SETUP!$G$57=2,$E$262*'Malaria-Equipment &amp; Other HPs'!AY19,IF(SETUP!$G$57=1,$E$262*'Malaria-Equipment &amp; Other HPs'!AZ19,0))),0)</f>
        <v>0</v>
      </c>
      <c r="J264" s="919">
        <f t="shared" si="36"/>
        <v>0</v>
      </c>
      <c r="K264" s="920">
        <f>IF(SETUP!$F$57="At delivery",IF(SETUP!$G$57=4,$E$262*'Malaria-Equipment &amp; Other HPs'!AX19,IF(SETUP!$G$57=3,$E$262*'Malaria-Equipment &amp; Other HPs'!AY19,IF(SETUP!$G$57=2,$E$262*'Malaria-Equipment &amp; Other HPs'!AZ19,IF(SETUP!$G$57=1,$E$262*'Malaria-Equipment &amp; Other HPs'!BA19,0)))),0)</f>
        <v>0</v>
      </c>
      <c r="L264" s="920">
        <f>IF(SETUP!$F$57="At delivery",IF(SETUP!$G$57=4,$E$262*'Malaria-Equipment &amp; Other HPs'!AY19,IF(SETUP!$G$57=3,$E$262*'Malaria-Equipment &amp; Other HPs'!AZ19,IF(SETUP!$G$57=2,$E$262*'Malaria-Equipment &amp; Other HPs'!BA19,IF(SETUP!$G$57=1,$E$262*'Malaria-Equipment &amp; Other HPs'!BB19,0)))),0)</f>
        <v>0</v>
      </c>
      <c r="M264" s="920">
        <f>IF(SETUP!$F$57="At delivery",IF(SETUP!$G$57=4,$E$262*'Malaria-Equipment &amp; Other HPs'!AZ19,IF(SETUP!$G$57=3,$E$262*'Malaria-Equipment &amp; Other HPs'!BA19,IF(SETUP!$G$57=2,$E$262*'Malaria-Equipment &amp; Other HPs'!BB19,IF(SETUP!$G$57=1,$E$262*'Malaria-Equipment &amp; Other HPs'!BC19,0)))),0)</f>
        <v>0</v>
      </c>
      <c r="N264" s="920">
        <f>IF(SETUP!$F$57="At delivery",IF(SETUP!$G$57=4,$E$262*'Malaria-Equipment &amp; Other HPs'!BA19,IF(SETUP!$G$57=3,$E$262*'Malaria-Equipment &amp; Other HPs'!BB19,IF(SETUP!$G$57=2,$E$262*'Malaria-Equipment &amp; Other HPs'!BC19,IF(SETUP!$G$57=1,$E$262*'Malaria-Equipment &amp; Other HPs'!BD19,0)))),0)</f>
        <v>0</v>
      </c>
      <c r="O264" s="917">
        <f t="shared" si="37"/>
        <v>0</v>
      </c>
      <c r="P264" s="915">
        <f>IF(SETUP!$F$57="At delivery",IF(SETUP!$G$57=4,$E$262*'Malaria-Equipment &amp; Other HPs'!BB19,IF(SETUP!$G$57=3,$E$262*'Malaria-Equipment &amp; Other HPs'!BC19,IF(SETUP!$G$57=2,$E$262*'Malaria-Equipment &amp; Other HPs'!BD19,IF(SETUP!$G$57=1,$E$262*'Malaria-Equipment &amp; Other HPs'!BE19,0)))),0)</f>
        <v>0</v>
      </c>
      <c r="Q264" s="915">
        <f>IF(SETUP!$F$57="At delivery",IF(SETUP!$G$57=4,$E$262*'Malaria-Equipment &amp; Other HPs'!BC19,IF(SETUP!$G$57=3,$E$262*'Malaria-Equipment &amp; Other HPs'!BD19,IF(SETUP!$G$57=2,$E$262*'Malaria-Equipment &amp; Other HPs'!BE19,IF(SETUP!$G$57=1,$E$262*'Malaria-Equipment &amp; Other HPs'!BF19,0)))),0)</f>
        <v>0</v>
      </c>
      <c r="R264" s="915">
        <f>IF(SETUP!$F$57="At delivery",IF(SETUP!$G$57=4,$E$262*'Malaria-Equipment &amp; Other HPs'!BD19,IF(SETUP!$G$57=3,$E$262*'Malaria-Equipment &amp; Other HPs'!BE19,IF(SETUP!$G$57=2,$E$262*'Malaria-Equipment &amp; Other HPs'!BF19,IF(SETUP!$G$57=1,$E$262*'Malaria-Equipment &amp; Other HPs'!BG19,0)))),0)</f>
        <v>0</v>
      </c>
      <c r="S264" s="915">
        <f>IF(SETUP!$F$57="At delivery",IF(SETUP!$G$57=4,$E$262*('Malaria-Equipment &amp; Other HPs'!BE19+'Malaria-Equipment &amp; Other HPs'!BF19+'Malaria-Equipment &amp; Other HPs'!BG19+'Malaria-Equipment &amp; Other HPs'!BH19+'Malaria-Equipment &amp; Other HPs'!BI19),IF(SETUP!$G$57=3,$E$262*('Malaria-Equipment &amp; Other HPs'!BF19+'Malaria-Equipment &amp; Other HPs'!BG19+'Malaria-Equipment &amp; Other HPs'!BH19+'Malaria-Equipment &amp; Other HPs'!BI19),IF(SETUP!$G$57=2,$E$262*('Malaria-Equipment &amp; Other HPs'!BG19+'Malaria-Equipment &amp; Other HPs'!BH19+'Malaria-Equipment &amp; Other HPs'!BI19),IF(SETUP!$G$57=1,$E$262*('Malaria-Equipment &amp; Other HPs'!BH19+'Malaria-Equipment &amp; Other HPs'!BI19),0)))),0)</f>
        <v>0</v>
      </c>
      <c r="T264" s="916">
        <f t="shared" si="38"/>
        <v>0</v>
      </c>
      <c r="U264" s="915">
        <f t="shared" si="39"/>
        <v>0</v>
      </c>
      <c r="V264" s="1316">
        <v>7.5</v>
      </c>
      <c r="W264" s="1995"/>
      <c r="X264" s="1341"/>
    </row>
    <row r="265" spans="1:38" s="665" customFormat="1" ht="15" hidden="1" customHeight="1" collapsed="1" thickBot="1">
      <c r="A265" s="3199"/>
      <c r="B265" s="3200"/>
      <c r="C265" s="3204" t="s">
        <v>459</v>
      </c>
      <c r="D265" s="3204"/>
      <c r="E265" s="1245">
        <v>0</v>
      </c>
      <c r="F265" s="1025">
        <f>IF(SETUP!$F$58="Upfront",F266,F267)</f>
        <v>0</v>
      </c>
      <c r="G265" s="969">
        <f>IF(SETUP!$F$58="Upfront",G266,G267)</f>
        <v>0</v>
      </c>
      <c r="H265" s="969">
        <f>IF(SETUP!$F$58="Upfront",H266,H267)</f>
        <v>0</v>
      </c>
      <c r="I265" s="969">
        <f>IF(SETUP!$F$58="Upfront",I266,I267)</f>
        <v>0</v>
      </c>
      <c r="J265" s="970">
        <f t="shared" si="36"/>
        <v>0</v>
      </c>
      <c r="K265" s="969">
        <f>IF(SETUP!$F$58="Upfront",K266,K267)</f>
        <v>0</v>
      </c>
      <c r="L265" s="969">
        <f>IF(SETUP!$F$58="Upfront",L266,L267)</f>
        <v>0</v>
      </c>
      <c r="M265" s="969">
        <f>IF(SETUP!$F$58="Upfront",M266,M267)</f>
        <v>0</v>
      </c>
      <c r="N265" s="969">
        <f>IF(SETUP!$F$58="Upfront",N266,N267)</f>
        <v>0</v>
      </c>
      <c r="O265" s="971">
        <f t="shared" si="37"/>
        <v>0</v>
      </c>
      <c r="P265" s="969">
        <f>IF(SETUP!$F$58="Upfront",P266,P267)</f>
        <v>0</v>
      </c>
      <c r="Q265" s="969">
        <f>IF(SETUP!$F$58="Upfront",Q266,Q267)</f>
        <v>0</v>
      </c>
      <c r="R265" s="969">
        <f>IF(SETUP!$F$58="Upfront",R266,R267)</f>
        <v>0</v>
      </c>
      <c r="S265" s="969">
        <f>IF(SETUP!$F$58="Upfront",S266,S267)</f>
        <v>0</v>
      </c>
      <c r="T265" s="972">
        <f t="shared" si="38"/>
        <v>0</v>
      </c>
      <c r="U265" s="969">
        <f t="shared" si="39"/>
        <v>0</v>
      </c>
      <c r="V265" s="1317">
        <v>7.5</v>
      </c>
      <c r="W265" s="1996"/>
      <c r="X265" s="1342"/>
    </row>
    <row r="266" spans="1:38" s="665" customFormat="1" ht="15" hidden="1" customHeight="1" outlineLevel="1">
      <c r="A266" s="1027"/>
      <c r="B266" s="1028"/>
      <c r="C266" s="3241" t="s">
        <v>777</v>
      </c>
      <c r="D266" s="3241"/>
      <c r="E266" s="1218"/>
      <c r="F266" s="922">
        <f>IF(SETUP!$F$58="Upfront",$E$265*'Malaria-Equipment &amp; Other HPs'!AX20,0)</f>
        <v>0</v>
      </c>
      <c r="G266" s="922">
        <f>IF(SETUP!$F$58="Upfront",$E$265*'Malaria-Equipment &amp; Other HPs'!AY20,0)</f>
        <v>0</v>
      </c>
      <c r="H266" s="922">
        <f>IF(SETUP!$F$58="Upfront",$E$265*'Malaria-Equipment &amp; Other HPs'!AZ20,0)</f>
        <v>0</v>
      </c>
      <c r="I266" s="922">
        <f>IF(SETUP!$F$58="Upfront",$E$265*'Malaria-Equipment &amp; Other HPs'!BA20,0)</f>
        <v>0</v>
      </c>
      <c r="J266" s="923"/>
      <c r="K266" s="922">
        <f>IF(SETUP!$F$58="Upfront",$E$265*'Malaria-Equipment &amp; Other HPs'!BB20,0)</f>
        <v>0</v>
      </c>
      <c r="L266" s="922">
        <f>IF(SETUP!$F$58="Upfront",$E$265*'Malaria-Equipment &amp; Other HPs'!BC20,0)</f>
        <v>0</v>
      </c>
      <c r="M266" s="922">
        <f>IF(SETUP!$F$58="Upfront",$E$265*'Malaria-Equipment &amp; Other HPs'!BD20,0)</f>
        <v>0</v>
      </c>
      <c r="N266" s="922">
        <f>IF(SETUP!$F$58="Upfront",$E$265*'Malaria-Equipment &amp; Other HPs'!BE20,0)</f>
        <v>0</v>
      </c>
      <c r="O266" s="924"/>
      <c r="P266" s="922">
        <f>IF(SETUP!$F$58="Upfront",$E$265*'Malaria-Equipment &amp; Other HPs'!BF20,0)</f>
        <v>0</v>
      </c>
      <c r="Q266" s="922">
        <f>IF(SETUP!$F$58="Upfront",$E$265*'Malaria-Equipment &amp; Other HPs'!BG20,0)</f>
        <v>0</v>
      </c>
      <c r="R266" s="922">
        <f>IF(SETUP!$F$58="Upfront",$E$265*'Malaria-Equipment &amp; Other HPs'!BH20,0)</f>
        <v>0</v>
      </c>
      <c r="S266" s="922">
        <f>IF(SETUP!$F$58="Upfront",$E$265*'Malaria-Equipment &amp; Other HPs'!BI20,0)</f>
        <v>0</v>
      </c>
      <c r="T266" s="922"/>
      <c r="U266" s="922"/>
      <c r="V266" s="737"/>
      <c r="W266" s="1998"/>
    </row>
    <row r="267" spans="1:38" s="665" customFormat="1" ht="15" hidden="1" customHeight="1" outlineLevel="1" thickBot="1">
      <c r="A267" s="976"/>
      <c r="B267" s="977"/>
      <c r="C267" s="3244" t="s">
        <v>36</v>
      </c>
      <c r="D267" s="3244"/>
      <c r="E267" s="1217"/>
      <c r="F267" s="926">
        <v>0</v>
      </c>
      <c r="G267" s="927">
        <f>IF(SETUP!$F$58="At delivery",IF(SETUP!$G$58=1,$E$265*'Malaria-Equipment &amp; Other HPs'!AX20,0),0)</f>
        <v>0</v>
      </c>
      <c r="H267" s="928">
        <f>IF(SETUP!$F$58="At delivery",IF(SETUP!$G$58=2,$E$265*'Malaria-Equipment &amp; Other HPs'!AX20,IF(SETUP!$G$58=1,$E$265*'Malaria-Equipment &amp; Other HPs'!AY20,0)),0)</f>
        <v>0</v>
      </c>
      <c r="I267" s="928">
        <f>IF(SETUP!$F$58="At delivery",IF(SETUP!$G$58=3,$E$265*'Malaria-Equipment &amp; Other HPs'!AX20,IF(SETUP!$G$58=2,$E$265*'Malaria-Equipment &amp; Other HPs'!AY20,IF(SETUP!$G$58=1,$E$265*'Malaria-Equipment &amp; Other HPs'!AZ20,0))),0)</f>
        <v>0</v>
      </c>
      <c r="J267" s="911"/>
      <c r="K267" s="928">
        <f>IF(SETUP!$F$58="At delivery",IF(SETUP!$G$58=4,$E$265*'Malaria-Equipment &amp; Other HPs'!AX20,IF(SETUP!$G$58=3,$E$265*'Malaria-Equipment &amp; Other HPs'!AY20,IF(SETUP!$G$58=2,$E$265*'Malaria-Equipment &amp; Other HPs'!AZ20,IF(SETUP!$G$58=1,$E$265*'Malaria-Equipment &amp; Other HPs'!BA20,0)))),0)</f>
        <v>0</v>
      </c>
      <c r="L267" s="928">
        <f>IF(SETUP!$F$58="At delivery",IF(SETUP!$G$58=4,$E$265*'Malaria-Equipment &amp; Other HPs'!AY20,IF(SETUP!$G$58=3,$E$265*'Malaria-Equipment &amp; Other HPs'!AZ20,IF(SETUP!$G$58=2,$E$265*'Malaria-Equipment &amp; Other HPs'!BA20,IF(SETUP!$G$58=1,$E$265*'Malaria-Equipment &amp; Other HPs'!BB20,0)))),0)</f>
        <v>0</v>
      </c>
      <c r="M267" s="928">
        <f>IF(SETUP!$F$58="At delivery",IF(SETUP!$G$58=4,$E$265*'Malaria-Equipment &amp; Other HPs'!AZ20,IF(SETUP!$G$58=3,$E$265*'Malaria-Equipment &amp; Other HPs'!BA20,IF(SETUP!$G$58=2,$E$265*'Malaria-Equipment &amp; Other HPs'!BB20,IF(SETUP!$G$58=1,$E$265*'Malaria-Equipment &amp; Other HPs'!BC20,0)))),0)</f>
        <v>0</v>
      </c>
      <c r="N267" s="928">
        <f>IF(SETUP!$F$58="At delivery",IF(SETUP!$G$58=4,$E$265*'Malaria-Equipment &amp; Other HPs'!BA20,IF(SETUP!$G$58=3,$E$265*'Malaria-Equipment &amp; Other HPs'!BB20,IF(SETUP!$G$58=2,$E$265*'Malaria-Equipment &amp; Other HPs'!BC20,IF(SETUP!$G$58=1,$E$265*'Malaria-Equipment &amp; Other HPs'!BD20,0)))),0)</f>
        <v>0</v>
      </c>
      <c r="O267" s="929"/>
      <c r="P267" s="926">
        <f>IF(SETUP!$F$58="At delivery",IF(SETUP!$G$58=4,$E$265*'Malaria-Equipment &amp; Other HPs'!BB20,IF(SETUP!$G$58=3,$E$265*'Malaria-Equipment &amp; Other HPs'!BC20,IF(SETUP!$G$58=2,$E$265*'Malaria-Equipment &amp; Other HPs'!BD20,IF(SETUP!$G$58=1,$E$265*'Malaria-Equipment &amp; Other HPs'!BE20,0)))),0)</f>
        <v>0</v>
      </c>
      <c r="Q267" s="926">
        <f>IF(SETUP!$F$58="At delivery",IF(SETUP!$G$58=4,$E$265*'Malaria-Equipment &amp; Other HPs'!BC20,IF(SETUP!$G$58=3,$E$265*'Malaria-Equipment &amp; Other HPs'!BD20,IF(SETUP!$G$58=2,$E$265*'Malaria-Equipment &amp; Other HPs'!BE20,IF(SETUP!$G$58=1,$E$265*'Malaria-Equipment &amp; Other HPs'!BF20,0)))),0)</f>
        <v>0</v>
      </c>
      <c r="R267" s="926">
        <f>IF(SETUP!$F$58="At delivery",IF(SETUP!$G$58=4,$E$265*'Malaria-Equipment &amp; Other HPs'!BD20,IF(SETUP!$G$58=3,$E$265*'Malaria-Equipment &amp; Other HPs'!BE20,IF(SETUP!$G$58=2,$E$265*'Malaria-Equipment &amp; Other HPs'!BF20,IF(SETUP!$G$58=1,$E$265*'Malaria-Equipment &amp; Other HPs'!BG20,0)))),0)</f>
        <v>0</v>
      </c>
      <c r="S267" s="930">
        <f>IF(SETUP!$F$58="At delivery",IF(SETUP!$G$58=4,$E$265*('Malaria-Equipment &amp; Other HPs'!BE20+'Malaria-Equipment &amp; Other HPs'!BF20+'Malaria-Equipment &amp; Other HPs'!BG20+'Malaria-Equipment &amp; Other HPs'!BH20+'Malaria-Equipment &amp; Other HPs'!BI20),IF(SETUP!$G$58=3,$E$265*('Malaria-Equipment &amp; Other HPs'!BF20+'Malaria-Equipment &amp; Other HPs'!BG20+'Malaria-Equipment &amp; Other HPs'!BH20+'Malaria-Equipment &amp; Other HPs'!BI20),IF(SETUP!$G$58=2,$E$265*('Malaria-Equipment &amp; Other HPs'!BG20+'Malaria-Equipment &amp; Other HPs'!BH20+'Malaria-Equipment &amp; Other HPs'!BI20),IF(SETUP!$G$58=1,$E$265*('Malaria-Equipment &amp; Other HPs'!BH20+'Malaria-Equipment &amp; Other HPs'!BI20),0)))),0)</f>
        <v>0</v>
      </c>
      <c r="T267" s="933"/>
      <c r="U267" s="933"/>
      <c r="V267" s="739"/>
      <c r="W267" s="1998"/>
    </row>
    <row r="268" spans="1:38" s="665" customFormat="1" ht="15" customHeight="1" collapsed="1">
      <c r="A268" s="667"/>
      <c r="B268" s="667"/>
      <c r="C268" s="668"/>
      <c r="D268" s="669"/>
      <c r="E268" s="670"/>
      <c r="F268" s="669"/>
      <c r="G268" s="669"/>
      <c r="H268" s="669"/>
      <c r="I268" s="671"/>
      <c r="U268" s="1718">
        <f>U187+U190+U193+U196+U199+U202+U205+U208+U211+U214+U217+U220+U223+U226+U229+U232+U235+U238+U241+U244+U247+U250+U253+U256+U259+U262+U265</f>
        <v>0</v>
      </c>
      <c r="V268" s="736"/>
      <c r="W268" s="1998"/>
      <c r="Y268" s="672"/>
      <c r="Z268" s="669"/>
      <c r="AA268" s="1724"/>
      <c r="AB268" s="669"/>
      <c r="AC268" s="669"/>
      <c r="AD268" s="669"/>
      <c r="AE268" s="669"/>
      <c r="AF268" s="669"/>
      <c r="AG268" s="669"/>
      <c r="AH268" s="669"/>
      <c r="AI268" s="669"/>
      <c r="AJ268" s="669"/>
      <c r="AK268" s="669"/>
      <c r="AL268" s="669"/>
    </row>
    <row r="269" spans="1:38" s="1081" customFormat="1" ht="27" customHeight="1" thickBot="1">
      <c r="A269" s="3205" t="s">
        <v>461</v>
      </c>
      <c r="B269" s="3205"/>
      <c r="C269" s="3205"/>
      <c r="D269" s="3205"/>
      <c r="E269" s="3205"/>
      <c r="F269" s="1080"/>
      <c r="G269" s="1080"/>
      <c r="H269" s="1080"/>
      <c r="V269" s="1082"/>
      <c r="W269" s="1999"/>
      <c r="Y269" s="672"/>
      <c r="Z269" s="1080"/>
      <c r="AA269" s="1080"/>
      <c r="AB269" s="1080"/>
      <c r="AC269" s="1080"/>
      <c r="AD269" s="1080"/>
      <c r="AE269" s="1080"/>
      <c r="AF269" s="1080"/>
      <c r="AG269" s="1080"/>
      <c r="AH269" s="1080"/>
      <c r="AI269" s="1080"/>
      <c r="AJ269" s="1080"/>
      <c r="AK269" s="1080"/>
      <c r="AL269" s="1080"/>
    </row>
    <row r="270" spans="1:38" s="665" customFormat="1" ht="15" customHeight="1">
      <c r="A270" s="3233" t="str">
        <f>A184</f>
        <v>Tipo de producto sanitario</v>
      </c>
      <c r="B270" s="3234"/>
      <c r="C270" s="3234"/>
      <c r="D270" s="3234"/>
      <c r="E270" s="3206" t="str">
        <f>VLOOKUP("Estimated PSM Customs Clearance fee (7.6)",Language!$D$794:$G$881,$L$1,FALSE)</f>
        <v>Honorario estimado del despacho de aduana de la gestión de adquisiciones y suministros (7.6)</v>
      </c>
      <c r="F270" s="3209">
        <f>IF(ISBLANK(IMP_ST_DATE),SETUP!$A$3,YEAR(IMP_ST_DATE))</f>
        <v>2022</v>
      </c>
      <c r="G270" s="3210"/>
      <c r="H270" s="3210"/>
      <c r="I270" s="3210"/>
      <c r="J270" s="3211"/>
      <c r="K270" s="3215">
        <f>IF(ISBLANK(IMP_ST_DATE),SETUP!$A$3,YEAR(IMP_ST_DATE)+1)</f>
        <v>2023</v>
      </c>
      <c r="L270" s="3215"/>
      <c r="M270" s="3215"/>
      <c r="N270" s="3215"/>
      <c r="O270" s="3216"/>
      <c r="P270" s="3209">
        <f>IF(ISBLANK(IMP_ST_DATE),SETUP!$A$3,YEAR(IMP_ST_DATE)+2)</f>
        <v>2024</v>
      </c>
      <c r="Q270" s="3210"/>
      <c r="R270" s="3210"/>
      <c r="S270" s="3210"/>
      <c r="T270" s="3219"/>
      <c r="U270" s="3287" t="str">
        <f>U184</f>
        <v>Total del período de subvención</v>
      </c>
      <c r="V270" s="3289" t="str">
        <f>V184</f>
        <v>Finanzas</v>
      </c>
      <c r="W270" s="3284" t="str">
        <f>W184</f>
        <v>Comentarios</v>
      </c>
      <c r="X270" s="3281"/>
      <c r="Y270" s="3250" t="s">
        <v>144</v>
      </c>
    </row>
    <row r="271" spans="1:38" s="665" customFormat="1" ht="24" customHeight="1" thickBot="1">
      <c r="A271" s="3235"/>
      <c r="B271" s="3236"/>
      <c r="C271" s="3236"/>
      <c r="D271" s="3236"/>
      <c r="E271" s="3207"/>
      <c r="F271" s="3212"/>
      <c r="G271" s="3213"/>
      <c r="H271" s="3213"/>
      <c r="I271" s="3213"/>
      <c r="J271" s="3214"/>
      <c r="K271" s="3217"/>
      <c r="L271" s="3217"/>
      <c r="M271" s="3217"/>
      <c r="N271" s="3217"/>
      <c r="O271" s="3218"/>
      <c r="P271" s="3212"/>
      <c r="Q271" s="3213"/>
      <c r="R271" s="3213"/>
      <c r="S271" s="3213"/>
      <c r="T271" s="3220"/>
      <c r="U271" s="3288"/>
      <c r="V271" s="3290"/>
      <c r="W271" s="3286"/>
      <c r="X271" s="3282"/>
      <c r="Y271" s="3251"/>
    </row>
    <row r="272" spans="1:38" s="666" customFormat="1" ht="62.25" customHeight="1" thickBot="1">
      <c r="A272" s="3237"/>
      <c r="B272" s="3238"/>
      <c r="C272" s="3238"/>
      <c r="D272" s="3238"/>
      <c r="E272" s="3208"/>
      <c r="F272" s="651" t="str">
        <f>F186</f>
        <v>Costo del A1, T1</v>
      </c>
      <c r="G272" s="961" t="str">
        <f t="shared" ref="G272:V272" si="40">G186</f>
        <v>Costo del A1, T2</v>
      </c>
      <c r="H272" s="961" t="str">
        <f t="shared" si="40"/>
        <v>Costo del A1, T3</v>
      </c>
      <c r="I272" s="961" t="str">
        <f t="shared" si="40"/>
        <v>Costo del A1, T4</v>
      </c>
      <c r="J272" s="962" t="str">
        <f t="shared" si="40"/>
        <v>Costo total del A1</v>
      </c>
      <c r="K272" s="961" t="str">
        <f t="shared" si="40"/>
        <v>Costo del A2, T1</v>
      </c>
      <c r="L272" s="961" t="str">
        <f t="shared" si="40"/>
        <v>Costo del A2, T2</v>
      </c>
      <c r="M272" s="961" t="str">
        <f t="shared" si="40"/>
        <v>Costo del A2, T3</v>
      </c>
      <c r="N272" s="961" t="str">
        <f t="shared" si="40"/>
        <v>Costo del A2, T4</v>
      </c>
      <c r="O272" s="962" t="str">
        <f t="shared" si="40"/>
        <v>Costo total del A2</v>
      </c>
      <c r="P272" s="961" t="str">
        <f t="shared" si="40"/>
        <v>Costo del A3, T1</v>
      </c>
      <c r="Q272" s="961" t="str">
        <f t="shared" si="40"/>
        <v>Costo del A3, T2</v>
      </c>
      <c r="R272" s="961" t="str">
        <f t="shared" si="40"/>
        <v>Costo del A3, T3</v>
      </c>
      <c r="S272" s="961" t="str">
        <f t="shared" si="40"/>
        <v>Costo del A3, T4</v>
      </c>
      <c r="T272" s="653" t="str">
        <f t="shared" si="40"/>
        <v>Costo total del A3</v>
      </c>
      <c r="U272" s="1337" t="str">
        <f t="shared" si="40"/>
        <v xml:space="preserve">Costo total </v>
      </c>
      <c r="V272" s="1339" t="str">
        <f t="shared" si="40"/>
        <v>Categoría de costos</v>
      </c>
      <c r="W272" s="3285"/>
      <c r="X272" s="3283"/>
    </row>
    <row r="273" spans="1:24" s="665" customFormat="1" ht="15" customHeight="1" thickBot="1">
      <c r="A273" s="3191" t="s">
        <v>435</v>
      </c>
      <c r="B273" s="3192"/>
      <c r="C273" s="3203" t="s">
        <v>436</v>
      </c>
      <c r="D273" s="3203"/>
      <c r="E273" s="1245">
        <v>0</v>
      </c>
      <c r="F273" s="994">
        <f>IF(SETUP!$F$20="Upfront",F274,F275)</f>
        <v>0</v>
      </c>
      <c r="G273" s="995">
        <f>IF(SETUP!$F$20="Upfront",G274,G275)</f>
        <v>0</v>
      </c>
      <c r="H273" s="996">
        <f>IF(SETUP!$F$20="Upfront",H274,H275)</f>
        <v>0</v>
      </c>
      <c r="I273" s="996">
        <f>IF(SETUP!$F$20="Upfront",I274,I275)</f>
        <v>0</v>
      </c>
      <c r="J273" s="997">
        <f>F273+G273+H273+I273</f>
        <v>0</v>
      </c>
      <c r="K273" s="996">
        <f>IF(SETUP!$F$20="Upfront",K274,K275)</f>
        <v>0</v>
      </c>
      <c r="L273" s="996">
        <f>IF(SETUP!$F$20="Upfront",L274,L275)</f>
        <v>0</v>
      </c>
      <c r="M273" s="996">
        <f>IF(SETUP!$F$20="Upfront",M274,M275)</f>
        <v>0</v>
      </c>
      <c r="N273" s="996">
        <f>IF(SETUP!$F$20="Upfront",N274,N275)</f>
        <v>0</v>
      </c>
      <c r="O273" s="998">
        <f>K273+L273+M273+N273</f>
        <v>0</v>
      </c>
      <c r="P273" s="999">
        <f>IF(SETUP!$F$20="Upfront",P274,P275)</f>
        <v>0</v>
      </c>
      <c r="Q273" s="999">
        <f>IF(SETUP!$F$20="Upfront",Q274,Q275)</f>
        <v>0</v>
      </c>
      <c r="R273" s="999">
        <f>IF(SETUP!$F$20="Upfront",R274,R275)</f>
        <v>0</v>
      </c>
      <c r="S273" s="999">
        <f>IF(SETUP!$F$20="Upfront",S274,S275)</f>
        <v>0</v>
      </c>
      <c r="T273" s="1009">
        <f>P273+Q273+R273+S273</f>
        <v>0</v>
      </c>
      <c r="U273" s="999">
        <f>J273+O273+T273</f>
        <v>0</v>
      </c>
      <c r="V273" s="1316">
        <v>7.6</v>
      </c>
      <c r="W273" s="1994"/>
      <c r="X273" s="1340"/>
    </row>
    <row r="274" spans="1:24" s="665" customFormat="1" ht="15" hidden="1" customHeight="1" outlineLevel="1">
      <c r="A274" s="3193"/>
      <c r="B274" s="3194"/>
      <c r="C274" s="3182" t="s">
        <v>777</v>
      </c>
      <c r="D274" s="3182"/>
      <c r="E274" s="1246"/>
      <c r="F274" s="966">
        <f>IF(SETUP!$F$20="Upfront",$E$273*'HIV-Pharmaceuticals'!AX14,0)</f>
        <v>0</v>
      </c>
      <c r="G274" s="921">
        <f>IF(SETUP!$F$20="Upfront",$E$273*'HIV-Pharmaceuticals'!AY14,0)</f>
        <v>0</v>
      </c>
      <c r="H274" s="920">
        <f>IF(SETUP!$F$20="Upfront",$E$273*'HIV-Pharmaceuticals'!AZ14,0)</f>
        <v>0</v>
      </c>
      <c r="I274" s="920">
        <f>IF(SETUP!$F$20="Upfront",$E$273*'HIV-Pharmaceuticals'!BA14,0)</f>
        <v>0</v>
      </c>
      <c r="J274" s="919">
        <f>'HPM costs'!$F274+'HPM costs'!$G274+'HPM costs'!$H274+'HPM costs'!$I274</f>
        <v>0</v>
      </c>
      <c r="K274" s="920">
        <f>IF(SETUP!$F$20="Upfront",$E$273*'HIV-Pharmaceuticals'!BB14,0)</f>
        <v>0</v>
      </c>
      <c r="L274" s="920">
        <f>IF(SETUP!$F$20="Upfront",$E$273*'HIV-Pharmaceuticals'!BC14,0)</f>
        <v>0</v>
      </c>
      <c r="M274" s="920">
        <f>IF(SETUP!$F$20="Upfront",$E$273*'HIV-Pharmaceuticals'!BD14,0)</f>
        <v>0</v>
      </c>
      <c r="N274" s="920">
        <f>IF(SETUP!$F$20="Upfront",$E$273*'HIV-Pharmaceuticals'!BE14,0)</f>
        <v>0</v>
      </c>
      <c r="O274" s="917">
        <f>'HPM costs'!$F274+'HPM costs'!$G274+'HPM costs'!$H274+'HPM costs'!$I274</f>
        <v>0</v>
      </c>
      <c r="P274" s="915">
        <f>IF(SETUP!$F$20="Upfront",$E$273*'HIV-Pharmaceuticals'!BF14,0)</f>
        <v>0</v>
      </c>
      <c r="Q274" s="915">
        <f>IF(SETUP!$F$20="Upfront",$E$273*'HIV-Pharmaceuticals'!BG14,0)</f>
        <v>0</v>
      </c>
      <c r="R274" s="915">
        <f>IF(SETUP!$F$20="Upfront",$E$273*'HIV-Pharmaceuticals'!BH14,0)</f>
        <v>0</v>
      </c>
      <c r="S274" s="915">
        <f>IF(SETUP!$F$20="Upfront",$E$273*'HIV-Pharmaceuticals'!BI14,0)</f>
        <v>0</v>
      </c>
      <c r="T274" s="934">
        <f>'HPM costs'!$F274+'HPM costs'!$G274+'HPM costs'!$H274+'HPM costs'!$I274</f>
        <v>0</v>
      </c>
      <c r="U274" s="915">
        <f>'HPM costs'!$J274+'HPM costs'!$O274+'HPM costs'!$T274</f>
        <v>0</v>
      </c>
      <c r="V274" s="1316"/>
      <c r="W274" s="1995"/>
      <c r="X274" s="1341"/>
    </row>
    <row r="275" spans="1:24" s="665" customFormat="1" ht="15" hidden="1" customHeight="1" outlineLevel="1">
      <c r="A275" s="3193"/>
      <c r="B275" s="3194"/>
      <c r="C275" s="3182" t="s">
        <v>36</v>
      </c>
      <c r="D275" s="3182"/>
      <c r="E275" s="1246"/>
      <c r="F275" s="966">
        <v>0</v>
      </c>
      <c r="G275" s="921">
        <f>IF(SETUP!$F$20="At delivery",IF(SETUP!$G$20=1,$E$273*'HIV-Pharmaceuticals'!AX14,0),0)</f>
        <v>0</v>
      </c>
      <c r="H275" s="920">
        <f>IF(SETUP!$F$20="At delivery",IF(SETUP!$G$20=2,$E$273*'HIV-Pharmaceuticals'!AX14,IF(SETUP!$G$20=1,$E$273*'HIV-Pharmaceuticals'!AY14,0)),0)</f>
        <v>0</v>
      </c>
      <c r="I275" s="920">
        <f>IF(SETUP!$F$20="At delivery",IF(SETUP!$G$20=3,$E$273*'HIV-Pharmaceuticals'!AX14,IF(SETUP!$G$20=2,$E$273*'HIV-Pharmaceuticals'!AY14,IF(SETUP!$G$20=1,$E$273*'HIV-Pharmaceuticals'!AZ14,0))),0)</f>
        <v>0</v>
      </c>
      <c r="J275" s="919">
        <f>'HPM costs'!$F275+'HPM costs'!$G275+'HPM costs'!$H275+'HPM costs'!$I275</f>
        <v>0</v>
      </c>
      <c r="K275" s="920">
        <f>IF(SETUP!$F$20="At delivery",IF(SETUP!$G$20=4,$E$273*'HIV-Pharmaceuticals'!AX14,IF(SETUP!$G$20=3,$E$273*'HIV-Pharmaceuticals'!AY14,IF(SETUP!$G$20=2,$E$273*'HIV-Pharmaceuticals'!AZ14,IF(SETUP!$G$20=1,$E$273*'HIV-Pharmaceuticals'!BA14,0)))),0)</f>
        <v>0</v>
      </c>
      <c r="L275" s="920">
        <f>IF(SETUP!$F$20="At delivery",IF(SETUP!$G$20=4,$E$273*'HIV-Pharmaceuticals'!AY14,IF(SETUP!$G$20=3,$E$273*'HIV-Pharmaceuticals'!AZ14,IF(SETUP!$G$20=2,$E$273*'HIV-Pharmaceuticals'!BA14,IF(SETUP!$G$20=1,$E$273*'HIV-Pharmaceuticals'!BB14,0)))),0)</f>
        <v>0</v>
      </c>
      <c r="M275" s="920">
        <f>IF(SETUP!$F$20="At delivery",IF(SETUP!$G$20=4,$E$273*'HIV-Pharmaceuticals'!AZ14,IF(SETUP!$G$20=3,$E$273*'HIV-Pharmaceuticals'!BA14,IF(SETUP!$G$20=2,$E$273*'HIV-Pharmaceuticals'!BB14,IF(SETUP!$G$20=1,$E$273*'HIV-Pharmaceuticals'!BC14,0)))),0)</f>
        <v>0</v>
      </c>
      <c r="N275" s="920">
        <f>IF(SETUP!$F$20="At delivery",IF(SETUP!$G$20=4,$E$273*'HIV-Pharmaceuticals'!BA14,IF(SETUP!$G$20=3,$E$273*'HIV-Pharmaceuticals'!BB14,IF(SETUP!$G$20=2,$E$273*'HIV-Pharmaceuticals'!BC14,IF(SETUP!$G$20=1,$E$273*'HIV-Pharmaceuticals'!BD14,0)))),0)</f>
        <v>0</v>
      </c>
      <c r="O275" s="917">
        <f>'HPM costs'!$F275+'HPM costs'!$G275+'HPM costs'!$H275+'HPM costs'!$I275</f>
        <v>0</v>
      </c>
      <c r="P275" s="915">
        <f>IF(SETUP!$F$20="At delivery",IF(SETUP!$G$20=4,$E$273*'HIV-Pharmaceuticals'!BB14,IF(SETUP!$G$20=3,$E$273*'HIV-Pharmaceuticals'!BC14,IF(SETUP!$G$20=2,$E$273*'HIV-Pharmaceuticals'!BD14,IF(SETUP!$G$20=1,$E$273*'HIV-Pharmaceuticals'!BE14,0)))),0)</f>
        <v>0</v>
      </c>
      <c r="Q275" s="915">
        <f>IF(SETUP!$F$20="At delivery",IF(SETUP!$G$20=4,$E$273*'HIV-Pharmaceuticals'!BC14,IF(SETUP!$G$20=3,$E$273*'HIV-Pharmaceuticals'!BD14,IF(SETUP!$G$20=2,$E$273*'HIV-Pharmaceuticals'!BE14,IF(SETUP!$G$20=1,$E$273*'HIV-Pharmaceuticals'!BF14,0)))),0)</f>
        <v>0</v>
      </c>
      <c r="R275" s="915">
        <f>IF(SETUP!$F$20="At delivery",IF(SETUP!$G$20=4,$E$273*'HIV-Pharmaceuticals'!BD14,IF(SETUP!$G$20=3,$E$273*'HIV-Pharmaceuticals'!BE14,IF(SETUP!$G$20=2,$E$273*'HIV-Pharmaceuticals'!BF14,IF(SETUP!$G$20=1,$E$273*'HIV-Pharmaceuticals'!BG14,0)))),0)</f>
        <v>0</v>
      </c>
      <c r="S275" s="915">
        <f>IF(SETUP!$F$20="At delivery",IF(SETUP!$G$20=4,$E$273*('HIV-Pharmaceuticals'!BE14+'HIV-Pharmaceuticals'!BF14+'HIV-Pharmaceuticals'!BG14+'HIV-Pharmaceuticals'!BH14+'HIV-Pharmaceuticals'!BI14),IF(SETUP!$G$20=3,$E$273*('HIV-Pharmaceuticals'!BF14+'HIV-Pharmaceuticals'!BG14+'HIV-Pharmaceuticals'!BH14+'HIV-Pharmaceuticals'!BI14),IF(SETUP!$G$20=2,$E$273*('HIV-Pharmaceuticals'!BG14+'HIV-Pharmaceuticals'!BH14+'HIV-Pharmaceuticals'!BI14),IF(SETUP!$G$20=1,$E$273*('HIV-Pharmaceuticals'!BH14+'HIV-Pharmaceuticals'!BI14),0)))),0)</f>
        <v>0</v>
      </c>
      <c r="T275" s="934">
        <f>'HPM costs'!$F275+'HPM costs'!$G275+'HPM costs'!$H275+'HPM costs'!$I275</f>
        <v>0</v>
      </c>
      <c r="U275" s="915">
        <f>'HPM costs'!$J275+'HPM costs'!$O275+'HPM costs'!$T275</f>
        <v>0</v>
      </c>
      <c r="V275" s="1316"/>
      <c r="W275" s="1995"/>
      <c r="X275" s="1341"/>
    </row>
    <row r="276" spans="1:24" s="665" customFormat="1" ht="15" customHeight="1" collapsed="1" thickBot="1">
      <c r="A276" s="3193"/>
      <c r="B276" s="3194"/>
      <c r="C276" s="3188" t="s">
        <v>139</v>
      </c>
      <c r="D276" s="3188"/>
      <c r="E276" s="1245">
        <v>0</v>
      </c>
      <c r="F276" s="966">
        <f>IF(SETUP!$F$21="Upfront",F277,F278)</f>
        <v>0</v>
      </c>
      <c r="G276" s="921">
        <f>IF(SETUP!$F$21="Upfront",G277,G278)</f>
        <v>0</v>
      </c>
      <c r="H276" s="920">
        <f>IF(SETUP!$F$21="Upfront",H277,H278)</f>
        <v>0</v>
      </c>
      <c r="I276" s="920">
        <f>IF(SETUP!$F$21="Upfront",I277,I278)</f>
        <v>0</v>
      </c>
      <c r="J276" s="919">
        <f t="shared" ref="J276:J294" si="41">F276+G276+H276+I276</f>
        <v>0</v>
      </c>
      <c r="K276" s="920">
        <f>IF(SETUP!$F$21="Upfront",K277,K278)</f>
        <v>0</v>
      </c>
      <c r="L276" s="920">
        <f>IF(SETUP!$F$21="Upfront",L277,L278)</f>
        <v>0</v>
      </c>
      <c r="M276" s="920">
        <f>IF(SETUP!$F$21="Upfront",M277,M278)</f>
        <v>0</v>
      </c>
      <c r="N276" s="920">
        <f>IF(SETUP!$F$21="Upfront",N277,N278)</f>
        <v>0</v>
      </c>
      <c r="O276" s="917">
        <f t="shared" ref="O276:O294" si="42">K276+L276+M276+N276</f>
        <v>0</v>
      </c>
      <c r="P276" s="915">
        <f>IF(SETUP!$F$21="Upfront",P277,P278)</f>
        <v>0</v>
      </c>
      <c r="Q276" s="915">
        <f>IF(SETUP!$F$21="Upfront",Q277,Q278)</f>
        <v>0</v>
      </c>
      <c r="R276" s="915">
        <f>IF(SETUP!$F$21="Upfront",R277,R278)</f>
        <v>0</v>
      </c>
      <c r="S276" s="915">
        <f>IF(SETUP!$F$21="Upfront",S277,S278)</f>
        <v>0</v>
      </c>
      <c r="T276" s="934">
        <f t="shared" ref="T276:T293" si="43">P276+Q276+R276+S276</f>
        <v>0</v>
      </c>
      <c r="U276" s="915">
        <f t="shared" ref="U276:U293" si="44">J276+O276+T276</f>
        <v>0</v>
      </c>
      <c r="V276" s="1316">
        <v>7.6</v>
      </c>
      <c r="W276" s="1995"/>
      <c r="X276" s="1341"/>
    </row>
    <row r="277" spans="1:24" s="665" customFormat="1" ht="15" hidden="1" customHeight="1" outlineLevel="1">
      <c r="A277" s="3193"/>
      <c r="B277" s="3194"/>
      <c r="C277" s="3182" t="s">
        <v>777</v>
      </c>
      <c r="D277" s="3182"/>
      <c r="E277" s="1246"/>
      <c r="F277" s="966">
        <f>IF(SETUP!$F$21="Upfront",$E$276*'HIV-Pharmaceuticals'!AX15,0)</f>
        <v>0</v>
      </c>
      <c r="G277" s="921">
        <f>IF(SETUP!$F$21="Upfront",$E$276*'HIV-Pharmaceuticals'!AY15,0)</f>
        <v>0</v>
      </c>
      <c r="H277" s="920">
        <f>IF(SETUP!$F$21="Upfront",$E$276*'HIV-Pharmaceuticals'!AZ15,0)</f>
        <v>0</v>
      </c>
      <c r="I277" s="920">
        <f>IF(SETUP!$F$21="Upfront",$E$276*'HIV-Pharmaceuticals'!BA15,0)</f>
        <v>0</v>
      </c>
      <c r="J277" s="919">
        <f t="shared" si="41"/>
        <v>0</v>
      </c>
      <c r="K277" s="920">
        <f>IF(SETUP!$F$21="Upfront",$E$276*'HIV-Pharmaceuticals'!BB15,0)</f>
        <v>0</v>
      </c>
      <c r="L277" s="920">
        <f>IF(SETUP!$F$21="Upfront",$E$276*'HIV-Pharmaceuticals'!BC15,0)</f>
        <v>0</v>
      </c>
      <c r="M277" s="920">
        <f>IF(SETUP!$F$21="Upfront",$E$276*'HIV-Pharmaceuticals'!BD15,0)</f>
        <v>0</v>
      </c>
      <c r="N277" s="920">
        <f>IF(SETUP!$F$21="Upfront",$E$276*'HIV-Pharmaceuticals'!BE15,0)</f>
        <v>0</v>
      </c>
      <c r="O277" s="917">
        <f t="shared" si="42"/>
        <v>0</v>
      </c>
      <c r="P277" s="915">
        <f>IF(SETUP!$F$21="Upfront",$E$276*'HIV-Pharmaceuticals'!BF15,0)</f>
        <v>0</v>
      </c>
      <c r="Q277" s="915">
        <f>IF(SETUP!$F$21="Upfront",$E$276*'HIV-Pharmaceuticals'!BG15,0)</f>
        <v>0</v>
      </c>
      <c r="R277" s="915">
        <f>IF(SETUP!$F$21="Upfront",$E$276*'HIV-Pharmaceuticals'!BH15,0)</f>
        <v>0</v>
      </c>
      <c r="S277" s="915">
        <f>IF(SETUP!$F$21="Upfront",$E$276*'HIV-Pharmaceuticals'!BI15,0)</f>
        <v>0</v>
      </c>
      <c r="T277" s="934">
        <f t="shared" si="43"/>
        <v>0</v>
      </c>
      <c r="U277" s="915">
        <f t="shared" si="44"/>
        <v>0</v>
      </c>
      <c r="V277" s="1316">
        <v>7.6</v>
      </c>
      <c r="W277" s="1995"/>
      <c r="X277" s="1341"/>
    </row>
    <row r="278" spans="1:24" s="665" customFormat="1" ht="15" hidden="1" customHeight="1" outlineLevel="1">
      <c r="A278" s="3193"/>
      <c r="B278" s="3194"/>
      <c r="C278" s="3182" t="s">
        <v>36</v>
      </c>
      <c r="D278" s="3182"/>
      <c r="E278" s="1246"/>
      <c r="F278" s="966">
        <v>0</v>
      </c>
      <c r="G278" s="921">
        <f>IF(SETUP!$F$21="At delivery",IF(SETUP!$G$21=1,$E$276*'HIV-Pharmaceuticals'!AX15,0),0)</f>
        <v>0</v>
      </c>
      <c r="H278" s="920">
        <f>IF(SETUP!$F$21="At delivery",IF(SETUP!$G$21=2,$E$276*'HIV-Pharmaceuticals'!AX15,IF(SETUP!$G$21=1,$E$276*'HIV-Pharmaceuticals'!AY15,0)),0)</f>
        <v>0</v>
      </c>
      <c r="I278" s="920">
        <f>IF(SETUP!$F$21="At delivery",IF(SETUP!$G$21=3,$E$276*'HIV-Pharmaceuticals'!AX15,IF(SETUP!$G$21=2,$E$276*'HIV-Pharmaceuticals'!AY15,IF(SETUP!$G$21=1,$E$276*'HIV-Pharmaceuticals'!AZ15,0))),0)</f>
        <v>0</v>
      </c>
      <c r="J278" s="919">
        <f t="shared" si="41"/>
        <v>0</v>
      </c>
      <c r="K278" s="920">
        <f>IF(SETUP!$F$21="At delivery",IF(SETUP!$G$21=4,$E$276*'HIV-Pharmaceuticals'!AX15,IF(SETUP!$G$21=3,$E$276*'HIV-Pharmaceuticals'!AY15,IF(SETUP!$G$21=2,$E$276*'HIV-Pharmaceuticals'!AZ15,IF(SETUP!$G$21=1,$E$276*'HIV-Pharmaceuticals'!BA15,0)))),0)</f>
        <v>0</v>
      </c>
      <c r="L278" s="920">
        <f>IF(SETUP!$F$21="At delivery",IF(SETUP!$G$21=4,$E$276*'HIV-Pharmaceuticals'!AY15,IF(SETUP!$G$21=3,$E$276*'HIV-Pharmaceuticals'!AZ15,IF(SETUP!$G$21=2,$E$276*'HIV-Pharmaceuticals'!BA15,IF(SETUP!$G$21=1,$E$276*'HIV-Pharmaceuticals'!BB15,0)))),0)</f>
        <v>0</v>
      </c>
      <c r="M278" s="920">
        <f>IF(SETUP!$F$21="At delivery",IF(SETUP!$G$21=4,$E$276*'HIV-Pharmaceuticals'!AZ15,IF(SETUP!$G$21=3,$E$276*'HIV-Pharmaceuticals'!BA15,IF(SETUP!$G$21=2,$E$276*'HIV-Pharmaceuticals'!BB15,IF(SETUP!$G$21=1,$E$276*'HIV-Pharmaceuticals'!BC15,0)))),0)</f>
        <v>0</v>
      </c>
      <c r="N278" s="920">
        <f>IF(SETUP!$F$21="At delivery",IF(SETUP!$G$21=4,$E$276*'HIV-Pharmaceuticals'!BA15,IF(SETUP!$G$21=3,$E$276*'HIV-Pharmaceuticals'!BB15,IF(SETUP!$G$21=2,$E$276*'HIV-Pharmaceuticals'!BC15,IF(SETUP!$G$21=1,$E$276*'HIV-Pharmaceuticals'!BD15,0)))),0)</f>
        <v>0</v>
      </c>
      <c r="O278" s="917">
        <f t="shared" si="42"/>
        <v>0</v>
      </c>
      <c r="P278" s="915">
        <f>IF(SETUP!$F$21="At delivery",IF(SETUP!$G$21=4,$E$276*'HIV-Pharmaceuticals'!BB15,IF(SETUP!$G$21=3,$E$276*'HIV-Pharmaceuticals'!BC15,IF(SETUP!$G$21=2,$E$276*'HIV-Pharmaceuticals'!BD15,IF(SETUP!$G$21=1,$E$276*'HIV-Pharmaceuticals'!BE15,0)))),0)</f>
        <v>0</v>
      </c>
      <c r="Q278" s="915">
        <f>IF(SETUP!$F$21="At delivery",IF(SETUP!$G$21=4,$E$276*'HIV-Pharmaceuticals'!BC15,IF(SETUP!$G$21=3,$E$276*'HIV-Pharmaceuticals'!BD15,IF(SETUP!$G$21=2,$E$276*'HIV-Pharmaceuticals'!BE15,IF(SETUP!$G$21=1,$E$276*'HIV-Pharmaceuticals'!BF15,0)))),0)</f>
        <v>0</v>
      </c>
      <c r="R278" s="915">
        <f>IF(SETUP!$F$21="At delivery",IF(SETUP!$G$21=4,$E$276*'HIV-Pharmaceuticals'!BD15,IF(SETUP!$G$21=3,$E$276*'HIV-Pharmaceuticals'!BE15,IF(SETUP!$G$21=2,$E$276*'HIV-Pharmaceuticals'!BF15,IF(SETUP!$G$21=1,$E$276*'HIV-Pharmaceuticals'!BG15,0)))),0)</f>
        <v>0</v>
      </c>
      <c r="S278" s="915">
        <f>IF(SETUP!$F$21="At delivery",IF(SETUP!$G$21=4,$E$276*('HIV-Pharmaceuticals'!BE15+'HIV-Pharmaceuticals'!BF15+'HIV-Pharmaceuticals'!BG15+'HIV-Pharmaceuticals'!BH15+'HIV-Pharmaceuticals'!BI15),IF(SETUP!$G$21=3,$E$276*('HIV-Pharmaceuticals'!BF15+'HIV-Pharmaceuticals'!BG15+'HIV-Pharmaceuticals'!BH15+'HIV-Pharmaceuticals'!BI15),IF(SETUP!$G$21=2,$E$276*('HIV-Pharmaceuticals'!BG15+'HIV-Pharmaceuticals'!BH15+'HIV-Pharmaceuticals'!BI15),IF(SETUP!$G$21=1,$E$276*('HIV-Pharmaceuticals'!BH15+'HIV-Pharmaceuticals'!BI15),0)))),0)</f>
        <v>0</v>
      </c>
      <c r="T278" s="934">
        <f t="shared" si="43"/>
        <v>0</v>
      </c>
      <c r="U278" s="915">
        <f t="shared" si="44"/>
        <v>0</v>
      </c>
      <c r="V278" s="1316">
        <v>7.6</v>
      </c>
      <c r="W278" s="1995"/>
      <c r="X278" s="1341"/>
    </row>
    <row r="279" spans="1:24" s="665" customFormat="1" ht="15" customHeight="1" collapsed="1" thickBot="1">
      <c r="A279" s="3193"/>
      <c r="B279" s="3194"/>
      <c r="C279" s="3201" t="s">
        <v>1054</v>
      </c>
      <c r="D279" s="3201"/>
      <c r="E279" s="1245">
        <v>0</v>
      </c>
      <c r="F279" s="966">
        <f>IF(SETUP!$F$22="Upfront",F280,F281)</f>
        <v>0</v>
      </c>
      <c r="G279" s="921">
        <f>IF(SETUP!$F$22="Upfront",G280,G281)</f>
        <v>0</v>
      </c>
      <c r="H279" s="920">
        <f>IF(SETUP!$F$22="Upfront",H280,H281)</f>
        <v>0</v>
      </c>
      <c r="I279" s="920">
        <f>IF(SETUP!$F$22="Upfront",I280,I281)</f>
        <v>0</v>
      </c>
      <c r="J279" s="919">
        <f t="shared" si="41"/>
        <v>0</v>
      </c>
      <c r="K279" s="920">
        <f>IF(SETUP!$F$22="Upfront",K280,K281)</f>
        <v>0</v>
      </c>
      <c r="L279" s="920">
        <f>IF(SETUP!$F$22="Upfront",L280,L281)</f>
        <v>0</v>
      </c>
      <c r="M279" s="920">
        <f>IF(SETUP!$F$22="Upfront",M280,M281)</f>
        <v>0</v>
      </c>
      <c r="N279" s="920">
        <f>IF(SETUP!$F$22="Upfront",N280,N281)</f>
        <v>0</v>
      </c>
      <c r="O279" s="917">
        <f t="shared" si="42"/>
        <v>0</v>
      </c>
      <c r="P279" s="915">
        <f>IF(SETUP!$F$22="Upfront",P280,P281)</f>
        <v>0</v>
      </c>
      <c r="Q279" s="915">
        <f>IF(SETUP!$F$22="Upfront",Q280,Q281)</f>
        <v>0</v>
      </c>
      <c r="R279" s="915">
        <f>IF(SETUP!$F$22="Upfront",R280,R281)</f>
        <v>0</v>
      </c>
      <c r="S279" s="915">
        <f>IF(SETUP!$F$22="Upfront",S280,S281)</f>
        <v>0</v>
      </c>
      <c r="T279" s="934">
        <f t="shared" si="43"/>
        <v>0</v>
      </c>
      <c r="U279" s="915">
        <f t="shared" si="44"/>
        <v>0</v>
      </c>
      <c r="V279" s="1316">
        <v>7.6</v>
      </c>
      <c r="W279" s="1995"/>
      <c r="X279" s="1341"/>
    </row>
    <row r="280" spans="1:24" s="665" customFormat="1" ht="15" hidden="1" customHeight="1" outlineLevel="1">
      <c r="A280" s="3184" t="s">
        <v>439</v>
      </c>
      <c r="B280" s="3185"/>
      <c r="C280" s="3182" t="s">
        <v>777</v>
      </c>
      <c r="D280" s="3182"/>
      <c r="E280" s="1246"/>
      <c r="F280" s="966">
        <f>IF(SETUP!$F$22="Upfront",$E$279*'HIV-Pharmaceuticals'!AX16,0)</f>
        <v>0</v>
      </c>
      <c r="G280" s="921">
        <f>IF(SETUP!$F$22="Upfront",$E$279*'HIV-Pharmaceuticals'!AY16,0)</f>
        <v>0</v>
      </c>
      <c r="H280" s="920">
        <f>IF(SETUP!$F$22="Upfront",$E$279*'HIV-Pharmaceuticals'!AZ16,0)</f>
        <v>0</v>
      </c>
      <c r="I280" s="920">
        <f>IF(SETUP!$F$22="Upfront",$E$279*'HIV-Pharmaceuticals'!BA16,0)</f>
        <v>0</v>
      </c>
      <c r="J280" s="919">
        <f t="shared" si="41"/>
        <v>0</v>
      </c>
      <c r="K280" s="920">
        <f>IF(SETUP!$F$22="Upfront",$E$279*'HIV-Pharmaceuticals'!BB16,0)</f>
        <v>0</v>
      </c>
      <c r="L280" s="920">
        <f>IF(SETUP!$F$22="Upfront",$E$279*'HIV-Pharmaceuticals'!BC16,0)</f>
        <v>0</v>
      </c>
      <c r="M280" s="920">
        <f>IF(SETUP!$F$22="Upfront",$E$279*'HIV-Pharmaceuticals'!BD16,0)</f>
        <v>0</v>
      </c>
      <c r="N280" s="920">
        <f>IF(SETUP!$F$22="Upfront",$E$279*'HIV-Pharmaceuticals'!BE16,0)</f>
        <v>0</v>
      </c>
      <c r="O280" s="917">
        <f t="shared" si="42"/>
        <v>0</v>
      </c>
      <c r="P280" s="915">
        <f>IF(SETUP!$F$22="Upfront",$E$279*'HIV-Pharmaceuticals'!BF16,0)</f>
        <v>0</v>
      </c>
      <c r="Q280" s="915">
        <f>IF(SETUP!$F$22="Upfront",$E$279*'HIV-Pharmaceuticals'!BG16,0)</f>
        <v>0</v>
      </c>
      <c r="R280" s="915">
        <f>IF(SETUP!$F$22="Upfront",$E$279*'HIV-Pharmaceuticals'!BH16,0)</f>
        <v>0</v>
      </c>
      <c r="S280" s="915">
        <f>IF(SETUP!$F$22="Upfront",$E$279*'HIV-Pharmaceuticals'!BI16,0)</f>
        <v>0</v>
      </c>
      <c r="T280" s="934">
        <f t="shared" si="43"/>
        <v>0</v>
      </c>
      <c r="U280" s="915">
        <f t="shared" si="44"/>
        <v>0</v>
      </c>
      <c r="V280" s="1316">
        <v>7.6</v>
      </c>
      <c r="W280" s="1995"/>
      <c r="X280" s="1341"/>
    </row>
    <row r="281" spans="1:24" s="665" customFormat="1" ht="15" hidden="1" customHeight="1" outlineLevel="1">
      <c r="A281" s="3184"/>
      <c r="B281" s="3185"/>
      <c r="C281" s="3182" t="s">
        <v>36</v>
      </c>
      <c r="D281" s="3182"/>
      <c r="E281" s="1246"/>
      <c r="F281" s="966">
        <v>0</v>
      </c>
      <c r="G281" s="921">
        <f>IF(SETUP!$F$22="At delivery",IF(SETUP!$G$22=1,$E$279*'HIV-Pharmaceuticals'!AX16,0),0)</f>
        <v>0</v>
      </c>
      <c r="H281" s="920">
        <f>IF(SETUP!$F$22="At delivery",IF(SETUP!$G$22=2,$E$279*'HIV-Pharmaceuticals'!AX16,IF(SETUP!$G$22=1,$E$279*'HIV-Pharmaceuticals'!AY16,0)),0)</f>
        <v>0</v>
      </c>
      <c r="I281" s="920">
        <f>IF(SETUP!$F$22="At delivery",IF(SETUP!$G$22=3,$E$279*'HIV-Pharmaceuticals'!AX16,IF(SETUP!$G$22=2,$E$279*'HIV-Pharmaceuticals'!AY16,IF(SETUP!$G$22=1,$E$279*'HIV-Pharmaceuticals'!AZ16,0))),0)</f>
        <v>0</v>
      </c>
      <c r="J281" s="919">
        <f t="shared" si="41"/>
        <v>0</v>
      </c>
      <c r="K281" s="920">
        <f>IF(SETUP!$F$22="At delivery",IF(SETUP!$G$22=4,$E$279*'HIV-Pharmaceuticals'!AX16,IF(SETUP!$G$22=3,$E$279*'HIV-Pharmaceuticals'!AY16,IF(SETUP!$G$22=2,$E$279*'HIV-Pharmaceuticals'!AZ16,IF(SETUP!$G$22=1,$E$279*'HIV-Pharmaceuticals'!BA16,0)))),0)</f>
        <v>0</v>
      </c>
      <c r="L281" s="920">
        <f>IF(SETUP!$F$22="At delivery",IF(SETUP!$G$22=4,$E$279*'HIV-Pharmaceuticals'!AY16,IF(SETUP!$G$22=3,$E$279*'HIV-Pharmaceuticals'!AZ16,IF(SETUP!$G$22=2,$E$279*'HIV-Pharmaceuticals'!BA16,IF(SETUP!$G$22=1,$E$279*'HIV-Pharmaceuticals'!BB16,0)))),0)</f>
        <v>0</v>
      </c>
      <c r="M281" s="920">
        <f>IF(SETUP!$F$22="At delivery",IF(SETUP!$G$22=4,$E$279*'HIV-Pharmaceuticals'!AZ16,IF(SETUP!$G$22=3,$E$279*'HIV-Pharmaceuticals'!BA16,IF(SETUP!$G$22=2,$E$279*'HIV-Pharmaceuticals'!BB16,IF(SETUP!$G$22=1,$E$279*'HIV-Pharmaceuticals'!BC16,0)))),0)</f>
        <v>0</v>
      </c>
      <c r="N281" s="920">
        <f>IF(SETUP!$F$22="At delivery",IF(SETUP!$G$22=4,$E$279*'HIV-Pharmaceuticals'!BA16,IF(SETUP!$G$22=3,$E$279*'HIV-Pharmaceuticals'!BB16,IF(SETUP!$G$22=2,$E$279*'HIV-Pharmaceuticals'!BC16,IF(SETUP!$G$22=1,$E$279*'HIV-Pharmaceuticals'!BD16,0)))),0)</f>
        <v>0</v>
      </c>
      <c r="O281" s="917">
        <f t="shared" si="42"/>
        <v>0</v>
      </c>
      <c r="P281" s="915">
        <f>IF(SETUP!$F$22="At delivery",IF(SETUP!$G$22=4,$E$279*'HIV-Pharmaceuticals'!BB16,IF(SETUP!$G$22=3,$E$279*'HIV-Pharmaceuticals'!BC16,IF(SETUP!$G$22=2,$E$279*'HIV-Pharmaceuticals'!BD16,IF(SETUP!$G$22=1,$E$279*'HIV-Pharmaceuticals'!BE16,0)))),0)</f>
        <v>0</v>
      </c>
      <c r="Q281" s="915">
        <f>IF(SETUP!$F$22="At delivery",IF(SETUP!$G$22=4,$E$279*'HIV-Pharmaceuticals'!BC16,IF(SETUP!$G$22=3,$E$279*'HIV-Pharmaceuticals'!BD16,IF(SETUP!$G$22=2,$E$279*'HIV-Pharmaceuticals'!BE16,IF(SETUP!$G$22=1,$E$279*'HIV-Pharmaceuticals'!BF16,0)))),0)</f>
        <v>0</v>
      </c>
      <c r="R281" s="915">
        <f>IF(SETUP!$F$22="At delivery",IF(SETUP!$G$22=4,$E$279*'HIV-Pharmaceuticals'!BD16,IF(SETUP!$G$22=3,$E$279*'HIV-Pharmaceuticals'!BE16,IF(SETUP!$G$22=2,$E$279*'HIV-Pharmaceuticals'!BF16,IF(SETUP!$G$22=1,$E$279*'HIV-Pharmaceuticals'!BG16,0)))),0)</f>
        <v>0</v>
      </c>
      <c r="S281" s="915">
        <f>IF(SETUP!$F$22="At delivery",IF(SETUP!$G$22=4,$E$279*('HIV-Pharmaceuticals'!BE16+'HIV-Pharmaceuticals'!BF16+'HIV-Pharmaceuticals'!BG16+'HIV-Pharmaceuticals'!BH16+'HIV-Pharmaceuticals'!BI16),IF(SETUP!$G$22=3,$E$279*('HIV-Pharmaceuticals'!BF16+'HIV-Pharmaceuticals'!BG16+'HIV-Pharmaceuticals'!BH16+'HIV-Pharmaceuticals'!BI16),IF(SETUP!$G$22=2,$E$279*('HIV-Pharmaceuticals'!BG16+'HIV-Pharmaceuticals'!BH16+'HIV-Pharmaceuticals'!BI16),IF(SETUP!$G$22=1,$E$279*('HIV-Pharmaceuticals'!BH16+'HIV-Pharmaceuticals'!BI16),0)))),0)</f>
        <v>0</v>
      </c>
      <c r="T281" s="934">
        <f t="shared" si="43"/>
        <v>0</v>
      </c>
      <c r="U281" s="915">
        <f t="shared" si="44"/>
        <v>0</v>
      </c>
      <c r="V281" s="1316">
        <v>7.6</v>
      </c>
      <c r="W281" s="1995"/>
      <c r="X281" s="1341"/>
    </row>
    <row r="282" spans="1:24" s="665" customFormat="1" ht="15" customHeight="1" collapsed="1" thickBot="1">
      <c r="A282" s="3184"/>
      <c r="B282" s="3185"/>
      <c r="C282" s="3202" t="s">
        <v>1390</v>
      </c>
      <c r="D282" s="3202"/>
      <c r="E282" s="1245">
        <v>0</v>
      </c>
      <c r="F282" s="966">
        <f>IF(SETUP!$F$23="Upfront",F283,F284)</f>
        <v>0</v>
      </c>
      <c r="G282" s="921">
        <f>IF(SETUP!$F$23="Upfront",G283,G284)</f>
        <v>0</v>
      </c>
      <c r="H282" s="920">
        <f>IF(SETUP!$F$23="Upfront",H283,H284)</f>
        <v>0</v>
      </c>
      <c r="I282" s="920">
        <f>IF(SETUP!$F$23="Upfront",I283,I284)</f>
        <v>0</v>
      </c>
      <c r="J282" s="919">
        <f t="shared" si="41"/>
        <v>0</v>
      </c>
      <c r="K282" s="920">
        <f>IF(SETUP!$F$23="Upfront",K283,K284)</f>
        <v>0</v>
      </c>
      <c r="L282" s="920">
        <f>IF(SETUP!$F$23="Upfront",L283,L284)</f>
        <v>0</v>
      </c>
      <c r="M282" s="920">
        <f>IF(SETUP!$F$23="Upfront",M283,M284)</f>
        <v>0</v>
      </c>
      <c r="N282" s="920">
        <f>IF(SETUP!$F$23="Upfront",N283,N284)</f>
        <v>0</v>
      </c>
      <c r="O282" s="917">
        <f t="shared" si="42"/>
        <v>0</v>
      </c>
      <c r="P282" s="915">
        <f>IF(SETUP!$F$23="Upfront",P283,P284)</f>
        <v>0</v>
      </c>
      <c r="Q282" s="915">
        <f>IF(SETUP!$F$23="Upfront",Q283,Q284)</f>
        <v>0</v>
      </c>
      <c r="R282" s="915">
        <f>IF(SETUP!$F$23="Upfront",R283,R284)</f>
        <v>0</v>
      </c>
      <c r="S282" s="915">
        <f>IF(SETUP!$F$23="Upfront",S283,S284)</f>
        <v>0</v>
      </c>
      <c r="T282" s="934">
        <f t="shared" si="43"/>
        <v>0</v>
      </c>
      <c r="U282" s="915">
        <f t="shared" si="44"/>
        <v>0</v>
      </c>
      <c r="V282" s="1316">
        <v>7.6</v>
      </c>
      <c r="W282" s="1995"/>
      <c r="X282" s="1341"/>
    </row>
    <row r="283" spans="1:24" s="665" customFormat="1" ht="15" hidden="1" customHeight="1" outlineLevel="1">
      <c r="A283" s="3184"/>
      <c r="B283" s="3185"/>
      <c r="C283" s="3182" t="s">
        <v>777</v>
      </c>
      <c r="D283" s="3182"/>
      <c r="E283" s="1246"/>
      <c r="F283" s="966">
        <f>IF(SETUP!$F$23="Upfront",$E$282*'HIV-Equipment'!AW14,0)</f>
        <v>0</v>
      </c>
      <c r="G283" s="921">
        <f>IF(SETUP!$F$23="Upfront",$E$282*'HIV-Equipment'!AX14,0)</f>
        <v>0</v>
      </c>
      <c r="H283" s="920">
        <f>IF(SETUP!$F$23="Upfront",$E$282*'HIV-Equipment'!AY14,0)</f>
        <v>0</v>
      </c>
      <c r="I283" s="920">
        <f>IF(SETUP!$F$23="Upfront",$E$282*'HIV-Equipment'!AZ14,0)</f>
        <v>0</v>
      </c>
      <c r="J283" s="919">
        <f t="shared" si="41"/>
        <v>0</v>
      </c>
      <c r="K283" s="920">
        <f>IF(SETUP!$F$23="Upfront",$E$282*'HIV-Equipment'!BA14,0)</f>
        <v>0</v>
      </c>
      <c r="L283" s="920">
        <f>IF(SETUP!$F$23="Upfront",$E$282*'HIV-Equipment'!BB14,0)</f>
        <v>0</v>
      </c>
      <c r="M283" s="920">
        <f>IF(SETUP!$F$23="Upfront",$E$282*'HIV-Equipment'!BC14,0)</f>
        <v>0</v>
      </c>
      <c r="N283" s="920">
        <f>IF(SETUP!$F$23="Upfront",$E$282*'HIV-Equipment'!BD14,0)</f>
        <v>0</v>
      </c>
      <c r="O283" s="917">
        <f t="shared" si="42"/>
        <v>0</v>
      </c>
      <c r="P283" s="915">
        <f>IF(SETUP!$F$23="Upfront",$E$282*'HIV-Equipment'!BE14,0)</f>
        <v>0</v>
      </c>
      <c r="Q283" s="915">
        <f>IF(SETUP!$F$23="Upfront",$E$282*'HIV-Equipment'!BF14,0)</f>
        <v>0</v>
      </c>
      <c r="R283" s="915">
        <f>IF(SETUP!$F$23="Upfront",$E$282*'HIV-Equipment'!BG14,0)</f>
        <v>0</v>
      </c>
      <c r="S283" s="915">
        <f>IF(SETUP!$F$23="Upfront",$E$282*'HIV-Equipment'!BH14,0)</f>
        <v>0</v>
      </c>
      <c r="T283" s="934">
        <f t="shared" si="43"/>
        <v>0</v>
      </c>
      <c r="U283" s="915">
        <f t="shared" si="44"/>
        <v>0</v>
      </c>
      <c r="V283" s="1316">
        <v>7.6</v>
      </c>
      <c r="W283" s="1995"/>
      <c r="X283" s="1341"/>
    </row>
    <row r="284" spans="1:24" s="665" customFormat="1" ht="15" hidden="1" customHeight="1" outlineLevel="1">
      <c r="A284" s="3184"/>
      <c r="B284" s="3185"/>
      <c r="C284" s="3182" t="s">
        <v>36</v>
      </c>
      <c r="D284" s="3182"/>
      <c r="E284" s="1246"/>
      <c r="F284" s="966">
        <v>0</v>
      </c>
      <c r="G284" s="921">
        <f>IF(SETUP!$F$23="At delivery",IF(SETUP!$G$23=1,$E$282*'HIV-Equipment'!AW14,0),0)</f>
        <v>0</v>
      </c>
      <c r="H284" s="920">
        <f>IF(SETUP!$F$23="At delivery",IF(SETUP!$G$23=2,$E$282*'HIV-Equipment'!AW14,IF(SETUP!$G$23=1,$E$282*'HIV-Equipment'!AX14,0)),0)</f>
        <v>0</v>
      </c>
      <c r="I284" s="920">
        <f>IF(SETUP!$F$23="At delivery",IF(SETUP!$G$23=3,$E$282*'HIV-Equipment'!AW14,IF(SETUP!$G$23=2,$E$282*'HIV-Equipment'!AX14,IF(SETUP!$G$23=1,$E$282*'HIV-Equipment'!AY14,0))),0)</f>
        <v>0</v>
      </c>
      <c r="J284" s="919">
        <f t="shared" si="41"/>
        <v>0</v>
      </c>
      <c r="K284" s="920">
        <f>IF(SETUP!$F$23="At delivery",IF(SETUP!$G$23=4,$E$282*'HIV-Equipment'!AW14,IF(SETUP!$G$23=3,$E$282*'HIV-Equipment'!AX14,IF(SETUP!$G$23=2,$E$282*'HIV-Equipment'!AY14,IF(SETUP!$G$23=1,$E$282*'HIV-Equipment'!AZ14,0)))),0)</f>
        <v>0</v>
      </c>
      <c r="L284" s="920">
        <f>IF(SETUP!$F$23="At delivery",IF(SETUP!$G$23=4,$E$282*'HIV-Equipment'!AX14,IF(SETUP!$G$23=3,$E$282*'HIV-Equipment'!AY14,IF(SETUP!$G$23=2,$E$282*'HIV-Equipment'!AZ14,IF(SETUP!$G$23=1,$E$282*'HIV-Equipment'!BA14,0)))),0)</f>
        <v>0</v>
      </c>
      <c r="M284" s="920">
        <f>IF(SETUP!$F$23="At delivery",IF(SETUP!$G$23=4,$E$282*'HIV-Equipment'!AY14,IF(SETUP!$G$23=3,$E$282*'HIV-Equipment'!AZ14,IF(SETUP!$G$23=2,$E$282*'HIV-Equipment'!BA14,IF(SETUP!$G$23=1,$E$282*'HIV-Equipment'!BB14,0)))),0)</f>
        <v>0</v>
      </c>
      <c r="N284" s="920">
        <f>IF(SETUP!$F$23="At delivery",IF(SETUP!$G$23=4,$E$282*'HIV-Equipment'!AZ14,IF(SETUP!$G$23=3,$E$282*'HIV-Equipment'!BA14,IF(SETUP!$G$23=2,$E$282*'HIV-Equipment'!BB14,IF(SETUP!$G$23=1,$E$282*'HIV-Equipment'!BC14,0)))),0)</f>
        <v>0</v>
      </c>
      <c r="O284" s="917">
        <f t="shared" si="42"/>
        <v>0</v>
      </c>
      <c r="P284" s="915">
        <f>IF(SETUP!$F$23="At delivery",IF(SETUP!$G$23=4,$E$282*'HIV-Equipment'!BA14,IF(SETUP!$G$23=3,$E$282*'HIV-Equipment'!BB14,IF(SETUP!$G$23=2,$E$282*'HIV-Equipment'!BC14,IF(SETUP!$G$23=1,$E$282*'HIV-Equipment'!BD14,0)))),0)</f>
        <v>0</v>
      </c>
      <c r="Q284" s="915">
        <f>IF(SETUP!$F$23="At delivery",IF(SETUP!$G$23=4,$E$282*'HIV-Equipment'!BB14,IF(SETUP!$G$23=3,$E$282*'HIV-Equipment'!BC14,IF(SETUP!$G$23=2,$E$282*'HIV-Equipment'!BD14,IF(SETUP!$G$23=1,$E$282*'HIV-Equipment'!BE14,0)))),0)</f>
        <v>0</v>
      </c>
      <c r="R284" s="915">
        <f>IF(SETUP!$F$23="At delivery",IF(SETUP!$G$23=4,$E$282*'HIV-Equipment'!BC14,IF(SETUP!$G$23=3,$E$282*'HIV-Equipment'!BD14,IF(SETUP!$G$23=2,$E$282*'HIV-Equipment'!BE14,IF(SETUP!$G$23=1,$E$282*'HIV-Equipment'!BF14,0)))),0)</f>
        <v>0</v>
      </c>
      <c r="S284" s="915">
        <f>IF(SETUP!$F$23="At delivery",IF(SETUP!$G$23=4,$E$282*('HIV-Equipment'!BD14+'HIV-Equipment'!BE14+'HIV-Equipment'!BF14+'HIV-Equipment'!BG14+'HIV-Equipment'!BH14),IF(SETUP!$G$23=3,$E$282*('HIV-Equipment'!BE14+'HIV-Equipment'!BF14+'HIV-Equipment'!BG14+'HIV-Equipment'!BH14),IF(SETUP!$G$23=2,$E$282*('HIV-Equipment'!BF14+'HIV-Equipment'!BG14+'HIV-Equipment'!BH14),IF(SETUP!$G$23=1,$E$282*('HIV-Equipment'!BG14+'HIV-Equipment'!BH14),0)))),0)</f>
        <v>0</v>
      </c>
      <c r="T284" s="934">
        <f t="shared" si="43"/>
        <v>0</v>
      </c>
      <c r="U284" s="915">
        <f t="shared" si="44"/>
        <v>0</v>
      </c>
      <c r="V284" s="1316">
        <v>7.6</v>
      </c>
      <c r="W284" s="1995"/>
      <c r="X284" s="1341"/>
    </row>
    <row r="285" spans="1:24" s="665" customFormat="1" ht="15" customHeight="1" collapsed="1" thickBot="1">
      <c r="A285" s="3184" t="s">
        <v>440</v>
      </c>
      <c r="B285" s="3185"/>
      <c r="C285" s="3188" t="s">
        <v>213</v>
      </c>
      <c r="D285" s="3188"/>
      <c r="E285" s="1245">
        <v>0</v>
      </c>
      <c r="F285" s="966">
        <f>IF(SETUP!$F$27="Upfront",F286,F287)</f>
        <v>0</v>
      </c>
      <c r="G285" s="921">
        <f>IF(SETUP!$F$27="Upfront",G286,G287)</f>
        <v>0</v>
      </c>
      <c r="H285" s="920">
        <f>IF(SETUP!$F$27="Upfront",H286,H287)</f>
        <v>0</v>
      </c>
      <c r="I285" s="920">
        <f>IF(SETUP!$F$27="Upfront",I286,I287)</f>
        <v>0</v>
      </c>
      <c r="J285" s="919">
        <f t="shared" si="41"/>
        <v>0</v>
      </c>
      <c r="K285" s="920">
        <f>IF(SETUP!$F$27="Upfront",K286,K287)</f>
        <v>0</v>
      </c>
      <c r="L285" s="920">
        <f>IF(SETUP!$F$27="Upfront",L286,L287)</f>
        <v>0</v>
      </c>
      <c r="M285" s="920">
        <f>IF(SETUP!$F$27="Upfront",M286,M287)</f>
        <v>0</v>
      </c>
      <c r="N285" s="920">
        <f>IF(SETUP!$F$27="Upfront",N286,N287)</f>
        <v>0</v>
      </c>
      <c r="O285" s="917">
        <f t="shared" si="42"/>
        <v>0</v>
      </c>
      <c r="P285" s="915">
        <f>IF(SETUP!$F$27="Upfront",P286,P287)</f>
        <v>0</v>
      </c>
      <c r="Q285" s="915">
        <f>IF(SETUP!$F$27="Upfront",Q286,Q287)</f>
        <v>0</v>
      </c>
      <c r="R285" s="915">
        <f>IF(SETUP!$F$27="Upfront",R286,R287)</f>
        <v>0</v>
      </c>
      <c r="S285" s="915">
        <f>IF(SETUP!$F$27="Upfront",S286,S287)</f>
        <v>0</v>
      </c>
      <c r="T285" s="934">
        <f t="shared" si="43"/>
        <v>0</v>
      </c>
      <c r="U285" s="915">
        <f t="shared" si="44"/>
        <v>0</v>
      </c>
      <c r="V285" s="1316">
        <v>7.6</v>
      </c>
      <c r="W285" s="1995"/>
      <c r="X285" s="1341"/>
    </row>
    <row r="286" spans="1:24" s="665" customFormat="1" ht="15" hidden="1" customHeight="1" outlineLevel="1">
      <c r="A286" s="3184"/>
      <c r="B286" s="3185"/>
      <c r="C286" s="3182" t="s">
        <v>777</v>
      </c>
      <c r="D286" s="3182"/>
      <c r="E286" s="1246"/>
      <c r="F286" s="966">
        <f>IF(SETUP!$F$27="Upfront",$E$285*'HIV-Other HPs'!AX14,0)</f>
        <v>0</v>
      </c>
      <c r="G286" s="921">
        <f>IF(SETUP!$F$27="Upfront",$E$285*'HIV-Other HPs'!AY14,0)</f>
        <v>0</v>
      </c>
      <c r="H286" s="920">
        <f>IF(SETUP!$F$27="Upfront",$E$285*'HIV-Other HPs'!AZ14,0)</f>
        <v>0</v>
      </c>
      <c r="I286" s="920">
        <f>IF(SETUP!$F$27="Upfront",$E$285*'HIV-Other HPs'!BA14,0)</f>
        <v>0</v>
      </c>
      <c r="J286" s="919">
        <f t="shared" si="41"/>
        <v>0</v>
      </c>
      <c r="K286" s="920">
        <f>IF(SETUP!$F$27="Upfront",$E$285*'HIV-Other HPs'!BB14,0)</f>
        <v>0</v>
      </c>
      <c r="L286" s="920">
        <f>IF(SETUP!$F$27="Upfront",$E$285*'HIV-Other HPs'!BC14,0)</f>
        <v>0</v>
      </c>
      <c r="M286" s="920">
        <f>IF(SETUP!$F$27="Upfront",$E$285*'HIV-Other HPs'!BD14,0)</f>
        <v>0</v>
      </c>
      <c r="N286" s="920">
        <f>IF(SETUP!$F$27="Upfront",$E$285*'HIV-Other HPs'!BE14,0)</f>
        <v>0</v>
      </c>
      <c r="O286" s="917">
        <f t="shared" si="42"/>
        <v>0</v>
      </c>
      <c r="P286" s="915">
        <f>IF(SETUP!$F$27="Upfront",$E$285*'HIV-Other HPs'!BF14,0)</f>
        <v>0</v>
      </c>
      <c r="Q286" s="915">
        <f>IF(SETUP!$F$27="Upfront",$E$285*'HIV-Other HPs'!BG14,0)</f>
        <v>0</v>
      </c>
      <c r="R286" s="915">
        <f>IF(SETUP!$F$27="Upfront",$E$285*'HIV-Other HPs'!BH14,0)</f>
        <v>0</v>
      </c>
      <c r="S286" s="915">
        <f>IF(SETUP!$F$27="Upfront",$E$285*'HIV-Other HPs'!BI14,0)</f>
        <v>0</v>
      </c>
      <c r="T286" s="934">
        <f t="shared" si="43"/>
        <v>0</v>
      </c>
      <c r="U286" s="915">
        <f t="shared" si="44"/>
        <v>0</v>
      </c>
      <c r="V286" s="1316">
        <v>7.6</v>
      </c>
      <c r="W286" s="1995"/>
      <c r="X286" s="1341"/>
    </row>
    <row r="287" spans="1:24" s="665" customFormat="1" ht="15" hidden="1" customHeight="1" outlineLevel="1">
      <c r="A287" s="3184"/>
      <c r="B287" s="3185"/>
      <c r="C287" s="3182" t="s">
        <v>36</v>
      </c>
      <c r="D287" s="3182"/>
      <c r="E287" s="1246"/>
      <c r="F287" s="966">
        <v>0</v>
      </c>
      <c r="G287" s="921">
        <f>IF(SETUP!$F$27="At delivery",IF(SETUP!$G$27=1,$E$285*'HIV-Other HPs'!AX14,0),0)</f>
        <v>0</v>
      </c>
      <c r="H287" s="920">
        <f>IF(SETUP!$F$27="At delivery",IF(SETUP!$G$27=2,$E$285*'HIV-Other HPs'!AX14,IF(SETUP!$G$27=1,$E$285*'HIV-Other HPs'!AY14,0)),0)</f>
        <v>0</v>
      </c>
      <c r="I287" s="920">
        <f>IF(SETUP!$F$27="At delivery",IF(SETUP!$G$27=3,$E$285*'HIV-Other HPs'!AX14,IF(SETUP!$G$27=2,$E$285*'HIV-Other HPs'!AY14,IF(SETUP!$G$27=1,$E$285*'HIV-Other HPs'!AZ14,0))),0)</f>
        <v>0</v>
      </c>
      <c r="J287" s="919">
        <f t="shared" si="41"/>
        <v>0</v>
      </c>
      <c r="K287" s="920">
        <f>IF(SETUP!$F$27="At delivery",IF(SETUP!$G$27=4,$E$285*'HIV-Other HPs'!AX14,IF(SETUP!$G$27=3,$E$285*'HIV-Other HPs'!AY14,IF(SETUP!$G$27=2,$E$285*'HIV-Other HPs'!AZ14,IF(SETUP!$G$27=1,$E$285*'HIV-Other HPs'!BA14,0)))),0)</f>
        <v>0</v>
      </c>
      <c r="L287" s="920">
        <f>IF(SETUP!$F$27="At delivery",IF(SETUP!$G$27=4,$E$285*'HIV-Other HPs'!AY14,IF(SETUP!$G$27=3,$E$285*'HIV-Other HPs'!AZ14,IF(SETUP!$G$27=2,$E$285*'HIV-Other HPs'!BA14,IF(SETUP!$G$27=1,$E$285*'HIV-Other HPs'!BB14,0)))),0)</f>
        <v>0</v>
      </c>
      <c r="M287" s="920">
        <f>IF(SETUP!$F$27="At delivery",IF(SETUP!$G$27=4,$E$285*'HIV-Other HPs'!AZ14,IF(SETUP!$G$27=3,$E$285*'HIV-Other HPs'!BA14,IF(SETUP!$G$27=2,$E$285*'HIV-Other HPs'!BB14,IF(SETUP!$G$27=1,$E$285*'HIV-Other HPs'!BC14,0)))),0)</f>
        <v>0</v>
      </c>
      <c r="N287" s="920">
        <f>IF(SETUP!$F$27="At delivery",IF(SETUP!$G$27=4,$E$285*'HIV-Other HPs'!BA14,IF(SETUP!$G$27=3,$E$285*'HIV-Other HPs'!BB14,IF(SETUP!$G$27=2,$E$285*'HIV-Other HPs'!BC14,IF(SETUP!$G$27=1,$E$285*'HIV-Other HPs'!BD14,0)))),0)</f>
        <v>0</v>
      </c>
      <c r="O287" s="917">
        <f t="shared" si="42"/>
        <v>0</v>
      </c>
      <c r="P287" s="915">
        <f>IF(SETUP!$F$27="At delivery",IF(SETUP!$G$27=4,$E$285*'HIV-Other HPs'!BB14,IF(SETUP!$G$27=3,$E$285*'HIV-Other HPs'!BC14,IF(SETUP!$G$27=2,$E$285*'HIV-Other HPs'!BD14,IF(SETUP!$G$27=1,$E$285*'HIV-Other HPs'!BE14,0)))),0)</f>
        <v>0</v>
      </c>
      <c r="Q287" s="915">
        <f>IF(SETUP!$F$27="At delivery",IF(SETUP!$G$27=4,$E$285*'HIV-Other HPs'!BC14,IF(SETUP!$G$27=3,$E$285*'HIV-Other HPs'!BD14,IF(SETUP!$G$27=2,$E$285*'HIV-Other HPs'!BE14,IF(SETUP!$G$27=1,$E$285*'HIV-Other HPs'!BF14,0)))),0)</f>
        <v>0</v>
      </c>
      <c r="R287" s="915">
        <f>IF(SETUP!$F$27="At delivery",IF(SETUP!$G$27=4,$E$285*'HIV-Other HPs'!BD14,IF(SETUP!$G$27=3,$E$285*'HIV-Other HPs'!BE14,IF(SETUP!$G$27=2,$E$285*'HIV-Other HPs'!BF14,IF(SETUP!$G$27=1,$E$285*'HIV-Other HPs'!BG14,0)))),0)</f>
        <v>0</v>
      </c>
      <c r="S287" s="915">
        <f>IF(SETUP!$F$27="At delivery",IF(SETUP!$G$27=4,$E$285*('HIV-Other HPs'!BE14+'HIV-Other HPs'!BF14+'HIV-Other HPs'!BG14+'HIV-Other HPs'!BH14+'HIV-Other HPs'!BI14),IF(SETUP!$G$27=3,$E$285*('HIV-Other HPs'!BF14+'HIV-Other HPs'!BG14+'HIV-Other HPs'!BH14+'HIV-Other HPs'!BI14),IF(SETUP!$G$27=2,$E$285*('HIV-Other HPs'!BG14+'HIV-Other HPs'!BH14+'HIV-Other HPs'!BI14),IF(SETUP!$G$27=1,$E$285*('HIV-Other HPs'!BH14+'HIV-Other HPs'!BI14),0)))),0)</f>
        <v>0</v>
      </c>
      <c r="T287" s="934">
        <f t="shared" si="43"/>
        <v>0</v>
      </c>
      <c r="U287" s="915">
        <f t="shared" si="44"/>
        <v>0</v>
      </c>
      <c r="V287" s="1316">
        <v>7.6</v>
      </c>
      <c r="W287" s="1995"/>
      <c r="X287" s="1341"/>
    </row>
    <row r="288" spans="1:24" s="665" customFormat="1" ht="15" customHeight="1" collapsed="1" thickBot="1">
      <c r="A288" s="3184"/>
      <c r="B288" s="3185"/>
      <c r="C288" s="3188" t="s">
        <v>217</v>
      </c>
      <c r="D288" s="3188"/>
      <c r="E288" s="1245">
        <v>0</v>
      </c>
      <c r="F288" s="966">
        <f>IF(SETUP!$F$28="Upfront",F289,F290)</f>
        <v>0</v>
      </c>
      <c r="G288" s="921">
        <f>IF(SETUP!$F$28="Upfront",G289,G290)</f>
        <v>0</v>
      </c>
      <c r="H288" s="920">
        <f>IF(SETUP!$F$28="Upfront",H289,H290)</f>
        <v>0</v>
      </c>
      <c r="I288" s="920">
        <f>IF(SETUP!$F$28="Upfront",I289,I290)</f>
        <v>0</v>
      </c>
      <c r="J288" s="919">
        <f t="shared" si="41"/>
        <v>0</v>
      </c>
      <c r="K288" s="920">
        <f>IF(SETUP!$F$28="Upfront",K289,K290)</f>
        <v>0</v>
      </c>
      <c r="L288" s="920">
        <f>IF(SETUP!$F$28="Upfront",L289,L290)</f>
        <v>0</v>
      </c>
      <c r="M288" s="920">
        <f>IF(SETUP!$F$28="Upfront",M289,M290)</f>
        <v>0</v>
      </c>
      <c r="N288" s="920">
        <f>IF(SETUP!$F$28="Upfront",N289,N290)</f>
        <v>0</v>
      </c>
      <c r="O288" s="917">
        <f t="shared" si="42"/>
        <v>0</v>
      </c>
      <c r="P288" s="915">
        <f>IF(SETUP!$F$28="Upfront",P289,P290)</f>
        <v>0</v>
      </c>
      <c r="Q288" s="915">
        <f>IF(SETUP!$F$28="Upfront",Q289,Q290)</f>
        <v>0</v>
      </c>
      <c r="R288" s="915">
        <f>IF(SETUP!$F$28="Upfront",R289,R290)</f>
        <v>0</v>
      </c>
      <c r="S288" s="915">
        <f>IF(SETUP!$F$28="Upfront",S289,S290)</f>
        <v>0</v>
      </c>
      <c r="T288" s="934">
        <f t="shared" si="43"/>
        <v>0</v>
      </c>
      <c r="U288" s="915">
        <f t="shared" si="44"/>
        <v>0</v>
      </c>
      <c r="V288" s="1316">
        <v>7.6</v>
      </c>
      <c r="W288" s="1995"/>
      <c r="X288" s="1341"/>
    </row>
    <row r="289" spans="1:24" s="665" customFormat="1" ht="15" hidden="1" customHeight="1" outlineLevel="1">
      <c r="A289" s="3184"/>
      <c r="B289" s="3185"/>
      <c r="C289" s="3182" t="s">
        <v>777</v>
      </c>
      <c r="D289" s="3182"/>
      <c r="E289" s="1246"/>
      <c r="F289" s="966">
        <f>IF(SETUP!$F$28="Upfront",$E$288*'HIV-Other HPs'!AX15,0)</f>
        <v>0</v>
      </c>
      <c r="G289" s="921">
        <f>IF(SETUP!$F$28="Upfront",$E$288*'HIV-Other HPs'!AY15,0)</f>
        <v>0</v>
      </c>
      <c r="H289" s="920">
        <f>IF(SETUP!$F$28="Upfront",$E$288*'HIV-Other HPs'!AZ15,0)</f>
        <v>0</v>
      </c>
      <c r="I289" s="920">
        <f>IF(SETUP!$F$28="Upfront",$E$288*'HIV-Other HPs'!BA15,0)</f>
        <v>0</v>
      </c>
      <c r="J289" s="919">
        <f t="shared" si="41"/>
        <v>0</v>
      </c>
      <c r="K289" s="920">
        <f>IF(SETUP!$F$28="Upfront",$E$288*'HIV-Other HPs'!BB15,0)</f>
        <v>0</v>
      </c>
      <c r="L289" s="920">
        <f>IF(SETUP!$F$28="Upfront",$E$288*'HIV-Other HPs'!BC15,0)</f>
        <v>0</v>
      </c>
      <c r="M289" s="920">
        <f>IF(SETUP!$F$28="Upfront",$E$288*'HIV-Other HPs'!BD15,0)</f>
        <v>0</v>
      </c>
      <c r="N289" s="920">
        <f>IF(SETUP!$F$28="Upfront",$E$288*'HIV-Other HPs'!BE15,0)</f>
        <v>0</v>
      </c>
      <c r="O289" s="917">
        <f t="shared" si="42"/>
        <v>0</v>
      </c>
      <c r="P289" s="915">
        <f>IF(SETUP!$F$28="Upfront",$E$288*'HIV-Other HPs'!BF15,0)</f>
        <v>0</v>
      </c>
      <c r="Q289" s="915">
        <f>IF(SETUP!$F$28="Upfront",$E$288*'HIV-Other HPs'!BG15,0)</f>
        <v>0</v>
      </c>
      <c r="R289" s="915">
        <f>IF(SETUP!$F$28="Upfront",$E$288*'HIV-Other HPs'!BH15,0)</f>
        <v>0</v>
      </c>
      <c r="S289" s="915">
        <f>IF(SETUP!$F$28="Upfront",$E$288*'HIV-Other HPs'!BI15,0)</f>
        <v>0</v>
      </c>
      <c r="T289" s="934">
        <f t="shared" si="43"/>
        <v>0</v>
      </c>
      <c r="U289" s="915">
        <f t="shared" si="44"/>
        <v>0</v>
      </c>
      <c r="V289" s="1316">
        <v>7.6</v>
      </c>
      <c r="W289" s="1995"/>
      <c r="X289" s="1341"/>
    </row>
    <row r="290" spans="1:24" s="665" customFormat="1" ht="15" hidden="1" customHeight="1" outlineLevel="1">
      <c r="A290" s="3184"/>
      <c r="B290" s="3185"/>
      <c r="C290" s="3182" t="s">
        <v>36</v>
      </c>
      <c r="D290" s="3182"/>
      <c r="E290" s="1246"/>
      <c r="F290" s="966">
        <v>0</v>
      </c>
      <c r="G290" s="921">
        <f>IF(SETUP!$F$28="At delivery",IF(SETUP!$G$28=1,$E$288*'HIV-Other HPs'!AX15,0),0)</f>
        <v>0</v>
      </c>
      <c r="H290" s="920">
        <f>IF(SETUP!$F$28="At delivery",IF(SETUP!$G$28=2,$E$288*'HIV-Other HPs'!AX15,IF(SETUP!$G$28=1,$E$288*'HIV-Other HPs'!AY15,0)),0)</f>
        <v>0</v>
      </c>
      <c r="I290" s="920">
        <f>IF(SETUP!$F$28="At delivery",IF(SETUP!$G$28=3,$E$288*'HIV-Other HPs'!AX15,IF(SETUP!$G$28=2,$E$288*'HIV-Other HPs'!AY15,IF(SETUP!$G$28=1,$E$288*'HIV-Other HPs'!AZ15,0))),0)</f>
        <v>0</v>
      </c>
      <c r="J290" s="919">
        <f t="shared" si="41"/>
        <v>0</v>
      </c>
      <c r="K290" s="920">
        <f>IF(SETUP!$F$28="At delivery",IF(SETUP!$G$28=4,$E$288*'HIV-Other HPs'!AX15,IF(SETUP!$G$28=3,$E$288*'HIV-Other HPs'!AY15,IF(SETUP!$G$28=2,$E$288*'HIV-Other HPs'!AZ15,IF(SETUP!$G$28=1,$E$288*'HIV-Other HPs'!BA15,0)))),0)</f>
        <v>0</v>
      </c>
      <c r="L290" s="920">
        <f>IF(SETUP!$F$28="At delivery",IF(SETUP!$G$28=4,$E$288*'HIV-Other HPs'!AY15,IF(SETUP!$G$28=3,$E$288*'HIV-Other HPs'!AZ15,IF(SETUP!$G$28=2,$E$288*'HIV-Other HPs'!BA15,IF(SETUP!$G$28=1,$E$288*'HIV-Other HPs'!BB15,0)))),0)</f>
        <v>0</v>
      </c>
      <c r="M290" s="920">
        <f>IF(SETUP!$F$28="At delivery",IF(SETUP!$G$28=4,$E$288*'HIV-Other HPs'!AZ15,IF(SETUP!$G$28=3,$E$288*'HIV-Other HPs'!BA15,IF(SETUP!$G$28=2,$E$288*'HIV-Other HPs'!BB15,IF(SETUP!$G$28=1,$E$288*'HIV-Other HPs'!BC15,0)))),0)</f>
        <v>0</v>
      </c>
      <c r="N290" s="920">
        <f>IF(SETUP!$F$28="At delivery",IF(SETUP!$G$28=4,$E$288*'HIV-Other HPs'!BA15,IF(SETUP!$G$28=3,$E$288*'HIV-Other HPs'!BB15,IF(SETUP!$G$28=2,$E$288*'HIV-Other HPs'!BC15,IF(SETUP!$G$28=1,$E$288*'HIV-Other HPs'!BD15,0)))),0)</f>
        <v>0</v>
      </c>
      <c r="O290" s="917">
        <f t="shared" si="42"/>
        <v>0</v>
      </c>
      <c r="P290" s="915">
        <f>IF(SETUP!$F$28="At delivery",IF(SETUP!$G$28=4,$E$288*'HIV-Other HPs'!BB15,IF(SETUP!$G$28=3,$E$288*'HIV-Other HPs'!BC15,IF(SETUP!$G$28=2,$E$288*'HIV-Other HPs'!BD15,IF(SETUP!$G$28=1,$E$288*'HIV-Other HPs'!BE15,0)))),0)</f>
        <v>0</v>
      </c>
      <c r="Q290" s="915">
        <f>IF(SETUP!$F$28="At delivery",IF(SETUP!$G$28=4,$E$288*'HIV-Other HPs'!BC15,IF(SETUP!$G$28=3,$E$288*'HIV-Other HPs'!BD15,IF(SETUP!$G$28=2,$E$288*'HIV-Other HPs'!BE15,IF(SETUP!$G$28=1,$E$288*'HIV-Other HPs'!BF15,0)))),0)</f>
        <v>0</v>
      </c>
      <c r="R290" s="915">
        <f>IF(SETUP!$F$28="At delivery",IF(SETUP!$G$28=4,$E$288*'HIV-Other HPs'!BD15,IF(SETUP!$G$28=3,$E$288*'HIV-Other HPs'!BE15,IF(SETUP!$G$28=2,$E$288*'HIV-Other HPs'!BF15,IF(SETUP!$G$28=1,$E$288*'HIV-Other HPs'!BG15,0)))),0)</f>
        <v>0</v>
      </c>
      <c r="S290" s="915">
        <f>IF(SETUP!$F$28="At delivery",IF(SETUP!$G$28=4,$E$288*('HIV-Other HPs'!BE15+'HIV-Other HPs'!BF15+'HIV-Other HPs'!BG15+'HIV-Other HPs'!BH15+'HIV-Other HPs'!BI15),IF(SETUP!$G$28=3,$E$288*('HIV-Other HPs'!BF15+'HIV-Other HPs'!BG15+'HIV-Other HPs'!BH15+'HIV-Other HPs'!BI15),IF(SETUP!$G$28=2,$E$288*('HIV-Other HPs'!BG15+'HIV-Other HPs'!BH15+'HIV-Other HPs'!BI15),IF(SETUP!$G$28=1,$E$288*('HIV-Other HPs'!BH15+'HIV-Other HPs'!BI15),0)))),0)</f>
        <v>0</v>
      </c>
      <c r="T290" s="934">
        <f t="shared" si="43"/>
        <v>0</v>
      </c>
      <c r="U290" s="915">
        <f t="shared" si="44"/>
        <v>0</v>
      </c>
      <c r="V290" s="1316">
        <v>7.6</v>
      </c>
      <c r="W290" s="1995"/>
      <c r="X290" s="1341"/>
    </row>
    <row r="291" spans="1:24" s="665" customFormat="1" ht="15" customHeight="1" collapsed="1" thickBot="1">
      <c r="A291" s="3184"/>
      <c r="B291" s="3185"/>
      <c r="C291" s="3188" t="s">
        <v>441</v>
      </c>
      <c r="D291" s="3188"/>
      <c r="E291" s="1245">
        <v>0</v>
      </c>
      <c r="F291" s="966">
        <f>IF(SETUP!$F$29="Upfront",F292,F293)</f>
        <v>0</v>
      </c>
      <c r="G291" s="921">
        <f>IF(SETUP!$F$29="Upfront",G292,G293)</f>
        <v>0</v>
      </c>
      <c r="H291" s="920">
        <f>IF(SETUP!$F$29="Upfront",H292,H293)</f>
        <v>0</v>
      </c>
      <c r="I291" s="920">
        <f>IF(SETUP!$F$29="Upfront",I292,I293)</f>
        <v>0</v>
      </c>
      <c r="J291" s="919">
        <f t="shared" si="41"/>
        <v>0</v>
      </c>
      <c r="K291" s="920">
        <f>IF(SETUP!$F$29="Upfront",K292,K293)</f>
        <v>0</v>
      </c>
      <c r="L291" s="920">
        <f>IF(SETUP!$F$29="Upfront",L292,L293)</f>
        <v>0</v>
      </c>
      <c r="M291" s="920">
        <f>IF(SETUP!$F$29="Upfront",M292,M293)</f>
        <v>0</v>
      </c>
      <c r="N291" s="920">
        <f>IF(SETUP!$F$29="Upfront",N292,N293)</f>
        <v>0</v>
      </c>
      <c r="O291" s="917">
        <f t="shared" si="42"/>
        <v>0</v>
      </c>
      <c r="P291" s="915">
        <f>IF(SETUP!$F$29="Upfront",P292,P293)</f>
        <v>0</v>
      </c>
      <c r="Q291" s="915">
        <f>IF(SETUP!$F$29="Upfront",Q292,Q293)</f>
        <v>0</v>
      </c>
      <c r="R291" s="915">
        <f>IF(SETUP!$F$29="Upfront",R292,R293)</f>
        <v>0</v>
      </c>
      <c r="S291" s="915">
        <f>IF(SETUP!$F$29="Upfront",S292,S293)</f>
        <v>0</v>
      </c>
      <c r="T291" s="934">
        <f t="shared" si="43"/>
        <v>0</v>
      </c>
      <c r="U291" s="915">
        <f t="shared" si="44"/>
        <v>0</v>
      </c>
      <c r="V291" s="1316">
        <v>7.6</v>
      </c>
      <c r="W291" s="1995"/>
      <c r="X291" s="1341"/>
    </row>
    <row r="292" spans="1:24" s="665" customFormat="1" ht="15" hidden="1" customHeight="1" outlineLevel="1">
      <c r="A292" s="3184"/>
      <c r="B292" s="3185"/>
      <c r="C292" s="3182" t="s">
        <v>777</v>
      </c>
      <c r="D292" s="3182"/>
      <c r="E292" s="1246"/>
      <c r="F292" s="966">
        <f>IF(SETUP!$F$29="Upfront",$E$291*'HIV-Other HPs'!AX16,0)</f>
        <v>0</v>
      </c>
      <c r="G292" s="921">
        <f>IF(SETUP!$F$29="Upfront",$E$291*'HIV-Other HPs'!AY16,0)</f>
        <v>0</v>
      </c>
      <c r="H292" s="920">
        <f>IF(SETUP!$F$29="Upfront",$E$291*'HIV-Other HPs'!AZ16,0)</f>
        <v>0</v>
      </c>
      <c r="I292" s="920">
        <f>IF(SETUP!$F$29="Upfront",$E$291*'HIV-Other HPs'!BA16,0)</f>
        <v>0</v>
      </c>
      <c r="J292" s="919">
        <f t="shared" si="41"/>
        <v>0</v>
      </c>
      <c r="K292" s="920">
        <f>IF(SETUP!$F$29="Upfront",$E$291*'HIV-Other HPs'!BB16,0)</f>
        <v>0</v>
      </c>
      <c r="L292" s="920">
        <f>IF(SETUP!$F$29="Upfront",$E$291*'HIV-Other HPs'!BC16,0)</f>
        <v>0</v>
      </c>
      <c r="M292" s="920">
        <f>IF(SETUP!$F$29="Upfront",$E$291*'HIV-Other HPs'!BD16,0)</f>
        <v>0</v>
      </c>
      <c r="N292" s="920">
        <f>IF(SETUP!$F$29="Upfront",$E$291*'HIV-Other HPs'!BE16,0)</f>
        <v>0</v>
      </c>
      <c r="O292" s="917">
        <f t="shared" si="42"/>
        <v>0</v>
      </c>
      <c r="P292" s="915">
        <f>IF(SETUP!$F$29="Upfront",$E$291*'HIV-Other HPs'!BF16,0)</f>
        <v>0</v>
      </c>
      <c r="Q292" s="915">
        <f>IF(SETUP!$F$29="Upfront",$E$291*'HIV-Other HPs'!BG16,0)</f>
        <v>0</v>
      </c>
      <c r="R292" s="915">
        <f>IF(SETUP!$F$29="Upfront",$E$291*'HIV-Other HPs'!BH16,0)</f>
        <v>0</v>
      </c>
      <c r="S292" s="915">
        <f>IF(SETUP!$F$29="Upfront",$E$291*'HIV-Other HPs'!BI16,0)</f>
        <v>0</v>
      </c>
      <c r="T292" s="934">
        <f t="shared" si="43"/>
        <v>0</v>
      </c>
      <c r="U292" s="915">
        <f t="shared" si="44"/>
        <v>0</v>
      </c>
      <c r="V292" s="1316">
        <v>7.6</v>
      </c>
      <c r="W292" s="1995"/>
      <c r="X292" s="1341"/>
    </row>
    <row r="293" spans="1:24" s="665" customFormat="1" ht="15" hidden="1" customHeight="1" outlineLevel="1">
      <c r="A293" s="3184"/>
      <c r="B293" s="3185"/>
      <c r="C293" s="3182" t="s">
        <v>36</v>
      </c>
      <c r="D293" s="3182"/>
      <c r="E293" s="1246"/>
      <c r="F293" s="966">
        <v>0</v>
      </c>
      <c r="G293" s="921">
        <f>IF(SETUP!$F$29="At delivery",IF(SETUP!$G$29=1,$E$291*'HIV-Other HPs'!AX16,0),0)</f>
        <v>0</v>
      </c>
      <c r="H293" s="920">
        <f>IF(SETUP!$F$29="At delivery",IF(SETUP!$G$29=2,$E$291*'HIV-Other HPs'!AX16,IF(SETUP!$G$29=1,$E$291*'HIV-Other HPs'!AY16,0)),0)</f>
        <v>0</v>
      </c>
      <c r="I293" s="920">
        <f>IF(SETUP!$F$29="At delivery",IF(SETUP!$G$29=3,$E$291*'HIV-Other HPs'!AX16,IF(SETUP!$G$29=2,$E$291*'HIV-Other HPs'!AY16,IF(SETUP!$G$29=1,$E$291*'HIV-Other HPs'!AZ16,0))),0)</f>
        <v>0</v>
      </c>
      <c r="J293" s="919">
        <f t="shared" si="41"/>
        <v>0</v>
      </c>
      <c r="K293" s="920">
        <f>IF(SETUP!$F$29="At delivery",IF(SETUP!$G$29=4,$E$291*'HIV-Other HPs'!AX16,IF(SETUP!$G$29=3,$E$291*'HIV-Other HPs'!AY16,IF(SETUP!$G$29=2,$E$291*'HIV-Other HPs'!AZ16,IF(SETUP!$G$29=1,$E$291*'HIV-Other HPs'!BA16,0)))),0)</f>
        <v>0</v>
      </c>
      <c r="L293" s="920">
        <f>IF(SETUP!$F$29="At delivery",IF(SETUP!$G$29=4,$E$291*'HIV-Other HPs'!AY16,IF(SETUP!$G$29=3,$E$291*'HIV-Other HPs'!AZ16,IF(SETUP!$G$29=2,$E$291*'HIV-Other HPs'!BA16,IF(SETUP!$G$29=1,$E$291*'HIV-Other HPs'!BB16,0)))),0)</f>
        <v>0</v>
      </c>
      <c r="M293" s="920">
        <f>IF(SETUP!$F$29="At delivery",IF(SETUP!$G$29=4,$E$291*'HIV-Other HPs'!AZ16,IF(SETUP!$G$29=3,$E$291*'HIV-Other HPs'!BA16,IF(SETUP!$G$29=2,$E$291*'HIV-Other HPs'!BB16,IF(SETUP!$G$29=1,$E$291*'HIV-Other HPs'!BC16,0)))),0)</f>
        <v>0</v>
      </c>
      <c r="N293" s="920">
        <f>IF(SETUP!$F$29="At delivery",IF(SETUP!$G$29=4,$E$291*'HIV-Other HPs'!BA16,IF(SETUP!$G$29=3,$E$291*'HIV-Other HPs'!BB16,IF(SETUP!$G$29=2,$E$291*'HIV-Other HPs'!BC16,IF(SETUP!$G$29=1,$E$291*'HIV-Other HPs'!BD16,0)))),0)</f>
        <v>0</v>
      </c>
      <c r="O293" s="917">
        <f t="shared" si="42"/>
        <v>0</v>
      </c>
      <c r="P293" s="915">
        <f>IF(SETUP!$F$29="At delivery",IF(SETUP!$G$29=4,$E$291*'HIV-Other HPs'!BB16,IF(SETUP!$G$29=3,$E$291*'HIV-Other HPs'!BC16,IF(SETUP!$G$29=2,$E$291*'HIV-Other HPs'!BD16,IF(SETUP!$G$29=1,$E$291*'HIV-Other HPs'!BE16,0)))),0)</f>
        <v>0</v>
      </c>
      <c r="Q293" s="915">
        <f>IF(SETUP!$F$29="At delivery",IF(SETUP!$G$29=4,$E$291*'HIV-Other HPs'!BC16,IF(SETUP!$G$29=3,$E$291*'HIV-Other HPs'!BD16,IF(SETUP!$G$29=2,$E$291*'HIV-Other HPs'!BE16,IF(SETUP!$G$29=1,$E$291*'HIV-Other HPs'!BF16,0)))),0)</f>
        <v>0</v>
      </c>
      <c r="R293" s="915">
        <f>IF(SETUP!$F$29="At delivery",IF(SETUP!$G$29=4,$E$291*'HIV-Other HPs'!BD16,IF(SETUP!$G$29=3,$E$291*'HIV-Other HPs'!BE16,IF(SETUP!$G$29=2,$E$291*'HIV-Other HPs'!BF16,IF(SETUP!$G$29=1,$E$291*'HIV-Other HPs'!BG16,0)))),0)</f>
        <v>0</v>
      </c>
      <c r="S293" s="915">
        <f>IF(SETUP!$F$29="At delivery",IF(SETUP!$G$29=4,$E$291*('HIV-Other HPs'!BE16+'HIV-Other HPs'!BF16+'HIV-Other HPs'!BG16+'HIV-Other HPs'!BH16+'HIV-Other HPs'!BI16),IF(SETUP!$G$29=3,$E$291*('HIV-Other HPs'!BF16+'HIV-Other HPs'!BG16+'HIV-Other HPs'!BH16+'HIV-Other HPs'!BI16),IF(SETUP!$G$29=2,$E$291*('HIV-Other HPs'!BG16+'HIV-Other HPs'!BH16+'HIV-Other HPs'!BI16),IF(SETUP!$G$29=1,$E$291*('HIV-Other HPs'!BH16+'HIV-Other HPs'!BI16),0)))),0)</f>
        <v>0</v>
      </c>
      <c r="T293" s="934">
        <f t="shared" si="43"/>
        <v>0</v>
      </c>
      <c r="U293" s="915">
        <f t="shared" si="44"/>
        <v>0</v>
      </c>
      <c r="V293" s="1316">
        <v>7.6</v>
      </c>
      <c r="W293" s="1995"/>
      <c r="X293" s="1341"/>
    </row>
    <row r="294" spans="1:24" s="665" customFormat="1" ht="15" customHeight="1" collapsed="1" thickBot="1">
      <c r="A294" s="3184"/>
      <c r="B294" s="3185"/>
      <c r="C294" s="3188" t="s">
        <v>1452</v>
      </c>
      <c r="D294" s="3188"/>
      <c r="E294" s="1245">
        <v>0</v>
      </c>
      <c r="F294" s="966">
        <f>IF(SETUP!$F$30="Upfront",F295,F296)</f>
        <v>0</v>
      </c>
      <c r="G294" s="921">
        <f>IF(SETUP!$F$30="Upfront",G295,G296)</f>
        <v>0</v>
      </c>
      <c r="H294" s="920">
        <f>IF(SETUP!$F$30="Upfront",H295,H296)</f>
        <v>0</v>
      </c>
      <c r="I294" s="920">
        <f>IF(SETUP!$F$30="Upfront",I295,I296)</f>
        <v>0</v>
      </c>
      <c r="J294" s="919">
        <f t="shared" si="41"/>
        <v>0</v>
      </c>
      <c r="K294" s="920">
        <f>IF(SETUP!$F$30="Upfront",K295,K296)</f>
        <v>0</v>
      </c>
      <c r="L294" s="920">
        <f>IF(SETUP!$F$30="Upfront",L295,L296)</f>
        <v>0</v>
      </c>
      <c r="M294" s="920">
        <f>IF(SETUP!$F$30="Upfront",M295,M296)</f>
        <v>0</v>
      </c>
      <c r="N294" s="920">
        <f>IF(SETUP!$F$30="Upfront",N295,N296)</f>
        <v>0</v>
      </c>
      <c r="O294" s="917">
        <f t="shared" si="42"/>
        <v>0</v>
      </c>
      <c r="P294" s="915">
        <f>IF(SETUP!$F$30="Upfront",P295,P296)</f>
        <v>0</v>
      </c>
      <c r="Q294" s="915">
        <f>IF(SETUP!$F$30="Upfront",Q295,Q296)</f>
        <v>0</v>
      </c>
      <c r="R294" s="915">
        <f>IF(SETUP!$F$30="Upfront",R295,R296)</f>
        <v>0</v>
      </c>
      <c r="S294" s="915">
        <f>IF(SETUP!$F$30="Upfront",S295,S296)</f>
        <v>0</v>
      </c>
      <c r="T294" s="934">
        <f t="shared" ref="T294" si="45">P294+Q294+R294+S294</f>
        <v>0</v>
      </c>
      <c r="U294" s="915">
        <f t="shared" ref="U294" si="46">J294+O294+T294</f>
        <v>0</v>
      </c>
      <c r="V294" s="1316">
        <v>7.6</v>
      </c>
      <c r="W294" s="1995"/>
      <c r="X294" s="1341"/>
    </row>
    <row r="295" spans="1:24" s="665" customFormat="1" ht="15" hidden="1" customHeight="1" outlineLevel="1">
      <c r="A295" s="3184"/>
      <c r="B295" s="3185"/>
      <c r="C295" s="3182" t="s">
        <v>777</v>
      </c>
      <c r="D295" s="3182"/>
      <c r="E295" s="1246"/>
      <c r="F295" s="966">
        <f>IF(SETUP!$F$30="Upfront",$E$294*'HIV-Other HPs'!AX17,0)</f>
        <v>0</v>
      </c>
      <c r="G295" s="921">
        <f>IF(SETUP!$F$30="Upfront",$E$294*'HIV-Other HPs'!AY17,0)</f>
        <v>0</v>
      </c>
      <c r="H295" s="920">
        <f>IF(SETUP!$F$30="Upfront",$E$294*'HIV-Other HPs'!AZ17,0)</f>
        <v>0</v>
      </c>
      <c r="I295" s="920">
        <f>IF(SETUP!$F$30="Upfront",$E$294*'HIV-Other HPs'!BA17,0)</f>
        <v>0</v>
      </c>
      <c r="J295" s="919"/>
      <c r="K295" s="920">
        <f>IF(SETUP!$F$30="Upfront",$E$294*'HIV-Other HPs'!BB17,0)</f>
        <v>0</v>
      </c>
      <c r="L295" s="920">
        <f>IF(SETUP!$F$30="Upfront",$E$294*'HIV-Other HPs'!BC17,0)</f>
        <v>0</v>
      </c>
      <c r="M295" s="920">
        <f>IF(SETUP!$F$30="Upfront",$E$294*'HIV-Other HPs'!BD17,0)</f>
        <v>0</v>
      </c>
      <c r="N295" s="920">
        <f>IF(SETUP!$F$30="Upfront",$E$294*'HIV-Other HPs'!BE17,0)</f>
        <v>0</v>
      </c>
      <c r="O295" s="917"/>
      <c r="P295" s="915">
        <f>IF(SETUP!$F$30="Upfront",$E$294*'HIV-Other HPs'!BF17,0)</f>
        <v>0</v>
      </c>
      <c r="Q295" s="915">
        <f>IF(SETUP!$F$30="Upfront",$E$294*'HIV-Other HPs'!BG17,0)</f>
        <v>0</v>
      </c>
      <c r="R295" s="915">
        <f>IF(SETUP!$F$30="Upfront",$E$294*'HIV-Other HPs'!BH17,0)</f>
        <v>0</v>
      </c>
      <c r="S295" s="915">
        <f>IF(SETUP!$F$30="Upfront",$E$294*'HIV-Other HPs'!BI17,0)</f>
        <v>0</v>
      </c>
      <c r="T295" s="934"/>
      <c r="U295" s="915"/>
      <c r="V295" s="1316">
        <v>7.6</v>
      </c>
      <c r="W295" s="1995"/>
      <c r="X295" s="1341"/>
    </row>
    <row r="296" spans="1:24" s="665" customFormat="1" ht="15" hidden="1" customHeight="1" outlineLevel="1">
      <c r="A296" s="3184"/>
      <c r="B296" s="3185"/>
      <c r="C296" s="3182" t="s">
        <v>36</v>
      </c>
      <c r="D296" s="3182"/>
      <c r="E296" s="1246"/>
      <c r="F296" s="966">
        <v>0</v>
      </c>
      <c r="G296" s="921">
        <f>IF(SETUP!$F$30="At delivery",IF(SETUP!$G$30=1,$E$294*'HIV-Other HPs'!AX17,0),0)</f>
        <v>0</v>
      </c>
      <c r="H296" s="920">
        <f>IF(SETUP!$F$30="At delivery",IF(SETUP!$G$30=2,$E$294*'HIV-Other HPs'!AX17,IF(SETUP!$G$30=1,$E$294*'HIV-Other HPs'!AY17,0)),0)</f>
        <v>0</v>
      </c>
      <c r="I296" s="920">
        <f>IF(SETUP!$F$30="At delivery",IF(SETUP!$G$30=3,$E$294*'HIV-Other HPs'!AX17,IF(SETUP!$G$30=2,$E$294*'HIV-Other HPs'!AY17,IF(SETUP!$G$30=1,$E$294*'HIV-Other HPs'!AZ17,0))),0)</f>
        <v>0</v>
      </c>
      <c r="J296" s="919"/>
      <c r="K296" s="920">
        <f>IF(SETUP!$F$30="At delivery",IF(SETUP!$G$30=4,$E$294*'HIV-Other HPs'!AX17,IF(SETUP!$G$30=3,$E$294*'HIV-Other HPs'!AY17,IF(SETUP!$G$30=2,$E$294*'HIV-Other HPs'!AZ17,IF(SETUP!$G$30=1,$E$294*'HIV-Other HPs'!BA17,0)))),0)</f>
        <v>0</v>
      </c>
      <c r="L296" s="920">
        <f>IF(SETUP!$F$30="At delivery",IF(SETUP!$G$30=4,$E$294*'HIV-Other HPs'!AY17,IF(SETUP!$G$30=3,$E$294*'HIV-Other HPs'!AZ17,IF(SETUP!$G$30=2,$E$294*'HIV-Other HPs'!BA17,IF(SETUP!$G$30=1,$E$294*'HIV-Other HPs'!BB17,0)))),0)</f>
        <v>0</v>
      </c>
      <c r="M296" s="920">
        <f>IF(SETUP!$F$30="At delivery",IF(SETUP!$G$30=4,$E$294*'HIV-Other HPs'!AZ17,IF(SETUP!$G$30=3,$E$294*'HIV-Other HPs'!BA17,IF(SETUP!$G$30=2,$E$294*'HIV-Other HPs'!BB17,IF(SETUP!$G$30=1,$E$294*'HIV-Other HPs'!BC17,0)))),0)</f>
        <v>0</v>
      </c>
      <c r="N296" s="920">
        <f>IF(SETUP!$F$30="At delivery",IF(SETUP!$G$30=4,$E$294*'HIV-Other HPs'!BA17,IF(SETUP!$G$30=3,$E$294*'HIV-Other HPs'!BB17,IF(SETUP!$G$30=2,$E$294*'HIV-Other HPs'!BC17,IF(SETUP!$G$30=1,$E$294*'HIV-Other HPs'!BD17,0)))),0)</f>
        <v>0</v>
      </c>
      <c r="O296" s="917"/>
      <c r="P296" s="915">
        <f>IF(SETUP!$F$30="At delivery",IF(SETUP!$G$30=4,$E$294*'HIV-Other HPs'!BB17,IF(SETUP!$G$30=3,$E$294*'HIV-Other HPs'!BC17,IF(SETUP!$G$30=2,$E$294*'HIV-Other HPs'!BD17,IF(SETUP!$G$30=1,$E$294*'HIV-Other HPs'!BE17,0)))),0)</f>
        <v>0</v>
      </c>
      <c r="Q296" s="915">
        <f>IF(SETUP!$F$30="At delivery",IF(SETUP!$G$30=4,$E$294*'HIV-Other HPs'!BC17,IF(SETUP!$G$30=3,$E$294*'HIV-Other HPs'!BD17,IF(SETUP!$G$30=2,$E$294*'HIV-Other HPs'!BE17,IF(SETUP!$G$30=1,$E$294*'HIV-Other HPs'!BF17,0)))),0)</f>
        <v>0</v>
      </c>
      <c r="R296" s="915">
        <f>IF(SETUP!$F$30="At delivery",IF(SETUP!$G$30=4,$E$294*'HIV-Other HPs'!BD17,IF(SETUP!$G$30=3,$E$294*'HIV-Other HPs'!BE17,IF(SETUP!$G$30=2,$E$294*'HIV-Other HPs'!BF17,IF(SETUP!$G$30=1,$E$294*'HIV-Other HPs'!BG17,0)))),0)</f>
        <v>0</v>
      </c>
      <c r="S296" s="915">
        <f>IF(SETUP!$F$30="At delivery",IF(SETUP!$G$30=4,$E$294*('HIV-Other HPs'!BE17+'HIV-Other HPs'!BF17+'HIV-Other HPs'!BG17+'HIV-Other HPs'!BH17+'HIV-Other HPs'!BI17),IF(SETUP!$G$30=3,$E$294*('HIV-Other HPs'!BF17+'HIV-Other HPs'!BG17+'HIV-Other HPs'!BH17+'HIV-Other HPs'!BI17),IF(SETUP!$G$30=2,$E$294*('HIV-Other HPs'!BG17+'HIV-Other HPs'!BH17+'HIV-Other HPs'!BI17),IF(SETUP!$G$30=1,$E$294*('HIV-Other HPs'!BH17+'HIV-Other HPs'!BI17),0)))),0)</f>
        <v>0</v>
      </c>
      <c r="T296" s="934"/>
      <c r="U296" s="915"/>
      <c r="V296" s="1316">
        <v>7.6</v>
      </c>
      <c r="W296" s="1995"/>
      <c r="X296" s="1341"/>
    </row>
    <row r="297" spans="1:24" s="665" customFormat="1" ht="15" customHeight="1" collapsed="1" thickBot="1">
      <c r="A297" s="3184"/>
      <c r="B297" s="3185"/>
      <c r="C297" s="3188" t="s">
        <v>1391</v>
      </c>
      <c r="D297" s="3188"/>
      <c r="E297" s="1245">
        <v>0</v>
      </c>
      <c r="F297" s="966">
        <f>IF(SETUP!$F$31="Upfront",F298,F299)</f>
        <v>0</v>
      </c>
      <c r="G297" s="921">
        <f>IF(SETUP!$F$31="Upfront",G298,G299)</f>
        <v>0</v>
      </c>
      <c r="H297" s="920">
        <f>IF(SETUP!$F$31="Upfront",H298,H299)</f>
        <v>0</v>
      </c>
      <c r="I297" s="920">
        <f>IF(SETUP!$F$31="Upfront",I298,I299)</f>
        <v>0</v>
      </c>
      <c r="J297" s="919">
        <f t="shared" ref="J297:J328" si="47">F297+G297+H297+I297</f>
        <v>0</v>
      </c>
      <c r="K297" s="920">
        <f>IF(SETUP!$F$31="Upfront",K298,K299)</f>
        <v>0</v>
      </c>
      <c r="L297" s="920">
        <f>IF(SETUP!$F$31="Upfront",L298,L299)</f>
        <v>0</v>
      </c>
      <c r="M297" s="920">
        <f>IF(SETUP!$F$31="Upfront",M298,M299)</f>
        <v>0</v>
      </c>
      <c r="N297" s="920">
        <f>IF(SETUP!$F$31="Upfront",N298,N299)</f>
        <v>0</v>
      </c>
      <c r="O297" s="917">
        <f t="shared" ref="O297:O328" si="48">K297+L297+M297+N297</f>
        <v>0</v>
      </c>
      <c r="P297" s="915">
        <f>IF(SETUP!$F$31="Upfront",P298,P299)</f>
        <v>0</v>
      </c>
      <c r="Q297" s="915">
        <f>IF(SETUP!$F$31="Upfront",Q298,Q299)</f>
        <v>0</v>
      </c>
      <c r="R297" s="915">
        <f>IF(SETUP!$F$31="Upfront",R298,R299)</f>
        <v>0</v>
      </c>
      <c r="S297" s="915">
        <f>IF(SETUP!$F$31="Upfront",S298,S299)</f>
        <v>0</v>
      </c>
      <c r="T297" s="934">
        <f t="shared" ref="T297:T328" si="49">P297+Q297+R297+S297</f>
        <v>0</v>
      </c>
      <c r="U297" s="915">
        <f t="shared" ref="U297:U328" si="50">J297+O297+T297</f>
        <v>0</v>
      </c>
      <c r="V297" s="1316">
        <v>7.6</v>
      </c>
      <c r="W297" s="1995"/>
      <c r="X297" s="1341"/>
    </row>
    <row r="298" spans="1:24" s="665" customFormat="1" ht="15" hidden="1" customHeight="1" outlineLevel="1">
      <c r="A298" s="3184"/>
      <c r="B298" s="3185"/>
      <c r="C298" s="3182" t="s">
        <v>777</v>
      </c>
      <c r="D298" s="3182"/>
      <c r="E298" s="1246"/>
      <c r="F298" s="966">
        <f>IF(SETUP!$F$31="Upfront",$E$297*'HIV-Other HPs'!AX18,0)</f>
        <v>0</v>
      </c>
      <c r="G298" s="921">
        <f>IF(SETUP!$F$31="Upfront",$E$297*'HIV-Other HPs'!AY18,0)</f>
        <v>0</v>
      </c>
      <c r="H298" s="920">
        <f>IF(SETUP!$F$31="Upfront",$E$297*'HIV-Other HPs'!AZ18,0)</f>
        <v>0</v>
      </c>
      <c r="I298" s="920">
        <f>IF(SETUP!$F$31="Upfront",$E$297*'HIV-Other HPs'!BA18,0)</f>
        <v>0</v>
      </c>
      <c r="J298" s="919">
        <f t="shared" si="47"/>
        <v>0</v>
      </c>
      <c r="K298" s="920">
        <f>IF(SETUP!$F$31="Upfront",$E$297*'HIV-Other HPs'!BB18,0)</f>
        <v>0</v>
      </c>
      <c r="L298" s="920">
        <f>IF(SETUP!$F$31="Upfront",$E$297*'HIV-Other HPs'!BC18,0)</f>
        <v>0</v>
      </c>
      <c r="M298" s="920">
        <f>IF(SETUP!$F$31="Upfront",$E$297*'HIV-Other HPs'!BD18,0)</f>
        <v>0</v>
      </c>
      <c r="N298" s="920">
        <f>IF(SETUP!$F$31="Upfront",$E$297*'HIV-Other HPs'!BE18,0)</f>
        <v>0</v>
      </c>
      <c r="O298" s="917">
        <f t="shared" si="48"/>
        <v>0</v>
      </c>
      <c r="P298" s="915">
        <f>IF(SETUP!$F$31="Upfront",$E$297*'HIV-Other HPs'!BF18,0)</f>
        <v>0</v>
      </c>
      <c r="Q298" s="915">
        <f>IF(SETUP!$F$31="Upfront",$E$297*'HIV-Other HPs'!BG18,0)</f>
        <v>0</v>
      </c>
      <c r="R298" s="915">
        <f>IF(SETUP!$F$31="Upfront",$E$297*'HIV-Other HPs'!BH18,0)</f>
        <v>0</v>
      </c>
      <c r="S298" s="915">
        <f>IF(SETUP!$F$31="Upfront",$E$297*'HIV-Other HPs'!BI18,0)</f>
        <v>0</v>
      </c>
      <c r="T298" s="934">
        <f t="shared" si="49"/>
        <v>0</v>
      </c>
      <c r="U298" s="915">
        <f t="shared" si="50"/>
        <v>0</v>
      </c>
      <c r="V298" s="1316">
        <v>7.6</v>
      </c>
      <c r="W298" s="1995"/>
      <c r="X298" s="1341"/>
    </row>
    <row r="299" spans="1:24" s="665" customFormat="1" ht="15" hidden="1" customHeight="1" outlineLevel="1">
      <c r="A299" s="3184"/>
      <c r="B299" s="3185"/>
      <c r="C299" s="3182" t="s">
        <v>36</v>
      </c>
      <c r="D299" s="3182"/>
      <c r="E299" s="1246"/>
      <c r="F299" s="966">
        <v>0</v>
      </c>
      <c r="G299" s="921">
        <f>IF(SETUP!$F$31="At delivery",IF(SETUP!$G$31=1,$E$297*'HIV-Other HPs'!AX18,0),0)</f>
        <v>0</v>
      </c>
      <c r="H299" s="920">
        <f>IF(SETUP!$F$31="At delivery",IF(SETUP!$G$31=2,$E$297*'HIV-Other HPs'!AX18,IF(SETUP!$G$31=1,$E$297*'HIV-Other HPs'!AY18,0)),0)</f>
        <v>0</v>
      </c>
      <c r="I299" s="920">
        <f>IF(SETUP!$F$31="At delivery",IF(SETUP!$G$31=3,$E$297*'HIV-Other HPs'!AX18,IF(SETUP!$G$31=2,$E$297*'HIV-Other HPs'!AY18,IF(SETUP!$G$31=1,$E$297*'HIV-Other HPs'!AZ18,0))),0)</f>
        <v>0</v>
      </c>
      <c r="J299" s="919">
        <f t="shared" si="47"/>
        <v>0</v>
      </c>
      <c r="K299" s="920">
        <f>IF(SETUP!$F$31="At delivery",IF(SETUP!$G$31=4,$E$297*'HIV-Other HPs'!AX18,IF(SETUP!$G$31=3,$E$297*'HIV-Other HPs'!AY18,IF(SETUP!$G$31=2,$E$297*'HIV-Other HPs'!AZ18,IF(SETUP!$G$31=1,$E$297*'HIV-Other HPs'!BA18,0)))),0)</f>
        <v>0</v>
      </c>
      <c r="L299" s="920">
        <f>IF(SETUP!$F$31="At delivery",IF(SETUP!$G$31=4,$E$297*'HIV-Other HPs'!AY18,IF(SETUP!$G$31=3,$E$297*'HIV-Other HPs'!AZ18,IF(SETUP!$G$31=2,$E$297*'HIV-Other HPs'!BA18,IF(SETUP!$G$31=1,$E$297*'HIV-Other HPs'!BB18,0)))),0)</f>
        <v>0</v>
      </c>
      <c r="M299" s="920">
        <f>IF(SETUP!$F$31="At delivery",IF(SETUP!$G$31=4,$E$297*'HIV-Other HPs'!AZ18,IF(SETUP!$G$31=3,$E$297*'HIV-Other HPs'!BA18,IF(SETUP!$G$31=2,$E$297*'HIV-Other HPs'!BB18,IF(SETUP!$G$31=1,$E$297*'HIV-Other HPs'!BC18,0)))),0)</f>
        <v>0</v>
      </c>
      <c r="N299" s="920">
        <f>IF(SETUP!$F$31="At delivery",IF(SETUP!$G$31=4,$E$297*'HIV-Other HPs'!BA18,IF(SETUP!$G$31=3,$E$297*'HIV-Other HPs'!BB18,IF(SETUP!$G$31=2,$E$297*'HIV-Other HPs'!BC18,IF(SETUP!$G$31=1,$E$297*'HIV-Other HPs'!BD18,0)))),0)</f>
        <v>0</v>
      </c>
      <c r="O299" s="917">
        <f t="shared" si="48"/>
        <v>0</v>
      </c>
      <c r="P299" s="915">
        <f>IF(SETUP!$F$31="At delivery",IF(SETUP!$G$31=4,$E$297*'HIV-Other HPs'!BB18,IF(SETUP!$G$31=3,$E$297*'HIV-Other HPs'!BC18,IF(SETUP!$G$31=2,$E$297*'HIV-Other HPs'!BD18,IF(SETUP!$G$31=1,$E$297*'HIV-Other HPs'!BE18,0)))),0)</f>
        <v>0</v>
      </c>
      <c r="Q299" s="915">
        <f>IF(SETUP!$F$31="At delivery",IF(SETUP!$G$31=4,$E$297*'HIV-Other HPs'!BC18,IF(SETUP!$G$31=3,$E$297*'HIV-Other HPs'!BD18,IF(SETUP!$G$31=2,$E$297*'HIV-Other HPs'!BE18,IF(SETUP!$G$31=1,$E$297*'HIV-Other HPs'!BF18,0)))),0)</f>
        <v>0</v>
      </c>
      <c r="R299" s="915">
        <f>IF(SETUP!$F$31="At delivery",IF(SETUP!$G$31=4,$E$297*'HIV-Other HPs'!BD18,IF(SETUP!$G$31=3,$E$297*'HIV-Other HPs'!BE18,IF(SETUP!$G$31=2,$E$297*'HIV-Other HPs'!BF18,IF(SETUP!$G$31=1,$E$297*'HIV-Other HPs'!BG18,0)))),0)</f>
        <v>0</v>
      </c>
      <c r="S299" s="915">
        <f>IF(SETUP!$F$31="At delivery",IF(SETUP!$G$31=4,$E$297*('HIV-Other HPs'!BE18+'HIV-Other HPs'!BF18+'HIV-Other HPs'!BG18+'HIV-Other HPs'!BH18+'HIV-Other HPs'!BI18),IF(SETUP!$G$31=3,$E$297*('HIV-Other HPs'!BF18+'HIV-Other HPs'!BG18+'HIV-Other HPs'!BH18+'HIV-Other HPs'!BI18),IF(SETUP!$G$31=2,$E$297*('HIV-Other HPs'!BG18+'HIV-Other HPs'!BH18+'HIV-Other HPs'!BI18),IF(SETUP!$G$31=1,$E$297*('HIV-Other HPs'!BH18+'HIV-Other HPs'!BI18),0)))),0)</f>
        <v>0</v>
      </c>
      <c r="T299" s="934">
        <f t="shared" si="49"/>
        <v>0</v>
      </c>
      <c r="U299" s="915">
        <f t="shared" si="50"/>
        <v>0</v>
      </c>
      <c r="V299" s="1316">
        <v>7.6</v>
      </c>
      <c r="W299" s="1995"/>
      <c r="X299" s="1341"/>
    </row>
    <row r="300" spans="1:24" s="665" customFormat="1" ht="15" customHeight="1" collapsed="1" thickBot="1">
      <c r="A300" s="3184"/>
      <c r="B300" s="3185"/>
      <c r="C300" s="3188" t="s">
        <v>443</v>
      </c>
      <c r="D300" s="3188"/>
      <c r="E300" s="1245">
        <v>0</v>
      </c>
      <c r="F300" s="966">
        <f>IF(SETUP!$F$32="Upfront",F301,F302)</f>
        <v>0</v>
      </c>
      <c r="G300" s="921">
        <f>IF(SETUP!$F$32="Upfront",G301,G302)</f>
        <v>0</v>
      </c>
      <c r="H300" s="920">
        <f>IF(SETUP!$F$32="Upfront",H301,H302)</f>
        <v>0</v>
      </c>
      <c r="I300" s="920">
        <f>IF(SETUP!$F$32="Upfront",I301,I302)</f>
        <v>0</v>
      </c>
      <c r="J300" s="919">
        <f t="shared" si="47"/>
        <v>0</v>
      </c>
      <c r="K300" s="920">
        <f>IF(SETUP!$F$32="Upfront",K301,K302)</f>
        <v>0</v>
      </c>
      <c r="L300" s="920">
        <f>IF(SETUP!$F$32="Upfront",L301,L302)</f>
        <v>0</v>
      </c>
      <c r="M300" s="920">
        <f>IF(SETUP!$F$32="Upfront",M301,M302)</f>
        <v>0</v>
      </c>
      <c r="N300" s="920">
        <f>IF(SETUP!$F$32="Upfront",N301,N302)</f>
        <v>0</v>
      </c>
      <c r="O300" s="917">
        <f t="shared" si="48"/>
        <v>0</v>
      </c>
      <c r="P300" s="915">
        <f>IF(SETUP!$F$32="Upfront",P301,P302)</f>
        <v>0</v>
      </c>
      <c r="Q300" s="915">
        <f>IF(SETUP!$F$32="Upfront",Q301,Q302)</f>
        <v>0</v>
      </c>
      <c r="R300" s="915">
        <f>IF(SETUP!$F$32="Upfront",R301,R302)</f>
        <v>0</v>
      </c>
      <c r="S300" s="915">
        <f>IF(SETUP!$F$32="Upfront",S301,S302)</f>
        <v>0</v>
      </c>
      <c r="T300" s="934">
        <f t="shared" si="49"/>
        <v>0</v>
      </c>
      <c r="U300" s="915">
        <f t="shared" si="50"/>
        <v>0</v>
      </c>
      <c r="V300" s="1316">
        <v>7.6</v>
      </c>
      <c r="W300" s="1995"/>
      <c r="X300" s="1341"/>
    </row>
    <row r="301" spans="1:24" s="665" customFormat="1" ht="15" hidden="1" customHeight="1" outlineLevel="1">
      <c r="A301" s="3184"/>
      <c r="B301" s="3185"/>
      <c r="C301" s="3182" t="s">
        <v>777</v>
      </c>
      <c r="D301" s="3182"/>
      <c r="E301" s="1246"/>
      <c r="F301" s="966">
        <f>IF(SETUP!$F$32="Upfront",$E$300*'HIV-Other HPs'!AX19,0)</f>
        <v>0</v>
      </c>
      <c r="G301" s="921">
        <f>IF(SETUP!$F$32="Upfront",$E$300*'HIV-Other HPs'!AY19,0)</f>
        <v>0</v>
      </c>
      <c r="H301" s="920">
        <f>IF(SETUP!$F$32="Upfront",$E$300*'HIV-Other HPs'!AZ19,0)</f>
        <v>0</v>
      </c>
      <c r="I301" s="920">
        <f>IF(SETUP!$F$32="Upfront",$E$300*'HIV-Other HPs'!BA19,0)</f>
        <v>0</v>
      </c>
      <c r="J301" s="919">
        <f t="shared" si="47"/>
        <v>0</v>
      </c>
      <c r="K301" s="920">
        <f>IF(SETUP!$F$32="Upfront",$E$300*'HIV-Other HPs'!BB19,0)</f>
        <v>0</v>
      </c>
      <c r="L301" s="920">
        <f>IF(SETUP!$F$32="Upfront",$E$300*'HIV-Other HPs'!BC19,0)</f>
        <v>0</v>
      </c>
      <c r="M301" s="920">
        <f>IF(SETUP!$F$32="Upfront",$E$300*'HIV-Other HPs'!BD19,0)</f>
        <v>0</v>
      </c>
      <c r="N301" s="920">
        <f>IF(SETUP!$F$32="Upfront",$E$300*'HIV-Other HPs'!BE19,0)</f>
        <v>0</v>
      </c>
      <c r="O301" s="917">
        <f t="shared" si="48"/>
        <v>0</v>
      </c>
      <c r="P301" s="915">
        <f>IF(SETUP!$F$32="Upfront",$E$300*'HIV-Other HPs'!BF19,0)</f>
        <v>0</v>
      </c>
      <c r="Q301" s="915">
        <f>IF(SETUP!$F$32="Upfront",$E$300*'HIV-Other HPs'!BG19,0)</f>
        <v>0</v>
      </c>
      <c r="R301" s="915">
        <f>IF(SETUP!$F$32="Upfront",$E$300*'HIV-Other HPs'!BH19,0)</f>
        <v>0</v>
      </c>
      <c r="S301" s="915">
        <f>IF(SETUP!$F$32="Upfront",$E$300*'HIV-Other HPs'!BI19,0)</f>
        <v>0</v>
      </c>
      <c r="T301" s="934">
        <f t="shared" si="49"/>
        <v>0</v>
      </c>
      <c r="U301" s="915">
        <f t="shared" si="50"/>
        <v>0</v>
      </c>
      <c r="V301" s="1316">
        <v>7.6</v>
      </c>
      <c r="W301" s="1995"/>
      <c r="X301" s="1341"/>
    </row>
    <row r="302" spans="1:24" s="665" customFormat="1" ht="15" hidden="1" customHeight="1" outlineLevel="1">
      <c r="A302" s="3184"/>
      <c r="B302" s="3185"/>
      <c r="C302" s="3182" t="s">
        <v>36</v>
      </c>
      <c r="D302" s="3182"/>
      <c r="E302" s="1246"/>
      <c r="F302" s="966">
        <v>0</v>
      </c>
      <c r="G302" s="921">
        <f>IF(SETUP!$F$32="At delivery",IF(SETUP!$G$32=1,$E$300*'HIV-Other HPs'!AX19,0),0)</f>
        <v>0</v>
      </c>
      <c r="H302" s="920">
        <f>IF(SETUP!$F$32="At delivery",IF(SETUP!$G$32=2,$E$300*'HIV-Other HPs'!AX19,IF(SETUP!$G$32=1,$E$300*'HIV-Other HPs'!AY19,0)),0)</f>
        <v>0</v>
      </c>
      <c r="I302" s="920">
        <f>IF(SETUP!$F$32="At delivery",IF(SETUP!$G$32=3,$E$300*'HIV-Other HPs'!AX19,IF(SETUP!$G$32=2,$E$300*'HIV-Other HPs'!AY19,IF(SETUP!$G$32=1,$E$300*'HIV-Other HPs'!AZ19,0))),0)</f>
        <v>0</v>
      </c>
      <c r="J302" s="919">
        <f t="shared" si="47"/>
        <v>0</v>
      </c>
      <c r="K302" s="920">
        <f>IF(SETUP!$F$32="At delivery",IF(SETUP!$G$32=4,$E$300*'HIV-Other HPs'!AX19,IF(SETUP!$G$32=3,$E$300*'HIV-Other HPs'!AY19,IF(SETUP!$G$32=2,$E$300*'HIV-Other HPs'!AZ19,IF(SETUP!$G$32=1,$E$300*'HIV-Other HPs'!BA19,0)))),0)</f>
        <v>0</v>
      </c>
      <c r="L302" s="920">
        <f>IF(SETUP!$F$32="At delivery",IF(SETUP!$G$32=4,$E$300*'HIV-Other HPs'!AY19,IF(SETUP!$G$32=3,$E$300*'HIV-Other HPs'!AZ19,IF(SETUP!$G$32=2,$E$300*'HIV-Other HPs'!BA19,IF(SETUP!$G$32=1,$E$300*'HIV-Other HPs'!BB19,0)))),0)</f>
        <v>0</v>
      </c>
      <c r="M302" s="920">
        <f>IF(SETUP!$F$32="At delivery",IF(SETUP!$G$32=4,$E$300*'HIV-Other HPs'!AZ19,IF(SETUP!$G$32=3,$E$300*'HIV-Other HPs'!BA19,IF(SETUP!$G$32=2,$E$300*'HIV-Other HPs'!BB19,IF(SETUP!$G$32=1,$E$300*'HIV-Other HPs'!BC19,0)))),0)</f>
        <v>0</v>
      </c>
      <c r="N302" s="920">
        <f>IF(SETUP!$F$32="At delivery",IF(SETUP!$G$32=4,$E$300*'HIV-Other HPs'!BA19,IF(SETUP!$G$32=3,$E$300*'HIV-Other HPs'!BB19,IF(SETUP!$G$32=2,$E$300*'HIV-Other HPs'!BC19,IF(SETUP!$G$32=1,$E$300*'HIV-Other HPs'!BD19,0)))),0)</f>
        <v>0</v>
      </c>
      <c r="O302" s="917">
        <f t="shared" si="48"/>
        <v>0</v>
      </c>
      <c r="P302" s="915">
        <f>IF(SETUP!$F$32="At delivery",IF(SETUP!$G$32=4,$E$300*'HIV-Other HPs'!BB19,IF(SETUP!$G$32=3,$E$300*'HIV-Other HPs'!BC19,IF(SETUP!$G$32=2,$E$300*'HIV-Other HPs'!BD19,IF(SETUP!$G$32=1,$E$300*'HIV-Other HPs'!BE19,0)))),0)</f>
        <v>0</v>
      </c>
      <c r="Q302" s="915">
        <f>IF(SETUP!$F$32="At delivery",IF(SETUP!$G$32=4,$E$300*'HIV-Other HPs'!BC19,IF(SETUP!$G$32=3,$E$300*'HIV-Other HPs'!BD19,IF(SETUP!$G$32=2,$E$300*'HIV-Other HPs'!BE19,IF(SETUP!$G$32=1,$E$300*'HIV-Other HPs'!BF19,0)))),0)</f>
        <v>0</v>
      </c>
      <c r="R302" s="915">
        <f>IF(SETUP!$F$32="At delivery",IF(SETUP!$G$32=4,$E$300*'HIV-Other HPs'!BD19,IF(SETUP!$G$32=3,$E$300*'HIV-Other HPs'!BE19,IF(SETUP!$G$32=2,$E$300*'HIV-Other HPs'!BF19,IF(SETUP!$G$32=1,$E$300*'HIV-Other HPs'!BG19,0)))),0)</f>
        <v>0</v>
      </c>
      <c r="S302" s="915">
        <f>IF(SETUP!$F$32="At delivery",IF(SETUP!$G$32=4,$E$300*('HIV-Other HPs'!BE19+'HIV-Other HPs'!BF19+'HIV-Other HPs'!BG19+'HIV-Other HPs'!BH19+'HIV-Other HPs'!BI19),IF(SETUP!$G$32=3,$E$300*('HIV-Other HPs'!BF19+'HIV-Other HPs'!BG19+'HIV-Other HPs'!BH19+'HIV-Other HPs'!BI19),IF(SETUP!$G$32=2,$E$300*('HIV-Other HPs'!BG19+'HIV-Other HPs'!BH19+'HIV-Other HPs'!BI19),IF(SETUP!$G$32=1,$E$300*('HIV-Other HPs'!BH19+'HIV-Other HPs'!BI19),0)))),0)</f>
        <v>0</v>
      </c>
      <c r="T302" s="934">
        <f t="shared" si="49"/>
        <v>0</v>
      </c>
      <c r="U302" s="915">
        <f t="shared" si="50"/>
        <v>0</v>
      </c>
      <c r="V302" s="1316">
        <v>7.6</v>
      </c>
      <c r="W302" s="1995"/>
      <c r="X302" s="1341"/>
    </row>
    <row r="303" spans="1:24" s="665" customFormat="1" ht="15" customHeight="1" collapsed="1">
      <c r="A303" s="3184"/>
      <c r="B303" s="3185"/>
      <c r="C303" s="3202" t="s">
        <v>1392</v>
      </c>
      <c r="D303" s="3202"/>
      <c r="E303" s="1245">
        <v>0</v>
      </c>
      <c r="F303" s="966">
        <f>IF(SETUP!$F$33="Upfront",F304,F305)</f>
        <v>0</v>
      </c>
      <c r="G303" s="921">
        <f>IF(SETUP!$F$33="Upfront",G304,G305)</f>
        <v>0</v>
      </c>
      <c r="H303" s="920">
        <f>IF(SETUP!$F$33="Upfront",H304,H305)</f>
        <v>0</v>
      </c>
      <c r="I303" s="920">
        <f>IF(SETUP!$F$33="Upfront",I304,I305)</f>
        <v>0</v>
      </c>
      <c r="J303" s="919">
        <f t="shared" si="47"/>
        <v>0</v>
      </c>
      <c r="K303" s="920">
        <f>IF(SETUP!$F$33="Upfront",K304,K305)</f>
        <v>0</v>
      </c>
      <c r="L303" s="920">
        <f>IF(SETUP!$F$33="Upfront",L304,L305)</f>
        <v>0</v>
      </c>
      <c r="M303" s="920">
        <f>IF(SETUP!$F$33="Upfront",M304,M305)</f>
        <v>0</v>
      </c>
      <c r="N303" s="920">
        <f>IF(SETUP!$F$33="Upfront",N304,N305)</f>
        <v>0</v>
      </c>
      <c r="O303" s="917">
        <f t="shared" si="48"/>
        <v>0</v>
      </c>
      <c r="P303" s="915">
        <f>IF(SETUP!$F$33="Upfront",P304,P305)</f>
        <v>0</v>
      </c>
      <c r="Q303" s="915">
        <f>IF(SETUP!$F$33="Upfront",Q304,Q305)</f>
        <v>0</v>
      </c>
      <c r="R303" s="915">
        <f>IF(SETUP!$F$33="Upfront",R304,R305)</f>
        <v>0</v>
      </c>
      <c r="S303" s="915">
        <f>IF(SETUP!$F$33="Upfront",S304,S305)</f>
        <v>0</v>
      </c>
      <c r="T303" s="934">
        <f t="shared" si="49"/>
        <v>0</v>
      </c>
      <c r="U303" s="915">
        <f t="shared" si="50"/>
        <v>0</v>
      </c>
      <c r="V303" s="1316">
        <v>7.6</v>
      </c>
      <c r="W303" s="1995"/>
      <c r="X303" s="1341"/>
    </row>
    <row r="304" spans="1:24" s="665" customFormat="1" ht="15" hidden="1" customHeight="1" outlineLevel="1">
      <c r="A304" s="3184"/>
      <c r="B304" s="3185"/>
      <c r="C304" s="3182" t="s">
        <v>777</v>
      </c>
      <c r="D304" s="3182"/>
      <c r="E304" s="1246"/>
      <c r="F304" s="966">
        <f>IF(SETUP!$F$33="Upfront",$E$303*'HIV-Other HPs'!AX20,0)</f>
        <v>0</v>
      </c>
      <c r="G304" s="921">
        <f>IF(SETUP!$F$33="Upfront",$E$303*'HIV-Other HPs'!AY20,0)</f>
        <v>0</v>
      </c>
      <c r="H304" s="920">
        <f>IF(SETUP!$F$33="Upfront",$E$303*'HIV-Other HPs'!AZ20,0)</f>
        <v>0</v>
      </c>
      <c r="I304" s="920">
        <f>IF(SETUP!$F$33="Upfront",$E$303*'HIV-Other HPs'!BA20,0)</f>
        <v>0</v>
      </c>
      <c r="J304" s="919">
        <f t="shared" si="47"/>
        <v>0</v>
      </c>
      <c r="K304" s="920">
        <f>IF(SETUP!$F$33="Upfront",$E$303*'HIV-Other HPs'!BB20,0)</f>
        <v>0</v>
      </c>
      <c r="L304" s="920">
        <f>IF(SETUP!$F$33="Upfront",$E$303*'HIV-Other HPs'!BC20,0)</f>
        <v>0</v>
      </c>
      <c r="M304" s="920">
        <f>IF(SETUP!$F$33="Upfront",$E$303*'HIV-Other HPs'!BD20,0)</f>
        <v>0</v>
      </c>
      <c r="N304" s="920">
        <f>IF(SETUP!$F$33="Upfront",$E$303*'HIV-Other HPs'!BE20,0)</f>
        <v>0</v>
      </c>
      <c r="O304" s="917">
        <f t="shared" si="48"/>
        <v>0</v>
      </c>
      <c r="P304" s="915">
        <f>IF(SETUP!$F$33="Upfront",$E$303*'HIV-Other HPs'!BF20,0)</f>
        <v>0</v>
      </c>
      <c r="Q304" s="915">
        <f>IF(SETUP!$F$33="Upfront",$E$303*'HIV-Other HPs'!BG20,0)</f>
        <v>0</v>
      </c>
      <c r="R304" s="915">
        <f>IF(SETUP!$F$33="Upfront",$E$303*'HIV-Other HPs'!BH20,0)</f>
        <v>0</v>
      </c>
      <c r="S304" s="915">
        <f>IF(SETUP!$F$33="Upfront",$E$303*'HIV-Other HPs'!BI20,0)</f>
        <v>0</v>
      </c>
      <c r="T304" s="934">
        <f t="shared" si="49"/>
        <v>0</v>
      </c>
      <c r="U304" s="915">
        <f t="shared" si="50"/>
        <v>0</v>
      </c>
      <c r="V304" s="1316">
        <v>7.6</v>
      </c>
      <c r="W304" s="1995"/>
      <c r="X304" s="1341"/>
    </row>
    <row r="305" spans="1:24" s="665" customFormat="1" ht="15" hidden="1" customHeight="1" outlineLevel="1">
      <c r="A305" s="3184"/>
      <c r="B305" s="3185"/>
      <c r="C305" s="3182" t="s">
        <v>36</v>
      </c>
      <c r="D305" s="3182"/>
      <c r="E305" s="1246"/>
      <c r="F305" s="966">
        <v>0</v>
      </c>
      <c r="G305" s="921">
        <f>IF(SETUP!$F$33="At delivery",IF(SETUP!$G$33=1,$E$303*'HIV-Other HPs'!AX20,0),0)</f>
        <v>0</v>
      </c>
      <c r="H305" s="920">
        <f>IF(SETUP!$F$33="At delivery",IF(SETUP!$G$33=2,$E$303*'HIV-Other HPs'!AX20,IF(SETUP!$G$33=1,$E$303*'HIV-Other HPs'!AY20,0)),0)</f>
        <v>0</v>
      </c>
      <c r="I305" s="920">
        <f>IF(SETUP!$F$33="At delivery",IF(SETUP!$G$33=3,$E$303*'HIV-Other HPs'!AX20,IF(SETUP!$G$33=2,$E$303*'HIV-Other HPs'!AY20,IF(SETUP!$G$33=1,$E$303*'HIV-Other HPs'!AZ20,0))),0)</f>
        <v>0</v>
      </c>
      <c r="J305" s="919">
        <f t="shared" si="47"/>
        <v>0</v>
      </c>
      <c r="K305" s="920">
        <f>IF(SETUP!$F$33="At delivery",IF(SETUP!$G$33=4,$E$303*'HIV-Other HPs'!AX20,IF(SETUP!$G$33=3,$E$303*'HIV-Other HPs'!AY20,IF(SETUP!$G$33=2,$E$303*'HIV-Other HPs'!AZ20,IF(SETUP!$G$33=1,$E$303*'HIV-Other HPs'!BA20,0)))),0)</f>
        <v>0</v>
      </c>
      <c r="L305" s="920">
        <f>IF(SETUP!$F$33="At delivery",IF(SETUP!$G$33=4,$E$303*'HIV-Other HPs'!AY20,IF(SETUP!$G$33=3,$E$303*'HIV-Other HPs'!AZ20,IF(SETUP!$G$33=2,$E$303*'HIV-Other HPs'!BA20,IF(SETUP!$G$33=1,$E$303*'HIV-Other HPs'!BB20,0)))),0)</f>
        <v>0</v>
      </c>
      <c r="M305" s="920">
        <f>IF(SETUP!$F$33="At delivery",IF(SETUP!$G$33=4,$E$303*'HIV-Other HPs'!AZ20,IF(SETUP!$G$33=3,$E$303*'HIV-Other HPs'!BA20,IF(SETUP!$G$33=2,$E$303*'HIV-Other HPs'!BB20,IF(SETUP!$G$33=1,$E$303*'HIV-Other HPs'!BC20,0)))),0)</f>
        <v>0</v>
      </c>
      <c r="N305" s="920">
        <f>IF(SETUP!$F$33="At delivery",IF(SETUP!$G$33=4,$E$303*'HIV-Other HPs'!BA20,IF(SETUP!$G$33=3,$E$303*'HIV-Other HPs'!BB20,IF(SETUP!$G$33=2,$E$303*'HIV-Other HPs'!BC20,IF(SETUP!$G$33=1,$E$303*'HIV-Other HPs'!BD20,0)))),0)</f>
        <v>0</v>
      </c>
      <c r="O305" s="917">
        <f t="shared" si="48"/>
        <v>0</v>
      </c>
      <c r="P305" s="915">
        <f>IF(SETUP!$F$33="At delivery",IF(SETUP!$G$33=4,$E$303*'HIV-Other HPs'!BB20,IF(SETUP!$G$33=3,$E$303*'HIV-Other HPs'!BC20,IF(SETUP!$G$33=2,$E$303*'HIV-Other HPs'!BD20,IF(SETUP!$G$33=1,$E$303*'HIV-Other HPs'!BE20,0)))),0)</f>
        <v>0</v>
      </c>
      <c r="Q305" s="915">
        <f>IF(SETUP!$F$33="At delivery",IF(SETUP!$G$33=4,$E$303*'HIV-Other HPs'!BC20,IF(SETUP!$G$33=3,$E$303*'HIV-Other HPs'!BD20,IF(SETUP!$G$33=2,$E$303*'HIV-Other HPs'!BE20,IF(SETUP!$G$33=1,$E$303*'HIV-Other HPs'!BF20,0)))),0)</f>
        <v>0</v>
      </c>
      <c r="R305" s="915">
        <f>IF(SETUP!$F$33="At delivery",IF(SETUP!$G$33=4,$E$303*'HIV-Other HPs'!BD20,IF(SETUP!$G$33=3,$E$303*'HIV-Other HPs'!BE20,IF(SETUP!$G$33=2,$E$303*'HIV-Other HPs'!BF20,IF(SETUP!$G$33=1,$E$303*'HIV-Other HPs'!BG20,0)))),0)</f>
        <v>0</v>
      </c>
      <c r="S305" s="915">
        <f>IF(SETUP!$F$33="At delivery",IF(SETUP!$G$33=4,$E$303*('HIV-Other HPs'!BE20+'HIV-Other HPs'!BF20+'HIV-Other HPs'!BG20+'HIV-Other HPs'!BH20+'HIV-Other HPs'!BI20),IF(SETUP!$G$33=3,$E$303*('HIV-Other HPs'!BF20+'HIV-Other HPs'!BG20+'HIV-Other HPs'!BH20+'HIV-Other HPs'!BI20),IF(SETUP!$G$33=2,$E$303*('HIV-Other HPs'!BG20+'HIV-Other HPs'!BH20+'HIV-Other HPs'!BI20),IF(SETUP!$G$33=1,$E$303*('HIV-Other HPs'!BH20+'HIV-Other HPs'!BI20),0)))),0)</f>
        <v>0</v>
      </c>
      <c r="T305" s="934">
        <f t="shared" si="49"/>
        <v>0</v>
      </c>
      <c r="U305" s="915">
        <f t="shared" si="50"/>
        <v>0</v>
      </c>
      <c r="V305" s="1316">
        <v>7.6</v>
      </c>
      <c r="W305" s="1995"/>
      <c r="X305" s="1341"/>
    </row>
    <row r="306" spans="1:24" s="665" customFormat="1" ht="15" hidden="1" customHeight="1" collapsed="1" thickBot="1">
      <c r="A306" s="3186" t="s">
        <v>444</v>
      </c>
      <c r="B306" s="3187"/>
      <c r="C306" s="3188" t="s">
        <v>445</v>
      </c>
      <c r="D306" s="3188"/>
      <c r="E306" s="1245">
        <v>0</v>
      </c>
      <c r="F306" s="966">
        <f>IF(SETUP!$F$36="Upfront",F307,F308)</f>
        <v>0</v>
      </c>
      <c r="G306" s="921">
        <f>IF(SETUP!$F$36="Upfront",G307,G308)</f>
        <v>0</v>
      </c>
      <c r="H306" s="920">
        <f>IF(SETUP!$F$36="Upfront",H307,H308)</f>
        <v>0</v>
      </c>
      <c r="I306" s="920">
        <f>IF(SETUP!$F$36="Upfront",I307,I308)</f>
        <v>0</v>
      </c>
      <c r="J306" s="919">
        <f t="shared" si="47"/>
        <v>0</v>
      </c>
      <c r="K306" s="920">
        <f>IF(SETUP!$F$36="Upfront",K307,K308)</f>
        <v>0</v>
      </c>
      <c r="L306" s="920">
        <f>IF(SETUP!$F$36="Upfront",L307,L308)</f>
        <v>0</v>
      </c>
      <c r="M306" s="920">
        <f>IF(SETUP!$F$36="Upfront",M307,M308)</f>
        <v>0</v>
      </c>
      <c r="N306" s="920">
        <f>IF(SETUP!$F$36="Upfront",N307,N308)</f>
        <v>0</v>
      </c>
      <c r="O306" s="917">
        <f t="shared" si="48"/>
        <v>0</v>
      </c>
      <c r="P306" s="915">
        <f>IF(SETUP!$F$36="Upfront",P307,P308)</f>
        <v>0</v>
      </c>
      <c r="Q306" s="915">
        <f>IF(SETUP!$F$36="Upfront",Q307,Q308)</f>
        <v>0</v>
      </c>
      <c r="R306" s="915">
        <f>IF(SETUP!$F$36="Upfront",R307,R308)</f>
        <v>0</v>
      </c>
      <c r="S306" s="915">
        <f>IF(SETUP!$F$36="Upfront",S307,S308)</f>
        <v>0</v>
      </c>
      <c r="T306" s="934">
        <f t="shared" si="49"/>
        <v>0</v>
      </c>
      <c r="U306" s="915">
        <f t="shared" si="50"/>
        <v>0</v>
      </c>
      <c r="V306" s="1316">
        <v>7.6</v>
      </c>
      <c r="W306" s="1995"/>
      <c r="X306" s="1341"/>
    </row>
    <row r="307" spans="1:24" s="665" customFormat="1" ht="15" hidden="1" customHeight="1" outlineLevel="1">
      <c r="A307" s="3186"/>
      <c r="B307" s="3187"/>
      <c r="C307" s="3182" t="s">
        <v>777</v>
      </c>
      <c r="D307" s="3182"/>
      <c r="E307" s="1246"/>
      <c r="F307" s="966">
        <f>IF(SETUP!$F$36="Upfront",$E$306*'TB-Pharmaceuticals'!AX14,0)</f>
        <v>0</v>
      </c>
      <c r="G307" s="915">
        <f>IF(SETUP!$F$36="Upfront",$E$306*'TB-Pharmaceuticals'!AY14,0)</f>
        <v>0</v>
      </c>
      <c r="H307" s="915">
        <f>IF(SETUP!$F$36="Upfront",$E$306*'TB-Pharmaceuticals'!AZ14,0)</f>
        <v>0</v>
      </c>
      <c r="I307" s="915">
        <f>IF(SETUP!$F$36="Upfront",$E$306*'TB-Pharmaceuticals'!BA14,0)</f>
        <v>0</v>
      </c>
      <c r="J307" s="919">
        <f t="shared" si="47"/>
        <v>0</v>
      </c>
      <c r="K307" s="915">
        <f>IF(SETUP!$F$36="Upfront",$E$306*'TB-Pharmaceuticals'!BB14,0)</f>
        <v>0</v>
      </c>
      <c r="L307" s="915">
        <f>IF(SETUP!$F$36="Upfront",$E$306*'TB-Pharmaceuticals'!BC14,0)</f>
        <v>0</v>
      </c>
      <c r="M307" s="915">
        <f>IF(SETUP!$F$36="Upfront",$E$306*'TB-Pharmaceuticals'!BD14,0)</f>
        <v>0</v>
      </c>
      <c r="N307" s="915">
        <f>IF(SETUP!$F$36="Upfront",$E$306*'TB-Pharmaceuticals'!BE14,0)</f>
        <v>0</v>
      </c>
      <c r="O307" s="917">
        <f t="shared" si="48"/>
        <v>0</v>
      </c>
      <c r="P307" s="915">
        <f>IF(SETUP!$F$36="Upfront",$E$306*'TB-Pharmaceuticals'!BF14,0)</f>
        <v>0</v>
      </c>
      <c r="Q307" s="915">
        <f>IF(SETUP!$F$36="Upfront",$E$306*'TB-Pharmaceuticals'!BG14,0)</f>
        <v>0</v>
      </c>
      <c r="R307" s="915">
        <f>IF(SETUP!$F$36="Upfront",$E$306*'TB-Pharmaceuticals'!BH14,0)</f>
        <v>0</v>
      </c>
      <c r="S307" s="915">
        <f>IF(SETUP!$F$36="Upfront",$E$306*'TB-Pharmaceuticals'!BI14,0)</f>
        <v>0</v>
      </c>
      <c r="T307" s="934">
        <f t="shared" si="49"/>
        <v>0</v>
      </c>
      <c r="U307" s="915">
        <f t="shared" si="50"/>
        <v>0</v>
      </c>
      <c r="V307" s="1316">
        <v>7.6</v>
      </c>
      <c r="W307" s="1995"/>
      <c r="X307" s="1341"/>
    </row>
    <row r="308" spans="1:24" s="665" customFormat="1" ht="15" hidden="1" customHeight="1" outlineLevel="1">
      <c r="A308" s="3186"/>
      <c r="B308" s="3187"/>
      <c r="C308" s="3182" t="s">
        <v>36</v>
      </c>
      <c r="D308" s="3182"/>
      <c r="E308" s="1246"/>
      <c r="F308" s="966">
        <v>0</v>
      </c>
      <c r="G308" s="921">
        <f>IF(SETUP!$F$36="At delivery",IF(SETUP!$G$36=1,$E$306*'TB-Pharmaceuticals'!AX14,0),0)</f>
        <v>0</v>
      </c>
      <c r="H308" s="920">
        <f>IF(SETUP!$F$36="At delivery",IF(SETUP!$G$36=2,$E$306*'TB-Pharmaceuticals'!AX14,IF(SETUP!$G$36=1,$E$306*'TB-Pharmaceuticals'!AY14,0)),0)</f>
        <v>0</v>
      </c>
      <c r="I308" s="920">
        <f>IF(SETUP!$F$36="At delivery",IF(SETUP!$G$36=3,$E$306*'TB-Pharmaceuticals'!AX14,IF(SETUP!$G$36=2,$E$306*'TB-Pharmaceuticals'!AY14,IF(SETUP!$G$36=1,$E$306*'TB-Pharmaceuticals'!AZ14,0))),0)</f>
        <v>0</v>
      </c>
      <c r="J308" s="919">
        <f t="shared" si="47"/>
        <v>0</v>
      </c>
      <c r="K308" s="920">
        <f>IF(SETUP!$F$36="At delivery",IF(SETUP!$G$36=4,$E$306*'TB-Pharmaceuticals'!AX14,IF(SETUP!$G$36=3,$E$306*'TB-Pharmaceuticals'!AY14,IF(SETUP!$G$36=2,$E$306*'TB-Pharmaceuticals'!AZ14,IF(SETUP!$G$36=1,$E$306*'TB-Pharmaceuticals'!BA14,0)))),0)</f>
        <v>0</v>
      </c>
      <c r="L308" s="920">
        <f>IF(SETUP!$F$36="At delivery",IF(SETUP!$G$36=4,$E$306*'TB-Pharmaceuticals'!AY14,IF(SETUP!$G$36=3,$E$306*'TB-Pharmaceuticals'!AZ14,IF(SETUP!$G$36=2,$E$306*'TB-Pharmaceuticals'!BA14,IF(SETUP!$G$36=1,$E$306*'TB-Pharmaceuticals'!BB14,0)))),0)</f>
        <v>0</v>
      </c>
      <c r="M308" s="920">
        <f>IF(SETUP!$F$36="At delivery",IF(SETUP!$G$36=4,$E$306*'TB-Pharmaceuticals'!AZ14,IF(SETUP!$G$36=3,$E$306*'TB-Pharmaceuticals'!BA14,IF(SETUP!$G$36=2,$E$306*'TB-Pharmaceuticals'!BB14,IF(SETUP!$G$36=1,$E$306*'TB-Pharmaceuticals'!BC14,0)))),0)</f>
        <v>0</v>
      </c>
      <c r="N308" s="920">
        <f>IF(SETUP!$F$36="At delivery",IF(SETUP!$G$36=4,$E$306*'TB-Pharmaceuticals'!BA14,IF(SETUP!$G$36=3,$E$306*'TB-Pharmaceuticals'!BB14,IF(SETUP!$G$36=2,$E$306*'TB-Pharmaceuticals'!BC14,IF(SETUP!$G$36=1,$E$306*'TB-Pharmaceuticals'!BD14,0)))),0)</f>
        <v>0</v>
      </c>
      <c r="O308" s="917">
        <f t="shared" si="48"/>
        <v>0</v>
      </c>
      <c r="P308" s="915">
        <f>IF(SETUP!$F$36="At delivery",IF(SETUP!$G$36=4,$E$306*'TB-Pharmaceuticals'!BB14,IF(SETUP!$G$36=3,$E$306*'TB-Pharmaceuticals'!BC14,IF(SETUP!$G$36=2,$E$306*'TB-Pharmaceuticals'!BD14,IF(SETUP!$G$36=1,$E$306*'TB-Pharmaceuticals'!BE14,0)))),0)</f>
        <v>0</v>
      </c>
      <c r="Q308" s="915">
        <f>IF(SETUP!$F$36="At delivery",IF(SETUP!$G$36=4,$E$306*'TB-Pharmaceuticals'!BC14,IF(SETUP!$G$36=3,$E$306*'TB-Pharmaceuticals'!BD14,IF(SETUP!$G$36=2,$E$306*'TB-Pharmaceuticals'!BE14,IF(SETUP!$G$36=1,$E$306*'TB-Pharmaceuticals'!BF14,0)))),0)</f>
        <v>0</v>
      </c>
      <c r="R308" s="915">
        <f>IF(SETUP!$F$36="At delivery",IF(SETUP!$G$36=4,$E$306*'TB-Pharmaceuticals'!BD14,IF(SETUP!$G$36=3,$E$306*'TB-Pharmaceuticals'!BE14,IF(SETUP!$G$36=2,$E$306*'TB-Pharmaceuticals'!BF14,IF(SETUP!$G$36=1,$E$306*'TB-Pharmaceuticals'!BG14,0)))),0)</f>
        <v>0</v>
      </c>
      <c r="S308" s="915">
        <f>IF(SETUP!$F$36="At delivery",IF(SETUP!$G$36=4,$E$306*('TB-Pharmaceuticals'!BE14+'TB-Pharmaceuticals'!BF14+'TB-Pharmaceuticals'!BG14+'TB-Pharmaceuticals'!BH14+'TB-Pharmaceuticals'!BI14),IF(SETUP!$G$36=3,$E$306*('TB-Pharmaceuticals'!BF14+'TB-Pharmaceuticals'!BG14+'TB-Pharmaceuticals'!BH14+'TB-Pharmaceuticals'!BI14),IF(SETUP!$G$36=2,$E$306*('TB-Pharmaceuticals'!BG14+'TB-Pharmaceuticals'!BH14+'TB-Pharmaceuticals'!BI14),IF(SETUP!$G$36=1,$E$306*('TB-Pharmaceuticals'!BH14+'TB-Pharmaceuticals'!BI14),0)))),0)</f>
        <v>0</v>
      </c>
      <c r="T308" s="934">
        <f t="shared" si="49"/>
        <v>0</v>
      </c>
      <c r="U308" s="915">
        <f t="shared" si="50"/>
        <v>0</v>
      </c>
      <c r="V308" s="1316">
        <v>7.6</v>
      </c>
      <c r="W308" s="1995"/>
      <c r="X308" s="1341"/>
    </row>
    <row r="309" spans="1:24" s="665" customFormat="1" ht="15" hidden="1" customHeight="1" collapsed="1" thickBot="1">
      <c r="A309" s="3186"/>
      <c r="B309" s="3187"/>
      <c r="C309" s="3188" t="s">
        <v>446</v>
      </c>
      <c r="D309" s="3188"/>
      <c r="E309" s="1245">
        <v>0</v>
      </c>
      <c r="F309" s="966">
        <f>IF(SETUP!$F$38="Upfront",F310,F311)</f>
        <v>0</v>
      </c>
      <c r="G309" s="921">
        <f>IF(SETUP!$F$38="Upfront",G310,G311)</f>
        <v>0</v>
      </c>
      <c r="H309" s="920">
        <f>IF(SETUP!$F$38="Upfront",H310,H311)</f>
        <v>0</v>
      </c>
      <c r="I309" s="920">
        <f>IF(SETUP!$F$38="Upfront",I310,I311)</f>
        <v>0</v>
      </c>
      <c r="J309" s="919">
        <f t="shared" si="47"/>
        <v>0</v>
      </c>
      <c r="K309" s="920">
        <f>IF(SETUP!$F$38="Upfront",K310,K311)</f>
        <v>0</v>
      </c>
      <c r="L309" s="920">
        <f>IF(SETUP!$F$38="Upfront",L310,L311)</f>
        <v>0</v>
      </c>
      <c r="M309" s="920">
        <f>IF(SETUP!$F$38="Upfront",M310,M311)</f>
        <v>0</v>
      </c>
      <c r="N309" s="920">
        <f>IF(SETUP!$F$38="Upfront",N310,N311)</f>
        <v>0</v>
      </c>
      <c r="O309" s="917">
        <f t="shared" si="48"/>
        <v>0</v>
      </c>
      <c r="P309" s="915">
        <f>IF(SETUP!$F$38="Upfront",P310,P311)</f>
        <v>0</v>
      </c>
      <c r="Q309" s="915">
        <f>IF(SETUP!$F$38="Upfront",Q310,Q311)</f>
        <v>0</v>
      </c>
      <c r="R309" s="915">
        <f>IF(SETUP!$F$38="Upfront",R310,R311)</f>
        <v>0</v>
      </c>
      <c r="S309" s="915">
        <f>IF(SETUP!$F$38="Upfront",S310,S311)</f>
        <v>0</v>
      </c>
      <c r="T309" s="934">
        <f t="shared" si="49"/>
        <v>0</v>
      </c>
      <c r="U309" s="915">
        <f t="shared" si="50"/>
        <v>0</v>
      </c>
      <c r="V309" s="1316">
        <v>7.6</v>
      </c>
      <c r="W309" s="1995"/>
      <c r="X309" s="1341"/>
    </row>
    <row r="310" spans="1:24" s="665" customFormat="1" ht="15" hidden="1" customHeight="1" outlineLevel="1">
      <c r="A310" s="3186"/>
      <c r="B310" s="3187"/>
      <c r="C310" s="3182" t="s">
        <v>777</v>
      </c>
      <c r="D310" s="3182"/>
      <c r="E310" s="1246"/>
      <c r="F310" s="966">
        <f>IF(SETUP!$F$38="Upfront",$E$309*'TB-Pharmaceuticals'!AX15,0)</f>
        <v>0</v>
      </c>
      <c r="G310" s="921">
        <f>IF(SETUP!$F$38="Upfront",$E$309*'TB-Pharmaceuticals'!AY15,0)</f>
        <v>0</v>
      </c>
      <c r="H310" s="920">
        <f>IF(SETUP!$F$38="Upfront",$E$309*'TB-Pharmaceuticals'!AZ15,0)</f>
        <v>0</v>
      </c>
      <c r="I310" s="920">
        <f>IF(SETUP!$F$38="Upfront",$E$309*'TB-Pharmaceuticals'!BA15,0)</f>
        <v>0</v>
      </c>
      <c r="J310" s="919">
        <f t="shared" si="47"/>
        <v>0</v>
      </c>
      <c r="K310" s="920">
        <f>IF(SETUP!$F$38="Upfront",$E$309*'TB-Pharmaceuticals'!BB15,0)</f>
        <v>0</v>
      </c>
      <c r="L310" s="920">
        <f>IF(SETUP!$F$38="Upfront",$E$309*'TB-Pharmaceuticals'!BC15,0)</f>
        <v>0</v>
      </c>
      <c r="M310" s="920">
        <f>IF(SETUP!$F$38="Upfront",$E$309*'TB-Pharmaceuticals'!BD15,0)</f>
        <v>0</v>
      </c>
      <c r="N310" s="920">
        <f>IF(SETUP!$F$38="Upfront",$E$309*'TB-Pharmaceuticals'!BE15,0)</f>
        <v>0</v>
      </c>
      <c r="O310" s="917">
        <f t="shared" si="48"/>
        <v>0</v>
      </c>
      <c r="P310" s="915">
        <f>IF(SETUP!$F$38="Upfront",$E$309*'TB-Pharmaceuticals'!BF15,0)</f>
        <v>0</v>
      </c>
      <c r="Q310" s="915">
        <f>IF(SETUP!$F$38="Upfront",$E$309*'TB-Pharmaceuticals'!BG15,0)</f>
        <v>0</v>
      </c>
      <c r="R310" s="915">
        <f>IF(SETUP!$F$38="Upfront",$E$309*'TB-Pharmaceuticals'!BH15,0)</f>
        <v>0</v>
      </c>
      <c r="S310" s="915">
        <f>IF(SETUP!$F$38="Upfront",$E$309*'TB-Pharmaceuticals'!BI15,0)</f>
        <v>0</v>
      </c>
      <c r="T310" s="934">
        <f t="shared" si="49"/>
        <v>0</v>
      </c>
      <c r="U310" s="915">
        <f t="shared" si="50"/>
        <v>0</v>
      </c>
      <c r="V310" s="1316">
        <v>7.6</v>
      </c>
      <c r="W310" s="1995"/>
      <c r="X310" s="1341"/>
    </row>
    <row r="311" spans="1:24" s="665" customFormat="1" ht="15" hidden="1" customHeight="1" outlineLevel="1">
      <c r="A311" s="3186"/>
      <c r="B311" s="3187"/>
      <c r="C311" s="3182" t="s">
        <v>36</v>
      </c>
      <c r="D311" s="3182"/>
      <c r="E311" s="1246"/>
      <c r="F311" s="966">
        <v>0</v>
      </c>
      <c r="G311" s="921">
        <f>IF(SETUP!$F$38="At delivery",IF(SETUP!$G$38=1,$E$309*'TB-Pharmaceuticals'!AX15,0),0)</f>
        <v>0</v>
      </c>
      <c r="H311" s="920">
        <f>IF(SETUP!$F$38="At delivery",IF(SETUP!$G$38=2,$E$309*'TB-Pharmaceuticals'!AX15,IF(SETUP!$G$38=1,$E$309*'TB-Pharmaceuticals'!AY15,0)),0)</f>
        <v>0</v>
      </c>
      <c r="I311" s="920">
        <f>IF(SETUP!$F$38="At delivery",IF(SETUP!$G$38=3,$E$309*'TB-Pharmaceuticals'!AX15,IF(SETUP!$G$38=2,$E$309*'TB-Pharmaceuticals'!AY15,IF(SETUP!$G$38=1,$E$309*'TB-Pharmaceuticals'!AZ15,0))),0)</f>
        <v>0</v>
      </c>
      <c r="J311" s="919">
        <f t="shared" si="47"/>
        <v>0</v>
      </c>
      <c r="K311" s="920">
        <f>IF(SETUP!$F$38="At delivery",IF(SETUP!$G$38=4,$E$309*'TB-Pharmaceuticals'!AX15,IF(SETUP!$G$38=3,$E$309*'TB-Pharmaceuticals'!AY15,IF(SETUP!$G$38=2,$E$309*'TB-Pharmaceuticals'!AZ15,IF(SETUP!$G$38=1,$E$309*'TB-Pharmaceuticals'!BA15,0)))),0)</f>
        <v>0</v>
      </c>
      <c r="L311" s="920">
        <f>IF(SETUP!$F$38="At delivery",IF(SETUP!$G$38=4,$E$309*'TB-Pharmaceuticals'!AY15,IF(SETUP!$G$38=3,$E$309*'TB-Pharmaceuticals'!AZ15,IF(SETUP!$G$38=2,$E$309*'TB-Pharmaceuticals'!BA15,IF(SETUP!$G$38=1,$E$309*'TB-Pharmaceuticals'!BB15,0)))),0)</f>
        <v>0</v>
      </c>
      <c r="M311" s="920">
        <f>IF(SETUP!$F$38="At delivery",IF(SETUP!$G$38=4,$E$309*'TB-Pharmaceuticals'!AZ15,IF(SETUP!$G$38=3,$E$309*'TB-Pharmaceuticals'!BA15,IF(SETUP!$G$38=2,$E$309*'TB-Pharmaceuticals'!BB15,IF(SETUP!$G$38=1,$E$309*'TB-Pharmaceuticals'!BC15,0)))),0)</f>
        <v>0</v>
      </c>
      <c r="N311" s="920">
        <f>IF(SETUP!$F$38="At delivery",IF(SETUP!$G$38=4,$E$309*'TB-Pharmaceuticals'!BA15,IF(SETUP!$G$38=3,$E$309*'TB-Pharmaceuticals'!BB15,IF(SETUP!$G$38=2,$E$309*'TB-Pharmaceuticals'!BC15,IF(SETUP!$G$38=1,$E$309*'TB-Pharmaceuticals'!BD15,0)))),0)</f>
        <v>0</v>
      </c>
      <c r="O311" s="917">
        <f t="shared" si="48"/>
        <v>0</v>
      </c>
      <c r="P311" s="915">
        <f>IF(SETUP!$F$38="At delivery",IF(SETUP!$G$38=4,$E$309*'TB-Pharmaceuticals'!BB15,IF(SETUP!$G$38=3,$E$309*'TB-Pharmaceuticals'!BC15,IF(SETUP!$G$38=2,$E$309*'TB-Pharmaceuticals'!BD15,IF(SETUP!$G$38=1,$E$309*'TB-Pharmaceuticals'!BE15,0)))),0)</f>
        <v>0</v>
      </c>
      <c r="Q311" s="915">
        <f>IF(SETUP!$F$38="At delivery",IF(SETUP!$G$38=4,$E$309*'TB-Pharmaceuticals'!BC15,IF(SETUP!$G$38=3,$E$309*'TB-Pharmaceuticals'!BD15,IF(SETUP!$G$38=2,$E$309*'TB-Pharmaceuticals'!BE15,IF(SETUP!$G$38=1,$E$309*'TB-Pharmaceuticals'!BF15,0)))),0)</f>
        <v>0</v>
      </c>
      <c r="R311" s="915">
        <f>IF(SETUP!$F$38="At delivery",IF(SETUP!$G$38=4,$E$309*'TB-Pharmaceuticals'!BD15,IF(SETUP!$G$38=3,$E$309*'TB-Pharmaceuticals'!BE15,IF(SETUP!$G$38=2,$E$309*'TB-Pharmaceuticals'!BF15,IF(SETUP!$G$38=1,$E$309*'TB-Pharmaceuticals'!BG15,0)))),0)</f>
        <v>0</v>
      </c>
      <c r="S311" s="915">
        <f>IF(SETUP!$F$38="At delivery",IF(SETUP!$G$38=4,$E$309*('TB-Pharmaceuticals'!BE15+'TB-Pharmaceuticals'!BF15+'TB-Pharmaceuticals'!BG15+'TB-Pharmaceuticals'!BH15+'TB-Pharmaceuticals'!BI15),IF(SETUP!$G$38=3,$E$309*('TB-Pharmaceuticals'!BF15+'TB-Pharmaceuticals'!BG15+'TB-Pharmaceuticals'!BH15+'TB-Pharmaceuticals'!BI15),IF(SETUP!$G$38=2,$E$309*('TB-Pharmaceuticals'!BG15+'TB-Pharmaceuticals'!BH15+'TB-Pharmaceuticals'!BI15),IF(SETUP!$G$38=1,$E$309*('TB-Pharmaceuticals'!BH15+'TB-Pharmaceuticals'!BI15),0)))),0)</f>
        <v>0</v>
      </c>
      <c r="T311" s="934">
        <f t="shared" si="49"/>
        <v>0</v>
      </c>
      <c r="U311" s="915">
        <f t="shared" si="50"/>
        <v>0</v>
      </c>
      <c r="V311" s="1316">
        <v>7.6</v>
      </c>
      <c r="W311" s="1995"/>
      <c r="X311" s="1341"/>
    </row>
    <row r="312" spans="1:24" s="665" customFormat="1" ht="15" hidden="1" customHeight="1" collapsed="1" thickBot="1">
      <c r="A312" s="3186"/>
      <c r="B312" s="3187"/>
      <c r="C312" s="3188" t="s">
        <v>1389</v>
      </c>
      <c r="D312" s="3188"/>
      <c r="E312" s="1245">
        <v>0</v>
      </c>
      <c r="F312" s="966">
        <f>IF(SETUP!$F$39="Upfront",F313,F314)</f>
        <v>0</v>
      </c>
      <c r="G312" s="921">
        <f>IF(SETUP!$F$39="Upfront",G313,G314)</f>
        <v>0</v>
      </c>
      <c r="H312" s="920">
        <f>IF(SETUP!$F$39="Upfront",H313,H314)</f>
        <v>0</v>
      </c>
      <c r="I312" s="920">
        <f>IF(SETUP!$F$39="Upfront",I313,I314)</f>
        <v>0</v>
      </c>
      <c r="J312" s="919">
        <f t="shared" si="47"/>
        <v>0</v>
      </c>
      <c r="K312" s="920">
        <f>IF(SETUP!$F$39="Upfront",K313,K314)</f>
        <v>0</v>
      </c>
      <c r="L312" s="920">
        <f>IF(SETUP!$F$39="Upfront",L313,L314)</f>
        <v>0</v>
      </c>
      <c r="M312" s="920">
        <f>IF(SETUP!$F$39="Upfront",M313,M314)</f>
        <v>0</v>
      </c>
      <c r="N312" s="920">
        <f>IF(SETUP!$F$39="Upfront",N313,N314)</f>
        <v>0</v>
      </c>
      <c r="O312" s="917">
        <f t="shared" si="48"/>
        <v>0</v>
      </c>
      <c r="P312" s="915">
        <f>IF(SETUP!$F$39="Upfront",P313,P314)</f>
        <v>0</v>
      </c>
      <c r="Q312" s="915">
        <f>IF(SETUP!$F$39="Upfront",Q313,Q314)</f>
        <v>0</v>
      </c>
      <c r="R312" s="915">
        <f>IF(SETUP!$F$39="Upfront",R313,R314)</f>
        <v>0</v>
      </c>
      <c r="S312" s="915">
        <f>IF(SETUP!$F$39="Upfront",S313,S314)</f>
        <v>0</v>
      </c>
      <c r="T312" s="934">
        <f t="shared" si="49"/>
        <v>0</v>
      </c>
      <c r="U312" s="915">
        <f t="shared" si="50"/>
        <v>0</v>
      </c>
      <c r="V312" s="1316">
        <v>7.6</v>
      </c>
      <c r="W312" s="1995"/>
      <c r="X312" s="1341"/>
    </row>
    <row r="313" spans="1:24" s="665" customFormat="1" ht="15" hidden="1" customHeight="1" outlineLevel="1">
      <c r="A313" s="3186"/>
      <c r="B313" s="3187"/>
      <c r="C313" s="3182" t="s">
        <v>777</v>
      </c>
      <c r="D313" s="3182"/>
      <c r="E313" s="1246"/>
      <c r="F313" s="966">
        <f>IF(SETUP!$F$39="Upfront",$E$312*'TB-Pharmaceuticals'!AX16,0)</f>
        <v>0</v>
      </c>
      <c r="G313" s="921">
        <f>IF(SETUP!$F$39="Upfront",$E$312*'TB-Pharmaceuticals'!AY16,0)</f>
        <v>0</v>
      </c>
      <c r="H313" s="920">
        <f>IF(SETUP!$F$39="Upfront",$E$312*'TB-Pharmaceuticals'!AZ16,0)</f>
        <v>0</v>
      </c>
      <c r="I313" s="920">
        <f>IF(SETUP!$F$39="Upfront",$E$312*'TB-Pharmaceuticals'!BA16,0)</f>
        <v>0</v>
      </c>
      <c r="J313" s="919">
        <f t="shared" si="47"/>
        <v>0</v>
      </c>
      <c r="K313" s="920">
        <f>IF(SETUP!$F$39="Upfront",$E$312*'TB-Pharmaceuticals'!BB16,0)</f>
        <v>0</v>
      </c>
      <c r="L313" s="920">
        <f>IF(SETUP!$F$39="Upfront",$E$312*'TB-Pharmaceuticals'!BC16,0)</f>
        <v>0</v>
      </c>
      <c r="M313" s="920">
        <f>IF(SETUP!$F$39="Upfront",$E$312*'TB-Pharmaceuticals'!BD16,0)</f>
        <v>0</v>
      </c>
      <c r="N313" s="920">
        <f>IF(SETUP!$F$39="Upfront",$E$312*'TB-Pharmaceuticals'!BE16,0)</f>
        <v>0</v>
      </c>
      <c r="O313" s="917">
        <f t="shared" si="48"/>
        <v>0</v>
      </c>
      <c r="P313" s="915">
        <f>IF(SETUP!$F$39="Upfront",$E$312*'TB-Pharmaceuticals'!BF16,0)</f>
        <v>0</v>
      </c>
      <c r="Q313" s="915">
        <f>IF(SETUP!$F$39="Upfront",$E$312*'TB-Pharmaceuticals'!BG16,0)</f>
        <v>0</v>
      </c>
      <c r="R313" s="915">
        <f>IF(SETUP!$F$39="Upfront",$E$312*'TB-Pharmaceuticals'!BH16,0)</f>
        <v>0</v>
      </c>
      <c r="S313" s="915">
        <f>IF(SETUP!$F$39="Upfront",$E$312*'TB-Pharmaceuticals'!BI16,0)</f>
        <v>0</v>
      </c>
      <c r="T313" s="934">
        <f t="shared" si="49"/>
        <v>0</v>
      </c>
      <c r="U313" s="915">
        <f t="shared" si="50"/>
        <v>0</v>
      </c>
      <c r="V313" s="1316">
        <v>7.6</v>
      </c>
      <c r="W313" s="1995"/>
      <c r="X313" s="1341"/>
    </row>
    <row r="314" spans="1:24" s="665" customFormat="1" ht="15" hidden="1" customHeight="1" outlineLevel="1">
      <c r="A314" s="3186"/>
      <c r="B314" s="3187"/>
      <c r="C314" s="3182" t="s">
        <v>36</v>
      </c>
      <c r="D314" s="3182"/>
      <c r="E314" s="1246"/>
      <c r="F314" s="966">
        <v>0</v>
      </c>
      <c r="G314" s="921">
        <f>IF(SETUP!$F$39="At delivery",IF(SETUP!$G$39=1,$E$312*'TB-Pharmaceuticals'!AX16,0),0)</f>
        <v>0</v>
      </c>
      <c r="H314" s="920">
        <f>IF(SETUP!$F$39="At delivery",IF(SETUP!$G$39=2,$E$312*'TB-Pharmaceuticals'!AX16,IF(SETUP!$G$39=1,$E$312*'TB-Pharmaceuticals'!AY16,0)),0)</f>
        <v>0</v>
      </c>
      <c r="I314" s="920">
        <f>IF(SETUP!$F$39="At delivery",IF(SETUP!$G$39=3,$E$312*'TB-Pharmaceuticals'!AX16,IF(SETUP!$G$39=2,$E$312*'TB-Pharmaceuticals'!AY16,IF(SETUP!$G$39=1,$E$312*'TB-Pharmaceuticals'!AZ16,0))),0)</f>
        <v>0</v>
      </c>
      <c r="J314" s="919">
        <f t="shared" si="47"/>
        <v>0</v>
      </c>
      <c r="K314" s="920">
        <f>IF(SETUP!$F$39="At delivery",IF(SETUP!$G$39=4,$E$312*'TB-Pharmaceuticals'!AX16,IF(SETUP!$G$39=3,$E$312*'TB-Pharmaceuticals'!AY16,IF(SETUP!$G$39=2,$E$312*'TB-Pharmaceuticals'!AZ16,IF(SETUP!$G$39=1,$E$312*'TB-Pharmaceuticals'!BA16,0)))),0)</f>
        <v>0</v>
      </c>
      <c r="L314" s="920">
        <f>IF(SETUP!$F$39="At delivery",IF(SETUP!$G$39=4,$E$312*'TB-Pharmaceuticals'!AY16,IF(SETUP!$G$39=3,$E$312*'TB-Pharmaceuticals'!AZ16,IF(SETUP!$G$39=2,$E$312*'TB-Pharmaceuticals'!BA16,IF(SETUP!$G$39=1,$E$312*'TB-Pharmaceuticals'!BB16,0)))),0)</f>
        <v>0</v>
      </c>
      <c r="M314" s="920">
        <f>IF(SETUP!$F$39="At delivery",IF(SETUP!$G$39=4,$E$312*'TB-Pharmaceuticals'!AZ16,IF(SETUP!$G$39=3,$E$312*'TB-Pharmaceuticals'!BA16,IF(SETUP!$G$39=2,$E$312*'TB-Pharmaceuticals'!BB16,IF(SETUP!$G$39=1,$E$312*'TB-Pharmaceuticals'!BC16,0)))),0)</f>
        <v>0</v>
      </c>
      <c r="N314" s="920">
        <f>IF(SETUP!$F$39="At delivery",IF(SETUP!$G$39=4,$E$312*'TB-Pharmaceuticals'!BA16,IF(SETUP!$G$39=3,$E$312*'TB-Pharmaceuticals'!BB16,IF(SETUP!$G$39=2,$E$312*'TB-Pharmaceuticals'!BC16,IF(SETUP!$G$39=1,$E$312*'TB-Pharmaceuticals'!BD16,0)))),0)</f>
        <v>0</v>
      </c>
      <c r="O314" s="917">
        <f t="shared" si="48"/>
        <v>0</v>
      </c>
      <c r="P314" s="915">
        <f>IF(SETUP!$F$39="At delivery",IF(SETUP!$G$39=4,$E$312*'TB-Pharmaceuticals'!BB16,IF(SETUP!$G$39=3,$E$312*'TB-Pharmaceuticals'!BC16,IF(SETUP!$G$39=2,$E$312*'TB-Pharmaceuticals'!BD16,IF(SETUP!$G$39=1,$E$312*'TB-Pharmaceuticals'!BE16,0)))),0)</f>
        <v>0</v>
      </c>
      <c r="Q314" s="915">
        <f>IF(SETUP!$F$39="At delivery",IF(SETUP!$G$39=4,$E$312*'TB-Pharmaceuticals'!BC16,IF(SETUP!$G$39=3,$E$312*'TB-Pharmaceuticals'!BD16,IF(SETUP!$G$39=2,$E$312*'TB-Pharmaceuticals'!BE16,IF(SETUP!$G$39=1,$E$312*'TB-Pharmaceuticals'!BF16,0)))),0)</f>
        <v>0</v>
      </c>
      <c r="R314" s="915">
        <f>IF(SETUP!$F$39="At delivery",IF(SETUP!$G$39=4,$E$312*'TB-Pharmaceuticals'!BD16,IF(SETUP!$G$39=3,$E$312*'TB-Pharmaceuticals'!BE16,IF(SETUP!$G$39=2,$E$312*'TB-Pharmaceuticals'!BF16,IF(SETUP!$G$39=1,$E$312*'TB-Pharmaceuticals'!BG16,0)))),0)</f>
        <v>0</v>
      </c>
      <c r="S314" s="915">
        <f>IF(SETUP!$F$39="At delivery",IF(SETUP!$G$39=4,$E$312*('TB-Pharmaceuticals'!BE16+'TB-Pharmaceuticals'!BF16+'TB-Pharmaceuticals'!BG16+'TB-Pharmaceuticals'!BH16+'TB-Pharmaceuticals'!BI16),IF(SETUP!$G$39=3,$E$312*('TB-Pharmaceuticals'!BF16+'TB-Pharmaceuticals'!BG16+'TB-Pharmaceuticals'!BH16+'TB-Pharmaceuticals'!BI16),IF(SETUP!$G$39=2,$E$312*('TB-Pharmaceuticals'!BG16+'TB-Pharmaceuticals'!BH16+'TB-Pharmaceuticals'!BI16),IF(SETUP!$G$39=1,$E$312*('TB-Pharmaceuticals'!BH16+'TB-Pharmaceuticals'!BI16),0)))),0)</f>
        <v>0</v>
      </c>
      <c r="T314" s="934">
        <f t="shared" si="49"/>
        <v>0</v>
      </c>
      <c r="U314" s="915">
        <f t="shared" si="50"/>
        <v>0</v>
      </c>
      <c r="V314" s="1316">
        <v>7.6</v>
      </c>
      <c r="W314" s="1995"/>
      <c r="X314" s="1341"/>
    </row>
    <row r="315" spans="1:24" s="665" customFormat="1" ht="15" hidden="1" customHeight="1" collapsed="1" thickBot="1">
      <c r="A315" s="3186" t="s">
        <v>447</v>
      </c>
      <c r="B315" s="3187"/>
      <c r="C315" s="3188" t="s">
        <v>292</v>
      </c>
      <c r="D315" s="3188"/>
      <c r="E315" s="1245">
        <v>0</v>
      </c>
      <c r="F315" s="966">
        <f>IF(SETUP!$F$40="Upfront",F316,F317)</f>
        <v>0</v>
      </c>
      <c r="G315" s="921">
        <f>IF(SETUP!$F$40="Upfront",G316,G317)</f>
        <v>0</v>
      </c>
      <c r="H315" s="920">
        <f>IF(SETUP!$F$40="Upfront",H316,H317)</f>
        <v>0</v>
      </c>
      <c r="I315" s="920">
        <f>IF(SETUP!$F$40="Upfront",I316,I317)</f>
        <v>0</v>
      </c>
      <c r="J315" s="919">
        <f t="shared" si="47"/>
        <v>0</v>
      </c>
      <c r="K315" s="920">
        <f>IF(SETUP!$F$40="Upfront",K316,K317)</f>
        <v>0</v>
      </c>
      <c r="L315" s="920">
        <f>IF(SETUP!$F$40="Upfront",L316,L317)</f>
        <v>0</v>
      </c>
      <c r="M315" s="920">
        <f>IF(SETUP!$F$40="Upfront",M316,M317)</f>
        <v>0</v>
      </c>
      <c r="N315" s="920">
        <f>IF(SETUP!$F$40="Upfront",N316,N317)</f>
        <v>0</v>
      </c>
      <c r="O315" s="917">
        <f t="shared" si="48"/>
        <v>0</v>
      </c>
      <c r="P315" s="915">
        <f>IF(SETUP!$F$40="Upfront",P316,P317)</f>
        <v>0</v>
      </c>
      <c r="Q315" s="915">
        <f>IF(SETUP!$F$40="Upfront",Q316,Q317)</f>
        <v>0</v>
      </c>
      <c r="R315" s="915">
        <f>IF(SETUP!$F$40="Upfront",R316,R317)</f>
        <v>0</v>
      </c>
      <c r="S315" s="915">
        <f>IF(SETUP!$F$40="Upfront",S316,S317)</f>
        <v>0</v>
      </c>
      <c r="T315" s="934">
        <f t="shared" si="49"/>
        <v>0</v>
      </c>
      <c r="U315" s="915">
        <f t="shared" si="50"/>
        <v>0</v>
      </c>
      <c r="V315" s="1316">
        <v>7.6</v>
      </c>
      <c r="W315" s="1995"/>
      <c r="X315" s="1341"/>
    </row>
    <row r="316" spans="1:24" s="665" customFormat="1" ht="15" hidden="1" customHeight="1" outlineLevel="1">
      <c r="A316" s="3186"/>
      <c r="B316" s="3187"/>
      <c r="C316" s="3182" t="s">
        <v>777</v>
      </c>
      <c r="D316" s="3182"/>
      <c r="E316" s="1246"/>
      <c r="F316" s="966">
        <f>IF(SETUP!$F$40="Upfront",$E$315*'TB-EQUIPMENT &amp; OTHER HPs'!AX14,0)</f>
        <v>0</v>
      </c>
      <c r="G316" s="921">
        <f>IF(SETUP!$F$40="Upfront",$E$315*'TB-EQUIPMENT &amp; OTHER HPs'!AY14,0)</f>
        <v>0</v>
      </c>
      <c r="H316" s="920">
        <f>IF(SETUP!$F$40="Upfront",$E$315*'TB-EQUIPMENT &amp; OTHER HPs'!AZ14,0)</f>
        <v>0</v>
      </c>
      <c r="I316" s="920">
        <f>IF(SETUP!$F$40="Upfront",$E$315*'TB-EQUIPMENT &amp; OTHER HPs'!BA14,0)</f>
        <v>0</v>
      </c>
      <c r="J316" s="919">
        <f t="shared" si="47"/>
        <v>0</v>
      </c>
      <c r="K316" s="920">
        <f>IF(SETUP!$F$40="Upfront",$E$315*'TB-EQUIPMENT &amp; OTHER HPs'!BB14,0)</f>
        <v>0</v>
      </c>
      <c r="L316" s="920">
        <f>IF(SETUP!$F$40="Upfront",$E$315*'TB-EQUIPMENT &amp; OTHER HPs'!BC14,0)</f>
        <v>0</v>
      </c>
      <c r="M316" s="920">
        <f>IF(SETUP!$F$40="Upfront",$E$315*'TB-EQUIPMENT &amp; OTHER HPs'!BD14,0)</f>
        <v>0</v>
      </c>
      <c r="N316" s="920">
        <f>IF(SETUP!$F$40="Upfront",$E$315*'TB-EQUIPMENT &amp; OTHER HPs'!BE14,0)</f>
        <v>0</v>
      </c>
      <c r="O316" s="917">
        <f t="shared" si="48"/>
        <v>0</v>
      </c>
      <c r="P316" s="915">
        <f>IF(SETUP!$F$40="Upfront",$E$315*'TB-EQUIPMENT &amp; OTHER HPs'!BF14,0)</f>
        <v>0</v>
      </c>
      <c r="Q316" s="915">
        <f>IF(SETUP!$F$40="Upfront",$E$315*'TB-EQUIPMENT &amp; OTHER HPs'!BG14,0)</f>
        <v>0</v>
      </c>
      <c r="R316" s="915">
        <f>IF(SETUP!$F$40="Upfront",$E$315*'TB-EQUIPMENT &amp; OTHER HPs'!BH14,0)</f>
        <v>0</v>
      </c>
      <c r="S316" s="915">
        <f>IF(SETUP!$F$40="Upfront",$E$315*'TB-EQUIPMENT &amp; OTHER HPs'!BI14,0)</f>
        <v>0</v>
      </c>
      <c r="T316" s="934">
        <f t="shared" si="49"/>
        <v>0</v>
      </c>
      <c r="U316" s="915">
        <f t="shared" si="50"/>
        <v>0</v>
      </c>
      <c r="V316" s="1316">
        <v>7.6</v>
      </c>
      <c r="W316" s="1995"/>
      <c r="X316" s="1341"/>
    </row>
    <row r="317" spans="1:24" s="665" customFormat="1" ht="15" hidden="1" customHeight="1" outlineLevel="1">
      <c r="A317" s="3186"/>
      <c r="B317" s="3187"/>
      <c r="C317" s="3182" t="s">
        <v>36</v>
      </c>
      <c r="D317" s="3182"/>
      <c r="E317" s="1246"/>
      <c r="F317" s="966">
        <v>0</v>
      </c>
      <c r="G317" s="921">
        <f>IF(SETUP!$F$40="At delivery",IF(SETUP!$G$40=1,$E$315*'TB-EQUIPMENT &amp; OTHER HPs'!AX14,0),0)</f>
        <v>0</v>
      </c>
      <c r="H317" s="920">
        <f>IF(SETUP!$F$40="At delivery",IF(SETUP!$G$40=2,$E$315*'TB-EQUIPMENT &amp; OTHER HPs'!AX14,IF(SETUP!$G$40=1,$E$315*'TB-EQUIPMENT &amp; OTHER HPs'!AY14,0)),0)</f>
        <v>0</v>
      </c>
      <c r="I317" s="920">
        <f>IF(SETUP!$F$40="At delivery",IF(SETUP!$G$40=3,$E$315*'TB-EQUIPMENT &amp; OTHER HPs'!AX14,IF(SETUP!$G$40=2,$E$315*'TB-EQUIPMENT &amp; OTHER HPs'!AY14,IF(SETUP!$G$40=1,$E$315*'TB-EQUIPMENT &amp; OTHER HPs'!AZ14,0))),0)</f>
        <v>0</v>
      </c>
      <c r="J317" s="919">
        <f t="shared" si="47"/>
        <v>0</v>
      </c>
      <c r="K317" s="920">
        <f>IF(SETUP!$F$40="At delivery",IF(SETUP!$G$40=4,$E$315*'TB-EQUIPMENT &amp; OTHER HPs'!AX14,IF(SETUP!$G$40=3,$E$315*'TB-EQUIPMENT &amp; OTHER HPs'!AY14,IF(SETUP!$G$40=2,$E$315*'TB-EQUIPMENT &amp; OTHER HPs'!AZ14,IF(SETUP!$G$40=1,$E$315*'TB-EQUIPMENT &amp; OTHER HPs'!BA14,0)))),0)</f>
        <v>0</v>
      </c>
      <c r="L317" s="920">
        <f>IF(SETUP!$F$40="At delivery",IF(SETUP!$G$40=4,$E$315*'TB-EQUIPMENT &amp; OTHER HPs'!AY14,IF(SETUP!$G$40=3,$E$315*'TB-EQUIPMENT &amp; OTHER HPs'!AZ14,IF(SETUP!$G$40=2,$E$315*'TB-EQUIPMENT &amp; OTHER HPs'!BA14,IF(SETUP!$G$40=1,$E$315*'TB-EQUIPMENT &amp; OTHER HPs'!BB14,0)))),0)</f>
        <v>0</v>
      </c>
      <c r="M317" s="920">
        <f>IF(SETUP!$F$40="At delivery",IF(SETUP!$G$40=4,$E$315*'TB-EQUIPMENT &amp; OTHER HPs'!AZ14,IF(SETUP!$G$40=3,$E$315*'TB-EQUIPMENT &amp; OTHER HPs'!BA14,IF(SETUP!$G$40=2,$E$315*'TB-EQUIPMENT &amp; OTHER HPs'!BB14,IF(SETUP!$G$40=1,$E$315*'TB-EQUIPMENT &amp; OTHER HPs'!BC14,0)))),0)</f>
        <v>0</v>
      </c>
      <c r="N317" s="920">
        <f>IF(SETUP!$F$40="At delivery",IF(SETUP!$G$40=4,$E$315*'TB-EQUIPMENT &amp; OTHER HPs'!BA14,IF(SETUP!$G$40=3,$E$315*'TB-EQUIPMENT &amp; OTHER HPs'!BB14,IF(SETUP!$G$40=2,$E$315*'TB-EQUIPMENT &amp; OTHER HPs'!BC14,IF(SETUP!$G$40=1,$E$315*'TB-EQUIPMENT &amp; OTHER HPs'!BD14,0)))),0)</f>
        <v>0</v>
      </c>
      <c r="O317" s="917">
        <f t="shared" si="48"/>
        <v>0</v>
      </c>
      <c r="P317" s="915">
        <f>IF(SETUP!$F$40="At delivery",IF(SETUP!$G$40=4,$E$315*'TB-EQUIPMENT &amp; OTHER HPs'!BB14,IF(SETUP!$G$40=3,$E$315*'TB-EQUIPMENT &amp; OTHER HPs'!BC14,IF(SETUP!$G$40=2,$E$315*'TB-EQUIPMENT &amp; OTHER HPs'!BD14,IF(SETUP!$G$40=1,$E$315*'TB-EQUIPMENT &amp; OTHER HPs'!BE14,0)))),0)</f>
        <v>0</v>
      </c>
      <c r="Q317" s="915">
        <f>IF(SETUP!$F$40="At delivery",IF(SETUP!$G$40=4,$E$315*'TB-EQUIPMENT &amp; OTHER HPs'!BC14,IF(SETUP!$G$40=3,$E$315*'TB-EQUIPMENT &amp; OTHER HPs'!BD14,IF(SETUP!$G$40=2,$E$315*'TB-EQUIPMENT &amp; OTHER HPs'!BE14,IF(SETUP!$G$40=1,$E$315*'TB-EQUIPMENT &amp; OTHER HPs'!BF14,0)))),0)</f>
        <v>0</v>
      </c>
      <c r="R317" s="915">
        <f>IF(SETUP!$F$40="At delivery",IF(SETUP!$G$40=4,$E$315*'TB-EQUIPMENT &amp; OTHER HPs'!BD14,IF(SETUP!$G$40=3,$E$315*'TB-EQUIPMENT &amp; OTHER HPs'!BE14,IF(SETUP!$G$40=2,$E$315*'TB-EQUIPMENT &amp; OTHER HPs'!BF14,IF(SETUP!$G$40=1,$E$315*'TB-EQUIPMENT &amp; OTHER HPs'!BG14,0)))),0)</f>
        <v>0</v>
      </c>
      <c r="S317" s="915">
        <f>IF(SETUP!$F$40="At delivery",IF(SETUP!$G$40=4,$E$315*('TB-EQUIPMENT &amp; OTHER HPs'!BE14+'TB-EQUIPMENT &amp; OTHER HPs'!BF14+'TB-EQUIPMENT &amp; OTHER HPs'!BG14+'TB-EQUIPMENT &amp; OTHER HPs'!BH14+'TB-EQUIPMENT &amp; OTHER HPs'!BI14),IF(SETUP!$G$40=3,$E$315*('TB-EQUIPMENT &amp; OTHER HPs'!BF14+'TB-EQUIPMENT &amp; OTHER HPs'!BG14+'TB-EQUIPMENT &amp; OTHER HPs'!BH14+'TB-EQUIPMENT &amp; OTHER HPs'!BI14),IF(SETUP!$G$40=2,$E$315*('TB-EQUIPMENT &amp; OTHER HPs'!BG14+'TB-EQUIPMENT &amp; OTHER HPs'!BH14+'TB-EQUIPMENT &amp; OTHER HPs'!BI14),IF(SETUP!$G$40=1,$E$315*('TB-EQUIPMENT &amp; OTHER HPs'!BH14+'TB-EQUIPMENT &amp; OTHER HPs'!BI14),0)))),0)</f>
        <v>0</v>
      </c>
      <c r="T317" s="934">
        <f t="shared" si="49"/>
        <v>0</v>
      </c>
      <c r="U317" s="915">
        <f t="shared" si="50"/>
        <v>0</v>
      </c>
      <c r="V317" s="1316">
        <v>7.6</v>
      </c>
      <c r="W317" s="1995"/>
      <c r="X317" s="1341"/>
    </row>
    <row r="318" spans="1:24" s="665" customFormat="1" ht="15" hidden="1" customHeight="1" collapsed="1" thickBot="1">
      <c r="A318" s="3186"/>
      <c r="B318" s="3187"/>
      <c r="C318" s="3188" t="s">
        <v>1348</v>
      </c>
      <c r="D318" s="3188"/>
      <c r="E318" s="1245">
        <v>0</v>
      </c>
      <c r="F318" s="966">
        <f>IF(SETUP!$F$41="Upfront",F319,F320)</f>
        <v>0</v>
      </c>
      <c r="G318" s="921">
        <f>IF(SETUP!$F$41="Upfront",G319,G320)</f>
        <v>0</v>
      </c>
      <c r="H318" s="920">
        <f>IF(SETUP!$F$41="Upfront",H319,H320)</f>
        <v>0</v>
      </c>
      <c r="I318" s="920">
        <f>IF(SETUP!$F$41="Upfront",I319,I320)</f>
        <v>0</v>
      </c>
      <c r="J318" s="919">
        <f t="shared" si="47"/>
        <v>0</v>
      </c>
      <c r="K318" s="920">
        <f>IF(SETUP!$F$41="Upfront",K319,K320)</f>
        <v>0</v>
      </c>
      <c r="L318" s="920">
        <f>IF(SETUP!$F$41="Upfront",L319,L320)</f>
        <v>0</v>
      </c>
      <c r="M318" s="920">
        <f>IF(SETUP!$F$41="Upfront",M319,M320)</f>
        <v>0</v>
      </c>
      <c r="N318" s="920">
        <f>IF(SETUP!$F$41="Upfront",N319,N320)</f>
        <v>0</v>
      </c>
      <c r="O318" s="917">
        <f t="shared" si="48"/>
        <v>0</v>
      </c>
      <c r="P318" s="915">
        <f>IF(SETUP!$F$41="Upfront",P319,P320)</f>
        <v>0</v>
      </c>
      <c r="Q318" s="915">
        <f>IF(SETUP!$F$41="Upfront",Q319,Q320)</f>
        <v>0</v>
      </c>
      <c r="R318" s="915">
        <f>IF(SETUP!$F$41="Upfront",R319,R320)</f>
        <v>0</v>
      </c>
      <c r="S318" s="915">
        <f>IF(SETUP!$F$41="Upfront",S319,S320)</f>
        <v>0</v>
      </c>
      <c r="T318" s="934">
        <f t="shared" si="49"/>
        <v>0</v>
      </c>
      <c r="U318" s="915">
        <f t="shared" si="50"/>
        <v>0</v>
      </c>
      <c r="V318" s="1316">
        <v>7.6</v>
      </c>
      <c r="W318" s="1995"/>
      <c r="X318" s="1341"/>
    </row>
    <row r="319" spans="1:24" s="665" customFormat="1" ht="15" hidden="1" customHeight="1" outlineLevel="1">
      <c r="A319" s="3186"/>
      <c r="B319" s="3187"/>
      <c r="C319" s="3182" t="s">
        <v>777</v>
      </c>
      <c r="D319" s="3182"/>
      <c r="E319" s="1246"/>
      <c r="F319" s="966">
        <f>IF(SETUP!$F$41="Upfront",$E$318*'TB-EQUIPMENT &amp; OTHER HPs'!AX15,0)</f>
        <v>0</v>
      </c>
      <c r="G319" s="921">
        <f>IF(SETUP!$F$41="Upfront",$E$318*'TB-EQUIPMENT &amp; OTHER HPs'!AY15,0)</f>
        <v>0</v>
      </c>
      <c r="H319" s="920">
        <f>IF(SETUP!$F$41="Upfront",$E$318*'TB-EQUIPMENT &amp; OTHER HPs'!AZ15,0)</f>
        <v>0</v>
      </c>
      <c r="I319" s="920">
        <f>IF(SETUP!$F$41="Upfront",$E$318*'TB-EQUIPMENT &amp; OTHER HPs'!BA15,0)</f>
        <v>0</v>
      </c>
      <c r="J319" s="919">
        <f t="shared" si="47"/>
        <v>0</v>
      </c>
      <c r="K319" s="920">
        <f>IF(SETUP!$F$41="Upfront",$E$318*'TB-EQUIPMENT &amp; OTHER HPs'!BB15,0)</f>
        <v>0</v>
      </c>
      <c r="L319" s="920">
        <f>IF(SETUP!$F$41="Upfront",$E$318*'TB-EQUIPMENT &amp; OTHER HPs'!BC15,0)</f>
        <v>0</v>
      </c>
      <c r="M319" s="920">
        <f>IF(SETUP!$F$41="Upfront",$E$318*'TB-EQUIPMENT &amp; OTHER HPs'!BD15,0)</f>
        <v>0</v>
      </c>
      <c r="N319" s="920">
        <f>IF(SETUP!$F$41="Upfront",$E$318*'TB-EQUIPMENT &amp; OTHER HPs'!BE15,0)</f>
        <v>0</v>
      </c>
      <c r="O319" s="917">
        <f t="shared" si="48"/>
        <v>0</v>
      </c>
      <c r="P319" s="915">
        <f>IF(SETUP!$F$41="Upfront",$E$318*'TB-EQUIPMENT &amp; OTHER HPs'!BF15,0)</f>
        <v>0</v>
      </c>
      <c r="Q319" s="915">
        <f>IF(SETUP!$F$41="Upfront",$E$318*'TB-EQUIPMENT &amp; OTHER HPs'!BG15,0)</f>
        <v>0</v>
      </c>
      <c r="R319" s="915">
        <f>IF(SETUP!$F$41="Upfront",$E$318*'TB-EQUIPMENT &amp; OTHER HPs'!BH15,0)</f>
        <v>0</v>
      </c>
      <c r="S319" s="915">
        <f>IF(SETUP!$F$41="Upfront",$E$318*'TB-EQUIPMENT &amp; OTHER HPs'!BI15,0)</f>
        <v>0</v>
      </c>
      <c r="T319" s="934">
        <f t="shared" si="49"/>
        <v>0</v>
      </c>
      <c r="U319" s="915">
        <f t="shared" si="50"/>
        <v>0</v>
      </c>
      <c r="V319" s="1316">
        <v>7.6</v>
      </c>
      <c r="W319" s="1995"/>
      <c r="X319" s="1341"/>
    </row>
    <row r="320" spans="1:24" s="665" customFormat="1" ht="15" hidden="1" customHeight="1" outlineLevel="1" thickBot="1">
      <c r="A320" s="3186"/>
      <c r="B320" s="3187"/>
      <c r="C320" s="3182" t="s">
        <v>36</v>
      </c>
      <c r="D320" s="3182"/>
      <c r="E320" s="1246"/>
      <c r="F320" s="966">
        <v>0</v>
      </c>
      <c r="G320" s="921">
        <f>IF(SETUP!$F$41="At delivery",IF(SETUP!$G$41=1,$E$318*'TB-EQUIPMENT &amp; OTHER HPs'!AX15,0),0)</f>
        <v>0</v>
      </c>
      <c r="H320" s="920">
        <f>IF(SETUP!$F$41="At delivery",IF(SETUP!$G$41=2,$E$318*'TB-EQUIPMENT &amp; OTHER HPs'!AX15,IF(SETUP!$G$41=1,$E$318*'TB-EQUIPMENT &amp; OTHER HPs'!AY15,0)),0)</f>
        <v>0</v>
      </c>
      <c r="I320" s="920">
        <f>IF(SETUP!$F$41="At delivery",IF(SETUP!$G$41=3,$E$318*'TB-EQUIPMENT &amp; OTHER HPs'!AX15,IF(SETUP!$G$41=2,$E$318*'TB-EQUIPMENT &amp; OTHER HPs'!AY15,IF(SETUP!$G$41=1,$E$318*'TB-EQUIPMENT &amp; OTHER HPs'!AZ15,0))),0)</f>
        <v>0</v>
      </c>
      <c r="J320" s="919">
        <f t="shared" si="47"/>
        <v>0</v>
      </c>
      <c r="K320" s="920">
        <f>IF(SETUP!$F$41="At delivery",IF(SETUP!$G$41=4,$E$318*'TB-EQUIPMENT &amp; OTHER HPs'!AX15,IF(SETUP!$G$41=3,$E$318*'TB-EQUIPMENT &amp; OTHER HPs'!AY15,IF(SETUP!$G$41=2,$E$318*'TB-EQUIPMENT &amp; OTHER HPs'!AZ15,IF(SETUP!$G$41=1,$E$318*'TB-EQUIPMENT &amp; OTHER HPs'!BA15,0)))),0)</f>
        <v>0</v>
      </c>
      <c r="L320" s="920">
        <f>IF(SETUP!$F$41="At delivery",IF(SETUP!$G$41=4,$E$318*'TB-EQUIPMENT &amp; OTHER HPs'!AY15,IF(SETUP!$G$41=3,$E$318*'TB-EQUIPMENT &amp; OTHER HPs'!AZ15,IF(SETUP!$G$41=2,$E$318*'TB-EQUIPMENT &amp; OTHER HPs'!BA15,IF(SETUP!$G$41=1,$E$318*'TB-EQUIPMENT &amp; OTHER HPs'!BB15,0)))),0)</f>
        <v>0</v>
      </c>
      <c r="M320" s="920">
        <f>IF(SETUP!$F$41="At delivery",IF(SETUP!$G$41=4,$E$318*'TB-EQUIPMENT &amp; OTHER HPs'!AZ15,IF(SETUP!$G$41=3,$E$318*'TB-EQUIPMENT &amp; OTHER HPs'!BA15,IF(SETUP!$G$41=2,$E$318*'TB-EQUIPMENT &amp; OTHER HPs'!BB15,IF(SETUP!$G$41=1,$E$318*'TB-EQUIPMENT &amp; OTHER HPs'!BC15,0)))),0)</f>
        <v>0</v>
      </c>
      <c r="N320" s="920">
        <f>IF(SETUP!$F$41="At delivery",IF(SETUP!$G$41=4,$E$318*'TB-EQUIPMENT &amp; OTHER HPs'!BA15,IF(SETUP!$G$41=3,$E$318*'TB-EQUIPMENT &amp; OTHER HPs'!BB15,IF(SETUP!$G$41=2,$E$318*'TB-EQUIPMENT &amp; OTHER HPs'!BC15,IF(SETUP!$G$41=1,$E$318*'TB-EQUIPMENT &amp; OTHER HPs'!BD15,0)))),0)</f>
        <v>0</v>
      </c>
      <c r="O320" s="917">
        <f t="shared" si="48"/>
        <v>0</v>
      </c>
      <c r="P320" s="915">
        <f>IF(SETUP!$F$41="At delivery",IF(SETUP!$G$41=4,$E$318*'TB-EQUIPMENT &amp; OTHER HPs'!BB15,IF(SETUP!$G$41=3,$E$318*'TB-EQUIPMENT &amp; OTHER HPs'!BC15,IF(SETUP!$G$41=2,$E$318*'TB-EQUIPMENT &amp; OTHER HPs'!BD15,IF(SETUP!$G$41=1,$E$318*'TB-EQUIPMENT &amp; OTHER HPs'!BE15,0)))),0)</f>
        <v>0</v>
      </c>
      <c r="Q320" s="915">
        <f>IF(SETUP!$F$41="At delivery",IF(SETUP!$G$41=4,$E$318*'TB-EQUIPMENT &amp; OTHER HPs'!BC15,IF(SETUP!$G$41=3,$E$318*'TB-EQUIPMENT &amp; OTHER HPs'!BD15,IF(SETUP!$G$41=2,$E$318*'TB-EQUIPMENT &amp; OTHER HPs'!BE15,IF(SETUP!$G$41=1,$E$318*'TB-EQUIPMENT &amp; OTHER HPs'!BF15,0)))),0)</f>
        <v>0</v>
      </c>
      <c r="R320" s="915">
        <f>IF(SETUP!$F$41="At delivery",IF(SETUP!$G$41=4,$E$318*'TB-EQUIPMENT &amp; OTHER HPs'!BD15,IF(SETUP!$G$41=3,$E$318*'TB-EQUIPMENT &amp; OTHER HPs'!BE15,IF(SETUP!$G$41=2,$E$318*'TB-EQUIPMENT &amp; OTHER HPs'!BF15,IF(SETUP!$G$41=1,$E$318*'TB-EQUIPMENT &amp; OTHER HPs'!BG15,0)))),0)</f>
        <v>0</v>
      </c>
      <c r="S320" s="915">
        <f>IF(SETUP!$F$41="At delivery",IF(SETUP!$G$41=4,$E$318*('TB-EQUIPMENT &amp; OTHER HPs'!BE15+'TB-EQUIPMENT &amp; OTHER HPs'!BF15+'TB-EQUIPMENT &amp; OTHER HPs'!BG15+'TB-EQUIPMENT &amp; OTHER HPs'!BH15+'TB-EQUIPMENT &amp; OTHER HPs'!BI15),IF(SETUP!$G$41=3,$E$318*('TB-EQUIPMENT &amp; OTHER HPs'!BF15+'TB-EQUIPMENT &amp; OTHER HPs'!BG15+'TB-EQUIPMENT &amp; OTHER HPs'!BH15+'TB-EQUIPMENT &amp; OTHER HPs'!BI15),IF(SETUP!$G$41=2,$E$318*('TB-EQUIPMENT &amp; OTHER HPs'!BG15+'TB-EQUIPMENT &amp; OTHER HPs'!BH15+'TB-EQUIPMENT &amp; OTHER HPs'!BI15),IF(SETUP!$G$41=1,$E$318*('TB-EQUIPMENT &amp; OTHER HPs'!BH15+'TB-EQUIPMENT &amp; OTHER HPs'!BI15),0)))),0)</f>
        <v>0</v>
      </c>
      <c r="T320" s="934">
        <f t="shared" si="49"/>
        <v>0</v>
      </c>
      <c r="U320" s="915">
        <f t="shared" si="50"/>
        <v>0</v>
      </c>
      <c r="V320" s="1316">
        <v>7.6</v>
      </c>
      <c r="W320" s="1995"/>
      <c r="X320" s="1341"/>
    </row>
    <row r="321" spans="1:24" s="665" customFormat="1" ht="15" hidden="1" customHeight="1" collapsed="1" thickBot="1">
      <c r="A321" s="3186"/>
      <c r="B321" s="3187"/>
      <c r="C321" s="3188" t="s">
        <v>1354</v>
      </c>
      <c r="D321" s="3188"/>
      <c r="E321" s="1245">
        <v>0</v>
      </c>
      <c r="F321" s="966">
        <f>IF(SETUP!$F$43="Upfront",F322,F323)</f>
        <v>0</v>
      </c>
      <c r="G321" s="921">
        <f>IF(SETUP!$F$43="Upfront",G322,G323)</f>
        <v>0</v>
      </c>
      <c r="H321" s="920">
        <f>IF(SETUP!$F$43="Upfront",H322,H323)</f>
        <v>0</v>
      </c>
      <c r="I321" s="920">
        <f>IF(SETUP!$F$43="Upfront",I322,I323)</f>
        <v>0</v>
      </c>
      <c r="J321" s="919">
        <f t="shared" si="47"/>
        <v>0</v>
      </c>
      <c r="K321" s="920">
        <f>IF(SETUP!$F$43="Upfront",K322,K323)</f>
        <v>0</v>
      </c>
      <c r="L321" s="920">
        <f>IF(SETUP!$F$43="Upfront",L322,L323)</f>
        <v>0</v>
      </c>
      <c r="M321" s="920">
        <f>IF(SETUP!$F$43="Upfront",M322,M323)</f>
        <v>0</v>
      </c>
      <c r="N321" s="920">
        <f>IF(SETUP!$F$43="Upfront",N322,N323)</f>
        <v>0</v>
      </c>
      <c r="O321" s="917">
        <f t="shared" si="48"/>
        <v>0</v>
      </c>
      <c r="P321" s="915">
        <f>IF(SETUP!$F$43="Upfront",P322,P323)</f>
        <v>0</v>
      </c>
      <c r="Q321" s="915">
        <f>IF(SETUP!$F$43="Upfront",Q322,Q323)</f>
        <v>0</v>
      </c>
      <c r="R321" s="915">
        <f>IF(SETUP!$F$43="Upfront",R322,R323)</f>
        <v>0</v>
      </c>
      <c r="S321" s="915">
        <f>IF(SETUP!$F$43="Upfront",S322,S323)</f>
        <v>0</v>
      </c>
      <c r="T321" s="934">
        <f t="shared" si="49"/>
        <v>0</v>
      </c>
      <c r="U321" s="915">
        <f t="shared" si="50"/>
        <v>0</v>
      </c>
      <c r="V321" s="1316">
        <v>7.6</v>
      </c>
      <c r="W321" s="1995"/>
      <c r="X321" s="1341"/>
    </row>
    <row r="322" spans="1:24" s="665" customFormat="1" ht="15" hidden="1" customHeight="1" outlineLevel="1">
      <c r="A322" s="3186"/>
      <c r="B322" s="3187"/>
      <c r="C322" s="3182" t="s">
        <v>777</v>
      </c>
      <c r="D322" s="3182"/>
      <c r="E322" s="1246"/>
      <c r="F322" s="966">
        <f>IF(SETUP!$F$43="Upfront",$E$321*'TB-EQUIPMENT &amp; OTHER HPs'!AX16,0)</f>
        <v>0</v>
      </c>
      <c r="G322" s="921">
        <f>IF(SETUP!$F$43="Upfront",$E$321*'TB-EQUIPMENT &amp; OTHER HPs'!AY16,0)</f>
        <v>0</v>
      </c>
      <c r="H322" s="920">
        <f>IF(SETUP!$F$43="Upfront",$E$321*'TB-EQUIPMENT &amp; OTHER HPs'!AZ16,0)</f>
        <v>0</v>
      </c>
      <c r="I322" s="920">
        <f>IF(SETUP!$F$43="Upfront",$E$321*'TB-EQUIPMENT &amp; OTHER HPs'!BA16,0)</f>
        <v>0</v>
      </c>
      <c r="J322" s="919">
        <f t="shared" si="47"/>
        <v>0</v>
      </c>
      <c r="K322" s="920">
        <f>IF(SETUP!$F$43="Upfront",$E$321*'TB-EQUIPMENT &amp; OTHER HPs'!BB16,0)</f>
        <v>0</v>
      </c>
      <c r="L322" s="920">
        <f>IF(SETUP!$F$43="Upfront",$E$321*'TB-EQUIPMENT &amp; OTHER HPs'!BC16,0)</f>
        <v>0</v>
      </c>
      <c r="M322" s="920">
        <f>IF(SETUP!$F$43="Upfront",$E$321*'TB-EQUIPMENT &amp; OTHER HPs'!BD16,0)</f>
        <v>0</v>
      </c>
      <c r="N322" s="920">
        <f>IF(SETUP!$F$43="Upfront",$E$321*'TB-EQUIPMENT &amp; OTHER HPs'!BE16,0)</f>
        <v>0</v>
      </c>
      <c r="O322" s="917">
        <f t="shared" si="48"/>
        <v>0</v>
      </c>
      <c r="P322" s="915">
        <f>IF(SETUP!$F$43="Upfront",$E$321*'TB-EQUIPMENT &amp; OTHER HPs'!BF16,0)</f>
        <v>0</v>
      </c>
      <c r="Q322" s="915">
        <f>IF(SETUP!$F$43="Upfront",$E$321*'TB-EQUIPMENT &amp; OTHER HPs'!BG16,0)</f>
        <v>0</v>
      </c>
      <c r="R322" s="915">
        <f>IF(SETUP!$F$43="Upfront",$E$321*'TB-EQUIPMENT &amp; OTHER HPs'!BH16,0)</f>
        <v>0</v>
      </c>
      <c r="S322" s="915">
        <f>IF(SETUP!$F$43="Upfront",$E$321*'TB-EQUIPMENT &amp; OTHER HPs'!BI16,0)</f>
        <v>0</v>
      </c>
      <c r="T322" s="934">
        <f t="shared" si="49"/>
        <v>0</v>
      </c>
      <c r="U322" s="915">
        <f t="shared" si="50"/>
        <v>0</v>
      </c>
      <c r="V322" s="1316">
        <v>7.6</v>
      </c>
      <c r="W322" s="1995"/>
      <c r="X322" s="1341"/>
    </row>
    <row r="323" spans="1:24" s="665" customFormat="1" ht="15" hidden="1" customHeight="1" outlineLevel="1">
      <c r="A323" s="3186"/>
      <c r="B323" s="3187"/>
      <c r="C323" s="3182" t="s">
        <v>36</v>
      </c>
      <c r="D323" s="3182"/>
      <c r="E323" s="1246"/>
      <c r="F323" s="966">
        <v>0</v>
      </c>
      <c r="G323" s="921">
        <f>IF(SETUP!$F$43="At delivery",IF(SETUP!$G$43=1,$E$321*'TB-EQUIPMENT &amp; OTHER HPs'!AX16,0),0)</f>
        <v>0</v>
      </c>
      <c r="H323" s="920">
        <f>IF(SETUP!$F$43="At delivery",IF(SETUP!$G$43=2,$E$321*'TB-EQUIPMENT &amp; OTHER HPs'!AX16,IF(SETUP!$G$43=1,$E$321*'TB-EQUIPMENT &amp; OTHER HPs'!AY16,0)),0)</f>
        <v>0</v>
      </c>
      <c r="I323" s="920">
        <f>IF(SETUP!$F$43="At delivery",IF(SETUP!$G$43=3,$E$321*'TB-EQUIPMENT &amp; OTHER HPs'!AX16,IF(SETUP!$G$43=2,$E$321*'TB-EQUIPMENT &amp; OTHER HPs'!AY16,IF(SETUP!$G$43=1,$E$321*'TB-EQUIPMENT &amp; OTHER HPs'!AZ16,0))),0)</f>
        <v>0</v>
      </c>
      <c r="J323" s="919">
        <f t="shared" si="47"/>
        <v>0</v>
      </c>
      <c r="K323" s="920">
        <f>IF(SETUP!$F$43="At delivery",IF(SETUP!$G$43=4,$E$321*'TB-EQUIPMENT &amp; OTHER HPs'!AX16,IF(SETUP!$G$43=3,$E$321*'TB-EQUIPMENT &amp; OTHER HPs'!AY16,IF(SETUP!$G$43=2,$E$321*'TB-EQUIPMENT &amp; OTHER HPs'!AZ16,IF(SETUP!$G$43=1,$E$321*'TB-EQUIPMENT &amp; OTHER HPs'!BA16,0)))),0)</f>
        <v>0</v>
      </c>
      <c r="L323" s="920">
        <f>IF(SETUP!$F$43="At delivery",IF(SETUP!$G$43=4,$E$321*'TB-EQUIPMENT &amp; OTHER HPs'!AY16,IF(SETUP!$G$43=3,$E$321*'TB-EQUIPMENT &amp; OTHER HPs'!AZ16,IF(SETUP!$G$43=2,$E$321*'TB-EQUIPMENT &amp; OTHER HPs'!BA16,IF(SETUP!$G$43=1,$E$321*'TB-EQUIPMENT &amp; OTHER HPs'!BB16,0)))),0)</f>
        <v>0</v>
      </c>
      <c r="M323" s="920">
        <f>IF(SETUP!$F$43="At delivery",IF(SETUP!$G$43=4,$E$321*'TB-EQUIPMENT &amp; OTHER HPs'!AZ16,IF(SETUP!$G$43=3,$E$321*'TB-EQUIPMENT &amp; OTHER HPs'!BA16,IF(SETUP!$G$43=2,$E$321*'TB-EQUIPMENT &amp; OTHER HPs'!BB16,IF(SETUP!$G$43=1,$E$321*'TB-EQUIPMENT &amp; OTHER HPs'!BC16,0)))),0)</f>
        <v>0</v>
      </c>
      <c r="N323" s="920">
        <f>IF(SETUP!$F$43="At delivery",IF(SETUP!$G$43=4,$E$321*'TB-EQUIPMENT &amp; OTHER HPs'!BA16,IF(SETUP!$G$43=3,$E$321*'TB-EQUIPMENT &amp; OTHER HPs'!BB16,IF(SETUP!$G$43=2,$E$321*'TB-EQUIPMENT &amp; OTHER HPs'!BC16,IF(SETUP!$G$43=1,$E$321*'TB-EQUIPMENT &amp; OTHER HPs'!BD16,0)))),0)</f>
        <v>0</v>
      </c>
      <c r="O323" s="917">
        <f t="shared" si="48"/>
        <v>0</v>
      </c>
      <c r="P323" s="915">
        <f>IF(SETUP!$F$43="At delivery",IF(SETUP!$G$43=4,$E$321*'TB-EQUIPMENT &amp; OTHER HPs'!BB16,IF(SETUP!$G$43=3,$E$321*'TB-EQUIPMENT &amp; OTHER HPs'!BC16,IF(SETUP!$G$43=2,$E$321*'TB-EQUIPMENT &amp; OTHER HPs'!BD16,IF(SETUP!$G$43=1,$E$321*'TB-EQUIPMENT &amp; OTHER HPs'!BE16,0)))),0)</f>
        <v>0</v>
      </c>
      <c r="Q323" s="915">
        <f>IF(SETUP!$F$43="At delivery",IF(SETUP!$G$43=4,$E$321*'TB-EQUIPMENT &amp; OTHER HPs'!BC16,IF(SETUP!$G$43=3,$E$321*'TB-EQUIPMENT &amp; OTHER HPs'!BD16,IF(SETUP!$G$43=2,$E$321*'TB-EQUIPMENT &amp; OTHER HPs'!BE16,IF(SETUP!$G$43=1,$E$321*'TB-EQUIPMENT &amp; OTHER HPs'!BF16,0)))),0)</f>
        <v>0</v>
      </c>
      <c r="R323" s="915">
        <f>IF(SETUP!$F$43="At delivery",IF(SETUP!$G$43=4,$E$321*'TB-EQUIPMENT &amp; OTHER HPs'!BD16,IF(SETUP!$G$43=3,$E$321*'TB-EQUIPMENT &amp; OTHER HPs'!BE16,IF(SETUP!$G$43=2,$E$321*'TB-EQUIPMENT &amp; OTHER HPs'!BF16,IF(SETUP!$G$43=1,$E$321*'TB-EQUIPMENT &amp; OTHER HPs'!BG16,0)))),0)</f>
        <v>0</v>
      </c>
      <c r="S323" s="915">
        <f>IF(SETUP!$F$43="At delivery",IF(SETUP!$G$43=4,$E$321*('TB-EQUIPMENT &amp; OTHER HPs'!BE16+'TB-EQUIPMENT &amp; OTHER HPs'!BF16+'TB-EQUIPMENT &amp; OTHER HPs'!BG16+'TB-EQUIPMENT &amp; OTHER HPs'!BH16+'TB-EQUIPMENT &amp; OTHER HPs'!BI16),IF(SETUP!$G$43=3,$E$321*('TB-EQUIPMENT &amp; OTHER HPs'!BF16+'TB-EQUIPMENT &amp; OTHER HPs'!BG16+'TB-EQUIPMENT &amp; OTHER HPs'!BH16+'TB-EQUIPMENT &amp; OTHER HPs'!BI16),IF(SETUP!$G$43=2,$E$321*('TB-EQUIPMENT &amp; OTHER HPs'!BG16+'TB-EQUIPMENT &amp; OTHER HPs'!BH16+'TB-EQUIPMENT &amp; OTHER HPs'!BI16),IF(SETUP!$G$43=1,$E$321*('TB-EQUIPMENT &amp; OTHER HPs'!BH16+'TB-EQUIPMENT &amp; OTHER HPs'!BI16),0)))),0)</f>
        <v>0</v>
      </c>
      <c r="T323" s="934">
        <f t="shared" si="49"/>
        <v>0</v>
      </c>
      <c r="U323" s="915">
        <f t="shared" si="50"/>
        <v>0</v>
      </c>
      <c r="V323" s="1316">
        <v>7.6</v>
      </c>
      <c r="W323" s="1995"/>
      <c r="X323" s="1341"/>
    </row>
    <row r="324" spans="1:24" s="665" customFormat="1" ht="15" hidden="1" customHeight="1" collapsed="1" thickBot="1">
      <c r="A324" s="3186"/>
      <c r="B324" s="3187"/>
      <c r="C324" s="3188" t="s">
        <v>449</v>
      </c>
      <c r="D324" s="3188"/>
      <c r="E324" s="1245">
        <v>0</v>
      </c>
      <c r="F324" s="966">
        <f>IF(SETUP!$F$44="Upfront",F325,F326)</f>
        <v>0</v>
      </c>
      <c r="G324" s="921">
        <f>IF(SETUP!$F$44="Upfront",G325,G326)</f>
        <v>0</v>
      </c>
      <c r="H324" s="920">
        <f>IF(SETUP!$F$44="Upfront",H325,H326)</f>
        <v>0</v>
      </c>
      <c r="I324" s="920">
        <f>IF(SETUP!$F$44="Upfront",I325,I326)</f>
        <v>0</v>
      </c>
      <c r="J324" s="919">
        <f t="shared" si="47"/>
        <v>0</v>
      </c>
      <c r="K324" s="920">
        <f>IF(SETUP!$F$44="Upfront",K325,K326)</f>
        <v>0</v>
      </c>
      <c r="L324" s="920">
        <f>IF(SETUP!$F$44="Upfront",L325,L326)</f>
        <v>0</v>
      </c>
      <c r="M324" s="920">
        <f>IF(SETUP!$F$44="Upfront",M325,M326)</f>
        <v>0</v>
      </c>
      <c r="N324" s="920">
        <f>IF(SETUP!$F$44="Upfront",N325,N326)</f>
        <v>0</v>
      </c>
      <c r="O324" s="917">
        <f t="shared" si="48"/>
        <v>0</v>
      </c>
      <c r="P324" s="915">
        <f>IF(SETUP!$F$44="Upfront",P325,P326)</f>
        <v>0</v>
      </c>
      <c r="Q324" s="915">
        <f>IF(SETUP!$F$44="Upfront",Q325,Q326)</f>
        <v>0</v>
      </c>
      <c r="R324" s="915">
        <f>IF(SETUP!$F$44="Upfront",R325,R326)</f>
        <v>0</v>
      </c>
      <c r="S324" s="915">
        <f>IF(SETUP!$F$44="Upfront",S325,S326)</f>
        <v>0</v>
      </c>
      <c r="T324" s="934">
        <f t="shared" si="49"/>
        <v>0</v>
      </c>
      <c r="U324" s="915">
        <f t="shared" si="50"/>
        <v>0</v>
      </c>
      <c r="V324" s="1316">
        <v>7.6</v>
      </c>
      <c r="W324" s="1995"/>
      <c r="X324" s="1341"/>
    </row>
    <row r="325" spans="1:24" s="665" customFormat="1" ht="15" hidden="1" customHeight="1" outlineLevel="1">
      <c r="A325" s="3186"/>
      <c r="B325" s="3187"/>
      <c r="C325" s="3182" t="s">
        <v>777</v>
      </c>
      <c r="D325" s="3182"/>
      <c r="E325" s="1246"/>
      <c r="F325" s="966">
        <f>IF(SETUP!$F$44="Upfront",$E$324*'TB-EQUIPMENT &amp; OTHER HPs'!AX17,0)</f>
        <v>0</v>
      </c>
      <c r="G325" s="921">
        <f>IF(SETUP!$F$44="Upfront",$E$324*'TB-EQUIPMENT &amp; OTHER HPs'!AY17,0)</f>
        <v>0</v>
      </c>
      <c r="H325" s="920">
        <f>IF(SETUP!$F$44="Upfront",$E$324*'TB-EQUIPMENT &amp; OTHER HPs'!AZ17,0)</f>
        <v>0</v>
      </c>
      <c r="I325" s="920">
        <f>IF(SETUP!$F$44="Upfront",$E$324*'TB-EQUIPMENT &amp; OTHER HPs'!BA17,0)</f>
        <v>0</v>
      </c>
      <c r="J325" s="919">
        <f t="shared" si="47"/>
        <v>0</v>
      </c>
      <c r="K325" s="920">
        <f>IF(SETUP!$F$44="Upfront",$E$324*'TB-EQUIPMENT &amp; OTHER HPs'!BB17,0)</f>
        <v>0</v>
      </c>
      <c r="L325" s="920">
        <f>IF(SETUP!$F$44="Upfront",$E$324*'TB-EQUIPMENT &amp; OTHER HPs'!BC17,0)</f>
        <v>0</v>
      </c>
      <c r="M325" s="920">
        <f>IF(SETUP!$F$44="Upfront",$E$324*'TB-EQUIPMENT &amp; OTHER HPs'!BD17,0)</f>
        <v>0</v>
      </c>
      <c r="N325" s="920">
        <f>IF(SETUP!$F$44="Upfront",$E$324*'TB-EQUIPMENT &amp; OTHER HPs'!BE17,0)</f>
        <v>0</v>
      </c>
      <c r="O325" s="917">
        <f t="shared" si="48"/>
        <v>0</v>
      </c>
      <c r="P325" s="915">
        <f>IF(SETUP!$F$44="Upfront",$E$324*'TB-EQUIPMENT &amp; OTHER HPs'!BF17,0)</f>
        <v>0</v>
      </c>
      <c r="Q325" s="915">
        <f>IF(SETUP!$F$44="Upfront",$E$324*'TB-EQUIPMENT &amp; OTHER HPs'!BG17,0)</f>
        <v>0</v>
      </c>
      <c r="R325" s="915">
        <f>IF(SETUP!$F$44="Upfront",$E$324*'TB-EQUIPMENT &amp; OTHER HPs'!BH17,0)</f>
        <v>0</v>
      </c>
      <c r="S325" s="915">
        <f>IF(SETUP!$F$44="Upfront",$E$324*'TB-EQUIPMENT &amp; OTHER HPs'!BI17,0)</f>
        <v>0</v>
      </c>
      <c r="T325" s="934">
        <f t="shared" si="49"/>
        <v>0</v>
      </c>
      <c r="U325" s="915">
        <f t="shared" si="50"/>
        <v>0</v>
      </c>
      <c r="V325" s="1316">
        <v>7.6</v>
      </c>
      <c r="W325" s="1995"/>
      <c r="X325" s="1341"/>
    </row>
    <row r="326" spans="1:24" s="665" customFormat="1" ht="15" hidden="1" customHeight="1" outlineLevel="1">
      <c r="A326" s="3186"/>
      <c r="B326" s="3187"/>
      <c r="C326" s="3182" t="s">
        <v>36</v>
      </c>
      <c r="D326" s="3182"/>
      <c r="E326" s="1246"/>
      <c r="F326" s="966">
        <v>0</v>
      </c>
      <c r="G326" s="921">
        <f>IF(SETUP!$F$44="At delivery",IF(SETUP!$G$44=1,$E$324*'TB-EQUIPMENT &amp; OTHER HPs'!AX17,0),0)</f>
        <v>0</v>
      </c>
      <c r="H326" s="920">
        <f>IF(SETUP!$F$44="At delivery",IF(SETUP!$G$44=2,$E$324*'TB-EQUIPMENT &amp; OTHER HPs'!AX17,IF(SETUP!$G$44=1,$E$324*'TB-EQUIPMENT &amp; OTHER HPs'!AY17,0)),0)</f>
        <v>0</v>
      </c>
      <c r="I326" s="920">
        <f>IF(SETUP!$F$44="At delivery",IF(SETUP!$G$44=3,$E$324*'TB-EQUIPMENT &amp; OTHER HPs'!AX17,IF(SETUP!$G$44=2,$E$324*'TB-EQUIPMENT &amp; OTHER HPs'!AY17,IF(SETUP!$G$44=1,$E$324*'TB-EQUIPMENT &amp; OTHER HPs'!AZ17,0))),0)</f>
        <v>0</v>
      </c>
      <c r="J326" s="919">
        <f t="shared" si="47"/>
        <v>0</v>
      </c>
      <c r="K326" s="920">
        <f>IF(SETUP!$F$44="At delivery",IF(SETUP!$G$44=4,$E$324*'TB-EQUIPMENT &amp; OTHER HPs'!AX17,IF(SETUP!$G$44=3,$E$324*'TB-EQUIPMENT &amp; OTHER HPs'!AY17,IF(SETUP!$G$44=2,$E$324*'TB-EQUIPMENT &amp; OTHER HPs'!AZ17,IF(SETUP!$G$44=1,$E$324*'TB-EQUIPMENT &amp; OTHER HPs'!BA17,0)))),0)</f>
        <v>0</v>
      </c>
      <c r="L326" s="920">
        <f>IF(SETUP!$F$44="At delivery",IF(SETUP!$G$44=4,$E$324*'TB-EQUIPMENT &amp; OTHER HPs'!AY17,IF(SETUP!$G$44=3,$E$324*'TB-EQUIPMENT &amp; OTHER HPs'!AZ17,IF(SETUP!$G$44=2,$E$324*'TB-EQUIPMENT &amp; OTHER HPs'!BA17,IF(SETUP!$G$44=1,$E$324*'TB-EQUIPMENT &amp; OTHER HPs'!BB17,0)))),0)</f>
        <v>0</v>
      </c>
      <c r="M326" s="920">
        <f>IF(SETUP!$F$44="At delivery",IF(SETUP!$G$44=4,$E$324*'TB-EQUIPMENT &amp; OTHER HPs'!AZ17,IF(SETUP!$G$44=3,$E$324*'TB-EQUIPMENT &amp; OTHER HPs'!BA17,IF(SETUP!$G$44=2,$E$324*'TB-EQUIPMENT &amp; OTHER HPs'!BB17,IF(SETUP!$G$44=1,$E$324*'TB-EQUIPMENT &amp; OTHER HPs'!BC17,0)))),0)</f>
        <v>0</v>
      </c>
      <c r="N326" s="920">
        <f>IF(SETUP!$F$44="At delivery",IF(SETUP!$G$44=4,$E$324*'TB-EQUIPMENT &amp; OTHER HPs'!BA17,IF(SETUP!$G$44=3,$E$324*'TB-EQUIPMENT &amp; OTHER HPs'!BB17,IF(SETUP!$G$44=2,$E$324*'TB-EQUIPMENT &amp; OTHER HPs'!BC17,IF(SETUP!$G$44=1,$E$324*'TB-EQUIPMENT &amp; OTHER HPs'!BD17,0)))),0)</f>
        <v>0</v>
      </c>
      <c r="O326" s="917">
        <f t="shared" si="48"/>
        <v>0</v>
      </c>
      <c r="P326" s="915">
        <f>IF(SETUP!$F$44="At delivery",IF(SETUP!$G$44=4,$E$324*'TB-EQUIPMENT &amp; OTHER HPs'!BB17,IF(SETUP!$G$44=3,$E$324*'TB-EQUIPMENT &amp; OTHER HPs'!BC17,IF(SETUP!$G$44=2,$E$324*'TB-EQUIPMENT &amp; OTHER HPs'!BD17,IF(SETUP!$G$44=1,$E$324*'TB-EQUIPMENT &amp; OTHER HPs'!BE17,0)))),0)</f>
        <v>0</v>
      </c>
      <c r="Q326" s="915">
        <f>IF(SETUP!$F$44="At delivery",IF(SETUP!$G$44=4,$E$324*'TB-EQUIPMENT &amp; OTHER HPs'!BC17,IF(SETUP!$G$44=3,$E$324*'TB-EQUIPMENT &amp; OTHER HPs'!BD17,IF(SETUP!$G$44=2,$E$324*'TB-EQUIPMENT &amp; OTHER HPs'!BE17,IF(SETUP!$G$44=1,$E$324*'TB-EQUIPMENT &amp; OTHER HPs'!BF17,0)))),0)</f>
        <v>0</v>
      </c>
      <c r="R326" s="915">
        <f>IF(SETUP!$F$44="At delivery",IF(SETUP!$G$44=4,$E$324*'TB-EQUIPMENT &amp; OTHER HPs'!BD17,IF(SETUP!$G$44=3,$E$324*'TB-EQUIPMENT &amp; OTHER HPs'!BE17,IF(SETUP!$G$44=2,$E$324*'TB-EQUIPMENT &amp; OTHER HPs'!BF17,IF(SETUP!$G$44=1,$E$324*'TB-EQUIPMENT &amp; OTHER HPs'!BG17,0)))),0)</f>
        <v>0</v>
      </c>
      <c r="S326" s="915">
        <f>IF(SETUP!$F$44="At delivery",IF(SETUP!$G$44=4,$E$324*('TB-EQUIPMENT &amp; OTHER HPs'!BE17+'TB-EQUIPMENT &amp; OTHER HPs'!BF17+'TB-EQUIPMENT &amp; OTHER HPs'!BG17+'TB-EQUIPMENT &amp; OTHER HPs'!BH17+'TB-EQUIPMENT &amp; OTHER HPs'!BI17),IF(SETUP!$G$44=3,$E$324*('TB-EQUIPMENT &amp; OTHER HPs'!BF17+'TB-EQUIPMENT &amp; OTHER HPs'!BG17+'TB-EQUIPMENT &amp; OTHER HPs'!BH17+'TB-EQUIPMENT &amp; OTHER HPs'!BI17),IF(SETUP!$G$44=2,$E$324*('TB-EQUIPMENT &amp; OTHER HPs'!BG17+'TB-EQUIPMENT &amp; OTHER HPs'!BH17+'TB-EQUIPMENT &amp; OTHER HPs'!BI17),IF(SETUP!$G$44=1,$E$324*('TB-EQUIPMENT &amp; OTHER HPs'!BH17+'TB-EQUIPMENT &amp; OTHER HPs'!BI17),0)))),0)</f>
        <v>0</v>
      </c>
      <c r="T326" s="934">
        <f t="shared" si="49"/>
        <v>0</v>
      </c>
      <c r="U326" s="915">
        <f t="shared" si="50"/>
        <v>0</v>
      </c>
      <c r="V326" s="1316">
        <v>7.6</v>
      </c>
      <c r="W326" s="1995"/>
      <c r="X326" s="1341"/>
    </row>
    <row r="327" spans="1:24" s="665" customFormat="1" ht="15" hidden="1" customHeight="1" collapsed="1" thickBot="1">
      <c r="A327" s="3189" t="s">
        <v>450</v>
      </c>
      <c r="B327" s="3190"/>
      <c r="C327" s="3183" t="s">
        <v>451</v>
      </c>
      <c r="D327" s="3183"/>
      <c r="E327" s="1245">
        <v>0</v>
      </c>
      <c r="F327" s="966">
        <f>IF(SETUP!$F$50="Upfront",F328,F329)</f>
        <v>0</v>
      </c>
      <c r="G327" s="915">
        <f>IF(SETUP!$F$50="Upfront",G328,G329)</f>
        <v>0</v>
      </c>
      <c r="H327" s="915">
        <f>IF(SETUP!$F$50="Upfront",H328,H329)</f>
        <v>0</v>
      </c>
      <c r="I327" s="915">
        <f>IF(SETUP!$F$50="Upfront",I328,I329)</f>
        <v>0</v>
      </c>
      <c r="J327" s="919">
        <f t="shared" si="47"/>
        <v>0</v>
      </c>
      <c r="K327" s="915">
        <f>IF(SETUP!$F$50="Upfront",K328,K329)</f>
        <v>0</v>
      </c>
      <c r="L327" s="915">
        <f>IF(SETUP!$F$50="Upfront",L328,L329)</f>
        <v>0</v>
      </c>
      <c r="M327" s="915">
        <f>IF(SETUP!$F$50="Upfront",M328,M329)</f>
        <v>0</v>
      </c>
      <c r="N327" s="915">
        <f>IF(SETUP!$F$50="Upfront",N328,N329)</f>
        <v>0</v>
      </c>
      <c r="O327" s="917">
        <f t="shared" si="48"/>
        <v>0</v>
      </c>
      <c r="P327" s="915">
        <f>IF(SETUP!$F$50="Upfront",P328,P329)</f>
        <v>0</v>
      </c>
      <c r="Q327" s="915">
        <f>IF(SETUP!$F$50="Upfront",Q328,Q329)</f>
        <v>0</v>
      </c>
      <c r="R327" s="915">
        <f>IF(SETUP!$F$50="Upfront",R328,R329)</f>
        <v>0</v>
      </c>
      <c r="S327" s="915">
        <f>IF(SETUP!$F$50="Upfront",S328,S329)</f>
        <v>0</v>
      </c>
      <c r="T327" s="934">
        <f t="shared" si="49"/>
        <v>0</v>
      </c>
      <c r="U327" s="915">
        <f t="shared" si="50"/>
        <v>0</v>
      </c>
      <c r="V327" s="1316">
        <v>7.6</v>
      </c>
      <c r="W327" s="1995"/>
      <c r="X327" s="1341" t="s">
        <v>452</v>
      </c>
    </row>
    <row r="328" spans="1:24" s="665" customFormat="1" ht="15" hidden="1" customHeight="1" outlineLevel="1">
      <c r="A328" s="3189"/>
      <c r="B328" s="3190"/>
      <c r="C328" s="3182" t="s">
        <v>777</v>
      </c>
      <c r="D328" s="3182"/>
      <c r="E328" s="1246"/>
      <c r="F328" s="966">
        <f>IF(SETUP!$F$50="Upfront",$E$327*'Malaria-Pharmaceuticals'!AX14,0)</f>
        <v>0</v>
      </c>
      <c r="G328" s="921">
        <f>IF(SETUP!$F$50="Upfront",$E$327*'Malaria-Pharmaceuticals'!AY14,0)</f>
        <v>0</v>
      </c>
      <c r="H328" s="920">
        <f>IF(SETUP!$F$50="Upfront",$E$327*'Malaria-Pharmaceuticals'!AZ14,0)</f>
        <v>0</v>
      </c>
      <c r="I328" s="920">
        <f>IF(SETUP!$F$50="Upfront",$E$327*'Malaria-Pharmaceuticals'!BA14,0)</f>
        <v>0</v>
      </c>
      <c r="J328" s="919">
        <f t="shared" si="47"/>
        <v>0</v>
      </c>
      <c r="K328" s="920">
        <f>IF(SETUP!$F$50="Upfront",$E$327*'Malaria-Pharmaceuticals'!BB14,0)</f>
        <v>0</v>
      </c>
      <c r="L328" s="920">
        <f>IF(SETUP!$F$50="Upfront",$E$327*'Malaria-Pharmaceuticals'!BC14,0)</f>
        <v>0</v>
      </c>
      <c r="M328" s="920">
        <f>IF(SETUP!$F$50="Upfront",$E$327*'Malaria-Pharmaceuticals'!BD14,0)</f>
        <v>0</v>
      </c>
      <c r="N328" s="920">
        <f>IF(SETUP!$F$50="Upfront",$E$327*'Malaria-Pharmaceuticals'!BE14,0)</f>
        <v>0</v>
      </c>
      <c r="O328" s="917">
        <f t="shared" si="48"/>
        <v>0</v>
      </c>
      <c r="P328" s="920">
        <f>IF(SETUP!$F$50="Upfront",$E$327*'Malaria-Pharmaceuticals'!BF14,0)</f>
        <v>0</v>
      </c>
      <c r="Q328" s="920">
        <f>IF(SETUP!$F$50="Upfront",$E$327*'Malaria-Pharmaceuticals'!BG14,0)</f>
        <v>0</v>
      </c>
      <c r="R328" s="920">
        <f>IF(SETUP!$F$50="Upfront",$E$327*'Malaria-Pharmaceuticals'!BH14,0)</f>
        <v>0</v>
      </c>
      <c r="S328" s="920">
        <f>IF(SETUP!$F$50="Upfront",$E$327*'Malaria-Pharmaceuticals'!BI14,0)</f>
        <v>0</v>
      </c>
      <c r="T328" s="934">
        <f t="shared" si="49"/>
        <v>0</v>
      </c>
      <c r="U328" s="915">
        <f t="shared" si="50"/>
        <v>0</v>
      </c>
      <c r="V328" s="1316"/>
      <c r="W328" s="1995"/>
      <c r="X328" s="1341"/>
    </row>
    <row r="329" spans="1:24" s="665" customFormat="1" ht="15" hidden="1" customHeight="1" outlineLevel="1">
      <c r="A329" s="3189"/>
      <c r="B329" s="3190"/>
      <c r="C329" s="3182" t="s">
        <v>36</v>
      </c>
      <c r="D329" s="3182"/>
      <c r="E329" s="1246"/>
      <c r="F329" s="966">
        <v>0</v>
      </c>
      <c r="G329" s="921">
        <f>IF(SETUP!$F$50="At delivery",IF(SETUP!$G$50=1,$E$327*'Malaria-Pharmaceuticals'!AX14,0),0)</f>
        <v>0</v>
      </c>
      <c r="H329" s="920">
        <f>IF(SETUP!$F$50="At delivery",IF(SETUP!$G$50=2,$E$327*'Malaria-Pharmaceuticals'!AX14,IF(SETUP!$G$50=1,$E$327*'Malaria-Pharmaceuticals'!AY14,0)),0)</f>
        <v>0</v>
      </c>
      <c r="I329" s="920">
        <f>IF(SETUP!$F$50="At delivery",IF(SETUP!$G$50=3,$E$327*'Malaria-Pharmaceuticals'!AX14,IF(SETUP!$G$50=2,$E$327*'Malaria-Pharmaceuticals'!AY14,IF(SETUP!$G$50=1,$E$327*'Malaria-Pharmaceuticals'!AZ14,0))),0)</f>
        <v>0</v>
      </c>
      <c r="J329" s="919">
        <f t="shared" ref="J329:J351" si="51">F329+G329+H329+I329</f>
        <v>0</v>
      </c>
      <c r="K329" s="920">
        <f>IF(SETUP!$F$50="At delivery",IF(SETUP!$G$50=4,$E$327*'Malaria-Pharmaceuticals'!AX14,IF(SETUP!$G$50=3,$E$327*'Malaria-Pharmaceuticals'!AY14,IF(SETUP!$G$50=2,$E$327*'Malaria-Pharmaceuticals'!AZ14,IF(SETUP!$G$50=1,$E$327*'Malaria-Pharmaceuticals'!BA14,0)))),0)</f>
        <v>0</v>
      </c>
      <c r="L329" s="920">
        <f>IF(SETUP!$F$50="At delivery",IF(SETUP!$G$50=4,$E$327*'Malaria-Pharmaceuticals'!AY14,IF(SETUP!$G$50=3,$E$327*'Malaria-Pharmaceuticals'!AZ14,IF(SETUP!$G$50=2,$E$327*'Malaria-Pharmaceuticals'!BA14,IF(SETUP!$G$50=1,$E$327*'Malaria-Pharmaceuticals'!BB14,0)))),0)</f>
        <v>0</v>
      </c>
      <c r="M329" s="920">
        <f>IF(SETUP!$F$50="At delivery",IF(SETUP!$G$50=4,$E$327*'Malaria-Pharmaceuticals'!AZ14,IF(SETUP!$G$50=3,$E$327*'Malaria-Pharmaceuticals'!BA14,IF(SETUP!$G$50=2,$E$327*'Malaria-Pharmaceuticals'!BB14,IF(SETUP!$G$50=1,$E$327*'Malaria-Pharmaceuticals'!BC14,0)))),0)</f>
        <v>0</v>
      </c>
      <c r="N329" s="920">
        <f>IF(SETUP!$F$50="At delivery",IF(SETUP!$G$50=4,$E$327*'Malaria-Pharmaceuticals'!BA14,IF(SETUP!$G$50=3,$E$327*'Malaria-Pharmaceuticals'!BB14,IF(SETUP!$G$50=2,$E$327*'Malaria-Pharmaceuticals'!BC14,IF(SETUP!$G$50=1,$E$327*'Malaria-Pharmaceuticals'!BD14,0)))),0)</f>
        <v>0</v>
      </c>
      <c r="O329" s="917">
        <f t="shared" ref="O329:O351" si="52">K329+L329+M329+N329</f>
        <v>0</v>
      </c>
      <c r="P329" s="915">
        <f>IF(SETUP!$F$50="At delivery",IF(SETUP!$G$50=4,$E$327*'Malaria-Pharmaceuticals'!BB14,IF(SETUP!$G$50=3,$E$327*'Malaria-Pharmaceuticals'!BC14,IF(SETUP!$G$50=2,$E$327*'Malaria-Pharmaceuticals'!BD14,IF(SETUP!$G$50=1,$E$327*'Malaria-Pharmaceuticals'!BE14,0)))),0)</f>
        <v>0</v>
      </c>
      <c r="Q329" s="915">
        <f>IF(SETUP!$F$50="At delivery",IF(SETUP!$G$50=4,$E$327*'Malaria-Pharmaceuticals'!BC14,IF(SETUP!$G$50=3,$E$327*'Malaria-Pharmaceuticals'!BD14,IF(SETUP!$G$50=2,$E$327*'Malaria-Pharmaceuticals'!BE14,IF(SETUP!$G$50=1,$E$327*'Malaria-Pharmaceuticals'!BF14,0)))),0)</f>
        <v>0</v>
      </c>
      <c r="R329" s="915">
        <f>IF(SETUP!$F$50="At delivery",IF(SETUP!$G$50=4,$E$327*'Malaria-Pharmaceuticals'!BD14,IF(SETUP!$G$50=3,$E$327*'Malaria-Pharmaceuticals'!BE14,IF(SETUP!$G$50=2,$E$327*'Malaria-Pharmaceuticals'!BF14,IF(SETUP!$G$50=1,$E$327*'Malaria-Pharmaceuticals'!BG14,0)))),0)</f>
        <v>0</v>
      </c>
      <c r="S329" s="915">
        <f>IF(SETUP!$F$50="At delivery",IF(SETUP!$G$50=4,$E$327*('Malaria-Pharmaceuticals'!BE14+'Malaria-Pharmaceuticals'!BF14+'Malaria-Pharmaceuticals'!BG14+'Malaria-Pharmaceuticals'!BH14+'Malaria-Pharmaceuticals'!BI14),IF(SETUP!$G$50=3,$E$327*('Malaria-Pharmaceuticals'!BF14+'Malaria-Pharmaceuticals'!BG14+'Malaria-Pharmaceuticals'!BH14+'Malaria-Pharmaceuticals'!BI14),IF(SETUP!$G$50=2,$E$327*('Malaria-Pharmaceuticals'!BG14+'Malaria-Pharmaceuticals'!BH14+'Malaria-Pharmaceuticals'!BI14),IF(SETUP!$G$50=1,$E$327*('Malaria-Pharmaceuticals'!BH14+'Malaria-Pharmaceuticals'!BI14),0)))),0)</f>
        <v>0</v>
      </c>
      <c r="T329" s="934">
        <f t="shared" ref="T329:T351" si="53">P329+Q329+R329+S329</f>
        <v>0</v>
      </c>
      <c r="U329" s="915">
        <f t="shared" ref="U329:U351" si="54">J329+O329+T329</f>
        <v>0</v>
      </c>
      <c r="V329" s="1316"/>
      <c r="W329" s="1995"/>
      <c r="X329" s="1341"/>
    </row>
    <row r="330" spans="1:24" s="665" customFormat="1" ht="15" hidden="1" customHeight="1" collapsed="1" thickBot="1">
      <c r="A330" s="3189"/>
      <c r="B330" s="3190"/>
      <c r="C330" s="3183" t="s">
        <v>453</v>
      </c>
      <c r="D330" s="3183"/>
      <c r="E330" s="1245">
        <v>0</v>
      </c>
      <c r="F330" s="966">
        <f>IF(SETUP!$F$51="Upfront",F331,F332)</f>
        <v>0</v>
      </c>
      <c r="G330" s="915">
        <f>IF(SETUP!$F$51="Upfront",G331,G332)</f>
        <v>0</v>
      </c>
      <c r="H330" s="915">
        <f>IF(SETUP!$F$51="Upfront",H331,H332)</f>
        <v>0</v>
      </c>
      <c r="I330" s="915">
        <f>IF(SETUP!$F$51="Upfront",I331,I332)</f>
        <v>0</v>
      </c>
      <c r="J330" s="919">
        <f t="shared" si="51"/>
        <v>0</v>
      </c>
      <c r="K330" s="915">
        <f>IF(SETUP!$F$51="Upfront",K331,K332)</f>
        <v>0</v>
      </c>
      <c r="L330" s="915">
        <f>IF(SETUP!$F$51="Upfront",L331,L332)</f>
        <v>0</v>
      </c>
      <c r="M330" s="915">
        <f>IF(SETUP!$F$51="Upfront",M331,M332)</f>
        <v>0</v>
      </c>
      <c r="N330" s="915">
        <f>IF(SETUP!$F$51="Upfront",N331,N332)</f>
        <v>0</v>
      </c>
      <c r="O330" s="917">
        <f t="shared" si="52"/>
        <v>0</v>
      </c>
      <c r="P330" s="915">
        <f>IF(SETUP!$F$51="Upfront",P331,P332)</f>
        <v>0</v>
      </c>
      <c r="Q330" s="915">
        <f>IF(SETUP!$F$51="Upfront",Q331,Q332)</f>
        <v>0</v>
      </c>
      <c r="R330" s="915">
        <f>IF(SETUP!$F$51="Upfront",R331,R332)</f>
        <v>0</v>
      </c>
      <c r="S330" s="915">
        <f>IF(SETUP!$F$51="Upfront",S331,S332)</f>
        <v>0</v>
      </c>
      <c r="T330" s="934">
        <f t="shared" si="53"/>
        <v>0</v>
      </c>
      <c r="U330" s="915">
        <f t="shared" si="54"/>
        <v>0</v>
      </c>
      <c r="V330" s="1316">
        <v>7.6</v>
      </c>
      <c r="W330" s="1995"/>
      <c r="X330" s="1341"/>
    </row>
    <row r="331" spans="1:24" s="665" customFormat="1" ht="15" hidden="1" customHeight="1" outlineLevel="1">
      <c r="A331" s="3189"/>
      <c r="B331" s="3190"/>
      <c r="C331" s="3182" t="s">
        <v>777</v>
      </c>
      <c r="D331" s="3182"/>
      <c r="E331" s="1246"/>
      <c r="F331" s="966">
        <f>IF(SETUP!$F$51="Upfront",$E$330*'Malaria-Pharmaceuticals'!AX15,0)</f>
        <v>0</v>
      </c>
      <c r="G331" s="915">
        <f>IF(SETUP!$F$51="Upfront",$E$330*'Malaria-Pharmaceuticals'!AY15,0)</f>
        <v>0</v>
      </c>
      <c r="H331" s="915">
        <f>IF(SETUP!$F$51="Upfront",$E$330*'Malaria-Pharmaceuticals'!AZ15,0)</f>
        <v>0</v>
      </c>
      <c r="I331" s="915">
        <f>IF(SETUP!$F$51="Upfront",$E$330*'Malaria-Pharmaceuticals'!BA15,0)</f>
        <v>0</v>
      </c>
      <c r="J331" s="919">
        <f t="shared" si="51"/>
        <v>0</v>
      </c>
      <c r="K331" s="915">
        <f>IF(SETUP!$F$51="Upfront",$E$330*'Malaria-Pharmaceuticals'!BB15,0)</f>
        <v>0</v>
      </c>
      <c r="L331" s="915">
        <f>IF(SETUP!$F$51="Upfront",$E$330*'Malaria-Pharmaceuticals'!BC15,0)</f>
        <v>0</v>
      </c>
      <c r="M331" s="915">
        <f>IF(SETUP!$F$51="Upfront",$E$330*'Malaria-Pharmaceuticals'!BD15,0)</f>
        <v>0</v>
      </c>
      <c r="N331" s="915">
        <f>IF(SETUP!$F$51="Upfront",$E$330*'Malaria-Pharmaceuticals'!BE15,0)</f>
        <v>0</v>
      </c>
      <c r="O331" s="917">
        <f t="shared" si="52"/>
        <v>0</v>
      </c>
      <c r="P331" s="915">
        <f>IF(SETUP!$F$51="Upfront",$E$330*'Malaria-Pharmaceuticals'!BF15,0)</f>
        <v>0</v>
      </c>
      <c r="Q331" s="915">
        <f>IF(SETUP!$F$51="Upfront",$E$330*'Malaria-Pharmaceuticals'!BG15,0)</f>
        <v>0</v>
      </c>
      <c r="R331" s="915">
        <f>IF(SETUP!$F$51="Upfront",$E$330*'Malaria-Pharmaceuticals'!BH15,0)</f>
        <v>0</v>
      </c>
      <c r="S331" s="915">
        <f>IF(SETUP!$F$51="Upfront",$E$330*'Malaria-Pharmaceuticals'!BI15,0)</f>
        <v>0</v>
      </c>
      <c r="T331" s="934">
        <f t="shared" si="53"/>
        <v>0</v>
      </c>
      <c r="U331" s="915">
        <f t="shared" si="54"/>
        <v>0</v>
      </c>
      <c r="V331" s="1316"/>
      <c r="W331" s="1995"/>
      <c r="X331" s="1341"/>
    </row>
    <row r="332" spans="1:24" s="665" customFormat="1" ht="15" hidden="1" customHeight="1" outlineLevel="1">
      <c r="A332" s="3189"/>
      <c r="B332" s="3190"/>
      <c r="C332" s="3182" t="s">
        <v>36</v>
      </c>
      <c r="D332" s="3182"/>
      <c r="E332" s="1246"/>
      <c r="F332" s="966">
        <v>0</v>
      </c>
      <c r="G332" s="921">
        <f>IF(SETUP!$F$51="At delivery",IF(SETUP!$G$51=1,$E$330*'Malaria-Pharmaceuticals'!AX15,0),0)</f>
        <v>0</v>
      </c>
      <c r="H332" s="920">
        <f>IF(SETUP!$F$51="At delivery",IF(SETUP!$G$51=2,$E$330*'Malaria-Pharmaceuticals'!AX15,IF(SETUP!$G$51=1,$E$330*'Malaria-Pharmaceuticals'!AY15,0)),0)</f>
        <v>0</v>
      </c>
      <c r="I332" s="920">
        <f>IF(SETUP!$F$51="At delivery",IF(SETUP!$G$51=3,$E$330*'Malaria-Pharmaceuticals'!AX15,IF(SETUP!$G$51=2,$E$330*'Malaria-Pharmaceuticals'!AY15,IF(SETUP!$G$51=1,$E$330*'Malaria-Pharmaceuticals'!AZ15,0))),0)</f>
        <v>0</v>
      </c>
      <c r="J332" s="919">
        <f t="shared" si="51"/>
        <v>0</v>
      </c>
      <c r="K332" s="920">
        <f>IF(SETUP!$F$51="At delivery",IF(SETUP!$G$51=4,$E$330*'Malaria-Pharmaceuticals'!AX15,IF(SETUP!$G$51=3,$E$330*'Malaria-Pharmaceuticals'!AY15,IF(SETUP!$G$51=2,$E$330*'Malaria-Pharmaceuticals'!AZ15,IF(SETUP!$G$51=1,$E$330*'Malaria-Pharmaceuticals'!BA15,0)))),0)</f>
        <v>0</v>
      </c>
      <c r="L332" s="920">
        <f>IF(SETUP!$F$51="At delivery",IF(SETUP!$G$51=4,$E$330*'Malaria-Pharmaceuticals'!AY15,IF(SETUP!$G$51=3,$E$330*'Malaria-Pharmaceuticals'!AZ15,IF(SETUP!$G$51=2,$E$330*'Malaria-Pharmaceuticals'!BA15,IF(SETUP!$G$51=1,$E$330*'Malaria-Pharmaceuticals'!BB15,0)))),0)</f>
        <v>0</v>
      </c>
      <c r="M332" s="920">
        <f>IF(SETUP!$F$51="At delivery",IF(SETUP!$G$51=4,$E$330*'Malaria-Pharmaceuticals'!AZ15,IF(SETUP!$G$51=3,$E$330*'Malaria-Pharmaceuticals'!BA15,IF(SETUP!$G$51=2,$E$330*'Malaria-Pharmaceuticals'!BB15,IF(SETUP!$G$51=1,$E$330*'Malaria-Pharmaceuticals'!BC15,0)))),0)</f>
        <v>0</v>
      </c>
      <c r="N332" s="920">
        <f>IF(SETUP!$F$51="At delivery",IF(SETUP!$G$51=4,$E$330*'Malaria-Pharmaceuticals'!BA15,IF(SETUP!$G$51=3,$E$330*'Malaria-Pharmaceuticals'!BB15,IF(SETUP!$G$51=2,$E$330*'Malaria-Pharmaceuticals'!BC15,IF(SETUP!$G$51=1,$E$330*'Malaria-Pharmaceuticals'!BD15,0)))),0)</f>
        <v>0</v>
      </c>
      <c r="O332" s="917">
        <f t="shared" si="52"/>
        <v>0</v>
      </c>
      <c r="P332" s="915">
        <f>IF(SETUP!$F$51="At delivery",IF(SETUP!$G$51=4,$E$330*'Malaria-Pharmaceuticals'!BB15,IF(SETUP!$G$51=3,$E$330*'Malaria-Pharmaceuticals'!BC15,IF(SETUP!$G$51=2,$E$330*'Malaria-Pharmaceuticals'!BD15,IF(SETUP!$G$51=1,$E$330*'Malaria-Pharmaceuticals'!BE15,0)))),0)</f>
        <v>0</v>
      </c>
      <c r="Q332" s="915">
        <f>IF(SETUP!$F$51="At delivery",IF(SETUP!$G$51=4,$E$330*'Malaria-Pharmaceuticals'!BC15,IF(SETUP!$G$51=3,$E$330*'Malaria-Pharmaceuticals'!BD15,IF(SETUP!$G$51=2,$E$330*'Malaria-Pharmaceuticals'!BE15,IF(SETUP!$G$51=1,$E$330*'Malaria-Pharmaceuticals'!BF15,0)))),0)</f>
        <v>0</v>
      </c>
      <c r="R332" s="915">
        <f>IF(SETUP!$F$51="At delivery",IF(SETUP!$G$51=4,$E$330*'Malaria-Pharmaceuticals'!BD15,IF(SETUP!$G$51=3,$E$330*'Malaria-Pharmaceuticals'!BE15,IF(SETUP!$G$51=2,$E$330*'Malaria-Pharmaceuticals'!BF15,IF(SETUP!$G$51=1,$E$330*'Malaria-Pharmaceuticals'!BG15,0)))),0)</f>
        <v>0</v>
      </c>
      <c r="S332" s="915">
        <f>IF(SETUP!$F$51="At delivery",IF(SETUP!$G$51=4,$E$330*('Malaria-Pharmaceuticals'!BE15+'Malaria-Pharmaceuticals'!BF15+'Malaria-Pharmaceuticals'!BG15+'Malaria-Pharmaceuticals'!BH15+'Malaria-Pharmaceuticals'!BI15),IF(SETUP!$G$51=3,$E$330*('Malaria-Pharmaceuticals'!BF15+'Malaria-Pharmaceuticals'!BG15+'Malaria-Pharmaceuticals'!BH15+'Malaria-Pharmaceuticals'!BI15),IF(SETUP!$G$51=2,$E$330*('Malaria-Pharmaceuticals'!BG15+'Malaria-Pharmaceuticals'!BH15+'Malaria-Pharmaceuticals'!BI15),IF(SETUP!$G$51=1,$E$330*('Malaria-Pharmaceuticals'!BH15+'Malaria-Pharmaceuticals'!BI15),0)))),0)</f>
        <v>0</v>
      </c>
      <c r="T332" s="934">
        <f t="shared" si="53"/>
        <v>0</v>
      </c>
      <c r="U332" s="915">
        <f t="shared" si="54"/>
        <v>0</v>
      </c>
      <c r="V332" s="1316"/>
      <c r="W332" s="1995"/>
      <c r="X332" s="1341"/>
    </row>
    <row r="333" spans="1:24" s="665" customFormat="1" ht="15" hidden="1" customHeight="1" collapsed="1" thickBot="1">
      <c r="A333" s="3195" t="s">
        <v>454</v>
      </c>
      <c r="B333" s="3196"/>
      <c r="C333" s="3188" t="s">
        <v>292</v>
      </c>
      <c r="D333" s="3188"/>
      <c r="E333" s="1245">
        <v>0</v>
      </c>
      <c r="F333" s="966">
        <f>IF(SETUP!$F$52="Upfront",F334,F335)</f>
        <v>0</v>
      </c>
      <c r="G333" s="915">
        <f>IF(SETUP!$F$52="Upfront",G334,G335)</f>
        <v>0</v>
      </c>
      <c r="H333" s="915">
        <f>IF(SETUP!$F$52="Upfront",H334,H335)</f>
        <v>0</v>
      </c>
      <c r="I333" s="915">
        <f>IF(SETUP!$F$52="Upfront",I334,I335)</f>
        <v>0</v>
      </c>
      <c r="J333" s="919">
        <f t="shared" si="51"/>
        <v>0</v>
      </c>
      <c r="K333" s="915">
        <f>IF(SETUP!$F$52="Upfront",K334,K335)</f>
        <v>0</v>
      </c>
      <c r="L333" s="915">
        <f>IF(SETUP!$F$52="Upfront",L334,L335)</f>
        <v>0</v>
      </c>
      <c r="M333" s="915">
        <f>IF(SETUP!$F$52="Upfront",M334,M335)</f>
        <v>0</v>
      </c>
      <c r="N333" s="915">
        <f>IF(SETUP!$F$52="Upfront",N334,N335)</f>
        <v>0</v>
      </c>
      <c r="O333" s="917">
        <f t="shared" si="52"/>
        <v>0</v>
      </c>
      <c r="P333" s="915">
        <f>IF(SETUP!$F$52="Upfront",P334,P335)</f>
        <v>0</v>
      </c>
      <c r="Q333" s="915">
        <f>IF(SETUP!$F$52="Upfront",Q334,Q335)</f>
        <v>0</v>
      </c>
      <c r="R333" s="915">
        <f>IF(SETUP!$F$52="Upfront",R334,R335)</f>
        <v>0</v>
      </c>
      <c r="S333" s="915">
        <f>IF(SETUP!$F$52="Upfront",S334,S335)</f>
        <v>0</v>
      </c>
      <c r="T333" s="934">
        <f t="shared" si="53"/>
        <v>0</v>
      </c>
      <c r="U333" s="915">
        <f t="shared" si="54"/>
        <v>0</v>
      </c>
      <c r="V333" s="1316">
        <v>7.6</v>
      </c>
      <c r="W333" s="1995"/>
      <c r="X333" s="1341"/>
    </row>
    <row r="334" spans="1:24" s="665" customFormat="1" ht="15" hidden="1" customHeight="1" outlineLevel="1">
      <c r="A334" s="3197"/>
      <c r="B334" s="3198"/>
      <c r="C334" s="3182" t="s">
        <v>777</v>
      </c>
      <c r="D334" s="3182"/>
      <c r="E334" s="1246"/>
      <c r="F334" s="966">
        <f>IF(SETUP!$F$52="Upfront",$E$333*'Malaria-Equipment &amp; Other HPs'!AX14,0)</f>
        <v>0</v>
      </c>
      <c r="G334" s="915">
        <f>IF(SETUP!$F$52="Upfront",$E$333*'Malaria-Equipment &amp; Other HPs'!AY14,0)</f>
        <v>0</v>
      </c>
      <c r="H334" s="915">
        <f>IF(SETUP!$F$52="Upfront",$E$333*'Malaria-Equipment &amp; Other HPs'!AZ14,0)</f>
        <v>0</v>
      </c>
      <c r="I334" s="915">
        <f>IF(SETUP!$F$52="Upfront",$E$333*'Malaria-Equipment &amp; Other HPs'!BA14,0)</f>
        <v>0</v>
      </c>
      <c r="J334" s="919">
        <f t="shared" si="51"/>
        <v>0</v>
      </c>
      <c r="K334" s="915">
        <f>IF(SETUP!$F$52="Upfront",$E$333*'Malaria-Equipment &amp; Other HPs'!BB14,0)</f>
        <v>0</v>
      </c>
      <c r="L334" s="915">
        <f>IF(SETUP!$F$52="Upfront",$E$333*'Malaria-Equipment &amp; Other HPs'!BC14,0)</f>
        <v>0</v>
      </c>
      <c r="M334" s="915">
        <f>IF(SETUP!$F$52="Upfront",$E$333*'Malaria-Equipment &amp; Other HPs'!BD14,0)</f>
        <v>0</v>
      </c>
      <c r="N334" s="915">
        <f>IF(SETUP!$F$52="Upfront",$E$333*'Malaria-Equipment &amp; Other HPs'!BE14,0)</f>
        <v>0</v>
      </c>
      <c r="O334" s="917">
        <f t="shared" si="52"/>
        <v>0</v>
      </c>
      <c r="P334" s="915">
        <f>IF(SETUP!$F$52="Upfront",$E$333*'Malaria-Equipment &amp; Other HPs'!BF14,0)</f>
        <v>0</v>
      </c>
      <c r="Q334" s="915">
        <f>IF(SETUP!$F$52="Upfront",$E$333*'Malaria-Equipment &amp; Other HPs'!BG14,0)</f>
        <v>0</v>
      </c>
      <c r="R334" s="915">
        <f>IF(SETUP!$F$52="Upfront",$E$333*'Malaria-Equipment &amp; Other HPs'!BH14,0)</f>
        <v>0</v>
      </c>
      <c r="S334" s="915">
        <f>IF(SETUP!$F$52="Upfront",$E$333*'Malaria-Equipment &amp; Other HPs'!BI14,0)</f>
        <v>0</v>
      </c>
      <c r="T334" s="934">
        <f t="shared" si="53"/>
        <v>0</v>
      </c>
      <c r="U334" s="915">
        <f t="shared" si="54"/>
        <v>0</v>
      </c>
      <c r="V334" s="1316"/>
      <c r="W334" s="1995"/>
      <c r="X334" s="1341"/>
    </row>
    <row r="335" spans="1:24" s="665" customFormat="1" ht="15" hidden="1" customHeight="1" outlineLevel="1">
      <c r="A335" s="3197"/>
      <c r="B335" s="3198"/>
      <c r="C335" s="3182" t="s">
        <v>36</v>
      </c>
      <c r="D335" s="3182"/>
      <c r="E335" s="1246"/>
      <c r="F335" s="966">
        <v>0</v>
      </c>
      <c r="G335" s="921">
        <f>IF(SETUP!$F$52="At delivery",IF(SETUP!$G$52=1,$E$333*'Malaria-Equipment &amp; Other HPs'!AX14,0),0)</f>
        <v>0</v>
      </c>
      <c r="H335" s="920">
        <f>IF(SETUP!$F$52="At delivery",IF(SETUP!$G$52=2,$E$333*'Malaria-Equipment &amp; Other HPs'!AX14,IF(SETUP!$G$52=1,$E$333*'Malaria-Equipment &amp; Other HPs'!AY14,0)),0)</f>
        <v>0</v>
      </c>
      <c r="I335" s="920">
        <f>IF(SETUP!$F$52="At delivery",IF(SETUP!$G$52=3,$E$333*'Malaria-Equipment &amp; Other HPs'!AX14,IF(SETUP!$G$52=2,$E$333*'Malaria-Equipment &amp; Other HPs'!AY14,IF(SETUP!$G$52=1,$E$333*'Malaria-Equipment &amp; Other HPs'!AZ14,0))),0)</f>
        <v>0</v>
      </c>
      <c r="J335" s="919">
        <f t="shared" si="51"/>
        <v>0</v>
      </c>
      <c r="K335" s="920">
        <f>IF(SETUP!$F$52="At delivery",IF(SETUP!$G$52=4,$E$333*'Malaria-Equipment &amp; Other HPs'!AX14,IF(SETUP!$G$52=3,$E$333*'Malaria-Equipment &amp; Other HPs'!AY14,IF(SETUP!$G$52=2,$E$333*'Malaria-Equipment &amp; Other HPs'!AZ14,IF(SETUP!$G$52=1,$E$333*'Malaria-Equipment &amp; Other HPs'!BA14,0)))),0)</f>
        <v>0</v>
      </c>
      <c r="L335" s="920">
        <f>IF(SETUP!$F$52="At delivery",IF(SETUP!$G$52=4,$E$333*'Malaria-Equipment &amp; Other HPs'!AY14,IF(SETUP!$G$52=3,$E$333*'Malaria-Equipment &amp; Other HPs'!AZ14,IF(SETUP!$G$52=2,$E$333*'Malaria-Equipment &amp; Other HPs'!BA14,IF(SETUP!$G$52=1,$E$333*'Malaria-Equipment &amp; Other HPs'!BB14,0)))),0)</f>
        <v>0</v>
      </c>
      <c r="M335" s="920">
        <f>IF(SETUP!$F$52="At delivery",IF(SETUP!$G$52=4,$E$333*'Malaria-Equipment &amp; Other HPs'!AZ14,IF(SETUP!$G$52=3,$E$333*'Malaria-Equipment &amp; Other HPs'!BA14,IF(SETUP!$G$52=2,$E$333*'Malaria-Equipment &amp; Other HPs'!BB14,IF(SETUP!$G$52=1,$E$333*'Malaria-Equipment &amp; Other HPs'!BC14,0)))),0)</f>
        <v>0</v>
      </c>
      <c r="N335" s="920">
        <f>IF(SETUP!$F$52="At delivery",IF(SETUP!$G$52=4,$E$333*'Malaria-Equipment &amp; Other HPs'!BA14,IF(SETUP!$G$52=3,$E$333*'Malaria-Equipment &amp; Other HPs'!BB14,IF(SETUP!$G$52=2,$E$333*'Malaria-Equipment &amp; Other HPs'!BC14,IF(SETUP!$G$52=1,$E$333*'Malaria-Equipment &amp; Other HPs'!BD14,0)))),0)</f>
        <v>0</v>
      </c>
      <c r="O335" s="917">
        <f t="shared" si="52"/>
        <v>0</v>
      </c>
      <c r="P335" s="915">
        <f>IF(SETUP!$F$52="At delivery",IF(SETUP!$G$52=4,$E$333*'Malaria-Equipment &amp; Other HPs'!BB14,IF(SETUP!$G$52=3,$E$333*'Malaria-Equipment &amp; Other HPs'!BC14,IF(SETUP!$G$52=2,$E$333*'Malaria-Equipment &amp; Other HPs'!BD14,IF(SETUP!$G$52=1,$E$333*'Malaria-Equipment &amp; Other HPs'!BE14,0)))),0)</f>
        <v>0</v>
      </c>
      <c r="Q335" s="915">
        <f>IF(SETUP!$F$52="At delivery",IF(SETUP!$G$52=4,$E$333*'Malaria-Equipment &amp; Other HPs'!BC14,IF(SETUP!$G$52=3,$E$333*'Malaria-Equipment &amp; Other HPs'!BD14,IF(SETUP!$G$52=2,$E$333*'Malaria-Equipment &amp; Other HPs'!BE14,IF(SETUP!$G$52=1,$E$333*'Malaria-Equipment &amp; Other HPs'!BF14,0)))),0)</f>
        <v>0</v>
      </c>
      <c r="R335" s="915">
        <f>IF(SETUP!$F$52="At delivery",IF(SETUP!$G$52=4,$E$333*'Malaria-Equipment &amp; Other HPs'!BD14,IF(SETUP!$G$52=3,$E$333*'Malaria-Equipment &amp; Other HPs'!BE14,IF(SETUP!$G$52=2,$E$333*'Malaria-Equipment &amp; Other HPs'!BF14,IF(SETUP!$G$52=1,$E$333*'Malaria-Equipment &amp; Other HPs'!BG14,0)))),0)</f>
        <v>0</v>
      </c>
      <c r="S335" s="915">
        <f>IF(SETUP!$F$52="At delivery",IF(SETUP!$G$52=4,$E$333*('Malaria-Equipment &amp; Other HPs'!BE14+'Malaria-Equipment &amp; Other HPs'!BF14+'Malaria-Equipment &amp; Other HPs'!BG14+'Malaria-Equipment &amp; Other HPs'!BH14+'Malaria-Equipment &amp; Other HPs'!BI14),IF(SETUP!$G$52=3,$E$333*('Malaria-Equipment &amp; Other HPs'!BF14+'Malaria-Equipment &amp; Other HPs'!BG14+'Malaria-Equipment &amp; Other HPs'!BH14+'Malaria-Equipment &amp; Other HPs'!BI14),IF(SETUP!$G$52=2,$E$333*('Malaria-Equipment &amp; Other HPs'!BG14+'Malaria-Equipment &amp; Other HPs'!BH14+'Malaria-Equipment &amp; Other HPs'!BI14),IF(SETUP!$G$52=1,$E$333*('Malaria-Equipment &amp; Other HPs'!BH14+'Malaria-Equipment &amp; Other HPs'!BI14),0)))),0)</f>
        <v>0</v>
      </c>
      <c r="T335" s="934">
        <f t="shared" si="53"/>
        <v>0</v>
      </c>
      <c r="U335" s="915">
        <f t="shared" si="54"/>
        <v>0</v>
      </c>
      <c r="V335" s="1316"/>
      <c r="W335" s="1995"/>
      <c r="X335" s="1341"/>
    </row>
    <row r="336" spans="1:24" s="665" customFormat="1" ht="15" hidden="1" customHeight="1" collapsed="1" thickBot="1">
      <c r="A336" s="3197"/>
      <c r="B336" s="3198"/>
      <c r="C336" s="3188" t="s">
        <v>455</v>
      </c>
      <c r="D336" s="3188"/>
      <c r="E336" s="1245">
        <v>0</v>
      </c>
      <c r="F336" s="966">
        <f>IF(SETUP!$F$53="Upfront",F337,F338)</f>
        <v>0</v>
      </c>
      <c r="G336" s="915">
        <f>IF(SETUP!$F$53="Upfront",G337,G338)</f>
        <v>0</v>
      </c>
      <c r="H336" s="915">
        <f>IF(SETUP!$F$53="Upfront",H337,H338)</f>
        <v>0</v>
      </c>
      <c r="I336" s="915">
        <f>IF(SETUP!$F$53="Upfront",I337,I338)</f>
        <v>0</v>
      </c>
      <c r="J336" s="919">
        <f t="shared" si="51"/>
        <v>0</v>
      </c>
      <c r="K336" s="915">
        <f>IF(SETUP!$F$53="Upfront",K337,K338)</f>
        <v>0</v>
      </c>
      <c r="L336" s="915">
        <f>IF(SETUP!$F$53="Upfront",L337,L338)</f>
        <v>0</v>
      </c>
      <c r="M336" s="915">
        <f>IF(SETUP!$F$53="Upfront",M337,M338)</f>
        <v>0</v>
      </c>
      <c r="N336" s="915">
        <f>IF(SETUP!$F$53="Upfront",N337,N338)</f>
        <v>0</v>
      </c>
      <c r="O336" s="917">
        <f t="shared" si="52"/>
        <v>0</v>
      </c>
      <c r="P336" s="915">
        <f>IF(SETUP!$F$53="Upfront",P337,P338)</f>
        <v>0</v>
      </c>
      <c r="Q336" s="915">
        <f>IF(SETUP!$F$53="Upfront",Q337,Q338)</f>
        <v>0</v>
      </c>
      <c r="R336" s="915">
        <f>IF(SETUP!$F$53="Upfront",R337,R338)</f>
        <v>0</v>
      </c>
      <c r="S336" s="915">
        <f>IF(SETUP!$F$53="Upfront",S337,S338)</f>
        <v>0</v>
      </c>
      <c r="T336" s="934">
        <f t="shared" si="53"/>
        <v>0</v>
      </c>
      <c r="U336" s="915">
        <f t="shared" si="54"/>
        <v>0</v>
      </c>
      <c r="V336" s="1316">
        <v>7.6</v>
      </c>
      <c r="W336" s="1995"/>
      <c r="X336" s="1341"/>
    </row>
    <row r="337" spans="1:24" s="665" customFormat="1" ht="15" hidden="1" customHeight="1" outlineLevel="1">
      <c r="A337" s="3197"/>
      <c r="B337" s="3198"/>
      <c r="C337" s="3182" t="s">
        <v>777</v>
      </c>
      <c r="D337" s="3182"/>
      <c r="E337" s="1246"/>
      <c r="F337" s="966">
        <f>IF(SETUP!$F$53="Upfront",$E$336*'Malaria-Equipment &amp; Other HPs'!AX15,0)</f>
        <v>0</v>
      </c>
      <c r="G337" s="915">
        <f>IF(SETUP!$F$53="Upfront",$E$336*'Malaria-Equipment &amp; Other HPs'!AY15,0)</f>
        <v>0</v>
      </c>
      <c r="H337" s="915">
        <f>IF(SETUP!$F$53="Upfront",$E$336*'Malaria-Equipment &amp; Other HPs'!AZ15,0)</f>
        <v>0</v>
      </c>
      <c r="I337" s="915">
        <f>IF(SETUP!$F$53="Upfront",$E$336*'Malaria-Equipment &amp; Other HPs'!BA15,0)</f>
        <v>0</v>
      </c>
      <c r="J337" s="919">
        <f t="shared" si="51"/>
        <v>0</v>
      </c>
      <c r="K337" s="915">
        <f>IF(SETUP!$F$53="Upfront",$E$336*'Malaria-Equipment &amp; Other HPs'!BB15,0)</f>
        <v>0</v>
      </c>
      <c r="L337" s="915">
        <f>IF(SETUP!$F$53="Upfront",$E$336*'Malaria-Equipment &amp; Other HPs'!BC15,0)</f>
        <v>0</v>
      </c>
      <c r="M337" s="915">
        <f>IF(SETUP!$F$53="Upfront",$E$336*'Malaria-Equipment &amp; Other HPs'!BD15,0)</f>
        <v>0</v>
      </c>
      <c r="N337" s="915">
        <f>IF(SETUP!$F$53="Upfront",$E$336*'Malaria-Equipment &amp; Other HPs'!BE15,0)</f>
        <v>0</v>
      </c>
      <c r="O337" s="917">
        <f t="shared" si="52"/>
        <v>0</v>
      </c>
      <c r="P337" s="915">
        <f>IF(SETUP!$F$53="Upfront",$E$336*'Malaria-Equipment &amp; Other HPs'!BF15,0)</f>
        <v>0</v>
      </c>
      <c r="Q337" s="915">
        <f>IF(SETUP!$F$53="Upfront",$E$336*'Malaria-Equipment &amp; Other HPs'!BG15,0)</f>
        <v>0</v>
      </c>
      <c r="R337" s="915">
        <f>IF(SETUP!$F$53="Upfront",$E$336*'Malaria-Equipment &amp; Other HPs'!BH15,0)</f>
        <v>0</v>
      </c>
      <c r="S337" s="915">
        <f>IF(SETUP!$F$53="Upfront",$E$336*'Malaria-Equipment &amp; Other HPs'!BI15,0)</f>
        <v>0</v>
      </c>
      <c r="T337" s="934">
        <f t="shared" si="53"/>
        <v>0</v>
      </c>
      <c r="U337" s="915">
        <f t="shared" si="54"/>
        <v>0</v>
      </c>
      <c r="V337" s="1316"/>
      <c r="W337" s="1995"/>
      <c r="X337" s="1341"/>
    </row>
    <row r="338" spans="1:24" s="665" customFormat="1" ht="15" hidden="1" customHeight="1" outlineLevel="1">
      <c r="A338" s="3197"/>
      <c r="B338" s="3198"/>
      <c r="C338" s="3182" t="s">
        <v>36</v>
      </c>
      <c r="D338" s="3182"/>
      <c r="E338" s="1246"/>
      <c r="F338" s="966">
        <v>0</v>
      </c>
      <c r="G338" s="921">
        <f>IF(SETUP!$F$53="At delivery",IF(SETUP!$G$53=1,$E$336*'Malaria-Equipment &amp; Other HPs'!AX15,0),0)</f>
        <v>0</v>
      </c>
      <c r="H338" s="920">
        <f>IF(SETUP!$F$53="At delivery",IF(SETUP!$G$53=2,$E$336*'Malaria-Equipment &amp; Other HPs'!AX15,IF(SETUP!$G$53=1,$E$336*'Malaria-Equipment &amp; Other HPs'!AY15,0)),0)</f>
        <v>0</v>
      </c>
      <c r="I338" s="920">
        <f>IF(SETUP!$F$53="At delivery",IF(SETUP!$G$53=3,$E$336*'Malaria-Equipment &amp; Other HPs'!AX15,IF(SETUP!$G$53=2,$E$336*'Malaria-Equipment &amp; Other HPs'!AY15,IF(SETUP!$G$53=1,$E$336*'Malaria-Equipment &amp; Other HPs'!AZ15,0))),0)</f>
        <v>0</v>
      </c>
      <c r="J338" s="919">
        <f t="shared" si="51"/>
        <v>0</v>
      </c>
      <c r="K338" s="920">
        <f>IF(SETUP!$F$53="At delivery",IF(SETUP!$G$53=4,$E$336*'Malaria-Equipment &amp; Other HPs'!AX15,IF(SETUP!$G$53=3,$E$336*'Malaria-Equipment &amp; Other HPs'!AY15,IF(SETUP!$G$53=2,$E$336*'Malaria-Equipment &amp; Other HPs'!AZ15,IF(SETUP!$G$53=1,$E$336*'Malaria-Equipment &amp; Other HPs'!BA15,0)))),0)</f>
        <v>0</v>
      </c>
      <c r="L338" s="920">
        <f>IF(SETUP!$F$53="At delivery",IF(SETUP!$G$53=4,$E$336*'Malaria-Equipment &amp; Other HPs'!AY15,IF(SETUP!$G$53=3,$E$336*'Malaria-Equipment &amp; Other HPs'!AZ15,IF(SETUP!$G$53=2,$E$336*'Malaria-Equipment &amp; Other HPs'!BA15,IF(SETUP!$G$53=1,$E$336*'Malaria-Equipment &amp; Other HPs'!BB15,0)))),0)</f>
        <v>0</v>
      </c>
      <c r="M338" s="920">
        <f>IF(SETUP!$F$53="At delivery",IF(SETUP!$G$53=4,$E$336*'Malaria-Equipment &amp; Other HPs'!AZ15,IF(SETUP!$G$53=3,$E$336*'Malaria-Equipment &amp; Other HPs'!BA15,IF(SETUP!$G$53=2,$E$336*'Malaria-Equipment &amp; Other HPs'!BB15,IF(SETUP!$G$53=1,$E$336*'Malaria-Equipment &amp; Other HPs'!BC15,0)))),0)</f>
        <v>0</v>
      </c>
      <c r="N338" s="920">
        <f>IF(SETUP!$F$53="At delivery",IF(SETUP!$G$53=4,$E$336*'Malaria-Equipment &amp; Other HPs'!BA15,IF(SETUP!$G$53=3,$E$336*'Malaria-Equipment &amp; Other HPs'!BB15,IF(SETUP!$G$53=2,$E$336*'Malaria-Equipment &amp; Other HPs'!BC15,IF(SETUP!$G$53=1,$E$336*'Malaria-Equipment &amp; Other HPs'!BD15,0)))),0)</f>
        <v>0</v>
      </c>
      <c r="O338" s="917">
        <f t="shared" si="52"/>
        <v>0</v>
      </c>
      <c r="P338" s="915">
        <f>IF(SETUP!$F$53="At delivery",IF(SETUP!$G$53=4,$E$336*'Malaria-Equipment &amp; Other HPs'!BB15,IF(SETUP!$G$53=3,$E$336*'Malaria-Equipment &amp; Other HPs'!BC15,IF(SETUP!$G$53=2,$E$336*'Malaria-Equipment &amp; Other HPs'!BD15,IF(SETUP!$G$53=1,$E$336*'Malaria-Equipment &amp; Other HPs'!BE15,0)))),0)</f>
        <v>0</v>
      </c>
      <c r="Q338" s="915">
        <f>IF(SETUP!$F$53="At delivery",IF(SETUP!$G$53=4,$E$336*'Malaria-Equipment &amp; Other HPs'!BC15,IF(SETUP!$G$53=3,$E$336*'Malaria-Equipment &amp; Other HPs'!BD15,IF(SETUP!$G$53=2,$E$336*'Malaria-Equipment &amp; Other HPs'!BE15,IF(SETUP!$G$53=1,$E$336*'Malaria-Equipment &amp; Other HPs'!BF15,0)))),0)</f>
        <v>0</v>
      </c>
      <c r="R338" s="915">
        <f>IF(SETUP!$F$53="At delivery",IF(SETUP!$G$53=4,$E$336*'Malaria-Equipment &amp; Other HPs'!BD15,IF(SETUP!$G$53=3,$E$336*'Malaria-Equipment &amp; Other HPs'!BE15,IF(SETUP!$G$53=2,$E$336*'Malaria-Equipment &amp; Other HPs'!BF15,IF(SETUP!$G$53=1,$E$336*'Malaria-Equipment &amp; Other HPs'!BG15,0)))),0)</f>
        <v>0</v>
      </c>
      <c r="S338" s="915">
        <f>IF(SETUP!$F$53="At delivery",IF(SETUP!$G$53=4,$E$336*('Malaria-Equipment &amp; Other HPs'!BE15+'Malaria-Equipment &amp; Other HPs'!BF15+'Malaria-Equipment &amp; Other HPs'!BG15+'Malaria-Equipment &amp; Other HPs'!BH15+'Malaria-Equipment &amp; Other HPs'!BI15),IF(SETUP!$G$53=3,$E$336*('Malaria-Equipment &amp; Other HPs'!BF15+'Malaria-Equipment &amp; Other HPs'!BG15+'Malaria-Equipment &amp; Other HPs'!BH15+'Malaria-Equipment &amp; Other HPs'!BI15),IF(SETUP!$G$53=2,$E$336*('Malaria-Equipment &amp; Other HPs'!BG15+'Malaria-Equipment &amp; Other HPs'!BH15+'Malaria-Equipment &amp; Other HPs'!BI15),IF(SETUP!$G$53=1,$E$336*('Malaria-Equipment &amp; Other HPs'!BH15+'Malaria-Equipment &amp; Other HPs'!BI15),0)))),0)</f>
        <v>0</v>
      </c>
      <c r="T338" s="934">
        <f t="shared" si="53"/>
        <v>0</v>
      </c>
      <c r="U338" s="915">
        <f t="shared" si="54"/>
        <v>0</v>
      </c>
      <c r="V338" s="1316"/>
      <c r="W338" s="1995"/>
      <c r="X338" s="1341"/>
    </row>
    <row r="339" spans="1:24" s="665" customFormat="1" ht="15" hidden="1" customHeight="1" collapsed="1" thickBot="1">
      <c r="A339" s="3197"/>
      <c r="B339" s="3198"/>
      <c r="C339" s="3188" t="s">
        <v>456</v>
      </c>
      <c r="D339" s="3188"/>
      <c r="E339" s="1245">
        <v>0</v>
      </c>
      <c r="F339" s="966">
        <f>IF(SETUP!$F$54="Upfront",F340,F341)</f>
        <v>0</v>
      </c>
      <c r="G339" s="915">
        <f>IF(SETUP!$F$54="Upfront",G340,G341)</f>
        <v>0</v>
      </c>
      <c r="H339" s="915">
        <f>IF(SETUP!$F$54="Upfront",H340,H341)</f>
        <v>0</v>
      </c>
      <c r="I339" s="915">
        <f>IF(SETUP!$F$54="Upfront",I340,I341)</f>
        <v>0</v>
      </c>
      <c r="J339" s="919">
        <f t="shared" si="51"/>
        <v>0</v>
      </c>
      <c r="K339" s="915">
        <f>IF(SETUP!$F$54="Upfront",K340,K341)</f>
        <v>0</v>
      </c>
      <c r="L339" s="915">
        <f>IF(SETUP!$F$54="Upfront",L340,L341)</f>
        <v>0</v>
      </c>
      <c r="M339" s="915">
        <f>IF(SETUP!$F$54="Upfront",M340,M341)</f>
        <v>0</v>
      </c>
      <c r="N339" s="915">
        <f>IF(SETUP!$F$54="Upfront",N340,N341)</f>
        <v>0</v>
      </c>
      <c r="O339" s="917">
        <f t="shared" si="52"/>
        <v>0</v>
      </c>
      <c r="P339" s="915">
        <f>IF(SETUP!$F$54="Upfront",P340,P341)</f>
        <v>0</v>
      </c>
      <c r="Q339" s="915">
        <f>IF(SETUP!$F$54="Upfront",Q340,Q341)</f>
        <v>0</v>
      </c>
      <c r="R339" s="915">
        <f>IF(SETUP!$F$54="Upfront",R340,R341)</f>
        <v>0</v>
      </c>
      <c r="S339" s="915">
        <f>IF(SETUP!$F$54="Upfront",S340,S341)</f>
        <v>0</v>
      </c>
      <c r="T339" s="934">
        <f t="shared" si="53"/>
        <v>0</v>
      </c>
      <c r="U339" s="915">
        <f t="shared" si="54"/>
        <v>0</v>
      </c>
      <c r="V339" s="1316">
        <v>7.6</v>
      </c>
      <c r="W339" s="1995"/>
      <c r="X339" s="1341"/>
    </row>
    <row r="340" spans="1:24" s="665" customFormat="1" ht="15" hidden="1" customHeight="1" outlineLevel="1">
      <c r="A340" s="3197"/>
      <c r="B340" s="3198"/>
      <c r="C340" s="3182" t="s">
        <v>777</v>
      </c>
      <c r="D340" s="3182"/>
      <c r="E340" s="1246"/>
      <c r="F340" s="966">
        <f>IF(SETUP!$F$54="Upfront",$E$339*'Malaria-Equipment &amp; Other HPs'!AX16,0)</f>
        <v>0</v>
      </c>
      <c r="G340" s="915">
        <f>IF(SETUP!$F$54="Upfront",$E$339*'Malaria-Equipment &amp; Other HPs'!AY16,0)</f>
        <v>0</v>
      </c>
      <c r="H340" s="915">
        <f>IF(SETUP!$F$54="Upfront",$E$339*'Malaria-Equipment &amp; Other HPs'!AZ16,0)</f>
        <v>0</v>
      </c>
      <c r="I340" s="915">
        <f>IF(SETUP!$F$54="Upfront",$E$339*'Malaria-Equipment &amp; Other HPs'!BA16,0)</f>
        <v>0</v>
      </c>
      <c r="J340" s="919">
        <f t="shared" si="51"/>
        <v>0</v>
      </c>
      <c r="K340" s="915">
        <f>IF(SETUP!$F$54="Upfront",$E$339*'Malaria-Equipment &amp; Other HPs'!BB16,0)</f>
        <v>0</v>
      </c>
      <c r="L340" s="915">
        <f>IF(SETUP!$F$54="Upfront",$E$339*'Malaria-Equipment &amp; Other HPs'!BC16,0)</f>
        <v>0</v>
      </c>
      <c r="M340" s="915">
        <f>IF(SETUP!$F$54="Upfront",$E$339*'Malaria-Equipment &amp; Other HPs'!BD16,0)</f>
        <v>0</v>
      </c>
      <c r="N340" s="915">
        <f>IF(SETUP!$F$54="Upfront",$E$339*'Malaria-Equipment &amp; Other HPs'!BE16,0)</f>
        <v>0</v>
      </c>
      <c r="O340" s="917">
        <f t="shared" si="52"/>
        <v>0</v>
      </c>
      <c r="P340" s="915">
        <f>IF(SETUP!$F$54="Upfront",$E$339*'Malaria-Equipment &amp; Other HPs'!BF16,0)</f>
        <v>0</v>
      </c>
      <c r="Q340" s="915">
        <f>IF(SETUP!$F$54="Upfront",$E$339*'Malaria-Equipment &amp; Other HPs'!BG16,0)</f>
        <v>0</v>
      </c>
      <c r="R340" s="915">
        <f>IF(SETUP!$F$54="Upfront",$E$339*'Malaria-Equipment &amp; Other HPs'!BH16,0)</f>
        <v>0</v>
      </c>
      <c r="S340" s="915">
        <f>IF(SETUP!$F$54="Upfront",$E$339*'Malaria-Equipment &amp; Other HPs'!BI16,0)</f>
        <v>0</v>
      </c>
      <c r="T340" s="934">
        <f t="shared" si="53"/>
        <v>0</v>
      </c>
      <c r="U340" s="915">
        <f t="shared" si="54"/>
        <v>0</v>
      </c>
      <c r="V340" s="1316"/>
      <c r="W340" s="1995"/>
      <c r="X340" s="1341"/>
    </row>
    <row r="341" spans="1:24" s="665" customFormat="1" ht="15" hidden="1" customHeight="1" outlineLevel="1">
      <c r="A341" s="3197"/>
      <c r="B341" s="3198"/>
      <c r="C341" s="3182" t="s">
        <v>36</v>
      </c>
      <c r="D341" s="3182"/>
      <c r="E341" s="1246"/>
      <c r="F341" s="966">
        <v>0</v>
      </c>
      <c r="G341" s="921">
        <f>IF(SETUP!$F$54="At delivery",IF(SETUP!$G$54=1,$E$339*'Malaria-Equipment &amp; Other HPs'!AX16,0),0)</f>
        <v>0</v>
      </c>
      <c r="H341" s="920">
        <f>IF(SETUP!$F$54="At delivery",IF(SETUP!$G$54=2,$E$339*'Malaria-Equipment &amp; Other HPs'!AX16,IF(SETUP!$G$54=1,$E$339*'Malaria-Equipment &amp; Other HPs'!AY16,0)),0)</f>
        <v>0</v>
      </c>
      <c r="I341" s="920">
        <f>IF(SETUP!$F$54="At delivery",IF(SETUP!$G$54=3,$E$339*'Malaria-Equipment &amp; Other HPs'!AX16,IF(SETUP!$G$54=2,$E$339*'Malaria-Equipment &amp; Other HPs'!AY16,IF(SETUP!$G$54=1,$E$339*'Malaria-Equipment &amp; Other HPs'!AZ16,0))),0)</f>
        <v>0</v>
      </c>
      <c r="J341" s="919">
        <f t="shared" si="51"/>
        <v>0</v>
      </c>
      <c r="K341" s="920">
        <f>IF(SETUP!$F$54="At delivery",IF(SETUP!$G$54=4,$E$339*'Malaria-Equipment &amp; Other HPs'!AX16,IF(SETUP!$G$54=3,$E$339*'Malaria-Equipment &amp; Other HPs'!AY16,IF(SETUP!$G$54=2,$E$339*'Malaria-Equipment &amp; Other HPs'!AZ16,IF(SETUP!$G$54=1,$E$339*'Malaria-Equipment &amp; Other HPs'!BA16,0)))),0)</f>
        <v>0</v>
      </c>
      <c r="L341" s="920">
        <f>IF(SETUP!$F$54="At delivery",IF(SETUP!$G$54=4,$E$339*'Malaria-Equipment &amp; Other HPs'!AY16,IF(SETUP!$G$54=3,$E$339*'Malaria-Equipment &amp; Other HPs'!AZ16,IF(SETUP!$G$54=2,$E$339*'Malaria-Equipment &amp; Other HPs'!BA16,IF(SETUP!$G$54=1,$E$339*'Malaria-Equipment &amp; Other HPs'!BB16,0)))),0)</f>
        <v>0</v>
      </c>
      <c r="M341" s="920">
        <f>IF(SETUP!$F$54="At delivery",IF(SETUP!$G$54=4,$E$339*'Malaria-Equipment &amp; Other HPs'!AZ16,IF(SETUP!$G$54=3,$E$339*'Malaria-Equipment &amp; Other HPs'!BA16,IF(SETUP!$G$54=2,$E$339*'Malaria-Equipment &amp; Other HPs'!BB16,IF(SETUP!$G$54=1,$E$339*'Malaria-Equipment &amp; Other HPs'!BC16,0)))),0)</f>
        <v>0</v>
      </c>
      <c r="N341" s="920">
        <f>IF(SETUP!$F$54="At delivery",IF(SETUP!$G$54=4,$E$339*'Malaria-Equipment &amp; Other HPs'!BA16,IF(SETUP!$G$54=3,$E$339*'Malaria-Equipment &amp; Other HPs'!BB16,IF(SETUP!$G$54=2,$E$339*'Malaria-Equipment &amp; Other HPs'!BC16,IF(SETUP!$G$54=1,$E$339*'Malaria-Equipment &amp; Other HPs'!BD16,0)))),0)</f>
        <v>0</v>
      </c>
      <c r="O341" s="917">
        <f t="shared" si="52"/>
        <v>0</v>
      </c>
      <c r="P341" s="915">
        <f>IF(SETUP!$F$54="At delivery",IF(SETUP!$G$54=4,$E$339*'Malaria-Equipment &amp; Other HPs'!BB16,IF(SETUP!$G$54=3,$E$339*'Malaria-Equipment &amp; Other HPs'!BC16,IF(SETUP!$G$54=2,$E$339*'Malaria-Equipment &amp; Other HPs'!BD16,IF(SETUP!$G$54=1,$E$339*'Malaria-Equipment &amp; Other HPs'!BE16,0)))),0)</f>
        <v>0</v>
      </c>
      <c r="Q341" s="915">
        <f>IF(SETUP!$F$54="At delivery",IF(SETUP!$G$54=4,$E$339*'Malaria-Equipment &amp; Other HPs'!BC16,IF(SETUP!$G$54=3,$E$339*'Malaria-Equipment &amp; Other HPs'!BD16,IF(SETUP!$G$54=2,$E$339*'Malaria-Equipment &amp; Other HPs'!BE16,IF(SETUP!$G$54=1,$E$339*'Malaria-Equipment &amp; Other HPs'!BF16,0)))),0)</f>
        <v>0</v>
      </c>
      <c r="R341" s="915">
        <f>IF(SETUP!$F$54="At delivery",IF(SETUP!$G$54=4,$E$339*'Malaria-Equipment &amp; Other HPs'!BD16,IF(SETUP!$G$54=3,$E$339*'Malaria-Equipment &amp; Other HPs'!BE16,IF(SETUP!$G$54=2,$E$339*'Malaria-Equipment &amp; Other HPs'!BF16,IF(SETUP!$G$54=1,$E$339*'Malaria-Equipment &amp; Other HPs'!BG16,0)))),0)</f>
        <v>0</v>
      </c>
      <c r="S341" s="915">
        <f>IF(SETUP!$F$54="At delivery",IF(SETUP!$G$54=4,$E$339*('Malaria-Equipment &amp; Other HPs'!BE16+'Malaria-Equipment &amp; Other HPs'!BF16+'Malaria-Equipment &amp; Other HPs'!BG16+'Malaria-Equipment &amp; Other HPs'!BH16+'Malaria-Equipment &amp; Other HPs'!BI16),IF(SETUP!$G$54=3,$E$339*('Malaria-Equipment &amp; Other HPs'!BF16+'Malaria-Equipment &amp; Other HPs'!BG16+'Malaria-Equipment &amp; Other HPs'!BH16+'Malaria-Equipment &amp; Other HPs'!BI16),IF(SETUP!$G$54=2,$E$339*('Malaria-Equipment &amp; Other HPs'!BG16+'Malaria-Equipment &amp; Other HPs'!BH16+'Malaria-Equipment &amp; Other HPs'!BI16),IF(SETUP!$G$54=1,$E$339*('Malaria-Equipment &amp; Other HPs'!BH16+'Malaria-Equipment &amp; Other HPs'!BI16),0)))),0)</f>
        <v>0</v>
      </c>
      <c r="T341" s="934">
        <f t="shared" si="53"/>
        <v>0</v>
      </c>
      <c r="U341" s="915">
        <f t="shared" si="54"/>
        <v>0</v>
      </c>
      <c r="V341" s="1316"/>
      <c r="W341" s="1995"/>
      <c r="X341" s="1341"/>
    </row>
    <row r="342" spans="1:24" s="665" customFormat="1" ht="15" hidden="1" customHeight="1" collapsed="1" thickBot="1">
      <c r="A342" s="3197"/>
      <c r="B342" s="3198"/>
      <c r="C342" s="3188" t="s">
        <v>457</v>
      </c>
      <c r="D342" s="3188"/>
      <c r="E342" s="1245">
        <v>0</v>
      </c>
      <c r="F342" s="966">
        <f>IF(SETUP!$F$55="Upfront",F343,F344)</f>
        <v>0</v>
      </c>
      <c r="G342" s="915">
        <f>IF(SETUP!$F$55="Upfront",G343,G344)</f>
        <v>0</v>
      </c>
      <c r="H342" s="915">
        <f>IF(SETUP!$F$55="Upfront",H343,H344)</f>
        <v>0</v>
      </c>
      <c r="I342" s="915">
        <f>IF(SETUP!$F$55="Upfront",I343,I344)</f>
        <v>0</v>
      </c>
      <c r="J342" s="919">
        <f t="shared" si="51"/>
        <v>0</v>
      </c>
      <c r="K342" s="915">
        <f>IF(SETUP!$F$55="Upfront",K343,K344)</f>
        <v>0</v>
      </c>
      <c r="L342" s="915">
        <f>IF(SETUP!$F$55="Upfront",L343,L344)</f>
        <v>0</v>
      </c>
      <c r="M342" s="915">
        <f>IF(SETUP!$F$55="Upfront",M343,M344)</f>
        <v>0</v>
      </c>
      <c r="N342" s="915">
        <f>IF(SETUP!$F$55="Upfront",N343,N344)</f>
        <v>0</v>
      </c>
      <c r="O342" s="917">
        <f t="shared" si="52"/>
        <v>0</v>
      </c>
      <c r="P342" s="915">
        <f>IF(SETUP!$F$55="Upfront",P343,P344)</f>
        <v>0</v>
      </c>
      <c r="Q342" s="915">
        <f>IF(SETUP!$F$55="Upfront",Q343,Q344)</f>
        <v>0</v>
      </c>
      <c r="R342" s="915">
        <f>IF(SETUP!$F$55="Upfront",R343,R344)</f>
        <v>0</v>
      </c>
      <c r="S342" s="915">
        <f>IF(SETUP!$F$55="Upfront",S343,S344)</f>
        <v>0</v>
      </c>
      <c r="T342" s="934">
        <f t="shared" si="53"/>
        <v>0</v>
      </c>
      <c r="U342" s="915">
        <f t="shared" si="54"/>
        <v>0</v>
      </c>
      <c r="V342" s="1316">
        <v>7.6</v>
      </c>
      <c r="W342" s="1995"/>
      <c r="X342" s="1341"/>
    </row>
    <row r="343" spans="1:24" s="665" customFormat="1" ht="15" hidden="1" customHeight="1" outlineLevel="1">
      <c r="A343" s="3197"/>
      <c r="B343" s="3198"/>
      <c r="C343" s="3182" t="s">
        <v>777</v>
      </c>
      <c r="D343" s="3182"/>
      <c r="E343" s="1246"/>
      <c r="F343" s="966">
        <f>IF(SETUP!$F$55="Upfront",$E$342*'Malaria-Equipment &amp; Other HPs'!AX17,0)</f>
        <v>0</v>
      </c>
      <c r="G343" s="915">
        <f>IF(SETUP!$F$55="Upfront",$E$342*'Malaria-Equipment &amp; Other HPs'!AY17,0)</f>
        <v>0</v>
      </c>
      <c r="H343" s="915">
        <f>IF(SETUP!$F$55="Upfront",$E$342*'Malaria-Equipment &amp; Other HPs'!AZ17,0)</f>
        <v>0</v>
      </c>
      <c r="I343" s="915">
        <f>IF(SETUP!$F$55="Upfront",$E$342*'Malaria-Equipment &amp; Other HPs'!BA17,0)</f>
        <v>0</v>
      </c>
      <c r="J343" s="919">
        <f t="shared" si="51"/>
        <v>0</v>
      </c>
      <c r="K343" s="915">
        <f>IF(SETUP!$F$55="Upfront",$E$342*'Malaria-Equipment &amp; Other HPs'!BB17,0)</f>
        <v>0</v>
      </c>
      <c r="L343" s="915">
        <f>IF(SETUP!$F$55="Upfront",$E$342*'Malaria-Equipment &amp; Other HPs'!BC17,0)</f>
        <v>0</v>
      </c>
      <c r="M343" s="915">
        <f>IF(SETUP!$F$55="Upfront",$E$342*'Malaria-Equipment &amp; Other HPs'!BD17,0)</f>
        <v>0</v>
      </c>
      <c r="N343" s="915">
        <f>IF(SETUP!$F$55="Upfront",$E$342*'Malaria-Equipment &amp; Other HPs'!BE17,0)</f>
        <v>0</v>
      </c>
      <c r="O343" s="917">
        <f t="shared" si="52"/>
        <v>0</v>
      </c>
      <c r="P343" s="915">
        <f>IF(SETUP!$F$55="Upfront",$E$342*'Malaria-Equipment &amp; Other HPs'!BF17,0)</f>
        <v>0</v>
      </c>
      <c r="Q343" s="915">
        <f>IF(SETUP!$F$55="Upfront",$E$342*'Malaria-Equipment &amp; Other HPs'!BG17,0)</f>
        <v>0</v>
      </c>
      <c r="R343" s="915">
        <f>IF(SETUP!$F$55="Upfront",$E$342*'Malaria-Equipment &amp; Other HPs'!BH17,0)</f>
        <v>0</v>
      </c>
      <c r="S343" s="915">
        <f>IF(SETUP!$F$55="Upfront",$E$342*'Malaria-Equipment &amp; Other HPs'!BI17,0)</f>
        <v>0</v>
      </c>
      <c r="T343" s="934">
        <f t="shared" si="53"/>
        <v>0</v>
      </c>
      <c r="U343" s="915">
        <f t="shared" si="54"/>
        <v>0</v>
      </c>
      <c r="V343" s="1316"/>
      <c r="W343" s="1995"/>
      <c r="X343" s="1341"/>
    </row>
    <row r="344" spans="1:24" s="665" customFormat="1" ht="15" hidden="1" customHeight="1" outlineLevel="1">
      <c r="A344" s="3197"/>
      <c r="B344" s="3198"/>
      <c r="C344" s="3182" t="s">
        <v>36</v>
      </c>
      <c r="D344" s="3182"/>
      <c r="E344" s="1246"/>
      <c r="F344" s="966">
        <v>0</v>
      </c>
      <c r="G344" s="921">
        <f>IF(SETUP!$F$55="At delivery",IF(SETUP!$G$55=1,$E$342*'Malaria-Equipment &amp; Other HPs'!AX17,0),0)</f>
        <v>0</v>
      </c>
      <c r="H344" s="920">
        <f>IF(SETUP!$F$55="At delivery",IF(SETUP!$G$55=2,$E$342*'Malaria-Equipment &amp; Other HPs'!AX17,IF(SETUP!$G$55=1,$E$342*'Malaria-Equipment &amp; Other HPs'!AY17,0)),0)</f>
        <v>0</v>
      </c>
      <c r="I344" s="920">
        <f>IF(SETUP!$F$55="At delivery",IF(SETUP!$G$55=3,$E$342*'Malaria-Equipment &amp; Other HPs'!AX17,IF(SETUP!$G$55=2,$E$342*'Malaria-Equipment &amp; Other HPs'!AY17,IF(SETUP!$G$55=1,$E$342*'Malaria-Equipment &amp; Other HPs'!AZ17,0))),0)</f>
        <v>0</v>
      </c>
      <c r="J344" s="919">
        <f t="shared" si="51"/>
        <v>0</v>
      </c>
      <c r="K344" s="920">
        <f>IF(SETUP!$F$55="At delivery",IF(SETUP!$G$55=4,$E$342*'Malaria-Equipment &amp; Other HPs'!AX17,IF(SETUP!$G$55=3,$E$342*'Malaria-Equipment &amp; Other HPs'!AY17,IF(SETUP!$G$55=2,$E$342*'Malaria-Equipment &amp; Other HPs'!AZ17,IF(SETUP!$G$55=1,$E$342*'Malaria-Equipment &amp; Other HPs'!BA17,0)))),0)</f>
        <v>0</v>
      </c>
      <c r="L344" s="920">
        <f>IF(SETUP!$F$55="At delivery",IF(SETUP!$G$55=4,$E$342*'Malaria-Equipment &amp; Other HPs'!AY17,IF(SETUP!$G$55=3,$E$342*'Malaria-Equipment &amp; Other HPs'!AZ17,IF(SETUP!$G$55=2,$E$342*'Malaria-Equipment &amp; Other HPs'!BA17,IF(SETUP!$G$55=1,$E$342*'Malaria-Equipment &amp; Other HPs'!BB17,0)))),0)</f>
        <v>0</v>
      </c>
      <c r="M344" s="920">
        <f>IF(SETUP!$F$55="At delivery",IF(SETUP!$G$55=4,$E$342*'Malaria-Equipment &amp; Other HPs'!AZ17,IF(SETUP!$G$55=3,$E$342*'Malaria-Equipment &amp; Other HPs'!BA17,IF(SETUP!$G$55=2,$E$342*'Malaria-Equipment &amp; Other HPs'!BB17,IF(SETUP!$G$55=1,$E$342*'Malaria-Equipment &amp; Other HPs'!BC17,0)))),0)</f>
        <v>0</v>
      </c>
      <c r="N344" s="920">
        <f>IF(SETUP!$F$55="At delivery",IF(SETUP!$G$55=4,$E$342*'Malaria-Equipment &amp; Other HPs'!BA17,IF(SETUP!$G$55=3,$E$342*'Malaria-Equipment &amp; Other HPs'!BB17,IF(SETUP!$G$55=2,$E$342*'Malaria-Equipment &amp; Other HPs'!BC17,IF(SETUP!$G$55=1,$E$342*'Malaria-Equipment &amp; Other HPs'!BD17,0)))),0)</f>
        <v>0</v>
      </c>
      <c r="O344" s="917">
        <f t="shared" si="52"/>
        <v>0</v>
      </c>
      <c r="P344" s="915">
        <f>IF(SETUP!$F$55="At delivery",IF(SETUP!$G$55=4,$E$342*'Malaria-Equipment &amp; Other HPs'!BB17,IF(SETUP!$G$55=3,$E$342*'Malaria-Equipment &amp; Other HPs'!BC17,IF(SETUP!$G$55=2,$E$342*'Malaria-Equipment &amp; Other HPs'!BD17,IF(SETUP!$G$55=1,$E$342*'Malaria-Equipment &amp; Other HPs'!BE17,0)))),0)</f>
        <v>0</v>
      </c>
      <c r="Q344" s="915">
        <f>IF(SETUP!$F$55="At delivery",IF(SETUP!$G$55=4,$E$342*'Malaria-Equipment &amp; Other HPs'!BC17,IF(SETUP!$G$55=3,$E$342*'Malaria-Equipment &amp; Other HPs'!BD17,IF(SETUP!$G$55=2,$E$342*'Malaria-Equipment &amp; Other HPs'!BE17,IF(SETUP!$G$55=1,$E$342*'Malaria-Equipment &amp; Other HPs'!BF17,0)))),0)</f>
        <v>0</v>
      </c>
      <c r="R344" s="915">
        <f>IF(SETUP!$F$55="At delivery",IF(SETUP!$G$55=4,$E$342*'Malaria-Equipment &amp; Other HPs'!BD17,IF(SETUP!$G$55=3,$E$342*'Malaria-Equipment &amp; Other HPs'!BE17,IF(SETUP!$G$55=2,$E$342*'Malaria-Equipment &amp; Other HPs'!BF17,IF(SETUP!$G$55=1,$E$342*'Malaria-Equipment &amp; Other HPs'!BG17,0)))),0)</f>
        <v>0</v>
      </c>
      <c r="S344" s="915">
        <f>IF(SETUP!$F$55="At delivery",IF(SETUP!$G$55=4,$E$342*('Malaria-Equipment &amp; Other HPs'!BE17+'Malaria-Equipment &amp; Other HPs'!BF17+'Malaria-Equipment &amp; Other HPs'!BG17+'Malaria-Equipment &amp; Other HPs'!BH17+'Malaria-Equipment &amp; Other HPs'!BI17),IF(SETUP!$G$55=3,$E$342*('Malaria-Equipment &amp; Other HPs'!BF17+'Malaria-Equipment &amp; Other HPs'!BG17+'Malaria-Equipment &amp; Other HPs'!BH17+'Malaria-Equipment &amp; Other HPs'!BI17),IF(SETUP!$G$55=2,$E$342*('Malaria-Equipment &amp; Other HPs'!BG17+'Malaria-Equipment &amp; Other HPs'!BH17+'Malaria-Equipment &amp; Other HPs'!BI17),IF(SETUP!$G$55=1,$E$342*('Malaria-Equipment &amp; Other HPs'!BH17+'Malaria-Equipment &amp; Other HPs'!BI17),0)))),0)</f>
        <v>0</v>
      </c>
      <c r="T344" s="934">
        <f t="shared" si="53"/>
        <v>0</v>
      </c>
      <c r="U344" s="915">
        <f t="shared" si="54"/>
        <v>0</v>
      </c>
      <c r="V344" s="1316"/>
      <c r="W344" s="1995"/>
      <c r="X344" s="1341"/>
    </row>
    <row r="345" spans="1:24" s="665" customFormat="1" ht="15" hidden="1" customHeight="1" collapsed="1" thickBot="1">
      <c r="A345" s="3197"/>
      <c r="B345" s="3198"/>
      <c r="C345" s="3188" t="s">
        <v>458</v>
      </c>
      <c r="D345" s="3188"/>
      <c r="E345" s="1245">
        <v>0</v>
      </c>
      <c r="F345" s="966">
        <f>IF(SETUP!$F$56="Upfront",F346,F347)</f>
        <v>0</v>
      </c>
      <c r="G345" s="915">
        <f>IF(SETUP!$F$56="Upfront",G346,G347)</f>
        <v>0</v>
      </c>
      <c r="H345" s="915">
        <f>IF(SETUP!$F$56="Upfront",H346,H347)</f>
        <v>0</v>
      </c>
      <c r="I345" s="915">
        <f>IF(SETUP!$F$56="Upfront",I346,I347)</f>
        <v>0</v>
      </c>
      <c r="J345" s="919">
        <f t="shared" si="51"/>
        <v>0</v>
      </c>
      <c r="K345" s="915">
        <f>IF(SETUP!$F$56="Upfront",K346,K347)</f>
        <v>0</v>
      </c>
      <c r="L345" s="915">
        <f>IF(SETUP!$F$56="Upfront",L346,L347)</f>
        <v>0</v>
      </c>
      <c r="M345" s="915">
        <f>IF(SETUP!$F$56="Upfront",M346,M347)</f>
        <v>0</v>
      </c>
      <c r="N345" s="915">
        <f>IF(SETUP!$F$56="Upfront",N346,N347)</f>
        <v>0</v>
      </c>
      <c r="O345" s="917">
        <f t="shared" si="52"/>
        <v>0</v>
      </c>
      <c r="P345" s="915">
        <f>IF(SETUP!$F$56="Upfront",P346,P347)</f>
        <v>0</v>
      </c>
      <c r="Q345" s="915">
        <f>IF(SETUP!$F$56="Upfront",Q346,Q347)</f>
        <v>0</v>
      </c>
      <c r="R345" s="915">
        <f>IF(SETUP!$F$56="Upfront",R346,R347)</f>
        <v>0</v>
      </c>
      <c r="S345" s="915">
        <f>IF(SETUP!$F$56="Upfront",S346,S347)</f>
        <v>0</v>
      </c>
      <c r="T345" s="934">
        <f t="shared" si="53"/>
        <v>0</v>
      </c>
      <c r="U345" s="915">
        <f t="shared" si="54"/>
        <v>0</v>
      </c>
      <c r="V345" s="1316">
        <v>7.6</v>
      </c>
      <c r="W345" s="1995"/>
      <c r="X345" s="1341"/>
    </row>
    <row r="346" spans="1:24" s="665" customFormat="1" ht="15" hidden="1" customHeight="1" outlineLevel="1">
      <c r="A346" s="3197"/>
      <c r="B346" s="3198"/>
      <c r="C346" s="3182" t="s">
        <v>777</v>
      </c>
      <c r="D346" s="3182"/>
      <c r="E346" s="1246"/>
      <c r="F346" s="966">
        <f>IF(SETUP!$F$56="Upfront",$E$345*'Malaria-Equipment &amp; Other HPs'!AX18,0)</f>
        <v>0</v>
      </c>
      <c r="G346" s="915">
        <f>IF(SETUP!$F$56="Upfront",$E$345*'Malaria-Equipment &amp; Other HPs'!AY18,0)</f>
        <v>0</v>
      </c>
      <c r="H346" s="915">
        <f>IF(SETUP!$F$56="Upfront",$E$345*'Malaria-Equipment &amp; Other HPs'!AZ18,0)</f>
        <v>0</v>
      </c>
      <c r="I346" s="915">
        <f>IF(SETUP!$F$56="Upfront",$E$345*'Malaria-Equipment &amp; Other HPs'!BA18,0)</f>
        <v>0</v>
      </c>
      <c r="J346" s="919">
        <f t="shared" si="51"/>
        <v>0</v>
      </c>
      <c r="K346" s="915">
        <f>IF(SETUP!$F$56="Upfront",$E$345*'Malaria-Equipment &amp; Other HPs'!BB18,0)</f>
        <v>0</v>
      </c>
      <c r="L346" s="915">
        <f>IF(SETUP!$F$56="Upfront",$E$345*'Malaria-Equipment &amp; Other HPs'!BC18,0)</f>
        <v>0</v>
      </c>
      <c r="M346" s="915">
        <f>IF(SETUP!$F$56="Upfront",$E$345*'Malaria-Equipment &amp; Other HPs'!BD18,0)</f>
        <v>0</v>
      </c>
      <c r="N346" s="915">
        <f>IF(SETUP!$F$56="Upfront",$E$345*'Malaria-Equipment &amp; Other HPs'!BE18,0)</f>
        <v>0</v>
      </c>
      <c r="O346" s="917">
        <f t="shared" si="52"/>
        <v>0</v>
      </c>
      <c r="P346" s="915">
        <f>IF(SETUP!$F$56="Upfront",$E$345*'Malaria-Equipment &amp; Other HPs'!BF18,0)</f>
        <v>0</v>
      </c>
      <c r="Q346" s="915">
        <f>IF(SETUP!$F$56="Upfront",$E$345*'Malaria-Equipment &amp; Other HPs'!BG18,0)</f>
        <v>0</v>
      </c>
      <c r="R346" s="915">
        <f>IF(SETUP!$F$56="Upfront",$E$345*'Malaria-Equipment &amp; Other HPs'!BH18,0)</f>
        <v>0</v>
      </c>
      <c r="S346" s="915">
        <f>IF(SETUP!$F$56="Upfront",$E$345*'Malaria-Equipment &amp; Other HPs'!BI18,0)</f>
        <v>0</v>
      </c>
      <c r="T346" s="934">
        <f t="shared" si="53"/>
        <v>0</v>
      </c>
      <c r="U346" s="915">
        <f t="shared" si="54"/>
        <v>0</v>
      </c>
      <c r="V346" s="1316"/>
      <c r="W346" s="1995"/>
      <c r="X346" s="1341"/>
    </row>
    <row r="347" spans="1:24" s="665" customFormat="1" ht="15" hidden="1" customHeight="1" outlineLevel="1">
      <c r="A347" s="3197"/>
      <c r="B347" s="3198"/>
      <c r="C347" s="3182" t="s">
        <v>36</v>
      </c>
      <c r="D347" s="3182"/>
      <c r="E347" s="1246"/>
      <c r="F347" s="966">
        <v>0</v>
      </c>
      <c r="G347" s="921">
        <f>IF(SETUP!$F$56="At delivery",IF(SETUP!$G$56=1,$E$345*'Malaria-Equipment &amp; Other HPs'!AX18,0),0)</f>
        <v>0</v>
      </c>
      <c r="H347" s="920">
        <f>IF(SETUP!$F$56="At delivery",IF(SETUP!$G$56=2,$E$345*'Malaria-Equipment &amp; Other HPs'!AX18,IF(SETUP!$G$56=1,$E$345*'Malaria-Equipment &amp; Other HPs'!AY18,0)),0)</f>
        <v>0</v>
      </c>
      <c r="I347" s="920">
        <f>IF(SETUP!$F$56="At delivery",IF(SETUP!$G$56=3,$E$345*'Malaria-Equipment &amp; Other HPs'!AX18,IF(SETUP!$G$56=2,$E$345*'Malaria-Equipment &amp; Other HPs'!AY18,IF(SETUP!$G$56=1,$E$345*'Malaria-Equipment &amp; Other HPs'!AZ18,0))),0)</f>
        <v>0</v>
      </c>
      <c r="J347" s="919">
        <f t="shared" si="51"/>
        <v>0</v>
      </c>
      <c r="K347" s="920">
        <f>IF(SETUP!$F$56="At delivery",IF(SETUP!$G$56=4,$E$345*'Malaria-Equipment &amp; Other HPs'!AX18,IF(SETUP!$G$56=3,$E$345*'Malaria-Equipment &amp; Other HPs'!AY18,IF(SETUP!$G$56=2,$E$345*'Malaria-Equipment &amp; Other HPs'!AZ18,IF(SETUP!$G$56=1,$E$345*'Malaria-Equipment &amp; Other HPs'!BA18,0)))),0)</f>
        <v>0</v>
      </c>
      <c r="L347" s="920">
        <f>IF(SETUP!$F$56="At delivery",IF(SETUP!$G$56=4,$E$345*'Malaria-Equipment &amp; Other HPs'!AY18,IF(SETUP!$G$56=3,$E$345*'Malaria-Equipment &amp; Other HPs'!AZ18,IF(SETUP!$G$56=2,$E$345*'Malaria-Equipment &amp; Other HPs'!BA18,IF(SETUP!$G$56=1,$E$345*'Malaria-Equipment &amp; Other HPs'!BB18,0)))),0)</f>
        <v>0</v>
      </c>
      <c r="M347" s="920">
        <f>IF(SETUP!$F$56="At delivery",IF(SETUP!$G$56=4,$E$345*'Malaria-Equipment &amp; Other HPs'!AZ18,IF(SETUP!$G$56=3,$E$345*'Malaria-Equipment &amp; Other HPs'!BA18,IF(SETUP!$G$56=2,$E$345*'Malaria-Equipment &amp; Other HPs'!BB18,IF(SETUP!$G$56=1,$E$345*'Malaria-Equipment &amp; Other HPs'!BC18,0)))),0)</f>
        <v>0</v>
      </c>
      <c r="N347" s="920">
        <f>IF(SETUP!$F$56="At delivery",IF(SETUP!$G$56=4,$E$345*'Malaria-Equipment &amp; Other HPs'!BA18,IF(SETUP!$G$56=3,$E$345*'Malaria-Equipment &amp; Other HPs'!BB18,IF(SETUP!$G$56=2,$E$345*'Malaria-Equipment &amp; Other HPs'!BC18,IF(SETUP!$G$56=1,$E$345*'Malaria-Equipment &amp; Other HPs'!BD18,0)))),0)</f>
        <v>0</v>
      </c>
      <c r="O347" s="917">
        <f t="shared" si="52"/>
        <v>0</v>
      </c>
      <c r="P347" s="915">
        <f>IF(SETUP!$F$56="At delivery",IF(SETUP!$G$56=4,$E$345*'Malaria-Equipment &amp; Other HPs'!BB18,IF(SETUP!$G$56=3,$E$345*'Malaria-Equipment &amp; Other HPs'!BC18,IF(SETUP!$G$56=2,$E$345*'Malaria-Equipment &amp; Other HPs'!BD18,IF(SETUP!$G$56=1,$E$345*'Malaria-Equipment &amp; Other HPs'!BE18,0)))),0)</f>
        <v>0</v>
      </c>
      <c r="Q347" s="915">
        <f>IF(SETUP!$F$56="At delivery",IF(SETUP!$G$56=4,$E$345*'Malaria-Equipment &amp; Other HPs'!BC18,IF(SETUP!$G$56=3,$E$345*'Malaria-Equipment &amp; Other HPs'!BD18,IF(SETUP!$G$56=2,$E$345*'Malaria-Equipment &amp; Other HPs'!BE18,IF(SETUP!$G$56=1,$E$345*'Malaria-Equipment &amp; Other HPs'!BF18,0)))),0)</f>
        <v>0</v>
      </c>
      <c r="R347" s="915">
        <f>IF(SETUP!$F$56="At delivery",IF(SETUP!$G$56=4,$E$345*'Malaria-Equipment &amp; Other HPs'!BD18,IF(SETUP!$G$56=3,$E$345*'Malaria-Equipment &amp; Other HPs'!BE18,IF(SETUP!$G$56=2,$E$345*'Malaria-Equipment &amp; Other HPs'!BF18,IF(SETUP!$G$56=1,$E$345*'Malaria-Equipment &amp; Other HPs'!BG18,0)))),0)</f>
        <v>0</v>
      </c>
      <c r="S347" s="915">
        <f>IF(SETUP!$F$56="At delivery",IF(SETUP!$G$56=4,$E$345*('Malaria-Equipment &amp; Other HPs'!BE18+'Malaria-Equipment &amp; Other HPs'!BF18+'Malaria-Equipment &amp; Other HPs'!BG18+'Malaria-Equipment &amp; Other HPs'!BH18+'Malaria-Equipment &amp; Other HPs'!BI18),IF(SETUP!$G$56=3,$E$345*('Malaria-Equipment &amp; Other HPs'!BF18+'Malaria-Equipment &amp; Other HPs'!BG18+'Malaria-Equipment &amp; Other HPs'!BH18+'Malaria-Equipment &amp; Other HPs'!BI18),IF(SETUP!$G$56=2,$E$345*('Malaria-Equipment &amp; Other HPs'!BG18+'Malaria-Equipment &amp; Other HPs'!BH18+'Malaria-Equipment &amp; Other HPs'!BI18),IF(SETUP!$G$56=1,$E$345*('Malaria-Equipment &amp; Other HPs'!BH18+'Malaria-Equipment &amp; Other HPs'!BI18),0)))),0)</f>
        <v>0</v>
      </c>
      <c r="T347" s="934">
        <f t="shared" si="53"/>
        <v>0</v>
      </c>
      <c r="U347" s="915">
        <f t="shared" si="54"/>
        <v>0</v>
      </c>
      <c r="V347" s="1316"/>
      <c r="W347" s="1995"/>
      <c r="X347" s="1341"/>
    </row>
    <row r="348" spans="1:24" s="665" customFormat="1" ht="15" hidden="1" customHeight="1" collapsed="1" thickBot="1">
      <c r="A348" s="3197"/>
      <c r="B348" s="3198"/>
      <c r="C348" s="3188" t="s">
        <v>429</v>
      </c>
      <c r="D348" s="3188"/>
      <c r="E348" s="1245">
        <v>0</v>
      </c>
      <c r="F348" s="966">
        <f>IF(SETUP!$F$57="Upfront",F349,F350)</f>
        <v>0</v>
      </c>
      <c r="G348" s="915">
        <f>IF(SETUP!$F$57="Upfront",G349,G350)</f>
        <v>0</v>
      </c>
      <c r="H348" s="915">
        <f>IF(SETUP!$F$57="Upfront",H349,H350)</f>
        <v>0</v>
      </c>
      <c r="I348" s="915">
        <f>IF(SETUP!$F$57="Upfront",I349,I350)</f>
        <v>0</v>
      </c>
      <c r="J348" s="919">
        <f t="shared" si="51"/>
        <v>0</v>
      </c>
      <c r="K348" s="915">
        <f>IF(SETUP!$F$57="Upfront",K349,K350)</f>
        <v>0</v>
      </c>
      <c r="L348" s="915">
        <f>IF(SETUP!$F$57="Upfront",L349,L350)</f>
        <v>0</v>
      </c>
      <c r="M348" s="915">
        <f>IF(SETUP!$F$57="Upfront",M349,M350)</f>
        <v>0</v>
      </c>
      <c r="N348" s="915">
        <f>IF(SETUP!$F$57="Upfront",N349,N350)</f>
        <v>0</v>
      </c>
      <c r="O348" s="917">
        <f t="shared" si="52"/>
        <v>0</v>
      </c>
      <c r="P348" s="915">
        <f>IF(SETUP!$F$57="Upfront",P349,P350)</f>
        <v>0</v>
      </c>
      <c r="Q348" s="915">
        <f>IF(SETUP!$F$57="Upfront",Q349,Q350)</f>
        <v>0</v>
      </c>
      <c r="R348" s="915">
        <f>IF(SETUP!$F$57="Upfront",R349,R350)</f>
        <v>0</v>
      </c>
      <c r="S348" s="915">
        <f>IF(SETUP!$F$57="Upfront",S349,S350)</f>
        <v>0</v>
      </c>
      <c r="T348" s="934">
        <f t="shared" si="53"/>
        <v>0</v>
      </c>
      <c r="U348" s="915">
        <f t="shared" si="54"/>
        <v>0</v>
      </c>
      <c r="V348" s="1316">
        <v>7.6</v>
      </c>
      <c r="W348" s="1995"/>
      <c r="X348" s="1341"/>
    </row>
    <row r="349" spans="1:24" s="665" customFormat="1" ht="15" hidden="1" customHeight="1" outlineLevel="1">
      <c r="A349" s="3197"/>
      <c r="B349" s="3198"/>
      <c r="C349" s="3182" t="s">
        <v>777</v>
      </c>
      <c r="D349" s="3182"/>
      <c r="E349" s="1246"/>
      <c r="F349" s="966">
        <f>IF(SETUP!$F$57="Upfront",$E$348*'Malaria-Equipment &amp; Other HPs'!AX19,0)</f>
        <v>0</v>
      </c>
      <c r="G349" s="915">
        <f>IF(SETUP!$F$57="Upfront",$E$348*'Malaria-Equipment &amp; Other HPs'!AY19,0)</f>
        <v>0</v>
      </c>
      <c r="H349" s="915">
        <f>IF(SETUP!$F$57="Upfront",$E$348*'Malaria-Equipment &amp; Other HPs'!AZ19,0)</f>
        <v>0</v>
      </c>
      <c r="I349" s="915">
        <f>IF(SETUP!$F$57="Upfront",$E$348*'Malaria-Equipment &amp; Other HPs'!BA19,0)</f>
        <v>0</v>
      </c>
      <c r="J349" s="919">
        <f t="shared" si="51"/>
        <v>0</v>
      </c>
      <c r="K349" s="915">
        <f>IF(SETUP!$F$57="Upfront",$E$348*'Malaria-Equipment &amp; Other HPs'!BB19,0)</f>
        <v>0</v>
      </c>
      <c r="L349" s="915">
        <f>IF(SETUP!$F$57="Upfront",$E$348*'Malaria-Equipment &amp; Other HPs'!BC19,0)</f>
        <v>0</v>
      </c>
      <c r="M349" s="915">
        <f>IF(SETUP!$F$57="Upfront",$E$348*'Malaria-Equipment &amp; Other HPs'!BD19,0)</f>
        <v>0</v>
      </c>
      <c r="N349" s="915">
        <f>IF(SETUP!$F$57="Upfront",$E$348*'Malaria-Equipment &amp; Other HPs'!BE19,0)</f>
        <v>0</v>
      </c>
      <c r="O349" s="917">
        <f t="shared" si="52"/>
        <v>0</v>
      </c>
      <c r="P349" s="915">
        <f>IF(SETUP!$F$57="Upfront",$E$348*'Malaria-Equipment &amp; Other HPs'!BF19,0)</f>
        <v>0</v>
      </c>
      <c r="Q349" s="915">
        <f>IF(SETUP!$F$57="Upfront",$E$348*'Malaria-Equipment &amp; Other HPs'!BG19,0)</f>
        <v>0</v>
      </c>
      <c r="R349" s="915">
        <f>IF(SETUP!$F$57="Upfront",$E$348*'Malaria-Equipment &amp; Other HPs'!BH19,0)</f>
        <v>0</v>
      </c>
      <c r="S349" s="915">
        <f>IF(SETUP!$F$57="Upfront",$E$348*'Malaria-Equipment &amp; Other HPs'!BI19,0)</f>
        <v>0</v>
      </c>
      <c r="T349" s="934">
        <f t="shared" si="53"/>
        <v>0</v>
      </c>
      <c r="U349" s="915">
        <f t="shared" si="54"/>
        <v>0</v>
      </c>
      <c r="V349" s="1316"/>
      <c r="W349" s="1995"/>
      <c r="X349" s="1341"/>
    </row>
    <row r="350" spans="1:24" s="665" customFormat="1" ht="15" hidden="1" customHeight="1" outlineLevel="1">
      <c r="A350" s="3197"/>
      <c r="B350" s="3198"/>
      <c r="C350" s="3182" t="s">
        <v>36</v>
      </c>
      <c r="D350" s="3182"/>
      <c r="E350" s="1246"/>
      <c r="F350" s="966">
        <v>0</v>
      </c>
      <c r="G350" s="921">
        <f>IF(SETUP!$F$57="At delivery",IF(SETUP!$G$57=1,$E$348*'Malaria-Equipment &amp; Other HPs'!AX19,0),0)</f>
        <v>0</v>
      </c>
      <c r="H350" s="920">
        <f>IF(SETUP!$F$57="At delivery",IF(SETUP!$G$57=2,$E$348*'Malaria-Equipment &amp; Other HPs'!AX19,IF(SETUP!$G$57=1,$E$348*'Malaria-Equipment &amp; Other HPs'!AY19,0)),0)</f>
        <v>0</v>
      </c>
      <c r="I350" s="920">
        <f>IF(SETUP!$F$57="At delivery",IF(SETUP!$G$57=3,$E$348*'Malaria-Equipment &amp; Other HPs'!AX19,IF(SETUP!$G$57=2,$E$348*'Malaria-Equipment &amp; Other HPs'!AY19,IF(SETUP!$G$57=1,$E$348*'Malaria-Equipment &amp; Other HPs'!AZ19,0))),0)</f>
        <v>0</v>
      </c>
      <c r="J350" s="919">
        <f t="shared" si="51"/>
        <v>0</v>
      </c>
      <c r="K350" s="920">
        <f>IF(SETUP!$F$57="At delivery",IF(SETUP!$G$57=4,$E$348*'Malaria-Equipment &amp; Other HPs'!AX19,IF(SETUP!$G$57=3,$E$348*'Malaria-Equipment &amp; Other HPs'!AY19,IF(SETUP!$G$57=2,$E$348*'Malaria-Equipment &amp; Other HPs'!AZ19,IF(SETUP!$G$57=1,$E$348*'Malaria-Equipment &amp; Other HPs'!BA19,0)))),0)</f>
        <v>0</v>
      </c>
      <c r="L350" s="920">
        <f>IF(SETUP!$F$57="At delivery",IF(SETUP!$G$57=4,$E$348*'Malaria-Equipment &amp; Other HPs'!AY19,IF(SETUP!$G$57=3,$E$348*'Malaria-Equipment &amp; Other HPs'!AZ19,IF(SETUP!$G$57=2,$E$348*'Malaria-Equipment &amp; Other HPs'!BA19,IF(SETUP!$G$57=1,$E$348*'Malaria-Equipment &amp; Other HPs'!BB19,0)))),0)</f>
        <v>0</v>
      </c>
      <c r="M350" s="920">
        <f>IF(SETUP!$F$57="At delivery",IF(SETUP!$G$57=4,$E$348*'Malaria-Equipment &amp; Other HPs'!AZ19,IF(SETUP!$G$57=3,$E$348*'Malaria-Equipment &amp; Other HPs'!BA19,IF(SETUP!$G$57=2,$E$348*'Malaria-Equipment &amp; Other HPs'!BB19,IF(SETUP!$G$57=1,$E$348*'Malaria-Equipment &amp; Other HPs'!BC19,0)))),0)</f>
        <v>0</v>
      </c>
      <c r="N350" s="920">
        <f>IF(SETUP!$F$57="At delivery",IF(SETUP!$G$57=4,$E$348*'Malaria-Equipment &amp; Other HPs'!BA19,IF(SETUP!$G$57=3,$E$348*'Malaria-Equipment &amp; Other HPs'!BB19,IF(SETUP!$G$57=2,$E$348*'Malaria-Equipment &amp; Other HPs'!BC19,IF(SETUP!$G$57=1,$E$348*'Malaria-Equipment &amp; Other HPs'!BD19,0)))),0)</f>
        <v>0</v>
      </c>
      <c r="O350" s="917">
        <f t="shared" si="52"/>
        <v>0</v>
      </c>
      <c r="P350" s="915">
        <f>IF(SETUP!$F$57="At delivery",IF(SETUP!$G$57=4,$E$348*'Malaria-Equipment &amp; Other HPs'!BB19,IF(SETUP!$G$57=3,$E$348*'Malaria-Equipment &amp; Other HPs'!BC19,IF(SETUP!$G$57=2,$E$348*'Malaria-Equipment &amp; Other HPs'!BD19,IF(SETUP!$G$57=1,$E$348*'Malaria-Equipment &amp; Other HPs'!BE19,0)))),0)</f>
        <v>0</v>
      </c>
      <c r="Q350" s="915">
        <f>IF(SETUP!$F$57="At delivery",IF(SETUP!$G$57=4,$E$348*'Malaria-Equipment &amp; Other HPs'!BC19,IF(SETUP!$G$57=3,$E$348*'Malaria-Equipment &amp; Other HPs'!BD19,IF(SETUP!$G$57=2,$E$348*'Malaria-Equipment &amp; Other HPs'!BE19,IF(SETUP!$G$57=1,$E$348*'Malaria-Equipment &amp; Other HPs'!BF19,0)))),0)</f>
        <v>0</v>
      </c>
      <c r="R350" s="915">
        <f>IF(SETUP!$F$57="At delivery",IF(SETUP!$G$57=4,$E$348*'Malaria-Equipment &amp; Other HPs'!BD19,IF(SETUP!$G$57=3,$E$348*'Malaria-Equipment &amp; Other HPs'!BE19,IF(SETUP!$G$57=2,$E$348*'Malaria-Equipment &amp; Other HPs'!BF19,IF(SETUP!$G$57=1,$E$348*'Malaria-Equipment &amp; Other HPs'!BG19,0)))),0)</f>
        <v>0</v>
      </c>
      <c r="S350" s="915">
        <f>IF(SETUP!$F$57="At delivery",IF(SETUP!$G$57=4,$E$348*('Malaria-Equipment &amp; Other HPs'!BE19+'Malaria-Equipment &amp; Other HPs'!BF19+'Malaria-Equipment &amp; Other HPs'!BG19+'Malaria-Equipment &amp; Other HPs'!BH19+'Malaria-Equipment &amp; Other HPs'!BI19),IF(SETUP!$G$57=3,$E$348*('Malaria-Equipment &amp; Other HPs'!BF19+'Malaria-Equipment &amp; Other HPs'!BG19+'Malaria-Equipment &amp; Other HPs'!BH19+'Malaria-Equipment &amp; Other HPs'!BI19),IF(SETUP!$G$57=2,$E$348*('Malaria-Equipment &amp; Other HPs'!BG19+'Malaria-Equipment &amp; Other HPs'!BH19+'Malaria-Equipment &amp; Other HPs'!BI19),IF(SETUP!$G$57=1,$E$348*('Malaria-Equipment &amp; Other HPs'!BH19+'Malaria-Equipment &amp; Other HPs'!BI19),0)))),0)</f>
        <v>0</v>
      </c>
      <c r="T350" s="934">
        <f t="shared" si="53"/>
        <v>0</v>
      </c>
      <c r="U350" s="915">
        <f t="shared" si="54"/>
        <v>0</v>
      </c>
      <c r="V350" s="1316"/>
      <c r="W350" s="1995"/>
      <c r="X350" s="1341"/>
    </row>
    <row r="351" spans="1:24" s="665" customFormat="1" ht="15" hidden="1" customHeight="1" collapsed="1" thickBot="1">
      <c r="A351" s="3199"/>
      <c r="B351" s="3200"/>
      <c r="C351" s="3204" t="s">
        <v>459</v>
      </c>
      <c r="D351" s="3204"/>
      <c r="E351" s="1245">
        <v>0</v>
      </c>
      <c r="F351" s="1025">
        <f>IF(SETUP!$F$58="Upfront",F352,F353)</f>
        <v>0</v>
      </c>
      <c r="G351" s="969">
        <f>IF(SETUP!$F$58="Upfront",G352,G353)</f>
        <v>0</v>
      </c>
      <c r="H351" s="969">
        <f>IF(SETUP!$F$58="Upfront",H352,H353)</f>
        <v>0</v>
      </c>
      <c r="I351" s="969">
        <f>IF(SETUP!$F$58="Upfront",I352,I353)</f>
        <v>0</v>
      </c>
      <c r="J351" s="970">
        <f t="shared" si="51"/>
        <v>0</v>
      </c>
      <c r="K351" s="969">
        <f>IF(SETUP!$F$58="Upfront",K352,K353)</f>
        <v>0</v>
      </c>
      <c r="L351" s="969">
        <f>IF(SETUP!$F$58="Upfront",L352,L353)</f>
        <v>0</v>
      </c>
      <c r="M351" s="969">
        <f>IF(SETUP!$F$58="Upfront",M352,M353)</f>
        <v>0</v>
      </c>
      <c r="N351" s="969">
        <f>IF(SETUP!$F$58="Upfront",N352,N353)</f>
        <v>0</v>
      </c>
      <c r="O351" s="971">
        <f t="shared" si="52"/>
        <v>0</v>
      </c>
      <c r="P351" s="969">
        <f>IF(SETUP!$F$58="Upfront",P352,P353)</f>
        <v>0</v>
      </c>
      <c r="Q351" s="969">
        <f>IF(SETUP!$F$58="Upfront",Q352,Q353)</f>
        <v>0</v>
      </c>
      <c r="R351" s="969">
        <f>IF(SETUP!$F$58="Upfront",R352,R353)</f>
        <v>0</v>
      </c>
      <c r="S351" s="969">
        <f>IF(SETUP!$F$58="Upfront",S352,S353)</f>
        <v>0</v>
      </c>
      <c r="T351" s="973">
        <f t="shared" si="53"/>
        <v>0</v>
      </c>
      <c r="U351" s="969">
        <f t="shared" si="54"/>
        <v>0</v>
      </c>
      <c r="V351" s="1317">
        <v>7.6</v>
      </c>
      <c r="W351" s="1996"/>
      <c r="X351" s="1342"/>
    </row>
    <row r="352" spans="1:24" s="665" customFormat="1" ht="15" hidden="1" customHeight="1" outlineLevel="1">
      <c r="A352" s="1029"/>
      <c r="B352" s="1028"/>
      <c r="C352" s="3241" t="s">
        <v>777</v>
      </c>
      <c r="D352" s="3241"/>
      <c r="E352" s="1219"/>
      <c r="F352" s="922">
        <f>IF(SETUP!$F$58="Upfront",$E$351*'Malaria-Equipment &amp; Other HPs'!AX20,0)</f>
        <v>0</v>
      </c>
      <c r="G352" s="922">
        <f>IF(SETUP!$F$58="Upfront",$E$351*'Malaria-Equipment &amp; Other HPs'!AY20,0)</f>
        <v>0</v>
      </c>
      <c r="H352" s="922">
        <f>IF(SETUP!$F$58="Upfront",$E$351*'Malaria-Equipment &amp; Other HPs'!AZ20,0)</f>
        <v>0</v>
      </c>
      <c r="I352" s="922">
        <f>IF(SETUP!$F$58="Upfront",$E$351*'Malaria-Equipment &amp; Other HPs'!BA20,0)</f>
        <v>0</v>
      </c>
      <c r="J352" s="923"/>
      <c r="K352" s="922">
        <f>IF(SETUP!$F$58="Upfront",$E$351*'Malaria-Equipment &amp; Other HPs'!BB20,0)</f>
        <v>0</v>
      </c>
      <c r="L352" s="922">
        <f>IF(SETUP!$F$58="Upfront",$E$351*'Malaria-Equipment &amp; Other HPs'!BC20,0)</f>
        <v>0</v>
      </c>
      <c r="M352" s="922">
        <f>IF(SETUP!$F$58="Upfront",$E$351*'Malaria-Equipment &amp; Other HPs'!BD20,0)</f>
        <v>0</v>
      </c>
      <c r="N352" s="922">
        <f>IF(SETUP!$F$58="Upfront",$E$351*'Malaria-Equipment &amp; Other HPs'!BE20,0)</f>
        <v>0</v>
      </c>
      <c r="O352" s="924"/>
      <c r="P352" s="922">
        <f>IF(SETUP!$F$58="Upfront",$E$351*'Malaria-Equipment &amp; Other HPs'!BF20,0)</f>
        <v>0</v>
      </c>
      <c r="Q352" s="922">
        <f>IF(SETUP!$F$58="Upfront",$E$351*'Malaria-Equipment &amp; Other HPs'!BG20,0)</f>
        <v>0</v>
      </c>
      <c r="R352" s="922">
        <f>IF(SETUP!$F$58="Upfront",$E$351*'Malaria-Equipment &amp; Other HPs'!BH20,0)</f>
        <v>0</v>
      </c>
      <c r="S352" s="922">
        <f>IF(SETUP!$F$58="Upfront",$E$351*'Malaria-Equipment &amp; Other HPs'!BI20,0)</f>
        <v>0</v>
      </c>
      <c r="T352" s="935"/>
      <c r="U352" s="922"/>
      <c r="V352" s="737"/>
      <c r="W352" s="1998"/>
    </row>
    <row r="353" spans="1:72" s="665" customFormat="1" ht="15" hidden="1" customHeight="1" outlineLevel="1" thickBot="1">
      <c r="A353" s="976"/>
      <c r="B353" s="977"/>
      <c r="C353" s="3244" t="s">
        <v>36</v>
      </c>
      <c r="D353" s="3244"/>
      <c r="E353" s="1220"/>
      <c r="F353" s="926">
        <v>0</v>
      </c>
      <c r="G353" s="927">
        <f>IF(SETUP!$F$58="At delivery",IF(SETUP!$G$58=1,$E$351*'Malaria-Equipment &amp; Other HPs'!AX20,0),0)</f>
        <v>0</v>
      </c>
      <c r="H353" s="928">
        <f>IF(SETUP!$F$58="At delivery",IF(SETUP!$G$58=2,$E$351*'Malaria-Equipment &amp; Other HPs'!AX20,IF(SETUP!$G$58=1,$E$351*'Malaria-Equipment &amp; Other HPs'!AY20,0)),0)</f>
        <v>0</v>
      </c>
      <c r="I353" s="928">
        <f>IF(SETUP!$F$58="At delivery",IF(SETUP!$G$58=3,$E$351*'Malaria-Equipment &amp; Other HPs'!AX20,IF(SETUP!$G$58=2,$E$351*'Malaria-Equipment &amp; Other HPs'!AY20,IF(SETUP!$G$58=1,$E$351*'Malaria-Equipment &amp; Other HPs'!AZ20,0))),0)</f>
        <v>0</v>
      </c>
      <c r="J353" s="911">
        <f>'HPM costs'!$F353+'HPM costs'!$G353+'HPM costs'!$H353+'HPM costs'!$I353</f>
        <v>0</v>
      </c>
      <c r="K353" s="928">
        <f>IF(SETUP!$F$58="At delivery",IF(SETUP!$G$58=4,$E$351*'Malaria-Equipment &amp; Other HPs'!AX20,IF(SETUP!$G$58=3,$E$351*'Malaria-Equipment &amp; Other HPs'!AY20,IF(SETUP!$G$58=2,$E$351*'Malaria-Equipment &amp; Other HPs'!AZ20,IF(SETUP!$G$58=1,$E$351*'Malaria-Equipment &amp; Other HPs'!BA20,0)))),0)</f>
        <v>0</v>
      </c>
      <c r="L353" s="928">
        <f>IF(SETUP!$F$58="At delivery",IF(SETUP!$G$58=4,$E$351*'Malaria-Equipment &amp; Other HPs'!AY20,IF(SETUP!$G$58=3,$E$351*'Malaria-Equipment &amp; Other HPs'!AZ20,IF(SETUP!$G$58=2,$E$351*'Malaria-Equipment &amp; Other HPs'!BA20,IF(SETUP!$G$58=1,$E$351*'Malaria-Equipment &amp; Other HPs'!BB20,0)))),0)</f>
        <v>0</v>
      </c>
      <c r="M353" s="928">
        <f>IF(SETUP!$F$58="At delivery",IF(SETUP!$G$58=4,$E$351*'Malaria-Equipment &amp; Other HPs'!AZ20,IF(SETUP!$G$58=3,$E$351*'Malaria-Equipment &amp; Other HPs'!BA20,IF(SETUP!$G$58=2,$E$351*'Malaria-Equipment &amp; Other HPs'!BB20,IF(SETUP!$G$58=1,$E$351*'Malaria-Equipment &amp; Other HPs'!BC20,0)))),0)</f>
        <v>0</v>
      </c>
      <c r="N353" s="928">
        <f>IF(SETUP!$F$58="At delivery",IF(SETUP!$G$58=4,$E$351*'Malaria-Equipment &amp; Other HPs'!BA20,IF(SETUP!$G$58=3,$E$351*'Malaria-Equipment &amp; Other HPs'!BB20,IF(SETUP!$G$58=2,$E$351*'Malaria-Equipment &amp; Other HPs'!BC20,IF(SETUP!$G$58=1,$E$351*'Malaria-Equipment &amp; Other HPs'!BD20,0)))),0)</f>
        <v>0</v>
      </c>
      <c r="O353" s="929">
        <f>'HPM costs'!$K353+'HPM costs'!$L353+'HPM costs'!$M353+'HPM costs'!$N353</f>
        <v>0</v>
      </c>
      <c r="P353" s="926">
        <f>IF(SETUP!$F$58="At delivery",IF(SETUP!$G$58=4,$E$351*'Malaria-Equipment &amp; Other HPs'!BB20,IF(SETUP!$G$58=3,$E$351*'Malaria-Equipment &amp; Other HPs'!BC20,IF(SETUP!$G$58=2,$E$351*'Malaria-Equipment &amp; Other HPs'!BD20,IF(SETUP!$G$58=1,$E$351*'Malaria-Equipment &amp; Other HPs'!BE20,0)))),0)</f>
        <v>0</v>
      </c>
      <c r="Q353" s="926">
        <f>IF(SETUP!$F$58="At delivery",IF(SETUP!$G$58=4,$E$351*'Malaria-Equipment &amp; Other HPs'!BC20,IF(SETUP!$G$58=3,$E$351*'Malaria-Equipment &amp; Other HPs'!BD20,IF(SETUP!$G$58=2,$E$351*'Malaria-Equipment &amp; Other HPs'!BE20,IF(SETUP!$G$58=1,$E$351*'Malaria-Equipment &amp; Other HPs'!BF20,0)))),0)</f>
        <v>0</v>
      </c>
      <c r="R353" s="926">
        <f>IF(SETUP!$F$58="At delivery",IF(SETUP!$G$58=4,$E$351*'Malaria-Equipment &amp; Other HPs'!BD20,IF(SETUP!$G$58=3,$E$351*'Malaria-Equipment &amp; Other HPs'!BE20,IF(SETUP!$G$58=2,$E$351*'Malaria-Equipment &amp; Other HPs'!BF20,IF(SETUP!$G$58=1,$E$351*'Malaria-Equipment &amp; Other HPs'!BG20,0)))),0)</f>
        <v>0</v>
      </c>
      <c r="S353" s="926">
        <f>IF(SETUP!$F$58="At delivery",IF(SETUP!$G$58=4,$E$351*('Malaria-Equipment &amp; Other HPs'!BE20+'Malaria-Equipment &amp; Other HPs'!BF20+'Malaria-Equipment &amp; Other HPs'!BG20+'Malaria-Equipment &amp; Other HPs'!BH20+'Malaria-Equipment &amp; Other HPs'!BI20),IF(SETUP!$G$58=3,$E$351*('Malaria-Equipment &amp; Other HPs'!BF20+'Malaria-Equipment &amp; Other HPs'!BG20+'Malaria-Equipment &amp; Other HPs'!BH20+'Malaria-Equipment &amp; Other HPs'!BI20),IF(SETUP!$G$58=2,$E$351*('Malaria-Equipment &amp; Other HPs'!BG20+'Malaria-Equipment &amp; Other HPs'!BH20+'Malaria-Equipment &amp; Other HPs'!BI20),IF(SETUP!$G$58=1,$E$351*('Malaria-Equipment &amp; Other HPs'!BH20+'Malaria-Equipment &amp; Other HPs'!BI20),0)))),0)</f>
        <v>0</v>
      </c>
      <c r="T353" s="936">
        <f>'HPM costs'!$P353+'HPM costs'!$Q353+'HPM costs'!$R353+'HPM costs'!$S353</f>
        <v>0</v>
      </c>
      <c r="U353" s="926">
        <f>'HPM costs'!$J353+'HPM costs'!$O353+'HPM costs'!$T353</f>
        <v>0</v>
      </c>
      <c r="V353" s="738">
        <v>7.6</v>
      </c>
      <c r="W353" s="1998"/>
    </row>
    <row r="354" spans="1:72" s="665" customFormat="1" ht="15" customHeight="1" collapsed="1" thickBot="1">
      <c r="A354" s="667"/>
      <c r="B354" s="667"/>
      <c r="C354" s="668"/>
      <c r="D354" s="669"/>
      <c r="E354" s="670"/>
      <c r="F354" s="669"/>
      <c r="G354" s="669"/>
      <c r="H354" s="669"/>
      <c r="I354" s="671"/>
      <c r="U354" s="1718"/>
      <c r="V354" s="736"/>
      <c r="W354" s="1998"/>
      <c r="Y354" s="672"/>
      <c r="Z354" s="669"/>
      <c r="AA354" s="669"/>
      <c r="AB354" s="669"/>
      <c r="AC354" s="669"/>
      <c r="AD354" s="669"/>
      <c r="AE354" s="669"/>
      <c r="AF354" s="669"/>
      <c r="AG354" s="669"/>
      <c r="AH354" s="669"/>
      <c r="AI354" s="669"/>
      <c r="AJ354" s="669"/>
      <c r="AK354" s="669"/>
      <c r="AL354" s="669"/>
    </row>
    <row r="355" spans="1:72" s="571" customFormat="1" ht="15" customHeight="1">
      <c r="A355" s="3231">
        <v>2</v>
      </c>
      <c r="B355" s="3242" t="s">
        <v>462</v>
      </c>
      <c r="C355" s="3242"/>
      <c r="D355" s="3242"/>
      <c r="E355" s="3242"/>
      <c r="F355" s="3242"/>
      <c r="G355" s="3242"/>
      <c r="H355" s="3242"/>
      <c r="I355" s="3242"/>
      <c r="J355" s="3242"/>
      <c r="K355" s="3298" t="s">
        <v>463</v>
      </c>
      <c r="L355" s="3299"/>
      <c r="M355" s="3246" t="s">
        <v>2531</v>
      </c>
      <c r="N355" s="3246"/>
      <c r="O355" s="3246" t="s">
        <v>2530</v>
      </c>
      <c r="P355" s="3247"/>
      <c r="Q355" s="578"/>
      <c r="R355" s="579"/>
      <c r="S355" s="579"/>
      <c r="T355" s="579"/>
      <c r="U355" s="579"/>
      <c r="V355" s="740"/>
      <c r="W355" s="568"/>
      <c r="X355" s="579"/>
      <c r="Y355" s="579"/>
      <c r="Z355" s="579"/>
      <c r="AA355" s="579"/>
      <c r="AB355" s="579"/>
      <c r="AC355" s="579"/>
      <c r="AD355" s="579"/>
      <c r="AE355" s="579"/>
      <c r="AF355" s="579"/>
      <c r="AG355" s="579"/>
      <c r="AH355" s="579"/>
      <c r="AI355" s="579"/>
      <c r="AJ355" s="579"/>
      <c r="AK355" s="579"/>
      <c r="AL355" s="579"/>
      <c r="AM355" s="579"/>
      <c r="AN355" s="579"/>
      <c r="AO355" s="579"/>
      <c r="AP355" s="579"/>
      <c r="AQ355" s="579"/>
      <c r="AR355" s="579"/>
      <c r="AS355" s="579"/>
      <c r="AT355" s="579"/>
      <c r="AU355" s="579"/>
      <c r="AV355" s="579"/>
      <c r="AW355" s="579"/>
      <c r="AX355" s="579"/>
      <c r="AY355" s="579"/>
      <c r="AZ355" s="579"/>
      <c r="BA355" s="579"/>
      <c r="BB355" s="579"/>
      <c r="BC355" s="579"/>
      <c r="BD355" s="579"/>
      <c r="BE355" s="579"/>
      <c r="BF355" s="579"/>
      <c r="BG355" s="579"/>
      <c r="BH355" s="579"/>
      <c r="BI355" s="579"/>
      <c r="BJ355" s="579"/>
      <c r="BK355" s="579"/>
      <c r="BL355" s="579"/>
      <c r="BM355" s="579"/>
      <c r="BN355" s="579"/>
      <c r="BO355" s="579"/>
      <c r="BP355" s="579"/>
      <c r="BQ355" s="579"/>
      <c r="BR355" s="579"/>
    </row>
    <row r="356" spans="1:72" s="571" customFormat="1" ht="15" customHeight="1" thickBot="1">
      <c r="A356" s="3232"/>
      <c r="B356" s="3243"/>
      <c r="C356" s="3243"/>
      <c r="D356" s="3243"/>
      <c r="E356" s="3243"/>
      <c r="F356" s="3243"/>
      <c r="G356" s="3243"/>
      <c r="H356" s="3243"/>
      <c r="I356" s="3243"/>
      <c r="J356" s="3243"/>
      <c r="K356" s="3300"/>
      <c r="L356" s="3301"/>
      <c r="M356" s="3261"/>
      <c r="N356" s="3261"/>
      <c r="O356" s="3248"/>
      <c r="P356" s="3248"/>
      <c r="Q356" s="578"/>
      <c r="R356" s="579"/>
      <c r="S356" s="579"/>
      <c r="T356" s="579"/>
      <c r="U356" s="579"/>
      <c r="V356" s="740"/>
      <c r="W356" s="568"/>
      <c r="X356" s="583"/>
      <c r="Y356" s="583"/>
      <c r="Z356" s="583"/>
      <c r="AA356" s="583"/>
      <c r="AB356" s="583"/>
      <c r="AC356" s="583"/>
      <c r="AD356" s="583"/>
      <c r="AE356" s="583"/>
      <c r="AF356" s="583"/>
      <c r="AG356" s="583"/>
      <c r="AH356" s="583"/>
      <c r="AI356" s="579"/>
      <c r="AJ356" s="579"/>
      <c r="AK356" s="579"/>
      <c r="AL356" s="579"/>
      <c r="AM356" s="579"/>
      <c r="AN356" s="579"/>
      <c r="AO356" s="579"/>
      <c r="AP356" s="579"/>
      <c r="AQ356" s="579"/>
      <c r="AR356" s="579"/>
      <c r="AS356" s="579"/>
      <c r="AT356" s="579"/>
      <c r="AU356" s="579"/>
      <c r="AV356" s="579"/>
      <c r="AW356" s="579"/>
      <c r="AX356" s="579"/>
      <c r="AY356" s="579"/>
      <c r="AZ356" s="579"/>
      <c r="BA356" s="579"/>
      <c r="BB356" s="579"/>
      <c r="BC356" s="579"/>
      <c r="BD356" s="579"/>
      <c r="BE356" s="579"/>
      <c r="BF356" s="579"/>
      <c r="BG356" s="579"/>
      <c r="BH356" s="579"/>
      <c r="BI356" s="579"/>
      <c r="BJ356" s="579"/>
      <c r="BK356" s="579"/>
      <c r="BL356" s="579"/>
      <c r="BM356" s="579"/>
      <c r="BN356" s="579"/>
      <c r="BO356" s="579"/>
      <c r="BP356" s="579"/>
      <c r="BQ356" s="579"/>
      <c r="BR356" s="579"/>
    </row>
    <row r="357" spans="1:72" s="571" customFormat="1" ht="13">
      <c r="A357" s="581"/>
      <c r="B357" s="581"/>
      <c r="C357" s="581"/>
      <c r="D357" s="581"/>
      <c r="E357" s="723"/>
      <c r="F357" s="581"/>
      <c r="G357" s="581"/>
      <c r="H357" s="581"/>
      <c r="I357" s="581"/>
      <c r="J357" s="581"/>
      <c r="K357" s="581"/>
      <c r="L357" s="581"/>
      <c r="M357" s="581"/>
      <c r="N357" s="581"/>
      <c r="O357" s="581"/>
      <c r="P357" s="581"/>
      <c r="Q357" s="581"/>
      <c r="R357" s="581"/>
      <c r="S357" s="581"/>
      <c r="T357" s="581"/>
      <c r="U357" s="581"/>
      <c r="V357" s="741"/>
      <c r="W357" s="2003"/>
      <c r="X357" s="581"/>
      <c r="Y357" s="673"/>
      <c r="Z357" s="579"/>
      <c r="AA357" s="579"/>
      <c r="AB357" s="579"/>
      <c r="AC357" s="579"/>
      <c r="AD357" s="579"/>
      <c r="AE357" s="579"/>
      <c r="AF357" s="579"/>
      <c r="AG357" s="579"/>
      <c r="AH357" s="674"/>
      <c r="AI357" s="579"/>
      <c r="AJ357" s="579"/>
      <c r="AK357" s="579"/>
      <c r="AL357" s="579"/>
      <c r="AM357" s="579"/>
      <c r="AN357" s="579"/>
      <c r="AO357" s="579"/>
      <c r="AP357" s="579"/>
      <c r="AQ357" s="579"/>
      <c r="AR357" s="579"/>
      <c r="AS357" s="579"/>
      <c r="AT357" s="579"/>
      <c r="AU357" s="579"/>
      <c r="AV357" s="579"/>
      <c r="AW357" s="579"/>
      <c r="AX357" s="579"/>
      <c r="AY357" s="579"/>
      <c r="AZ357" s="579"/>
      <c r="BA357" s="579"/>
      <c r="BB357" s="579"/>
      <c r="BC357" s="579"/>
      <c r="BD357" s="579"/>
      <c r="BE357" s="579"/>
      <c r="BF357" s="579"/>
      <c r="BG357" s="579"/>
      <c r="BH357" s="579"/>
      <c r="BI357" s="579"/>
      <c r="BJ357" s="579"/>
      <c r="BK357" s="579"/>
      <c r="BL357" s="579"/>
      <c r="BM357" s="579"/>
      <c r="BN357" s="579"/>
      <c r="BO357" s="579"/>
      <c r="BP357" s="579"/>
      <c r="BQ357" s="579"/>
      <c r="BR357" s="579"/>
      <c r="BS357" s="579"/>
      <c r="BT357" s="579"/>
    </row>
    <row r="358" spans="1:72" s="1075" customFormat="1" ht="25.5" customHeight="1" thickBot="1">
      <c r="A358" s="1074" t="s">
        <v>1235</v>
      </c>
      <c r="E358" s="1076"/>
      <c r="F358" s="1080"/>
      <c r="G358" s="1077"/>
      <c r="H358" s="1077"/>
      <c r="I358" s="1077"/>
      <c r="J358" s="1077"/>
      <c r="K358" s="1077"/>
      <c r="L358" s="1077"/>
      <c r="M358" s="1077"/>
      <c r="N358" s="1077"/>
      <c r="O358" s="1077"/>
      <c r="P358" s="1077"/>
      <c r="Q358" s="1077"/>
      <c r="R358" s="1077"/>
      <c r="S358" s="1077"/>
      <c r="T358" s="1077"/>
      <c r="U358" s="1077"/>
      <c r="V358" s="1078"/>
      <c r="W358" s="2004"/>
      <c r="X358" s="1077"/>
      <c r="Z358" s="1079"/>
      <c r="AA358" s="1079"/>
      <c r="AB358" s="1079"/>
      <c r="AC358" s="1079"/>
      <c r="AD358" s="1079"/>
      <c r="AE358" s="1079"/>
      <c r="AF358" s="1079"/>
      <c r="AG358" s="1079"/>
      <c r="AH358" s="1079"/>
      <c r="AI358" s="1079"/>
      <c r="AJ358" s="1079"/>
      <c r="AK358" s="1079"/>
      <c r="AL358" s="1079"/>
      <c r="AM358" s="1079"/>
      <c r="AN358" s="1079"/>
      <c r="AO358" s="1079"/>
      <c r="AP358" s="1079"/>
      <c r="AQ358" s="1079"/>
      <c r="AR358" s="1079"/>
      <c r="AS358" s="1079"/>
      <c r="AT358" s="1079"/>
      <c r="AU358" s="1079"/>
      <c r="AV358" s="1079"/>
      <c r="AW358" s="1079"/>
      <c r="AX358" s="1079"/>
      <c r="AY358" s="1079"/>
      <c r="AZ358" s="1079"/>
      <c r="BA358" s="1079"/>
      <c r="BB358" s="1079"/>
      <c r="BC358" s="1079"/>
      <c r="BD358" s="1079"/>
      <c r="BE358" s="1079"/>
      <c r="BF358" s="1079"/>
      <c r="BG358" s="1079"/>
      <c r="BH358" s="1079"/>
      <c r="BI358" s="1079"/>
      <c r="BJ358" s="1079"/>
      <c r="BK358" s="1079"/>
      <c r="BL358" s="1079"/>
      <c r="BM358" s="1079"/>
      <c r="BN358" s="1079"/>
      <c r="BO358" s="1079"/>
      <c r="BP358" s="1079"/>
      <c r="BQ358" s="1079"/>
      <c r="BR358" s="1079"/>
      <c r="BS358" s="1079"/>
      <c r="BT358" s="1079"/>
    </row>
    <row r="359" spans="1:72" s="576" customFormat="1" ht="26.5" thickBot="1">
      <c r="A359" s="3209" t="str">
        <f>VLOOKUP("Cost description (e.g: service provider,…)",Language!$D$882:$G$969,$L$1,FALSE)</f>
        <v>Descripción del costo (por ejemplo: proveedor de servicios,…)</v>
      </c>
      <c r="B359" s="3210"/>
      <c r="C359" s="3210"/>
      <c r="D359" s="3219"/>
      <c r="E359" s="3239" t="str">
        <f>VLOOKUP("Estimated fees (7.3)",Language!$D$882:$G$969,$L$1,FALSE)</f>
        <v>Honorarios estimados (7.3)</v>
      </c>
      <c r="F359" s="3209">
        <f>IF(ISBLANK(IMP_ST_DATE),SETUP!$A$3,YEAR(IMP_ST_DATE))</f>
        <v>2022</v>
      </c>
      <c r="G359" s="3210"/>
      <c r="H359" s="3210"/>
      <c r="I359" s="3210"/>
      <c r="J359" s="3221"/>
      <c r="K359" s="3209">
        <f>IF(ISBLANK(IMP_ST_DATE),SETUP!$A$3,YEAR(IMP_ST_DATE)+1)</f>
        <v>2023</v>
      </c>
      <c r="L359" s="3210"/>
      <c r="M359" s="3210"/>
      <c r="N359" s="3210"/>
      <c r="O359" s="3221"/>
      <c r="P359" s="3209">
        <f>IF(ISBLANK(IMP_ST_DATE),SETUP!$A$3,YEAR(IMP_ST_DATE)+2)</f>
        <v>2024</v>
      </c>
      <c r="Q359" s="3210"/>
      <c r="R359" s="3210"/>
      <c r="S359" s="3210"/>
      <c r="T359" s="3221"/>
      <c r="U359" s="1927" t="str">
        <f>U270</f>
        <v>Total del período de subvención</v>
      </c>
      <c r="V359" s="1365" t="str">
        <f>V270</f>
        <v>Finanzas</v>
      </c>
      <c r="W359" s="3284" t="str">
        <f>W270</f>
        <v>Comentarios</v>
      </c>
      <c r="X359" s="675"/>
      <c r="Y359" s="676"/>
      <c r="Z359" s="676"/>
      <c r="AA359" s="676"/>
      <c r="AB359" s="676"/>
      <c r="AC359" s="676"/>
      <c r="AD359" s="676"/>
      <c r="AE359" s="676"/>
      <c r="AF359" s="677"/>
      <c r="AG359" s="676"/>
      <c r="AH359" s="676"/>
      <c r="AI359" s="676"/>
      <c r="AJ359" s="676"/>
      <c r="AK359" s="676"/>
      <c r="AL359" s="676"/>
      <c r="AM359" s="676"/>
      <c r="AN359" s="676"/>
      <c r="AO359" s="676"/>
      <c r="AP359" s="676"/>
      <c r="AQ359" s="676"/>
      <c r="AR359" s="676"/>
      <c r="AS359" s="676"/>
      <c r="AT359" s="676"/>
      <c r="AU359" s="676"/>
      <c r="AV359" s="676"/>
      <c r="AW359" s="676"/>
      <c r="AX359" s="676"/>
      <c r="AY359" s="676"/>
      <c r="AZ359" s="676"/>
      <c r="BA359" s="676"/>
      <c r="BB359" s="676"/>
      <c r="BC359" s="676"/>
      <c r="BD359" s="676"/>
      <c r="BE359" s="676"/>
      <c r="BF359" s="676"/>
      <c r="BG359" s="676"/>
      <c r="BH359" s="676"/>
      <c r="BI359" s="676"/>
      <c r="BJ359" s="676"/>
      <c r="BK359" s="676"/>
      <c r="BL359" s="676"/>
      <c r="BM359" s="676"/>
      <c r="BN359" s="676"/>
      <c r="BO359" s="676"/>
      <c r="BP359" s="676"/>
      <c r="BQ359" s="676"/>
      <c r="BR359" s="676"/>
    </row>
    <row r="360" spans="1:72" s="680" customFormat="1" ht="24" customHeight="1" thickBot="1">
      <c r="A360" s="3212"/>
      <c r="B360" s="3213"/>
      <c r="C360" s="3213"/>
      <c r="D360" s="3220"/>
      <c r="E360" s="3240"/>
      <c r="F360" s="3212"/>
      <c r="G360" s="3213"/>
      <c r="H360" s="3213"/>
      <c r="I360" s="3213"/>
      <c r="J360" s="3222"/>
      <c r="K360" s="3212"/>
      <c r="L360" s="3213"/>
      <c r="M360" s="3213"/>
      <c r="N360" s="3213"/>
      <c r="O360" s="3222"/>
      <c r="P360" s="3212"/>
      <c r="Q360" s="3213"/>
      <c r="R360" s="3213"/>
      <c r="S360" s="3213"/>
      <c r="T360" s="3222"/>
      <c r="U360" s="1366" t="str">
        <f>U272</f>
        <v xml:space="preserve">Costo total </v>
      </c>
      <c r="V360" s="1366" t="str">
        <f>V272</f>
        <v>Categoría de costos</v>
      </c>
      <c r="W360" s="3285"/>
      <c r="X360" s="678"/>
      <c r="Y360" s="679"/>
      <c r="Z360" s="679"/>
      <c r="AA360" s="679"/>
      <c r="AB360" s="679"/>
      <c r="AC360" s="679"/>
      <c r="AD360" s="679"/>
      <c r="AE360" s="679"/>
      <c r="AF360" s="679"/>
      <c r="AG360" s="679"/>
      <c r="AH360" s="679"/>
      <c r="AI360" s="679"/>
      <c r="AJ360" s="679"/>
      <c r="AK360" s="679"/>
      <c r="AL360" s="679"/>
      <c r="AM360" s="679"/>
      <c r="AN360" s="679"/>
      <c r="AO360" s="679"/>
      <c r="AP360" s="679"/>
      <c r="AQ360" s="679"/>
      <c r="AR360" s="679"/>
      <c r="AS360" s="679"/>
      <c r="AT360" s="679"/>
      <c r="AU360" s="679"/>
      <c r="AV360" s="679"/>
      <c r="AW360" s="679"/>
      <c r="AX360" s="679"/>
      <c r="AY360" s="679"/>
      <c r="AZ360" s="679"/>
      <c r="BA360" s="679"/>
      <c r="BB360" s="679"/>
      <c r="BC360" s="679"/>
      <c r="BD360" s="679"/>
      <c r="BE360" s="679"/>
      <c r="BF360" s="679"/>
      <c r="BG360" s="679"/>
      <c r="BH360" s="679"/>
      <c r="BI360" s="679"/>
      <c r="BJ360" s="679"/>
      <c r="BK360" s="679"/>
      <c r="BL360" s="679"/>
      <c r="BM360" s="679"/>
      <c r="BN360" s="679"/>
      <c r="BO360" s="679"/>
      <c r="BP360" s="679"/>
      <c r="BQ360" s="679"/>
      <c r="BR360" s="679"/>
    </row>
    <row r="361" spans="1:72" s="571" customFormat="1" ht="13.5" thickBot="1">
      <c r="A361" s="3191" t="s">
        <v>435</v>
      </c>
      <c r="B361" s="3192"/>
      <c r="C361" s="3203" t="s">
        <v>436</v>
      </c>
      <c r="D361" s="3203"/>
      <c r="E361" s="1245">
        <v>0</v>
      </c>
      <c r="F361" s="1015">
        <f>IF(SETUP!$F$20="Upfront",F362,F363)</f>
        <v>0</v>
      </c>
      <c r="G361" s="996">
        <f>IF(SETUP!$F$20="Upfront",G362,G363)</f>
        <v>0</v>
      </c>
      <c r="H361" s="996">
        <f>IF(SETUP!$F$20="Upfront",H362,H363)</f>
        <v>0</v>
      </c>
      <c r="I361" s="996">
        <f>IF(SETUP!$F$20="Upfront",I362,I363)</f>
        <v>0</v>
      </c>
      <c r="J361" s="996">
        <f>F361+G361+H361+I361</f>
        <v>0</v>
      </c>
      <c r="K361" s="1015">
        <f>IF(SETUP!$F$20="Upfront",K362,K363)</f>
        <v>0</v>
      </c>
      <c r="L361" s="996">
        <f>IF(SETUP!$F$20="Upfront",L362,L363)</f>
        <v>0</v>
      </c>
      <c r="M361" s="996">
        <f>IF(SETUP!$F$20="Upfront",M362,M363)</f>
        <v>0</v>
      </c>
      <c r="N361" s="996">
        <f>IF(SETUP!$F$20="Upfront",N362,N363)</f>
        <v>0</v>
      </c>
      <c r="O361" s="996">
        <f>K361+L361+M361+N361</f>
        <v>0</v>
      </c>
      <c r="P361" s="1015">
        <f>IF(SETUP!$F$20="Upfront",P362,P363)</f>
        <v>0</v>
      </c>
      <c r="Q361" s="996">
        <f>IF(SETUP!$F$20="Upfront",Q362,Q363)</f>
        <v>0</v>
      </c>
      <c r="R361" s="996">
        <f>IF(SETUP!$F$20="Upfront",R362,R363)</f>
        <v>0</v>
      </c>
      <c r="S361" s="996">
        <f>IF(SETUP!$F$20="Upfront",S362,S363)</f>
        <v>0</v>
      </c>
      <c r="T361" s="996">
        <f>P361+Q361+R361+S361</f>
        <v>0</v>
      </c>
      <c r="U361" s="1015">
        <f>J361+O361+T361</f>
        <v>0</v>
      </c>
      <c r="V361" s="1343">
        <v>7.3</v>
      </c>
      <c r="W361" s="2005"/>
      <c r="X361" s="654" t="s">
        <v>469</v>
      </c>
      <c r="Y361" s="579"/>
      <c r="Z361" s="579"/>
      <c r="AA361" s="579"/>
      <c r="AB361" s="579"/>
      <c r="AC361" s="579"/>
      <c r="AD361" s="579"/>
      <c r="AE361" s="579"/>
      <c r="AF361" s="674"/>
      <c r="AG361" s="579"/>
      <c r="AH361" s="579"/>
      <c r="AI361" s="579"/>
      <c r="AJ361" s="579"/>
      <c r="AK361" s="579"/>
      <c r="AL361" s="579"/>
      <c r="AM361" s="579"/>
      <c r="AN361" s="579"/>
      <c r="AO361" s="579"/>
      <c r="AP361" s="579"/>
      <c r="AQ361" s="579"/>
      <c r="AR361" s="579"/>
      <c r="AS361" s="579"/>
      <c r="AT361" s="579"/>
      <c r="AU361" s="579"/>
      <c r="AV361" s="579"/>
      <c r="AW361" s="579"/>
      <c r="AX361" s="579"/>
      <c r="AY361" s="579"/>
      <c r="AZ361" s="579"/>
      <c r="BA361" s="579"/>
      <c r="BB361" s="579"/>
      <c r="BC361" s="579"/>
      <c r="BD361" s="579"/>
      <c r="BE361" s="579"/>
      <c r="BF361" s="579"/>
      <c r="BG361" s="579"/>
      <c r="BH361" s="579"/>
      <c r="BI361" s="579"/>
      <c r="BJ361" s="579"/>
      <c r="BK361" s="579"/>
      <c r="BL361" s="579"/>
      <c r="BM361" s="579"/>
      <c r="BN361" s="579"/>
      <c r="BO361" s="579"/>
      <c r="BP361" s="579"/>
      <c r="BQ361" s="579"/>
      <c r="BR361" s="579"/>
    </row>
    <row r="362" spans="1:72" s="571" customFormat="1" ht="16.149999999999999" hidden="1" customHeight="1" outlineLevel="1">
      <c r="A362" s="3193"/>
      <c r="B362" s="3194"/>
      <c r="C362" s="3182" t="s">
        <v>777</v>
      </c>
      <c r="D362" s="3182"/>
      <c r="E362" s="1246"/>
      <c r="F362" s="1016">
        <f>IF(SETUP!$F$20="Upfront",$E$361*'HIV-Pharmaceuticals'!AX14,0)</f>
        <v>0</v>
      </c>
      <c r="G362" s="920">
        <f>IF(SETUP!$F$20="Upfront",$E$361*'HIV-Pharmaceuticals'!AY14,0)</f>
        <v>0</v>
      </c>
      <c r="H362" s="920">
        <f>IF(SETUP!$F$20="Upfront",$E$361*'HIV-Pharmaceuticals'!AZ14,0)</f>
        <v>0</v>
      </c>
      <c r="I362" s="920">
        <f>IF(SETUP!$F$20="Upfront",$E$361*'HIV-Pharmaceuticals'!BA14,0)</f>
        <v>0</v>
      </c>
      <c r="J362" s="920">
        <f>'HPM costs'!$F362+'HPM costs'!$G362+'HPM costs'!$H362+'HPM costs'!$I362</f>
        <v>0</v>
      </c>
      <c r="K362" s="1016">
        <f>IF(SETUP!$F$20="Upfront",$E$361*'HIV-Pharmaceuticals'!BB14,0)</f>
        <v>0</v>
      </c>
      <c r="L362" s="920">
        <f>IF(SETUP!$F$20="Upfront",$E$361*'HIV-Pharmaceuticals'!BC14,0)</f>
        <v>0</v>
      </c>
      <c r="M362" s="920">
        <f>IF(SETUP!$F$20="Upfront",$E$361*'HIV-Pharmaceuticals'!BD14,0)</f>
        <v>0</v>
      </c>
      <c r="N362" s="920">
        <f>IF(SETUP!$F$20="Upfront",$E$361*'HIV-Pharmaceuticals'!BE14,0)</f>
        <v>0</v>
      </c>
      <c r="O362" s="920">
        <f>'HPM costs'!$F362+'HPM costs'!$G362+'HPM costs'!$H362+'HPM costs'!$I362</f>
        <v>0</v>
      </c>
      <c r="P362" s="1016">
        <f>IF(SETUP!$F$20="Upfront",$E$361*'HIV-Pharmaceuticals'!BF14,0)</f>
        <v>0</v>
      </c>
      <c r="Q362" s="920">
        <f>IF(SETUP!$F$20="Upfront",$E$361*'HIV-Pharmaceuticals'!BG14,0)</f>
        <v>0</v>
      </c>
      <c r="R362" s="920">
        <f>IF(SETUP!$F$20="Upfront",$E$361*'HIV-Pharmaceuticals'!BH14,0)</f>
        <v>0</v>
      </c>
      <c r="S362" s="920">
        <f>IF(SETUP!$F$20="Upfront",$E$361*'HIV-Pharmaceuticals'!BI14,0)</f>
        <v>0</v>
      </c>
      <c r="T362" s="920">
        <f>'HPM costs'!$F362+'HPM costs'!$G362+'HPM costs'!$H362+'HPM costs'!$I362</f>
        <v>0</v>
      </c>
      <c r="U362" s="1016">
        <f>'HPM costs'!$J362+'HPM costs'!$O362+'HPM costs'!$T362</f>
        <v>0</v>
      </c>
      <c r="V362" s="1344"/>
      <c r="W362" s="2006"/>
      <c r="X362" s="654"/>
      <c r="Y362" s="579"/>
      <c r="Z362" s="579"/>
      <c r="AA362" s="579"/>
      <c r="AB362" s="579"/>
      <c r="AC362" s="579"/>
      <c r="AD362" s="579"/>
      <c r="AE362" s="579"/>
      <c r="AF362" s="674"/>
      <c r="AG362" s="579"/>
      <c r="AH362" s="579"/>
      <c r="AI362" s="579"/>
      <c r="AJ362" s="579"/>
      <c r="AK362" s="579"/>
      <c r="AL362" s="579"/>
      <c r="AM362" s="579"/>
      <c r="AN362" s="579"/>
      <c r="AO362" s="579"/>
      <c r="AP362" s="579"/>
      <c r="AQ362" s="579"/>
      <c r="AR362" s="579"/>
      <c r="AS362" s="579"/>
      <c r="AT362" s="579"/>
      <c r="AU362" s="579"/>
      <c r="AV362" s="579"/>
      <c r="AW362" s="579"/>
      <c r="AX362" s="579"/>
      <c r="AY362" s="579"/>
      <c r="AZ362" s="579"/>
      <c r="BA362" s="579"/>
      <c r="BB362" s="579"/>
      <c r="BC362" s="579"/>
      <c r="BD362" s="579"/>
      <c r="BE362" s="579"/>
      <c r="BF362" s="579"/>
      <c r="BG362" s="579"/>
      <c r="BH362" s="579"/>
      <c r="BI362" s="579"/>
      <c r="BJ362" s="579"/>
      <c r="BK362" s="579"/>
      <c r="BL362" s="579"/>
      <c r="BM362" s="579"/>
      <c r="BN362" s="579"/>
      <c r="BO362" s="579"/>
      <c r="BP362" s="579"/>
      <c r="BQ362" s="579"/>
      <c r="BR362" s="579"/>
    </row>
    <row r="363" spans="1:72" s="571" customFormat="1" ht="16.149999999999999" hidden="1" customHeight="1" outlineLevel="1">
      <c r="A363" s="3193"/>
      <c r="B363" s="3194"/>
      <c r="C363" s="3182" t="s">
        <v>36</v>
      </c>
      <c r="D363" s="3182"/>
      <c r="E363" s="1246"/>
      <c r="F363" s="1016">
        <v>0</v>
      </c>
      <c r="G363" s="920">
        <f>IF(SETUP!$F$20="At delivery",IF(SETUP!$G$20=1,$E$361*'HIV-Pharmaceuticals'!AX14,0),0)</f>
        <v>0</v>
      </c>
      <c r="H363" s="920">
        <f>IF(SETUP!$F$20="At delivery",IF(SETUP!$G$20=2,$E$361*'HIV-Pharmaceuticals'!AX14,IF(SETUP!$G$20=1,$E$361*'HIV-Pharmaceuticals'!AY14,0)),0)</f>
        <v>0</v>
      </c>
      <c r="I363" s="920">
        <f>IF(SETUP!$F$20="At delivery",IF(SETUP!$G$20=3,$E$361*'HIV-Pharmaceuticals'!AX14,IF(SETUP!$G$20=2,$E$361*'HIV-Pharmaceuticals'!AY14,IF(SETUP!$G$20=1,$E$361*'HIV-Pharmaceuticals'!AZ14,0))),0)</f>
        <v>0</v>
      </c>
      <c r="J363" s="920">
        <f>'HPM costs'!$F363+'HPM costs'!$G363+'HPM costs'!$H363+'HPM costs'!$I363</f>
        <v>0</v>
      </c>
      <c r="K363" s="1016">
        <f>IF(SETUP!$F$20="At delivery",IF(SETUP!$G$20=4,$E$361*'HIV-Pharmaceuticals'!AX14,IF(SETUP!$G$20=3,$E$361*'HIV-Pharmaceuticals'!AY14,IF(SETUP!$G$20=2,$E$361*'HIV-Pharmaceuticals'!AZ14,IF(SETUP!$G$20=1,$E$361*'HIV-Pharmaceuticals'!BA14,0)))),0)</f>
        <v>0</v>
      </c>
      <c r="L363" s="920">
        <f>IF(SETUP!$F$20="At delivery",IF(SETUP!$G$20=4,$E$361*'HIV-Pharmaceuticals'!AY14,IF(SETUP!$G$20=3,$E$361*'HIV-Pharmaceuticals'!AZ14,IF(SETUP!$G$20=2,$E$361*'HIV-Pharmaceuticals'!BA14,IF(SETUP!$G$20=1,$E$361*'HIV-Pharmaceuticals'!BB14,0)))),0)</f>
        <v>0</v>
      </c>
      <c r="M363" s="920">
        <f>IF(SETUP!$F$20="At delivery",IF(SETUP!$G$20=4,$E$361*'HIV-Pharmaceuticals'!AZ14,IF(SETUP!$G$20=3,$E$361*'HIV-Pharmaceuticals'!BA14,IF(SETUP!$G$20=2,$E$361*'HIV-Pharmaceuticals'!BB14,IF(SETUP!$G$20=1,$E$361*'HIV-Pharmaceuticals'!BC14,0)))),0)</f>
        <v>0</v>
      </c>
      <c r="N363" s="920">
        <f>IF(SETUP!$F$20="At delivery",IF(SETUP!$G$20=4,$E$361*'HIV-Pharmaceuticals'!BA14,IF(SETUP!$G$20=3,$E$361*'HIV-Pharmaceuticals'!BB14,IF(SETUP!$G$20=2,$E$361*'HIV-Pharmaceuticals'!BC14,IF(SETUP!$G$20=1,$E$361*'HIV-Pharmaceuticals'!BD14,0)))),0)</f>
        <v>0</v>
      </c>
      <c r="O363" s="920">
        <f>'HPM costs'!$F363+'HPM costs'!$G363+'HPM costs'!$H363+'HPM costs'!$I363</f>
        <v>0</v>
      </c>
      <c r="P363" s="1016">
        <f>IF(SETUP!$F$20="At delivery",IF(SETUP!$G$20=4,$E$361*'HIV-Pharmaceuticals'!BB14,IF(SETUP!$G$20=3,$E$361*'HIV-Pharmaceuticals'!BC14,IF(SETUP!$G$20=2,$E$361*'HIV-Pharmaceuticals'!BD14,IF(SETUP!$G$20=1,$E$361*'HIV-Pharmaceuticals'!BE14,0)))),0)</f>
        <v>0</v>
      </c>
      <c r="Q363" s="920">
        <f>IF(SETUP!$F$20="At delivery",IF(SETUP!$G$20=4,$E$361*'HIV-Pharmaceuticals'!BC14,IF(SETUP!$G$20=3,$E$361*'HIV-Pharmaceuticals'!BD14,IF(SETUP!$G$20=2,$E$361*'HIV-Pharmaceuticals'!BE14,IF(SETUP!$G$20=1,$E$361*'HIV-Pharmaceuticals'!BF14,0)))),0)</f>
        <v>0</v>
      </c>
      <c r="R363" s="920">
        <f>IF(SETUP!$F$20="At delivery",IF(SETUP!$G$20=4,$E$361*'HIV-Pharmaceuticals'!BD14,IF(SETUP!$G$20=3,$E$361*'HIV-Pharmaceuticals'!BE14,IF(SETUP!$G$20=2,$E$361*'HIV-Pharmaceuticals'!BF14,IF(SETUP!$G$20=1,$E$361*'HIV-Pharmaceuticals'!BG14,0)))),0)</f>
        <v>0</v>
      </c>
      <c r="S363" s="920">
        <f>IF(SETUP!$F$20="At delivery",IF(SETUP!$G$20=4,$E$361*('HIV-Pharmaceuticals'!BE14+'HIV-Pharmaceuticals'!BF14+'HIV-Pharmaceuticals'!BG14+'HIV-Pharmaceuticals'!BH14+'HIV-Pharmaceuticals'!BI14),IF(SETUP!$G$20=3,$E$361*('HIV-Pharmaceuticals'!BF14+'HIV-Pharmaceuticals'!BG14+'HIV-Pharmaceuticals'!BH14+'HIV-Pharmaceuticals'!BI14),IF(SETUP!$G$20=2,$E$361*('HIV-Pharmaceuticals'!BG14+'HIV-Pharmaceuticals'!BH14+'HIV-Pharmaceuticals'!BI14),IF(SETUP!$G$20=1,$E$361*('HIV-Pharmaceuticals'!BH14+'HIV-Pharmaceuticals'!BI14),0)))),0)</f>
        <v>0</v>
      </c>
      <c r="T363" s="920">
        <f>'HPM costs'!$F363+'HPM costs'!$G363+'HPM costs'!$H363+'HPM costs'!$I363</f>
        <v>0</v>
      </c>
      <c r="U363" s="1016">
        <f>'HPM costs'!$J363+'HPM costs'!$O363+'HPM costs'!$T363</f>
        <v>0</v>
      </c>
      <c r="V363" s="1344"/>
      <c r="W363" s="2006"/>
      <c r="X363" s="654"/>
      <c r="Y363" s="579"/>
      <c r="Z363" s="579"/>
      <c r="AA363" s="579"/>
      <c r="AB363" s="579"/>
      <c r="AC363" s="579"/>
      <c r="AD363" s="579"/>
      <c r="AE363" s="579"/>
      <c r="AF363" s="674"/>
      <c r="AG363" s="579"/>
      <c r="AH363" s="579"/>
      <c r="AI363" s="579"/>
      <c r="AJ363" s="579"/>
      <c r="AK363" s="579"/>
      <c r="AL363" s="579"/>
      <c r="AM363" s="579"/>
      <c r="AN363" s="579"/>
      <c r="AO363" s="579"/>
      <c r="AP363" s="579"/>
      <c r="AQ363" s="579"/>
      <c r="AR363" s="579"/>
      <c r="AS363" s="579"/>
      <c r="AT363" s="579"/>
      <c r="AU363" s="579"/>
      <c r="AV363" s="579"/>
      <c r="AW363" s="579"/>
      <c r="AX363" s="579"/>
      <c r="AY363" s="579"/>
      <c r="AZ363" s="579"/>
      <c r="BA363" s="579"/>
      <c r="BB363" s="579"/>
      <c r="BC363" s="579"/>
      <c r="BD363" s="579"/>
      <c r="BE363" s="579"/>
      <c r="BF363" s="579"/>
      <c r="BG363" s="579"/>
      <c r="BH363" s="579"/>
      <c r="BI363" s="579"/>
      <c r="BJ363" s="579"/>
      <c r="BK363" s="579"/>
      <c r="BL363" s="579"/>
      <c r="BM363" s="579"/>
      <c r="BN363" s="579"/>
      <c r="BO363" s="579"/>
      <c r="BP363" s="579"/>
      <c r="BQ363" s="579"/>
      <c r="BR363" s="579"/>
    </row>
    <row r="364" spans="1:72" s="571" customFormat="1" ht="13.5" collapsed="1" thickBot="1">
      <c r="A364" s="3193"/>
      <c r="B364" s="3194"/>
      <c r="C364" s="3188" t="s">
        <v>139</v>
      </c>
      <c r="D364" s="3188"/>
      <c r="E364" s="1245">
        <v>0</v>
      </c>
      <c r="F364" s="920">
        <f>IF(SETUP!$F$21="Upfront",F365,F366)</f>
        <v>0</v>
      </c>
      <c r="G364" s="920">
        <f>IF(SETUP!$F$21="Upfront",G365,G366)</f>
        <v>0</v>
      </c>
      <c r="H364" s="920">
        <f>IF(SETUP!$F$21="Upfront",H365,H366)</f>
        <v>0</v>
      </c>
      <c r="I364" s="920">
        <f>IF(SETUP!$F$21="Upfront",I365,I366)</f>
        <v>0</v>
      </c>
      <c r="J364" s="920">
        <f t="shared" ref="J364:J385" si="55">F364+G364+H364+I364</f>
        <v>0</v>
      </c>
      <c r="K364" s="1016">
        <f>IF(SETUP!$F$21="Upfront",K365,K366)</f>
        <v>0</v>
      </c>
      <c r="L364" s="920">
        <f>IF(SETUP!$F$21="Upfront",L365,L366)</f>
        <v>0</v>
      </c>
      <c r="M364" s="920">
        <f>IF(SETUP!$F$21="Upfront",M365,M366)</f>
        <v>0</v>
      </c>
      <c r="N364" s="920">
        <f>IF(SETUP!$F$21="Upfront",N365,N366)</f>
        <v>0</v>
      </c>
      <c r="O364" s="920">
        <f t="shared" ref="O364:O384" si="56">K364+L364+M364+N364</f>
        <v>0</v>
      </c>
      <c r="P364" s="1016">
        <f>IF(SETUP!$F$21="Upfront",P365,P366)</f>
        <v>0</v>
      </c>
      <c r="Q364" s="920">
        <f>IF(SETUP!$F$21="Upfront",Q365,Q366)</f>
        <v>0</v>
      </c>
      <c r="R364" s="920">
        <f>IF(SETUP!$F$21="Upfront",R365,R366)</f>
        <v>0</v>
      </c>
      <c r="S364" s="920">
        <f>IF(SETUP!$F$21="Upfront",S365,S366)</f>
        <v>0</v>
      </c>
      <c r="T364" s="920">
        <f t="shared" ref="T364:T384" si="57">P364+Q364+R364+S364</f>
        <v>0</v>
      </c>
      <c r="U364" s="1016">
        <f t="shared" ref="U364:U385" si="58">J364+O364+T364</f>
        <v>0</v>
      </c>
      <c r="V364" s="1344">
        <v>7.3</v>
      </c>
      <c r="W364" s="2006"/>
      <c r="X364" s="654"/>
      <c r="Y364" s="579"/>
      <c r="Z364" s="579"/>
      <c r="AA364" s="579"/>
      <c r="AB364" s="579"/>
      <c r="AC364" s="579"/>
      <c r="AD364" s="579"/>
      <c r="AE364" s="579"/>
      <c r="AF364" s="674"/>
      <c r="AG364" s="579"/>
      <c r="AH364" s="579"/>
      <c r="AI364" s="579"/>
      <c r="AJ364" s="579"/>
      <c r="AK364" s="579"/>
      <c r="AL364" s="579"/>
      <c r="AM364" s="579"/>
      <c r="AN364" s="579"/>
      <c r="AO364" s="579"/>
      <c r="AP364" s="579"/>
      <c r="AQ364" s="579"/>
      <c r="AR364" s="579"/>
      <c r="AS364" s="579"/>
      <c r="AT364" s="579"/>
      <c r="AU364" s="579"/>
      <c r="AV364" s="579"/>
      <c r="AW364" s="579"/>
      <c r="AX364" s="579"/>
      <c r="AY364" s="579"/>
      <c r="AZ364" s="579"/>
      <c r="BA364" s="579"/>
      <c r="BB364" s="579"/>
      <c r="BC364" s="579"/>
      <c r="BD364" s="579"/>
      <c r="BE364" s="579"/>
      <c r="BF364" s="579"/>
      <c r="BG364" s="579"/>
      <c r="BH364" s="579"/>
      <c r="BI364" s="579"/>
      <c r="BJ364" s="579"/>
      <c r="BK364" s="579"/>
      <c r="BL364" s="579"/>
      <c r="BM364" s="579"/>
      <c r="BN364" s="579"/>
      <c r="BO364" s="579"/>
      <c r="BP364" s="579"/>
      <c r="BQ364" s="579"/>
      <c r="BR364" s="579"/>
    </row>
    <row r="365" spans="1:72" s="571" customFormat="1" ht="16.149999999999999" hidden="1" customHeight="1" outlineLevel="1">
      <c r="A365" s="3193"/>
      <c r="B365" s="3194"/>
      <c r="C365" s="3182" t="s">
        <v>777</v>
      </c>
      <c r="D365" s="3182"/>
      <c r="E365" s="1248"/>
      <c r="F365" s="920">
        <f>IF(SETUP!$F$21="Upfront",$E$364*'HIV-Pharmaceuticals'!AX15,0)</f>
        <v>0</v>
      </c>
      <c r="G365" s="920">
        <f>IF(SETUP!$F$21="Upfront",$E$364*'HIV-Pharmaceuticals'!AY15,0)</f>
        <v>0</v>
      </c>
      <c r="H365" s="920">
        <f>IF(SETUP!$F$21="Upfront",$E$364*'HIV-Pharmaceuticals'!AZ15,0)</f>
        <v>0</v>
      </c>
      <c r="I365" s="920">
        <f>IF(SETUP!$F$21="Upfront",$E$364*'HIV-Pharmaceuticals'!BA15,0)</f>
        <v>0</v>
      </c>
      <c r="J365" s="920">
        <f t="shared" si="55"/>
        <v>0</v>
      </c>
      <c r="K365" s="1016">
        <f>IF(SETUP!$F$21="Upfront",$E$364*'HIV-Pharmaceuticals'!BB15,0)</f>
        <v>0</v>
      </c>
      <c r="L365" s="920">
        <f>IF(SETUP!$F$21="Upfront",$E$364*'HIV-Pharmaceuticals'!BC15,0)</f>
        <v>0</v>
      </c>
      <c r="M365" s="920">
        <f>IF(SETUP!$F$21="Upfront",$E$364*'HIV-Pharmaceuticals'!BD15,0)</f>
        <v>0</v>
      </c>
      <c r="N365" s="920">
        <f>IF(SETUP!$F$21="Upfront",$E$364*'HIV-Pharmaceuticals'!BE15,0)</f>
        <v>0</v>
      </c>
      <c r="O365" s="920">
        <f t="shared" si="56"/>
        <v>0</v>
      </c>
      <c r="P365" s="1016">
        <f>IF(SETUP!$F$21="Upfront",$E$364*'HIV-Pharmaceuticals'!BF15,0)</f>
        <v>0</v>
      </c>
      <c r="Q365" s="920">
        <f>IF(SETUP!$F$21="Upfront",$E$364*'HIV-Pharmaceuticals'!BG15,0)</f>
        <v>0</v>
      </c>
      <c r="R365" s="920">
        <f>IF(SETUP!$F$21="Upfront",$E$364*'HIV-Pharmaceuticals'!BH15,0)</f>
        <v>0</v>
      </c>
      <c r="S365" s="920">
        <f>IF(SETUP!$F$21="Upfront",$E$364*'HIV-Pharmaceuticals'!BI15,0)</f>
        <v>0</v>
      </c>
      <c r="T365" s="920">
        <f t="shared" si="57"/>
        <v>0</v>
      </c>
      <c r="U365" s="1016">
        <f t="shared" si="58"/>
        <v>0</v>
      </c>
      <c r="V365" s="1344">
        <v>7.3</v>
      </c>
      <c r="W365" s="2006"/>
      <c r="X365" s="654"/>
      <c r="Y365" s="579"/>
      <c r="Z365" s="579"/>
      <c r="AA365" s="579"/>
      <c r="AB365" s="579"/>
      <c r="AC365" s="579"/>
      <c r="AD365" s="579"/>
      <c r="AE365" s="579"/>
      <c r="AF365" s="674"/>
      <c r="AG365" s="579"/>
      <c r="AH365" s="579"/>
      <c r="AI365" s="579"/>
      <c r="AJ365" s="579"/>
      <c r="AK365" s="579"/>
      <c r="AL365" s="579"/>
      <c r="AM365" s="579"/>
      <c r="AN365" s="579"/>
      <c r="AO365" s="579"/>
      <c r="AP365" s="579"/>
      <c r="AQ365" s="579"/>
      <c r="AR365" s="579"/>
      <c r="AS365" s="579"/>
      <c r="AT365" s="579"/>
      <c r="AU365" s="579"/>
      <c r="AV365" s="579"/>
      <c r="AW365" s="579"/>
      <c r="AX365" s="579"/>
      <c r="AY365" s="579"/>
      <c r="AZ365" s="579"/>
      <c r="BA365" s="579"/>
      <c r="BB365" s="579"/>
      <c r="BC365" s="579"/>
      <c r="BD365" s="579"/>
      <c r="BE365" s="579"/>
      <c r="BF365" s="579"/>
      <c r="BG365" s="579"/>
      <c r="BH365" s="579"/>
      <c r="BI365" s="579"/>
      <c r="BJ365" s="579"/>
      <c r="BK365" s="579"/>
      <c r="BL365" s="579"/>
      <c r="BM365" s="579"/>
      <c r="BN365" s="579"/>
      <c r="BO365" s="579"/>
      <c r="BP365" s="579"/>
      <c r="BQ365" s="579"/>
      <c r="BR365" s="579"/>
    </row>
    <row r="366" spans="1:72" s="571" customFormat="1" ht="16.149999999999999" hidden="1" customHeight="1" outlineLevel="1">
      <c r="A366" s="3193"/>
      <c r="B366" s="3194"/>
      <c r="C366" s="3182" t="s">
        <v>36</v>
      </c>
      <c r="D366" s="3182"/>
      <c r="E366" s="1246"/>
      <c r="F366" s="1016">
        <v>0</v>
      </c>
      <c r="G366" s="920">
        <f>IF(SETUP!$F$21="At delivery",IF(SETUP!$G$21=1,$E$364*'HIV-Pharmaceuticals'!AX15,0),0)</f>
        <v>0</v>
      </c>
      <c r="H366" s="920">
        <f>IF(SETUP!$F$21="At delivery",IF(SETUP!$G$21=2,$E$364*'HIV-Pharmaceuticals'!AX15,IF(SETUP!$G$21=1,$E$364*'HIV-Pharmaceuticals'!AY15,0)),0)</f>
        <v>0</v>
      </c>
      <c r="I366" s="920">
        <f>IF(SETUP!$F$21="At delivery",IF(SETUP!$G$21=3,$E$364*'HIV-Pharmaceuticals'!AX15,IF(SETUP!$G$21=2,$E$364*'HIV-Pharmaceuticals'!AY15,IF(SETUP!$G$21=1,$E$364*'HIV-Pharmaceuticals'!AZ15,0))),0)</f>
        <v>0</v>
      </c>
      <c r="J366" s="920">
        <f t="shared" si="55"/>
        <v>0</v>
      </c>
      <c r="K366" s="1016">
        <f>IF(SETUP!$F$21="At delivery",IF(SETUP!$G$21=4,$E$364*'HIV-Pharmaceuticals'!AX15,IF(SETUP!$G$21=3,$E$364*'HIV-Pharmaceuticals'!AY15,IF(SETUP!$G$21=2,$E$364*'HIV-Pharmaceuticals'!AZ15,IF(SETUP!$G$21=1,$E$364*'HIV-Pharmaceuticals'!BA15,0)))),0)</f>
        <v>0</v>
      </c>
      <c r="L366" s="920">
        <f>IF(SETUP!$F$21="At delivery",IF(SETUP!$G$21=4,$E$364*'HIV-Pharmaceuticals'!AY15,IF(SETUP!$G$21=3,$E$364*'HIV-Pharmaceuticals'!AZ15,IF(SETUP!$G$21=2,$E$364*'HIV-Pharmaceuticals'!BA15,IF(SETUP!$G$21=1,$E$364*'HIV-Pharmaceuticals'!BB15,0)))),0)</f>
        <v>0</v>
      </c>
      <c r="M366" s="920">
        <f>IF(SETUP!$F$21="At delivery",IF(SETUP!$G$21=4,$E$364*'HIV-Pharmaceuticals'!AZ15,IF(SETUP!$G$21=3,$E$364*'HIV-Pharmaceuticals'!BA15,IF(SETUP!$G$21=2,$E$364*'HIV-Pharmaceuticals'!BB15,IF(SETUP!$G$21=1,$E$364*'HIV-Pharmaceuticals'!BC15,0)))),0)</f>
        <v>0</v>
      </c>
      <c r="N366" s="920">
        <f>IF(SETUP!$F$21="At delivery",IF(SETUP!$G$21=4,$E$364*'HIV-Pharmaceuticals'!BA15,IF(SETUP!$G$21=3,$E$364*'HIV-Pharmaceuticals'!BB15,IF(SETUP!$G$21=2,$E$364*'HIV-Pharmaceuticals'!BC15,IF(SETUP!$G$21=1,$E$364*'HIV-Pharmaceuticals'!BD15,0)))),0)</f>
        <v>0</v>
      </c>
      <c r="O366" s="920">
        <f t="shared" si="56"/>
        <v>0</v>
      </c>
      <c r="P366" s="1016">
        <f>IF(SETUP!$F$21="At delivery",IF(SETUP!$G$21=4,$E$364*'HIV-Pharmaceuticals'!BB15,IF(SETUP!$G$21=3,$E$364*'HIV-Pharmaceuticals'!BC15,IF(SETUP!$G$21=2,$E$364*'HIV-Pharmaceuticals'!BD15,IF(SETUP!$G$21=1,$E$364*'HIV-Pharmaceuticals'!BE15,0)))),0)</f>
        <v>0</v>
      </c>
      <c r="Q366" s="920">
        <f>IF(SETUP!$F$21="At delivery",IF(SETUP!$G$21=4,$E$364*'HIV-Pharmaceuticals'!BC15,IF(SETUP!$G$21=3,$E$364*'HIV-Pharmaceuticals'!BD15,IF(SETUP!$G$21=2,$E$364*'HIV-Pharmaceuticals'!BE15,IF(SETUP!$G$21=1,$E$364*'HIV-Pharmaceuticals'!BF15,0)))),0)</f>
        <v>0</v>
      </c>
      <c r="R366" s="920">
        <f>IF(SETUP!$F$21="At delivery",IF(SETUP!$G$21=4,$E$364*'HIV-Pharmaceuticals'!BD15,IF(SETUP!$G$21=3,$E$364*'HIV-Pharmaceuticals'!BE15,IF(SETUP!$G$21=2,$E$364*'HIV-Pharmaceuticals'!BF15,IF(SETUP!$G$21=1,$E$364*'HIV-Pharmaceuticals'!BG15,0)))),0)</f>
        <v>0</v>
      </c>
      <c r="S366" s="920">
        <f>IF(SETUP!$F$21="At delivery",IF(SETUP!$G$21=4,$E$364*('HIV-Pharmaceuticals'!BE15+'HIV-Pharmaceuticals'!BF15+'HIV-Pharmaceuticals'!BG15+'HIV-Pharmaceuticals'!BH15+'HIV-Pharmaceuticals'!BI15),IF(SETUP!$G$21=3,$E$364*('HIV-Pharmaceuticals'!BF15+'HIV-Pharmaceuticals'!BG15+'HIV-Pharmaceuticals'!BH15+'HIV-Pharmaceuticals'!BI15),IF(SETUP!$G$21=2,$E$364*('HIV-Pharmaceuticals'!BG15+'HIV-Pharmaceuticals'!BH15+'HIV-Pharmaceuticals'!BI15),IF(SETUP!$G$21=1,$E$364*('HIV-Pharmaceuticals'!BH15+'HIV-Pharmaceuticals'!BI15),0)))),0)</f>
        <v>0</v>
      </c>
      <c r="T366" s="920">
        <f t="shared" si="57"/>
        <v>0</v>
      </c>
      <c r="U366" s="1016">
        <f t="shared" si="58"/>
        <v>0</v>
      </c>
      <c r="V366" s="1344">
        <v>7.3</v>
      </c>
      <c r="W366" s="2006"/>
      <c r="X366" s="654"/>
      <c r="Y366" s="579"/>
      <c r="Z366" s="579"/>
      <c r="AA366" s="579"/>
      <c r="AB366" s="579"/>
      <c r="AC366" s="579"/>
      <c r="AD366" s="579"/>
      <c r="AE366" s="579"/>
      <c r="AF366" s="674"/>
      <c r="AG366" s="579"/>
      <c r="AH366" s="579"/>
      <c r="AI366" s="579"/>
      <c r="AJ366" s="579"/>
      <c r="AK366" s="579"/>
      <c r="AL366" s="579"/>
      <c r="AM366" s="579"/>
      <c r="AN366" s="579"/>
      <c r="AO366" s="579"/>
      <c r="AP366" s="579"/>
      <c r="AQ366" s="579"/>
      <c r="AR366" s="579"/>
      <c r="AS366" s="579"/>
      <c r="AT366" s="579"/>
      <c r="AU366" s="579"/>
      <c r="AV366" s="579"/>
      <c r="AW366" s="579"/>
      <c r="AX366" s="579"/>
      <c r="AY366" s="579"/>
      <c r="AZ366" s="579"/>
      <c r="BA366" s="579"/>
      <c r="BB366" s="579"/>
      <c r="BC366" s="579"/>
      <c r="BD366" s="579"/>
      <c r="BE366" s="579"/>
      <c r="BF366" s="579"/>
      <c r="BG366" s="579"/>
      <c r="BH366" s="579"/>
      <c r="BI366" s="579"/>
      <c r="BJ366" s="579"/>
      <c r="BK366" s="579"/>
      <c r="BL366" s="579"/>
      <c r="BM366" s="579"/>
      <c r="BN366" s="579"/>
      <c r="BO366" s="579"/>
      <c r="BP366" s="579"/>
      <c r="BQ366" s="579"/>
      <c r="BR366" s="579"/>
    </row>
    <row r="367" spans="1:72" s="571" customFormat="1" ht="13.5" collapsed="1" thickBot="1">
      <c r="A367" s="3193"/>
      <c r="B367" s="3194"/>
      <c r="C367" s="3201" t="s">
        <v>1054</v>
      </c>
      <c r="D367" s="3201"/>
      <c r="E367" s="1245">
        <v>0</v>
      </c>
      <c r="F367" s="1016">
        <f>IF(SETUP!$F$22="Upfront",F368,F369)</f>
        <v>0</v>
      </c>
      <c r="G367" s="920">
        <f>IF(SETUP!$F$22="Upfront",G368,G369)</f>
        <v>0</v>
      </c>
      <c r="H367" s="920">
        <f>IF(SETUP!$F$22="Upfront",H368,H369)</f>
        <v>0</v>
      </c>
      <c r="I367" s="920">
        <f>IF(SETUP!$F$22="Upfront",I368,I369)</f>
        <v>0</v>
      </c>
      <c r="J367" s="920">
        <f t="shared" si="55"/>
        <v>0</v>
      </c>
      <c r="K367" s="1016">
        <f>IF(SETUP!$F$22="Upfront",K368,K369)</f>
        <v>0</v>
      </c>
      <c r="L367" s="920">
        <f>IF(SETUP!$F$22="Upfront",L368,L369)</f>
        <v>0</v>
      </c>
      <c r="M367" s="920">
        <f>IF(SETUP!$F$22="Upfront",M368,M369)</f>
        <v>0</v>
      </c>
      <c r="N367" s="920">
        <f>IF(SETUP!$F$22="Upfront",N368,N369)</f>
        <v>0</v>
      </c>
      <c r="O367" s="920">
        <f t="shared" si="56"/>
        <v>0</v>
      </c>
      <c r="P367" s="1016">
        <f>IF(SETUP!$F$22="Upfront",P368,P369)</f>
        <v>0</v>
      </c>
      <c r="Q367" s="920">
        <f>IF(SETUP!$F$22="Upfront",Q368,Q369)</f>
        <v>0</v>
      </c>
      <c r="R367" s="920">
        <f>IF(SETUP!$F$22="Upfront",R368,R369)</f>
        <v>0</v>
      </c>
      <c r="S367" s="920">
        <f>IF(SETUP!$F$22="Upfront",S368,S369)</f>
        <v>0</v>
      </c>
      <c r="T367" s="920">
        <f t="shared" si="57"/>
        <v>0</v>
      </c>
      <c r="U367" s="1016">
        <f t="shared" si="58"/>
        <v>0</v>
      </c>
      <c r="V367" s="1344">
        <v>7.3</v>
      </c>
      <c r="W367" s="2006"/>
      <c r="X367" s="654"/>
      <c r="Y367" s="579"/>
      <c r="Z367" s="579"/>
      <c r="AA367" s="579"/>
      <c r="AB367" s="579"/>
      <c r="AC367" s="579"/>
      <c r="AD367" s="579"/>
      <c r="AE367" s="579"/>
      <c r="AF367" s="674"/>
      <c r="AG367" s="579"/>
      <c r="AH367" s="579"/>
      <c r="AI367" s="579"/>
      <c r="AJ367" s="579"/>
      <c r="AK367" s="579"/>
      <c r="AL367" s="579"/>
      <c r="AM367" s="579"/>
      <c r="AN367" s="579"/>
      <c r="AO367" s="579"/>
      <c r="AP367" s="579"/>
      <c r="AQ367" s="579"/>
      <c r="AR367" s="579"/>
      <c r="AS367" s="579"/>
      <c r="AT367" s="579"/>
      <c r="AU367" s="579"/>
      <c r="AV367" s="579"/>
      <c r="AW367" s="579"/>
      <c r="AX367" s="579"/>
      <c r="AY367" s="579"/>
      <c r="AZ367" s="579"/>
      <c r="BA367" s="579"/>
      <c r="BB367" s="579"/>
      <c r="BC367" s="579"/>
      <c r="BD367" s="579"/>
      <c r="BE367" s="579"/>
      <c r="BF367" s="579"/>
      <c r="BG367" s="579"/>
      <c r="BH367" s="579"/>
      <c r="BI367" s="579"/>
      <c r="BJ367" s="579"/>
      <c r="BK367" s="579"/>
      <c r="BL367" s="579"/>
      <c r="BM367" s="579"/>
      <c r="BN367" s="579"/>
      <c r="BO367" s="579"/>
      <c r="BP367" s="579"/>
      <c r="BQ367" s="579"/>
      <c r="BR367" s="579"/>
    </row>
    <row r="368" spans="1:72" s="571" customFormat="1" ht="15" hidden="1" customHeight="1" outlineLevel="1">
      <c r="A368" s="3184" t="s">
        <v>439</v>
      </c>
      <c r="B368" s="3185"/>
      <c r="C368" s="3182" t="s">
        <v>777</v>
      </c>
      <c r="D368" s="3182"/>
      <c r="E368" s="1990"/>
      <c r="F368" s="1016">
        <f>IF(SETUP!$F$22="Upfront",$E$367*'HIV-Pharmaceuticals'!AX16,0)</f>
        <v>0</v>
      </c>
      <c r="G368" s="920">
        <f>IF(SETUP!$F$22="Upfront",$E$367*'HIV-Pharmaceuticals'!AY16,0)</f>
        <v>0</v>
      </c>
      <c r="H368" s="920">
        <f>IF(SETUP!$F$22="Upfront",$E$367*'HIV-Pharmaceuticals'!AZ16,0)</f>
        <v>0</v>
      </c>
      <c r="I368" s="920">
        <f>IF(SETUP!$F$22="Upfront",$E$367*'HIV-Pharmaceuticals'!BA16,0)</f>
        <v>0</v>
      </c>
      <c r="J368" s="920">
        <f t="shared" si="55"/>
        <v>0</v>
      </c>
      <c r="K368" s="1016">
        <f>IF(SETUP!$F$22="Upfront",$E$367*'HIV-Pharmaceuticals'!BB16,0)</f>
        <v>0</v>
      </c>
      <c r="L368" s="920">
        <f>IF(SETUP!$F$22="Upfront",$E$367*'HIV-Pharmaceuticals'!BC16,0)</f>
        <v>0</v>
      </c>
      <c r="M368" s="920">
        <f>IF(SETUP!$F$22="Upfront",$E$367*'HIV-Pharmaceuticals'!BD16,0)</f>
        <v>0</v>
      </c>
      <c r="N368" s="920">
        <f>IF(SETUP!$F$22="Upfront",$E$367*'HIV-Pharmaceuticals'!BE16,0)</f>
        <v>0</v>
      </c>
      <c r="O368" s="920">
        <f t="shared" si="56"/>
        <v>0</v>
      </c>
      <c r="P368" s="1016">
        <f>IF(SETUP!$F$22="Upfront",$E$367*'HIV-Pharmaceuticals'!BF16,0)</f>
        <v>0</v>
      </c>
      <c r="Q368" s="920">
        <f>IF(SETUP!$F$22="Upfront",$E$367*'HIV-Pharmaceuticals'!BG16,0)</f>
        <v>0</v>
      </c>
      <c r="R368" s="920">
        <f>IF(SETUP!$F$22="Upfront",$E$367*'HIV-Pharmaceuticals'!BH16,0)</f>
        <v>0</v>
      </c>
      <c r="S368" s="920">
        <f>IF(SETUP!$F$22="Upfront",$E$367*'HIV-Pharmaceuticals'!BI16,0)</f>
        <v>0</v>
      </c>
      <c r="T368" s="920">
        <f t="shared" si="57"/>
        <v>0</v>
      </c>
      <c r="U368" s="1016">
        <f t="shared" si="58"/>
        <v>0</v>
      </c>
      <c r="V368" s="1344">
        <v>7.3</v>
      </c>
      <c r="W368" s="2006"/>
      <c r="X368" s="654"/>
      <c r="Y368" s="579"/>
      <c r="Z368" s="579"/>
      <c r="AA368" s="579"/>
      <c r="AB368" s="579"/>
      <c r="AC368" s="579"/>
      <c r="AD368" s="579"/>
      <c r="AE368" s="579"/>
      <c r="AF368" s="674"/>
      <c r="AG368" s="579"/>
      <c r="AH368" s="579"/>
      <c r="AI368" s="579"/>
      <c r="AJ368" s="579"/>
      <c r="AK368" s="579"/>
      <c r="AL368" s="579"/>
      <c r="AM368" s="579"/>
      <c r="AN368" s="579"/>
      <c r="AO368" s="579"/>
      <c r="AP368" s="579"/>
      <c r="AQ368" s="579"/>
      <c r="AR368" s="579"/>
      <c r="AS368" s="579"/>
      <c r="AT368" s="579"/>
      <c r="AU368" s="579"/>
      <c r="AV368" s="579"/>
      <c r="AW368" s="579"/>
      <c r="AX368" s="579"/>
      <c r="AY368" s="579"/>
      <c r="AZ368" s="579"/>
      <c r="BA368" s="579"/>
      <c r="BB368" s="579"/>
      <c r="BC368" s="579"/>
      <c r="BD368" s="579"/>
      <c r="BE368" s="579"/>
      <c r="BF368" s="579"/>
      <c r="BG368" s="579"/>
      <c r="BH368" s="579"/>
      <c r="BI368" s="579"/>
      <c r="BJ368" s="579"/>
      <c r="BK368" s="579"/>
      <c r="BL368" s="579"/>
      <c r="BM368" s="579"/>
      <c r="BN368" s="579"/>
      <c r="BO368" s="579"/>
      <c r="BP368" s="579"/>
      <c r="BQ368" s="579"/>
      <c r="BR368" s="579"/>
    </row>
    <row r="369" spans="1:70" s="571" customFormat="1" ht="12.75" hidden="1" customHeight="1" outlineLevel="1">
      <c r="A369" s="3184"/>
      <c r="B369" s="3185"/>
      <c r="C369" s="3182" t="s">
        <v>36</v>
      </c>
      <c r="D369" s="3182"/>
      <c r="E369" s="1990"/>
      <c r="F369" s="1016">
        <v>0</v>
      </c>
      <c r="G369" s="920">
        <f>IF(SETUP!$F$22="At delivery",IF(SETUP!$G$22=1,$E$367*'HIV-Pharmaceuticals'!AX16,0),0)</f>
        <v>0</v>
      </c>
      <c r="H369" s="920">
        <f>IF(SETUP!$F$22="At delivery",IF(SETUP!$G$22=2,$E$367*'HIV-Pharmaceuticals'!AX16,IF(SETUP!$G$22=1,$E$367*'HIV-Pharmaceuticals'!AY16,0)),0)</f>
        <v>0</v>
      </c>
      <c r="I369" s="920">
        <f>IF(SETUP!$F$22="At delivery",IF(SETUP!$G$22=3,$E$367*'HIV-Pharmaceuticals'!AX16,IF(SETUP!$G$22=2,$E$367*'HIV-Pharmaceuticals'!AY16,IF(SETUP!$G$22=1,$E$367*'HIV-Pharmaceuticals'!AZ16,0))),0)</f>
        <v>0</v>
      </c>
      <c r="J369" s="920">
        <f t="shared" si="55"/>
        <v>0</v>
      </c>
      <c r="K369" s="1016">
        <f>IF(SETUP!$F$22="At delivery",IF(SETUP!$G$22=4,$E$367*'HIV-Pharmaceuticals'!AX16,IF(SETUP!$G$22=3,$E$367*'HIV-Pharmaceuticals'!AY16,IF(SETUP!$G$22=2,$E$367*'HIV-Pharmaceuticals'!AZ16,IF(SETUP!$G$22=1,$E$367*'HIV-Pharmaceuticals'!BA16,0)))),0)</f>
        <v>0</v>
      </c>
      <c r="L369" s="920">
        <f>IF(SETUP!$F$22="At delivery",IF(SETUP!$G$22=4,$E$367*'HIV-Pharmaceuticals'!AY16,IF(SETUP!$G$22=3,$E$367*'HIV-Pharmaceuticals'!AZ16,IF(SETUP!$G$22=2,$E$367*'HIV-Pharmaceuticals'!BA16,IF(SETUP!$G$22=1,$E$367*'HIV-Pharmaceuticals'!BB16,0)))),0)</f>
        <v>0</v>
      </c>
      <c r="M369" s="920">
        <f>IF(SETUP!$F$22="At delivery",IF(SETUP!$G$22=4,$E$367*'HIV-Pharmaceuticals'!AZ16,IF(SETUP!$G$22=3,$E$367*'HIV-Pharmaceuticals'!BA16,IF(SETUP!$G$22=2,$E$367*'HIV-Pharmaceuticals'!BB16,IF(SETUP!$G$22=1,$E$367*'HIV-Pharmaceuticals'!BC16,0)))),0)</f>
        <v>0</v>
      </c>
      <c r="N369" s="920">
        <f>IF(SETUP!$F$22="At delivery",IF(SETUP!$G$22=4,$E$367*'HIV-Pharmaceuticals'!BA16,IF(SETUP!$G$22=3,$E$367*'HIV-Pharmaceuticals'!BB16,IF(SETUP!$G$22=2,$E$367*'HIV-Pharmaceuticals'!BC16,IF(SETUP!$G$22=1,$E$367*'HIV-Pharmaceuticals'!BD16,0)))),0)</f>
        <v>0</v>
      </c>
      <c r="O369" s="920">
        <f t="shared" si="56"/>
        <v>0</v>
      </c>
      <c r="P369" s="1016">
        <f>IF(SETUP!$F$22="At delivery",IF(SETUP!$G$22=4,$E$367*'HIV-Pharmaceuticals'!BB16,IF(SETUP!$G$22=3,$E$367*'HIV-Pharmaceuticals'!BC16,IF(SETUP!$G$22=2,$E$367*'HIV-Pharmaceuticals'!BD16,IF(SETUP!$G$22=1,$E$367*'HIV-Pharmaceuticals'!BE16,0)))),0)</f>
        <v>0</v>
      </c>
      <c r="Q369" s="920">
        <f>IF(SETUP!$F$22="At delivery",IF(SETUP!$G$22=4,$E$367*'HIV-Pharmaceuticals'!BC16,IF(SETUP!$G$22=3,$E$367*'HIV-Pharmaceuticals'!BD16,IF(SETUP!$G$22=2,$E$367*'HIV-Pharmaceuticals'!BE16,IF(SETUP!$G$22=1,$E$367*'HIV-Pharmaceuticals'!BF16,0)))),0)</f>
        <v>0</v>
      </c>
      <c r="R369" s="920">
        <f>IF(SETUP!$F$22="At delivery",IF(SETUP!$G$22=4,$E$367*'HIV-Pharmaceuticals'!BD16,IF(SETUP!$G$22=3,$E$367*'HIV-Pharmaceuticals'!BE16,IF(SETUP!$G$22=2,$E$367*'HIV-Pharmaceuticals'!BF16,IF(SETUP!$G$22=1,$E$367*'HIV-Pharmaceuticals'!BG16,0)))),0)</f>
        <v>0</v>
      </c>
      <c r="S369" s="920">
        <f>IF(SETUP!$F$22="At delivery",IF(SETUP!$G$22=4,$E$367*('HIV-Pharmaceuticals'!BE16+'HIV-Pharmaceuticals'!BF16+'HIV-Pharmaceuticals'!BG16+'HIV-Pharmaceuticals'!BH16+'HIV-Pharmaceuticals'!BI16),IF(SETUP!$G$22=3,$E$367*('HIV-Pharmaceuticals'!BF16+'HIV-Pharmaceuticals'!BG16+'HIV-Pharmaceuticals'!BH16+'HIV-Pharmaceuticals'!BI16),IF(SETUP!$G$22=2,$E$367*('HIV-Pharmaceuticals'!BG16+'HIV-Pharmaceuticals'!BH16+'HIV-Pharmaceuticals'!BI16),IF(SETUP!$G$22=1,$E$367*('HIV-Pharmaceuticals'!BH16+'HIV-Pharmaceuticals'!BI16),0)))),0)</f>
        <v>0</v>
      </c>
      <c r="T369" s="920">
        <f t="shared" si="57"/>
        <v>0</v>
      </c>
      <c r="U369" s="1016">
        <f t="shared" si="58"/>
        <v>0</v>
      </c>
      <c r="V369" s="1344">
        <v>7.3</v>
      </c>
      <c r="W369" s="2006"/>
      <c r="X369" s="654"/>
      <c r="Y369" s="579"/>
      <c r="Z369" s="579"/>
      <c r="AA369" s="579"/>
      <c r="AB369" s="579"/>
      <c r="AC369" s="579"/>
      <c r="AD369" s="579"/>
      <c r="AE369" s="579"/>
      <c r="AF369" s="674"/>
      <c r="AG369" s="579"/>
      <c r="AH369" s="579"/>
      <c r="AI369" s="579"/>
      <c r="AJ369" s="579"/>
      <c r="AK369" s="579"/>
      <c r="AL369" s="579"/>
      <c r="AM369" s="579"/>
      <c r="AN369" s="579"/>
      <c r="AO369" s="579"/>
      <c r="AP369" s="579"/>
      <c r="AQ369" s="579"/>
      <c r="AR369" s="579"/>
      <c r="AS369" s="579"/>
      <c r="AT369" s="579"/>
      <c r="AU369" s="579"/>
      <c r="AV369" s="579"/>
      <c r="AW369" s="579"/>
      <c r="AX369" s="579"/>
      <c r="AY369" s="579"/>
      <c r="AZ369" s="579"/>
      <c r="BA369" s="579"/>
      <c r="BB369" s="579"/>
      <c r="BC369" s="579"/>
      <c r="BD369" s="579"/>
      <c r="BE369" s="579"/>
      <c r="BF369" s="579"/>
      <c r="BG369" s="579"/>
      <c r="BH369" s="579"/>
      <c r="BI369" s="579"/>
      <c r="BJ369" s="579"/>
      <c r="BK369" s="579"/>
      <c r="BL369" s="579"/>
      <c r="BM369" s="579"/>
      <c r="BN369" s="579"/>
      <c r="BO369" s="579"/>
      <c r="BP369" s="579"/>
      <c r="BQ369" s="579"/>
      <c r="BR369" s="579"/>
    </row>
    <row r="370" spans="1:70" s="571" customFormat="1" ht="13.5" collapsed="1" thickBot="1">
      <c r="A370" s="3184"/>
      <c r="B370" s="3185"/>
      <c r="C370" s="3202" t="s">
        <v>1390</v>
      </c>
      <c r="D370" s="3202"/>
      <c r="E370" s="1245">
        <v>0</v>
      </c>
      <c r="F370" s="1016">
        <f>IF(SETUP!$F$23="Upfront",F371,F372)</f>
        <v>0</v>
      </c>
      <c r="G370" s="920">
        <f>IF(SETUP!$F$23="Upfront",G371,G372)</f>
        <v>0</v>
      </c>
      <c r="H370" s="920">
        <f>IF(SETUP!$F$23="Upfront",H371,H372)</f>
        <v>0</v>
      </c>
      <c r="I370" s="920">
        <f>IF(SETUP!$F$23="Upfront",I371,I372)</f>
        <v>0</v>
      </c>
      <c r="J370" s="920">
        <f t="shared" si="55"/>
        <v>0</v>
      </c>
      <c r="K370" s="1016">
        <f>IF(SETUP!$F$23="Upfront",K371,K372)</f>
        <v>0</v>
      </c>
      <c r="L370" s="920">
        <f>IF(SETUP!$F$23="Upfront",L371,L372)</f>
        <v>0</v>
      </c>
      <c r="M370" s="920">
        <f>IF(SETUP!$F$23="Upfront",M371,M372)</f>
        <v>0</v>
      </c>
      <c r="N370" s="920">
        <f>IF(SETUP!$F$23="Upfront",N371,N372)</f>
        <v>0</v>
      </c>
      <c r="O370" s="920">
        <f t="shared" si="56"/>
        <v>0</v>
      </c>
      <c r="P370" s="1016">
        <f>IF(SETUP!$F$23="Upfront",P371,P372)</f>
        <v>0</v>
      </c>
      <c r="Q370" s="920">
        <f>IF(SETUP!$F$23="Upfront",Q371,Q372)</f>
        <v>0</v>
      </c>
      <c r="R370" s="920">
        <f>IF(SETUP!$F$23="Upfront",R371,R372)</f>
        <v>0</v>
      </c>
      <c r="S370" s="920">
        <f>IF(SETUP!$F$23="Upfront",S371,S372)</f>
        <v>0</v>
      </c>
      <c r="T370" s="920">
        <f t="shared" si="57"/>
        <v>0</v>
      </c>
      <c r="U370" s="1016">
        <f t="shared" si="58"/>
        <v>0</v>
      </c>
      <c r="V370" s="1344">
        <v>7.3</v>
      </c>
      <c r="W370" s="2006"/>
      <c r="X370" s="654"/>
      <c r="Y370" s="579"/>
      <c r="Z370" s="579"/>
      <c r="AA370" s="579"/>
      <c r="AB370" s="579"/>
      <c r="AC370" s="579"/>
      <c r="AD370" s="579"/>
      <c r="AE370" s="579"/>
      <c r="AF370" s="674"/>
      <c r="AG370" s="579"/>
      <c r="AH370" s="579"/>
      <c r="AI370" s="579"/>
      <c r="AJ370" s="579"/>
      <c r="AK370" s="579"/>
      <c r="AL370" s="579"/>
      <c r="AM370" s="579"/>
      <c r="AN370" s="579"/>
      <c r="AO370" s="579"/>
      <c r="AP370" s="579"/>
      <c r="AQ370" s="579"/>
      <c r="AR370" s="579"/>
      <c r="AS370" s="579"/>
      <c r="AT370" s="579"/>
      <c r="AU370" s="579"/>
      <c r="AV370" s="579"/>
      <c r="AW370" s="579"/>
      <c r="AX370" s="579"/>
      <c r="AY370" s="579"/>
      <c r="AZ370" s="579"/>
      <c r="BA370" s="579"/>
      <c r="BB370" s="579"/>
      <c r="BC370" s="579"/>
      <c r="BD370" s="579"/>
      <c r="BE370" s="579"/>
      <c r="BF370" s="579"/>
      <c r="BG370" s="579"/>
      <c r="BH370" s="579"/>
      <c r="BI370" s="579"/>
      <c r="BJ370" s="579"/>
      <c r="BK370" s="579"/>
      <c r="BL370" s="579"/>
      <c r="BM370" s="579"/>
      <c r="BN370" s="579"/>
      <c r="BO370" s="579"/>
      <c r="BP370" s="579"/>
      <c r="BQ370" s="579"/>
      <c r="BR370" s="579"/>
    </row>
    <row r="371" spans="1:70" s="571" customFormat="1" ht="12.75" hidden="1" customHeight="1" outlineLevel="1">
      <c r="A371" s="3184"/>
      <c r="B371" s="3185"/>
      <c r="C371" s="3182" t="s">
        <v>777</v>
      </c>
      <c r="D371" s="3182"/>
      <c r="E371" s="1991"/>
      <c r="F371" s="1016">
        <f>IF(SETUP!$F$23="Upfront",$E$370*'HIV-Equipment'!AW14,0)</f>
        <v>0</v>
      </c>
      <c r="G371" s="920">
        <f>IF(SETUP!$F$23="Upfront",$E$370*'HIV-Equipment'!AX14,0)</f>
        <v>0</v>
      </c>
      <c r="H371" s="920">
        <f>IF(SETUP!$F$23="Upfront",$E$370*'HIV-Equipment'!AY14,0)</f>
        <v>0</v>
      </c>
      <c r="I371" s="920">
        <f>IF(SETUP!$F$23="Upfront",$E$370*'HIV-Equipment'!AZ14,0)</f>
        <v>0</v>
      </c>
      <c r="J371" s="920">
        <f t="shared" si="55"/>
        <v>0</v>
      </c>
      <c r="K371" s="1016">
        <f>IF(SETUP!$F$23="Upfront",$E$370*'HIV-Equipment'!BA14,0)</f>
        <v>0</v>
      </c>
      <c r="L371" s="920">
        <f>IF(SETUP!$F$23="Upfront",$E$370*'HIV-Equipment'!BB14,0)</f>
        <v>0</v>
      </c>
      <c r="M371" s="920">
        <f>IF(SETUP!$F$23="Upfront",$E$370*'HIV-Equipment'!BC14,0)</f>
        <v>0</v>
      </c>
      <c r="N371" s="920">
        <f>IF(SETUP!$F$23="Upfront",$E$370*'HIV-Equipment'!BD14,0)</f>
        <v>0</v>
      </c>
      <c r="O371" s="920">
        <f t="shared" si="56"/>
        <v>0</v>
      </c>
      <c r="P371" s="1016">
        <f>IF(SETUP!$F$23="Upfront",$E$370*'HIV-Equipment'!BE14,0)</f>
        <v>0</v>
      </c>
      <c r="Q371" s="920">
        <f>IF(SETUP!$F$23="Upfront",$E$370*'HIV-Equipment'!BF14,0)</f>
        <v>0</v>
      </c>
      <c r="R371" s="920">
        <f>IF(SETUP!$F$23="Upfront",$E$370*'HIV-Equipment'!BG14,0)</f>
        <v>0</v>
      </c>
      <c r="S371" s="920">
        <f>IF(SETUP!$F$23="Upfront",$E$370*'HIV-Equipment'!BH14,0)</f>
        <v>0</v>
      </c>
      <c r="T371" s="920">
        <f t="shared" si="57"/>
        <v>0</v>
      </c>
      <c r="U371" s="1016">
        <f t="shared" si="58"/>
        <v>0</v>
      </c>
      <c r="V371" s="1344">
        <v>7.3</v>
      </c>
      <c r="W371" s="2006"/>
      <c r="X371" s="654"/>
      <c r="Y371" s="579"/>
      <c r="Z371" s="579"/>
      <c r="AA371" s="579"/>
      <c r="AB371" s="579"/>
      <c r="AC371" s="579"/>
      <c r="AD371" s="579"/>
      <c r="AE371" s="579"/>
      <c r="AF371" s="674"/>
      <c r="AG371" s="579"/>
      <c r="AH371" s="579"/>
      <c r="AI371" s="579"/>
      <c r="AJ371" s="579"/>
      <c r="AK371" s="579"/>
      <c r="AL371" s="579"/>
      <c r="AM371" s="579"/>
      <c r="AN371" s="579"/>
      <c r="AO371" s="579"/>
      <c r="AP371" s="579"/>
      <c r="AQ371" s="579"/>
      <c r="AR371" s="579"/>
      <c r="AS371" s="579"/>
      <c r="AT371" s="579"/>
      <c r="AU371" s="579"/>
      <c r="AV371" s="579"/>
      <c r="AW371" s="579"/>
      <c r="AX371" s="579"/>
      <c r="AY371" s="579"/>
      <c r="AZ371" s="579"/>
      <c r="BA371" s="579"/>
      <c r="BB371" s="579"/>
      <c r="BC371" s="579"/>
      <c r="BD371" s="579"/>
      <c r="BE371" s="579"/>
      <c r="BF371" s="579"/>
      <c r="BG371" s="579"/>
      <c r="BH371" s="579"/>
      <c r="BI371" s="579"/>
      <c r="BJ371" s="579"/>
      <c r="BK371" s="579"/>
      <c r="BL371" s="579"/>
      <c r="BM371" s="579"/>
      <c r="BN371" s="579"/>
      <c r="BO371" s="579"/>
      <c r="BP371" s="579"/>
      <c r="BQ371" s="579"/>
      <c r="BR371" s="579"/>
    </row>
    <row r="372" spans="1:70" s="571" customFormat="1" ht="12.75" hidden="1" customHeight="1" outlineLevel="1">
      <c r="A372" s="3184"/>
      <c r="B372" s="3185"/>
      <c r="C372" s="3182" t="s">
        <v>36</v>
      </c>
      <c r="D372" s="3182"/>
      <c r="E372" s="1990"/>
      <c r="F372" s="1016">
        <v>0</v>
      </c>
      <c r="G372" s="920">
        <f>IF(SETUP!$F$23="At delivery",IF(SETUP!$G$23=1,$E$370*'HIV-Equipment'!AW14,0),0)</f>
        <v>0</v>
      </c>
      <c r="H372" s="920">
        <f>IF(SETUP!$F$23="At delivery",IF(SETUP!$G$23=2,$E$370*'HIV-Equipment'!AW14,IF(SETUP!$G$23=1,$E$370*'HIV-Equipment'!AX14,0)),0)</f>
        <v>0</v>
      </c>
      <c r="I372" s="920">
        <f>IF(SETUP!$F$23="At delivery",IF(SETUP!$G$23=3,$E$370*'HIV-Equipment'!AW14,IF(SETUP!$G$23=2,$E$370*'HIV-Equipment'!AX14,IF(SETUP!$G$23=1,$E$370*'HIV-Equipment'!AY14,0))),0)</f>
        <v>0</v>
      </c>
      <c r="J372" s="920">
        <f t="shared" si="55"/>
        <v>0</v>
      </c>
      <c r="K372" s="1016">
        <f>IF(SETUP!$F$23="At delivery",IF(SETUP!$G$23=4,$E$370*'HIV-Equipment'!AW14,IF(SETUP!$G$23=3,$E$370*'HIV-Equipment'!AX14,IF(SETUP!$G$23=2,$E$370*'HIV-Equipment'!AY14,IF(SETUP!$G$23=1,$E$370*'HIV-Equipment'!AZ14,0)))),0)</f>
        <v>0</v>
      </c>
      <c r="L372" s="920">
        <f>IF(SETUP!$F$23="At delivery",IF(SETUP!$G$23=4,$E$370*'HIV-Equipment'!AX14,IF(SETUP!$G$23=3,$E$370*'HIV-Equipment'!AY14,IF(SETUP!$G$23=2,$E$370*'HIV-Equipment'!AZ14,IF(SETUP!$G$23=1,$E$370*'HIV-Equipment'!BA14,0)))),0)</f>
        <v>0</v>
      </c>
      <c r="M372" s="920">
        <f>IF(SETUP!$F$23="At delivery",IF(SETUP!$G$23=4,$E$370*'HIV-Equipment'!AY14,IF(SETUP!$G$23=3,$E$370*'HIV-Equipment'!AZ14,IF(SETUP!$G$23=2,$E$370*'HIV-Equipment'!BA14,IF(SETUP!$G$23=1,$E$370*'HIV-Equipment'!BB14,0)))),0)</f>
        <v>0</v>
      </c>
      <c r="N372" s="920">
        <f>IF(SETUP!$F$23="At delivery",IF(SETUP!$G$23=4,$E$370*'HIV-Equipment'!AZ14,IF(SETUP!$G$23=3,$E$370*'HIV-Equipment'!BA14,IF(SETUP!$G$23=2,$E$370*'HIV-Equipment'!BB14,IF(SETUP!$G$23=1,$E$370*'HIV-Equipment'!BC14,0)))),0)</f>
        <v>0</v>
      </c>
      <c r="O372" s="920">
        <f t="shared" si="56"/>
        <v>0</v>
      </c>
      <c r="P372" s="1016">
        <f>IF(SETUP!$F$23="At delivery",IF(SETUP!$G$23=4,$E$370*'HIV-Equipment'!BA14,IF(SETUP!$G$23=3,$E$370*'HIV-Equipment'!BB14,IF(SETUP!$G$23=2,$E$370*'HIV-Equipment'!BC14,IF(SETUP!$G$23=1,$E$370*'HIV-Equipment'!BD14,0)))),0)</f>
        <v>0</v>
      </c>
      <c r="Q372" s="920">
        <f>IF(SETUP!$F$23="At delivery",IF(SETUP!$G$23=4,$E$370*'HIV-Equipment'!BB14,IF(SETUP!$G$23=3,$E$370*'HIV-Equipment'!BC14,IF(SETUP!$G$23=2,$E$370*'HIV-Equipment'!BD14,IF(SETUP!$G$23=1,$E$370*'HIV-Equipment'!BE14,0)))),0)</f>
        <v>0</v>
      </c>
      <c r="R372" s="920">
        <f>IF(SETUP!$F$23="At delivery",IF(SETUP!$G$23=4,$E$370*'HIV-Equipment'!BC14,IF(SETUP!$G$23=3,$E$370*'HIV-Equipment'!BD14,IF(SETUP!$G$23=2,$E$370*'HIV-Equipment'!BE14,IF(SETUP!$G$23=1,$E$370*'HIV-Equipment'!BF14,0)))),0)</f>
        <v>0</v>
      </c>
      <c r="S372" s="920">
        <f>IF(SETUP!$F$23="At delivery",IF(SETUP!$G$23=4,$E$370*('HIV-Equipment'!BD14+'HIV-Equipment'!BE14+'HIV-Equipment'!BF14+'HIV-Equipment'!BG14+'HIV-Equipment'!BH14),IF(SETUP!$G$23=3,$E$370*('HIV-Equipment'!BE14+'HIV-Equipment'!BF14+'HIV-Equipment'!BG14+'HIV-Equipment'!BH14),IF(SETUP!$G$23=2,$E$370*('HIV-Equipment'!BF14+'HIV-Equipment'!BG14+'HIV-Equipment'!BH14),IF(SETUP!$G$23=1,$E$370*('HIV-Equipment'!BG14+'HIV-Equipment'!BH14),0)))),0)</f>
        <v>0</v>
      </c>
      <c r="T372" s="920">
        <f t="shared" si="57"/>
        <v>0</v>
      </c>
      <c r="U372" s="1016">
        <f t="shared" si="58"/>
        <v>0</v>
      </c>
      <c r="V372" s="1344">
        <v>7.3</v>
      </c>
      <c r="W372" s="2006"/>
      <c r="X372" s="654"/>
      <c r="Y372" s="579"/>
      <c r="Z372" s="579"/>
      <c r="AA372" s="579"/>
      <c r="AB372" s="579"/>
      <c r="AC372" s="579"/>
      <c r="AD372" s="579"/>
      <c r="AE372" s="579"/>
      <c r="AF372" s="674"/>
      <c r="AG372" s="579"/>
      <c r="AH372" s="579"/>
      <c r="AI372" s="579"/>
      <c r="AJ372" s="579"/>
      <c r="AK372" s="579"/>
      <c r="AL372" s="579"/>
      <c r="AM372" s="579"/>
      <c r="AN372" s="579"/>
      <c r="AO372" s="579"/>
      <c r="AP372" s="579"/>
      <c r="AQ372" s="579"/>
      <c r="AR372" s="579"/>
      <c r="AS372" s="579"/>
      <c r="AT372" s="579"/>
      <c r="AU372" s="579"/>
      <c r="AV372" s="579"/>
      <c r="AW372" s="579"/>
      <c r="AX372" s="579"/>
      <c r="AY372" s="579"/>
      <c r="AZ372" s="579"/>
      <c r="BA372" s="579"/>
      <c r="BB372" s="579"/>
      <c r="BC372" s="579"/>
      <c r="BD372" s="579"/>
      <c r="BE372" s="579"/>
      <c r="BF372" s="579"/>
      <c r="BG372" s="579"/>
      <c r="BH372" s="579"/>
      <c r="BI372" s="579"/>
      <c r="BJ372" s="579"/>
      <c r="BK372" s="579"/>
      <c r="BL372" s="579"/>
      <c r="BM372" s="579"/>
      <c r="BN372" s="579"/>
      <c r="BO372" s="579"/>
      <c r="BP372" s="579"/>
      <c r="BQ372" s="579"/>
      <c r="BR372" s="579"/>
    </row>
    <row r="373" spans="1:70" s="571" customFormat="1" ht="13.5" collapsed="1" thickBot="1">
      <c r="A373" s="3184" t="s">
        <v>440</v>
      </c>
      <c r="B373" s="3185"/>
      <c r="C373" s="3188" t="s">
        <v>213</v>
      </c>
      <c r="D373" s="3188"/>
      <c r="E373" s="1245">
        <v>0</v>
      </c>
      <c r="F373" s="1016">
        <f>IF(SETUP!$F$27="Upfront",F374,F375)</f>
        <v>0</v>
      </c>
      <c r="G373" s="920">
        <f>IF(SETUP!$F$27="Upfront",G374,G375)</f>
        <v>0</v>
      </c>
      <c r="H373" s="920">
        <f>IF(SETUP!$F$27="Upfront",H374,H375)</f>
        <v>0</v>
      </c>
      <c r="I373" s="920">
        <f>IF(SETUP!$F$27="Upfront",I374,I375)</f>
        <v>0</v>
      </c>
      <c r="J373" s="920">
        <f t="shared" si="55"/>
        <v>0</v>
      </c>
      <c r="K373" s="1016">
        <f>IF(SETUP!$F$27="Upfront",K374,K375)</f>
        <v>0</v>
      </c>
      <c r="L373" s="920">
        <f>IF(SETUP!$F$27="Upfront",L374,L375)</f>
        <v>0</v>
      </c>
      <c r="M373" s="920">
        <f>IF(SETUP!$F$27="Upfront",M374,M375)</f>
        <v>0</v>
      </c>
      <c r="N373" s="920">
        <f>IF(SETUP!$F$27="Upfront",N374,N375)</f>
        <v>0</v>
      </c>
      <c r="O373" s="920">
        <f t="shared" si="56"/>
        <v>0</v>
      </c>
      <c r="P373" s="1016">
        <f>IF(SETUP!$F$27="Upfront",P374,P375)</f>
        <v>0</v>
      </c>
      <c r="Q373" s="920">
        <f>IF(SETUP!$F$27="Upfront",Q374,Q375)</f>
        <v>0</v>
      </c>
      <c r="R373" s="920">
        <f>IF(SETUP!$F$27="Upfront",R374,R375)</f>
        <v>0</v>
      </c>
      <c r="S373" s="920">
        <f>IF(SETUP!$F$27="Upfront",S374,S375)</f>
        <v>0</v>
      </c>
      <c r="T373" s="920">
        <f t="shared" si="57"/>
        <v>0</v>
      </c>
      <c r="U373" s="1016">
        <f t="shared" si="58"/>
        <v>0</v>
      </c>
      <c r="V373" s="1344">
        <v>7.3</v>
      </c>
      <c r="W373" s="2006"/>
      <c r="X373" s="654"/>
      <c r="Y373" s="579"/>
      <c r="Z373" s="579"/>
      <c r="AA373" s="579"/>
      <c r="AB373" s="579"/>
      <c r="AC373" s="579"/>
      <c r="AD373" s="579"/>
      <c r="AE373" s="579"/>
      <c r="AF373" s="674"/>
      <c r="AG373" s="579"/>
      <c r="AH373" s="579"/>
      <c r="AI373" s="579"/>
      <c r="AJ373" s="579"/>
      <c r="AK373" s="579"/>
      <c r="AL373" s="579"/>
      <c r="AM373" s="579"/>
      <c r="AN373" s="579"/>
      <c r="AO373" s="579"/>
      <c r="AP373" s="579"/>
      <c r="AQ373" s="579"/>
      <c r="AR373" s="579"/>
      <c r="AS373" s="579"/>
      <c r="AT373" s="579"/>
      <c r="AU373" s="579"/>
      <c r="AV373" s="579"/>
      <c r="AW373" s="579"/>
      <c r="AX373" s="579"/>
      <c r="AY373" s="579"/>
      <c r="AZ373" s="579"/>
      <c r="BA373" s="579"/>
      <c r="BB373" s="579"/>
      <c r="BC373" s="579"/>
      <c r="BD373" s="579"/>
      <c r="BE373" s="579"/>
      <c r="BF373" s="579"/>
      <c r="BG373" s="579"/>
      <c r="BH373" s="579"/>
      <c r="BI373" s="579"/>
      <c r="BJ373" s="579"/>
      <c r="BK373" s="579"/>
      <c r="BL373" s="579"/>
      <c r="BM373" s="579"/>
      <c r="BN373" s="579"/>
      <c r="BO373" s="579"/>
      <c r="BP373" s="579"/>
      <c r="BQ373" s="579"/>
      <c r="BR373" s="579"/>
    </row>
    <row r="374" spans="1:70" s="571" customFormat="1" ht="16.149999999999999" hidden="1" customHeight="1" outlineLevel="1">
      <c r="A374" s="3184"/>
      <c r="B374" s="3185"/>
      <c r="C374" s="3182" t="s">
        <v>777</v>
      </c>
      <c r="D374" s="3182"/>
      <c r="E374" s="1991"/>
      <c r="F374" s="1016">
        <f>IF(SETUP!$F$27="Upfront",$E$373*'HIV-Other HPs'!AX14,0)</f>
        <v>0</v>
      </c>
      <c r="G374" s="920">
        <f>IF(SETUP!$F$27="Upfront",$E$373*'HIV-Other HPs'!AY14,0)</f>
        <v>0</v>
      </c>
      <c r="H374" s="920">
        <f>IF(SETUP!$F$27="Upfront",$E$373*'HIV-Other HPs'!AZ14,0)</f>
        <v>0</v>
      </c>
      <c r="I374" s="920">
        <f>IF(SETUP!$F$27="Upfront",$E$373*'HIV-Other HPs'!BA14,0)</f>
        <v>0</v>
      </c>
      <c r="J374" s="920">
        <f t="shared" si="55"/>
        <v>0</v>
      </c>
      <c r="K374" s="1016">
        <f>IF(SETUP!$F$27="Upfront",$E$373*'HIV-Other HPs'!BB14,0)</f>
        <v>0</v>
      </c>
      <c r="L374" s="920">
        <f>IF(SETUP!$F$27="Upfront",$E$373*'HIV-Other HPs'!BC14,0)</f>
        <v>0</v>
      </c>
      <c r="M374" s="920">
        <f>IF(SETUP!$F$27="Upfront",$E$373*'HIV-Other HPs'!BD14,0)</f>
        <v>0</v>
      </c>
      <c r="N374" s="920">
        <f>IF(SETUP!$F$27="Upfront",$E$373*'HIV-Other HPs'!BE14,0)</f>
        <v>0</v>
      </c>
      <c r="O374" s="920">
        <f t="shared" si="56"/>
        <v>0</v>
      </c>
      <c r="P374" s="1016">
        <f>IF(SETUP!$F$27="Upfront",$E$373*'HIV-Other HPs'!BF14,0)</f>
        <v>0</v>
      </c>
      <c r="Q374" s="920">
        <f>IF(SETUP!$F$27="Upfront",$E$373*'HIV-Other HPs'!BG14,0)</f>
        <v>0</v>
      </c>
      <c r="R374" s="920">
        <f>IF(SETUP!$F$27="Upfront",$E$373*'HIV-Other HPs'!BH14,0)</f>
        <v>0</v>
      </c>
      <c r="S374" s="920">
        <f>IF(SETUP!$F$27="Upfront",$E$373*'HIV-Other HPs'!BI14,0)</f>
        <v>0</v>
      </c>
      <c r="T374" s="920">
        <f t="shared" si="57"/>
        <v>0</v>
      </c>
      <c r="U374" s="1016">
        <f t="shared" si="58"/>
        <v>0</v>
      </c>
      <c r="V374" s="1344">
        <v>7.3</v>
      </c>
      <c r="W374" s="2006"/>
      <c r="X374" s="654"/>
      <c r="Y374" s="579"/>
      <c r="Z374" s="579"/>
      <c r="AA374" s="579"/>
      <c r="AB374" s="579"/>
      <c r="AC374" s="579"/>
      <c r="AD374" s="579"/>
      <c r="AE374" s="579"/>
      <c r="AF374" s="674"/>
      <c r="AG374" s="579"/>
      <c r="AH374" s="579"/>
      <c r="AI374" s="579"/>
      <c r="AJ374" s="579"/>
      <c r="AK374" s="579"/>
      <c r="AL374" s="579"/>
      <c r="AM374" s="579"/>
      <c r="AN374" s="579"/>
      <c r="AO374" s="579"/>
      <c r="AP374" s="579"/>
      <c r="AQ374" s="579"/>
      <c r="AR374" s="579"/>
      <c r="AS374" s="579"/>
      <c r="AT374" s="579"/>
      <c r="AU374" s="579"/>
      <c r="AV374" s="579"/>
      <c r="AW374" s="579"/>
      <c r="AX374" s="579"/>
      <c r="AY374" s="579"/>
      <c r="AZ374" s="579"/>
      <c r="BA374" s="579"/>
      <c r="BB374" s="579"/>
      <c r="BC374" s="579"/>
      <c r="BD374" s="579"/>
      <c r="BE374" s="579"/>
      <c r="BF374" s="579"/>
      <c r="BG374" s="579"/>
      <c r="BH374" s="579"/>
      <c r="BI374" s="579"/>
      <c r="BJ374" s="579"/>
      <c r="BK374" s="579"/>
      <c r="BL374" s="579"/>
      <c r="BM374" s="579"/>
      <c r="BN374" s="579"/>
      <c r="BO374" s="579"/>
      <c r="BP374" s="579"/>
      <c r="BQ374" s="579"/>
      <c r="BR374" s="579"/>
    </row>
    <row r="375" spans="1:70" s="571" customFormat="1" ht="16.149999999999999" hidden="1" customHeight="1" outlineLevel="1">
      <c r="A375" s="3184"/>
      <c r="B375" s="3185"/>
      <c r="C375" s="3182" t="s">
        <v>36</v>
      </c>
      <c r="D375" s="3182"/>
      <c r="E375" s="1246"/>
      <c r="F375" s="1016">
        <v>0</v>
      </c>
      <c r="G375" s="920">
        <f>IF(SETUP!$F$27="At delivery",IF(SETUP!$G$27=1,$E$373*'HIV-Other HPs'!AX14,0),0)</f>
        <v>0</v>
      </c>
      <c r="H375" s="920">
        <f>IF(SETUP!$F$27="At delivery",IF(SETUP!$G$27=2,$E$373*'HIV-Other HPs'!AX14,IF(SETUP!$G$27=1,$E$373*'HIV-Other HPs'!AY14,0)),0)</f>
        <v>0</v>
      </c>
      <c r="I375" s="920">
        <f>IF(SETUP!$F$27="At delivery",IF(SETUP!$G$27=3,$E$373*'HIV-Other HPs'!AX14,IF(SETUP!$G$27=2,$E$373*'HIV-Other HPs'!AY14,IF(SETUP!$G$27=1,$E$373*'HIV-Other HPs'!AZ14,0))),0)</f>
        <v>0</v>
      </c>
      <c r="J375" s="920">
        <f t="shared" si="55"/>
        <v>0</v>
      </c>
      <c r="K375" s="1016">
        <f>IF(SETUP!$F$27="At delivery",IF(SETUP!$G$27=4,$E$373*'HIV-Other HPs'!AX14,IF(SETUP!$G$27=3,$E$373*'HIV-Other HPs'!AY14,IF(SETUP!$G$27=2,$E$373*'HIV-Other HPs'!AZ14,IF(SETUP!$G$27=1,$E$373*'HIV-Other HPs'!BA14,0)))),0)</f>
        <v>0</v>
      </c>
      <c r="L375" s="920">
        <f>IF(SETUP!$F$27="At delivery",IF(SETUP!$G$27=4,$E$373*'HIV-Other HPs'!AY14,IF(SETUP!$G$27=3,$E$373*'HIV-Other HPs'!AZ14,IF(SETUP!$G$27=2,$E$373*'HIV-Other HPs'!BA14,IF(SETUP!$G$27=1,$E$373*'HIV-Other HPs'!BB14,0)))),0)</f>
        <v>0</v>
      </c>
      <c r="M375" s="920">
        <f>IF(SETUP!$F$27="At delivery",IF(SETUP!$G$27=4,$E$373*'HIV-Other HPs'!AZ14,IF(SETUP!$G$27=3,$E$373*'HIV-Other HPs'!BA14,IF(SETUP!$G$27=2,$E$373*'HIV-Other HPs'!BB14,IF(SETUP!$G$27=1,$E$373*'HIV-Other HPs'!BC14,0)))),0)</f>
        <v>0</v>
      </c>
      <c r="N375" s="920">
        <f>IF(SETUP!$F$27="At delivery",IF(SETUP!$G$27=4,$E$373*'HIV-Other HPs'!BA14,IF(SETUP!$G$27=3,$E$373*'HIV-Other HPs'!BB14,IF(SETUP!$G$27=2,$E$373*'HIV-Other HPs'!BC14,IF(SETUP!$G$27=1,$E$373*'HIV-Other HPs'!BD14,0)))),0)</f>
        <v>0</v>
      </c>
      <c r="O375" s="920">
        <f t="shared" si="56"/>
        <v>0</v>
      </c>
      <c r="P375" s="1016">
        <f>IF(SETUP!$F$27="At delivery",IF(SETUP!$G$27=4,$E$373*'HIV-Other HPs'!BB14,IF(SETUP!$G$27=3,$E$373*'HIV-Other HPs'!BC14,IF(SETUP!$G$27=2,$E$373*'HIV-Other HPs'!BD14,IF(SETUP!$G$27=1,$E$373*'HIV-Other HPs'!BE14,0)))),0)</f>
        <v>0</v>
      </c>
      <c r="Q375" s="920">
        <f>IF(SETUP!$F$27="At delivery",IF(SETUP!$G$27=4,$E$373*'HIV-Other HPs'!BC14,IF(SETUP!$G$27=3,$E$373*'HIV-Other HPs'!BD14,IF(SETUP!$G$27=2,$E$373*'HIV-Other HPs'!BE14,IF(SETUP!$G$27=1,$E$373*'HIV-Other HPs'!BF14,0)))),0)</f>
        <v>0</v>
      </c>
      <c r="R375" s="920">
        <f>IF(SETUP!$F$27="At delivery",IF(SETUP!$G$27=4,$E$373*'HIV-Other HPs'!BD14,IF(SETUP!$G$27=3,$E$373*'HIV-Other HPs'!BE14,IF(SETUP!$G$27=2,$E$373*'HIV-Other HPs'!BF14,IF(SETUP!$G$27=1,$E$373*'HIV-Other HPs'!BG14,0)))),0)</f>
        <v>0</v>
      </c>
      <c r="S375" s="920">
        <f>IF(SETUP!$F$27="At delivery",IF(SETUP!$G$27=4,$E$373*('HIV-Other HPs'!BE14+'HIV-Other HPs'!BF14+'HIV-Other HPs'!BG14+'HIV-Other HPs'!BH14+'HIV-Other HPs'!BI14),IF(SETUP!$G$27=3,$E$373*('HIV-Other HPs'!BF14+'HIV-Other HPs'!BG14+'HIV-Other HPs'!BH14+'HIV-Other HPs'!BI14),IF(SETUP!$G$27=2,$E$373*('HIV-Other HPs'!BG14+'HIV-Other HPs'!BH14+'HIV-Other HPs'!BI14),IF(SETUP!$G$27=1,$E$373*('HIV-Other HPs'!BH14+'HIV-Other HPs'!BI14),0)))),0)</f>
        <v>0</v>
      </c>
      <c r="T375" s="920">
        <f t="shared" si="57"/>
        <v>0</v>
      </c>
      <c r="U375" s="1016">
        <f t="shared" si="58"/>
        <v>0</v>
      </c>
      <c r="V375" s="1344">
        <v>7.3</v>
      </c>
      <c r="W375" s="2006"/>
      <c r="X375" s="654"/>
      <c r="Y375" s="579"/>
      <c r="Z375" s="579"/>
      <c r="AA375" s="579"/>
      <c r="AB375" s="579"/>
      <c r="AC375" s="579"/>
      <c r="AD375" s="579"/>
      <c r="AE375" s="579"/>
      <c r="AF375" s="674"/>
      <c r="AG375" s="579"/>
      <c r="AH375" s="579"/>
      <c r="AI375" s="579"/>
      <c r="AJ375" s="579"/>
      <c r="AK375" s="579"/>
      <c r="AL375" s="579"/>
      <c r="AM375" s="579"/>
      <c r="AN375" s="579"/>
      <c r="AO375" s="579"/>
      <c r="AP375" s="579"/>
      <c r="AQ375" s="579"/>
      <c r="AR375" s="579"/>
      <c r="AS375" s="579"/>
      <c r="AT375" s="579"/>
      <c r="AU375" s="579"/>
      <c r="AV375" s="579"/>
      <c r="AW375" s="579"/>
      <c r="AX375" s="579"/>
      <c r="AY375" s="579"/>
      <c r="AZ375" s="579"/>
      <c r="BA375" s="579"/>
      <c r="BB375" s="579"/>
      <c r="BC375" s="579"/>
      <c r="BD375" s="579"/>
      <c r="BE375" s="579"/>
      <c r="BF375" s="579"/>
      <c r="BG375" s="579"/>
      <c r="BH375" s="579"/>
      <c r="BI375" s="579"/>
      <c r="BJ375" s="579"/>
      <c r="BK375" s="579"/>
      <c r="BL375" s="579"/>
      <c r="BM375" s="579"/>
      <c r="BN375" s="579"/>
      <c r="BO375" s="579"/>
      <c r="BP375" s="579"/>
      <c r="BQ375" s="579"/>
      <c r="BR375" s="579"/>
    </row>
    <row r="376" spans="1:70" s="571" customFormat="1" ht="13.5" collapsed="1" thickBot="1">
      <c r="A376" s="3184"/>
      <c r="B376" s="3185"/>
      <c r="C376" s="3188" t="s">
        <v>217</v>
      </c>
      <c r="D376" s="3188"/>
      <c r="E376" s="1245">
        <v>0</v>
      </c>
      <c r="F376" s="1016">
        <f>IF(SETUP!$F$28="Upfront",F377,F378)</f>
        <v>0</v>
      </c>
      <c r="G376" s="920">
        <f>IF(SETUP!$F$28="Upfront",G377,G378)</f>
        <v>0</v>
      </c>
      <c r="H376" s="920">
        <f>IF(SETUP!$F$28="Upfront",H377,H378)</f>
        <v>0</v>
      </c>
      <c r="I376" s="920">
        <f>IF(SETUP!$F$28="Upfront",I377,I378)</f>
        <v>0</v>
      </c>
      <c r="J376" s="920">
        <f t="shared" si="55"/>
        <v>0</v>
      </c>
      <c r="K376" s="1016">
        <f>IF(SETUP!$F$28="Upfront",K377,K378)</f>
        <v>0</v>
      </c>
      <c r="L376" s="920">
        <f>IF(SETUP!$F$28="Upfront",L377,L378)</f>
        <v>0</v>
      </c>
      <c r="M376" s="920">
        <f>IF(SETUP!$F$28="Upfront",M377,M378)</f>
        <v>0</v>
      </c>
      <c r="N376" s="920">
        <f>IF(SETUP!$F$28="Upfront",N377,N378)</f>
        <v>0</v>
      </c>
      <c r="O376" s="920">
        <f t="shared" si="56"/>
        <v>0</v>
      </c>
      <c r="P376" s="1016">
        <f>IF(SETUP!$F$28="Upfront",P377,P378)</f>
        <v>0</v>
      </c>
      <c r="Q376" s="920">
        <f>IF(SETUP!$F$28="Upfront",Q377,Q378)</f>
        <v>0</v>
      </c>
      <c r="R376" s="920">
        <f>IF(SETUP!$F$28="Upfront",R377,R378)</f>
        <v>0</v>
      </c>
      <c r="S376" s="920">
        <f>IF(SETUP!$F$28="Upfront",S377,S378)</f>
        <v>0</v>
      </c>
      <c r="T376" s="920">
        <f t="shared" si="57"/>
        <v>0</v>
      </c>
      <c r="U376" s="1016">
        <f t="shared" si="58"/>
        <v>0</v>
      </c>
      <c r="V376" s="1344">
        <v>7.3</v>
      </c>
      <c r="W376" s="2006"/>
      <c r="X376" s="654"/>
      <c r="Y376" s="579"/>
      <c r="Z376" s="579"/>
      <c r="AA376" s="579"/>
      <c r="AB376" s="579"/>
      <c r="AC376" s="579"/>
      <c r="AD376" s="579"/>
      <c r="AE376" s="579"/>
      <c r="AF376" s="674"/>
      <c r="AG376" s="579"/>
      <c r="AH376" s="579"/>
      <c r="AI376" s="579"/>
      <c r="AJ376" s="579"/>
      <c r="AK376" s="579"/>
      <c r="AL376" s="579"/>
      <c r="AM376" s="579"/>
      <c r="AN376" s="579"/>
      <c r="AO376" s="579"/>
      <c r="AP376" s="579"/>
      <c r="AQ376" s="579"/>
      <c r="AR376" s="579"/>
      <c r="AS376" s="579"/>
      <c r="AT376" s="579"/>
      <c r="AU376" s="579"/>
      <c r="AV376" s="579"/>
      <c r="AW376" s="579"/>
      <c r="AX376" s="579"/>
      <c r="AY376" s="579"/>
      <c r="AZ376" s="579"/>
      <c r="BA376" s="579"/>
      <c r="BB376" s="579"/>
      <c r="BC376" s="579"/>
      <c r="BD376" s="579"/>
      <c r="BE376" s="579"/>
      <c r="BF376" s="579"/>
      <c r="BG376" s="579"/>
      <c r="BH376" s="579"/>
      <c r="BI376" s="579"/>
      <c r="BJ376" s="579"/>
      <c r="BK376" s="579"/>
      <c r="BL376" s="579"/>
      <c r="BM376" s="579"/>
      <c r="BN376" s="579"/>
      <c r="BO376" s="579"/>
      <c r="BP376" s="579"/>
      <c r="BQ376" s="579"/>
      <c r="BR376" s="579"/>
    </row>
    <row r="377" spans="1:70" s="571" customFormat="1" ht="16.149999999999999" hidden="1" customHeight="1" outlineLevel="1">
      <c r="A377" s="3184"/>
      <c r="B377" s="3185"/>
      <c r="C377" s="3182" t="s">
        <v>777</v>
      </c>
      <c r="D377" s="3182"/>
      <c r="E377" s="1246"/>
      <c r="F377" s="1016">
        <f>IF(SETUP!$F$28="Upfront",$E$376*'HIV-Other HPs'!AX15,0)</f>
        <v>0</v>
      </c>
      <c r="G377" s="920">
        <f>IF(SETUP!$F$28="Upfront",$E$376*'HIV-Other HPs'!AY15,0)</f>
        <v>0</v>
      </c>
      <c r="H377" s="920">
        <f>IF(SETUP!$F$28="Upfront",$E$376*'HIV-Other HPs'!AZ15,0)</f>
        <v>0</v>
      </c>
      <c r="I377" s="920">
        <f>IF(SETUP!$F$28="Upfront",$E$376*'HIV-Other HPs'!BA15,0)</f>
        <v>0</v>
      </c>
      <c r="J377" s="920">
        <f t="shared" si="55"/>
        <v>0</v>
      </c>
      <c r="K377" s="1016">
        <f>IF(SETUP!$F$28="Upfront",$E$376*'HIV-Other HPs'!BB15,0)</f>
        <v>0</v>
      </c>
      <c r="L377" s="920">
        <f>IF(SETUP!$F$28="Upfront",$E$376*'HIV-Other HPs'!BC15,0)</f>
        <v>0</v>
      </c>
      <c r="M377" s="920">
        <f>IF(SETUP!$F$28="Upfront",$E$376*'HIV-Other HPs'!BD15,0)</f>
        <v>0</v>
      </c>
      <c r="N377" s="920">
        <f>IF(SETUP!$F$28="Upfront",$E$376*'HIV-Other HPs'!BE15,0)</f>
        <v>0</v>
      </c>
      <c r="O377" s="920">
        <f t="shared" si="56"/>
        <v>0</v>
      </c>
      <c r="P377" s="1016">
        <f>IF(SETUP!$F$28="Upfront",$E$376*'HIV-Other HPs'!BF15,0)</f>
        <v>0</v>
      </c>
      <c r="Q377" s="920">
        <f>IF(SETUP!$F$28="Upfront",$E$376*'HIV-Other HPs'!BG15,0)</f>
        <v>0</v>
      </c>
      <c r="R377" s="920">
        <f>IF(SETUP!$F$28="Upfront",$E$376*'HIV-Other HPs'!BH15,0)</f>
        <v>0</v>
      </c>
      <c r="S377" s="920">
        <f>IF(SETUP!$F$28="Upfront",$E$376*'HIV-Other HPs'!BI15,0)</f>
        <v>0</v>
      </c>
      <c r="T377" s="920">
        <f t="shared" si="57"/>
        <v>0</v>
      </c>
      <c r="U377" s="1016">
        <f t="shared" si="58"/>
        <v>0</v>
      </c>
      <c r="V377" s="1344">
        <v>7.3</v>
      </c>
      <c r="W377" s="2006"/>
      <c r="X377" s="654"/>
      <c r="Y377" s="579"/>
      <c r="Z377" s="579"/>
      <c r="AA377" s="579"/>
      <c r="AB377" s="579"/>
      <c r="AC377" s="579"/>
      <c r="AD377" s="579"/>
      <c r="AE377" s="579"/>
      <c r="AF377" s="674"/>
      <c r="AG377" s="579"/>
      <c r="AH377" s="579"/>
      <c r="AI377" s="579"/>
      <c r="AJ377" s="579"/>
      <c r="AK377" s="579"/>
      <c r="AL377" s="579"/>
      <c r="AM377" s="579"/>
      <c r="AN377" s="579"/>
      <c r="AO377" s="579"/>
      <c r="AP377" s="579"/>
      <c r="AQ377" s="579"/>
      <c r="AR377" s="579"/>
      <c r="AS377" s="579"/>
      <c r="AT377" s="579"/>
      <c r="AU377" s="579"/>
      <c r="AV377" s="579"/>
      <c r="AW377" s="579"/>
      <c r="AX377" s="579"/>
      <c r="AY377" s="579"/>
      <c r="AZ377" s="579"/>
      <c r="BA377" s="579"/>
      <c r="BB377" s="579"/>
      <c r="BC377" s="579"/>
      <c r="BD377" s="579"/>
      <c r="BE377" s="579"/>
      <c r="BF377" s="579"/>
      <c r="BG377" s="579"/>
      <c r="BH377" s="579"/>
      <c r="BI377" s="579"/>
      <c r="BJ377" s="579"/>
      <c r="BK377" s="579"/>
      <c r="BL377" s="579"/>
      <c r="BM377" s="579"/>
      <c r="BN377" s="579"/>
      <c r="BO377" s="579"/>
      <c r="BP377" s="579"/>
      <c r="BQ377" s="579"/>
      <c r="BR377" s="579"/>
    </row>
    <row r="378" spans="1:70" s="571" customFormat="1" ht="16.149999999999999" hidden="1" customHeight="1" outlineLevel="1">
      <c r="A378" s="3184"/>
      <c r="B378" s="3185"/>
      <c r="C378" s="3182" t="s">
        <v>36</v>
      </c>
      <c r="D378" s="3182"/>
      <c r="E378" s="1246"/>
      <c r="F378" s="1016">
        <v>0</v>
      </c>
      <c r="G378" s="920">
        <f>IF(SETUP!$F$28="At delivery",IF(SETUP!$G$28=1,$E$376*'HIV-Other HPs'!AX15,0),0)</f>
        <v>0</v>
      </c>
      <c r="H378" s="920">
        <f>IF(SETUP!$F$28="At delivery",IF(SETUP!$G$28=2,$E$376*'HIV-Other HPs'!AX15,IF(SETUP!$G$28=1,$E$376*'HIV-Other HPs'!AY15,0)),0)</f>
        <v>0</v>
      </c>
      <c r="I378" s="920">
        <f>IF(SETUP!$F$28="At delivery",IF(SETUP!$G$28=3,$E$376*'HIV-Other HPs'!AX15,IF(SETUP!$G$28=2,$E$376*'HIV-Other HPs'!AY15,IF(SETUP!$G$28=1,$E$376*'HIV-Other HPs'!AZ15,0))),0)</f>
        <v>0</v>
      </c>
      <c r="J378" s="920">
        <f t="shared" si="55"/>
        <v>0</v>
      </c>
      <c r="K378" s="1016">
        <f>IF(SETUP!$F$28="At delivery",IF(SETUP!$G$28=4,$E$376*'HIV-Other HPs'!AX15,IF(SETUP!$G$28=3,$E$376*'HIV-Other HPs'!AY15,IF(SETUP!$G$28=2,$E$376*'HIV-Other HPs'!AZ15,IF(SETUP!$G$28=1,$E$376*'HIV-Other HPs'!BA15,0)))),0)</f>
        <v>0</v>
      </c>
      <c r="L378" s="920">
        <f>IF(SETUP!$F$28="At delivery",IF(SETUP!$G$28=4,$E$376*'HIV-Other HPs'!AY15,IF(SETUP!$G$28=3,$E$376*'HIV-Other HPs'!AZ15,IF(SETUP!$G$28=2,$E$376*'HIV-Other HPs'!BA15,IF(SETUP!$G$28=1,$E$376*'HIV-Other HPs'!BB15,0)))),0)</f>
        <v>0</v>
      </c>
      <c r="M378" s="920">
        <f>IF(SETUP!$F$28="At delivery",IF(SETUP!$G$28=4,$E$376*'HIV-Other HPs'!AZ15,IF(SETUP!$G$28=3,$E$376*'HIV-Other HPs'!BA15,IF(SETUP!$G$28=2,$E$376*'HIV-Other HPs'!BB15,IF(SETUP!$G$28=1,$E$376*'HIV-Other HPs'!BC15,0)))),0)</f>
        <v>0</v>
      </c>
      <c r="N378" s="920">
        <f>IF(SETUP!$F$28="At delivery",IF(SETUP!$G$28=4,$E$376*'HIV-Other HPs'!BA15,IF(SETUP!$G$28=3,$E$376*'HIV-Other HPs'!BB15,IF(SETUP!$G$28=2,$E$376*'HIV-Other HPs'!BC15,IF(SETUP!$G$28=1,$E$376*'HIV-Other HPs'!BD15,0)))),0)</f>
        <v>0</v>
      </c>
      <c r="O378" s="920">
        <f t="shared" si="56"/>
        <v>0</v>
      </c>
      <c r="P378" s="1016">
        <f>IF(SETUP!$F$28="At delivery",IF(SETUP!$G$28=4,$E$376*'HIV-Other HPs'!BB15,IF(SETUP!$G$28=3,$E$376*'HIV-Other HPs'!BC15,IF(SETUP!$G$28=2,$E$376*'HIV-Other HPs'!BD15,IF(SETUP!$G$28=1,$E$376*'HIV-Other HPs'!BE15,0)))),0)</f>
        <v>0</v>
      </c>
      <c r="Q378" s="920">
        <f>IF(SETUP!$F$28="At delivery",IF(SETUP!$G$28=4,$E$376*'HIV-Other HPs'!BC15,IF(SETUP!$G$28=3,$E$376*'HIV-Other HPs'!BD15,IF(SETUP!$G$28=2,$E$376*'HIV-Other HPs'!BE15,IF(SETUP!$G$28=1,$E$376*'HIV-Other HPs'!BF15,0)))),0)</f>
        <v>0</v>
      </c>
      <c r="R378" s="920">
        <f>IF(SETUP!$F$28="At delivery",IF(SETUP!$G$28=4,$E$376*'HIV-Other HPs'!BD15,IF(SETUP!$G$28=3,$E$376*'HIV-Other HPs'!BE15,IF(SETUP!$G$28=2,$E$376*'HIV-Other HPs'!BF15,IF(SETUP!$G$28=1,$E$376*'HIV-Other HPs'!BG15,0)))),0)</f>
        <v>0</v>
      </c>
      <c r="S378" s="920">
        <f>IF(SETUP!$F$28="At delivery",IF(SETUP!$G$28=4,$E$376*('HIV-Other HPs'!BE15+'HIV-Other HPs'!BF15+'HIV-Other HPs'!BG15+'HIV-Other HPs'!BH15+'HIV-Other HPs'!BI15),IF(SETUP!$G$28=3,$E$376*('HIV-Other HPs'!BF15+'HIV-Other HPs'!BG15+'HIV-Other HPs'!BH15+'HIV-Other HPs'!BI15),IF(SETUP!$G$28=2,$E$376*('HIV-Other HPs'!BG15+'HIV-Other HPs'!BH15+'HIV-Other HPs'!BI15),IF(SETUP!$G$28=1,$E$376*('HIV-Other HPs'!BH15+'HIV-Other HPs'!BI15),0)))),0)</f>
        <v>0</v>
      </c>
      <c r="T378" s="920">
        <f t="shared" si="57"/>
        <v>0</v>
      </c>
      <c r="U378" s="1016">
        <f t="shared" si="58"/>
        <v>0</v>
      </c>
      <c r="V378" s="1344">
        <v>7.3</v>
      </c>
      <c r="W378" s="2006"/>
      <c r="X378" s="654"/>
      <c r="Y378" s="579"/>
      <c r="Z378" s="579"/>
      <c r="AA378" s="579"/>
      <c r="AB378" s="579"/>
      <c r="AC378" s="579"/>
      <c r="AD378" s="579"/>
      <c r="AE378" s="579"/>
      <c r="AF378" s="674"/>
      <c r="AG378" s="579"/>
      <c r="AH378" s="579"/>
      <c r="AI378" s="579"/>
      <c r="AJ378" s="579"/>
      <c r="AK378" s="579"/>
      <c r="AL378" s="579"/>
      <c r="AM378" s="579"/>
      <c r="AN378" s="579"/>
      <c r="AO378" s="579"/>
      <c r="AP378" s="579"/>
      <c r="AQ378" s="579"/>
      <c r="AR378" s="579"/>
      <c r="AS378" s="579"/>
      <c r="AT378" s="579"/>
      <c r="AU378" s="579"/>
      <c r="AV378" s="579"/>
      <c r="AW378" s="579"/>
      <c r="AX378" s="579"/>
      <c r="AY378" s="579"/>
      <c r="AZ378" s="579"/>
      <c r="BA378" s="579"/>
      <c r="BB378" s="579"/>
      <c r="BC378" s="579"/>
      <c r="BD378" s="579"/>
      <c r="BE378" s="579"/>
      <c r="BF378" s="579"/>
      <c r="BG378" s="579"/>
      <c r="BH378" s="579"/>
      <c r="BI378" s="579"/>
      <c r="BJ378" s="579"/>
      <c r="BK378" s="579"/>
      <c r="BL378" s="579"/>
      <c r="BM378" s="579"/>
      <c r="BN378" s="579"/>
      <c r="BO378" s="579"/>
      <c r="BP378" s="579"/>
      <c r="BQ378" s="579"/>
      <c r="BR378" s="579"/>
    </row>
    <row r="379" spans="1:70" s="571" customFormat="1" ht="13.5" collapsed="1" thickBot="1">
      <c r="A379" s="3184"/>
      <c r="B379" s="3185"/>
      <c r="C379" s="3188" t="s">
        <v>441</v>
      </c>
      <c r="D379" s="3188"/>
      <c r="E379" s="1245">
        <v>0</v>
      </c>
      <c r="F379" s="1016">
        <f>IF(SETUP!$F$29="Upfront",F380,F381)</f>
        <v>0</v>
      </c>
      <c r="G379" s="920">
        <f>IF(SETUP!$F$29="Upfront",G380,G381)</f>
        <v>0</v>
      </c>
      <c r="H379" s="920">
        <f>IF(SETUP!$F$29="Upfront",H380,H381)</f>
        <v>0</v>
      </c>
      <c r="I379" s="920">
        <f>IF(SETUP!$F$29="Upfront",I380,I381)</f>
        <v>0</v>
      </c>
      <c r="J379" s="920">
        <f t="shared" si="55"/>
        <v>0</v>
      </c>
      <c r="K379" s="1016">
        <f>IF(SETUP!$F$29="Upfront",K380,K381)</f>
        <v>0</v>
      </c>
      <c r="L379" s="920">
        <f>IF(SETUP!$F$29="Upfront",L380,L381)</f>
        <v>0</v>
      </c>
      <c r="M379" s="920">
        <f>IF(SETUP!$F$29="Upfront",M380,M381)</f>
        <v>0</v>
      </c>
      <c r="N379" s="920">
        <f>IF(SETUP!$F$29="Upfront",N380,N381)</f>
        <v>0</v>
      </c>
      <c r="O379" s="920">
        <f t="shared" si="56"/>
        <v>0</v>
      </c>
      <c r="P379" s="1016">
        <f>IF(SETUP!$F$29="Upfront",P380,P381)</f>
        <v>0</v>
      </c>
      <c r="Q379" s="920">
        <f>IF(SETUP!$F$29="Upfront",Q380,Q381)</f>
        <v>0</v>
      </c>
      <c r="R379" s="920">
        <f>IF(SETUP!$F$29="Upfront",R380,R381)</f>
        <v>0</v>
      </c>
      <c r="S379" s="920">
        <f>IF(SETUP!$F$29="Upfront",S380,S381)</f>
        <v>0</v>
      </c>
      <c r="T379" s="920">
        <f t="shared" si="57"/>
        <v>0</v>
      </c>
      <c r="U379" s="1016">
        <f t="shared" si="58"/>
        <v>0</v>
      </c>
      <c r="V379" s="1344">
        <v>7.3</v>
      </c>
      <c r="W379" s="2006"/>
      <c r="X379" s="654"/>
      <c r="Y379" s="579"/>
      <c r="Z379" s="579"/>
      <c r="AA379" s="579"/>
      <c r="AB379" s="579"/>
      <c r="AC379" s="579"/>
      <c r="AD379" s="579"/>
      <c r="AE379" s="579"/>
      <c r="AF379" s="674"/>
      <c r="AG379" s="579"/>
      <c r="AH379" s="579"/>
      <c r="AI379" s="579"/>
      <c r="AJ379" s="579"/>
      <c r="AK379" s="579"/>
      <c r="AL379" s="579"/>
      <c r="AM379" s="579"/>
      <c r="AN379" s="579"/>
      <c r="AO379" s="579"/>
      <c r="AP379" s="579"/>
      <c r="AQ379" s="579"/>
      <c r="AR379" s="579"/>
      <c r="AS379" s="579"/>
      <c r="AT379" s="579"/>
      <c r="AU379" s="579"/>
      <c r="AV379" s="579"/>
      <c r="AW379" s="579"/>
      <c r="AX379" s="579"/>
      <c r="AY379" s="579"/>
      <c r="AZ379" s="579"/>
      <c r="BA379" s="579"/>
      <c r="BB379" s="579"/>
      <c r="BC379" s="579"/>
      <c r="BD379" s="579"/>
      <c r="BE379" s="579"/>
      <c r="BF379" s="579"/>
      <c r="BG379" s="579"/>
      <c r="BH379" s="579"/>
      <c r="BI379" s="579"/>
      <c r="BJ379" s="579"/>
      <c r="BK379" s="579"/>
      <c r="BL379" s="579"/>
      <c r="BM379" s="579"/>
      <c r="BN379" s="579"/>
      <c r="BO379" s="579"/>
      <c r="BP379" s="579"/>
      <c r="BQ379" s="579"/>
      <c r="BR379" s="579"/>
    </row>
    <row r="380" spans="1:70" s="571" customFormat="1" ht="16.149999999999999" hidden="1" customHeight="1" outlineLevel="1">
      <c r="A380" s="3184"/>
      <c r="B380" s="3185"/>
      <c r="C380" s="3182" t="s">
        <v>777</v>
      </c>
      <c r="D380" s="3182"/>
      <c r="E380" s="1246"/>
      <c r="F380" s="1016">
        <f>IF(SETUP!$F$29="Upfront",$E$379*'HIV-Other HPs'!AX16,0)</f>
        <v>0</v>
      </c>
      <c r="G380" s="920">
        <f>IF(SETUP!$F$29="Upfront",$E$379*'HIV-Other HPs'!AY16,0)</f>
        <v>0</v>
      </c>
      <c r="H380" s="920">
        <f>IF(SETUP!$F$29="Upfront",$E$379*'HIV-Other HPs'!AZ16,0)</f>
        <v>0</v>
      </c>
      <c r="I380" s="920">
        <f>IF(SETUP!$F$29="Upfront",$E$379*'HIV-Other HPs'!BA16,0)</f>
        <v>0</v>
      </c>
      <c r="J380" s="920">
        <f t="shared" si="55"/>
        <v>0</v>
      </c>
      <c r="K380" s="1016">
        <f>IF(SETUP!$F$29="Upfront",$E$379*'HIV-Other HPs'!BB16,0)</f>
        <v>0</v>
      </c>
      <c r="L380" s="920">
        <f>IF(SETUP!$F$29="Upfront",$E$379*'HIV-Other HPs'!BC16,0)</f>
        <v>0</v>
      </c>
      <c r="M380" s="920">
        <f>IF(SETUP!$F$29="Upfront",$E$379*'HIV-Other HPs'!BD16,0)</f>
        <v>0</v>
      </c>
      <c r="N380" s="920">
        <f>IF(SETUP!$F$29="Upfront",$E$379*'HIV-Other HPs'!BE16,0)</f>
        <v>0</v>
      </c>
      <c r="O380" s="920">
        <f t="shared" si="56"/>
        <v>0</v>
      </c>
      <c r="P380" s="1016">
        <f>IF(SETUP!$F$29="Upfront",$E$379*'HIV-Other HPs'!BF16,0)</f>
        <v>0</v>
      </c>
      <c r="Q380" s="920">
        <f>IF(SETUP!$F$29="Upfront",$E$379*'HIV-Other HPs'!BG16,0)</f>
        <v>0</v>
      </c>
      <c r="R380" s="920">
        <f>IF(SETUP!$F$29="Upfront",$E$379*'HIV-Other HPs'!BH16,0)</f>
        <v>0</v>
      </c>
      <c r="S380" s="920">
        <f>IF(SETUP!$F$29="Upfront",$E$379*'HIV-Other HPs'!BI16,0)</f>
        <v>0</v>
      </c>
      <c r="T380" s="920">
        <f t="shared" si="57"/>
        <v>0</v>
      </c>
      <c r="U380" s="1016">
        <f t="shared" si="58"/>
        <v>0</v>
      </c>
      <c r="V380" s="1344">
        <v>7.3</v>
      </c>
      <c r="W380" s="2006"/>
      <c r="X380" s="654"/>
      <c r="Y380" s="579"/>
      <c r="Z380" s="579"/>
      <c r="AA380" s="579"/>
      <c r="AB380" s="579"/>
      <c r="AC380" s="579"/>
      <c r="AD380" s="579"/>
      <c r="AE380" s="579"/>
      <c r="AF380" s="674"/>
      <c r="AG380" s="579"/>
      <c r="AH380" s="579"/>
      <c r="AI380" s="579"/>
      <c r="AJ380" s="579"/>
      <c r="AK380" s="579"/>
      <c r="AL380" s="579"/>
      <c r="AM380" s="579"/>
      <c r="AN380" s="579"/>
      <c r="AO380" s="579"/>
      <c r="AP380" s="579"/>
      <c r="AQ380" s="579"/>
      <c r="AR380" s="579"/>
      <c r="AS380" s="579"/>
      <c r="AT380" s="579"/>
      <c r="AU380" s="579"/>
      <c r="AV380" s="579"/>
      <c r="AW380" s="579"/>
      <c r="AX380" s="579"/>
      <c r="AY380" s="579"/>
      <c r="AZ380" s="579"/>
      <c r="BA380" s="579"/>
      <c r="BB380" s="579"/>
      <c r="BC380" s="579"/>
      <c r="BD380" s="579"/>
      <c r="BE380" s="579"/>
      <c r="BF380" s="579"/>
      <c r="BG380" s="579"/>
      <c r="BH380" s="579"/>
      <c r="BI380" s="579"/>
      <c r="BJ380" s="579"/>
      <c r="BK380" s="579"/>
      <c r="BL380" s="579"/>
      <c r="BM380" s="579"/>
      <c r="BN380" s="579"/>
      <c r="BO380" s="579"/>
      <c r="BP380" s="579"/>
      <c r="BQ380" s="579"/>
      <c r="BR380" s="579"/>
    </row>
    <row r="381" spans="1:70" s="571" customFormat="1" ht="16.149999999999999" hidden="1" customHeight="1" outlineLevel="1">
      <c r="A381" s="3184"/>
      <c r="B381" s="3185"/>
      <c r="C381" s="3182" t="s">
        <v>36</v>
      </c>
      <c r="D381" s="3182"/>
      <c r="E381" s="1991"/>
      <c r="F381" s="1016">
        <v>0</v>
      </c>
      <c r="G381" s="920">
        <f>IF(SETUP!$F$29="At delivery",IF(SETUP!$G$29=1,$E$379*'HIV-Other HPs'!AX16,0),0)</f>
        <v>0</v>
      </c>
      <c r="H381" s="920">
        <f>IF(SETUP!$F$29="At delivery",IF(SETUP!$G$29=2,$E$379*'HIV-Other HPs'!AX16,IF(SETUP!$G$29=1,$E$379*'HIV-Other HPs'!AY16,0)),0)</f>
        <v>0</v>
      </c>
      <c r="I381" s="920">
        <f>IF(SETUP!$F$29="At delivery",IF(SETUP!$G$29=3,$E$379*'HIV-Other HPs'!AX16,IF(SETUP!$G$29=2,$E$379*'HIV-Other HPs'!AY16,IF(SETUP!$G$29=1,$E$379*'HIV-Other HPs'!AZ16,0))),0)</f>
        <v>0</v>
      </c>
      <c r="J381" s="920">
        <f t="shared" si="55"/>
        <v>0</v>
      </c>
      <c r="K381" s="1016">
        <f>IF(SETUP!$F$29="At delivery",IF(SETUP!$G$29=4,$E$379*'HIV-Other HPs'!AX16,IF(SETUP!$G$29=3,$E$379*'HIV-Other HPs'!AY16,IF(SETUP!$G$29=2,$E$379*'HIV-Other HPs'!AZ16,IF(SETUP!$G$29=1,$E$379*'HIV-Other HPs'!BA16,0)))),0)</f>
        <v>0</v>
      </c>
      <c r="L381" s="920">
        <f>IF(SETUP!$F$29="At delivery",IF(SETUP!$G$29=4,$E$379*'HIV-Other HPs'!AY16,IF(SETUP!$G$29=3,$E$379*'HIV-Other HPs'!AZ16,IF(SETUP!$G$29=2,$E$379*'HIV-Other HPs'!BA16,IF(SETUP!$G$29=1,$E$379*'HIV-Other HPs'!BB16,0)))),0)</f>
        <v>0</v>
      </c>
      <c r="M381" s="920">
        <f>IF(SETUP!$F$29="At delivery",IF(SETUP!$G$29=4,$E$379*'HIV-Other HPs'!AZ16,IF(SETUP!$G$29=3,$E$379*'HIV-Other HPs'!BA16,IF(SETUP!$G$29=2,$E$379*'HIV-Other HPs'!BB16,IF(SETUP!$G$29=1,$E$379*'HIV-Other HPs'!BC16,0)))),0)</f>
        <v>0</v>
      </c>
      <c r="N381" s="920">
        <f>IF(SETUP!$F$29="At delivery",IF(SETUP!$G$29=4,$E$379*'HIV-Other HPs'!BA16,IF(SETUP!$G$29=3,$E$379*'HIV-Other HPs'!BB16,IF(SETUP!$G$29=2,$E$379*'HIV-Other HPs'!BC16,IF(SETUP!$G$29=1,$E$379*'HIV-Other HPs'!BD16,0)))),0)</f>
        <v>0</v>
      </c>
      <c r="O381" s="920">
        <f t="shared" si="56"/>
        <v>0</v>
      </c>
      <c r="P381" s="1016">
        <f>IF(SETUP!$F$29="At delivery",IF(SETUP!$G$29=4,$E$379*'HIV-Other HPs'!BB16,IF(SETUP!$G$29=3,$E$379*'HIV-Other HPs'!BC16,IF(SETUP!$G$29=2,$E$379*'HIV-Other HPs'!BD16,IF(SETUP!$G$29=1,$E$379*'HIV-Other HPs'!BE16,0)))),0)</f>
        <v>0</v>
      </c>
      <c r="Q381" s="920">
        <f>IF(SETUP!$F$29="At delivery",IF(SETUP!$G$29=4,$E$379*'HIV-Other HPs'!BC16,IF(SETUP!$G$29=3,$E$379*'HIV-Other HPs'!BD16,IF(SETUP!$G$29=2,$E$379*'HIV-Other HPs'!BE16,IF(SETUP!$G$29=1,$E$379*'HIV-Other HPs'!BF16,0)))),0)</f>
        <v>0</v>
      </c>
      <c r="R381" s="920">
        <f>IF(SETUP!$F$29="At delivery",IF(SETUP!$G$29=4,$E$379*'HIV-Other HPs'!BD16,IF(SETUP!$G$29=3,$E$379*'HIV-Other HPs'!BE16,IF(SETUP!$G$29=2,$E$379*'HIV-Other HPs'!BF16,IF(SETUP!$G$29=1,$E$379*'HIV-Other HPs'!BG16,0)))),0)</f>
        <v>0</v>
      </c>
      <c r="S381" s="920">
        <f>IF(SETUP!$F$29="At delivery",IF(SETUP!$G$29=4,$E$379*('HIV-Other HPs'!BE16+'HIV-Other HPs'!BF16+'HIV-Other HPs'!BG16+'HIV-Other HPs'!BH16+'HIV-Other HPs'!BI16),IF(SETUP!$G$29=3,$E$379*('HIV-Other HPs'!BF16+'HIV-Other HPs'!BG16+'HIV-Other HPs'!BH16+'HIV-Other HPs'!BI16),IF(SETUP!$G$29=2,$E$379*('HIV-Other HPs'!BG16+'HIV-Other HPs'!BH16+'HIV-Other HPs'!BI16),IF(SETUP!$G$29=1,$E$379*('HIV-Other HPs'!BH16+'HIV-Other HPs'!BI16),0)))),0)</f>
        <v>0</v>
      </c>
      <c r="T381" s="920">
        <f t="shared" si="57"/>
        <v>0</v>
      </c>
      <c r="U381" s="1016">
        <f t="shared" si="58"/>
        <v>0</v>
      </c>
      <c r="V381" s="1344">
        <v>7.3</v>
      </c>
      <c r="W381" s="2006"/>
      <c r="X381" s="654"/>
      <c r="Y381" s="579"/>
      <c r="Z381" s="579"/>
      <c r="AA381" s="579"/>
      <c r="AB381" s="579"/>
      <c r="AC381" s="579"/>
      <c r="AD381" s="579"/>
      <c r="AE381" s="579"/>
      <c r="AF381" s="674"/>
      <c r="AG381" s="579"/>
      <c r="AH381" s="579"/>
      <c r="AI381" s="579"/>
      <c r="AJ381" s="579"/>
      <c r="AK381" s="579"/>
      <c r="AL381" s="579"/>
      <c r="AM381" s="579"/>
      <c r="AN381" s="579"/>
      <c r="AO381" s="579"/>
      <c r="AP381" s="579"/>
      <c r="AQ381" s="579"/>
      <c r="AR381" s="579"/>
      <c r="AS381" s="579"/>
      <c r="AT381" s="579"/>
      <c r="AU381" s="579"/>
      <c r="AV381" s="579"/>
      <c r="AW381" s="579"/>
      <c r="AX381" s="579"/>
      <c r="AY381" s="579"/>
      <c r="AZ381" s="579"/>
      <c r="BA381" s="579"/>
      <c r="BB381" s="579"/>
      <c r="BC381" s="579"/>
      <c r="BD381" s="579"/>
      <c r="BE381" s="579"/>
      <c r="BF381" s="579"/>
      <c r="BG381" s="579"/>
      <c r="BH381" s="579"/>
      <c r="BI381" s="579"/>
      <c r="BJ381" s="579"/>
      <c r="BK381" s="579"/>
      <c r="BL381" s="579"/>
      <c r="BM381" s="579"/>
      <c r="BN381" s="579"/>
      <c r="BO381" s="579"/>
      <c r="BP381" s="579"/>
      <c r="BQ381" s="579"/>
      <c r="BR381" s="579"/>
    </row>
    <row r="382" spans="1:70" s="571" customFormat="1" ht="13.5" collapsed="1" thickBot="1">
      <c r="A382" s="3184"/>
      <c r="B382" s="3185"/>
      <c r="C382" s="3188" t="s">
        <v>1452</v>
      </c>
      <c r="D382" s="3188"/>
      <c r="E382" s="1245">
        <v>0</v>
      </c>
      <c r="F382" s="1016">
        <f>IF(SETUP!$F$30="Upfront",F383,F384)</f>
        <v>0</v>
      </c>
      <c r="G382" s="920">
        <f>IF(SETUP!$F$30="Upfront",G383,G384)</f>
        <v>0</v>
      </c>
      <c r="H382" s="920">
        <f>IF(SETUP!$F$30="Upfront",H383,H384)</f>
        <v>0</v>
      </c>
      <c r="I382" s="920">
        <f>IF(SETUP!$F$30="Upfront",I383,I384)</f>
        <v>0</v>
      </c>
      <c r="J382" s="920">
        <f t="shared" si="55"/>
        <v>0</v>
      </c>
      <c r="K382" s="1016">
        <f>IF(SETUP!$F$30="Upfront",K383,K384)</f>
        <v>0</v>
      </c>
      <c r="L382" s="920">
        <f>IF(SETUP!$F$30="Upfront",L383,L384)</f>
        <v>0</v>
      </c>
      <c r="M382" s="920">
        <f>IF(SETUP!$F$30="Upfront",M383,M384)</f>
        <v>0</v>
      </c>
      <c r="N382" s="920">
        <f>IF(SETUP!$F$30="Upfront",N383,N384)</f>
        <v>0</v>
      </c>
      <c r="O382" s="920">
        <f t="shared" si="56"/>
        <v>0</v>
      </c>
      <c r="P382" s="1016">
        <f>IF(SETUP!$F$30="Upfront",P383,P384)</f>
        <v>0</v>
      </c>
      <c r="Q382" s="920">
        <f>IF(SETUP!$F$30="Upfront",Q383,Q384)</f>
        <v>0</v>
      </c>
      <c r="R382" s="920">
        <f>IF(SETUP!$F$30="Upfront",R383,R384)</f>
        <v>0</v>
      </c>
      <c r="S382" s="920">
        <f>IF(SETUP!$F$30="Upfront",S383,S384)</f>
        <v>0</v>
      </c>
      <c r="T382" s="920">
        <f t="shared" si="57"/>
        <v>0</v>
      </c>
      <c r="U382" s="1016">
        <f t="shared" si="58"/>
        <v>0</v>
      </c>
      <c r="V382" s="1344">
        <v>7.3</v>
      </c>
      <c r="W382" s="2006"/>
      <c r="X382" s="654"/>
      <c r="Y382" s="579"/>
      <c r="Z382" s="579"/>
      <c r="AA382" s="579"/>
      <c r="AB382" s="579"/>
      <c r="AC382" s="579"/>
      <c r="AD382" s="579"/>
      <c r="AE382" s="579"/>
      <c r="AF382" s="674"/>
      <c r="AG382" s="579"/>
      <c r="AH382" s="579"/>
      <c r="AI382" s="579"/>
      <c r="AJ382" s="579"/>
      <c r="AK382" s="579"/>
      <c r="AL382" s="579"/>
      <c r="AM382" s="579"/>
      <c r="AN382" s="579"/>
      <c r="AO382" s="579"/>
      <c r="AP382" s="579"/>
      <c r="AQ382" s="579"/>
      <c r="AR382" s="579"/>
      <c r="AS382" s="579"/>
      <c r="AT382" s="579"/>
      <c r="AU382" s="579"/>
      <c r="AV382" s="579"/>
      <c r="AW382" s="579"/>
      <c r="AX382" s="579"/>
      <c r="AY382" s="579"/>
      <c r="AZ382" s="579"/>
      <c r="BA382" s="579"/>
      <c r="BB382" s="579"/>
      <c r="BC382" s="579"/>
      <c r="BD382" s="579"/>
      <c r="BE382" s="579"/>
      <c r="BF382" s="579"/>
      <c r="BG382" s="579"/>
      <c r="BH382" s="579"/>
      <c r="BI382" s="579"/>
      <c r="BJ382" s="579"/>
      <c r="BK382" s="579"/>
      <c r="BL382" s="579"/>
      <c r="BM382" s="579"/>
      <c r="BN382" s="579"/>
      <c r="BO382" s="579"/>
      <c r="BP382" s="579"/>
      <c r="BQ382" s="579"/>
      <c r="BR382" s="579"/>
    </row>
    <row r="383" spans="1:70" s="571" customFormat="1" ht="16.149999999999999" hidden="1" customHeight="1" outlineLevel="1">
      <c r="A383" s="3184"/>
      <c r="B383" s="3185"/>
      <c r="C383" s="3182" t="s">
        <v>777</v>
      </c>
      <c r="D383" s="3182"/>
      <c r="E383" s="1246"/>
      <c r="F383" s="1016">
        <f>IF(SETUP!$F$30="Upfront",$E$382*'HIV-Other HPs'!AX17,0)</f>
        <v>0</v>
      </c>
      <c r="G383" s="920">
        <f>IF(SETUP!$F$30="Upfront",$E$382*'HIV-Other HPs'!AY17,0)</f>
        <v>0</v>
      </c>
      <c r="H383" s="920">
        <f>IF(SETUP!$F$30="Upfront",$E$382*'HIV-Other HPs'!AZ17,0)</f>
        <v>0</v>
      </c>
      <c r="I383" s="920">
        <f>IF(SETUP!$F$30="Upfront",$E$382*'HIV-Other HPs'!BA17,0)</f>
        <v>0</v>
      </c>
      <c r="J383" s="920">
        <f t="shared" si="55"/>
        <v>0</v>
      </c>
      <c r="K383" s="1016">
        <f>IF(SETUP!$F$30="Upfront",$E$382*'HIV-Other HPs'!BB17,0)</f>
        <v>0</v>
      </c>
      <c r="L383" s="920">
        <f>IF(SETUP!$F$30="Upfront",$E$382*'HIV-Other HPs'!BC17,0)</f>
        <v>0</v>
      </c>
      <c r="M383" s="920">
        <f>IF(SETUP!$F$30="Upfront",$E$382*'HIV-Other HPs'!BD17,0)</f>
        <v>0</v>
      </c>
      <c r="N383" s="920">
        <f>IF(SETUP!$F$30="Upfront",$E$382*'HIV-Other HPs'!BE17,0)</f>
        <v>0</v>
      </c>
      <c r="O383" s="920">
        <f t="shared" si="56"/>
        <v>0</v>
      </c>
      <c r="P383" s="1016">
        <f>IF(SETUP!$F$30="Upfront",$E$382*'HIV-Other HPs'!BF17,0)</f>
        <v>0</v>
      </c>
      <c r="Q383" s="920">
        <f>IF(SETUP!$F$30="Upfront",$E$382*'HIV-Other HPs'!BG17,0)</f>
        <v>0</v>
      </c>
      <c r="R383" s="920">
        <f>IF(SETUP!$F$30="Upfront",$E$382*'HIV-Other HPs'!BH17,0)</f>
        <v>0</v>
      </c>
      <c r="S383" s="920">
        <f>IF(SETUP!$F$30="Upfront",$E$382*'HIV-Other HPs'!BI17,0)</f>
        <v>0</v>
      </c>
      <c r="T383" s="920">
        <f t="shared" si="57"/>
        <v>0</v>
      </c>
      <c r="U383" s="1016">
        <f t="shared" si="58"/>
        <v>0</v>
      </c>
      <c r="V383" s="1344">
        <v>7.3</v>
      </c>
      <c r="W383" s="2006"/>
      <c r="X383" s="654"/>
      <c r="Y383" s="579"/>
      <c r="Z383" s="579"/>
      <c r="AA383" s="579"/>
      <c r="AB383" s="579"/>
      <c r="AC383" s="579"/>
      <c r="AD383" s="579"/>
      <c r="AE383" s="579"/>
      <c r="AF383" s="674"/>
      <c r="AG383" s="579"/>
      <c r="AH383" s="579"/>
      <c r="AI383" s="579"/>
      <c r="AJ383" s="579"/>
      <c r="AK383" s="579"/>
      <c r="AL383" s="579"/>
      <c r="AM383" s="579"/>
      <c r="AN383" s="579"/>
      <c r="AO383" s="579"/>
      <c r="AP383" s="579"/>
      <c r="AQ383" s="579"/>
      <c r="AR383" s="579"/>
      <c r="AS383" s="579"/>
      <c r="AT383" s="579"/>
      <c r="AU383" s="579"/>
      <c r="AV383" s="579"/>
      <c r="AW383" s="579"/>
      <c r="AX383" s="579"/>
      <c r="AY383" s="579"/>
      <c r="AZ383" s="579"/>
      <c r="BA383" s="579"/>
      <c r="BB383" s="579"/>
      <c r="BC383" s="579"/>
      <c r="BD383" s="579"/>
      <c r="BE383" s="579"/>
      <c r="BF383" s="579"/>
      <c r="BG383" s="579"/>
      <c r="BH383" s="579"/>
      <c r="BI383" s="579"/>
      <c r="BJ383" s="579"/>
      <c r="BK383" s="579"/>
      <c r="BL383" s="579"/>
      <c r="BM383" s="579"/>
      <c r="BN383" s="579"/>
      <c r="BO383" s="579"/>
      <c r="BP383" s="579"/>
      <c r="BQ383" s="579"/>
      <c r="BR383" s="579"/>
    </row>
    <row r="384" spans="1:70" s="571" customFormat="1" ht="16.149999999999999" hidden="1" customHeight="1" outlineLevel="1">
      <c r="A384" s="3184"/>
      <c r="B384" s="3185"/>
      <c r="C384" s="3182" t="s">
        <v>36</v>
      </c>
      <c r="D384" s="3182"/>
      <c r="E384" s="1246"/>
      <c r="F384" s="1016">
        <v>0</v>
      </c>
      <c r="G384" s="920">
        <f>IF(SETUP!$F$30="At delivery",IF(SETUP!$G$30=1,$E$382*'HIV-Other HPs'!AX17,0),0)</f>
        <v>0</v>
      </c>
      <c r="H384" s="920">
        <f>IF(SETUP!$F$30="At delivery",IF(SETUP!$G$30=2,$E$382*'HIV-Other HPs'!AX17,IF(SETUP!$G$30=1,$E$382*'HIV-Other HPs'!AY17,0)),0)</f>
        <v>0</v>
      </c>
      <c r="I384" s="920">
        <f>IF(SETUP!$F$30="At delivery",IF(SETUP!$G$30=3,$E$382*'HIV-Other HPs'!AX17,IF(SETUP!$G$30=2,$E$382*'HIV-Other HPs'!AY17,IF(SETUP!$G$30=1,$E$382*'HIV-Other HPs'!AZ17,0))),0)</f>
        <v>0</v>
      </c>
      <c r="J384" s="920">
        <f t="shared" si="55"/>
        <v>0</v>
      </c>
      <c r="K384" s="1016">
        <f>IF(SETUP!$F$30="At delivery",IF(SETUP!$G$30=4,$E$382*'HIV-Other HPs'!AX17,IF(SETUP!$G$30=3,$E$382*'HIV-Other HPs'!AY17,IF(SETUP!$G$30=2,$E$382*'HIV-Other HPs'!AZ17,IF(SETUP!$G$30=1,$E$382*'HIV-Other HPs'!BA17,0)))),0)</f>
        <v>0</v>
      </c>
      <c r="L384" s="920">
        <f>IF(SETUP!$F$30="At delivery",IF(SETUP!$G$30=4,$E$382*'HIV-Other HPs'!AY17,IF(SETUP!$G$30=3,$E$382*'HIV-Other HPs'!AZ17,IF(SETUP!$G$30=2,$E$382*'HIV-Other HPs'!BA17,IF(SETUP!$G$30=1,$E$382*'HIV-Other HPs'!BB17,0)))),0)</f>
        <v>0</v>
      </c>
      <c r="M384" s="920">
        <f>IF(SETUP!$F$30="At delivery",IF(SETUP!$G$30=4,$E$382*'HIV-Other HPs'!AZ17,IF(SETUP!$G$30=3,$E$382*'HIV-Other HPs'!BA17,IF(SETUP!$G$30=2,$E$382*'HIV-Other HPs'!BB17,IF(SETUP!$G$30=1,$E$382*'HIV-Other HPs'!BC17,0)))),0)</f>
        <v>0</v>
      </c>
      <c r="N384" s="920">
        <f>IF(SETUP!$F$30="At delivery",IF(SETUP!$G$30=4,$E$382*'HIV-Other HPs'!BA17,IF(SETUP!$G$30=3,$E$382*'HIV-Other HPs'!BB17,IF(SETUP!$G$30=2,$E$382*'HIV-Other HPs'!BC17,IF(SETUP!$G$30=1,$E$382*'HIV-Other HPs'!BD17,0)))),0)</f>
        <v>0</v>
      </c>
      <c r="O384" s="920">
        <f t="shared" si="56"/>
        <v>0</v>
      </c>
      <c r="P384" s="1016">
        <f>IF(SETUP!$F$30="At delivery",IF(SETUP!$G$30=4,$E$382*'HIV-Other HPs'!BB17,IF(SETUP!$G$30=3,$E$382*'HIV-Other HPs'!BC17,IF(SETUP!$G$30=2,$E$382*'HIV-Other HPs'!BD17,IF(SETUP!$G$30=1,$E$382*'HIV-Other HPs'!BE17,0)))),0)</f>
        <v>0</v>
      </c>
      <c r="Q384" s="920">
        <f>IF(SETUP!$F$30="At delivery",IF(SETUP!$G$30=4,$E$382*'HIV-Other HPs'!BC17,IF(SETUP!$G$30=3,$E$382*'HIV-Other HPs'!BD17,IF(SETUP!$G$30=2,$E$382*'HIV-Other HPs'!BE17,IF(SETUP!$G$30=1,$E$382*'HIV-Other HPs'!BF17,0)))),0)</f>
        <v>0</v>
      </c>
      <c r="R384" s="920">
        <f>IF(SETUP!$F$30="At delivery",IF(SETUP!$G$30=4,$E$382*'HIV-Other HPs'!BD17,IF(SETUP!$G$30=3,$E$382*'HIV-Other HPs'!BE17,IF(SETUP!$G$30=2,$E$382*'HIV-Other HPs'!BF17,IF(SETUP!$G$30=1,$E$382*'HIV-Other HPs'!BG17,0)))),0)</f>
        <v>0</v>
      </c>
      <c r="S384" s="920">
        <f>IF(SETUP!$F$30="At delivery",IF(SETUP!$G$30=4,$E$382*('HIV-Other HPs'!BE17+'HIV-Other HPs'!BF17+'HIV-Other HPs'!BG17+'HIV-Other HPs'!BH17+'HIV-Other HPs'!BI17),IF(SETUP!$G$30=3,$E$382*('HIV-Other HPs'!BF17+'HIV-Other HPs'!BG17+'HIV-Other HPs'!BH17+'HIV-Other HPs'!BI17),IF(SETUP!$G$30=2,$E$382*('HIV-Other HPs'!BG17+'HIV-Other HPs'!BH17+'HIV-Other HPs'!BI17),IF(SETUP!$G$30=1,$E$382*('HIV-Other HPs'!BH17+'HIV-Other HPs'!BI17),0)))),0)</f>
        <v>0</v>
      </c>
      <c r="T384" s="920">
        <f t="shared" si="57"/>
        <v>0</v>
      </c>
      <c r="U384" s="1016">
        <f t="shared" si="58"/>
        <v>0</v>
      </c>
      <c r="V384" s="1344">
        <v>7.3</v>
      </c>
      <c r="W384" s="2006"/>
      <c r="X384" s="654"/>
      <c r="Y384" s="579"/>
      <c r="Z384" s="579"/>
      <c r="AA384" s="579"/>
      <c r="AB384" s="579"/>
      <c r="AC384" s="579"/>
      <c r="AD384" s="579"/>
      <c r="AE384" s="579"/>
      <c r="AF384" s="674"/>
      <c r="AG384" s="579"/>
      <c r="AH384" s="579"/>
      <c r="AI384" s="579"/>
      <c r="AJ384" s="579"/>
      <c r="AK384" s="579"/>
      <c r="AL384" s="579"/>
      <c r="AM384" s="579"/>
      <c r="AN384" s="579"/>
      <c r="AO384" s="579"/>
      <c r="AP384" s="579"/>
      <c r="AQ384" s="579"/>
      <c r="AR384" s="579"/>
      <c r="AS384" s="579"/>
      <c r="AT384" s="579"/>
      <c r="AU384" s="579"/>
      <c r="AV384" s="579"/>
      <c r="AW384" s="579"/>
      <c r="AX384" s="579"/>
      <c r="AY384" s="579"/>
      <c r="AZ384" s="579"/>
      <c r="BA384" s="579"/>
      <c r="BB384" s="579"/>
      <c r="BC384" s="579"/>
      <c r="BD384" s="579"/>
      <c r="BE384" s="579"/>
      <c r="BF384" s="579"/>
      <c r="BG384" s="579"/>
      <c r="BH384" s="579"/>
      <c r="BI384" s="579"/>
      <c r="BJ384" s="579"/>
      <c r="BK384" s="579"/>
      <c r="BL384" s="579"/>
      <c r="BM384" s="579"/>
      <c r="BN384" s="579"/>
      <c r="BO384" s="579"/>
      <c r="BP384" s="579"/>
      <c r="BQ384" s="579"/>
      <c r="BR384" s="579"/>
    </row>
    <row r="385" spans="1:70" s="571" customFormat="1" ht="13.5" collapsed="1" thickBot="1">
      <c r="A385" s="3184"/>
      <c r="B385" s="3185"/>
      <c r="C385" s="3188" t="s">
        <v>1391</v>
      </c>
      <c r="D385" s="3188"/>
      <c r="E385" s="1245">
        <v>0</v>
      </c>
      <c r="F385" s="1016">
        <f>IF(SETUP!$F$31="Upfront",F386,F387)</f>
        <v>0</v>
      </c>
      <c r="G385" s="920">
        <f>IF(SETUP!$F$31="Upfront",G386,G387)</f>
        <v>0</v>
      </c>
      <c r="H385" s="920">
        <f>IF(SETUP!$F$31="Upfront",H386,H387)</f>
        <v>0</v>
      </c>
      <c r="I385" s="920">
        <f>IF(SETUP!$F$31="Upfront",I386,I387)</f>
        <v>0</v>
      </c>
      <c r="J385" s="920">
        <f t="shared" si="55"/>
        <v>0</v>
      </c>
      <c r="K385" s="1016">
        <f>IF(SETUP!$F$31="Upfront",K386,K387)</f>
        <v>0</v>
      </c>
      <c r="L385" s="920">
        <f>IF(SETUP!$F$31="Upfront",L386,L387)</f>
        <v>0</v>
      </c>
      <c r="M385" s="920">
        <f>IF(SETUP!$F$31="Upfront",M386,M387)</f>
        <v>0</v>
      </c>
      <c r="N385" s="920">
        <f>IF(SETUP!$F$31="Upfront",N386,N387)</f>
        <v>0</v>
      </c>
      <c r="O385" s="920">
        <f t="shared" ref="O385:O416" si="59">K385+L385+M385+N385</f>
        <v>0</v>
      </c>
      <c r="P385" s="1016">
        <f>IF(SETUP!$F$31="Upfront",P386,P387)</f>
        <v>0</v>
      </c>
      <c r="Q385" s="920">
        <f>IF(SETUP!$F$31="Upfront",Q386,Q387)</f>
        <v>0</v>
      </c>
      <c r="R385" s="920">
        <f>IF(SETUP!$F$31="Upfront",R386,R387)</f>
        <v>0</v>
      </c>
      <c r="S385" s="920">
        <f>IF(SETUP!$F$31="Upfront",S386,S387)</f>
        <v>0</v>
      </c>
      <c r="T385" s="920">
        <f t="shared" ref="T385:T416" si="60">P385+Q385+R385+S385</f>
        <v>0</v>
      </c>
      <c r="U385" s="1016">
        <f t="shared" si="58"/>
        <v>0</v>
      </c>
      <c r="V385" s="1344">
        <v>7.3</v>
      </c>
      <c r="W385" s="2006"/>
      <c r="X385" s="654"/>
      <c r="Y385" s="579"/>
      <c r="Z385" s="579"/>
      <c r="AA385" s="579"/>
      <c r="AB385" s="579"/>
      <c r="AC385" s="579"/>
      <c r="AD385" s="579"/>
      <c r="AE385" s="579"/>
      <c r="AF385" s="674"/>
      <c r="AG385" s="579"/>
      <c r="AH385" s="579"/>
      <c r="AI385" s="579"/>
      <c r="AJ385" s="579"/>
      <c r="AK385" s="579"/>
      <c r="AL385" s="579"/>
      <c r="AM385" s="579"/>
      <c r="AN385" s="579"/>
      <c r="AO385" s="579"/>
      <c r="AP385" s="579"/>
      <c r="AQ385" s="579"/>
      <c r="AR385" s="579"/>
      <c r="AS385" s="579"/>
      <c r="AT385" s="579"/>
      <c r="AU385" s="579"/>
      <c r="AV385" s="579"/>
      <c r="AW385" s="579"/>
      <c r="AX385" s="579"/>
      <c r="AY385" s="579"/>
      <c r="AZ385" s="579"/>
      <c r="BA385" s="579"/>
      <c r="BB385" s="579"/>
      <c r="BC385" s="579"/>
      <c r="BD385" s="579"/>
      <c r="BE385" s="579"/>
      <c r="BF385" s="579"/>
      <c r="BG385" s="579"/>
      <c r="BH385" s="579"/>
      <c r="BI385" s="579"/>
      <c r="BJ385" s="579"/>
      <c r="BK385" s="579"/>
      <c r="BL385" s="579"/>
      <c r="BM385" s="579"/>
      <c r="BN385" s="579"/>
      <c r="BO385" s="579"/>
      <c r="BP385" s="579"/>
      <c r="BQ385" s="579"/>
      <c r="BR385" s="579"/>
    </row>
    <row r="386" spans="1:70" s="571" customFormat="1" ht="16.149999999999999" hidden="1" customHeight="1" outlineLevel="1">
      <c r="A386" s="3184"/>
      <c r="B386" s="3185"/>
      <c r="C386" s="3182" t="s">
        <v>777</v>
      </c>
      <c r="D386" s="3182"/>
      <c r="E386" s="1246"/>
      <c r="F386" s="1016">
        <f>IF(SETUP!$F$31="Upfront",$E$385*'HIV-Other HPs'!AX18,0)</f>
        <v>0</v>
      </c>
      <c r="G386" s="920">
        <f>IF(SETUP!$F$31="Upfront",$E$385*'HIV-Other HPs'!AY18,0)</f>
        <v>0</v>
      </c>
      <c r="H386" s="920">
        <f>IF(SETUP!$F$31="Upfront",$E$385*'HIV-Other HPs'!AZ18,0)</f>
        <v>0</v>
      </c>
      <c r="I386" s="920">
        <f>IF(SETUP!$F$31="Upfront",$E$385*'HIV-Other HPs'!BA18,0)</f>
        <v>0</v>
      </c>
      <c r="J386" s="920">
        <f t="shared" ref="J386:J416" si="61">F386+G386+H386+I386</f>
        <v>0</v>
      </c>
      <c r="K386" s="1016">
        <f>IF(SETUP!$F$31="Upfront",$E$385*'HIV-Other HPs'!BB18,0)</f>
        <v>0</v>
      </c>
      <c r="L386" s="920">
        <f>IF(SETUP!$F$31="Upfront",$E$385*'HIV-Other HPs'!BC18,0)</f>
        <v>0</v>
      </c>
      <c r="M386" s="920">
        <f>IF(SETUP!$F$31="Upfront",$E$385*'HIV-Other HPs'!BD18,0)</f>
        <v>0</v>
      </c>
      <c r="N386" s="920">
        <f>IF(SETUP!$F$31="Upfront",$E$385*'HIV-Other HPs'!BE18,0)</f>
        <v>0</v>
      </c>
      <c r="O386" s="920">
        <f t="shared" si="59"/>
        <v>0</v>
      </c>
      <c r="P386" s="1016">
        <f>IF(SETUP!$F$31="Upfront",$E$385*'HIV-Other HPs'!BF18,0)</f>
        <v>0</v>
      </c>
      <c r="Q386" s="920">
        <f>IF(SETUP!$F$31="Upfront",$E$385*'HIV-Other HPs'!BG18,0)</f>
        <v>0</v>
      </c>
      <c r="R386" s="920">
        <f>IF(SETUP!$F$31="Upfront",$E$385*'HIV-Other HPs'!BH18,0)</f>
        <v>0</v>
      </c>
      <c r="S386" s="920">
        <f>IF(SETUP!$F$31="Upfront",$E$385*'HIV-Other HPs'!BI18,0)</f>
        <v>0</v>
      </c>
      <c r="T386" s="920">
        <f t="shared" si="60"/>
        <v>0</v>
      </c>
      <c r="U386" s="1016">
        <f t="shared" ref="U386:U416" si="62">J386+O386+T386</f>
        <v>0</v>
      </c>
      <c r="V386" s="1344">
        <v>7.3</v>
      </c>
      <c r="W386" s="2006"/>
      <c r="X386" s="654"/>
      <c r="Y386" s="579"/>
      <c r="Z386" s="579"/>
      <c r="AA386" s="579"/>
      <c r="AB386" s="579"/>
      <c r="AC386" s="579"/>
      <c r="AD386" s="579"/>
      <c r="AE386" s="579"/>
      <c r="AF386" s="674"/>
      <c r="AG386" s="579"/>
      <c r="AH386" s="579"/>
      <c r="AI386" s="579"/>
      <c r="AJ386" s="579"/>
      <c r="AK386" s="579"/>
      <c r="AL386" s="579"/>
      <c r="AM386" s="579"/>
      <c r="AN386" s="579"/>
      <c r="AO386" s="579"/>
      <c r="AP386" s="579"/>
      <c r="AQ386" s="579"/>
      <c r="AR386" s="579"/>
      <c r="AS386" s="579"/>
      <c r="AT386" s="579"/>
      <c r="AU386" s="579"/>
      <c r="AV386" s="579"/>
      <c r="AW386" s="579"/>
      <c r="AX386" s="579"/>
      <c r="AY386" s="579"/>
      <c r="AZ386" s="579"/>
      <c r="BA386" s="579"/>
      <c r="BB386" s="579"/>
      <c r="BC386" s="579"/>
      <c r="BD386" s="579"/>
      <c r="BE386" s="579"/>
      <c r="BF386" s="579"/>
      <c r="BG386" s="579"/>
      <c r="BH386" s="579"/>
      <c r="BI386" s="579"/>
      <c r="BJ386" s="579"/>
      <c r="BK386" s="579"/>
      <c r="BL386" s="579"/>
      <c r="BM386" s="579"/>
      <c r="BN386" s="579"/>
      <c r="BO386" s="579"/>
      <c r="BP386" s="579"/>
      <c r="BQ386" s="579"/>
      <c r="BR386" s="579"/>
    </row>
    <row r="387" spans="1:70" s="571" customFormat="1" ht="16.149999999999999" hidden="1" customHeight="1" outlineLevel="1">
      <c r="A387" s="3184"/>
      <c r="B387" s="3185"/>
      <c r="C387" s="3182" t="s">
        <v>36</v>
      </c>
      <c r="D387" s="3182"/>
      <c r="E387" s="1991"/>
      <c r="F387" s="1016">
        <v>0</v>
      </c>
      <c r="G387" s="920">
        <f>IF(SETUP!$F$31="At delivery",IF(SETUP!$G$31=1,$E$385*'HIV-Other HPs'!AX18,0),0)</f>
        <v>0</v>
      </c>
      <c r="H387" s="920">
        <f>IF(SETUP!$F$31="At delivery",IF(SETUP!$G$31=2,$E$385*'HIV-Other HPs'!AX18,IF(SETUP!$G$31=1,$E$385*'HIV-Other HPs'!AY18,0)),0)</f>
        <v>0</v>
      </c>
      <c r="I387" s="920">
        <f>IF(SETUP!$F$31="At delivery",IF(SETUP!$G$31=3,$E$385*'HIV-Other HPs'!AX18,IF(SETUP!$G$31=2,$E$385*'HIV-Other HPs'!AY18,IF(SETUP!$G$31=1,$E$385*'HIV-Other HPs'!AZ18,0))),0)</f>
        <v>0</v>
      </c>
      <c r="J387" s="920">
        <f t="shared" si="61"/>
        <v>0</v>
      </c>
      <c r="K387" s="1016">
        <f>IF(SETUP!$F$31="At delivery",IF(SETUP!$G$31=4,$E$385*'HIV-Other HPs'!AX18,IF(SETUP!$G$31=3,$E$385*'HIV-Other HPs'!AY18,IF(SETUP!$G$31=2,$E$385*'HIV-Other HPs'!AZ18,IF(SETUP!$G$31=1,$E$385*'HIV-Other HPs'!BA18,0)))),0)</f>
        <v>0</v>
      </c>
      <c r="L387" s="920">
        <f>IF(SETUP!$F$31="At delivery",IF(SETUP!$G$31=4,$E$385*'HIV-Other HPs'!AY18,IF(SETUP!$G$31=3,$E$385*'HIV-Other HPs'!AZ18,IF(SETUP!$G$31=2,$E$385*'HIV-Other HPs'!BA18,IF(SETUP!$G$31=1,$E$385*'HIV-Other HPs'!BB18,0)))),0)</f>
        <v>0</v>
      </c>
      <c r="M387" s="920">
        <f>IF(SETUP!$F$31="At delivery",IF(SETUP!$G$31=4,$E$385*'HIV-Other HPs'!AZ18,IF(SETUP!$G$31=3,$E$385*'HIV-Other HPs'!BA18,IF(SETUP!$G$31=2,$E$385*'HIV-Other HPs'!BB18,IF(SETUP!$G$31=1,$E$385*'HIV-Other HPs'!BC18,0)))),0)</f>
        <v>0</v>
      </c>
      <c r="N387" s="920">
        <f>IF(SETUP!$F$31="At delivery",IF(SETUP!$G$31=4,$E$385*'HIV-Other HPs'!BA18,IF(SETUP!$G$31=3,$E$385*'HIV-Other HPs'!BB18,IF(SETUP!$G$31=2,$E$385*'HIV-Other HPs'!BC18,IF(SETUP!$G$31=1,$E$385*'HIV-Other HPs'!BD18,0)))),0)</f>
        <v>0</v>
      </c>
      <c r="O387" s="920">
        <f t="shared" si="59"/>
        <v>0</v>
      </c>
      <c r="P387" s="1016">
        <f>IF(SETUP!$F$31="At delivery",IF(SETUP!$G$31=4,$E$385*'HIV-Other HPs'!BB18,IF(SETUP!$G$31=3,$E$385*'HIV-Other HPs'!BC18,IF(SETUP!$G$31=2,$E$385*'HIV-Other HPs'!BD18,IF(SETUP!$G$31=1,$E$385*'HIV-Other HPs'!BE18,0)))),0)</f>
        <v>0</v>
      </c>
      <c r="Q387" s="920">
        <f>IF(SETUP!$F$31="At delivery",IF(SETUP!$G$31=4,$E$385*'HIV-Other HPs'!BC18,IF(SETUP!$G$31=3,$E$385*'HIV-Other HPs'!BD18,IF(SETUP!$G$31=2,$E$385*'HIV-Other HPs'!BE18,IF(SETUP!$G$31=1,$E$385*'HIV-Other HPs'!BF18,0)))),0)</f>
        <v>0</v>
      </c>
      <c r="R387" s="920">
        <f>IF(SETUP!$F$31="At delivery",IF(SETUP!$G$31=4,$E$385*'HIV-Other HPs'!BD18,IF(SETUP!$G$31=3,$E$385*'HIV-Other HPs'!BE18,IF(SETUP!$G$31=2,$E$385*'HIV-Other HPs'!BF18,IF(SETUP!$G$31=1,$E$385*'HIV-Other HPs'!BG18,0)))),0)</f>
        <v>0</v>
      </c>
      <c r="S387" s="920">
        <f>IF(SETUP!$F$31="At delivery",IF(SETUP!$G$31=4,$E$385*('HIV-Other HPs'!BE18+'HIV-Other HPs'!BF18+'HIV-Other HPs'!BG18+'HIV-Other HPs'!BH18+'HIV-Other HPs'!BI18),IF(SETUP!$G$31=3,$E$385*('HIV-Other HPs'!BF18+'HIV-Other HPs'!BG18+'HIV-Other HPs'!BH18+'HIV-Other HPs'!BI18),IF(SETUP!$G$31=2,$E$385*('HIV-Other HPs'!BG18+'HIV-Other HPs'!BH18+'HIV-Other HPs'!BI18),IF(SETUP!$G$31=1,$E$385*('HIV-Other HPs'!BH18+'HIV-Other HPs'!BI18),0)))),0)</f>
        <v>0</v>
      </c>
      <c r="T387" s="920">
        <f t="shared" si="60"/>
        <v>0</v>
      </c>
      <c r="U387" s="1016">
        <f t="shared" si="62"/>
        <v>0</v>
      </c>
      <c r="V387" s="1344">
        <v>7.3</v>
      </c>
      <c r="W387" s="2006"/>
      <c r="X387" s="654"/>
      <c r="Y387" s="579"/>
      <c r="Z387" s="579"/>
      <c r="AA387" s="579"/>
      <c r="AB387" s="579"/>
      <c r="AC387" s="579"/>
      <c r="AD387" s="579"/>
      <c r="AE387" s="579"/>
      <c r="AF387" s="674"/>
      <c r="AG387" s="579"/>
      <c r="AH387" s="579"/>
      <c r="AI387" s="579"/>
      <c r="AJ387" s="579"/>
      <c r="AK387" s="579"/>
      <c r="AL387" s="579"/>
      <c r="AM387" s="579"/>
      <c r="AN387" s="579"/>
      <c r="AO387" s="579"/>
      <c r="AP387" s="579"/>
      <c r="AQ387" s="579"/>
      <c r="AR387" s="579"/>
      <c r="AS387" s="579"/>
      <c r="AT387" s="579"/>
      <c r="AU387" s="579"/>
      <c r="AV387" s="579"/>
      <c r="AW387" s="579"/>
      <c r="AX387" s="579"/>
      <c r="AY387" s="579"/>
      <c r="AZ387" s="579"/>
      <c r="BA387" s="579"/>
      <c r="BB387" s="579"/>
      <c r="BC387" s="579"/>
      <c r="BD387" s="579"/>
      <c r="BE387" s="579"/>
      <c r="BF387" s="579"/>
      <c r="BG387" s="579"/>
      <c r="BH387" s="579"/>
      <c r="BI387" s="579"/>
      <c r="BJ387" s="579"/>
      <c r="BK387" s="579"/>
      <c r="BL387" s="579"/>
      <c r="BM387" s="579"/>
      <c r="BN387" s="579"/>
      <c r="BO387" s="579"/>
      <c r="BP387" s="579"/>
      <c r="BQ387" s="579"/>
      <c r="BR387" s="579"/>
    </row>
    <row r="388" spans="1:70" s="571" customFormat="1" ht="13.5" collapsed="1" thickBot="1">
      <c r="A388" s="3184"/>
      <c r="B388" s="3185"/>
      <c r="C388" s="3188" t="s">
        <v>443</v>
      </c>
      <c r="D388" s="3188"/>
      <c r="E388" s="1245">
        <v>0</v>
      </c>
      <c r="F388" s="1016">
        <f>IF(SETUP!$F$32="Upfront",F389,F390)</f>
        <v>0</v>
      </c>
      <c r="G388" s="920">
        <f>IF(SETUP!$F$32="Upfront",G389,G390)</f>
        <v>0</v>
      </c>
      <c r="H388" s="920">
        <f>IF(SETUP!$F$32="Upfront",H389,H390)</f>
        <v>0</v>
      </c>
      <c r="I388" s="920">
        <f>IF(SETUP!$F$32="Upfront",I389,I390)</f>
        <v>0</v>
      </c>
      <c r="J388" s="920">
        <f t="shared" si="61"/>
        <v>0</v>
      </c>
      <c r="K388" s="1016">
        <f>IF(SETUP!$F$32="Upfront",K389,K390)</f>
        <v>0</v>
      </c>
      <c r="L388" s="920">
        <f>IF(SETUP!$F$32="Upfront",L389,L390)</f>
        <v>0</v>
      </c>
      <c r="M388" s="920">
        <f>IF(SETUP!$F$32="Upfront",M389,M390)</f>
        <v>0</v>
      </c>
      <c r="N388" s="920">
        <f>IF(SETUP!$F$32="Upfront",N389,N390)</f>
        <v>0</v>
      </c>
      <c r="O388" s="920">
        <f t="shared" si="59"/>
        <v>0</v>
      </c>
      <c r="P388" s="1016">
        <f>IF(SETUP!$F$32="Upfront",P389,P390)</f>
        <v>0</v>
      </c>
      <c r="Q388" s="920">
        <f>IF(SETUP!$F$32="Upfront",Q389,Q390)</f>
        <v>0</v>
      </c>
      <c r="R388" s="920">
        <f>IF(SETUP!$F$32="Upfront",R389,R390)</f>
        <v>0</v>
      </c>
      <c r="S388" s="920">
        <f>IF(SETUP!$F$32="Upfront",S389,S390)</f>
        <v>0</v>
      </c>
      <c r="T388" s="920">
        <f t="shared" si="60"/>
        <v>0</v>
      </c>
      <c r="U388" s="1016">
        <f t="shared" si="62"/>
        <v>0</v>
      </c>
      <c r="V388" s="1344">
        <v>7.3</v>
      </c>
      <c r="W388" s="2006"/>
      <c r="X388" s="654"/>
      <c r="Y388" s="579"/>
      <c r="Z388" s="579"/>
      <c r="AA388" s="579"/>
      <c r="AB388" s="579"/>
      <c r="AC388" s="579"/>
      <c r="AD388" s="579"/>
      <c r="AE388" s="579"/>
      <c r="AF388" s="674"/>
      <c r="AG388" s="579"/>
      <c r="AH388" s="579"/>
      <c r="AI388" s="579"/>
      <c r="AJ388" s="579"/>
      <c r="AK388" s="579"/>
      <c r="AL388" s="579"/>
      <c r="AM388" s="579"/>
      <c r="AN388" s="579"/>
      <c r="AO388" s="579"/>
      <c r="AP388" s="579"/>
      <c r="AQ388" s="579"/>
      <c r="AR388" s="579"/>
      <c r="AS388" s="579"/>
      <c r="AT388" s="579"/>
      <c r="AU388" s="579"/>
      <c r="AV388" s="579"/>
      <c r="AW388" s="579"/>
      <c r="AX388" s="579"/>
      <c r="AY388" s="579"/>
      <c r="AZ388" s="579"/>
      <c r="BA388" s="579"/>
      <c r="BB388" s="579"/>
      <c r="BC388" s="579"/>
      <c r="BD388" s="579"/>
      <c r="BE388" s="579"/>
      <c r="BF388" s="579"/>
      <c r="BG388" s="579"/>
      <c r="BH388" s="579"/>
      <c r="BI388" s="579"/>
      <c r="BJ388" s="579"/>
      <c r="BK388" s="579"/>
      <c r="BL388" s="579"/>
      <c r="BM388" s="579"/>
      <c r="BN388" s="579"/>
      <c r="BO388" s="579"/>
      <c r="BP388" s="579"/>
      <c r="BQ388" s="579"/>
      <c r="BR388" s="579"/>
    </row>
    <row r="389" spans="1:70" s="571" customFormat="1" ht="16.149999999999999" hidden="1" customHeight="1" outlineLevel="1">
      <c r="A389" s="3184"/>
      <c r="B389" s="3185"/>
      <c r="C389" s="3182" t="s">
        <v>777</v>
      </c>
      <c r="D389" s="3182"/>
      <c r="E389" s="1246"/>
      <c r="F389" s="1016">
        <f>IF(SETUP!$F$32="Upfront",$E$388*'HIV-Other HPs'!AX19,0)</f>
        <v>0</v>
      </c>
      <c r="G389" s="920">
        <f>IF(SETUP!$F$32="Upfront",$E$388*'HIV-Other HPs'!AY19,0)</f>
        <v>0</v>
      </c>
      <c r="H389" s="920">
        <f>IF(SETUP!$F$32="Upfront",$E$388*'HIV-Other HPs'!AZ19,0)</f>
        <v>0</v>
      </c>
      <c r="I389" s="920">
        <f>IF(SETUP!$F$32="Upfront",$E$388*'HIV-Other HPs'!BA19,0)</f>
        <v>0</v>
      </c>
      <c r="J389" s="920">
        <f t="shared" si="61"/>
        <v>0</v>
      </c>
      <c r="K389" s="1016">
        <f>IF(SETUP!$F$32="Upfront",$E$388*'HIV-Other HPs'!BB19,0)</f>
        <v>0</v>
      </c>
      <c r="L389" s="920">
        <f>IF(SETUP!$F$32="Upfront",$E$388*'HIV-Other HPs'!BC19,0)</f>
        <v>0</v>
      </c>
      <c r="M389" s="920">
        <f>IF(SETUP!$F$32="Upfront",$E$388*'HIV-Other HPs'!BD19,0)</f>
        <v>0</v>
      </c>
      <c r="N389" s="920">
        <f>IF(SETUP!$F$32="Upfront",$E$388*'HIV-Other HPs'!BE19,0)</f>
        <v>0</v>
      </c>
      <c r="O389" s="920">
        <f t="shared" si="59"/>
        <v>0</v>
      </c>
      <c r="P389" s="1016">
        <f>IF(SETUP!$F$32="Upfront",$E$388*'HIV-Other HPs'!BF19,0)</f>
        <v>0</v>
      </c>
      <c r="Q389" s="920">
        <f>IF(SETUP!$F$32="Upfront",$E$388*'HIV-Other HPs'!BG19,0)</f>
        <v>0</v>
      </c>
      <c r="R389" s="920">
        <f>IF(SETUP!$F$32="Upfront",$E$388*'HIV-Other HPs'!BH19,0)</f>
        <v>0</v>
      </c>
      <c r="S389" s="920">
        <f>IF(SETUP!$F$32="Upfront",$E$388*'HIV-Other HPs'!BI19,0)</f>
        <v>0</v>
      </c>
      <c r="T389" s="920">
        <f t="shared" si="60"/>
        <v>0</v>
      </c>
      <c r="U389" s="1016">
        <f t="shared" si="62"/>
        <v>0</v>
      </c>
      <c r="V389" s="1344">
        <v>7.3</v>
      </c>
      <c r="W389" s="2006"/>
      <c r="X389" s="654"/>
      <c r="Y389" s="579"/>
      <c r="Z389" s="579"/>
      <c r="AA389" s="579"/>
      <c r="AB389" s="579"/>
      <c r="AC389" s="579"/>
      <c r="AD389" s="579"/>
      <c r="AE389" s="579"/>
      <c r="AF389" s="674"/>
      <c r="AG389" s="579"/>
      <c r="AH389" s="579"/>
      <c r="AI389" s="579"/>
      <c r="AJ389" s="579"/>
      <c r="AK389" s="579"/>
      <c r="AL389" s="579"/>
      <c r="AM389" s="579"/>
      <c r="AN389" s="579"/>
      <c r="AO389" s="579"/>
      <c r="AP389" s="579"/>
      <c r="AQ389" s="579"/>
      <c r="AR389" s="579"/>
      <c r="AS389" s="579"/>
      <c r="AT389" s="579"/>
      <c r="AU389" s="579"/>
      <c r="AV389" s="579"/>
      <c r="AW389" s="579"/>
      <c r="AX389" s="579"/>
      <c r="AY389" s="579"/>
      <c r="AZ389" s="579"/>
      <c r="BA389" s="579"/>
      <c r="BB389" s="579"/>
      <c r="BC389" s="579"/>
      <c r="BD389" s="579"/>
      <c r="BE389" s="579"/>
      <c r="BF389" s="579"/>
      <c r="BG389" s="579"/>
      <c r="BH389" s="579"/>
      <c r="BI389" s="579"/>
      <c r="BJ389" s="579"/>
      <c r="BK389" s="579"/>
      <c r="BL389" s="579"/>
      <c r="BM389" s="579"/>
      <c r="BN389" s="579"/>
      <c r="BO389" s="579"/>
      <c r="BP389" s="579"/>
      <c r="BQ389" s="579"/>
      <c r="BR389" s="579"/>
    </row>
    <row r="390" spans="1:70" s="571" customFormat="1" ht="16.149999999999999" hidden="1" customHeight="1" outlineLevel="1">
      <c r="A390" s="3184"/>
      <c r="B390" s="3185"/>
      <c r="C390" s="3182" t="s">
        <v>36</v>
      </c>
      <c r="D390" s="3182"/>
      <c r="E390" s="1246"/>
      <c r="F390" s="1016">
        <v>0</v>
      </c>
      <c r="G390" s="920">
        <f>IF(SETUP!$F$32="At delivery",IF(SETUP!$G$32=1,$E$388*'HIV-Other HPs'!AX19,0),0)</f>
        <v>0</v>
      </c>
      <c r="H390" s="920">
        <f>IF(SETUP!$F$32="At delivery",IF(SETUP!$G$32=2,$E$388*'HIV-Other HPs'!AX19,IF(SETUP!$G$32=1,$E$388*'HIV-Other HPs'!AY19,0)),0)</f>
        <v>0</v>
      </c>
      <c r="I390" s="920">
        <f>IF(SETUP!$F$32="At delivery",IF(SETUP!$G$32=3,$E$388*'HIV-Other HPs'!AX19,IF(SETUP!$G$32=2,$E$388*'HIV-Other HPs'!AY19,IF(SETUP!$G$32=1,$E$388*'HIV-Other HPs'!AZ19,0))),0)</f>
        <v>0</v>
      </c>
      <c r="J390" s="920">
        <f t="shared" si="61"/>
        <v>0</v>
      </c>
      <c r="K390" s="1016">
        <f>IF(SETUP!$F$32="At delivery",IF(SETUP!$G$32=4,$E$388*'HIV-Other HPs'!AX19,IF(SETUP!$G$32=3,$E$388*'HIV-Other HPs'!AY19,IF(SETUP!$G$32=2,$E$388*'HIV-Other HPs'!AZ19,IF(SETUP!$G$32=1,$E$388*'HIV-Other HPs'!BA19,0)))),0)</f>
        <v>0</v>
      </c>
      <c r="L390" s="920">
        <f>IF(SETUP!$F$32="At delivery",IF(SETUP!$G$32=4,$E$388*'HIV-Other HPs'!AY19,IF(SETUP!$G$32=3,$E$388*'HIV-Other HPs'!AZ19,IF(SETUP!$G$32=2,$E$388*'HIV-Other HPs'!BA19,IF(SETUP!$G$32=1,$E$388*'HIV-Other HPs'!BB19,0)))),0)</f>
        <v>0</v>
      </c>
      <c r="M390" s="920">
        <f>IF(SETUP!$F$32="At delivery",IF(SETUP!$G$32=4,$E$388*'HIV-Other HPs'!AZ19,IF(SETUP!$G$32=3,$E$388*'HIV-Other HPs'!BA19,IF(SETUP!$G$32=2,$E$388*'HIV-Other HPs'!BB19,IF(SETUP!$G$32=1,$E$388*'HIV-Other HPs'!BC19,0)))),0)</f>
        <v>0</v>
      </c>
      <c r="N390" s="920">
        <f>IF(SETUP!$F$32="At delivery",IF(SETUP!$G$32=4,$E$388*'HIV-Other HPs'!BA19,IF(SETUP!$G$32=3,$E$388*'HIV-Other HPs'!BB19,IF(SETUP!$G$32=2,$E$388*'HIV-Other HPs'!BC19,IF(SETUP!$G$32=1,$E$388*'HIV-Other HPs'!BD19,0)))),0)</f>
        <v>0</v>
      </c>
      <c r="O390" s="920">
        <f t="shared" si="59"/>
        <v>0</v>
      </c>
      <c r="P390" s="1016">
        <f>IF(SETUP!$F$32="At delivery",IF(SETUP!$G$32=4,$E$388*'HIV-Other HPs'!BB19,IF(SETUP!$G$32=3,$E$388*'HIV-Other HPs'!BC19,IF(SETUP!$G$32=2,$E$388*'HIV-Other HPs'!BD19,IF(SETUP!$G$32=1,$E$388*'HIV-Other HPs'!BE19,0)))),0)</f>
        <v>0</v>
      </c>
      <c r="Q390" s="920">
        <f>IF(SETUP!$F$32="At delivery",IF(SETUP!$G$32=4,$E$388*'HIV-Other HPs'!BC19,IF(SETUP!$G$32=3,$E$388*'HIV-Other HPs'!BD19,IF(SETUP!$G$32=2,$E$388*'HIV-Other HPs'!BE19,IF(SETUP!$G$32=1,$E$388*'HIV-Other HPs'!BF19,0)))),0)</f>
        <v>0</v>
      </c>
      <c r="R390" s="920">
        <f>IF(SETUP!$F$32="At delivery",IF(SETUP!$G$32=4,$E$388*'HIV-Other HPs'!BD19,IF(SETUP!$G$32=3,$E$388*'HIV-Other HPs'!BE19,IF(SETUP!$G$32=2,$E$388*'HIV-Other HPs'!BF19,IF(SETUP!$G$32=1,$E$388*'HIV-Other HPs'!BG19,0)))),0)</f>
        <v>0</v>
      </c>
      <c r="S390" s="920">
        <f>IF(SETUP!$F$32="At delivery",IF(SETUP!$G$32=4,$E$388*('HIV-Other HPs'!BE19+'HIV-Other HPs'!BF19+'HIV-Other HPs'!BG19+'HIV-Other HPs'!BH19+'HIV-Other HPs'!BI19),IF(SETUP!$G$32=3,$E$388*('HIV-Other HPs'!BF19+'HIV-Other HPs'!BG19+'HIV-Other HPs'!BH19+'HIV-Other HPs'!BI19),IF(SETUP!$G$32=2,$E$388*('HIV-Other HPs'!BG19+'HIV-Other HPs'!BH19+'HIV-Other HPs'!BI19),IF(SETUP!$G$32=1,$E$388*('HIV-Other HPs'!BH19+'HIV-Other HPs'!BI19),0)))),0)</f>
        <v>0</v>
      </c>
      <c r="T390" s="920">
        <f t="shared" si="60"/>
        <v>0</v>
      </c>
      <c r="U390" s="1016">
        <f t="shared" si="62"/>
        <v>0</v>
      </c>
      <c r="V390" s="1344">
        <v>7.3</v>
      </c>
      <c r="W390" s="2006"/>
      <c r="X390" s="654"/>
      <c r="Y390" s="579"/>
      <c r="Z390" s="579"/>
      <c r="AA390" s="579"/>
      <c r="AB390" s="579"/>
      <c r="AC390" s="579"/>
      <c r="AD390" s="579"/>
      <c r="AE390" s="579"/>
      <c r="AF390" s="674"/>
      <c r="AG390" s="579"/>
      <c r="AH390" s="579"/>
      <c r="AI390" s="579"/>
      <c r="AJ390" s="579"/>
      <c r="AK390" s="579"/>
      <c r="AL390" s="579"/>
      <c r="AM390" s="579"/>
      <c r="AN390" s="579"/>
      <c r="AO390" s="579"/>
      <c r="AP390" s="579"/>
      <c r="AQ390" s="579"/>
      <c r="AR390" s="579"/>
      <c r="AS390" s="579"/>
      <c r="AT390" s="579"/>
      <c r="AU390" s="579"/>
      <c r="AV390" s="579"/>
      <c r="AW390" s="579"/>
      <c r="AX390" s="579"/>
      <c r="AY390" s="579"/>
      <c r="AZ390" s="579"/>
      <c r="BA390" s="579"/>
      <c r="BB390" s="579"/>
      <c r="BC390" s="579"/>
      <c r="BD390" s="579"/>
      <c r="BE390" s="579"/>
      <c r="BF390" s="579"/>
      <c r="BG390" s="579"/>
      <c r="BH390" s="579"/>
      <c r="BI390" s="579"/>
      <c r="BJ390" s="579"/>
      <c r="BK390" s="579"/>
      <c r="BL390" s="579"/>
      <c r="BM390" s="579"/>
      <c r="BN390" s="579"/>
      <c r="BO390" s="579"/>
      <c r="BP390" s="579"/>
      <c r="BQ390" s="579"/>
      <c r="BR390" s="579"/>
    </row>
    <row r="391" spans="1:70" s="571" customFormat="1" ht="13" collapsed="1">
      <c r="A391" s="3184"/>
      <c r="B391" s="3185"/>
      <c r="C391" s="3202" t="s">
        <v>1392</v>
      </c>
      <c r="D391" s="3202"/>
      <c r="E391" s="1245">
        <v>0</v>
      </c>
      <c r="F391" s="1016">
        <f>IF(SETUP!$F$33="Upfront",F392,F393)</f>
        <v>0</v>
      </c>
      <c r="G391" s="920">
        <f>IF(SETUP!$F$33="Upfront",G392,G393)</f>
        <v>0</v>
      </c>
      <c r="H391" s="920">
        <f>IF(SETUP!$F$33="Upfront",H392,H393)</f>
        <v>0</v>
      </c>
      <c r="I391" s="920">
        <f>IF(SETUP!$F$33="Upfront",I392,I393)</f>
        <v>0</v>
      </c>
      <c r="J391" s="920">
        <f t="shared" si="61"/>
        <v>0</v>
      </c>
      <c r="K391" s="1016">
        <f>IF(SETUP!$F$33="Upfront",K392,K393)</f>
        <v>0</v>
      </c>
      <c r="L391" s="920">
        <f>IF(SETUP!$F$33="Upfront",L392,L393)</f>
        <v>0</v>
      </c>
      <c r="M391" s="920">
        <f>IF(SETUP!$F$33="Upfront",M392,M393)</f>
        <v>0</v>
      </c>
      <c r="N391" s="920">
        <f>IF(SETUP!$F$33="Upfront",N392,N393)</f>
        <v>0</v>
      </c>
      <c r="O391" s="920">
        <f t="shared" si="59"/>
        <v>0</v>
      </c>
      <c r="P391" s="1016">
        <f>IF(SETUP!$F$33="Upfront",P392,P393)</f>
        <v>0</v>
      </c>
      <c r="Q391" s="920">
        <f>IF(SETUP!$F$33="Upfront",Q392,Q393)</f>
        <v>0</v>
      </c>
      <c r="R391" s="920">
        <f>IF(SETUP!$F$33="Upfront",R392,R393)</f>
        <v>0</v>
      </c>
      <c r="S391" s="920">
        <f>IF(SETUP!$F$33="Upfront",S392,S393)</f>
        <v>0</v>
      </c>
      <c r="T391" s="920">
        <f t="shared" si="60"/>
        <v>0</v>
      </c>
      <c r="U391" s="1016">
        <f t="shared" si="62"/>
        <v>0</v>
      </c>
      <c r="V391" s="1344">
        <v>7.3</v>
      </c>
      <c r="W391" s="2006"/>
      <c r="X391" s="654"/>
      <c r="Y391" s="579"/>
      <c r="Z391" s="579"/>
      <c r="AA391" s="579"/>
      <c r="AB391" s="579"/>
      <c r="AC391" s="579"/>
      <c r="AD391" s="579"/>
      <c r="AE391" s="579"/>
      <c r="AF391" s="674"/>
      <c r="AG391" s="579"/>
      <c r="AH391" s="579"/>
      <c r="AI391" s="579"/>
      <c r="AJ391" s="579"/>
      <c r="AK391" s="579"/>
      <c r="AL391" s="579"/>
      <c r="AM391" s="579"/>
      <c r="AN391" s="579"/>
      <c r="AO391" s="579"/>
      <c r="AP391" s="579"/>
      <c r="AQ391" s="579"/>
      <c r="AR391" s="579"/>
      <c r="AS391" s="579"/>
      <c r="AT391" s="579"/>
      <c r="AU391" s="579"/>
      <c r="AV391" s="579"/>
      <c r="AW391" s="579"/>
      <c r="AX391" s="579"/>
      <c r="AY391" s="579"/>
      <c r="AZ391" s="579"/>
      <c r="BA391" s="579"/>
      <c r="BB391" s="579"/>
      <c r="BC391" s="579"/>
      <c r="BD391" s="579"/>
      <c r="BE391" s="579"/>
      <c r="BF391" s="579"/>
      <c r="BG391" s="579"/>
      <c r="BH391" s="579"/>
      <c r="BI391" s="579"/>
      <c r="BJ391" s="579"/>
      <c r="BK391" s="579"/>
      <c r="BL391" s="579"/>
      <c r="BM391" s="579"/>
      <c r="BN391" s="579"/>
      <c r="BO391" s="579"/>
      <c r="BP391" s="579"/>
      <c r="BQ391" s="579"/>
      <c r="BR391" s="579"/>
    </row>
    <row r="392" spans="1:70" s="571" customFormat="1" ht="12.75" hidden="1" customHeight="1" outlineLevel="1">
      <c r="A392" s="3184"/>
      <c r="B392" s="3185"/>
      <c r="C392" s="3182" t="s">
        <v>777</v>
      </c>
      <c r="D392" s="3182"/>
      <c r="E392" s="1991"/>
      <c r="F392" s="1016">
        <f>IF(SETUP!$F$33="Upfront",$E$391*'HIV-Other HPs'!AX20,0)</f>
        <v>0</v>
      </c>
      <c r="G392" s="920">
        <f>IF(SETUP!$F$33="Upfront",$E$391*'HIV-Other HPs'!AY20,0)</f>
        <v>0</v>
      </c>
      <c r="H392" s="920">
        <f>IF(SETUP!$F$33="Upfront",$E$391*'HIV-Other HPs'!AZ20,0)</f>
        <v>0</v>
      </c>
      <c r="I392" s="920">
        <f>IF(SETUP!$F$33="Upfront",$E$391*'HIV-Other HPs'!BA20,0)</f>
        <v>0</v>
      </c>
      <c r="J392" s="920">
        <f t="shared" si="61"/>
        <v>0</v>
      </c>
      <c r="K392" s="1016">
        <f>IF(SETUP!$F$33="Upfront",$E$391*'HIV-Other HPs'!BB20,0)</f>
        <v>0</v>
      </c>
      <c r="L392" s="920">
        <f>IF(SETUP!$F$33="Upfront",$E$391*'HIV-Other HPs'!BC20,0)</f>
        <v>0</v>
      </c>
      <c r="M392" s="920">
        <f>IF(SETUP!$F$33="Upfront",$E$391*'HIV-Other HPs'!BD20,0)</f>
        <v>0</v>
      </c>
      <c r="N392" s="920">
        <f>IF(SETUP!$F$33="Upfront",$E$391*'HIV-Other HPs'!BE20,0)</f>
        <v>0</v>
      </c>
      <c r="O392" s="920">
        <f t="shared" si="59"/>
        <v>0</v>
      </c>
      <c r="P392" s="1016">
        <f>IF(SETUP!$F$33="Upfront",$E$391*'HIV-Other HPs'!BF20,0)</f>
        <v>0</v>
      </c>
      <c r="Q392" s="920">
        <f>IF(SETUP!$F$33="Upfront",$E$391*'HIV-Other HPs'!BG20,0)</f>
        <v>0</v>
      </c>
      <c r="R392" s="920">
        <f>IF(SETUP!$F$33="Upfront",$E$391*'HIV-Other HPs'!BH20,0)</f>
        <v>0</v>
      </c>
      <c r="S392" s="920">
        <f>IF(SETUP!$F$33="Upfront",$E$391*'HIV-Other HPs'!BI20,0)</f>
        <v>0</v>
      </c>
      <c r="T392" s="920">
        <f t="shared" si="60"/>
        <v>0</v>
      </c>
      <c r="U392" s="1016">
        <f t="shared" si="62"/>
        <v>0</v>
      </c>
      <c r="V392" s="1344">
        <v>7.3</v>
      </c>
      <c r="W392" s="2006"/>
      <c r="X392" s="654"/>
      <c r="Y392" s="579"/>
      <c r="Z392" s="579"/>
      <c r="AA392" s="579"/>
      <c r="AB392" s="579"/>
      <c r="AC392" s="579"/>
      <c r="AD392" s="579"/>
      <c r="AE392" s="579"/>
      <c r="AF392" s="674"/>
      <c r="AG392" s="579"/>
      <c r="AH392" s="579"/>
      <c r="AI392" s="579"/>
      <c r="AJ392" s="579"/>
      <c r="AK392" s="579"/>
      <c r="AL392" s="579"/>
      <c r="AM392" s="579"/>
      <c r="AN392" s="579"/>
      <c r="AO392" s="579"/>
      <c r="AP392" s="579"/>
      <c r="AQ392" s="579"/>
      <c r="AR392" s="579"/>
      <c r="AS392" s="579"/>
      <c r="AT392" s="579"/>
      <c r="AU392" s="579"/>
      <c r="AV392" s="579"/>
      <c r="AW392" s="579"/>
      <c r="AX392" s="579"/>
      <c r="AY392" s="579"/>
      <c r="AZ392" s="579"/>
      <c r="BA392" s="579"/>
      <c r="BB392" s="579"/>
      <c r="BC392" s="579"/>
      <c r="BD392" s="579"/>
      <c r="BE392" s="579"/>
      <c r="BF392" s="579"/>
      <c r="BG392" s="579"/>
      <c r="BH392" s="579"/>
      <c r="BI392" s="579"/>
      <c r="BJ392" s="579"/>
      <c r="BK392" s="579"/>
      <c r="BL392" s="579"/>
      <c r="BM392" s="579"/>
      <c r="BN392" s="579"/>
      <c r="BO392" s="579"/>
      <c r="BP392" s="579"/>
      <c r="BQ392" s="579"/>
      <c r="BR392" s="579"/>
    </row>
    <row r="393" spans="1:70" s="571" customFormat="1" ht="12.75" hidden="1" customHeight="1" outlineLevel="1">
      <c r="A393" s="3184"/>
      <c r="B393" s="3185"/>
      <c r="C393" s="3182" t="s">
        <v>36</v>
      </c>
      <c r="D393" s="3182"/>
      <c r="E393" s="1990"/>
      <c r="F393" s="1016">
        <v>0</v>
      </c>
      <c r="G393" s="920">
        <f>IF(SETUP!$F$33="At delivery",IF(SETUP!$G$33=1,$E$391*'HIV-Other HPs'!AX20,0),0)</f>
        <v>0</v>
      </c>
      <c r="H393" s="920">
        <f>IF(SETUP!$F$33="At delivery",IF(SETUP!$G$33=2,$E$391*'HIV-Other HPs'!AX20,IF(SETUP!$G$33=1,$E$391*'HIV-Other HPs'!AY20,0)),0)</f>
        <v>0</v>
      </c>
      <c r="I393" s="920">
        <f>IF(SETUP!$F$33="At delivery",IF(SETUP!$G$33=3,$E$391*'HIV-Other HPs'!AX20,IF(SETUP!$G$33=2,$E$391*'HIV-Other HPs'!AY20,IF(SETUP!$G$33=1,$E$391*'HIV-Other HPs'!AZ20,0))),0)</f>
        <v>0</v>
      </c>
      <c r="J393" s="920">
        <f t="shared" si="61"/>
        <v>0</v>
      </c>
      <c r="K393" s="1016">
        <f>IF(SETUP!$F$33="At delivery",IF(SETUP!$G$33=4,$E$391*'HIV-Other HPs'!AX20,IF(SETUP!$G$33=3,$E$391*'HIV-Other HPs'!AY20,IF(SETUP!$G$33=2,$E$391*'HIV-Other HPs'!AZ20,IF(SETUP!$G$33=1,$E$391*'HIV-Other HPs'!BA20,0)))),0)</f>
        <v>0</v>
      </c>
      <c r="L393" s="920">
        <f>IF(SETUP!$F$33="At delivery",IF(SETUP!$G$33=4,$E$391*'HIV-Other HPs'!AY20,IF(SETUP!$G$33=3,$E$391*'HIV-Other HPs'!AZ20,IF(SETUP!$G$33=2,$E$391*'HIV-Other HPs'!BA20,IF(SETUP!$G$33=1,$E$391*'HIV-Other HPs'!BB20,0)))),0)</f>
        <v>0</v>
      </c>
      <c r="M393" s="920">
        <f>IF(SETUP!$F$33="At delivery",IF(SETUP!$G$33=4,$E$391*'HIV-Other HPs'!AZ20,IF(SETUP!$G$33=3,$E$391*'HIV-Other HPs'!BA20,IF(SETUP!$G$33=2,$E$391*'HIV-Other HPs'!BB20,IF(SETUP!$G$33=1,$E$391*'HIV-Other HPs'!BC20,0)))),0)</f>
        <v>0</v>
      </c>
      <c r="N393" s="920">
        <f>IF(SETUP!$F$33="At delivery",IF(SETUP!$G$33=4,$E$391*'HIV-Other HPs'!BA20,IF(SETUP!$G$33=3,$E$391*'HIV-Other HPs'!BB20,IF(SETUP!$G$33=2,$E$391*'HIV-Other HPs'!BC20,IF(SETUP!$G$33=1,$E$391*'HIV-Other HPs'!BD20,0)))),0)</f>
        <v>0</v>
      </c>
      <c r="O393" s="920">
        <f t="shared" si="59"/>
        <v>0</v>
      </c>
      <c r="P393" s="1016">
        <f>IF(SETUP!$F$33="At delivery",IF(SETUP!$G$33=4,$E$391*'HIV-Other HPs'!BB20,IF(SETUP!$G$33=3,$E$391*'HIV-Other HPs'!BC20,IF(SETUP!$G$33=2,$E$391*'HIV-Other HPs'!BD20,IF(SETUP!$G$33=1,$E$391*'HIV-Other HPs'!BE20,0)))),0)</f>
        <v>0</v>
      </c>
      <c r="Q393" s="920">
        <f>IF(SETUP!$F$33="At delivery",IF(SETUP!$G$33=4,$E$391*'HIV-Other HPs'!BC20,IF(SETUP!$G$33=3,$E$391*'HIV-Other HPs'!BD20,IF(SETUP!$G$33=2,$E$391*'HIV-Other HPs'!BE20,IF(SETUP!$G$33=1,$E$391*'HIV-Other HPs'!BF20,0)))),0)</f>
        <v>0</v>
      </c>
      <c r="R393" s="920">
        <f>IF(SETUP!$F$33="At delivery",IF(SETUP!$G$33=4,$E$391*'HIV-Other HPs'!BD20,IF(SETUP!$G$33=3,$E$391*'HIV-Other HPs'!BE20,IF(SETUP!$G$33=2,$E$391*'HIV-Other HPs'!BF20,IF(SETUP!$G$33=1,$E$391*'HIV-Other HPs'!BG20,0)))),0)</f>
        <v>0</v>
      </c>
      <c r="S393" s="920">
        <f>IF(SETUP!$F$33="At delivery",IF(SETUP!$G$33=4,$E$391*('HIV-Other HPs'!BE20+'HIV-Other HPs'!BF20+'HIV-Other HPs'!BG20+'HIV-Other HPs'!BH20+'HIV-Other HPs'!BI20),IF(SETUP!$G$33=3,$E$391*('HIV-Other HPs'!BF20+'HIV-Other HPs'!BG20+'HIV-Other HPs'!BH20+'HIV-Other HPs'!BI20),IF(SETUP!$G$33=2,$E$391*('HIV-Other HPs'!BG20+'HIV-Other HPs'!BH20+'HIV-Other HPs'!BI20),IF(SETUP!$G$33=1,$E$391*('HIV-Other HPs'!BH20+'HIV-Other HPs'!BI20),0)))),0)</f>
        <v>0</v>
      </c>
      <c r="T393" s="920">
        <f t="shared" si="60"/>
        <v>0</v>
      </c>
      <c r="U393" s="1016">
        <f t="shared" si="62"/>
        <v>0</v>
      </c>
      <c r="V393" s="1344">
        <v>7.3</v>
      </c>
      <c r="W393" s="2006"/>
      <c r="X393" s="654"/>
      <c r="Y393" s="579"/>
      <c r="Z393" s="579"/>
      <c r="AA393" s="579"/>
      <c r="AB393" s="579"/>
      <c r="AC393" s="579"/>
      <c r="AD393" s="579"/>
      <c r="AE393" s="579"/>
      <c r="AF393" s="674"/>
      <c r="AG393" s="579"/>
      <c r="AH393" s="579"/>
      <c r="AI393" s="579"/>
      <c r="AJ393" s="579"/>
      <c r="AK393" s="579"/>
      <c r="AL393" s="579"/>
      <c r="AM393" s="579"/>
      <c r="AN393" s="579"/>
      <c r="AO393" s="579"/>
      <c r="AP393" s="579"/>
      <c r="AQ393" s="579"/>
      <c r="AR393" s="579"/>
      <c r="AS393" s="579"/>
      <c r="AT393" s="579"/>
      <c r="AU393" s="579"/>
      <c r="AV393" s="579"/>
      <c r="AW393" s="579"/>
      <c r="AX393" s="579"/>
      <c r="AY393" s="579"/>
      <c r="AZ393" s="579"/>
      <c r="BA393" s="579"/>
      <c r="BB393" s="579"/>
      <c r="BC393" s="579"/>
      <c r="BD393" s="579"/>
      <c r="BE393" s="579"/>
      <c r="BF393" s="579"/>
      <c r="BG393" s="579"/>
      <c r="BH393" s="579"/>
      <c r="BI393" s="579"/>
      <c r="BJ393" s="579"/>
      <c r="BK393" s="579"/>
      <c r="BL393" s="579"/>
      <c r="BM393" s="579"/>
      <c r="BN393" s="579"/>
      <c r="BO393" s="579"/>
      <c r="BP393" s="579"/>
      <c r="BQ393" s="579"/>
      <c r="BR393" s="579"/>
    </row>
    <row r="394" spans="1:70" s="571" customFormat="1" ht="13.5" hidden="1" collapsed="1" thickBot="1">
      <c r="A394" s="3186" t="s">
        <v>444</v>
      </c>
      <c r="B394" s="3187"/>
      <c r="C394" s="3188" t="s">
        <v>445</v>
      </c>
      <c r="D394" s="3188"/>
      <c r="E394" s="1245">
        <v>0</v>
      </c>
      <c r="F394" s="1016">
        <f>IF(SETUP!$F$36="Upfront",F395,F396)</f>
        <v>0</v>
      </c>
      <c r="G394" s="920">
        <f>IF(SETUP!$F$36="Upfront",G395,G396)</f>
        <v>0</v>
      </c>
      <c r="H394" s="920">
        <f>IF(SETUP!$F$36="Upfront",H395,H396)</f>
        <v>0</v>
      </c>
      <c r="I394" s="920">
        <f>IF(SETUP!$F$36="Upfront",I395,I396)</f>
        <v>0</v>
      </c>
      <c r="J394" s="920">
        <f t="shared" si="61"/>
        <v>0</v>
      </c>
      <c r="K394" s="1016">
        <f>IF(SETUP!$F$36="Upfront",K395,K396)</f>
        <v>0</v>
      </c>
      <c r="L394" s="920">
        <f>IF(SETUP!$F$36="Upfront",L395,L396)</f>
        <v>0</v>
      </c>
      <c r="M394" s="920">
        <f>IF(SETUP!$F$36="Upfront",M395,M396)</f>
        <v>0</v>
      </c>
      <c r="N394" s="920">
        <f>IF(SETUP!$F$36="Upfront",N395,N396)</f>
        <v>0</v>
      </c>
      <c r="O394" s="920">
        <f t="shared" si="59"/>
        <v>0</v>
      </c>
      <c r="P394" s="1016">
        <f>IF(SETUP!$F$36="Upfront",P395,P396)</f>
        <v>0</v>
      </c>
      <c r="Q394" s="920">
        <f>IF(SETUP!$F$36="Upfront",Q395,Q396)</f>
        <v>0</v>
      </c>
      <c r="R394" s="920">
        <f>IF(SETUP!$F$36="Upfront",R395,R396)</f>
        <v>0</v>
      </c>
      <c r="S394" s="920">
        <f>IF(SETUP!$F$36="Upfront",S395,S396)</f>
        <v>0</v>
      </c>
      <c r="T394" s="920">
        <f t="shared" si="60"/>
        <v>0</v>
      </c>
      <c r="U394" s="1016">
        <f t="shared" si="62"/>
        <v>0</v>
      </c>
      <c r="V394" s="1344">
        <v>7.3</v>
      </c>
      <c r="W394" s="2006"/>
      <c r="X394" s="654"/>
      <c r="Y394" s="579"/>
      <c r="Z394" s="579"/>
      <c r="AA394" s="579"/>
      <c r="AB394" s="579"/>
      <c r="AC394" s="579"/>
      <c r="AD394" s="579"/>
      <c r="AE394" s="579"/>
      <c r="AF394" s="674"/>
      <c r="AG394" s="579"/>
      <c r="AH394" s="579"/>
      <c r="AI394" s="579"/>
      <c r="AJ394" s="579"/>
      <c r="AK394" s="579"/>
      <c r="AL394" s="579"/>
      <c r="AM394" s="579"/>
      <c r="AN394" s="579"/>
      <c r="AO394" s="579"/>
      <c r="AP394" s="579"/>
      <c r="AQ394" s="579"/>
      <c r="AR394" s="579"/>
      <c r="AS394" s="579"/>
      <c r="AT394" s="579"/>
      <c r="AU394" s="579"/>
      <c r="AV394" s="579"/>
      <c r="AW394" s="579"/>
      <c r="AX394" s="579"/>
      <c r="AY394" s="579"/>
      <c r="AZ394" s="579"/>
      <c r="BA394" s="579"/>
      <c r="BB394" s="579"/>
      <c r="BC394" s="579"/>
      <c r="BD394" s="579"/>
      <c r="BE394" s="579"/>
      <c r="BF394" s="579"/>
      <c r="BG394" s="579"/>
      <c r="BH394" s="579"/>
      <c r="BI394" s="579"/>
      <c r="BJ394" s="579"/>
      <c r="BK394" s="579"/>
      <c r="BL394" s="579"/>
      <c r="BM394" s="579"/>
      <c r="BN394" s="579"/>
      <c r="BO394" s="579"/>
      <c r="BP394" s="579"/>
      <c r="BQ394" s="579"/>
      <c r="BR394" s="579"/>
    </row>
    <row r="395" spans="1:70" s="571" customFormat="1" ht="12.75" hidden="1" customHeight="1" outlineLevel="1">
      <c r="A395" s="3186"/>
      <c r="B395" s="3187"/>
      <c r="C395" s="3182" t="s">
        <v>777</v>
      </c>
      <c r="D395" s="3182"/>
      <c r="E395" s="1246"/>
      <c r="F395" s="1016">
        <f>IF(SETUP!$F$36="Upfront",$E$394*'TB-Pharmaceuticals'!AX14,0)</f>
        <v>0</v>
      </c>
      <c r="G395" s="920">
        <f>IF(SETUP!$F$36="Upfront",$E$394*'TB-Pharmaceuticals'!AY14,0)</f>
        <v>0</v>
      </c>
      <c r="H395" s="920">
        <f>IF(SETUP!$F$36="Upfront",$E$394*'TB-Pharmaceuticals'!AZ14,0)</f>
        <v>0</v>
      </c>
      <c r="I395" s="920">
        <f>IF(SETUP!$F$36="Upfront",$E$394*'TB-Pharmaceuticals'!BA14,0)</f>
        <v>0</v>
      </c>
      <c r="J395" s="920">
        <f t="shared" si="61"/>
        <v>0</v>
      </c>
      <c r="K395" s="1016">
        <f>IF(SETUP!$F$36="Upfront",$E$394*'TB-Pharmaceuticals'!BB14,0)</f>
        <v>0</v>
      </c>
      <c r="L395" s="920">
        <f>IF(SETUP!$F$36="Upfront",$E$394*'TB-Pharmaceuticals'!BC14,0)</f>
        <v>0</v>
      </c>
      <c r="M395" s="920">
        <f>IF(SETUP!$F$36="Upfront",$E$394*'TB-Pharmaceuticals'!BD14,0)</f>
        <v>0</v>
      </c>
      <c r="N395" s="920">
        <f>IF(SETUP!$F$36="Upfront",$E$394*'TB-Pharmaceuticals'!BE14,0)</f>
        <v>0</v>
      </c>
      <c r="O395" s="920">
        <f t="shared" si="59"/>
        <v>0</v>
      </c>
      <c r="P395" s="1016">
        <f>IF(SETUP!$F$36="Upfront",$E$394*'TB-Pharmaceuticals'!BF14,0)</f>
        <v>0</v>
      </c>
      <c r="Q395" s="920">
        <f>IF(SETUP!$F$36="Upfront",$E$394*'TB-Pharmaceuticals'!BG14,0)</f>
        <v>0</v>
      </c>
      <c r="R395" s="920">
        <f>IF(SETUP!$F$36="Upfront",$E$394*'TB-Pharmaceuticals'!BH14,0)</f>
        <v>0</v>
      </c>
      <c r="S395" s="920">
        <f>IF(SETUP!$F$36="Upfront",$E$394*'TB-Pharmaceuticals'!BI14,0)</f>
        <v>0</v>
      </c>
      <c r="T395" s="920">
        <f t="shared" si="60"/>
        <v>0</v>
      </c>
      <c r="U395" s="1016">
        <f t="shared" si="62"/>
        <v>0</v>
      </c>
      <c r="V395" s="1344">
        <v>7.3</v>
      </c>
      <c r="W395" s="2006"/>
      <c r="X395" s="654"/>
      <c r="Y395" s="579"/>
      <c r="Z395" s="579"/>
      <c r="AA395" s="579"/>
      <c r="AB395" s="579"/>
      <c r="AC395" s="579"/>
      <c r="AD395" s="579"/>
      <c r="AE395" s="579"/>
      <c r="AF395" s="674"/>
      <c r="AG395" s="579"/>
      <c r="AH395" s="579"/>
      <c r="AI395" s="579"/>
      <c r="AJ395" s="579"/>
      <c r="AK395" s="579"/>
      <c r="AL395" s="579"/>
      <c r="AM395" s="579"/>
      <c r="AN395" s="579"/>
      <c r="AO395" s="579"/>
      <c r="AP395" s="579"/>
      <c r="AQ395" s="579"/>
      <c r="AR395" s="579"/>
      <c r="AS395" s="579"/>
      <c r="AT395" s="579"/>
      <c r="AU395" s="579"/>
      <c r="AV395" s="579"/>
      <c r="AW395" s="579"/>
      <c r="AX395" s="579"/>
      <c r="AY395" s="579"/>
      <c r="AZ395" s="579"/>
      <c r="BA395" s="579"/>
      <c r="BB395" s="579"/>
      <c r="BC395" s="579"/>
      <c r="BD395" s="579"/>
      <c r="BE395" s="579"/>
      <c r="BF395" s="579"/>
      <c r="BG395" s="579"/>
      <c r="BH395" s="579"/>
      <c r="BI395" s="579"/>
      <c r="BJ395" s="579"/>
      <c r="BK395" s="579"/>
      <c r="BL395" s="579"/>
      <c r="BM395" s="579"/>
      <c r="BN395" s="579"/>
      <c r="BO395" s="579"/>
      <c r="BP395" s="579"/>
      <c r="BQ395" s="579"/>
      <c r="BR395" s="579"/>
    </row>
    <row r="396" spans="1:70" s="571" customFormat="1" ht="12.75" hidden="1" customHeight="1" outlineLevel="1">
      <c r="A396" s="3186"/>
      <c r="B396" s="3187"/>
      <c r="C396" s="3182" t="s">
        <v>36</v>
      </c>
      <c r="D396" s="3182"/>
      <c r="E396" s="1991"/>
      <c r="F396" s="1016">
        <v>0</v>
      </c>
      <c r="G396" s="920">
        <f>IF(SETUP!$F$36="At delivery",IF(SETUP!$G$36=1,$E$394*'TB-Pharmaceuticals'!AX14,0),0)</f>
        <v>0</v>
      </c>
      <c r="H396" s="920">
        <f>IF(SETUP!$F$36="At delivery",IF(SETUP!$G$36=2,$E$394*'TB-Pharmaceuticals'!AX14,IF(SETUP!$G$36=1,$E$394*'TB-Pharmaceuticals'!AY14,0)),0)</f>
        <v>0</v>
      </c>
      <c r="I396" s="920">
        <f>IF(SETUP!$F$36="At delivery",IF(SETUP!$G$36=3,$E$394*'TB-Pharmaceuticals'!AX14,IF(SETUP!$G$36=2,$E$394*'TB-Pharmaceuticals'!AY14,IF(SETUP!$G$36=1,$E$394*'TB-Pharmaceuticals'!AZ14,0))),0)</f>
        <v>0</v>
      </c>
      <c r="J396" s="920">
        <f t="shared" si="61"/>
        <v>0</v>
      </c>
      <c r="K396" s="1016">
        <f>IF(SETUP!$F$36="At delivery",IF(SETUP!$G$36=4,$E$394*'TB-Pharmaceuticals'!AX14,IF(SETUP!$G$36=3,$E$394*'TB-Pharmaceuticals'!AY14,IF(SETUP!$G$36=2,$E$394*'TB-Pharmaceuticals'!AZ14,IF(SETUP!$G$36=1,$E$394*'TB-Pharmaceuticals'!BA14,0)))),0)</f>
        <v>0</v>
      </c>
      <c r="L396" s="920">
        <f>IF(SETUP!$F$36="At delivery",IF(SETUP!$G$36=4,$E$394*'TB-Pharmaceuticals'!AY14,IF(SETUP!$G$36=3,$E$394*'TB-Pharmaceuticals'!AZ14,IF(SETUP!$G$36=2,$E$394*'TB-Pharmaceuticals'!BA14,IF(SETUP!$G$36=1,$E$394*'TB-Pharmaceuticals'!BB14,0)))),0)</f>
        <v>0</v>
      </c>
      <c r="M396" s="920">
        <f>IF(SETUP!$F$36="At delivery",IF(SETUP!$G$36=4,$E$394*'TB-Pharmaceuticals'!AZ14,IF(SETUP!$G$36=3,$E$394*'TB-Pharmaceuticals'!BA14,IF(SETUP!$G$36=2,$E$394*'TB-Pharmaceuticals'!BB14,IF(SETUP!$G$36=1,$E$394*'TB-Pharmaceuticals'!BC14,0)))),0)</f>
        <v>0</v>
      </c>
      <c r="N396" s="920">
        <f>IF(SETUP!$F$36="At delivery",IF(SETUP!$G$36=4,$E$394*'TB-Pharmaceuticals'!BA14,IF(SETUP!$G$36=3,$E$394*'TB-Pharmaceuticals'!BB14,IF(SETUP!$G$36=2,$E$394*'TB-Pharmaceuticals'!BC14,IF(SETUP!$G$36=1,$E$394*'TB-Pharmaceuticals'!BD14,0)))),0)</f>
        <v>0</v>
      </c>
      <c r="O396" s="920">
        <f t="shared" si="59"/>
        <v>0</v>
      </c>
      <c r="P396" s="1016">
        <f>IF(SETUP!$F$36="At delivery",IF(SETUP!$G$36=4,$E$394*'TB-Pharmaceuticals'!BB14,IF(SETUP!$G$36=3,$E$394*'TB-Pharmaceuticals'!BC14,IF(SETUP!$G$36=2,$E$394*'TB-Pharmaceuticals'!BD14,IF(SETUP!$G$36=1,$E$394*'TB-Pharmaceuticals'!BE14,0)))),0)</f>
        <v>0</v>
      </c>
      <c r="Q396" s="920">
        <f>IF(SETUP!$F$36="At delivery",IF(SETUP!$G$36=4,$E$394*'TB-Pharmaceuticals'!BC14,IF(SETUP!$G$36=3,$E$394*'TB-Pharmaceuticals'!BD14,IF(SETUP!$G$36=2,$E$394*'TB-Pharmaceuticals'!BE14,IF(SETUP!$G$36=1,$E$394*'TB-Pharmaceuticals'!BF14,0)))),0)</f>
        <v>0</v>
      </c>
      <c r="R396" s="920">
        <f>IF(SETUP!$F$36="At delivery",IF(SETUP!$G$36=4,$E$394*'TB-Pharmaceuticals'!BD14,IF(SETUP!$G$36=3,$E$394*'TB-Pharmaceuticals'!BE14,IF(SETUP!$G$36=2,$E$394*'TB-Pharmaceuticals'!BF14,IF(SETUP!$G$36=1,$E$394*'TB-Pharmaceuticals'!BG14,0)))),0)</f>
        <v>0</v>
      </c>
      <c r="S396" s="920">
        <f>IF(SETUP!$F$36="At delivery",IF(SETUP!$G$36=4,$E$394*('TB-Pharmaceuticals'!BE14+'TB-Pharmaceuticals'!BF14+'TB-Pharmaceuticals'!BG14+'TB-Pharmaceuticals'!BH14+'TB-Pharmaceuticals'!BI14),IF(SETUP!$G$36=3,$E$394*('TB-Pharmaceuticals'!BF14+'TB-Pharmaceuticals'!BG14+'TB-Pharmaceuticals'!BH14+'TB-Pharmaceuticals'!BI14),IF(SETUP!$G$36=2,$E$394*('TB-Pharmaceuticals'!BG14+'TB-Pharmaceuticals'!BH14+'TB-Pharmaceuticals'!BI14),IF(SETUP!$G$36=1,$E$394*('TB-Pharmaceuticals'!BH14+'TB-Pharmaceuticals'!BI14),0)))),0)</f>
        <v>0</v>
      </c>
      <c r="T396" s="920">
        <f t="shared" si="60"/>
        <v>0</v>
      </c>
      <c r="U396" s="1016">
        <f t="shared" si="62"/>
        <v>0</v>
      </c>
      <c r="V396" s="1344">
        <v>7.3</v>
      </c>
      <c r="W396" s="2006"/>
      <c r="X396" s="654"/>
      <c r="Y396" s="579"/>
      <c r="Z396" s="579"/>
      <c r="AA396" s="579"/>
      <c r="AB396" s="579"/>
      <c r="AC396" s="579"/>
      <c r="AD396" s="579"/>
      <c r="AE396" s="579"/>
      <c r="AF396" s="674"/>
      <c r="AG396" s="579"/>
      <c r="AH396" s="579"/>
      <c r="AI396" s="579"/>
      <c r="AJ396" s="579"/>
      <c r="AK396" s="579"/>
      <c r="AL396" s="579"/>
      <c r="AM396" s="579"/>
      <c r="AN396" s="579"/>
      <c r="AO396" s="579"/>
      <c r="AP396" s="579"/>
      <c r="AQ396" s="579"/>
      <c r="AR396" s="579"/>
      <c r="AS396" s="579"/>
      <c r="AT396" s="579"/>
      <c r="AU396" s="579"/>
      <c r="AV396" s="579"/>
      <c r="AW396" s="579"/>
      <c r="AX396" s="579"/>
      <c r="AY396" s="579"/>
      <c r="AZ396" s="579"/>
      <c r="BA396" s="579"/>
      <c r="BB396" s="579"/>
      <c r="BC396" s="579"/>
      <c r="BD396" s="579"/>
      <c r="BE396" s="579"/>
      <c r="BF396" s="579"/>
      <c r="BG396" s="579"/>
      <c r="BH396" s="579"/>
      <c r="BI396" s="579"/>
      <c r="BJ396" s="579"/>
      <c r="BK396" s="579"/>
      <c r="BL396" s="579"/>
      <c r="BM396" s="579"/>
      <c r="BN396" s="579"/>
      <c r="BO396" s="579"/>
      <c r="BP396" s="579"/>
      <c r="BQ396" s="579"/>
      <c r="BR396" s="579"/>
    </row>
    <row r="397" spans="1:70" s="571" customFormat="1" ht="13.5" hidden="1" collapsed="1" thickBot="1">
      <c r="A397" s="3186"/>
      <c r="B397" s="3187"/>
      <c r="C397" s="3188" t="s">
        <v>446</v>
      </c>
      <c r="D397" s="3188"/>
      <c r="E397" s="1245">
        <v>0</v>
      </c>
      <c r="F397" s="1016">
        <f>IF(SETUP!$F$38="Upfront",F398,F399)</f>
        <v>0</v>
      </c>
      <c r="G397" s="920">
        <f>IF(SETUP!$F$38="Upfront",G398,G399)</f>
        <v>0</v>
      </c>
      <c r="H397" s="920">
        <f>IF(SETUP!$F$38="Upfront",H398,H399)</f>
        <v>0</v>
      </c>
      <c r="I397" s="920">
        <f>IF(SETUP!$F$38="Upfront",I398,I399)</f>
        <v>0</v>
      </c>
      <c r="J397" s="920">
        <f t="shared" si="61"/>
        <v>0</v>
      </c>
      <c r="K397" s="1016">
        <f>IF(SETUP!$F$38="Upfront",K398,K399)</f>
        <v>0</v>
      </c>
      <c r="L397" s="920">
        <f>IF(SETUP!$F$38="Upfront",L398,L399)</f>
        <v>0</v>
      </c>
      <c r="M397" s="920">
        <f>IF(SETUP!$F$38="Upfront",M398,M399)</f>
        <v>0</v>
      </c>
      <c r="N397" s="920">
        <f>IF(SETUP!$F$38="Upfront",N398,N399)</f>
        <v>0</v>
      </c>
      <c r="O397" s="920">
        <f t="shared" si="59"/>
        <v>0</v>
      </c>
      <c r="P397" s="1016">
        <f>IF(SETUP!$F$38="Upfront",P398,P399)</f>
        <v>0</v>
      </c>
      <c r="Q397" s="920">
        <f>IF(SETUP!$F$38="Upfront",Q398,Q399)</f>
        <v>0</v>
      </c>
      <c r="R397" s="920">
        <f>IF(SETUP!$F$38="Upfront",R398,R399)</f>
        <v>0</v>
      </c>
      <c r="S397" s="920">
        <f>IF(SETUP!$F$38="Upfront",S398,S399)</f>
        <v>0</v>
      </c>
      <c r="T397" s="920">
        <f t="shared" si="60"/>
        <v>0</v>
      </c>
      <c r="U397" s="1016">
        <f t="shared" si="62"/>
        <v>0</v>
      </c>
      <c r="V397" s="1344">
        <v>7.3</v>
      </c>
      <c r="W397" s="2006"/>
      <c r="X397" s="654"/>
      <c r="Y397" s="579"/>
      <c r="Z397" s="579"/>
      <c r="AA397" s="579"/>
      <c r="AB397" s="579"/>
      <c r="AC397" s="579"/>
      <c r="AD397" s="579"/>
      <c r="AE397" s="579"/>
      <c r="AF397" s="674"/>
      <c r="AG397" s="579"/>
      <c r="AH397" s="579"/>
      <c r="AI397" s="579"/>
      <c r="AJ397" s="579"/>
      <c r="AK397" s="579"/>
      <c r="AL397" s="579"/>
      <c r="AM397" s="579"/>
      <c r="AN397" s="579"/>
      <c r="AO397" s="579"/>
      <c r="AP397" s="579"/>
      <c r="AQ397" s="579"/>
      <c r="AR397" s="579"/>
      <c r="AS397" s="579"/>
      <c r="AT397" s="579"/>
      <c r="AU397" s="579"/>
      <c r="AV397" s="579"/>
      <c r="AW397" s="579"/>
      <c r="AX397" s="579"/>
      <c r="AY397" s="579"/>
      <c r="AZ397" s="579"/>
      <c r="BA397" s="579"/>
      <c r="BB397" s="579"/>
      <c r="BC397" s="579"/>
      <c r="BD397" s="579"/>
      <c r="BE397" s="579"/>
      <c r="BF397" s="579"/>
      <c r="BG397" s="579"/>
      <c r="BH397" s="579"/>
      <c r="BI397" s="579"/>
      <c r="BJ397" s="579"/>
      <c r="BK397" s="579"/>
      <c r="BL397" s="579"/>
      <c r="BM397" s="579"/>
      <c r="BN397" s="579"/>
      <c r="BO397" s="579"/>
      <c r="BP397" s="579"/>
      <c r="BQ397" s="579"/>
      <c r="BR397" s="579"/>
    </row>
    <row r="398" spans="1:70" s="571" customFormat="1" ht="12.75" hidden="1" customHeight="1" outlineLevel="1">
      <c r="A398" s="3186"/>
      <c r="B398" s="3187"/>
      <c r="C398" s="3182" t="s">
        <v>777</v>
      </c>
      <c r="D398" s="3182"/>
      <c r="E398" s="1991"/>
      <c r="F398" s="1016">
        <f>IF(SETUP!$F$38="Upfront",$E$397*'TB-Pharmaceuticals'!AX15,0)</f>
        <v>0</v>
      </c>
      <c r="G398" s="920">
        <f>IF(SETUP!$F$38="Upfront",$E$397*'TB-Pharmaceuticals'!AY15,0)</f>
        <v>0</v>
      </c>
      <c r="H398" s="920">
        <f>IF(SETUP!$F$38="Upfront",$E$397*'TB-Pharmaceuticals'!AZ15,0)</f>
        <v>0</v>
      </c>
      <c r="I398" s="920">
        <f>IF(SETUP!$F$38="Upfront",$E$397*'TB-Pharmaceuticals'!BA15,0)</f>
        <v>0</v>
      </c>
      <c r="J398" s="920">
        <f t="shared" si="61"/>
        <v>0</v>
      </c>
      <c r="K398" s="1016">
        <f>IF(SETUP!$F$38="Upfront",$E$397*'TB-Pharmaceuticals'!BB15,0)</f>
        <v>0</v>
      </c>
      <c r="L398" s="920">
        <f>IF(SETUP!$F$38="Upfront",$E$397*'TB-Pharmaceuticals'!BC15,0)</f>
        <v>0</v>
      </c>
      <c r="M398" s="920">
        <f>IF(SETUP!$F$38="Upfront",$E$397*'TB-Pharmaceuticals'!BD15,0)</f>
        <v>0</v>
      </c>
      <c r="N398" s="920">
        <f>IF(SETUP!$F$38="Upfront",$E$397*'TB-Pharmaceuticals'!BE15,0)</f>
        <v>0</v>
      </c>
      <c r="O398" s="920">
        <f t="shared" si="59"/>
        <v>0</v>
      </c>
      <c r="P398" s="1016">
        <f>IF(SETUP!$F$38="Upfront",$E$397*'TB-Pharmaceuticals'!BF15,0)</f>
        <v>0</v>
      </c>
      <c r="Q398" s="920">
        <f>IF(SETUP!$F$38="Upfront",$E$397*'TB-Pharmaceuticals'!BG15,0)</f>
        <v>0</v>
      </c>
      <c r="R398" s="920">
        <f>IF(SETUP!$F$38="Upfront",$E$397*'TB-Pharmaceuticals'!BH15,0)</f>
        <v>0</v>
      </c>
      <c r="S398" s="920">
        <f>IF(SETUP!$F$38="Upfront",$E$397*'TB-Pharmaceuticals'!BI15,0)</f>
        <v>0</v>
      </c>
      <c r="T398" s="920">
        <f t="shared" si="60"/>
        <v>0</v>
      </c>
      <c r="U398" s="1016">
        <f t="shared" si="62"/>
        <v>0</v>
      </c>
      <c r="V398" s="1344">
        <v>7.3</v>
      </c>
      <c r="W398" s="2006"/>
      <c r="X398" s="654"/>
      <c r="Y398" s="579"/>
      <c r="Z398" s="579"/>
      <c r="AA398" s="579"/>
      <c r="AB398" s="579"/>
      <c r="AC398" s="579"/>
      <c r="AD398" s="579"/>
      <c r="AE398" s="579"/>
      <c r="AF398" s="674"/>
      <c r="AG398" s="579"/>
      <c r="AH398" s="579"/>
      <c r="AI398" s="579"/>
      <c r="AJ398" s="579"/>
      <c r="AK398" s="579"/>
      <c r="AL398" s="579"/>
      <c r="AM398" s="579"/>
      <c r="AN398" s="579"/>
      <c r="AO398" s="579"/>
      <c r="AP398" s="579"/>
      <c r="AQ398" s="579"/>
      <c r="AR398" s="579"/>
      <c r="AS398" s="579"/>
      <c r="AT398" s="579"/>
      <c r="AU398" s="579"/>
      <c r="AV398" s="579"/>
      <c r="AW398" s="579"/>
      <c r="AX398" s="579"/>
      <c r="AY398" s="579"/>
      <c r="AZ398" s="579"/>
      <c r="BA398" s="579"/>
      <c r="BB398" s="579"/>
      <c r="BC398" s="579"/>
      <c r="BD398" s="579"/>
      <c r="BE398" s="579"/>
      <c r="BF398" s="579"/>
      <c r="BG398" s="579"/>
      <c r="BH398" s="579"/>
      <c r="BI398" s="579"/>
      <c r="BJ398" s="579"/>
      <c r="BK398" s="579"/>
      <c r="BL398" s="579"/>
      <c r="BM398" s="579"/>
      <c r="BN398" s="579"/>
      <c r="BO398" s="579"/>
      <c r="BP398" s="579"/>
      <c r="BQ398" s="579"/>
      <c r="BR398" s="579"/>
    </row>
    <row r="399" spans="1:70" s="571" customFormat="1" ht="12.75" hidden="1" customHeight="1" outlineLevel="1">
      <c r="A399" s="3186"/>
      <c r="B399" s="3187"/>
      <c r="C399" s="3182" t="s">
        <v>36</v>
      </c>
      <c r="D399" s="3182"/>
      <c r="E399" s="1246"/>
      <c r="F399" s="1016">
        <v>0</v>
      </c>
      <c r="G399" s="920">
        <f>IF(SETUP!$F$38="At delivery",IF(SETUP!$G$38=1,$E$397*'TB-Pharmaceuticals'!AX15,0),0)</f>
        <v>0</v>
      </c>
      <c r="H399" s="920">
        <f>IF(SETUP!$F$38="At delivery",IF(SETUP!$G$38=2,$E$397*'TB-Pharmaceuticals'!AX15,IF(SETUP!$G$38=1,$E$397*'TB-Pharmaceuticals'!AY15,0)),0)</f>
        <v>0</v>
      </c>
      <c r="I399" s="920">
        <f>IF(SETUP!$F$38="At delivery",IF(SETUP!$G$38=3,$E$397*'TB-Pharmaceuticals'!AX15,IF(SETUP!$G$38=2,$E$397*'TB-Pharmaceuticals'!AY15,IF(SETUP!$G$38=1,$E$397*'TB-Pharmaceuticals'!AZ15,0))),0)</f>
        <v>0</v>
      </c>
      <c r="J399" s="920">
        <f t="shared" si="61"/>
        <v>0</v>
      </c>
      <c r="K399" s="1016">
        <f>IF(SETUP!$F$38="At delivery",IF(SETUP!$G$38=4,$E$397*'TB-Pharmaceuticals'!AX15,IF(SETUP!$G$38=3,$E$397*'TB-Pharmaceuticals'!AY15,IF(SETUP!$G$38=2,$E$397*'TB-Pharmaceuticals'!AZ15,IF(SETUP!$G$38=1,$E$397*'TB-Pharmaceuticals'!BA15,0)))),0)</f>
        <v>0</v>
      </c>
      <c r="L399" s="920">
        <f>IF(SETUP!$F$38="At delivery",IF(SETUP!$G$38=4,$E$397*'TB-Pharmaceuticals'!AY15,IF(SETUP!$G$38=3,$E$397*'TB-Pharmaceuticals'!AZ15,IF(SETUP!$G$38=2,$E$397*'TB-Pharmaceuticals'!BA15,IF(SETUP!$G$38=1,$E$397*'TB-Pharmaceuticals'!BB15,0)))),0)</f>
        <v>0</v>
      </c>
      <c r="M399" s="920">
        <f>IF(SETUP!$F$38="At delivery",IF(SETUP!$G$38=4,$E$397*'TB-Pharmaceuticals'!AZ15,IF(SETUP!$G$38=3,$E$397*'TB-Pharmaceuticals'!BA15,IF(SETUP!$G$38=2,$E$397*'TB-Pharmaceuticals'!BB15,IF(SETUP!$G$38=1,$E$397*'TB-Pharmaceuticals'!BC15,0)))),0)</f>
        <v>0</v>
      </c>
      <c r="N399" s="920">
        <f>IF(SETUP!$F$38="At delivery",IF(SETUP!$G$38=4,$E$397*'TB-Pharmaceuticals'!BA15,IF(SETUP!$G$38=3,$E$397*'TB-Pharmaceuticals'!BB15,IF(SETUP!$G$38=2,$E$397*'TB-Pharmaceuticals'!BC15,IF(SETUP!$G$38=1,$E$397*'TB-Pharmaceuticals'!BD15,0)))),0)</f>
        <v>0</v>
      </c>
      <c r="O399" s="920">
        <f t="shared" si="59"/>
        <v>0</v>
      </c>
      <c r="P399" s="1016">
        <f>IF(SETUP!$F$38="At delivery",IF(SETUP!$G$38=4,$E$397*'TB-Pharmaceuticals'!BB15,IF(SETUP!$G$38=3,$E$397*'TB-Pharmaceuticals'!BC15,IF(SETUP!$G$38=2,$E$397*'TB-Pharmaceuticals'!BD15,IF(SETUP!$G$38=1,$E$397*'TB-Pharmaceuticals'!BE15,0)))),0)</f>
        <v>0</v>
      </c>
      <c r="Q399" s="920">
        <f>IF(SETUP!$F$38="At delivery",IF(SETUP!$G$38=4,$E$397*'TB-Pharmaceuticals'!BC15,IF(SETUP!$G$38=3,$E$397*'TB-Pharmaceuticals'!BD15,IF(SETUP!$G$38=2,$E$397*'TB-Pharmaceuticals'!BE15,IF(SETUP!$G$38=1,$E$397*'TB-Pharmaceuticals'!BF15,0)))),0)</f>
        <v>0</v>
      </c>
      <c r="R399" s="920">
        <f>IF(SETUP!$F$38="At delivery",IF(SETUP!$G$38=4,$E$397*'TB-Pharmaceuticals'!BD15,IF(SETUP!$G$38=3,$E$397*'TB-Pharmaceuticals'!BE15,IF(SETUP!$G$38=2,$E$397*'TB-Pharmaceuticals'!BF15,IF(SETUP!$G$38=1,$E$397*'TB-Pharmaceuticals'!BG15,0)))),0)</f>
        <v>0</v>
      </c>
      <c r="S399" s="920">
        <f>IF(SETUP!$F$38="At delivery",IF(SETUP!$G$38=4,$E$397*('TB-Pharmaceuticals'!BE15+'TB-Pharmaceuticals'!BF15+'TB-Pharmaceuticals'!BG15+'TB-Pharmaceuticals'!BH15+'TB-Pharmaceuticals'!BI15),IF(SETUP!$G$38=3,$E$397*('TB-Pharmaceuticals'!BF15+'TB-Pharmaceuticals'!BG15+'TB-Pharmaceuticals'!BH15+'TB-Pharmaceuticals'!BI15),IF(SETUP!$G$38=2,$E$397*('TB-Pharmaceuticals'!BG15+'TB-Pharmaceuticals'!BH15+'TB-Pharmaceuticals'!BI15),IF(SETUP!$G$38=1,$E$397*('TB-Pharmaceuticals'!BH15+'TB-Pharmaceuticals'!BI15),0)))),0)</f>
        <v>0</v>
      </c>
      <c r="T399" s="920">
        <f t="shared" si="60"/>
        <v>0</v>
      </c>
      <c r="U399" s="1016">
        <f t="shared" si="62"/>
        <v>0</v>
      </c>
      <c r="V399" s="1344">
        <v>7.3</v>
      </c>
      <c r="W399" s="2006"/>
      <c r="X399" s="654"/>
      <c r="Y399" s="579"/>
      <c r="Z399" s="579"/>
      <c r="AA399" s="579"/>
      <c r="AB399" s="579"/>
      <c r="AC399" s="579"/>
      <c r="AD399" s="579"/>
      <c r="AE399" s="579"/>
      <c r="AF399" s="674"/>
      <c r="AG399" s="579"/>
      <c r="AH399" s="579"/>
      <c r="AI399" s="579"/>
      <c r="AJ399" s="579"/>
      <c r="AK399" s="579"/>
      <c r="AL399" s="579"/>
      <c r="AM399" s="579"/>
      <c r="AN399" s="579"/>
      <c r="AO399" s="579"/>
      <c r="AP399" s="579"/>
      <c r="AQ399" s="579"/>
      <c r="AR399" s="579"/>
      <c r="AS399" s="579"/>
      <c r="AT399" s="579"/>
      <c r="AU399" s="579"/>
      <c r="AV399" s="579"/>
      <c r="AW399" s="579"/>
      <c r="AX399" s="579"/>
      <c r="AY399" s="579"/>
      <c r="AZ399" s="579"/>
      <c r="BA399" s="579"/>
      <c r="BB399" s="579"/>
      <c r="BC399" s="579"/>
      <c r="BD399" s="579"/>
      <c r="BE399" s="579"/>
      <c r="BF399" s="579"/>
      <c r="BG399" s="579"/>
      <c r="BH399" s="579"/>
      <c r="BI399" s="579"/>
      <c r="BJ399" s="579"/>
      <c r="BK399" s="579"/>
      <c r="BL399" s="579"/>
      <c r="BM399" s="579"/>
      <c r="BN399" s="579"/>
      <c r="BO399" s="579"/>
      <c r="BP399" s="579"/>
      <c r="BQ399" s="579"/>
      <c r="BR399" s="579"/>
    </row>
    <row r="400" spans="1:70" s="571" customFormat="1" ht="13.5" hidden="1" collapsed="1" thickBot="1">
      <c r="A400" s="3186"/>
      <c r="B400" s="3187"/>
      <c r="C400" s="3188" t="s">
        <v>1389</v>
      </c>
      <c r="D400" s="3188"/>
      <c r="E400" s="1245">
        <v>0</v>
      </c>
      <c r="F400" s="1016">
        <f>IF(SETUP!$F$39="Upfront",F401,F402)</f>
        <v>0</v>
      </c>
      <c r="G400" s="920">
        <f>IF(SETUP!$F$39="Upfront",G401,G402)</f>
        <v>0</v>
      </c>
      <c r="H400" s="920">
        <f>IF(SETUP!$F$39="Upfront",H401,H402)</f>
        <v>0</v>
      </c>
      <c r="I400" s="920">
        <f>IF(SETUP!$F$39="Upfront",I401,I402)</f>
        <v>0</v>
      </c>
      <c r="J400" s="920">
        <f t="shared" si="61"/>
        <v>0</v>
      </c>
      <c r="K400" s="1016">
        <f>IF(SETUP!$F$39="Upfront",K401,K402)</f>
        <v>0</v>
      </c>
      <c r="L400" s="920">
        <f>IF(SETUP!$F$39="Upfront",L401,L402)</f>
        <v>0</v>
      </c>
      <c r="M400" s="920">
        <f>IF(SETUP!$F$39="Upfront",M401,M402)</f>
        <v>0</v>
      </c>
      <c r="N400" s="920">
        <f>IF(SETUP!$F$39="Upfront",N401,N402)</f>
        <v>0</v>
      </c>
      <c r="O400" s="920">
        <f t="shared" si="59"/>
        <v>0</v>
      </c>
      <c r="P400" s="1016">
        <f>IF(SETUP!$F$39="Upfront",P401,P402)</f>
        <v>0</v>
      </c>
      <c r="Q400" s="920">
        <f>IF(SETUP!$F$39="Upfront",Q401,Q402)</f>
        <v>0</v>
      </c>
      <c r="R400" s="920">
        <f>IF(SETUP!$F$39="Upfront",R401,R402)</f>
        <v>0</v>
      </c>
      <c r="S400" s="920">
        <f>IF(SETUP!$F$39="Upfront",S401,S402)</f>
        <v>0</v>
      </c>
      <c r="T400" s="920">
        <f t="shared" si="60"/>
        <v>0</v>
      </c>
      <c r="U400" s="1016">
        <f t="shared" si="62"/>
        <v>0</v>
      </c>
      <c r="V400" s="1344">
        <v>7.3</v>
      </c>
      <c r="W400" s="2006"/>
      <c r="X400" s="654"/>
      <c r="Y400" s="579"/>
      <c r="Z400" s="579"/>
      <c r="AA400" s="579"/>
      <c r="AB400" s="579"/>
      <c r="AC400" s="579"/>
      <c r="AD400" s="579"/>
      <c r="AE400" s="579"/>
      <c r="AF400" s="674"/>
      <c r="AG400" s="579"/>
      <c r="AH400" s="579"/>
      <c r="AI400" s="579"/>
      <c r="AJ400" s="579"/>
      <c r="AK400" s="579"/>
      <c r="AL400" s="579"/>
      <c r="AM400" s="579"/>
      <c r="AN400" s="579"/>
      <c r="AO400" s="579"/>
      <c r="AP400" s="579"/>
      <c r="AQ400" s="579"/>
      <c r="AR400" s="579"/>
      <c r="AS400" s="579"/>
      <c r="AT400" s="579"/>
      <c r="AU400" s="579"/>
      <c r="AV400" s="579"/>
      <c r="AW400" s="579"/>
      <c r="AX400" s="579"/>
      <c r="AY400" s="579"/>
      <c r="AZ400" s="579"/>
      <c r="BA400" s="579"/>
      <c r="BB400" s="579"/>
      <c r="BC400" s="579"/>
      <c r="BD400" s="579"/>
      <c r="BE400" s="579"/>
      <c r="BF400" s="579"/>
      <c r="BG400" s="579"/>
      <c r="BH400" s="579"/>
      <c r="BI400" s="579"/>
      <c r="BJ400" s="579"/>
      <c r="BK400" s="579"/>
      <c r="BL400" s="579"/>
      <c r="BM400" s="579"/>
      <c r="BN400" s="579"/>
      <c r="BO400" s="579"/>
      <c r="BP400" s="579"/>
      <c r="BQ400" s="579"/>
      <c r="BR400" s="579"/>
    </row>
    <row r="401" spans="1:70" s="571" customFormat="1" ht="12.75" hidden="1" customHeight="1" outlineLevel="1">
      <c r="A401" s="3186"/>
      <c r="B401" s="3187"/>
      <c r="C401" s="3182" t="s">
        <v>777</v>
      </c>
      <c r="D401" s="3182"/>
      <c r="E401" s="1990"/>
      <c r="F401" s="1016">
        <f>IF(SETUP!$F$39="Upfront",$E$400*'TB-Pharmaceuticals'!AX16,0)</f>
        <v>0</v>
      </c>
      <c r="G401" s="920">
        <f>IF(SETUP!$F$39="Upfront",$E$400*'TB-Pharmaceuticals'!AY16,0)</f>
        <v>0</v>
      </c>
      <c r="H401" s="920">
        <f>IF(SETUP!$F$39="Upfront",$E$400*'TB-Pharmaceuticals'!AZ16,0)</f>
        <v>0</v>
      </c>
      <c r="I401" s="920">
        <f>IF(SETUP!$F$39="Upfront",$E$400*'TB-Pharmaceuticals'!BA16,0)</f>
        <v>0</v>
      </c>
      <c r="J401" s="920">
        <f t="shared" si="61"/>
        <v>0</v>
      </c>
      <c r="K401" s="1016">
        <f>IF(SETUP!$F$39="Upfront",$E$400*'TB-Pharmaceuticals'!BB16,0)</f>
        <v>0</v>
      </c>
      <c r="L401" s="920">
        <f>IF(SETUP!$F$39="Upfront",$E$400*'TB-Pharmaceuticals'!BC16,0)</f>
        <v>0</v>
      </c>
      <c r="M401" s="920">
        <f>IF(SETUP!$F$39="Upfront",$E$400*'TB-Pharmaceuticals'!BD16,0)</f>
        <v>0</v>
      </c>
      <c r="N401" s="920">
        <f>IF(SETUP!$F$39="Upfront",$E$400*'TB-Pharmaceuticals'!BE16,0)</f>
        <v>0</v>
      </c>
      <c r="O401" s="920">
        <f t="shared" si="59"/>
        <v>0</v>
      </c>
      <c r="P401" s="1016">
        <f>IF(SETUP!$F$39="Upfront",$E$400*'TB-Pharmaceuticals'!BF16,0)</f>
        <v>0</v>
      </c>
      <c r="Q401" s="920">
        <f>IF(SETUP!$F$39="Upfront",$E$400*'TB-Pharmaceuticals'!BG16,0)</f>
        <v>0</v>
      </c>
      <c r="R401" s="920">
        <f>IF(SETUP!$F$39="Upfront",$E$400*'TB-Pharmaceuticals'!BH16,0)</f>
        <v>0</v>
      </c>
      <c r="S401" s="920">
        <f>IF(SETUP!$F$39="Upfront",$E$400*'TB-Pharmaceuticals'!BI16,0)</f>
        <v>0</v>
      </c>
      <c r="T401" s="920">
        <f t="shared" si="60"/>
        <v>0</v>
      </c>
      <c r="U401" s="1016">
        <f t="shared" si="62"/>
        <v>0</v>
      </c>
      <c r="V401" s="1344">
        <v>7.3</v>
      </c>
      <c r="W401" s="2006"/>
      <c r="X401" s="654"/>
      <c r="Y401" s="579"/>
      <c r="Z401" s="579"/>
      <c r="AA401" s="579"/>
      <c r="AB401" s="579"/>
      <c r="AC401" s="579"/>
      <c r="AD401" s="579"/>
      <c r="AE401" s="579"/>
      <c r="AF401" s="674"/>
      <c r="AG401" s="579"/>
      <c r="AH401" s="579"/>
      <c r="AI401" s="579"/>
      <c r="AJ401" s="579"/>
      <c r="AK401" s="579"/>
      <c r="AL401" s="579"/>
      <c r="AM401" s="579"/>
      <c r="AN401" s="579"/>
      <c r="AO401" s="579"/>
      <c r="AP401" s="579"/>
      <c r="AQ401" s="579"/>
      <c r="AR401" s="579"/>
      <c r="AS401" s="579"/>
      <c r="AT401" s="579"/>
      <c r="AU401" s="579"/>
      <c r="AV401" s="579"/>
      <c r="AW401" s="579"/>
      <c r="AX401" s="579"/>
      <c r="AY401" s="579"/>
      <c r="AZ401" s="579"/>
      <c r="BA401" s="579"/>
      <c r="BB401" s="579"/>
      <c r="BC401" s="579"/>
      <c r="BD401" s="579"/>
      <c r="BE401" s="579"/>
      <c r="BF401" s="579"/>
      <c r="BG401" s="579"/>
      <c r="BH401" s="579"/>
      <c r="BI401" s="579"/>
      <c r="BJ401" s="579"/>
      <c r="BK401" s="579"/>
      <c r="BL401" s="579"/>
      <c r="BM401" s="579"/>
      <c r="BN401" s="579"/>
      <c r="BO401" s="579"/>
      <c r="BP401" s="579"/>
      <c r="BQ401" s="579"/>
      <c r="BR401" s="579"/>
    </row>
    <row r="402" spans="1:70" s="571" customFormat="1" ht="12.75" hidden="1" customHeight="1" outlineLevel="1">
      <c r="A402" s="3186"/>
      <c r="B402" s="3187"/>
      <c r="C402" s="3182" t="s">
        <v>36</v>
      </c>
      <c r="D402" s="3182"/>
      <c r="E402" s="1990"/>
      <c r="F402" s="1016">
        <v>0</v>
      </c>
      <c r="G402" s="920">
        <f>IF(SETUP!$F$39="At delivery",IF(SETUP!$G$39=1,$E$400*'TB-Pharmaceuticals'!AX16,0),0)</f>
        <v>0</v>
      </c>
      <c r="H402" s="920">
        <f>IF(SETUP!$F$39="At delivery",IF(SETUP!$G$39=2,$E$400*'TB-Pharmaceuticals'!AX16,IF(SETUP!$G$39=1,$E$400*'TB-Pharmaceuticals'!AY16,0)),0)</f>
        <v>0</v>
      </c>
      <c r="I402" s="920">
        <f>IF(SETUP!$F$39="At delivery",IF(SETUP!$G$39=3,$E$400*'TB-Pharmaceuticals'!AX16,IF(SETUP!$G$39=2,$E$400*'TB-Pharmaceuticals'!AY16,IF(SETUP!$G$39=1,$E$400*'TB-Pharmaceuticals'!AZ16,0))),0)</f>
        <v>0</v>
      </c>
      <c r="J402" s="920">
        <f t="shared" si="61"/>
        <v>0</v>
      </c>
      <c r="K402" s="1016">
        <f>IF(SETUP!$F$39="At delivery",IF(SETUP!$G$39=4,$E$400*'TB-Pharmaceuticals'!AX16,IF(SETUP!$G$39=3,$E$400*'TB-Pharmaceuticals'!AY16,IF(SETUP!$G$39=2,$E$400*'TB-Pharmaceuticals'!AZ16,IF(SETUP!$G$39=1,$E$400*'TB-Pharmaceuticals'!BA16,0)))),0)</f>
        <v>0</v>
      </c>
      <c r="L402" s="920">
        <f>IF(SETUP!$F$39="At delivery",IF(SETUP!$G$39=4,$E$400*'TB-Pharmaceuticals'!AY16,IF(SETUP!$G$39=3,$E$400*'TB-Pharmaceuticals'!AZ16,IF(SETUP!$G$39=2,$E$400*'TB-Pharmaceuticals'!BA16,IF(SETUP!$G$39=1,$E$400*'TB-Pharmaceuticals'!BB16,0)))),0)</f>
        <v>0</v>
      </c>
      <c r="M402" s="920">
        <f>IF(SETUP!$F$39="At delivery",IF(SETUP!$G$39=4,$E$400*'TB-Pharmaceuticals'!AZ16,IF(SETUP!$G$39=3,$E$400*'TB-Pharmaceuticals'!BA16,IF(SETUP!$G$39=2,$E$400*'TB-Pharmaceuticals'!BB16,IF(SETUP!$G$39=1,$E$400*'TB-Pharmaceuticals'!BC16,0)))),0)</f>
        <v>0</v>
      </c>
      <c r="N402" s="920">
        <f>IF(SETUP!$F$39="At delivery",IF(SETUP!$G$39=4,$E$400*'TB-Pharmaceuticals'!BA16,IF(SETUP!$G$39=3,$E$400*'TB-Pharmaceuticals'!BB16,IF(SETUP!$G$39=2,$E$400*'TB-Pharmaceuticals'!BC16,IF(SETUP!$G$39=1,$E$400*'TB-Pharmaceuticals'!BD16,0)))),0)</f>
        <v>0</v>
      </c>
      <c r="O402" s="920">
        <f t="shared" si="59"/>
        <v>0</v>
      </c>
      <c r="P402" s="1016">
        <f>IF(SETUP!$F$39="At delivery",IF(SETUP!$G$39=4,$E$400*'TB-Pharmaceuticals'!BB16,IF(SETUP!$G$39=3,$E$400*'TB-Pharmaceuticals'!BC16,IF(SETUP!$G$39=2,$E$400*'TB-Pharmaceuticals'!BD16,IF(SETUP!$G$39=1,$E$400*'TB-Pharmaceuticals'!BE16,0)))),0)</f>
        <v>0</v>
      </c>
      <c r="Q402" s="920">
        <f>IF(SETUP!$F$39="At delivery",IF(SETUP!$G$39=4,$E$400*'TB-Pharmaceuticals'!BC16,IF(SETUP!$G$39=3,$E$400*'TB-Pharmaceuticals'!BD16,IF(SETUP!$G$39=2,$E$400*'TB-Pharmaceuticals'!BE16,IF(SETUP!$G$39=1,$E$400*'TB-Pharmaceuticals'!BF16,0)))),0)</f>
        <v>0</v>
      </c>
      <c r="R402" s="920">
        <f>IF(SETUP!$F$39="At delivery",IF(SETUP!$G$39=4,$E$400*'TB-Pharmaceuticals'!BD16,IF(SETUP!$G$39=3,$E$400*'TB-Pharmaceuticals'!BE16,IF(SETUP!$G$39=2,$E$400*'TB-Pharmaceuticals'!BF16,IF(SETUP!$G$39=1,$E$400*'TB-Pharmaceuticals'!BG16,0)))),0)</f>
        <v>0</v>
      </c>
      <c r="S402" s="920">
        <f>IF(SETUP!$F$39="At delivery",IF(SETUP!$G$39=4,$E$400*('TB-Pharmaceuticals'!BE16+'TB-Pharmaceuticals'!BF16+'TB-Pharmaceuticals'!BG16+'TB-Pharmaceuticals'!BH16+'TB-Pharmaceuticals'!BI16),IF(SETUP!$G$39=3,$E$400*('TB-Pharmaceuticals'!BF16+'TB-Pharmaceuticals'!BG16+'TB-Pharmaceuticals'!BH16+'TB-Pharmaceuticals'!BI16),IF(SETUP!$G$39=2,$E$400*('TB-Pharmaceuticals'!BG16+'TB-Pharmaceuticals'!BH16+'TB-Pharmaceuticals'!BI16),IF(SETUP!$G$39=1,$E$400*('TB-Pharmaceuticals'!BH16+'TB-Pharmaceuticals'!BI16),0)))),0)</f>
        <v>0</v>
      </c>
      <c r="T402" s="920">
        <f t="shared" si="60"/>
        <v>0</v>
      </c>
      <c r="U402" s="1016">
        <f t="shared" si="62"/>
        <v>0</v>
      </c>
      <c r="V402" s="1344">
        <v>7.3</v>
      </c>
      <c r="W402" s="2006"/>
      <c r="X402" s="654"/>
      <c r="Y402" s="579"/>
      <c r="Z402" s="579"/>
      <c r="AA402" s="579"/>
      <c r="AB402" s="579"/>
      <c r="AC402" s="579"/>
      <c r="AD402" s="579"/>
      <c r="AE402" s="579"/>
      <c r="AF402" s="674"/>
      <c r="AG402" s="579"/>
      <c r="AH402" s="579"/>
      <c r="AI402" s="579"/>
      <c r="AJ402" s="579"/>
      <c r="AK402" s="579"/>
      <c r="AL402" s="579"/>
      <c r="AM402" s="579"/>
      <c r="AN402" s="579"/>
      <c r="AO402" s="579"/>
      <c r="AP402" s="579"/>
      <c r="AQ402" s="579"/>
      <c r="AR402" s="579"/>
      <c r="AS402" s="579"/>
      <c r="AT402" s="579"/>
      <c r="AU402" s="579"/>
      <c r="AV402" s="579"/>
      <c r="AW402" s="579"/>
      <c r="AX402" s="579"/>
      <c r="AY402" s="579"/>
      <c r="AZ402" s="579"/>
      <c r="BA402" s="579"/>
      <c r="BB402" s="579"/>
      <c r="BC402" s="579"/>
      <c r="BD402" s="579"/>
      <c r="BE402" s="579"/>
      <c r="BF402" s="579"/>
      <c r="BG402" s="579"/>
      <c r="BH402" s="579"/>
      <c r="BI402" s="579"/>
      <c r="BJ402" s="579"/>
      <c r="BK402" s="579"/>
      <c r="BL402" s="579"/>
      <c r="BM402" s="579"/>
      <c r="BN402" s="579"/>
      <c r="BO402" s="579"/>
      <c r="BP402" s="579"/>
      <c r="BQ402" s="579"/>
      <c r="BR402" s="579"/>
    </row>
    <row r="403" spans="1:70" s="571" customFormat="1" ht="13.5" hidden="1" collapsed="1" thickBot="1">
      <c r="A403" s="3186" t="s">
        <v>447</v>
      </c>
      <c r="B403" s="3187"/>
      <c r="C403" s="3188" t="s">
        <v>292</v>
      </c>
      <c r="D403" s="3188"/>
      <c r="E403" s="1245">
        <v>0</v>
      </c>
      <c r="F403" s="1016">
        <f>IF(SETUP!$F$40="Upfront",F404,F405)</f>
        <v>0</v>
      </c>
      <c r="G403" s="920">
        <f>IF(SETUP!$F$40="Upfront",G404,G405)</f>
        <v>0</v>
      </c>
      <c r="H403" s="920">
        <f>IF(SETUP!$F$40="Upfront",H404,H405)</f>
        <v>0</v>
      </c>
      <c r="I403" s="920">
        <f>IF(SETUP!$F$40="Upfront",I404,I405)</f>
        <v>0</v>
      </c>
      <c r="J403" s="920">
        <f t="shared" si="61"/>
        <v>0</v>
      </c>
      <c r="K403" s="1016">
        <f>IF(SETUP!$F$40="Upfront",K404,K405)</f>
        <v>0</v>
      </c>
      <c r="L403" s="920">
        <f>IF(SETUP!$F$40="Upfront",L404,L405)</f>
        <v>0</v>
      </c>
      <c r="M403" s="920">
        <f>IF(SETUP!$F$40="Upfront",M404,M405)</f>
        <v>0</v>
      </c>
      <c r="N403" s="920">
        <f>IF(SETUP!$F$40="Upfront",N404,N405)</f>
        <v>0</v>
      </c>
      <c r="O403" s="920">
        <f t="shared" si="59"/>
        <v>0</v>
      </c>
      <c r="P403" s="1016">
        <f>IF(SETUP!$F$40="Upfront",P404,P405)</f>
        <v>0</v>
      </c>
      <c r="Q403" s="920">
        <f>IF(SETUP!$F$40="Upfront",Q404,Q405)</f>
        <v>0</v>
      </c>
      <c r="R403" s="920">
        <f>IF(SETUP!$F$40="Upfront",R404,R405)</f>
        <v>0</v>
      </c>
      <c r="S403" s="920">
        <f>IF(SETUP!$F$40="Upfront",S404,S405)</f>
        <v>0</v>
      </c>
      <c r="T403" s="920">
        <f t="shared" si="60"/>
        <v>0</v>
      </c>
      <c r="U403" s="1016">
        <f t="shared" si="62"/>
        <v>0</v>
      </c>
      <c r="V403" s="1344">
        <v>7.3</v>
      </c>
      <c r="W403" s="2006"/>
      <c r="X403" s="654"/>
      <c r="Y403" s="579"/>
      <c r="Z403" s="579"/>
      <c r="AA403" s="579"/>
      <c r="AB403" s="579"/>
      <c r="AC403" s="579"/>
      <c r="AD403" s="579"/>
      <c r="AE403" s="579"/>
      <c r="AF403" s="674"/>
      <c r="AG403" s="579"/>
      <c r="AH403" s="579"/>
      <c r="AI403" s="579"/>
      <c r="AJ403" s="579"/>
      <c r="AK403" s="579"/>
      <c r="AL403" s="579"/>
      <c r="AM403" s="579"/>
      <c r="AN403" s="579"/>
      <c r="AO403" s="579"/>
      <c r="AP403" s="579"/>
      <c r="AQ403" s="579"/>
      <c r="AR403" s="579"/>
      <c r="AS403" s="579"/>
      <c r="AT403" s="579"/>
      <c r="AU403" s="579"/>
      <c r="AV403" s="579"/>
      <c r="AW403" s="579"/>
      <c r="AX403" s="579"/>
      <c r="AY403" s="579"/>
      <c r="AZ403" s="579"/>
      <c r="BA403" s="579"/>
      <c r="BB403" s="579"/>
      <c r="BC403" s="579"/>
      <c r="BD403" s="579"/>
      <c r="BE403" s="579"/>
      <c r="BF403" s="579"/>
      <c r="BG403" s="579"/>
      <c r="BH403" s="579"/>
      <c r="BI403" s="579"/>
      <c r="BJ403" s="579"/>
      <c r="BK403" s="579"/>
      <c r="BL403" s="579"/>
      <c r="BM403" s="579"/>
      <c r="BN403" s="579"/>
      <c r="BO403" s="579"/>
      <c r="BP403" s="579"/>
      <c r="BQ403" s="579"/>
      <c r="BR403" s="579"/>
    </row>
    <row r="404" spans="1:70" s="571" customFormat="1" ht="12.75" hidden="1" customHeight="1" outlineLevel="1">
      <c r="A404" s="3186"/>
      <c r="B404" s="3187"/>
      <c r="C404" s="3182" t="s">
        <v>777</v>
      </c>
      <c r="D404" s="3182"/>
      <c r="E404" s="1990"/>
      <c r="F404" s="1016">
        <f>IF(SETUP!$F$40="Upfront",$E$403*'TB-EQUIPMENT &amp; OTHER HPs'!AX14,0)</f>
        <v>0</v>
      </c>
      <c r="G404" s="920">
        <f>IF(SETUP!$F$40="Upfront",$E$403*'TB-EQUIPMENT &amp; OTHER HPs'!AY14,0)</f>
        <v>0</v>
      </c>
      <c r="H404" s="920">
        <f>IF(SETUP!$F$40="Upfront",$E$403*'TB-EQUIPMENT &amp; OTHER HPs'!AZ14,0)</f>
        <v>0</v>
      </c>
      <c r="I404" s="920">
        <f>IF(SETUP!$F$40="Upfront",$E$403*'TB-EQUIPMENT &amp; OTHER HPs'!BA14,0)</f>
        <v>0</v>
      </c>
      <c r="J404" s="920">
        <f t="shared" si="61"/>
        <v>0</v>
      </c>
      <c r="K404" s="1016">
        <f>IF(SETUP!$F$40="Upfront",$E$403*'TB-EQUIPMENT &amp; OTHER HPs'!BB14,0)</f>
        <v>0</v>
      </c>
      <c r="L404" s="920">
        <f>IF(SETUP!$F$40="Upfront",$E$403*'TB-EQUIPMENT &amp; OTHER HPs'!BC14,0)</f>
        <v>0</v>
      </c>
      <c r="M404" s="920">
        <f>IF(SETUP!$F$40="Upfront",$E$403*'TB-EQUIPMENT &amp; OTHER HPs'!BD14,0)</f>
        <v>0</v>
      </c>
      <c r="N404" s="920">
        <f>IF(SETUP!$F$40="Upfront",$E$403*'TB-EQUIPMENT &amp; OTHER HPs'!BE14,0)</f>
        <v>0</v>
      </c>
      <c r="O404" s="920">
        <f t="shared" si="59"/>
        <v>0</v>
      </c>
      <c r="P404" s="1016">
        <f>IF(SETUP!$F$40="Upfront",$E$403*'TB-EQUIPMENT &amp; OTHER HPs'!BF14,0)</f>
        <v>0</v>
      </c>
      <c r="Q404" s="920">
        <f>IF(SETUP!$F$40="Upfront",$E$403*'TB-EQUIPMENT &amp; OTHER HPs'!BG14,0)</f>
        <v>0</v>
      </c>
      <c r="R404" s="920">
        <f>IF(SETUP!$F$40="Upfront",$E$403*'TB-EQUIPMENT &amp; OTHER HPs'!BH14,0)</f>
        <v>0</v>
      </c>
      <c r="S404" s="920">
        <f>IF(SETUP!$F$40="Upfront",$E$403*'TB-EQUIPMENT &amp; OTHER HPs'!BI14,0)</f>
        <v>0</v>
      </c>
      <c r="T404" s="920">
        <f t="shared" si="60"/>
        <v>0</v>
      </c>
      <c r="U404" s="1016">
        <f t="shared" si="62"/>
        <v>0</v>
      </c>
      <c r="V404" s="1344">
        <v>7.3</v>
      </c>
      <c r="W404" s="2006"/>
      <c r="X404" s="654"/>
      <c r="Y404" s="579"/>
      <c r="Z404" s="579"/>
      <c r="AA404" s="579"/>
      <c r="AB404" s="579"/>
      <c r="AC404" s="579"/>
      <c r="AD404" s="579"/>
      <c r="AE404" s="579"/>
      <c r="AF404" s="674"/>
      <c r="AG404" s="579"/>
      <c r="AH404" s="579"/>
      <c r="AI404" s="579"/>
      <c r="AJ404" s="579"/>
      <c r="AK404" s="579"/>
      <c r="AL404" s="579"/>
      <c r="AM404" s="579"/>
      <c r="AN404" s="579"/>
      <c r="AO404" s="579"/>
      <c r="AP404" s="579"/>
      <c r="AQ404" s="579"/>
      <c r="AR404" s="579"/>
      <c r="AS404" s="579"/>
      <c r="AT404" s="579"/>
      <c r="AU404" s="579"/>
      <c r="AV404" s="579"/>
      <c r="AW404" s="579"/>
      <c r="AX404" s="579"/>
      <c r="AY404" s="579"/>
      <c r="AZ404" s="579"/>
      <c r="BA404" s="579"/>
      <c r="BB404" s="579"/>
      <c r="BC404" s="579"/>
      <c r="BD404" s="579"/>
      <c r="BE404" s="579"/>
      <c r="BF404" s="579"/>
      <c r="BG404" s="579"/>
      <c r="BH404" s="579"/>
      <c r="BI404" s="579"/>
      <c r="BJ404" s="579"/>
      <c r="BK404" s="579"/>
      <c r="BL404" s="579"/>
      <c r="BM404" s="579"/>
      <c r="BN404" s="579"/>
      <c r="BO404" s="579"/>
      <c r="BP404" s="579"/>
      <c r="BQ404" s="579"/>
      <c r="BR404" s="579"/>
    </row>
    <row r="405" spans="1:70" s="571" customFormat="1" ht="12.75" hidden="1" customHeight="1" outlineLevel="1">
      <c r="A405" s="3186"/>
      <c r="B405" s="3187"/>
      <c r="C405" s="3182" t="s">
        <v>36</v>
      </c>
      <c r="D405" s="3182"/>
      <c r="E405" s="1990"/>
      <c r="F405" s="1016">
        <v>0</v>
      </c>
      <c r="G405" s="920">
        <f>IF(SETUP!$F$40="At delivery",IF(SETUP!$G$40=1,$E$403*'TB-EQUIPMENT &amp; OTHER HPs'!AX14,0),0)</f>
        <v>0</v>
      </c>
      <c r="H405" s="920">
        <f>IF(SETUP!$F$40="At delivery",IF(SETUP!$G$40=2,$E$403*'TB-EQUIPMENT &amp; OTHER HPs'!AX14,IF(SETUP!$G$40=1,$E$403*'TB-EQUIPMENT &amp; OTHER HPs'!AY14,0)),0)</f>
        <v>0</v>
      </c>
      <c r="I405" s="920">
        <f>IF(SETUP!$F$40="At delivery",IF(SETUP!$G$40=3,$E$403*'TB-EQUIPMENT &amp; OTHER HPs'!AX14,IF(SETUP!$G$40=2,$E$403*'TB-EQUIPMENT &amp; OTHER HPs'!AY14,IF(SETUP!$G$40=1,$E$403*'TB-EQUIPMENT &amp; OTHER HPs'!AZ14,0))),0)</f>
        <v>0</v>
      </c>
      <c r="J405" s="920">
        <f t="shared" si="61"/>
        <v>0</v>
      </c>
      <c r="K405" s="1016">
        <f>IF(SETUP!$F$40="At delivery",IF(SETUP!$G$40=4,$E$403*'TB-EQUIPMENT &amp; OTHER HPs'!AX14,IF(SETUP!$G$40=3,$E$403*'TB-EQUIPMENT &amp; OTHER HPs'!AY14,IF(SETUP!$G$40=2,$E$403*'TB-EQUIPMENT &amp; OTHER HPs'!AZ14,IF(SETUP!$G$40=1,$E$403*'TB-EQUIPMENT &amp; OTHER HPs'!BA14,0)))),0)</f>
        <v>0</v>
      </c>
      <c r="L405" s="920">
        <f>IF(SETUP!$F$40="At delivery",IF(SETUP!$G$40=4,$E$403*'TB-EQUIPMENT &amp; OTHER HPs'!AY14,IF(SETUP!$G$40=3,$E$403*'TB-EQUIPMENT &amp; OTHER HPs'!AZ14,IF(SETUP!$G$40=2,$E$403*'TB-EQUIPMENT &amp; OTHER HPs'!BA14,IF(SETUP!$G$40=1,$E$403*'TB-EQUIPMENT &amp; OTHER HPs'!BB14,0)))),0)</f>
        <v>0</v>
      </c>
      <c r="M405" s="920">
        <f>IF(SETUP!$F$40="At delivery",IF(SETUP!$G$40=4,$E$403*'TB-EQUIPMENT &amp; OTHER HPs'!AZ14,IF(SETUP!$G$40=3,$E$403*'TB-EQUIPMENT &amp; OTHER HPs'!BA14,IF(SETUP!$G$40=2,$E$403*'TB-EQUIPMENT &amp; OTHER HPs'!BB14,IF(SETUP!$G$40=1,$E$403*'TB-EQUIPMENT &amp; OTHER HPs'!BC14,0)))),0)</f>
        <v>0</v>
      </c>
      <c r="N405" s="920">
        <f>IF(SETUP!$F$40="At delivery",IF(SETUP!$G$40=4,$E$403*'TB-EQUIPMENT &amp; OTHER HPs'!BA14,IF(SETUP!$G$40=3,$E$403*'TB-EQUIPMENT &amp; OTHER HPs'!BB14,IF(SETUP!$G$40=2,$E$403*'TB-EQUIPMENT &amp; OTHER HPs'!BC14,IF(SETUP!$G$40=1,$E$403*'TB-EQUIPMENT &amp; OTHER HPs'!BD14,0)))),0)</f>
        <v>0</v>
      </c>
      <c r="O405" s="920">
        <f t="shared" si="59"/>
        <v>0</v>
      </c>
      <c r="P405" s="1016">
        <f>IF(SETUP!$F$40="At delivery",IF(SETUP!$G$40=4,$E$403*'TB-EQUIPMENT &amp; OTHER HPs'!BB14,IF(SETUP!$G$40=3,$E$403*'TB-EQUIPMENT &amp; OTHER HPs'!BC14,IF(SETUP!$G$40=2,$E$403*'TB-EQUIPMENT &amp; OTHER HPs'!BD14,IF(SETUP!$G$40=1,$E$403*'TB-EQUIPMENT &amp; OTHER HPs'!BE14,0)))),0)</f>
        <v>0</v>
      </c>
      <c r="Q405" s="920">
        <f>IF(SETUP!$F$40="At delivery",IF(SETUP!$G$40=4,$E$403*'TB-EQUIPMENT &amp; OTHER HPs'!BC14,IF(SETUP!$G$40=3,$E$403*'TB-EQUIPMENT &amp; OTHER HPs'!BD14,IF(SETUP!$G$40=2,$E$403*'TB-EQUIPMENT &amp; OTHER HPs'!BE14,IF(SETUP!$G$40=1,$E$403*'TB-EQUIPMENT &amp; OTHER HPs'!BF14,0)))),0)</f>
        <v>0</v>
      </c>
      <c r="R405" s="920">
        <f>IF(SETUP!$F$40="At delivery",IF(SETUP!$G$40=4,$E$403*'TB-EQUIPMENT &amp; OTHER HPs'!BD14,IF(SETUP!$G$40=3,$E$403*'TB-EQUIPMENT &amp; OTHER HPs'!BE14,IF(SETUP!$G$40=2,$E$403*'TB-EQUIPMENT &amp; OTHER HPs'!BF14,IF(SETUP!$G$40=1,$E$403*'TB-EQUIPMENT &amp; OTHER HPs'!BG14,0)))),0)</f>
        <v>0</v>
      </c>
      <c r="S405" s="920">
        <f>IF(SETUP!$F$40="At delivery",IF(SETUP!$G$40=4,$E$403*('TB-EQUIPMENT &amp; OTHER HPs'!BE14+'TB-EQUIPMENT &amp; OTHER HPs'!BF14+'TB-EQUIPMENT &amp; OTHER HPs'!BG14+'TB-EQUIPMENT &amp; OTHER HPs'!BH14+'TB-EQUIPMENT &amp; OTHER HPs'!BI14),IF(SETUP!$G$40=3,$E$403*('TB-EQUIPMENT &amp; OTHER HPs'!BF14+'TB-EQUIPMENT &amp; OTHER HPs'!BG14+'TB-EQUIPMENT &amp; OTHER HPs'!BH14+'TB-EQUIPMENT &amp; OTHER HPs'!BI14),IF(SETUP!$G$40=2,$E$403*('TB-EQUIPMENT &amp; OTHER HPs'!BG14+'TB-EQUIPMENT &amp; OTHER HPs'!BH14+'TB-EQUIPMENT &amp; OTHER HPs'!BI14),IF(SETUP!$G$40=1,$E$403*('TB-EQUIPMENT &amp; OTHER HPs'!BH14+'TB-EQUIPMENT &amp; OTHER HPs'!BI14),0)))),0)</f>
        <v>0</v>
      </c>
      <c r="T405" s="920">
        <f t="shared" si="60"/>
        <v>0</v>
      </c>
      <c r="U405" s="1016">
        <f t="shared" si="62"/>
        <v>0</v>
      </c>
      <c r="V405" s="1344">
        <v>7.3</v>
      </c>
      <c r="W405" s="2006"/>
      <c r="X405" s="654"/>
      <c r="Y405" s="579"/>
      <c r="Z405" s="579"/>
      <c r="AA405" s="579"/>
      <c r="AB405" s="579"/>
      <c r="AC405" s="579"/>
      <c r="AD405" s="579"/>
      <c r="AE405" s="579"/>
      <c r="AF405" s="674"/>
      <c r="AG405" s="579"/>
      <c r="AH405" s="579"/>
      <c r="AI405" s="579"/>
      <c r="AJ405" s="579"/>
      <c r="AK405" s="579"/>
      <c r="AL405" s="579"/>
      <c r="AM405" s="579"/>
      <c r="AN405" s="579"/>
      <c r="AO405" s="579"/>
      <c r="AP405" s="579"/>
      <c r="AQ405" s="579"/>
      <c r="AR405" s="579"/>
      <c r="AS405" s="579"/>
      <c r="AT405" s="579"/>
      <c r="AU405" s="579"/>
      <c r="AV405" s="579"/>
      <c r="AW405" s="579"/>
      <c r="AX405" s="579"/>
      <c r="AY405" s="579"/>
      <c r="AZ405" s="579"/>
      <c r="BA405" s="579"/>
      <c r="BB405" s="579"/>
      <c r="BC405" s="579"/>
      <c r="BD405" s="579"/>
      <c r="BE405" s="579"/>
      <c r="BF405" s="579"/>
      <c r="BG405" s="579"/>
      <c r="BH405" s="579"/>
      <c r="BI405" s="579"/>
      <c r="BJ405" s="579"/>
      <c r="BK405" s="579"/>
      <c r="BL405" s="579"/>
      <c r="BM405" s="579"/>
      <c r="BN405" s="579"/>
      <c r="BO405" s="579"/>
      <c r="BP405" s="579"/>
      <c r="BQ405" s="579"/>
      <c r="BR405" s="579"/>
    </row>
    <row r="406" spans="1:70" s="571" customFormat="1" ht="13.5" hidden="1" collapsed="1" thickBot="1">
      <c r="A406" s="3186"/>
      <c r="B406" s="3187"/>
      <c r="C406" s="3188" t="s">
        <v>1348</v>
      </c>
      <c r="D406" s="3188"/>
      <c r="E406" s="1245">
        <v>0</v>
      </c>
      <c r="F406" s="1016">
        <f>IF(SETUP!$F$41="Upfront",F407,F408)</f>
        <v>0</v>
      </c>
      <c r="G406" s="920">
        <f>IF(SETUP!$F$41="Upfront",G407,G408)</f>
        <v>0</v>
      </c>
      <c r="H406" s="920">
        <f>IF(SETUP!$F$41="Upfront",H407,H408)</f>
        <v>0</v>
      </c>
      <c r="I406" s="920">
        <f>IF(SETUP!$F$41="Upfront",I407,I408)</f>
        <v>0</v>
      </c>
      <c r="J406" s="920">
        <f t="shared" si="61"/>
        <v>0</v>
      </c>
      <c r="K406" s="1016">
        <f>IF(SETUP!$F$41="Upfront",K407,K408)</f>
        <v>0</v>
      </c>
      <c r="L406" s="920">
        <f>IF(SETUP!$F$41="Upfront",L407,L408)</f>
        <v>0</v>
      </c>
      <c r="M406" s="920">
        <f>IF(SETUP!$F$41="Upfront",M407,M408)</f>
        <v>0</v>
      </c>
      <c r="N406" s="920">
        <f>IF(SETUP!$F$41="Upfront",N407,N408)</f>
        <v>0</v>
      </c>
      <c r="O406" s="920">
        <f t="shared" si="59"/>
        <v>0</v>
      </c>
      <c r="P406" s="1016">
        <f>IF(SETUP!$F$41="Upfront",P407,P408)</f>
        <v>0</v>
      </c>
      <c r="Q406" s="920">
        <f>IF(SETUP!$F$41="Upfront",Q407,Q408)</f>
        <v>0</v>
      </c>
      <c r="R406" s="920">
        <f>IF(SETUP!$F$41="Upfront",R407,R408)</f>
        <v>0</v>
      </c>
      <c r="S406" s="920">
        <f>IF(SETUP!$F$41="Upfront",S407,S408)</f>
        <v>0</v>
      </c>
      <c r="T406" s="920">
        <f t="shared" si="60"/>
        <v>0</v>
      </c>
      <c r="U406" s="1016">
        <f t="shared" si="62"/>
        <v>0</v>
      </c>
      <c r="V406" s="1344">
        <v>7.3</v>
      </c>
      <c r="W406" s="2006"/>
      <c r="X406" s="654"/>
      <c r="Y406" s="579"/>
      <c r="Z406" s="579"/>
      <c r="AA406" s="579"/>
      <c r="AB406" s="579"/>
      <c r="AC406" s="579"/>
      <c r="AD406" s="579"/>
      <c r="AE406" s="579"/>
      <c r="AF406" s="674"/>
      <c r="AG406" s="579"/>
      <c r="AH406" s="579"/>
      <c r="AI406" s="579"/>
      <c r="AJ406" s="579"/>
      <c r="AK406" s="579"/>
      <c r="AL406" s="579"/>
      <c r="AM406" s="579"/>
      <c r="AN406" s="579"/>
      <c r="AO406" s="579"/>
      <c r="AP406" s="579"/>
      <c r="AQ406" s="579"/>
      <c r="AR406" s="579"/>
      <c r="AS406" s="579"/>
      <c r="AT406" s="579"/>
      <c r="AU406" s="579"/>
      <c r="AV406" s="579"/>
      <c r="AW406" s="579"/>
      <c r="AX406" s="579"/>
      <c r="AY406" s="579"/>
      <c r="AZ406" s="579"/>
      <c r="BA406" s="579"/>
      <c r="BB406" s="579"/>
      <c r="BC406" s="579"/>
      <c r="BD406" s="579"/>
      <c r="BE406" s="579"/>
      <c r="BF406" s="579"/>
      <c r="BG406" s="579"/>
      <c r="BH406" s="579"/>
      <c r="BI406" s="579"/>
      <c r="BJ406" s="579"/>
      <c r="BK406" s="579"/>
      <c r="BL406" s="579"/>
      <c r="BM406" s="579"/>
      <c r="BN406" s="579"/>
      <c r="BO406" s="579"/>
      <c r="BP406" s="579"/>
      <c r="BQ406" s="579"/>
      <c r="BR406" s="579"/>
    </row>
    <row r="407" spans="1:70" s="571" customFormat="1" ht="12.75" hidden="1" customHeight="1" outlineLevel="1">
      <c r="A407" s="3186"/>
      <c r="B407" s="3187"/>
      <c r="C407" s="3182" t="s">
        <v>777</v>
      </c>
      <c r="D407" s="3182"/>
      <c r="E407" s="1990"/>
      <c r="F407" s="1016">
        <f>IF(SETUP!$F$41="Upfront",$E$406*'TB-EQUIPMENT &amp; OTHER HPs'!AX15,0)</f>
        <v>0</v>
      </c>
      <c r="G407" s="920">
        <f>IF(SETUP!$F$41="Upfront",$E$406*'TB-EQUIPMENT &amp; OTHER HPs'!AY15,0)</f>
        <v>0</v>
      </c>
      <c r="H407" s="920">
        <f>IF(SETUP!$F$41="Upfront",$E$406*'TB-EQUIPMENT &amp; OTHER HPs'!AZ15,0)</f>
        <v>0</v>
      </c>
      <c r="I407" s="920">
        <f>IF(SETUP!$F$41="Upfront",$E$406*'TB-EQUIPMENT &amp; OTHER HPs'!BA15,0)</f>
        <v>0</v>
      </c>
      <c r="J407" s="920">
        <f t="shared" si="61"/>
        <v>0</v>
      </c>
      <c r="K407" s="1016">
        <f>IF(SETUP!$F$41="Upfront",$E$406*'TB-EQUIPMENT &amp; OTHER HPs'!BB15,0)</f>
        <v>0</v>
      </c>
      <c r="L407" s="920">
        <f>IF(SETUP!$F$41="Upfront",$E$406*'TB-EQUIPMENT &amp; OTHER HPs'!BC15,0)</f>
        <v>0</v>
      </c>
      <c r="M407" s="920">
        <f>IF(SETUP!$F$41="Upfront",$E$406*'TB-EQUIPMENT &amp; OTHER HPs'!BD15,0)</f>
        <v>0</v>
      </c>
      <c r="N407" s="920">
        <f>IF(SETUP!$F$41="Upfront",$E$406*'TB-EQUIPMENT &amp; OTHER HPs'!BE15,0)</f>
        <v>0</v>
      </c>
      <c r="O407" s="920">
        <f t="shared" si="59"/>
        <v>0</v>
      </c>
      <c r="P407" s="1016">
        <f>IF(SETUP!$F$41="Upfront",$E$406*'TB-EQUIPMENT &amp; OTHER HPs'!BF15,0)</f>
        <v>0</v>
      </c>
      <c r="Q407" s="920">
        <f>IF(SETUP!$F$41="Upfront",$E$406*'TB-EQUIPMENT &amp; OTHER HPs'!BG15,0)</f>
        <v>0</v>
      </c>
      <c r="R407" s="920">
        <f>IF(SETUP!$F$41="Upfront",$E$406*'TB-EQUIPMENT &amp; OTHER HPs'!BH15,0)</f>
        <v>0</v>
      </c>
      <c r="S407" s="920">
        <f>IF(SETUP!$F$41="Upfront",$E$406*'TB-EQUIPMENT &amp; OTHER HPs'!BI15,0)</f>
        <v>0</v>
      </c>
      <c r="T407" s="920">
        <f t="shared" si="60"/>
        <v>0</v>
      </c>
      <c r="U407" s="1016">
        <f t="shared" si="62"/>
        <v>0</v>
      </c>
      <c r="V407" s="1344">
        <v>7.3</v>
      </c>
      <c r="W407" s="2006"/>
      <c r="X407" s="654"/>
      <c r="Y407" s="579"/>
      <c r="Z407" s="579"/>
      <c r="AA407" s="579"/>
      <c r="AB407" s="579"/>
      <c r="AC407" s="579"/>
      <c r="AD407" s="579"/>
      <c r="AE407" s="579"/>
      <c r="AF407" s="674"/>
      <c r="AG407" s="579"/>
      <c r="AH407" s="579"/>
      <c r="AI407" s="579"/>
      <c r="AJ407" s="579"/>
      <c r="AK407" s="579"/>
      <c r="AL407" s="579"/>
      <c r="AM407" s="579"/>
      <c r="AN407" s="579"/>
      <c r="AO407" s="579"/>
      <c r="AP407" s="579"/>
      <c r="AQ407" s="579"/>
      <c r="AR407" s="579"/>
      <c r="AS407" s="579"/>
      <c r="AT407" s="579"/>
      <c r="AU407" s="579"/>
      <c r="AV407" s="579"/>
      <c r="AW407" s="579"/>
      <c r="AX407" s="579"/>
      <c r="AY407" s="579"/>
      <c r="AZ407" s="579"/>
      <c r="BA407" s="579"/>
      <c r="BB407" s="579"/>
      <c r="BC407" s="579"/>
      <c r="BD407" s="579"/>
      <c r="BE407" s="579"/>
      <c r="BF407" s="579"/>
      <c r="BG407" s="579"/>
      <c r="BH407" s="579"/>
      <c r="BI407" s="579"/>
      <c r="BJ407" s="579"/>
      <c r="BK407" s="579"/>
      <c r="BL407" s="579"/>
      <c r="BM407" s="579"/>
      <c r="BN407" s="579"/>
      <c r="BO407" s="579"/>
      <c r="BP407" s="579"/>
      <c r="BQ407" s="579"/>
      <c r="BR407" s="579"/>
    </row>
    <row r="408" spans="1:70" s="571" customFormat="1" ht="12.75" hidden="1" customHeight="1" outlineLevel="1" thickBot="1">
      <c r="A408" s="3186"/>
      <c r="B408" s="3187"/>
      <c r="C408" s="3182" t="s">
        <v>36</v>
      </c>
      <c r="D408" s="3182"/>
      <c r="E408" s="1990"/>
      <c r="F408" s="1016">
        <v>0</v>
      </c>
      <c r="G408" s="920">
        <f>IF(SETUP!$F$41="At delivery",IF(SETUP!$G$41=1,$E$406*'TB-EQUIPMENT &amp; OTHER HPs'!AX15,0),0)</f>
        <v>0</v>
      </c>
      <c r="H408" s="920">
        <f>IF(SETUP!$F$41="At delivery",IF(SETUP!$G$41=2,$E$406*'TB-EQUIPMENT &amp; OTHER HPs'!AX15,IF(SETUP!$G$41=1,$E$406*'TB-EQUIPMENT &amp; OTHER HPs'!AY15,0)),0)</f>
        <v>0</v>
      </c>
      <c r="I408" s="920">
        <f>IF(SETUP!$F$41="At delivery",IF(SETUP!$G$41=3,$E$406*'TB-EQUIPMENT &amp; OTHER HPs'!AX15,IF(SETUP!$G$41=2,$E$406*'TB-EQUIPMENT &amp; OTHER HPs'!AY15,IF(SETUP!$G$41=1,$E$406*'TB-EQUIPMENT &amp; OTHER HPs'!AZ15,0))),0)</f>
        <v>0</v>
      </c>
      <c r="J408" s="920">
        <f t="shared" si="61"/>
        <v>0</v>
      </c>
      <c r="K408" s="1016">
        <f>IF(SETUP!$F$41="At delivery",IF(SETUP!$G$41=4,$E$406*'TB-EQUIPMENT &amp; OTHER HPs'!AX15,IF(SETUP!$G$41=3,$E$406*'TB-EQUIPMENT &amp; OTHER HPs'!AY15,IF(SETUP!$G$41=2,$E$406*'TB-EQUIPMENT &amp; OTHER HPs'!AZ15,IF(SETUP!$G$41=1,$E$406*'TB-EQUIPMENT &amp; OTHER HPs'!BA15,0)))),0)</f>
        <v>0</v>
      </c>
      <c r="L408" s="920">
        <f>IF(SETUP!$F$41="At delivery",IF(SETUP!$G$41=4,$E$406*'TB-EQUIPMENT &amp; OTHER HPs'!AY15,IF(SETUP!$G$41=3,$E$406*'TB-EQUIPMENT &amp; OTHER HPs'!AZ15,IF(SETUP!$G$41=2,$E$406*'TB-EQUIPMENT &amp; OTHER HPs'!BA15,IF(SETUP!$G$41=1,$E$406*'TB-EQUIPMENT &amp; OTHER HPs'!BB15,0)))),0)</f>
        <v>0</v>
      </c>
      <c r="M408" s="920">
        <f>IF(SETUP!$F$41="At delivery",IF(SETUP!$G$41=4,$E$406*'TB-EQUIPMENT &amp; OTHER HPs'!AZ15,IF(SETUP!$G$41=3,$E$406*'TB-EQUIPMENT &amp; OTHER HPs'!BA15,IF(SETUP!$G$41=2,$E$406*'TB-EQUIPMENT &amp; OTHER HPs'!BB15,IF(SETUP!$G$41=1,$E$406*'TB-EQUIPMENT &amp; OTHER HPs'!BC15,0)))),0)</f>
        <v>0</v>
      </c>
      <c r="N408" s="920">
        <f>IF(SETUP!$F$41="At delivery",IF(SETUP!$G$41=4,$E$406*'TB-EQUIPMENT &amp; OTHER HPs'!BA15,IF(SETUP!$G$41=3,$E$406*'TB-EQUIPMENT &amp; OTHER HPs'!BB15,IF(SETUP!$G$41=2,$E$406*'TB-EQUIPMENT &amp; OTHER HPs'!BC15,IF(SETUP!$G$41=1,$E$406*'TB-EQUIPMENT &amp; OTHER HPs'!BD15,0)))),0)</f>
        <v>0</v>
      </c>
      <c r="O408" s="920">
        <f t="shared" si="59"/>
        <v>0</v>
      </c>
      <c r="P408" s="1016">
        <f>IF(SETUP!$F$41="At delivery",IF(SETUP!$G$41=4,$E$406*'TB-EQUIPMENT &amp; OTHER HPs'!BB15,IF(SETUP!$G$41=3,$E$406*'TB-EQUIPMENT &amp; OTHER HPs'!BC15,IF(SETUP!$G$41=2,$E$406*'TB-EQUIPMENT &amp; OTHER HPs'!BD15,IF(SETUP!$G$41=1,$E$406*'TB-EQUIPMENT &amp; OTHER HPs'!BE15,0)))),0)</f>
        <v>0</v>
      </c>
      <c r="Q408" s="920">
        <f>IF(SETUP!$F$41="At delivery",IF(SETUP!$G$41=4,$E$406*'TB-EQUIPMENT &amp; OTHER HPs'!BC15,IF(SETUP!$G$41=3,$E$406*'TB-EQUIPMENT &amp; OTHER HPs'!BD15,IF(SETUP!$G$41=2,$E$406*'TB-EQUIPMENT &amp; OTHER HPs'!BE15,IF(SETUP!$G$41=1,$E$406*'TB-EQUIPMENT &amp; OTHER HPs'!BF15,0)))),0)</f>
        <v>0</v>
      </c>
      <c r="R408" s="920">
        <f>IF(SETUP!$F$41="At delivery",IF(SETUP!$G$41=4,$E$406*'TB-EQUIPMENT &amp; OTHER HPs'!BD15,IF(SETUP!$G$41=3,$E$406*'TB-EQUIPMENT &amp; OTHER HPs'!BE15,IF(SETUP!$G$41=2,$E$406*'TB-EQUIPMENT &amp; OTHER HPs'!BF15,IF(SETUP!$G$41=1,$E$406*'TB-EQUIPMENT &amp; OTHER HPs'!BG15,0)))),0)</f>
        <v>0</v>
      </c>
      <c r="S408" s="920">
        <f>IF(SETUP!$F$41="At delivery",IF(SETUP!$G$41=4,$E$406*('TB-EQUIPMENT &amp; OTHER HPs'!BE15+'TB-EQUIPMENT &amp; OTHER HPs'!BF15+'TB-EQUIPMENT &amp; OTHER HPs'!BG15+'TB-EQUIPMENT &amp; OTHER HPs'!BH15+'TB-EQUIPMENT &amp; OTHER HPs'!BI15),IF(SETUP!$G$41=3,$E$406*('TB-EQUIPMENT &amp; OTHER HPs'!BF15+'TB-EQUIPMENT &amp; OTHER HPs'!BG15+'TB-EQUIPMENT &amp; OTHER HPs'!BH15+'TB-EQUIPMENT &amp; OTHER HPs'!BI15),IF(SETUP!$G$41=2,$E$406*('TB-EQUIPMENT &amp; OTHER HPs'!BG15+'TB-EQUIPMENT &amp; OTHER HPs'!BH15+'TB-EQUIPMENT &amp; OTHER HPs'!BI15),IF(SETUP!$G$41=1,$E$406*('TB-EQUIPMENT &amp; OTHER HPs'!BH15+'TB-EQUIPMENT &amp; OTHER HPs'!BI15),0)))),0)</f>
        <v>0</v>
      </c>
      <c r="T408" s="920">
        <f t="shared" si="60"/>
        <v>0</v>
      </c>
      <c r="U408" s="1016">
        <f t="shared" si="62"/>
        <v>0</v>
      </c>
      <c r="V408" s="1344">
        <v>7.3</v>
      </c>
      <c r="W408" s="2006"/>
      <c r="X408" s="654"/>
      <c r="Y408" s="579"/>
      <c r="Z408" s="579"/>
      <c r="AA408" s="579"/>
      <c r="AB408" s="579"/>
      <c r="AC408" s="579"/>
      <c r="AD408" s="579"/>
      <c r="AE408" s="579"/>
      <c r="AF408" s="674"/>
      <c r="AG408" s="579"/>
      <c r="AH408" s="579"/>
      <c r="AI408" s="579"/>
      <c r="AJ408" s="579"/>
      <c r="AK408" s="579"/>
      <c r="AL408" s="579"/>
      <c r="AM408" s="579"/>
      <c r="AN408" s="579"/>
      <c r="AO408" s="579"/>
      <c r="AP408" s="579"/>
      <c r="AQ408" s="579"/>
      <c r="AR408" s="579"/>
      <c r="AS408" s="579"/>
      <c r="AT408" s="579"/>
      <c r="AU408" s="579"/>
      <c r="AV408" s="579"/>
      <c r="AW408" s="579"/>
      <c r="AX408" s="579"/>
      <c r="AY408" s="579"/>
      <c r="AZ408" s="579"/>
      <c r="BA408" s="579"/>
      <c r="BB408" s="579"/>
      <c r="BC408" s="579"/>
      <c r="BD408" s="579"/>
      <c r="BE408" s="579"/>
      <c r="BF408" s="579"/>
      <c r="BG408" s="579"/>
      <c r="BH408" s="579"/>
      <c r="BI408" s="579"/>
      <c r="BJ408" s="579"/>
      <c r="BK408" s="579"/>
      <c r="BL408" s="579"/>
      <c r="BM408" s="579"/>
      <c r="BN408" s="579"/>
      <c r="BO408" s="579"/>
      <c r="BP408" s="579"/>
      <c r="BQ408" s="579"/>
      <c r="BR408" s="579"/>
    </row>
    <row r="409" spans="1:70" s="571" customFormat="1" ht="13.5" hidden="1" collapsed="1" thickBot="1">
      <c r="A409" s="3186"/>
      <c r="B409" s="3187"/>
      <c r="C409" s="3188" t="s">
        <v>1354</v>
      </c>
      <c r="D409" s="3188"/>
      <c r="E409" s="1245">
        <v>0</v>
      </c>
      <c r="F409" s="1016">
        <f>IF(SETUP!$F$43="Upfront",F410,F411)</f>
        <v>0</v>
      </c>
      <c r="G409" s="920">
        <f>IF(SETUP!$F$43="Upfront",G410,G411)</f>
        <v>0</v>
      </c>
      <c r="H409" s="920">
        <f>IF(SETUP!$F$43="Upfront",H410,H411)</f>
        <v>0</v>
      </c>
      <c r="I409" s="920">
        <f>IF(SETUP!$F$43="Upfront",I410,I411)</f>
        <v>0</v>
      </c>
      <c r="J409" s="920">
        <f t="shared" si="61"/>
        <v>0</v>
      </c>
      <c r="K409" s="1016">
        <f>IF(SETUP!$F$43="Upfront",K410,K411)</f>
        <v>0</v>
      </c>
      <c r="L409" s="920">
        <f>IF(SETUP!$F$43="Upfront",L410,L411)</f>
        <v>0</v>
      </c>
      <c r="M409" s="920">
        <f>IF(SETUP!$F$43="Upfront",M410,M411)</f>
        <v>0</v>
      </c>
      <c r="N409" s="920">
        <f>IF(SETUP!$F$43="Upfront",N410,N411)</f>
        <v>0</v>
      </c>
      <c r="O409" s="920">
        <f t="shared" si="59"/>
        <v>0</v>
      </c>
      <c r="P409" s="1016">
        <f>IF(SETUP!$F$43="Upfront",P410,P411)</f>
        <v>0</v>
      </c>
      <c r="Q409" s="920">
        <f>IF(SETUP!$F$43="Upfront",Q410,Q411)</f>
        <v>0</v>
      </c>
      <c r="R409" s="920">
        <f>IF(SETUP!$F$43="Upfront",R410,R411)</f>
        <v>0</v>
      </c>
      <c r="S409" s="920">
        <f>IF(SETUP!$F$43="Upfront",S410,S411)</f>
        <v>0</v>
      </c>
      <c r="T409" s="920">
        <f t="shared" si="60"/>
        <v>0</v>
      </c>
      <c r="U409" s="1016">
        <f t="shared" si="62"/>
        <v>0</v>
      </c>
      <c r="V409" s="1344">
        <v>7.3</v>
      </c>
      <c r="W409" s="2006"/>
      <c r="X409" s="654"/>
      <c r="Y409" s="579"/>
      <c r="Z409" s="579"/>
      <c r="AA409" s="579"/>
      <c r="AB409" s="579"/>
      <c r="AC409" s="579"/>
      <c r="AD409" s="579"/>
      <c r="AE409" s="579"/>
      <c r="AF409" s="674"/>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row>
    <row r="410" spans="1:70" s="571" customFormat="1" ht="12.75" hidden="1" customHeight="1" outlineLevel="1">
      <c r="A410" s="3186"/>
      <c r="B410" s="3187"/>
      <c r="C410" s="3182" t="s">
        <v>777</v>
      </c>
      <c r="D410" s="3182"/>
      <c r="E410" s="1246"/>
      <c r="F410" s="1016">
        <f>IF(SETUP!$F$43="Upfront",$E$409*'TB-EQUIPMENT &amp; OTHER HPs'!AX16,0)</f>
        <v>0</v>
      </c>
      <c r="G410" s="920">
        <f>IF(SETUP!$F$43="Upfront",$E$409*'TB-EQUIPMENT &amp; OTHER HPs'!AY16,0)</f>
        <v>0</v>
      </c>
      <c r="H410" s="920">
        <f>IF(SETUP!$F$43="Upfront",$E$409*'TB-EQUIPMENT &amp; OTHER HPs'!AZ16,0)</f>
        <v>0</v>
      </c>
      <c r="I410" s="920">
        <f>IF(SETUP!$F$43="Upfront",$E$409*'TB-EQUIPMENT &amp; OTHER HPs'!BA16,0)</f>
        <v>0</v>
      </c>
      <c r="J410" s="920">
        <f t="shared" si="61"/>
        <v>0</v>
      </c>
      <c r="K410" s="1016">
        <f>IF(SETUP!$F$43="Upfront",$E$409*'TB-EQUIPMENT &amp; OTHER HPs'!BB16,0)</f>
        <v>0</v>
      </c>
      <c r="L410" s="920">
        <f>IF(SETUP!$F$43="Upfront",$E$409*'TB-EQUIPMENT &amp; OTHER HPs'!BC16,0)</f>
        <v>0</v>
      </c>
      <c r="M410" s="920">
        <f>IF(SETUP!$F$43="Upfront",$E$409*'TB-EQUIPMENT &amp; OTHER HPs'!BD16,0)</f>
        <v>0</v>
      </c>
      <c r="N410" s="920">
        <f>IF(SETUP!$F$43="Upfront",$E$409*'TB-EQUIPMENT &amp; OTHER HPs'!BE16,0)</f>
        <v>0</v>
      </c>
      <c r="O410" s="920">
        <f t="shared" si="59"/>
        <v>0</v>
      </c>
      <c r="P410" s="1016">
        <f>IF(SETUP!$F$43="Upfront",$E$409*'TB-EQUIPMENT &amp; OTHER HPs'!BF16,0)</f>
        <v>0</v>
      </c>
      <c r="Q410" s="920">
        <f>IF(SETUP!$F$43="Upfront",$E$409*'TB-EQUIPMENT &amp; OTHER HPs'!BG16,0)</f>
        <v>0</v>
      </c>
      <c r="R410" s="920">
        <f>IF(SETUP!$F$43="Upfront",$E$409*'TB-EQUIPMENT &amp; OTHER HPs'!BH16,0)</f>
        <v>0</v>
      </c>
      <c r="S410" s="920">
        <f>IF(SETUP!$F$43="Upfront",$E$409*'TB-EQUIPMENT &amp; OTHER HPs'!BI16,0)</f>
        <v>0</v>
      </c>
      <c r="T410" s="920">
        <f t="shared" si="60"/>
        <v>0</v>
      </c>
      <c r="U410" s="1016">
        <f t="shared" si="62"/>
        <v>0</v>
      </c>
      <c r="V410" s="1344">
        <v>7.3</v>
      </c>
      <c r="W410" s="2006"/>
      <c r="X410" s="654"/>
      <c r="Y410" s="579"/>
      <c r="Z410" s="579"/>
      <c r="AA410" s="579"/>
      <c r="AB410" s="579"/>
      <c r="AC410" s="579"/>
      <c r="AD410" s="579"/>
      <c r="AE410" s="579"/>
      <c r="AF410" s="674"/>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row>
    <row r="411" spans="1:70" s="571" customFormat="1" ht="12.75" hidden="1" customHeight="1" outlineLevel="1">
      <c r="A411" s="3186"/>
      <c r="B411" s="3187"/>
      <c r="C411" s="3182" t="s">
        <v>36</v>
      </c>
      <c r="D411" s="3182"/>
      <c r="E411" s="1246"/>
      <c r="F411" s="1016">
        <v>0</v>
      </c>
      <c r="G411" s="920">
        <f>IF(SETUP!$F$43="At delivery",IF(SETUP!$G$43=1,$E$409*'TB-EQUIPMENT &amp; OTHER HPs'!AX16,0),0)</f>
        <v>0</v>
      </c>
      <c r="H411" s="920">
        <f>IF(SETUP!$F$43="At delivery",IF(SETUP!$G$43=2,$E$409*'TB-EQUIPMENT &amp; OTHER HPs'!AX16,IF(SETUP!$G$43=1,$E$409*'TB-EQUIPMENT &amp; OTHER HPs'!AY16,0)),0)</f>
        <v>0</v>
      </c>
      <c r="I411" s="920">
        <f>IF(SETUP!$F$43="At delivery",IF(SETUP!$G$43=3,$E$409*'TB-EQUIPMENT &amp; OTHER HPs'!AX16,IF(SETUP!$G$43=2,$E$409*'TB-EQUIPMENT &amp; OTHER HPs'!AY16,IF(SETUP!$G$43=1,$E$409*'TB-EQUIPMENT &amp; OTHER HPs'!AZ16,0))),0)</f>
        <v>0</v>
      </c>
      <c r="J411" s="920">
        <f t="shared" si="61"/>
        <v>0</v>
      </c>
      <c r="K411" s="1016">
        <f>IF(SETUP!$F$43="At delivery",IF(SETUP!$G$43=4,$E$409*'TB-EQUIPMENT &amp; OTHER HPs'!AX16,IF(SETUP!$G$43=3,$E$409*'TB-EQUIPMENT &amp; OTHER HPs'!AY16,IF(SETUP!$G$43=2,$E$409*'TB-EQUIPMENT &amp; OTHER HPs'!AZ16,IF(SETUP!$G$43=1,$E$409*'TB-EQUIPMENT &amp; OTHER HPs'!BA16,0)))),0)</f>
        <v>0</v>
      </c>
      <c r="L411" s="920">
        <f>IF(SETUP!$F$43="At delivery",IF(SETUP!$G$43=4,$E$409*'TB-EQUIPMENT &amp; OTHER HPs'!AY16,IF(SETUP!$G$43=3,$E$409*'TB-EQUIPMENT &amp; OTHER HPs'!AZ16,IF(SETUP!$G$43=2,$E$409*'TB-EQUIPMENT &amp; OTHER HPs'!BA16,IF(SETUP!$G$43=1,$E$409*'TB-EQUIPMENT &amp; OTHER HPs'!BB16,0)))),0)</f>
        <v>0</v>
      </c>
      <c r="M411" s="920">
        <f>IF(SETUP!$F$43="At delivery",IF(SETUP!$G$43=4,$E$409*'TB-EQUIPMENT &amp; OTHER HPs'!AZ16,IF(SETUP!$G$43=3,$E$409*'TB-EQUIPMENT &amp; OTHER HPs'!BA16,IF(SETUP!$G$43=2,$E$409*'TB-EQUIPMENT &amp; OTHER HPs'!BB16,IF(SETUP!$G$43=1,$E$409*'TB-EQUIPMENT &amp; OTHER HPs'!BC16,0)))),0)</f>
        <v>0</v>
      </c>
      <c r="N411" s="920">
        <f>IF(SETUP!$F$43="At delivery",IF(SETUP!$G$43=4,$E$409*'TB-EQUIPMENT &amp; OTHER HPs'!BA16,IF(SETUP!$G$43=3,$E$409*'TB-EQUIPMENT &amp; OTHER HPs'!BB16,IF(SETUP!$G$43=2,$E$409*'TB-EQUIPMENT &amp; OTHER HPs'!BC16,IF(SETUP!$G$43=1,$E$409*'TB-EQUIPMENT &amp; OTHER HPs'!BD16,0)))),0)</f>
        <v>0</v>
      </c>
      <c r="O411" s="920">
        <f t="shared" si="59"/>
        <v>0</v>
      </c>
      <c r="P411" s="1016">
        <f>IF(SETUP!$F$43="At delivery",IF(SETUP!$G$43=4,$E$409*'TB-EQUIPMENT &amp; OTHER HPs'!BB16,IF(SETUP!$G$43=3,$E$409*'TB-EQUIPMENT &amp; OTHER HPs'!BC16,IF(SETUP!$G$43=2,$E$409*'TB-EQUIPMENT &amp; OTHER HPs'!BD16,IF(SETUP!$G$43=1,$E$409*'TB-EQUIPMENT &amp; OTHER HPs'!BE16,0)))),0)</f>
        <v>0</v>
      </c>
      <c r="Q411" s="920">
        <f>IF(SETUP!$F$43="At delivery",IF(SETUP!$G$43=4,$E$409*'TB-EQUIPMENT &amp; OTHER HPs'!BC16,IF(SETUP!$G$43=3,$E$409*'TB-EQUIPMENT &amp; OTHER HPs'!BD16,IF(SETUP!$G$43=2,$E$409*'TB-EQUIPMENT &amp; OTHER HPs'!BE16,IF(SETUP!$G$43=1,$E$409*'TB-EQUIPMENT &amp; OTHER HPs'!BF16,0)))),0)</f>
        <v>0</v>
      </c>
      <c r="R411" s="920">
        <f>IF(SETUP!$F$43="At delivery",IF(SETUP!$G$43=4,$E$409*'TB-EQUIPMENT &amp; OTHER HPs'!BD16,IF(SETUP!$G$43=3,$E$409*'TB-EQUIPMENT &amp; OTHER HPs'!BE16,IF(SETUP!$G$43=2,$E$409*'TB-EQUIPMENT &amp; OTHER HPs'!BF16,IF(SETUP!$G$43=1,$E$409*'TB-EQUIPMENT &amp; OTHER HPs'!BG16,0)))),0)</f>
        <v>0</v>
      </c>
      <c r="S411" s="920">
        <f>IF(SETUP!$F$43="At delivery",IF(SETUP!$G$43=4,$E$409*('TB-EQUIPMENT &amp; OTHER HPs'!BE16+'TB-EQUIPMENT &amp; OTHER HPs'!BF16+'TB-EQUIPMENT &amp; OTHER HPs'!BG16+'TB-EQUIPMENT &amp; OTHER HPs'!BH16+'TB-EQUIPMENT &amp; OTHER HPs'!BI16),IF(SETUP!$G$43=3,$E$409*('TB-EQUIPMENT &amp; OTHER HPs'!BF16+'TB-EQUIPMENT &amp; OTHER HPs'!BG16+'TB-EQUIPMENT &amp; OTHER HPs'!BH16+'TB-EQUIPMENT &amp; OTHER HPs'!BI16),IF(SETUP!$G$43=2,$E$409*('TB-EQUIPMENT &amp; OTHER HPs'!BG16+'TB-EQUIPMENT &amp; OTHER HPs'!BH16+'TB-EQUIPMENT &amp; OTHER HPs'!BI16),IF(SETUP!$G$43=1,$E$409*('TB-EQUIPMENT &amp; OTHER HPs'!BH16+'TB-EQUIPMENT &amp; OTHER HPs'!BI16),0)))),0)</f>
        <v>0</v>
      </c>
      <c r="T411" s="920">
        <f t="shared" si="60"/>
        <v>0</v>
      </c>
      <c r="U411" s="1016">
        <f t="shared" si="62"/>
        <v>0</v>
      </c>
      <c r="V411" s="1344">
        <v>7.3</v>
      </c>
      <c r="W411" s="2006"/>
      <c r="X411" s="654"/>
      <c r="Y411" s="579"/>
      <c r="Z411" s="579"/>
      <c r="AA411" s="579"/>
      <c r="AB411" s="579"/>
      <c r="AC411" s="579"/>
      <c r="AD411" s="579"/>
      <c r="AE411" s="579"/>
      <c r="AF411" s="674"/>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row>
    <row r="412" spans="1:70" s="571" customFormat="1" ht="13.5" hidden="1" collapsed="1" thickBot="1">
      <c r="A412" s="3186"/>
      <c r="B412" s="3187"/>
      <c r="C412" s="3188" t="s">
        <v>449</v>
      </c>
      <c r="D412" s="3188"/>
      <c r="E412" s="1245">
        <v>0</v>
      </c>
      <c r="F412" s="1016">
        <f>IF(SETUP!$F$44="Upfront",F413,F414)</f>
        <v>0</v>
      </c>
      <c r="G412" s="920">
        <f>IF(SETUP!$F$44="Upfront",G413,G414)</f>
        <v>0</v>
      </c>
      <c r="H412" s="920">
        <f>IF(SETUP!$F$44="Upfront",H413,H414)</f>
        <v>0</v>
      </c>
      <c r="I412" s="920">
        <f>IF(SETUP!$F$44="Upfront",I413,I414)</f>
        <v>0</v>
      </c>
      <c r="J412" s="920">
        <f t="shared" si="61"/>
        <v>0</v>
      </c>
      <c r="K412" s="1016">
        <f>IF(SETUP!$F$44="Upfront",K413,K414)</f>
        <v>0</v>
      </c>
      <c r="L412" s="920">
        <f>IF(SETUP!$F$44="Upfront",L413,L414)</f>
        <v>0</v>
      </c>
      <c r="M412" s="920">
        <f>IF(SETUP!$F$44="Upfront",M413,M414)</f>
        <v>0</v>
      </c>
      <c r="N412" s="920">
        <f>IF(SETUP!$F$44="Upfront",N413,N414)</f>
        <v>0</v>
      </c>
      <c r="O412" s="920">
        <f t="shared" si="59"/>
        <v>0</v>
      </c>
      <c r="P412" s="1016">
        <f>IF(SETUP!$F$44="Upfront",P413,P414)</f>
        <v>0</v>
      </c>
      <c r="Q412" s="920">
        <f>IF(SETUP!$F$44="Upfront",Q413,Q414)</f>
        <v>0</v>
      </c>
      <c r="R412" s="920">
        <f>IF(SETUP!$F$44="Upfront",R413,R414)</f>
        <v>0</v>
      </c>
      <c r="S412" s="920">
        <f>IF(SETUP!$F$44="Upfront",S413,S414)</f>
        <v>0</v>
      </c>
      <c r="T412" s="920">
        <f t="shared" si="60"/>
        <v>0</v>
      </c>
      <c r="U412" s="1016">
        <f t="shared" si="62"/>
        <v>0</v>
      </c>
      <c r="V412" s="1344">
        <v>7.3</v>
      </c>
      <c r="W412" s="2006"/>
      <c r="X412" s="654"/>
      <c r="Y412" s="579"/>
      <c r="Z412" s="579"/>
      <c r="AA412" s="579"/>
      <c r="AB412" s="579"/>
      <c r="AC412" s="579"/>
      <c r="AD412" s="579"/>
      <c r="AE412" s="579"/>
      <c r="AF412" s="674"/>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row>
    <row r="413" spans="1:70" s="571" customFormat="1" ht="12.75" hidden="1" customHeight="1" outlineLevel="1">
      <c r="A413" s="3186"/>
      <c r="B413" s="3187"/>
      <c r="C413" s="3182" t="s">
        <v>777</v>
      </c>
      <c r="D413" s="3182"/>
      <c r="E413" s="1246"/>
      <c r="F413" s="1016">
        <f>IF(SETUP!$F$44="Upfront",$E$412*'TB-EQUIPMENT &amp; OTHER HPs'!AX17,0)</f>
        <v>0</v>
      </c>
      <c r="G413" s="920">
        <f>IF(SETUP!$F$44="Upfront",$E$412*'TB-EQUIPMENT &amp; OTHER HPs'!AY17,0)</f>
        <v>0</v>
      </c>
      <c r="H413" s="920">
        <f>IF(SETUP!$F$44="Upfront",$E$412*'TB-EQUIPMENT &amp; OTHER HPs'!AZ17,0)</f>
        <v>0</v>
      </c>
      <c r="I413" s="920">
        <f>IF(SETUP!$F$44="Upfront",$E$412*'TB-EQUIPMENT &amp; OTHER HPs'!BA17,0)</f>
        <v>0</v>
      </c>
      <c r="J413" s="920">
        <f t="shared" si="61"/>
        <v>0</v>
      </c>
      <c r="K413" s="1016">
        <f>IF(SETUP!$F$44="Upfront",$E$412*'TB-EQUIPMENT &amp; OTHER HPs'!BB17,0)</f>
        <v>0</v>
      </c>
      <c r="L413" s="920">
        <f>IF(SETUP!$F$44="Upfront",$E$412*'TB-EQUIPMENT &amp; OTHER HPs'!BC17,0)</f>
        <v>0</v>
      </c>
      <c r="M413" s="920">
        <f>IF(SETUP!$F$44="Upfront",$E$412*'TB-EQUIPMENT &amp; OTHER HPs'!BD17,0)</f>
        <v>0</v>
      </c>
      <c r="N413" s="920">
        <f>IF(SETUP!$F$44="Upfront",$E$412*'TB-EQUIPMENT &amp; OTHER HPs'!BE17,0)</f>
        <v>0</v>
      </c>
      <c r="O413" s="920">
        <f t="shared" si="59"/>
        <v>0</v>
      </c>
      <c r="P413" s="1016">
        <f>IF(SETUP!$F$44="Upfront",$E$412*'TB-EQUIPMENT &amp; OTHER HPs'!BF17,0)</f>
        <v>0</v>
      </c>
      <c r="Q413" s="920">
        <f>IF(SETUP!$F$44="Upfront",$E$412*'TB-EQUIPMENT &amp; OTHER HPs'!BG17,0)</f>
        <v>0</v>
      </c>
      <c r="R413" s="920">
        <f>IF(SETUP!$F$44="Upfront",$E$412*'TB-EQUIPMENT &amp; OTHER HPs'!BH17,0)</f>
        <v>0</v>
      </c>
      <c r="S413" s="920">
        <f>IF(SETUP!$F$44="Upfront",$E$412*'TB-EQUIPMENT &amp; OTHER HPs'!BI17,0)</f>
        <v>0</v>
      </c>
      <c r="T413" s="920">
        <f t="shared" si="60"/>
        <v>0</v>
      </c>
      <c r="U413" s="1016">
        <f t="shared" si="62"/>
        <v>0</v>
      </c>
      <c r="V413" s="1344">
        <v>7.3</v>
      </c>
      <c r="W413" s="2006"/>
      <c r="X413" s="654"/>
      <c r="Y413" s="579"/>
      <c r="Z413" s="579"/>
      <c r="AA413" s="579"/>
      <c r="AB413" s="579"/>
      <c r="AC413" s="579"/>
      <c r="AD413" s="579"/>
      <c r="AE413" s="579"/>
      <c r="AF413" s="674"/>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row>
    <row r="414" spans="1:70" s="571" customFormat="1" ht="12.75" hidden="1" customHeight="1" outlineLevel="1">
      <c r="A414" s="3186"/>
      <c r="B414" s="3187"/>
      <c r="C414" s="3182" t="s">
        <v>36</v>
      </c>
      <c r="D414" s="3182"/>
      <c r="E414" s="1246"/>
      <c r="F414" s="1016">
        <v>0</v>
      </c>
      <c r="G414" s="920">
        <f>IF(SETUP!$F$44="At delivery",IF(SETUP!$G$44=1,$E$412*'TB-EQUIPMENT &amp; OTHER HPs'!AX17,0),0)</f>
        <v>0</v>
      </c>
      <c r="H414" s="920">
        <f>IF(SETUP!$F$44="At delivery",IF(SETUP!$G$44=2,$E$412*'TB-EQUIPMENT &amp; OTHER HPs'!AX17,IF(SETUP!$G$44=1,$E$412*'TB-EQUIPMENT &amp; OTHER HPs'!AY17,0)),0)</f>
        <v>0</v>
      </c>
      <c r="I414" s="920">
        <f>IF(SETUP!$F$44="At delivery",IF(SETUP!$G$44=3,$E$412*'TB-EQUIPMENT &amp; OTHER HPs'!AX17,IF(SETUP!$G$44=2,$E$412*'TB-EQUIPMENT &amp; OTHER HPs'!AY17,IF(SETUP!$G$44=1,$E$412*'TB-EQUIPMENT &amp; OTHER HPs'!AZ17,0))),0)</f>
        <v>0</v>
      </c>
      <c r="J414" s="920">
        <f t="shared" si="61"/>
        <v>0</v>
      </c>
      <c r="K414" s="1016">
        <f>IF(SETUP!$F$44="At delivery",IF(SETUP!$G$44=4,$E$412*'TB-EQUIPMENT &amp; OTHER HPs'!AX17,IF(SETUP!$G$44=3,$E$412*'TB-EQUIPMENT &amp; OTHER HPs'!AY17,IF(SETUP!$G$44=2,$E$412*'TB-EQUIPMENT &amp; OTHER HPs'!AZ17,IF(SETUP!$G$44=1,$E$412*'TB-EQUIPMENT &amp; OTHER HPs'!BA17,0)))),0)</f>
        <v>0</v>
      </c>
      <c r="L414" s="920">
        <f>IF(SETUP!$F$44="At delivery",IF(SETUP!$G$44=4,$E$412*'TB-EQUIPMENT &amp; OTHER HPs'!AY17,IF(SETUP!$G$44=3,$E$412*'TB-EQUIPMENT &amp; OTHER HPs'!AZ17,IF(SETUP!$G$44=2,$E$412*'TB-EQUIPMENT &amp; OTHER HPs'!BA17,IF(SETUP!$G$44=1,$E$412*'TB-EQUIPMENT &amp; OTHER HPs'!BB17,0)))),0)</f>
        <v>0</v>
      </c>
      <c r="M414" s="920">
        <f>IF(SETUP!$F$44="At delivery",IF(SETUP!$G$44=4,$E$412*'TB-EQUIPMENT &amp; OTHER HPs'!AZ17,IF(SETUP!$G$44=3,$E$412*'TB-EQUIPMENT &amp; OTHER HPs'!BA17,IF(SETUP!$G$44=2,$E$412*'TB-EQUIPMENT &amp; OTHER HPs'!BB17,IF(SETUP!$G$44=1,$E$412*'TB-EQUIPMENT &amp; OTHER HPs'!BC17,0)))),0)</f>
        <v>0</v>
      </c>
      <c r="N414" s="920">
        <f>IF(SETUP!$F$44="At delivery",IF(SETUP!$G$44=4,$E$412*'TB-EQUIPMENT &amp; OTHER HPs'!BA17,IF(SETUP!$G$44=3,$E$412*'TB-EQUIPMENT &amp; OTHER HPs'!BB17,IF(SETUP!$G$44=2,$E$412*'TB-EQUIPMENT &amp; OTHER HPs'!BC17,IF(SETUP!$G$44=1,$E$412*'TB-EQUIPMENT &amp; OTHER HPs'!BD17,0)))),0)</f>
        <v>0</v>
      </c>
      <c r="O414" s="920">
        <f t="shared" si="59"/>
        <v>0</v>
      </c>
      <c r="P414" s="1016">
        <f>IF(SETUP!$F$44="At delivery",IF(SETUP!$G$44=4,$E$412*'TB-EQUIPMENT &amp; OTHER HPs'!BB17,IF(SETUP!$G$44=3,$E$412*'TB-EQUIPMENT &amp; OTHER HPs'!BC17,IF(SETUP!$G$44=2,$E$412*'TB-EQUIPMENT &amp; OTHER HPs'!BD17,IF(SETUP!$G$44=1,$E$412*'TB-EQUIPMENT &amp; OTHER HPs'!BE17,0)))),0)</f>
        <v>0</v>
      </c>
      <c r="Q414" s="920">
        <f>IF(SETUP!$F$44="At delivery",IF(SETUP!$G$44=4,$E$412*'TB-EQUIPMENT &amp; OTHER HPs'!BC17,IF(SETUP!$G$44=3,$E$412*'TB-EQUIPMENT &amp; OTHER HPs'!BD17,IF(SETUP!$G$44=2,$E$412*'TB-EQUIPMENT &amp; OTHER HPs'!BE17,IF(SETUP!$G$44=1,$E$412*'TB-EQUIPMENT &amp; OTHER HPs'!BF17,0)))),0)</f>
        <v>0</v>
      </c>
      <c r="R414" s="920">
        <f>IF(SETUP!$F$44="At delivery",IF(SETUP!$G$44=4,$E$412*'TB-EQUIPMENT &amp; OTHER HPs'!BD17,IF(SETUP!$G$44=3,$E$412*'TB-EQUIPMENT &amp; OTHER HPs'!BE17,IF(SETUP!$G$44=2,$E$412*'TB-EQUIPMENT &amp; OTHER HPs'!BF17,IF(SETUP!$G$44=1,$E$412*'TB-EQUIPMENT &amp; OTHER HPs'!BG17,0)))),0)</f>
        <v>0</v>
      </c>
      <c r="S414" s="920">
        <f>IF(SETUP!$F$44="At delivery",IF(SETUP!$G$44=4,$E$412*('TB-EQUIPMENT &amp; OTHER HPs'!BE17+'TB-EQUIPMENT &amp; OTHER HPs'!BF17+'TB-EQUIPMENT &amp; OTHER HPs'!BG17+'TB-EQUIPMENT &amp; OTHER HPs'!BH17+'TB-EQUIPMENT &amp; OTHER HPs'!BI17),IF(SETUP!$G$44=3,$E$412*('TB-EQUIPMENT &amp; OTHER HPs'!BF17+'TB-EQUIPMENT &amp; OTHER HPs'!BG17+'TB-EQUIPMENT &amp; OTHER HPs'!BH17+'TB-EQUIPMENT &amp; OTHER HPs'!BI17),IF(SETUP!$G$44=2,$E$412*('TB-EQUIPMENT &amp; OTHER HPs'!BG17+'TB-EQUIPMENT &amp; OTHER HPs'!BH17+'TB-EQUIPMENT &amp; OTHER HPs'!BI17),IF(SETUP!$G$44=1,$E$412*('TB-EQUIPMENT &amp; OTHER HPs'!BH17+'TB-EQUIPMENT &amp; OTHER HPs'!BI17),0)))),0)</f>
        <v>0</v>
      </c>
      <c r="T414" s="920">
        <f t="shared" si="60"/>
        <v>0</v>
      </c>
      <c r="U414" s="1016">
        <f t="shared" si="62"/>
        <v>0</v>
      </c>
      <c r="V414" s="1344">
        <v>7.3</v>
      </c>
      <c r="W414" s="2006"/>
      <c r="X414" s="654"/>
      <c r="Y414" s="579"/>
      <c r="Z414" s="579"/>
      <c r="AA414" s="579"/>
      <c r="AB414" s="579"/>
      <c r="AC414" s="579"/>
      <c r="AD414" s="579"/>
      <c r="AE414" s="579"/>
      <c r="AF414" s="674"/>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row>
    <row r="415" spans="1:70" s="571" customFormat="1" ht="13.5" hidden="1" collapsed="1" thickBot="1">
      <c r="A415" s="3189" t="s">
        <v>450</v>
      </c>
      <c r="B415" s="3190"/>
      <c r="C415" s="3183" t="s">
        <v>451</v>
      </c>
      <c r="D415" s="3183"/>
      <c r="E415" s="1245">
        <v>0</v>
      </c>
      <c r="F415" s="1016">
        <f>IF(SETUP!$F$50="Upfront",F416,F417)</f>
        <v>0</v>
      </c>
      <c r="G415" s="920">
        <f>IF(SETUP!$F$50="Upfront",G416,G417)</f>
        <v>0</v>
      </c>
      <c r="H415" s="920">
        <f>IF(SETUP!$F$50="Upfront",H416,H417)</f>
        <v>0</v>
      </c>
      <c r="I415" s="920">
        <f>IF(SETUP!$F$50="Upfront",I416,I417)</f>
        <v>0</v>
      </c>
      <c r="J415" s="920">
        <f t="shared" si="61"/>
        <v>0</v>
      </c>
      <c r="K415" s="1016">
        <f>IF(SETUP!$F$50="Upfront",K416,K417)</f>
        <v>0</v>
      </c>
      <c r="L415" s="920">
        <f>IF(SETUP!$F$50="Upfront",L416,L417)</f>
        <v>0</v>
      </c>
      <c r="M415" s="920">
        <f>IF(SETUP!$F$50="Upfront",M416,M417)</f>
        <v>0</v>
      </c>
      <c r="N415" s="920">
        <f>IF(SETUP!$F$50="Upfront",N416,N417)</f>
        <v>0</v>
      </c>
      <c r="O415" s="920">
        <f t="shared" si="59"/>
        <v>0</v>
      </c>
      <c r="P415" s="1016">
        <f>IF(SETUP!$F$50="Upfront",P416,P417)</f>
        <v>0</v>
      </c>
      <c r="Q415" s="920">
        <f>IF(SETUP!$F$50="Upfront",Q416,Q417)</f>
        <v>0</v>
      </c>
      <c r="R415" s="920">
        <f>IF(SETUP!$F$50="Upfront",R416,R417)</f>
        <v>0</v>
      </c>
      <c r="S415" s="920">
        <f>IF(SETUP!$F$50="Upfront",S416,S417)</f>
        <v>0</v>
      </c>
      <c r="T415" s="920">
        <f t="shared" si="60"/>
        <v>0</v>
      </c>
      <c r="U415" s="1016">
        <f t="shared" si="62"/>
        <v>0</v>
      </c>
      <c r="V415" s="1344">
        <v>7.3</v>
      </c>
      <c r="W415" s="2006"/>
      <c r="X415" s="654"/>
      <c r="Y415" s="579"/>
      <c r="Z415" s="579"/>
      <c r="AA415" s="579"/>
      <c r="AB415" s="579"/>
      <c r="AC415" s="579"/>
      <c r="AD415" s="579"/>
      <c r="AE415" s="579"/>
      <c r="AF415" s="674"/>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row>
    <row r="416" spans="1:70" s="571" customFormat="1" ht="12.75" hidden="1" customHeight="1" outlineLevel="1">
      <c r="A416" s="3189"/>
      <c r="B416" s="3190"/>
      <c r="C416" s="3182" t="s">
        <v>777</v>
      </c>
      <c r="D416" s="3182"/>
      <c r="E416" s="1579"/>
      <c r="F416" s="1016">
        <f>IF(SETUP!$F$50="Upfront",$E$415*'Malaria-Pharmaceuticals'!AX14,0)</f>
        <v>0</v>
      </c>
      <c r="G416" s="920">
        <f>IF(SETUP!$F$50="Upfront",$E$415*'Malaria-Pharmaceuticals'!AY14,0)</f>
        <v>0</v>
      </c>
      <c r="H416" s="920">
        <f>IF(SETUP!$F$50="Upfront",$E$415*'Malaria-Pharmaceuticals'!AZ14,0)</f>
        <v>0</v>
      </c>
      <c r="I416" s="920">
        <f>IF(SETUP!$F$50="Upfront",$E$415*'Malaria-Pharmaceuticals'!BA14,0)</f>
        <v>0</v>
      </c>
      <c r="J416" s="920">
        <f t="shared" si="61"/>
        <v>0</v>
      </c>
      <c r="K416" s="1016">
        <f>IF(SETUP!$F$50="Upfront",$E$415*'Malaria-Pharmaceuticals'!BB14,0)</f>
        <v>0</v>
      </c>
      <c r="L416" s="920">
        <f>IF(SETUP!$F$50="Upfront",$E$415*'Malaria-Pharmaceuticals'!BC14,0)</f>
        <v>0</v>
      </c>
      <c r="M416" s="920">
        <f>IF(SETUP!$F$50="Upfront",$E$415*'Malaria-Pharmaceuticals'!BD14,0)</f>
        <v>0</v>
      </c>
      <c r="N416" s="920">
        <f>IF(SETUP!$F$50="Upfront",$E$415*'Malaria-Pharmaceuticals'!BE14,0)</f>
        <v>0</v>
      </c>
      <c r="O416" s="920">
        <f t="shared" si="59"/>
        <v>0</v>
      </c>
      <c r="P416" s="1016">
        <f>IF(SETUP!$F$50="Upfront",$E$415*'Malaria-Pharmaceuticals'!BF14,0)</f>
        <v>0</v>
      </c>
      <c r="Q416" s="920">
        <f>IF(SETUP!$F$50="Upfront",$E$415*'Malaria-Pharmaceuticals'!BG14,0)</f>
        <v>0</v>
      </c>
      <c r="R416" s="920">
        <f>IF(SETUP!$F$50="Upfront",$E$415*'Malaria-Pharmaceuticals'!BH14,0)</f>
        <v>0</v>
      </c>
      <c r="S416" s="920">
        <f>IF(SETUP!$F$50="Upfront",$E$415*'Malaria-Pharmaceuticals'!BI14,0)</f>
        <v>0</v>
      </c>
      <c r="T416" s="920">
        <f t="shared" si="60"/>
        <v>0</v>
      </c>
      <c r="U416" s="1016">
        <f t="shared" si="62"/>
        <v>0</v>
      </c>
      <c r="V416" s="1344">
        <v>7.3</v>
      </c>
      <c r="W416" s="2006"/>
      <c r="X416" s="654"/>
      <c r="Y416" s="579"/>
      <c r="Z416" s="579"/>
      <c r="AA416" s="579"/>
      <c r="AB416" s="579"/>
      <c r="AC416" s="579"/>
      <c r="AD416" s="579"/>
      <c r="AE416" s="579"/>
      <c r="AF416" s="674"/>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row>
    <row r="417" spans="1:70" s="571" customFormat="1" ht="13.5" hidden="1" customHeight="1" outlineLevel="1">
      <c r="A417" s="3189"/>
      <c r="B417" s="3190"/>
      <c r="C417" s="3182" t="s">
        <v>36</v>
      </c>
      <c r="D417" s="3182"/>
      <c r="E417" s="1579"/>
      <c r="F417" s="1016">
        <v>0</v>
      </c>
      <c r="G417" s="920">
        <f>IF(SETUP!$F$50="At delivery",IF(SETUP!$G$50=1,$E$415*'Malaria-Pharmaceuticals'!AX14,0),0)</f>
        <v>0</v>
      </c>
      <c r="H417" s="920">
        <f>IF(SETUP!$F$50="At delivery",IF(SETUP!$G$50=2,$E$415*'Malaria-Pharmaceuticals'!AX14,IF(SETUP!$G$50=1,$E$415*'Malaria-Pharmaceuticals'!AY14,0)),0)</f>
        <v>0</v>
      </c>
      <c r="I417" s="920">
        <f>IF(SETUP!$F$50="At delivery",IF(SETUP!$G$50=3,$E$415*'Malaria-Pharmaceuticals'!AX14,IF(SETUP!$G$50=2,$E$415*'Malaria-Pharmaceuticals'!AY14,IF(SETUP!$G$50=1,$E$415*'Malaria-Pharmaceuticals'!AZ14,0))),0)</f>
        <v>0</v>
      </c>
      <c r="J417" s="920">
        <f t="shared" ref="J417:J439" si="63">F417+G417+H417+I417</f>
        <v>0</v>
      </c>
      <c r="K417" s="1016">
        <f>IF(SETUP!$F$50="At delivery",IF(SETUP!$G$50=4,$E$415*'Malaria-Pharmaceuticals'!AX14,IF(SETUP!$G$50=3,$E$415*'Malaria-Pharmaceuticals'!AY14,IF(SETUP!$G$50=2,$E$415*'Malaria-Pharmaceuticals'!AZ14,IF(SETUP!$G$50=1,$E$415*'Malaria-Pharmaceuticals'!BA14,0)))),0)</f>
        <v>0</v>
      </c>
      <c r="L417" s="920">
        <f>IF(SETUP!$F$50="At delivery",IF(SETUP!$G$50=4,$E$415*'Malaria-Pharmaceuticals'!AY14,IF(SETUP!$G$50=3,$E$415*'Malaria-Pharmaceuticals'!AZ14,IF(SETUP!$G$50=2,$E$415*'Malaria-Pharmaceuticals'!BA14,IF(SETUP!$G$50=1,$E$415*'Malaria-Pharmaceuticals'!BB14,0)))),0)</f>
        <v>0</v>
      </c>
      <c r="M417" s="920">
        <f>IF(SETUP!$F$50="At delivery",IF(SETUP!$G$50=4,$E$415*'Malaria-Pharmaceuticals'!AZ14,IF(SETUP!$G$50=3,$E$415*'Malaria-Pharmaceuticals'!BA14,IF(SETUP!$G$50=2,$E$415*'Malaria-Pharmaceuticals'!BB14,IF(SETUP!$G$50=1,$E$415*'Malaria-Pharmaceuticals'!BC14,0)))),0)</f>
        <v>0</v>
      </c>
      <c r="N417" s="920">
        <f>IF(SETUP!$F$50="At delivery",IF(SETUP!$G$50=4,$E$415*'Malaria-Pharmaceuticals'!BA14,IF(SETUP!$G$50=3,$E$415*'Malaria-Pharmaceuticals'!BB14,IF(SETUP!$G$50=2,$E$415*'Malaria-Pharmaceuticals'!BC14,IF(SETUP!$G$50=1,$E$415*'Malaria-Pharmaceuticals'!BD14,0)))),0)</f>
        <v>0</v>
      </c>
      <c r="O417" s="920">
        <f t="shared" ref="O417:O439" si="64">K417+L417+M417+N417</f>
        <v>0</v>
      </c>
      <c r="P417" s="1016">
        <f>IF(SETUP!$F$50="At delivery",IF(SETUP!$G$50=4,$E$415*'Malaria-Pharmaceuticals'!BB14,IF(SETUP!$G$50=3,$E$415*'Malaria-Pharmaceuticals'!BC14,IF(SETUP!$G$50=2,$E$415*'Malaria-Pharmaceuticals'!BD14,IF(SETUP!$G$50=1,$E$415*'Malaria-Pharmaceuticals'!BE14,0)))),0)</f>
        <v>0</v>
      </c>
      <c r="Q417" s="920">
        <f>IF(SETUP!$F$50="At delivery",IF(SETUP!$G$50=4,$E$415*'Malaria-Pharmaceuticals'!BC14,IF(SETUP!$G$50=3,$E$415*'Malaria-Pharmaceuticals'!BD14,IF(SETUP!$G$50=2,$E$415*'Malaria-Pharmaceuticals'!BE14,IF(SETUP!$G$50=1,$E$415*'Malaria-Pharmaceuticals'!BF14,0)))),0)</f>
        <v>0</v>
      </c>
      <c r="R417" s="920">
        <f>IF(SETUP!$F$50="At delivery",IF(SETUP!$G$50=4,$E$415*'Malaria-Pharmaceuticals'!BD14,IF(SETUP!$G$50=3,$E$415*'Malaria-Pharmaceuticals'!BE14,IF(SETUP!$G$50=2,$E$415*'Malaria-Pharmaceuticals'!BF14,IF(SETUP!$G$50=1,$E$415*'Malaria-Pharmaceuticals'!BG14,0)))),0)</f>
        <v>0</v>
      </c>
      <c r="S417" s="920">
        <f>IF(SETUP!$F$50="At delivery",IF(SETUP!$G$50=4,$E$415*('Malaria-Pharmaceuticals'!BE14+'Malaria-Pharmaceuticals'!BF14+'Malaria-Pharmaceuticals'!BG14+'Malaria-Pharmaceuticals'!BH14+'Malaria-Pharmaceuticals'!BI14),IF(SETUP!$G$50=3,$E$415*('Malaria-Pharmaceuticals'!BF14+'Malaria-Pharmaceuticals'!BG14+'Malaria-Pharmaceuticals'!BH14+'Malaria-Pharmaceuticals'!BI14),IF(SETUP!$G$50=2,$E$415*('Malaria-Pharmaceuticals'!BG14+'Malaria-Pharmaceuticals'!BH14+'Malaria-Pharmaceuticals'!BI14),IF(SETUP!$G$50=1,$E$415*('Malaria-Pharmaceuticals'!BH14+'Malaria-Pharmaceuticals'!BI14),0)))),0)</f>
        <v>0</v>
      </c>
      <c r="T417" s="920">
        <f t="shared" ref="T417:T439" si="65">P417+Q417+R417+S417</f>
        <v>0</v>
      </c>
      <c r="U417" s="1016">
        <f t="shared" ref="U417:U439" si="66">J417+O417+T417</f>
        <v>0</v>
      </c>
      <c r="V417" s="1344">
        <v>7.3</v>
      </c>
      <c r="W417" s="2006"/>
      <c r="X417" s="654"/>
      <c r="Y417" s="579"/>
      <c r="Z417" s="579"/>
      <c r="AA417" s="579"/>
      <c r="AB417" s="579"/>
      <c r="AC417" s="579"/>
      <c r="AD417" s="579"/>
      <c r="AE417" s="579"/>
      <c r="AF417" s="674"/>
      <c r="AG417" s="579"/>
      <c r="AH417" s="579"/>
      <c r="AI417" s="579"/>
      <c r="AJ417" s="579"/>
      <c r="AK417" s="579"/>
      <c r="AL417" s="579"/>
      <c r="AM417" s="579"/>
      <c r="AN417" s="579"/>
      <c r="AO417" s="579"/>
      <c r="AP417" s="579"/>
      <c r="AQ417" s="579"/>
      <c r="AR417" s="579"/>
      <c r="AS417" s="579"/>
      <c r="AT417" s="579"/>
      <c r="AU417" s="579"/>
      <c r="AV417" s="579"/>
      <c r="AW417" s="579"/>
      <c r="AX417" s="579"/>
      <c r="AY417" s="579"/>
      <c r="AZ417" s="579"/>
      <c r="BA417" s="579"/>
      <c r="BB417" s="579"/>
      <c r="BC417" s="579"/>
      <c r="BD417" s="579"/>
      <c r="BE417" s="579"/>
      <c r="BF417" s="579"/>
      <c r="BG417" s="579"/>
      <c r="BH417" s="579"/>
      <c r="BI417" s="579"/>
      <c r="BJ417" s="579"/>
      <c r="BK417" s="579"/>
      <c r="BL417" s="579"/>
      <c r="BM417" s="579"/>
      <c r="BN417" s="579"/>
      <c r="BO417" s="579"/>
      <c r="BP417" s="579"/>
      <c r="BQ417" s="579"/>
      <c r="BR417" s="579"/>
    </row>
    <row r="418" spans="1:70" s="571" customFormat="1" ht="13.5" hidden="1" collapsed="1" thickBot="1">
      <c r="A418" s="3189"/>
      <c r="B418" s="3190"/>
      <c r="C418" s="3183" t="s">
        <v>453</v>
      </c>
      <c r="D418" s="3183"/>
      <c r="E418" s="1245">
        <v>0</v>
      </c>
      <c r="F418" s="1016">
        <f>IF(SETUP!$F$51="Upfront",F419,F420)</f>
        <v>0</v>
      </c>
      <c r="G418" s="920">
        <f>IF(SETUP!$F$51="Upfront",G419,G420)</f>
        <v>0</v>
      </c>
      <c r="H418" s="920">
        <f>IF(SETUP!$F$51="Upfront",H419,H420)</f>
        <v>0</v>
      </c>
      <c r="I418" s="920">
        <f>IF(SETUP!$F$51="Upfront",I419,I420)</f>
        <v>0</v>
      </c>
      <c r="J418" s="920">
        <f t="shared" si="63"/>
        <v>0</v>
      </c>
      <c r="K418" s="1016">
        <f>IF(SETUP!$F$51="Upfront",K419,K420)</f>
        <v>0</v>
      </c>
      <c r="L418" s="920">
        <f>IF(SETUP!$F$51="Upfront",L419,L420)</f>
        <v>0</v>
      </c>
      <c r="M418" s="920">
        <f>IF(SETUP!$F$51="Upfront",M419,M420)</f>
        <v>0</v>
      </c>
      <c r="N418" s="920">
        <f>IF(SETUP!$F$51="Upfront",N419,N420)</f>
        <v>0</v>
      </c>
      <c r="O418" s="920">
        <f t="shared" si="64"/>
        <v>0</v>
      </c>
      <c r="P418" s="1016">
        <f>IF(SETUP!$F$51="Upfront",P419,P420)</f>
        <v>0</v>
      </c>
      <c r="Q418" s="920">
        <f>IF(SETUP!$F$51="Upfront",Q419,Q420)</f>
        <v>0</v>
      </c>
      <c r="R418" s="920">
        <f>IF(SETUP!$F$51="Upfront",R419,R420)</f>
        <v>0</v>
      </c>
      <c r="S418" s="920">
        <f>IF(SETUP!$F$51="Upfront",S419,S420)</f>
        <v>0</v>
      </c>
      <c r="T418" s="920">
        <f t="shared" si="65"/>
        <v>0</v>
      </c>
      <c r="U418" s="1016">
        <f t="shared" si="66"/>
        <v>0</v>
      </c>
      <c r="V418" s="1344">
        <v>7.3</v>
      </c>
      <c r="W418" s="2006"/>
      <c r="X418" s="654"/>
      <c r="Y418" s="579"/>
      <c r="Z418" s="579"/>
      <c r="AA418" s="579"/>
      <c r="AB418" s="579"/>
      <c r="AC418" s="579"/>
      <c r="AD418" s="579"/>
      <c r="AE418" s="579"/>
      <c r="AF418" s="674"/>
      <c r="AG418" s="579"/>
      <c r="AH418" s="579"/>
      <c r="AI418" s="579"/>
      <c r="AJ418" s="579"/>
      <c r="AK418" s="579"/>
      <c r="AL418" s="579"/>
      <c r="AM418" s="579"/>
      <c r="AN418" s="579"/>
      <c r="AO418" s="579"/>
      <c r="AP418" s="579"/>
      <c r="AQ418" s="579"/>
      <c r="AR418" s="579"/>
      <c r="AS418" s="579"/>
      <c r="AT418" s="579"/>
      <c r="AU418" s="579"/>
      <c r="AV418" s="579"/>
      <c r="AW418" s="579"/>
      <c r="AX418" s="579"/>
      <c r="AY418" s="579"/>
      <c r="AZ418" s="579"/>
      <c r="BA418" s="579"/>
      <c r="BB418" s="579"/>
      <c r="BC418" s="579"/>
      <c r="BD418" s="579"/>
      <c r="BE418" s="579"/>
      <c r="BF418" s="579"/>
      <c r="BG418" s="579"/>
      <c r="BH418" s="579"/>
      <c r="BI418" s="579"/>
      <c r="BJ418" s="579"/>
      <c r="BK418" s="579"/>
      <c r="BL418" s="579"/>
      <c r="BM418" s="579"/>
      <c r="BN418" s="579"/>
      <c r="BO418" s="579"/>
      <c r="BP418" s="579"/>
      <c r="BQ418" s="579"/>
      <c r="BR418" s="579"/>
    </row>
    <row r="419" spans="1:70" s="571" customFormat="1" ht="12.75" hidden="1" customHeight="1" outlineLevel="1">
      <c r="A419" s="3189"/>
      <c r="B419" s="3190"/>
      <c r="C419" s="3182" t="s">
        <v>777</v>
      </c>
      <c r="D419" s="3182"/>
      <c r="E419" s="1579"/>
      <c r="F419" s="1016">
        <f>IF(SETUP!$F$51="Upfront",$E$418*'Malaria-Pharmaceuticals'!AX15,0)</f>
        <v>0</v>
      </c>
      <c r="G419" s="920">
        <f>IF(SETUP!$F$51="Upfront",$E$418*'Malaria-Pharmaceuticals'!AY15,0)</f>
        <v>0</v>
      </c>
      <c r="H419" s="920">
        <f>IF(SETUP!$F$51="Upfront",$E$418*'Malaria-Pharmaceuticals'!AZ15,0)</f>
        <v>0</v>
      </c>
      <c r="I419" s="920">
        <f>IF(SETUP!$F$51="Upfront",$E$418*'Malaria-Pharmaceuticals'!BA15,0)</f>
        <v>0</v>
      </c>
      <c r="J419" s="920">
        <f t="shared" si="63"/>
        <v>0</v>
      </c>
      <c r="K419" s="1016">
        <f>IF(SETUP!$F$51="Upfront",$E$418*'Malaria-Pharmaceuticals'!BB15,0)</f>
        <v>0</v>
      </c>
      <c r="L419" s="920">
        <f>IF(SETUP!$F$51="Upfront",$E$418*'Malaria-Pharmaceuticals'!BC15,0)</f>
        <v>0</v>
      </c>
      <c r="M419" s="920">
        <f>IF(SETUP!$F$51="Upfront",$E$418*'Malaria-Pharmaceuticals'!BD15,0)</f>
        <v>0</v>
      </c>
      <c r="N419" s="920">
        <f>IF(SETUP!$F$51="Upfront",$E$418*'Malaria-Pharmaceuticals'!BE15,0)</f>
        <v>0</v>
      </c>
      <c r="O419" s="920">
        <f t="shared" si="64"/>
        <v>0</v>
      </c>
      <c r="P419" s="1016">
        <f>IF(SETUP!$F$51="Upfront",$E$418*'Malaria-Pharmaceuticals'!BF15,0)</f>
        <v>0</v>
      </c>
      <c r="Q419" s="920">
        <f>IF(SETUP!$F$51="Upfront",$E$418*'Malaria-Pharmaceuticals'!BG15,0)</f>
        <v>0</v>
      </c>
      <c r="R419" s="920">
        <f>IF(SETUP!$F$51="Upfront",$E$418*'Malaria-Pharmaceuticals'!BH15,0)</f>
        <v>0</v>
      </c>
      <c r="S419" s="920">
        <f>IF(SETUP!$F$51="Upfront",$E$418*'Malaria-Pharmaceuticals'!BI15,0)</f>
        <v>0</v>
      </c>
      <c r="T419" s="920">
        <f t="shared" si="65"/>
        <v>0</v>
      </c>
      <c r="U419" s="1016">
        <f t="shared" si="66"/>
        <v>0</v>
      </c>
      <c r="V419" s="1344">
        <v>7.3</v>
      </c>
      <c r="W419" s="2006"/>
      <c r="X419" s="654"/>
      <c r="Y419" s="579"/>
      <c r="Z419" s="579"/>
      <c r="AA419" s="579"/>
      <c r="AB419" s="579"/>
      <c r="AC419" s="579"/>
      <c r="AD419" s="579"/>
      <c r="AE419" s="579"/>
      <c r="AF419" s="674"/>
      <c r="AG419" s="579"/>
      <c r="AH419" s="579"/>
      <c r="AI419" s="579"/>
      <c r="AJ419" s="579"/>
      <c r="AK419" s="579"/>
      <c r="AL419" s="579"/>
      <c r="AM419" s="579"/>
      <c r="AN419" s="579"/>
      <c r="AO419" s="579"/>
      <c r="AP419" s="579"/>
      <c r="AQ419" s="579"/>
      <c r="AR419" s="579"/>
      <c r="AS419" s="579"/>
      <c r="AT419" s="579"/>
      <c r="AU419" s="579"/>
      <c r="AV419" s="579"/>
      <c r="AW419" s="579"/>
      <c r="AX419" s="579"/>
      <c r="AY419" s="579"/>
      <c r="AZ419" s="579"/>
      <c r="BA419" s="579"/>
      <c r="BB419" s="579"/>
      <c r="BC419" s="579"/>
      <c r="BD419" s="579"/>
      <c r="BE419" s="579"/>
      <c r="BF419" s="579"/>
      <c r="BG419" s="579"/>
      <c r="BH419" s="579"/>
      <c r="BI419" s="579"/>
      <c r="BJ419" s="579"/>
      <c r="BK419" s="579"/>
      <c r="BL419" s="579"/>
      <c r="BM419" s="579"/>
      <c r="BN419" s="579"/>
      <c r="BO419" s="579"/>
      <c r="BP419" s="579"/>
      <c r="BQ419" s="579"/>
      <c r="BR419" s="579"/>
    </row>
    <row r="420" spans="1:70" s="571" customFormat="1" ht="13.5" hidden="1" customHeight="1" outlineLevel="1" thickBot="1">
      <c r="A420" s="3189"/>
      <c r="B420" s="3190"/>
      <c r="C420" s="3182" t="s">
        <v>36</v>
      </c>
      <c r="D420" s="3182"/>
      <c r="E420" s="1580"/>
      <c r="F420" s="1016">
        <v>0</v>
      </c>
      <c r="G420" s="920">
        <f>IF(SETUP!$F$51="At delivery",IF(SETUP!$G$51=1,$E$418*'Malaria-Pharmaceuticals'!AX15,0),0)</f>
        <v>0</v>
      </c>
      <c r="H420" s="920">
        <f>IF(SETUP!$F$51="At delivery",IF(SETUP!$G$51=2,$E$418*'Malaria-Pharmaceuticals'!AX15,IF(SETUP!$G$51=1,$E$418*'Malaria-Pharmaceuticals'!AY15,0)),0)</f>
        <v>0</v>
      </c>
      <c r="I420" s="920">
        <f>IF(SETUP!$F$51="At delivery",IF(SETUP!$G$51=3,$E$418*'Malaria-Pharmaceuticals'!AX15,IF(SETUP!$G$51=2,$E$418*'Malaria-Pharmaceuticals'!AY15,IF(SETUP!$G$51=1,$E$418*'Malaria-Pharmaceuticals'!AZ15,0))),0)</f>
        <v>0</v>
      </c>
      <c r="J420" s="920">
        <f t="shared" si="63"/>
        <v>0</v>
      </c>
      <c r="K420" s="1016">
        <f>IF(SETUP!$F$51="At delivery",IF(SETUP!$G$51=4,$E$418*'Malaria-Pharmaceuticals'!AX15,IF(SETUP!$G$51=3,$E$418*'Malaria-Pharmaceuticals'!AY15,IF(SETUP!$G$51=2,$E$418*'Malaria-Pharmaceuticals'!AZ15,IF(SETUP!$G$51=1,$E$418*'Malaria-Pharmaceuticals'!BA15,0)))),0)</f>
        <v>0</v>
      </c>
      <c r="L420" s="920">
        <f>IF(SETUP!$F$51="At delivery",IF(SETUP!$G$51=4,$E$418*'Malaria-Pharmaceuticals'!AY15,IF(SETUP!$G$51=3,$E$418*'Malaria-Pharmaceuticals'!AZ15,IF(SETUP!$G$51=2,$E$418*'Malaria-Pharmaceuticals'!BA15,IF(SETUP!$G$51=1,$E$418*'Malaria-Pharmaceuticals'!BB15,0)))),0)</f>
        <v>0</v>
      </c>
      <c r="M420" s="920">
        <f>IF(SETUP!$F$51="At delivery",IF(SETUP!$G$51=4,$E$418*'Malaria-Pharmaceuticals'!AZ15,IF(SETUP!$G$51=3,$E$418*'Malaria-Pharmaceuticals'!BA15,IF(SETUP!$G$51=2,$E$418*'Malaria-Pharmaceuticals'!BB15,IF(SETUP!$G$51=1,$E$418*'Malaria-Pharmaceuticals'!BC15,0)))),0)</f>
        <v>0</v>
      </c>
      <c r="N420" s="920">
        <f>IF(SETUP!$F$51="At delivery",IF(SETUP!$G$51=4,$E$418*'Malaria-Pharmaceuticals'!BA15,IF(SETUP!$G$51=3,$E$418*'Malaria-Pharmaceuticals'!BB15,IF(SETUP!$G$51=2,$E$418*'Malaria-Pharmaceuticals'!BC15,IF(SETUP!$G$51=1,$E$418*'Malaria-Pharmaceuticals'!BD15,0)))),0)</f>
        <v>0</v>
      </c>
      <c r="O420" s="920">
        <f t="shared" si="64"/>
        <v>0</v>
      </c>
      <c r="P420" s="1016">
        <f>IF(SETUP!$F$51="At delivery",IF(SETUP!$G$51=4,$E$418*'Malaria-Pharmaceuticals'!BB15,IF(SETUP!$G$51=3,$E$418*'Malaria-Pharmaceuticals'!BC15,IF(SETUP!$G$51=2,$E$418*'Malaria-Pharmaceuticals'!BD15,IF(SETUP!$G$51=1,$E$418*'Malaria-Pharmaceuticals'!BE15,0)))),0)</f>
        <v>0</v>
      </c>
      <c r="Q420" s="920">
        <f>IF(SETUP!$F$51="At delivery",IF(SETUP!$G$51=4,$E$418*'Malaria-Pharmaceuticals'!BC15,IF(SETUP!$G$51=3,$E$418*'Malaria-Pharmaceuticals'!BD15,IF(SETUP!$G$51=2,$E$418*'Malaria-Pharmaceuticals'!BE15,IF(SETUP!$G$51=1,$E$418*'Malaria-Pharmaceuticals'!BF15,0)))),0)</f>
        <v>0</v>
      </c>
      <c r="R420" s="920">
        <f>IF(SETUP!$F$51="At delivery",IF(SETUP!$G$51=4,$E$418*'Malaria-Pharmaceuticals'!BD15,IF(SETUP!$G$51=3,$E$418*'Malaria-Pharmaceuticals'!BE15,IF(SETUP!$G$51=2,$E$418*'Malaria-Pharmaceuticals'!BF15,IF(SETUP!$G$51=1,$E$418*'Malaria-Pharmaceuticals'!BG15,0)))),0)</f>
        <v>0</v>
      </c>
      <c r="S420" s="920">
        <f>IF(SETUP!$F$51="At delivery",IF(SETUP!$G$51=4,$E$418*('Malaria-Pharmaceuticals'!BE15+'Malaria-Pharmaceuticals'!BF15+'Malaria-Pharmaceuticals'!BG15+'Malaria-Pharmaceuticals'!BH15+'Malaria-Pharmaceuticals'!BI15),IF(SETUP!$G$51=3,$E$418*('Malaria-Pharmaceuticals'!BF15+'Malaria-Pharmaceuticals'!BG15+'Malaria-Pharmaceuticals'!BH15+'Malaria-Pharmaceuticals'!BI15),IF(SETUP!$G$51=2,$E$418*('Malaria-Pharmaceuticals'!BG15+'Malaria-Pharmaceuticals'!BH15+'Malaria-Pharmaceuticals'!BI15),IF(SETUP!$G$51=1,$E$418*('Malaria-Pharmaceuticals'!BH15+'Malaria-Pharmaceuticals'!BI15),0)))),0)</f>
        <v>0</v>
      </c>
      <c r="T420" s="920">
        <f t="shared" si="65"/>
        <v>0</v>
      </c>
      <c r="U420" s="1016">
        <f t="shared" si="66"/>
        <v>0</v>
      </c>
      <c r="V420" s="1344">
        <v>7.3</v>
      </c>
      <c r="W420" s="2006"/>
      <c r="X420" s="654"/>
      <c r="Y420" s="579"/>
      <c r="Z420" s="579"/>
      <c r="AA420" s="579"/>
      <c r="AB420" s="579"/>
      <c r="AC420" s="579"/>
      <c r="AD420" s="579"/>
      <c r="AE420" s="579"/>
      <c r="AF420" s="674"/>
      <c r="AG420" s="579"/>
      <c r="AH420" s="579"/>
      <c r="AI420" s="579"/>
      <c r="AJ420" s="579"/>
      <c r="AK420" s="579"/>
      <c r="AL420" s="579"/>
      <c r="AM420" s="579"/>
      <c r="AN420" s="579"/>
      <c r="AO420" s="579"/>
      <c r="AP420" s="579"/>
      <c r="AQ420" s="579"/>
      <c r="AR420" s="579"/>
      <c r="AS420" s="579"/>
      <c r="AT420" s="579"/>
      <c r="AU420" s="579"/>
      <c r="AV420" s="579"/>
      <c r="AW420" s="579"/>
      <c r="AX420" s="579"/>
      <c r="AY420" s="579"/>
      <c r="AZ420" s="579"/>
      <c r="BA420" s="579"/>
      <c r="BB420" s="579"/>
      <c r="BC420" s="579"/>
      <c r="BD420" s="579"/>
      <c r="BE420" s="579"/>
      <c r="BF420" s="579"/>
      <c r="BG420" s="579"/>
      <c r="BH420" s="579"/>
      <c r="BI420" s="579"/>
      <c r="BJ420" s="579"/>
      <c r="BK420" s="579"/>
      <c r="BL420" s="579"/>
      <c r="BM420" s="579"/>
      <c r="BN420" s="579"/>
      <c r="BO420" s="579"/>
      <c r="BP420" s="579"/>
      <c r="BQ420" s="579"/>
      <c r="BR420" s="579"/>
    </row>
    <row r="421" spans="1:70" s="571" customFormat="1" ht="16.149999999999999" hidden="1" customHeight="1" collapsed="1" thickBot="1">
      <c r="A421" s="3195" t="s">
        <v>454</v>
      </c>
      <c r="B421" s="3196"/>
      <c r="C421" s="3188" t="s">
        <v>292</v>
      </c>
      <c r="D421" s="3188"/>
      <c r="E421" s="1245">
        <v>0</v>
      </c>
      <c r="F421" s="1016">
        <f>IF(SETUP!$F$52="Upfront",F422,F423)</f>
        <v>0</v>
      </c>
      <c r="G421" s="920">
        <f>IF(SETUP!$F$52="Upfront",G422,G423)</f>
        <v>0</v>
      </c>
      <c r="H421" s="920">
        <f>IF(SETUP!$F$52="Upfront",H422,H423)</f>
        <v>0</v>
      </c>
      <c r="I421" s="920">
        <f>IF(SETUP!$F$52="Upfront",I422,I423)</f>
        <v>0</v>
      </c>
      <c r="J421" s="920">
        <f t="shared" si="63"/>
        <v>0</v>
      </c>
      <c r="K421" s="1016">
        <f>IF(SETUP!$F$52="Upfront",K422,K423)</f>
        <v>0</v>
      </c>
      <c r="L421" s="920">
        <f>IF(SETUP!$F$52="Upfront",L422,L423)</f>
        <v>0</v>
      </c>
      <c r="M421" s="920">
        <f>IF(SETUP!$F$52="Upfront",M422,M423)</f>
        <v>0</v>
      </c>
      <c r="N421" s="920">
        <f>IF(SETUP!$F$52="Upfront",N422,N423)</f>
        <v>0</v>
      </c>
      <c r="O421" s="920">
        <f t="shared" si="64"/>
        <v>0</v>
      </c>
      <c r="P421" s="1016">
        <f>IF(SETUP!$F$52="Upfront",P422,P423)</f>
        <v>0</v>
      </c>
      <c r="Q421" s="920">
        <f>IF(SETUP!$F$52="Upfront",Q422,Q423)</f>
        <v>0</v>
      </c>
      <c r="R421" s="920">
        <f>IF(SETUP!$F$52="Upfront",R422,R423)</f>
        <v>0</v>
      </c>
      <c r="S421" s="920">
        <f>IF(SETUP!$F$52="Upfront",S422,S423)</f>
        <v>0</v>
      </c>
      <c r="T421" s="920">
        <f t="shared" si="65"/>
        <v>0</v>
      </c>
      <c r="U421" s="1016">
        <f t="shared" si="66"/>
        <v>0</v>
      </c>
      <c r="V421" s="1344">
        <v>7.3</v>
      </c>
      <c r="W421" s="2006"/>
      <c r="X421" s="654"/>
      <c r="Y421" s="579"/>
      <c r="Z421" s="579"/>
      <c r="AA421" s="579"/>
      <c r="AB421" s="579"/>
      <c r="AC421" s="579"/>
      <c r="AD421" s="579"/>
      <c r="AE421" s="579"/>
      <c r="AF421" s="674"/>
      <c r="AG421" s="579"/>
      <c r="AH421" s="579"/>
      <c r="AI421" s="579"/>
      <c r="AJ421" s="579"/>
      <c r="AK421" s="579"/>
      <c r="AL421" s="579"/>
      <c r="AM421" s="579"/>
      <c r="AN421" s="579"/>
      <c r="AO421" s="579"/>
      <c r="AP421" s="579"/>
      <c r="AQ421" s="579"/>
      <c r="AR421" s="579"/>
      <c r="AS421" s="579"/>
      <c r="AT421" s="579"/>
      <c r="AU421" s="579"/>
      <c r="AV421" s="579"/>
      <c r="AW421" s="579"/>
      <c r="AX421" s="579"/>
      <c r="AY421" s="579"/>
      <c r="AZ421" s="579"/>
      <c r="BA421" s="579"/>
      <c r="BB421" s="579"/>
      <c r="BC421" s="579"/>
      <c r="BD421" s="579"/>
      <c r="BE421" s="579"/>
      <c r="BF421" s="579"/>
      <c r="BG421" s="579"/>
      <c r="BH421" s="579"/>
      <c r="BI421" s="579"/>
      <c r="BJ421" s="579"/>
      <c r="BK421" s="579"/>
      <c r="BL421" s="579"/>
      <c r="BM421" s="579"/>
      <c r="BN421" s="579"/>
      <c r="BO421" s="579"/>
      <c r="BP421" s="579"/>
      <c r="BQ421" s="579"/>
      <c r="BR421" s="579"/>
    </row>
    <row r="422" spans="1:70" s="571" customFormat="1" ht="16.149999999999999" hidden="1" customHeight="1" outlineLevel="1">
      <c r="A422" s="3197"/>
      <c r="B422" s="3198"/>
      <c r="C422" s="3182" t="s">
        <v>777</v>
      </c>
      <c r="D422" s="3182"/>
      <c r="E422" s="1579"/>
      <c r="F422" s="1016">
        <f>IF(SETUP!$F$52="Upfront",$E$421*'Malaria-Equipment &amp; Other HPs'!AX14,0)</f>
        <v>0</v>
      </c>
      <c r="G422" s="920">
        <f>IF(SETUP!$F$52="Upfront",$E$421*'Malaria-Equipment &amp; Other HPs'!AY14,0)</f>
        <v>0</v>
      </c>
      <c r="H422" s="920">
        <f>IF(SETUP!$F$52="Upfront",$E$421*'Malaria-Equipment &amp; Other HPs'!AZ14,0)</f>
        <v>0</v>
      </c>
      <c r="I422" s="920">
        <f>IF(SETUP!$F$52="Upfront",$E$421*'Malaria-Equipment &amp; Other HPs'!BA14,0)</f>
        <v>0</v>
      </c>
      <c r="J422" s="920">
        <f t="shared" si="63"/>
        <v>0</v>
      </c>
      <c r="K422" s="1016">
        <f>IF(SETUP!$F$52="Upfront",$E$421*'Malaria-Equipment &amp; Other HPs'!BB14,0)</f>
        <v>0</v>
      </c>
      <c r="L422" s="920">
        <f>IF(SETUP!$F$52="Upfront",$E$421*'Malaria-Equipment &amp; Other HPs'!BC14,0)</f>
        <v>0</v>
      </c>
      <c r="M422" s="920">
        <f>IF(SETUP!$F$52="Upfront",$E$421*'Malaria-Equipment &amp; Other HPs'!BD14,0)</f>
        <v>0</v>
      </c>
      <c r="N422" s="920">
        <f>IF(SETUP!$F$52="Upfront",$E$421*'Malaria-Equipment &amp; Other HPs'!BE14,0)</f>
        <v>0</v>
      </c>
      <c r="O422" s="920">
        <f t="shared" si="64"/>
        <v>0</v>
      </c>
      <c r="P422" s="1016">
        <f>IF(SETUP!$F$52="Upfront",$E$421*'Malaria-Equipment &amp; Other HPs'!BF14,0)</f>
        <v>0</v>
      </c>
      <c r="Q422" s="920">
        <f>IF(SETUP!$F$52="Upfront",$E$421*'Malaria-Equipment &amp; Other HPs'!BG14,0)</f>
        <v>0</v>
      </c>
      <c r="R422" s="920">
        <f>IF(SETUP!$F$52="Upfront",$E$421*'Malaria-Equipment &amp; Other HPs'!BH14,0)</f>
        <v>0</v>
      </c>
      <c r="S422" s="920">
        <f>IF(SETUP!$F$52="Upfront",$E$421*'Malaria-Equipment &amp; Other HPs'!BI14,0)</f>
        <v>0</v>
      </c>
      <c r="T422" s="920">
        <f t="shared" si="65"/>
        <v>0</v>
      </c>
      <c r="U422" s="1016">
        <f t="shared" si="66"/>
        <v>0</v>
      </c>
      <c r="V422" s="1344">
        <v>7.3</v>
      </c>
      <c r="W422" s="2006"/>
      <c r="X422" s="654"/>
      <c r="Y422" s="579"/>
      <c r="Z422" s="579"/>
      <c r="AA422" s="579"/>
      <c r="AB422" s="579"/>
      <c r="AC422" s="579"/>
      <c r="AD422" s="579"/>
      <c r="AE422" s="579"/>
      <c r="AF422" s="674"/>
      <c r="AG422" s="579"/>
      <c r="AH422" s="579"/>
      <c r="AI422" s="579"/>
      <c r="AJ422" s="579"/>
      <c r="AK422" s="579"/>
      <c r="AL422" s="579"/>
      <c r="AM422" s="579"/>
      <c r="AN422" s="579"/>
      <c r="AO422" s="579"/>
      <c r="AP422" s="579"/>
      <c r="AQ422" s="579"/>
      <c r="AR422" s="579"/>
      <c r="AS422" s="579"/>
      <c r="AT422" s="579"/>
      <c r="AU422" s="579"/>
      <c r="AV422" s="579"/>
      <c r="AW422" s="579"/>
      <c r="AX422" s="579"/>
      <c r="AY422" s="579"/>
      <c r="AZ422" s="579"/>
      <c r="BA422" s="579"/>
      <c r="BB422" s="579"/>
      <c r="BC422" s="579"/>
      <c r="BD422" s="579"/>
      <c r="BE422" s="579"/>
      <c r="BF422" s="579"/>
      <c r="BG422" s="579"/>
      <c r="BH422" s="579"/>
      <c r="BI422" s="579"/>
      <c r="BJ422" s="579"/>
      <c r="BK422" s="579"/>
      <c r="BL422" s="579"/>
      <c r="BM422" s="579"/>
      <c r="BN422" s="579"/>
      <c r="BO422" s="579"/>
      <c r="BP422" s="579"/>
      <c r="BQ422" s="579"/>
      <c r="BR422" s="579"/>
    </row>
    <row r="423" spans="1:70" s="571" customFormat="1" ht="17.25" hidden="1" customHeight="1" outlineLevel="1" thickBot="1">
      <c r="A423" s="3197"/>
      <c r="B423" s="3198"/>
      <c r="C423" s="3182" t="s">
        <v>36</v>
      </c>
      <c r="D423" s="3182"/>
      <c r="E423" s="1579"/>
      <c r="F423" s="1016">
        <v>0</v>
      </c>
      <c r="G423" s="920">
        <f>IF(SETUP!$F$52="At delivery",IF(SETUP!$G$52=1,$E$421*'Malaria-Equipment &amp; Other HPs'!AX14,0),0)</f>
        <v>0</v>
      </c>
      <c r="H423" s="920">
        <f>IF(SETUP!$F$52="At delivery",IF(SETUP!$G$52=2,$E$421*'Malaria-Equipment &amp; Other HPs'!AX14,IF(SETUP!$G$52=1,$E$421*'Malaria-Equipment &amp; Other HPs'!AY14,0)),0)</f>
        <v>0</v>
      </c>
      <c r="I423" s="920">
        <f>IF(SETUP!$F$52="At delivery",IF(SETUP!$G$52=3,$E$421*'Malaria-Equipment &amp; Other HPs'!AX14,IF(SETUP!$G$52=2,$E$421*'Malaria-Equipment &amp; Other HPs'!AY14,IF(SETUP!$G$52=1,$E$421*'Malaria-Equipment &amp; Other HPs'!AZ14,0))),0)</f>
        <v>0</v>
      </c>
      <c r="J423" s="920">
        <f t="shared" si="63"/>
        <v>0</v>
      </c>
      <c r="K423" s="1016">
        <f>IF(SETUP!$F$52="At delivery",IF(SETUP!$G$52=4,$E$421*'Malaria-Equipment &amp; Other HPs'!AX14,IF(SETUP!$G$52=3,$E$421*'Malaria-Equipment &amp; Other HPs'!AY14,IF(SETUP!$G$52=2,$E$421*'Malaria-Equipment &amp; Other HPs'!AZ14,IF(SETUP!$G$52=1,$E$421*'Malaria-Equipment &amp; Other HPs'!BA14,0)))),0)</f>
        <v>0</v>
      </c>
      <c r="L423" s="920">
        <f>IF(SETUP!$F$52="At delivery",IF(SETUP!$G$52=4,$E$421*'Malaria-Equipment &amp; Other HPs'!AY14,IF(SETUP!$G$52=3,$E$421*'Malaria-Equipment &amp; Other HPs'!AZ14,IF(SETUP!$G$52=2,$E$421*'Malaria-Equipment &amp; Other HPs'!BA14,IF(SETUP!$G$52=1,$E$421*'Malaria-Equipment &amp; Other HPs'!BB14,0)))),0)</f>
        <v>0</v>
      </c>
      <c r="M423" s="920">
        <f>IF(SETUP!$F$52="At delivery",IF(SETUP!$G$52=4,$E$421*'Malaria-Equipment &amp; Other HPs'!AZ14,IF(SETUP!$G$52=3,$E$421*'Malaria-Equipment &amp; Other HPs'!BA14,IF(SETUP!$G$52=2,$E$421*'Malaria-Equipment &amp; Other HPs'!BB14,IF(SETUP!$G$52=1,$E$421*'Malaria-Equipment &amp; Other HPs'!BC14,0)))),0)</f>
        <v>0</v>
      </c>
      <c r="N423" s="920">
        <f>IF(SETUP!$F$52="At delivery",IF(SETUP!$G$52=4,$E$421*'Malaria-Equipment &amp; Other HPs'!BA14,IF(SETUP!$G$52=3,$E$421*'Malaria-Equipment &amp; Other HPs'!BB14,IF(SETUP!$G$52=2,$E$421*'Malaria-Equipment &amp; Other HPs'!BC14,IF(SETUP!$G$52=1,$E$421*'Malaria-Equipment &amp; Other HPs'!BD14,0)))),0)</f>
        <v>0</v>
      </c>
      <c r="O423" s="920">
        <f t="shared" si="64"/>
        <v>0</v>
      </c>
      <c r="P423" s="1016">
        <f>IF(SETUP!$F$52="At delivery",IF(SETUP!$G$52=4,$E$421*'Malaria-Equipment &amp; Other HPs'!BB14,IF(SETUP!$G$52=3,$E$421*'Malaria-Equipment &amp; Other HPs'!BC14,IF(SETUP!$G$52=2,$E$421*'Malaria-Equipment &amp; Other HPs'!BD14,IF(SETUP!$G$52=1,$E$421*'Malaria-Equipment &amp; Other HPs'!BE14,0)))),0)</f>
        <v>0</v>
      </c>
      <c r="Q423" s="920">
        <f>IF(SETUP!$F$52="At delivery",IF(SETUP!$G$52=4,$E$421*'Malaria-Equipment &amp; Other HPs'!BC14,IF(SETUP!$G$52=3,$E$421*'Malaria-Equipment &amp; Other HPs'!BD14,IF(SETUP!$G$52=2,$E$421*'Malaria-Equipment &amp; Other HPs'!BE14,IF(SETUP!$G$52=1,$E$421*'Malaria-Equipment &amp; Other HPs'!BF14,0)))),0)</f>
        <v>0</v>
      </c>
      <c r="R423" s="920">
        <f>IF(SETUP!$F$52="At delivery",IF(SETUP!$G$52=4,$E$421*'Malaria-Equipment &amp; Other HPs'!BD14,IF(SETUP!$G$52=3,$E$421*'Malaria-Equipment &amp; Other HPs'!BE14,IF(SETUP!$G$52=2,$E$421*'Malaria-Equipment &amp; Other HPs'!BF14,IF(SETUP!$G$52=1,$E$421*'Malaria-Equipment &amp; Other HPs'!BG14,0)))),0)</f>
        <v>0</v>
      </c>
      <c r="S423" s="920">
        <f>IF(SETUP!$F$52="At delivery",IF(SETUP!$G$52=4,$E$421*('Malaria-Equipment &amp; Other HPs'!BE14+'Malaria-Equipment &amp; Other HPs'!BF14+'Malaria-Equipment &amp; Other HPs'!BG14+'Malaria-Equipment &amp; Other HPs'!BH14+'Malaria-Equipment &amp; Other HPs'!BI14),IF(SETUP!$G$52=3,$E$421*('Malaria-Equipment &amp; Other HPs'!BF14+'Malaria-Equipment &amp; Other HPs'!BG14+'Malaria-Equipment &amp; Other HPs'!BH14+'Malaria-Equipment &amp; Other HPs'!BI14),IF(SETUP!$G$52=2,$E$421*('Malaria-Equipment &amp; Other HPs'!BG14+'Malaria-Equipment &amp; Other HPs'!BH14+'Malaria-Equipment &amp; Other HPs'!BI14),IF(SETUP!$G$52=1,$E$421*('Malaria-Equipment &amp; Other HPs'!BH14+'Malaria-Equipment &amp; Other HPs'!BI14),0)))),0)</f>
        <v>0</v>
      </c>
      <c r="T423" s="920">
        <f t="shared" si="65"/>
        <v>0</v>
      </c>
      <c r="U423" s="1016">
        <f t="shared" si="66"/>
        <v>0</v>
      </c>
      <c r="V423" s="1344">
        <v>7.3</v>
      </c>
      <c r="W423" s="2006"/>
      <c r="X423" s="654"/>
      <c r="Y423" s="579"/>
      <c r="Z423" s="579"/>
      <c r="AA423" s="579"/>
      <c r="AB423" s="579"/>
      <c r="AC423" s="579"/>
      <c r="AD423" s="579"/>
      <c r="AE423" s="579"/>
      <c r="AF423" s="674"/>
      <c r="AG423" s="579"/>
      <c r="AH423" s="579"/>
      <c r="AI423" s="579"/>
      <c r="AJ423" s="579"/>
      <c r="AK423" s="579"/>
      <c r="AL423" s="579"/>
      <c r="AM423" s="579"/>
      <c r="AN423" s="579"/>
      <c r="AO423" s="579"/>
      <c r="AP423" s="579"/>
      <c r="AQ423" s="579"/>
      <c r="AR423" s="579"/>
      <c r="AS423" s="579"/>
      <c r="AT423" s="579"/>
      <c r="AU423" s="579"/>
      <c r="AV423" s="579"/>
      <c r="AW423" s="579"/>
      <c r="AX423" s="579"/>
      <c r="AY423" s="579"/>
      <c r="AZ423" s="579"/>
      <c r="BA423" s="579"/>
      <c r="BB423" s="579"/>
      <c r="BC423" s="579"/>
      <c r="BD423" s="579"/>
      <c r="BE423" s="579"/>
      <c r="BF423" s="579"/>
      <c r="BG423" s="579"/>
      <c r="BH423" s="579"/>
      <c r="BI423" s="579"/>
      <c r="BJ423" s="579"/>
      <c r="BK423" s="579"/>
      <c r="BL423" s="579"/>
      <c r="BM423" s="579"/>
      <c r="BN423" s="579"/>
      <c r="BO423" s="579"/>
      <c r="BP423" s="579"/>
      <c r="BQ423" s="579"/>
      <c r="BR423" s="579"/>
    </row>
    <row r="424" spans="1:70" s="571" customFormat="1" ht="13" hidden="1" collapsed="1">
      <c r="A424" s="3197"/>
      <c r="B424" s="3198"/>
      <c r="C424" s="3188" t="s">
        <v>455</v>
      </c>
      <c r="D424" s="3188"/>
      <c r="E424" s="1245">
        <v>0</v>
      </c>
      <c r="F424" s="1016">
        <f>IF(SETUP!$F$53="Upfront",F425,F426)</f>
        <v>0</v>
      </c>
      <c r="G424" s="920">
        <f>IF(SETUP!$F$53="Upfront",G425,G426)</f>
        <v>0</v>
      </c>
      <c r="H424" s="920">
        <f>IF(SETUP!$F$53="Upfront",H425,H426)</f>
        <v>0</v>
      </c>
      <c r="I424" s="920">
        <f>IF(SETUP!$F$53="Upfront",I425,I426)</f>
        <v>0</v>
      </c>
      <c r="J424" s="920">
        <f t="shared" si="63"/>
        <v>0</v>
      </c>
      <c r="K424" s="1016">
        <f>IF(SETUP!$F$53="Upfront",K425,K426)</f>
        <v>0</v>
      </c>
      <c r="L424" s="920">
        <f>IF(SETUP!$F$53="Upfront",L425,L426)</f>
        <v>0</v>
      </c>
      <c r="M424" s="920">
        <f>IF(SETUP!$F$53="Upfront",M425,M426)</f>
        <v>0</v>
      </c>
      <c r="N424" s="920">
        <f>IF(SETUP!$F$53="Upfront",N425,N426)</f>
        <v>0</v>
      </c>
      <c r="O424" s="920">
        <f t="shared" si="64"/>
        <v>0</v>
      </c>
      <c r="P424" s="1016">
        <f>IF(SETUP!$F$53="Upfront",P425,P426)</f>
        <v>0</v>
      </c>
      <c r="Q424" s="920">
        <f>IF(SETUP!$F$53="Upfront",Q425,Q426)</f>
        <v>0</v>
      </c>
      <c r="R424" s="920">
        <f>IF(SETUP!$F$53="Upfront",R425,R426)</f>
        <v>0</v>
      </c>
      <c r="S424" s="920">
        <f>IF(SETUP!$F$53="Upfront",S425,S426)</f>
        <v>0</v>
      </c>
      <c r="T424" s="920">
        <f t="shared" si="65"/>
        <v>0</v>
      </c>
      <c r="U424" s="1016">
        <f t="shared" si="66"/>
        <v>0</v>
      </c>
      <c r="V424" s="1344">
        <v>7.3</v>
      </c>
      <c r="W424" s="2006"/>
      <c r="X424" s="654"/>
      <c r="Y424" s="579"/>
      <c r="Z424" s="579"/>
      <c r="AA424" s="579"/>
      <c r="AB424" s="579"/>
      <c r="AC424" s="579"/>
      <c r="AD424" s="579"/>
      <c r="AE424" s="579"/>
      <c r="AF424" s="674"/>
      <c r="AG424" s="579"/>
      <c r="AH424" s="579"/>
      <c r="AI424" s="579"/>
      <c r="AJ424" s="579"/>
      <c r="AK424" s="579"/>
      <c r="AL424" s="579"/>
      <c r="AM424" s="579"/>
      <c r="AN424" s="579"/>
      <c r="AO424" s="579"/>
      <c r="AP424" s="579"/>
      <c r="AQ424" s="579"/>
      <c r="AR424" s="579"/>
      <c r="AS424" s="579"/>
      <c r="AT424" s="579"/>
      <c r="AU424" s="579"/>
      <c r="AV424" s="579"/>
      <c r="AW424" s="579"/>
      <c r="AX424" s="579"/>
      <c r="AY424" s="579"/>
      <c r="AZ424" s="579"/>
      <c r="BA424" s="579"/>
      <c r="BB424" s="579"/>
      <c r="BC424" s="579"/>
      <c r="BD424" s="579"/>
      <c r="BE424" s="579"/>
      <c r="BF424" s="579"/>
      <c r="BG424" s="579"/>
      <c r="BH424" s="579"/>
      <c r="BI424" s="579"/>
      <c r="BJ424" s="579"/>
      <c r="BK424" s="579"/>
      <c r="BL424" s="579"/>
      <c r="BM424" s="579"/>
      <c r="BN424" s="579"/>
      <c r="BO424" s="579"/>
      <c r="BP424" s="579"/>
      <c r="BQ424" s="579"/>
      <c r="BR424" s="579"/>
    </row>
    <row r="425" spans="1:70" s="571" customFormat="1" ht="16.149999999999999" hidden="1" customHeight="1" outlineLevel="1">
      <c r="A425" s="3197"/>
      <c r="B425" s="3198"/>
      <c r="C425" s="3182" t="s">
        <v>777</v>
      </c>
      <c r="D425" s="3182"/>
      <c r="E425" s="1579"/>
      <c r="F425" s="1016">
        <f>IF(SETUP!$F$53="Upfront",$E$424*'Malaria-Equipment &amp; Other HPs'!AX15,0)</f>
        <v>0</v>
      </c>
      <c r="G425" s="920">
        <f>IF(SETUP!$F$53="Upfront",$E$424*'Malaria-Equipment &amp; Other HPs'!AY15,0)</f>
        <v>0</v>
      </c>
      <c r="H425" s="920">
        <f>IF(SETUP!$F$53="Upfront",$E$424*'Malaria-Equipment &amp; Other HPs'!AZ15,0)</f>
        <v>0</v>
      </c>
      <c r="I425" s="920">
        <f>IF(SETUP!$F$53="Upfront",$E$424*'Malaria-Equipment &amp; Other HPs'!BA15,0)</f>
        <v>0</v>
      </c>
      <c r="J425" s="920">
        <f t="shared" si="63"/>
        <v>0</v>
      </c>
      <c r="K425" s="1016">
        <f>IF(SETUP!$F$53="Upfront",$E$424*'Malaria-Equipment &amp; Other HPs'!BB15,0)</f>
        <v>0</v>
      </c>
      <c r="L425" s="920">
        <f>IF(SETUP!$F$53="Upfront",$E$424*'Malaria-Equipment &amp; Other HPs'!BC15,0)</f>
        <v>0</v>
      </c>
      <c r="M425" s="920">
        <f>IF(SETUP!$F$53="Upfront",$E$424*'Malaria-Equipment &amp; Other HPs'!BD15,0)</f>
        <v>0</v>
      </c>
      <c r="N425" s="920">
        <f>IF(SETUP!$F$53="Upfront",$E$424*'Malaria-Equipment &amp; Other HPs'!BE15,0)</f>
        <v>0</v>
      </c>
      <c r="O425" s="920">
        <f t="shared" si="64"/>
        <v>0</v>
      </c>
      <c r="P425" s="1016">
        <f>IF(SETUP!$F$53="Upfront",$E$424*'Malaria-Equipment &amp; Other HPs'!BF15,0)</f>
        <v>0</v>
      </c>
      <c r="Q425" s="920">
        <f>IF(SETUP!$F$53="Upfront",$E$424*'Malaria-Equipment &amp; Other HPs'!BG15,0)</f>
        <v>0</v>
      </c>
      <c r="R425" s="920">
        <f>IF(SETUP!$F$53="Upfront",$E$424*'Malaria-Equipment &amp; Other HPs'!BH15,0)</f>
        <v>0</v>
      </c>
      <c r="S425" s="920">
        <f>IF(SETUP!$F$53="Upfront",$E$424*'Malaria-Equipment &amp; Other HPs'!BI15,0)</f>
        <v>0</v>
      </c>
      <c r="T425" s="920">
        <f t="shared" si="65"/>
        <v>0</v>
      </c>
      <c r="U425" s="1016">
        <f t="shared" si="66"/>
        <v>0</v>
      </c>
      <c r="V425" s="1344">
        <v>7.3</v>
      </c>
      <c r="W425" s="2006"/>
      <c r="X425" s="654"/>
      <c r="Y425" s="579"/>
      <c r="Z425" s="579"/>
      <c r="AA425" s="579"/>
      <c r="AB425" s="579"/>
      <c r="AC425" s="579"/>
      <c r="AD425" s="579"/>
      <c r="AE425" s="579"/>
      <c r="AF425" s="674"/>
      <c r="AG425" s="579"/>
      <c r="AH425" s="579"/>
      <c r="AI425" s="579"/>
      <c r="AJ425" s="579"/>
      <c r="AK425" s="579"/>
      <c r="AL425" s="579"/>
      <c r="AM425" s="579"/>
      <c r="AN425" s="579"/>
      <c r="AO425" s="579"/>
      <c r="AP425" s="579"/>
      <c r="AQ425" s="579"/>
      <c r="AR425" s="579"/>
      <c r="AS425" s="579"/>
      <c r="AT425" s="579"/>
      <c r="AU425" s="579"/>
      <c r="AV425" s="579"/>
      <c r="AW425" s="579"/>
      <c r="AX425" s="579"/>
      <c r="AY425" s="579"/>
      <c r="AZ425" s="579"/>
      <c r="BA425" s="579"/>
      <c r="BB425" s="579"/>
      <c r="BC425" s="579"/>
      <c r="BD425" s="579"/>
      <c r="BE425" s="579"/>
      <c r="BF425" s="579"/>
      <c r="BG425" s="579"/>
      <c r="BH425" s="579"/>
      <c r="BI425" s="579"/>
      <c r="BJ425" s="579"/>
      <c r="BK425" s="579"/>
      <c r="BL425" s="579"/>
      <c r="BM425" s="579"/>
      <c r="BN425" s="579"/>
      <c r="BO425" s="579"/>
      <c r="BP425" s="579"/>
      <c r="BQ425" s="579"/>
      <c r="BR425" s="579"/>
    </row>
    <row r="426" spans="1:70" s="571" customFormat="1" ht="17.25" hidden="1" customHeight="1" outlineLevel="1">
      <c r="A426" s="3197"/>
      <c r="B426" s="3198"/>
      <c r="C426" s="3182" t="s">
        <v>36</v>
      </c>
      <c r="D426" s="3182"/>
      <c r="E426" s="1580"/>
      <c r="F426" s="1016">
        <v>0</v>
      </c>
      <c r="G426" s="920">
        <f>IF(SETUP!$F$53="At delivery",IF(SETUP!$G$53=1,$E$424*'Malaria-Equipment &amp; Other HPs'!AX15,0),0)</f>
        <v>0</v>
      </c>
      <c r="H426" s="920">
        <f>IF(SETUP!$F$53="At delivery",IF(SETUP!$G$53=2,$E$424*'Malaria-Equipment &amp; Other HPs'!AX15,IF(SETUP!$G$53=1,$E$424*'Malaria-Equipment &amp; Other HPs'!AY15,0)),0)</f>
        <v>0</v>
      </c>
      <c r="I426" s="920">
        <f>IF(SETUP!$F$53="At delivery",IF(SETUP!$G$53=3,$E$424*'Malaria-Equipment &amp; Other HPs'!AX15,IF(SETUP!$G$53=2,$E$424*'Malaria-Equipment &amp; Other HPs'!AY15,IF(SETUP!$G$53=1,$E$424*'Malaria-Equipment &amp; Other HPs'!AZ15,0))),0)</f>
        <v>0</v>
      </c>
      <c r="J426" s="920">
        <f t="shared" si="63"/>
        <v>0</v>
      </c>
      <c r="K426" s="1016">
        <f>IF(SETUP!$F$53="At delivery",IF(SETUP!$G$53=4,$E$424*'Malaria-Equipment &amp; Other HPs'!AX15,IF(SETUP!$G$53=3,$E$424*'Malaria-Equipment &amp; Other HPs'!AY15,IF(SETUP!$G$53=2,$E$424*'Malaria-Equipment &amp; Other HPs'!AZ15,IF(SETUP!$G$53=1,$E$424*'Malaria-Equipment &amp; Other HPs'!BA15,0)))),0)</f>
        <v>0</v>
      </c>
      <c r="L426" s="920">
        <f>IF(SETUP!$F$53="At delivery",IF(SETUP!$G$53=4,$E$424*'Malaria-Equipment &amp; Other HPs'!AY15,IF(SETUP!$G$53=3,$E$424*'Malaria-Equipment &amp; Other HPs'!AZ15,IF(SETUP!$G$53=2,$E$424*'Malaria-Equipment &amp; Other HPs'!BA15,IF(SETUP!$G$53=1,$E$424*'Malaria-Equipment &amp; Other HPs'!BB15,0)))),0)</f>
        <v>0</v>
      </c>
      <c r="M426" s="920">
        <f>IF(SETUP!$F$53="At delivery",IF(SETUP!$G$53=4,$E$424*'Malaria-Equipment &amp; Other HPs'!AZ15,IF(SETUP!$G$53=3,$E$424*'Malaria-Equipment &amp; Other HPs'!BA15,IF(SETUP!$G$53=2,$E$424*'Malaria-Equipment &amp; Other HPs'!BB15,IF(SETUP!$G$53=1,$E$424*'Malaria-Equipment &amp; Other HPs'!BC15,0)))),0)</f>
        <v>0</v>
      </c>
      <c r="N426" s="920">
        <f>IF(SETUP!$F$53="At delivery",IF(SETUP!$G$53=4,$E$424*'Malaria-Equipment &amp; Other HPs'!BA15,IF(SETUP!$G$53=3,$E$424*'Malaria-Equipment &amp; Other HPs'!BB15,IF(SETUP!$G$53=2,$E$424*'Malaria-Equipment &amp; Other HPs'!BC15,IF(SETUP!$G$53=1,$E$424*'Malaria-Equipment &amp; Other HPs'!BD15,0)))),0)</f>
        <v>0</v>
      </c>
      <c r="O426" s="920">
        <f t="shared" si="64"/>
        <v>0</v>
      </c>
      <c r="P426" s="1016">
        <f>IF(SETUP!$F$53="At delivery",IF(SETUP!$G$53=4,$E$424*'Malaria-Equipment &amp; Other HPs'!BB15,IF(SETUP!$G$53=3,$E$424*'Malaria-Equipment &amp; Other HPs'!BC15,IF(SETUP!$G$53=2,$E$424*'Malaria-Equipment &amp; Other HPs'!BD15,IF(SETUP!$G$53=1,$E$424*'Malaria-Equipment &amp; Other HPs'!BE15,0)))),0)</f>
        <v>0</v>
      </c>
      <c r="Q426" s="920">
        <f>IF(SETUP!$F$53="At delivery",IF(SETUP!$G$53=4,$E$424*'Malaria-Equipment &amp; Other HPs'!BC15,IF(SETUP!$G$53=3,$E$424*'Malaria-Equipment &amp; Other HPs'!BD15,IF(SETUP!$G$53=2,$E$424*'Malaria-Equipment &amp; Other HPs'!BE15,IF(SETUP!$G$53=1,$E$424*'Malaria-Equipment &amp; Other HPs'!BF15,0)))),0)</f>
        <v>0</v>
      </c>
      <c r="R426" s="920">
        <f>IF(SETUP!$F$53="At delivery",IF(SETUP!$G$53=4,$E$424*'Malaria-Equipment &amp; Other HPs'!BD15,IF(SETUP!$G$53=3,$E$424*'Malaria-Equipment &amp; Other HPs'!BE15,IF(SETUP!$G$53=2,$E$424*'Malaria-Equipment &amp; Other HPs'!BF15,IF(SETUP!$G$53=1,$E$424*'Malaria-Equipment &amp; Other HPs'!BG15,0)))),0)</f>
        <v>0</v>
      </c>
      <c r="S426" s="920">
        <f>IF(SETUP!$F$53="At delivery",IF(SETUP!$G$53=4,$E$424*('Malaria-Equipment &amp; Other HPs'!BE15+'Malaria-Equipment &amp; Other HPs'!BF15+'Malaria-Equipment &amp; Other HPs'!BG15+'Malaria-Equipment &amp; Other HPs'!BH15+'Malaria-Equipment &amp; Other HPs'!BI15),IF(SETUP!$G$53=3,$E$424*('Malaria-Equipment &amp; Other HPs'!BF15+'Malaria-Equipment &amp; Other HPs'!BG15+'Malaria-Equipment &amp; Other HPs'!BH15+'Malaria-Equipment &amp; Other HPs'!BI15),IF(SETUP!$G$53=2,$E$424*('Malaria-Equipment &amp; Other HPs'!BG15+'Malaria-Equipment &amp; Other HPs'!BH15+'Malaria-Equipment &amp; Other HPs'!BI15),IF(SETUP!$G$53=1,$E$424*('Malaria-Equipment &amp; Other HPs'!BH15+'Malaria-Equipment &amp; Other HPs'!BI15),0)))),0)</f>
        <v>0</v>
      </c>
      <c r="T426" s="920">
        <f t="shared" si="65"/>
        <v>0</v>
      </c>
      <c r="U426" s="1016">
        <f t="shared" si="66"/>
        <v>0</v>
      </c>
      <c r="V426" s="1344">
        <v>7.3</v>
      </c>
      <c r="W426" s="2006"/>
      <c r="X426" s="654"/>
      <c r="Y426" s="579"/>
      <c r="Z426" s="579"/>
      <c r="AA426" s="579"/>
      <c r="AB426" s="579"/>
      <c r="AC426" s="579"/>
      <c r="AD426" s="579"/>
      <c r="AE426" s="579"/>
      <c r="AF426" s="674"/>
      <c r="AG426" s="579"/>
      <c r="AH426" s="579"/>
      <c r="AI426" s="579"/>
      <c r="AJ426" s="579"/>
      <c r="AK426" s="579"/>
      <c r="AL426" s="579"/>
      <c r="AM426" s="579"/>
      <c r="AN426" s="579"/>
      <c r="AO426" s="579"/>
      <c r="AP426" s="579"/>
      <c r="AQ426" s="579"/>
      <c r="AR426" s="579"/>
      <c r="AS426" s="579"/>
      <c r="AT426" s="579"/>
      <c r="AU426" s="579"/>
      <c r="AV426" s="579"/>
      <c r="AW426" s="579"/>
      <c r="AX426" s="579"/>
      <c r="AY426" s="579"/>
      <c r="AZ426" s="579"/>
      <c r="BA426" s="579"/>
      <c r="BB426" s="579"/>
      <c r="BC426" s="579"/>
      <c r="BD426" s="579"/>
      <c r="BE426" s="579"/>
      <c r="BF426" s="579"/>
      <c r="BG426" s="579"/>
      <c r="BH426" s="579"/>
      <c r="BI426" s="579"/>
      <c r="BJ426" s="579"/>
      <c r="BK426" s="579"/>
      <c r="BL426" s="579"/>
      <c r="BM426" s="579"/>
      <c r="BN426" s="579"/>
      <c r="BO426" s="579"/>
      <c r="BP426" s="579"/>
      <c r="BQ426" s="579"/>
      <c r="BR426" s="579"/>
    </row>
    <row r="427" spans="1:70" s="571" customFormat="1" ht="13" hidden="1" collapsed="1">
      <c r="A427" s="3197"/>
      <c r="B427" s="3198"/>
      <c r="C427" s="3188" t="s">
        <v>456</v>
      </c>
      <c r="D427" s="3188"/>
      <c r="E427" s="3177">
        <v>0</v>
      </c>
      <c r="F427" s="1016">
        <f>IF(SETUP!$F$54="Upfront",F428,F429)</f>
        <v>0</v>
      </c>
      <c r="G427" s="920">
        <f>IF(SETUP!$F$54="Upfront",G428,G429)</f>
        <v>0</v>
      </c>
      <c r="H427" s="920">
        <f>IF(SETUP!$F$54="Upfront",H428,H429)</f>
        <v>0</v>
      </c>
      <c r="I427" s="920">
        <f>IF(SETUP!$F$54="Upfront",I428,I429)</f>
        <v>0</v>
      </c>
      <c r="J427" s="920">
        <f t="shared" si="63"/>
        <v>0</v>
      </c>
      <c r="K427" s="1016">
        <f>IF(SETUP!$F$54="Upfront",K428,K429)</f>
        <v>0</v>
      </c>
      <c r="L427" s="920">
        <f>IF(SETUP!$F$54="Upfront",L428,L429)</f>
        <v>0</v>
      </c>
      <c r="M427" s="920">
        <f>IF(SETUP!$F$54="Upfront",M428,M429)</f>
        <v>0</v>
      </c>
      <c r="N427" s="920">
        <f>IF(SETUP!$F$54="Upfront",N428,N429)</f>
        <v>0</v>
      </c>
      <c r="O427" s="920">
        <f t="shared" si="64"/>
        <v>0</v>
      </c>
      <c r="P427" s="1016">
        <f>IF(SETUP!$F$54="Upfront",P428,P429)</f>
        <v>0</v>
      </c>
      <c r="Q427" s="920">
        <f>IF(SETUP!$F$54="Upfront",Q428,Q429)</f>
        <v>0</v>
      </c>
      <c r="R427" s="920">
        <f>IF(SETUP!$F$54="Upfront",R428,R429)</f>
        <v>0</v>
      </c>
      <c r="S427" s="920">
        <f>IF(SETUP!$F$54="Upfront",S428,S429)</f>
        <v>0</v>
      </c>
      <c r="T427" s="920">
        <f t="shared" si="65"/>
        <v>0</v>
      </c>
      <c r="U427" s="1016">
        <f t="shared" si="66"/>
        <v>0</v>
      </c>
      <c r="V427" s="1344">
        <v>7.3</v>
      </c>
      <c r="W427" s="2006"/>
      <c r="X427" s="654"/>
      <c r="Y427" s="579"/>
      <c r="Z427" s="579"/>
      <c r="AA427" s="579"/>
      <c r="AB427" s="579"/>
      <c r="AC427" s="579"/>
      <c r="AD427" s="579"/>
      <c r="AE427" s="579"/>
      <c r="AF427" s="674"/>
      <c r="AG427" s="579"/>
      <c r="AH427" s="579"/>
      <c r="AI427" s="579"/>
      <c r="AJ427" s="579"/>
      <c r="AK427" s="579"/>
      <c r="AL427" s="579"/>
      <c r="AM427" s="579"/>
      <c r="AN427" s="579"/>
      <c r="AO427" s="579"/>
      <c r="AP427" s="579"/>
      <c r="AQ427" s="579"/>
      <c r="AR427" s="579"/>
      <c r="AS427" s="579"/>
      <c r="AT427" s="579"/>
      <c r="AU427" s="579"/>
      <c r="AV427" s="579"/>
      <c r="AW427" s="579"/>
      <c r="AX427" s="579"/>
      <c r="AY427" s="579"/>
      <c r="AZ427" s="579"/>
      <c r="BA427" s="579"/>
      <c r="BB427" s="579"/>
      <c r="BC427" s="579"/>
      <c r="BD427" s="579"/>
      <c r="BE427" s="579"/>
      <c r="BF427" s="579"/>
      <c r="BG427" s="579"/>
      <c r="BH427" s="579"/>
      <c r="BI427" s="579"/>
      <c r="BJ427" s="579"/>
      <c r="BK427" s="579"/>
      <c r="BL427" s="579"/>
      <c r="BM427" s="579"/>
      <c r="BN427" s="579"/>
      <c r="BO427" s="579"/>
      <c r="BP427" s="579"/>
      <c r="BQ427" s="579"/>
      <c r="BR427" s="579"/>
    </row>
    <row r="428" spans="1:70" s="571" customFormat="1" ht="16.149999999999999" hidden="1" customHeight="1" outlineLevel="1">
      <c r="A428" s="3197"/>
      <c r="B428" s="3198"/>
      <c r="C428" s="3182" t="s">
        <v>777</v>
      </c>
      <c r="D428" s="3182"/>
      <c r="E428" s="3178"/>
      <c r="F428" s="1016">
        <f>IF(SETUP!$F$54="Upfront",$E$427*'Malaria-Equipment &amp; Other HPs'!AX16,0)</f>
        <v>0</v>
      </c>
      <c r="G428" s="920">
        <f>IF(SETUP!$F$54="Upfront",$E$427*'Malaria-Equipment &amp; Other HPs'!AY16,0)</f>
        <v>0</v>
      </c>
      <c r="H428" s="920">
        <f>IF(SETUP!$F$54="Upfront",$E$427*'Malaria-Equipment &amp; Other HPs'!AZ16,0)</f>
        <v>0</v>
      </c>
      <c r="I428" s="920">
        <f>IF(SETUP!$F$54="Upfront",$E$427*'Malaria-Equipment &amp; Other HPs'!BA16,0)</f>
        <v>0</v>
      </c>
      <c r="J428" s="920">
        <f t="shared" si="63"/>
        <v>0</v>
      </c>
      <c r="K428" s="1016">
        <f>IF(SETUP!$F$54="Upfront",$E$427*'Malaria-Equipment &amp; Other HPs'!BB16,0)</f>
        <v>0</v>
      </c>
      <c r="L428" s="920">
        <f>IF(SETUP!$F$54="Upfront",$E$427*'Malaria-Equipment &amp; Other HPs'!BC16,0)</f>
        <v>0</v>
      </c>
      <c r="M428" s="920">
        <f>IF(SETUP!$F$54="Upfront",$E$427*'Malaria-Equipment &amp; Other HPs'!BD16,0)</f>
        <v>0</v>
      </c>
      <c r="N428" s="920">
        <f>IF(SETUP!$F$54="Upfront",$E$427*'Malaria-Equipment &amp; Other HPs'!BE16,0)</f>
        <v>0</v>
      </c>
      <c r="O428" s="920">
        <f t="shared" si="64"/>
        <v>0</v>
      </c>
      <c r="P428" s="1016">
        <f>IF(SETUP!$F$54="Upfront",$E$427*'Malaria-Equipment &amp; Other HPs'!BF16,0)</f>
        <v>0</v>
      </c>
      <c r="Q428" s="920">
        <f>IF(SETUP!$F$54="Upfront",$E$427*'Malaria-Equipment &amp; Other HPs'!BG16,0)</f>
        <v>0</v>
      </c>
      <c r="R428" s="920">
        <f>IF(SETUP!$F$54="Upfront",$E$427*'Malaria-Equipment &amp; Other HPs'!BH16,0)</f>
        <v>0</v>
      </c>
      <c r="S428" s="920">
        <f>IF(SETUP!$F$54="Upfront",$E$427*'Malaria-Equipment &amp; Other HPs'!BI16,0)</f>
        <v>0</v>
      </c>
      <c r="T428" s="920">
        <f t="shared" si="65"/>
        <v>0</v>
      </c>
      <c r="U428" s="1016">
        <f t="shared" si="66"/>
        <v>0</v>
      </c>
      <c r="V428" s="1344">
        <v>7.3</v>
      </c>
      <c r="W428" s="2006"/>
      <c r="X428" s="654"/>
      <c r="Y428" s="579"/>
      <c r="Z428" s="579"/>
      <c r="AA428" s="579"/>
      <c r="AB428" s="579"/>
      <c r="AC428" s="579"/>
      <c r="AD428" s="579"/>
      <c r="AE428" s="579"/>
      <c r="AF428" s="674"/>
      <c r="AG428" s="579"/>
      <c r="AH428" s="579"/>
      <c r="AI428" s="579"/>
      <c r="AJ428" s="579"/>
      <c r="AK428" s="579"/>
      <c r="AL428" s="579"/>
      <c r="AM428" s="579"/>
      <c r="AN428" s="579"/>
      <c r="AO428" s="579"/>
      <c r="AP428" s="579"/>
      <c r="AQ428" s="579"/>
      <c r="AR428" s="579"/>
      <c r="AS428" s="579"/>
      <c r="AT428" s="579"/>
      <c r="AU428" s="579"/>
      <c r="AV428" s="579"/>
      <c r="AW428" s="579"/>
      <c r="AX428" s="579"/>
      <c r="AY428" s="579"/>
      <c r="AZ428" s="579"/>
      <c r="BA428" s="579"/>
      <c r="BB428" s="579"/>
      <c r="BC428" s="579"/>
      <c r="BD428" s="579"/>
      <c r="BE428" s="579"/>
      <c r="BF428" s="579"/>
      <c r="BG428" s="579"/>
      <c r="BH428" s="579"/>
      <c r="BI428" s="579"/>
      <c r="BJ428" s="579"/>
      <c r="BK428" s="579"/>
      <c r="BL428" s="579"/>
      <c r="BM428" s="579"/>
      <c r="BN428" s="579"/>
      <c r="BO428" s="579"/>
      <c r="BP428" s="579"/>
      <c r="BQ428" s="579"/>
      <c r="BR428" s="579"/>
    </row>
    <row r="429" spans="1:70" s="571" customFormat="1" ht="17.25" hidden="1" customHeight="1" outlineLevel="1">
      <c r="A429" s="3197"/>
      <c r="B429" s="3198"/>
      <c r="C429" s="3182" t="s">
        <v>36</v>
      </c>
      <c r="D429" s="3182"/>
      <c r="E429" s="3178"/>
      <c r="F429" s="1016">
        <v>0</v>
      </c>
      <c r="G429" s="920">
        <f>IF(SETUP!$F$54="At delivery",IF(SETUP!$G$54=1,$E$427*'Malaria-Equipment &amp; Other HPs'!AX16,0),0)</f>
        <v>0</v>
      </c>
      <c r="H429" s="920">
        <f>IF(SETUP!$F$54="At delivery",IF(SETUP!$G$54=2,$E$427*'Malaria-Equipment &amp; Other HPs'!AX16,IF(SETUP!$G$54=1,$E$427*'Malaria-Equipment &amp; Other HPs'!AY16,0)),0)</f>
        <v>0</v>
      </c>
      <c r="I429" s="920">
        <f>IF(SETUP!$F$54="At delivery",IF(SETUP!$G$54=3,$E$427*'Malaria-Equipment &amp; Other HPs'!AX16,IF(SETUP!$G$54=2,$E$427*'Malaria-Equipment &amp; Other HPs'!AY16,IF(SETUP!$G$54=1,$E$427*'Malaria-Equipment &amp; Other HPs'!AZ16,0))),0)</f>
        <v>0</v>
      </c>
      <c r="J429" s="920">
        <f t="shared" si="63"/>
        <v>0</v>
      </c>
      <c r="K429" s="1016">
        <f>IF(SETUP!$F$54="At delivery",IF(SETUP!$G$54=4,$E$427*'Malaria-Equipment &amp; Other HPs'!AX16,IF(SETUP!$G$54=3,$E$427*'Malaria-Equipment &amp; Other HPs'!AY16,IF(SETUP!$G$54=2,$E$427*'Malaria-Equipment &amp; Other HPs'!AZ16,IF(SETUP!$G$54=1,$E$427*'Malaria-Equipment &amp; Other HPs'!BA16,0)))),0)</f>
        <v>0</v>
      </c>
      <c r="L429" s="920">
        <f>IF(SETUP!$F$54="At delivery",IF(SETUP!$G$54=4,$E$427*'Malaria-Equipment &amp; Other HPs'!AY16,IF(SETUP!$G$54=3,$E$427*'Malaria-Equipment &amp; Other HPs'!AZ16,IF(SETUP!$G$54=2,$E$427*'Malaria-Equipment &amp; Other HPs'!BA16,IF(SETUP!$G$54=1,$E$427*'Malaria-Equipment &amp; Other HPs'!BB16,0)))),0)</f>
        <v>0</v>
      </c>
      <c r="M429" s="920">
        <f>IF(SETUP!$F$54="At delivery",IF(SETUP!$G$54=4,$E$427*'Malaria-Equipment &amp; Other HPs'!AZ16,IF(SETUP!$G$54=3,$E$427*'Malaria-Equipment &amp; Other HPs'!BA16,IF(SETUP!$G$54=2,$E$427*'Malaria-Equipment &amp; Other HPs'!BB16,IF(SETUP!$G$54=1,$E$427*'Malaria-Equipment &amp; Other HPs'!BC16,0)))),0)</f>
        <v>0</v>
      </c>
      <c r="N429" s="920">
        <f>IF(SETUP!$F$54="At delivery",IF(SETUP!$G$54=4,$E$427*'Malaria-Equipment &amp; Other HPs'!BA16,IF(SETUP!$G$54=3,$E$427*'Malaria-Equipment &amp; Other HPs'!BB16,IF(SETUP!$G$54=2,$E$427*'Malaria-Equipment &amp; Other HPs'!BC16,IF(SETUP!$G$54=1,$E$427*'Malaria-Equipment &amp; Other HPs'!BD16,0)))),0)</f>
        <v>0</v>
      </c>
      <c r="O429" s="920">
        <f t="shared" si="64"/>
        <v>0</v>
      </c>
      <c r="P429" s="1016">
        <f>IF(SETUP!$F$54="At delivery",IF(SETUP!$G$54=4,$E$427*'Malaria-Equipment &amp; Other HPs'!BB16,IF(SETUP!$G$54=3,$E$427*'Malaria-Equipment &amp; Other HPs'!BC16,IF(SETUP!$G$54=2,$E$427*'Malaria-Equipment &amp; Other HPs'!BD16,IF(SETUP!$G$54=1,$E$427*'Malaria-Equipment &amp; Other HPs'!BE16,0)))),0)</f>
        <v>0</v>
      </c>
      <c r="Q429" s="920">
        <f>IF(SETUP!$F$54="At delivery",IF(SETUP!$G$54=4,$E$427*'Malaria-Equipment &amp; Other HPs'!BC16,IF(SETUP!$G$54=3,$E$427*'Malaria-Equipment &amp; Other HPs'!BD16,IF(SETUP!$G$54=2,$E$427*'Malaria-Equipment &amp; Other HPs'!BE16,IF(SETUP!$G$54=1,$E$427*'Malaria-Equipment &amp; Other HPs'!BF16,0)))),0)</f>
        <v>0</v>
      </c>
      <c r="R429" s="920">
        <f>IF(SETUP!$F$54="At delivery",IF(SETUP!$G$54=4,$E$427*'Malaria-Equipment &amp; Other HPs'!BD16,IF(SETUP!$G$54=3,$E$427*'Malaria-Equipment &amp; Other HPs'!BE16,IF(SETUP!$G$54=2,$E$427*'Malaria-Equipment &amp; Other HPs'!BF16,IF(SETUP!$G$54=1,$E$427*'Malaria-Equipment &amp; Other HPs'!BG16,0)))),0)</f>
        <v>0</v>
      </c>
      <c r="S429" s="920">
        <f>IF(SETUP!$F$54="At delivery",IF(SETUP!$G$54=4,$E$427*('Malaria-Equipment &amp; Other HPs'!BE16+'Malaria-Equipment &amp; Other HPs'!BF16+'Malaria-Equipment &amp; Other HPs'!BG16+'Malaria-Equipment &amp; Other HPs'!BH16+'Malaria-Equipment &amp; Other HPs'!BI16),IF(SETUP!$G$54=3,$E$427*('Malaria-Equipment &amp; Other HPs'!BF16+'Malaria-Equipment &amp; Other HPs'!BG16+'Malaria-Equipment &amp; Other HPs'!BH16+'Malaria-Equipment &amp; Other HPs'!BI16),IF(SETUP!$G$54=2,$E$427*('Malaria-Equipment &amp; Other HPs'!BG16+'Malaria-Equipment &amp; Other HPs'!BH16+'Malaria-Equipment &amp; Other HPs'!BI16),IF(SETUP!$G$54=1,$E$427*('Malaria-Equipment &amp; Other HPs'!BH16+'Malaria-Equipment &amp; Other HPs'!BI16),0)))),0)</f>
        <v>0</v>
      </c>
      <c r="T429" s="920">
        <f t="shared" si="65"/>
        <v>0</v>
      </c>
      <c r="U429" s="1016">
        <f t="shared" si="66"/>
        <v>0</v>
      </c>
      <c r="V429" s="1344">
        <v>7.3</v>
      </c>
      <c r="W429" s="2006"/>
      <c r="X429" s="654"/>
      <c r="Y429" s="579"/>
      <c r="Z429" s="579"/>
      <c r="AA429" s="579"/>
      <c r="AB429" s="579"/>
      <c r="AC429" s="579"/>
      <c r="AD429" s="579"/>
      <c r="AE429" s="579"/>
      <c r="AF429" s="674"/>
      <c r="AG429" s="579"/>
      <c r="AH429" s="579"/>
      <c r="AI429" s="579"/>
      <c r="AJ429" s="579"/>
      <c r="AK429" s="579"/>
      <c r="AL429" s="579"/>
      <c r="AM429" s="579"/>
      <c r="AN429" s="579"/>
      <c r="AO429" s="579"/>
      <c r="AP429" s="579"/>
      <c r="AQ429" s="579"/>
      <c r="AR429" s="579"/>
      <c r="AS429" s="579"/>
      <c r="AT429" s="579"/>
      <c r="AU429" s="579"/>
      <c r="AV429" s="579"/>
      <c r="AW429" s="579"/>
      <c r="AX429" s="579"/>
      <c r="AY429" s="579"/>
      <c r="AZ429" s="579"/>
      <c r="BA429" s="579"/>
      <c r="BB429" s="579"/>
      <c r="BC429" s="579"/>
      <c r="BD429" s="579"/>
      <c r="BE429" s="579"/>
      <c r="BF429" s="579"/>
      <c r="BG429" s="579"/>
      <c r="BH429" s="579"/>
      <c r="BI429" s="579"/>
      <c r="BJ429" s="579"/>
      <c r="BK429" s="579"/>
      <c r="BL429" s="579"/>
      <c r="BM429" s="579"/>
      <c r="BN429" s="579"/>
      <c r="BO429" s="579"/>
      <c r="BP429" s="579"/>
      <c r="BQ429" s="579"/>
      <c r="BR429" s="579"/>
    </row>
    <row r="430" spans="1:70" s="571" customFormat="1" ht="13" hidden="1" collapsed="1">
      <c r="A430" s="3197"/>
      <c r="B430" s="3198"/>
      <c r="C430" s="3188" t="s">
        <v>457</v>
      </c>
      <c r="D430" s="3188"/>
      <c r="E430" s="3177">
        <v>0</v>
      </c>
      <c r="F430" s="1016">
        <f>IF(SETUP!$F$55="Upfront",F431,F432)</f>
        <v>0</v>
      </c>
      <c r="G430" s="920">
        <f>IF(SETUP!$F$55="Upfront",G431,G432)</f>
        <v>0</v>
      </c>
      <c r="H430" s="920">
        <f>IF(SETUP!$F$55="Upfront",H431,H432)</f>
        <v>0</v>
      </c>
      <c r="I430" s="920">
        <f>IF(SETUP!$F$55="Upfront",I431,I432)</f>
        <v>0</v>
      </c>
      <c r="J430" s="920">
        <f t="shared" si="63"/>
        <v>0</v>
      </c>
      <c r="K430" s="1016">
        <f>IF(SETUP!$F$55="Upfront",K431,K432)</f>
        <v>0</v>
      </c>
      <c r="L430" s="920">
        <f>IF(SETUP!$F$55="Upfront",L431,L432)</f>
        <v>0</v>
      </c>
      <c r="M430" s="920">
        <f>IF(SETUP!$F$55="Upfront",M431,M432)</f>
        <v>0</v>
      </c>
      <c r="N430" s="920">
        <f>IF(SETUP!$F$55="Upfront",N431,N432)</f>
        <v>0</v>
      </c>
      <c r="O430" s="920">
        <f t="shared" si="64"/>
        <v>0</v>
      </c>
      <c r="P430" s="1016">
        <f>IF(SETUP!$F$55="Upfront",P431,P432)</f>
        <v>0</v>
      </c>
      <c r="Q430" s="920">
        <f>IF(SETUP!$F$55="Upfront",Q431,Q432)</f>
        <v>0</v>
      </c>
      <c r="R430" s="920">
        <f>IF(SETUP!$F$55="Upfront",R431,R432)</f>
        <v>0</v>
      </c>
      <c r="S430" s="920">
        <f>IF(SETUP!$F$55="Upfront",S431,S432)</f>
        <v>0</v>
      </c>
      <c r="T430" s="920">
        <f t="shared" si="65"/>
        <v>0</v>
      </c>
      <c r="U430" s="1016">
        <f t="shared" si="66"/>
        <v>0</v>
      </c>
      <c r="V430" s="1344">
        <v>7.3</v>
      </c>
      <c r="W430" s="2006"/>
      <c r="X430" s="654"/>
      <c r="Y430" s="579"/>
      <c r="Z430" s="579"/>
      <c r="AA430" s="579"/>
      <c r="AB430" s="579"/>
      <c r="AC430" s="579"/>
      <c r="AD430" s="579"/>
      <c r="AE430" s="579"/>
      <c r="AF430" s="674"/>
      <c r="AG430" s="579"/>
      <c r="AH430" s="579"/>
      <c r="AI430" s="579"/>
      <c r="AJ430" s="579"/>
      <c r="AK430" s="579"/>
      <c r="AL430" s="579"/>
      <c r="AM430" s="579"/>
      <c r="AN430" s="579"/>
      <c r="AO430" s="579"/>
      <c r="AP430" s="579"/>
      <c r="AQ430" s="579"/>
      <c r="AR430" s="579"/>
      <c r="AS430" s="579"/>
      <c r="AT430" s="579"/>
      <c r="AU430" s="579"/>
      <c r="AV430" s="579"/>
      <c r="AW430" s="579"/>
      <c r="AX430" s="579"/>
      <c r="AY430" s="579"/>
      <c r="AZ430" s="579"/>
      <c r="BA430" s="579"/>
      <c r="BB430" s="579"/>
      <c r="BC430" s="579"/>
      <c r="BD430" s="579"/>
      <c r="BE430" s="579"/>
      <c r="BF430" s="579"/>
      <c r="BG430" s="579"/>
      <c r="BH430" s="579"/>
      <c r="BI430" s="579"/>
      <c r="BJ430" s="579"/>
      <c r="BK430" s="579"/>
      <c r="BL430" s="579"/>
      <c r="BM430" s="579"/>
      <c r="BN430" s="579"/>
      <c r="BO430" s="579"/>
      <c r="BP430" s="579"/>
      <c r="BQ430" s="579"/>
      <c r="BR430" s="579"/>
    </row>
    <row r="431" spans="1:70" s="571" customFormat="1" ht="16.149999999999999" hidden="1" customHeight="1" outlineLevel="1">
      <c r="A431" s="3197"/>
      <c r="B431" s="3198"/>
      <c r="C431" s="3182" t="s">
        <v>777</v>
      </c>
      <c r="D431" s="3182"/>
      <c r="E431" s="3178"/>
      <c r="F431" s="1016">
        <f>IF(SETUP!$F$55="Upfront",$E$430*'Malaria-Equipment &amp; Other HPs'!AX17,0)</f>
        <v>0</v>
      </c>
      <c r="G431" s="920">
        <f>IF(SETUP!$F$55="Upfront",$E$430*'Malaria-Equipment &amp; Other HPs'!AY17,0)</f>
        <v>0</v>
      </c>
      <c r="H431" s="920">
        <f>IF(SETUP!$F$55="Upfront",$E$430*'Malaria-Equipment &amp; Other HPs'!AZ17,0)</f>
        <v>0</v>
      </c>
      <c r="I431" s="920">
        <f>IF(SETUP!$F$55="Upfront",$E$430*'Malaria-Equipment &amp; Other HPs'!BA17,0)</f>
        <v>0</v>
      </c>
      <c r="J431" s="920">
        <f t="shared" si="63"/>
        <v>0</v>
      </c>
      <c r="K431" s="1016">
        <f>IF(SETUP!$F$55="Upfront",$E$430*'Malaria-Equipment &amp; Other HPs'!BB17,0)</f>
        <v>0</v>
      </c>
      <c r="L431" s="920">
        <f>IF(SETUP!$F$55="Upfront",$E$430*'Malaria-Equipment &amp; Other HPs'!BC17,0)</f>
        <v>0</v>
      </c>
      <c r="M431" s="920">
        <f>IF(SETUP!$F$55="Upfront",$E$430*'Malaria-Equipment &amp; Other HPs'!BD17,0)</f>
        <v>0</v>
      </c>
      <c r="N431" s="920">
        <f>IF(SETUP!$F$55="Upfront",$E$430*'Malaria-Equipment &amp; Other HPs'!BE17,0)</f>
        <v>0</v>
      </c>
      <c r="O431" s="920">
        <f t="shared" si="64"/>
        <v>0</v>
      </c>
      <c r="P431" s="1016">
        <f>IF(SETUP!$F$55="Upfront",$E$430*'Malaria-Equipment &amp; Other HPs'!BF17,0)</f>
        <v>0</v>
      </c>
      <c r="Q431" s="920">
        <f>IF(SETUP!$F$55="Upfront",$E$430*'Malaria-Equipment &amp; Other HPs'!BG17,0)</f>
        <v>0</v>
      </c>
      <c r="R431" s="920">
        <f>IF(SETUP!$F$55="Upfront",$E$430*'Malaria-Equipment &amp; Other HPs'!BH17,0)</f>
        <v>0</v>
      </c>
      <c r="S431" s="920">
        <f>IF(SETUP!$F$55="Upfront",$E$430*'Malaria-Equipment &amp; Other HPs'!BI17,0)</f>
        <v>0</v>
      </c>
      <c r="T431" s="920">
        <f>P431+Q431+R431+S431</f>
        <v>0</v>
      </c>
      <c r="U431" s="1016">
        <f t="shared" si="66"/>
        <v>0</v>
      </c>
      <c r="V431" s="1344">
        <v>7.3</v>
      </c>
      <c r="W431" s="2006"/>
      <c r="X431" s="654"/>
      <c r="Y431" s="579"/>
      <c r="Z431" s="579"/>
      <c r="AA431" s="579"/>
      <c r="AB431" s="579"/>
      <c r="AC431" s="579"/>
      <c r="AD431" s="579"/>
      <c r="AE431" s="579"/>
      <c r="AF431" s="674"/>
      <c r="AG431" s="579"/>
      <c r="AH431" s="579"/>
      <c r="AI431" s="579"/>
      <c r="AJ431" s="579"/>
      <c r="AK431" s="579"/>
      <c r="AL431" s="579"/>
      <c r="AM431" s="579"/>
      <c r="AN431" s="579"/>
      <c r="AO431" s="579"/>
      <c r="AP431" s="579"/>
      <c r="AQ431" s="579"/>
      <c r="AR431" s="579"/>
      <c r="AS431" s="579"/>
      <c r="AT431" s="579"/>
      <c r="AU431" s="579"/>
      <c r="AV431" s="579"/>
      <c r="AW431" s="579"/>
      <c r="AX431" s="579"/>
      <c r="AY431" s="579"/>
      <c r="AZ431" s="579"/>
      <c r="BA431" s="579"/>
      <c r="BB431" s="579"/>
      <c r="BC431" s="579"/>
      <c r="BD431" s="579"/>
      <c r="BE431" s="579"/>
      <c r="BF431" s="579"/>
      <c r="BG431" s="579"/>
      <c r="BH431" s="579"/>
      <c r="BI431" s="579"/>
      <c r="BJ431" s="579"/>
      <c r="BK431" s="579"/>
      <c r="BL431" s="579"/>
      <c r="BM431" s="579"/>
      <c r="BN431" s="579"/>
      <c r="BO431" s="579"/>
      <c r="BP431" s="579"/>
      <c r="BQ431" s="579"/>
      <c r="BR431" s="579"/>
    </row>
    <row r="432" spans="1:70" s="571" customFormat="1" ht="17.25" hidden="1" customHeight="1" outlineLevel="1">
      <c r="A432" s="3197"/>
      <c r="B432" s="3198"/>
      <c r="C432" s="3182" t="s">
        <v>36</v>
      </c>
      <c r="D432" s="3182"/>
      <c r="E432" s="3178"/>
      <c r="F432" s="1016">
        <v>0</v>
      </c>
      <c r="G432" s="920">
        <f>IF(SETUP!$F$55="At delivery",IF(SETUP!$G$55=1,$E$430*'Malaria-Equipment &amp; Other HPs'!AX17,0),0)</f>
        <v>0</v>
      </c>
      <c r="H432" s="920">
        <f>IF(SETUP!$F$55="At delivery",IF(SETUP!$G$55=2,$E$430*'Malaria-Equipment &amp; Other HPs'!AX17,IF(SETUP!$G$55=1,$E$430*'Malaria-Equipment &amp; Other HPs'!AY17,0)),0)</f>
        <v>0</v>
      </c>
      <c r="I432" s="920">
        <f>IF(SETUP!$F$55="At delivery",IF(SETUP!$G$55=3,$E$430*'Malaria-Equipment &amp; Other HPs'!AX17,IF(SETUP!$G$55=2,$E$430*'Malaria-Equipment &amp; Other HPs'!AY17,IF(SETUP!$G$55=1,$E$430*'Malaria-Equipment &amp; Other HPs'!AZ17,0))),0)</f>
        <v>0</v>
      </c>
      <c r="J432" s="920">
        <f t="shared" si="63"/>
        <v>0</v>
      </c>
      <c r="K432" s="1016">
        <f>IF(SETUP!$F$55="At delivery",IF(SETUP!$G$55=4,$E$430*'Malaria-Equipment &amp; Other HPs'!AX17,IF(SETUP!$G$55=3,$E$430*'Malaria-Equipment &amp; Other HPs'!AY17,IF(SETUP!$G$55=2,$E$430*'Malaria-Equipment &amp; Other HPs'!AZ17,IF(SETUP!$G$55=1,$E$430*'Malaria-Equipment &amp; Other HPs'!BA17,0)))),0)</f>
        <v>0</v>
      </c>
      <c r="L432" s="920">
        <f>IF(SETUP!$F$55="At delivery",IF(SETUP!$G$55=4,$E$430*'Malaria-Equipment &amp; Other HPs'!AY17,IF(SETUP!$G$55=3,$E$430*'Malaria-Equipment &amp; Other HPs'!AZ17,IF(SETUP!$G$55=2,$E$430*'Malaria-Equipment &amp; Other HPs'!BA17,IF(SETUP!$G$55=1,$E$430*'Malaria-Equipment &amp; Other HPs'!BB17,0)))),0)</f>
        <v>0</v>
      </c>
      <c r="M432" s="920">
        <f>IF(SETUP!$F$55="At delivery",IF(SETUP!$G$55=4,$E$430*'Malaria-Equipment &amp; Other HPs'!AZ17,IF(SETUP!$G$55=3,$E$430*'Malaria-Equipment &amp; Other HPs'!BA17,IF(SETUP!$G$55=2,$E$430*'Malaria-Equipment &amp; Other HPs'!BB17,IF(SETUP!$G$55=1,$E$430*'Malaria-Equipment &amp; Other HPs'!BC17,0)))),0)</f>
        <v>0</v>
      </c>
      <c r="N432" s="920">
        <f>IF(SETUP!$F$55="At delivery",IF(SETUP!$G$55=4,$E$430*'Malaria-Equipment &amp; Other HPs'!BA17,IF(SETUP!$G$55=3,$E$430*'Malaria-Equipment &amp; Other HPs'!BB17,IF(SETUP!$G$55=2,$E$430*'Malaria-Equipment &amp; Other HPs'!BC17,IF(SETUP!$G$55=1,$E$430*'Malaria-Equipment &amp; Other HPs'!BD17,0)))),0)</f>
        <v>0</v>
      </c>
      <c r="O432" s="920">
        <f t="shared" si="64"/>
        <v>0</v>
      </c>
      <c r="P432" s="1016">
        <f>IF(SETUP!$F$55="At delivery",IF(SETUP!$G$55=4,$E$430*'Malaria-Equipment &amp; Other HPs'!BB17,IF(SETUP!$G$55=3,$E$430*'Malaria-Equipment &amp; Other HPs'!BC17,IF(SETUP!$G$55=2,$E$430*'Malaria-Equipment &amp; Other HPs'!BD17,IF(SETUP!$G$55=1,$E$430*'Malaria-Equipment &amp; Other HPs'!BE17,0)))),0)</f>
        <v>0</v>
      </c>
      <c r="Q432" s="920">
        <f>IF(SETUP!$F$55="At delivery",IF(SETUP!$G$55=4,$E$430*'Malaria-Equipment &amp; Other HPs'!BC17,IF(SETUP!$G$55=3,$E$430*'Malaria-Equipment &amp; Other HPs'!BD17,IF(SETUP!$G$55=2,$E$430*'Malaria-Equipment &amp; Other HPs'!BE17,IF(SETUP!$G$55=1,$E$430*'Malaria-Equipment &amp; Other HPs'!BF17,0)))),0)</f>
        <v>0</v>
      </c>
      <c r="R432" s="920">
        <f>IF(SETUP!$F$55="At delivery",IF(SETUP!$G$55=4,$E$430*'Malaria-Equipment &amp; Other HPs'!BD17,IF(SETUP!$G$55=3,$E$430*'Malaria-Equipment &amp; Other HPs'!BE17,IF(SETUP!$G$55=2,$E$430*'Malaria-Equipment &amp; Other HPs'!BF17,IF(SETUP!$G$55=1,$E$430*'Malaria-Equipment &amp; Other HPs'!BG17,0)))),0)</f>
        <v>0</v>
      </c>
      <c r="S432" s="920">
        <f>IF(SETUP!$F$55="At delivery",IF(SETUP!$G$55=4,$E$430*('Malaria-Equipment &amp; Other HPs'!BE17+'Malaria-Equipment &amp; Other HPs'!BF17+'Malaria-Equipment &amp; Other HPs'!BG17+'Malaria-Equipment &amp; Other HPs'!BH17+'Malaria-Equipment &amp; Other HPs'!BI17),IF(SETUP!$G$55=3,$E$430*('Malaria-Equipment &amp; Other HPs'!BF17+'Malaria-Equipment &amp; Other HPs'!BG17+'Malaria-Equipment &amp; Other HPs'!BH17+'Malaria-Equipment &amp; Other HPs'!BI17),IF(SETUP!$G$55=2,$E$430*('Malaria-Equipment &amp; Other HPs'!BG17+'Malaria-Equipment &amp; Other HPs'!BH17+'Malaria-Equipment &amp; Other HPs'!BI17),IF(SETUP!$G$55=1,$E$430*('Malaria-Equipment &amp; Other HPs'!BH17+'Malaria-Equipment &amp; Other HPs'!BI17),0)))),0)</f>
        <v>0</v>
      </c>
      <c r="T432" s="920">
        <f>P432+Q432+R432+S432</f>
        <v>0</v>
      </c>
      <c r="U432" s="1016">
        <f t="shared" si="66"/>
        <v>0</v>
      </c>
      <c r="V432" s="1344">
        <v>7.3</v>
      </c>
      <c r="W432" s="2006"/>
      <c r="X432" s="654"/>
      <c r="Y432" s="579"/>
      <c r="Z432" s="579"/>
      <c r="AA432" s="579"/>
      <c r="AB432" s="579"/>
      <c r="AC432" s="579"/>
      <c r="AD432" s="579"/>
      <c r="AE432" s="579"/>
      <c r="AF432" s="674"/>
      <c r="AG432" s="579"/>
      <c r="AH432" s="579"/>
      <c r="AI432" s="579"/>
      <c r="AJ432" s="579"/>
      <c r="AK432" s="579"/>
      <c r="AL432" s="579"/>
      <c r="AM432" s="579"/>
      <c r="AN432" s="579"/>
      <c r="AO432" s="579"/>
      <c r="AP432" s="579"/>
      <c r="AQ432" s="579"/>
      <c r="AR432" s="579"/>
      <c r="AS432" s="579"/>
      <c r="AT432" s="579"/>
      <c r="AU432" s="579"/>
      <c r="AV432" s="579"/>
      <c r="AW432" s="579"/>
      <c r="AX432" s="579"/>
      <c r="AY432" s="579"/>
      <c r="AZ432" s="579"/>
      <c r="BA432" s="579"/>
      <c r="BB432" s="579"/>
      <c r="BC432" s="579"/>
      <c r="BD432" s="579"/>
      <c r="BE432" s="579"/>
      <c r="BF432" s="579"/>
      <c r="BG432" s="579"/>
      <c r="BH432" s="579"/>
      <c r="BI432" s="579"/>
      <c r="BJ432" s="579"/>
      <c r="BK432" s="579"/>
      <c r="BL432" s="579"/>
      <c r="BM432" s="579"/>
      <c r="BN432" s="579"/>
      <c r="BO432" s="579"/>
      <c r="BP432" s="579"/>
      <c r="BQ432" s="579"/>
      <c r="BR432" s="579"/>
    </row>
    <row r="433" spans="1:72" s="571" customFormat="1" ht="13.5" hidden="1" collapsed="1" thickBot="1">
      <c r="A433" s="3197"/>
      <c r="B433" s="3198"/>
      <c r="C433" s="3188" t="s">
        <v>458</v>
      </c>
      <c r="D433" s="3188"/>
      <c r="E433" s="3177">
        <v>0</v>
      </c>
      <c r="F433" s="1016">
        <f>IF(SETUP!$F$56="Upfront",F434,F435)</f>
        <v>0</v>
      </c>
      <c r="G433" s="920">
        <f>IF(SETUP!$F$56="Upfront",G434,G435)</f>
        <v>0</v>
      </c>
      <c r="H433" s="920">
        <f>IF(SETUP!$F$56="Upfront",H434,H435)</f>
        <v>0</v>
      </c>
      <c r="I433" s="920">
        <f>IF(SETUP!$F$56="Upfront",I434,I435)</f>
        <v>0</v>
      </c>
      <c r="J433" s="920">
        <f t="shared" si="63"/>
        <v>0</v>
      </c>
      <c r="K433" s="1016">
        <f>IF(SETUP!$F$56="Upfront",K434,K435)</f>
        <v>0</v>
      </c>
      <c r="L433" s="920">
        <f>IF(SETUP!$F$56="Upfront",L434,L435)</f>
        <v>0</v>
      </c>
      <c r="M433" s="920">
        <f>IF(SETUP!$F$56="Upfront",M434,M435)</f>
        <v>0</v>
      </c>
      <c r="N433" s="920">
        <f>IF(SETUP!$F$56="Upfront",N434,N435)</f>
        <v>0</v>
      </c>
      <c r="O433" s="920">
        <f t="shared" si="64"/>
        <v>0</v>
      </c>
      <c r="P433" s="1016">
        <f>IF(SETUP!$F$56="Upfront",P434,P435)</f>
        <v>0</v>
      </c>
      <c r="Q433" s="920">
        <f>IF(SETUP!$F$56="Upfront",Q434,Q435)</f>
        <v>0</v>
      </c>
      <c r="R433" s="920">
        <f>IF(SETUP!$F$56="Upfront",R434,R435)</f>
        <v>0</v>
      </c>
      <c r="S433" s="920">
        <f>IF(SETUP!$F$56="Upfront",S434,S435)</f>
        <v>0</v>
      </c>
      <c r="T433" s="920">
        <f t="shared" si="65"/>
        <v>0</v>
      </c>
      <c r="U433" s="1016">
        <f t="shared" si="66"/>
        <v>0</v>
      </c>
      <c r="V433" s="1344">
        <v>7.3</v>
      </c>
      <c r="W433" s="2006"/>
      <c r="X433" s="654"/>
      <c r="Y433" s="579"/>
      <c r="Z433" s="579"/>
      <c r="AA433" s="579"/>
      <c r="AB433" s="579"/>
      <c r="AC433" s="579"/>
      <c r="AD433" s="579"/>
      <c r="AE433" s="579"/>
      <c r="AF433" s="674"/>
      <c r="AG433" s="579"/>
      <c r="AH433" s="579"/>
      <c r="AI433" s="579"/>
      <c r="AJ433" s="579"/>
      <c r="AK433" s="579"/>
      <c r="AL433" s="579"/>
      <c r="AM433" s="579"/>
      <c r="AN433" s="579"/>
      <c r="AO433" s="579"/>
      <c r="AP433" s="579"/>
      <c r="AQ433" s="579"/>
      <c r="AR433" s="579"/>
      <c r="AS433" s="579"/>
      <c r="AT433" s="579"/>
      <c r="AU433" s="579"/>
      <c r="AV433" s="579"/>
      <c r="AW433" s="579"/>
      <c r="AX433" s="579"/>
      <c r="AY433" s="579"/>
      <c r="AZ433" s="579"/>
      <c r="BA433" s="579"/>
      <c r="BB433" s="579"/>
      <c r="BC433" s="579"/>
      <c r="BD433" s="579"/>
      <c r="BE433" s="579"/>
      <c r="BF433" s="579"/>
      <c r="BG433" s="579"/>
      <c r="BH433" s="579"/>
      <c r="BI433" s="579"/>
      <c r="BJ433" s="579"/>
      <c r="BK433" s="579"/>
      <c r="BL433" s="579"/>
      <c r="BM433" s="579"/>
      <c r="BN433" s="579"/>
      <c r="BO433" s="579"/>
      <c r="BP433" s="579"/>
      <c r="BQ433" s="579"/>
      <c r="BR433" s="579"/>
    </row>
    <row r="434" spans="1:72" s="571" customFormat="1" ht="16.149999999999999" hidden="1" customHeight="1" outlineLevel="1">
      <c r="A434" s="3197"/>
      <c r="B434" s="3198"/>
      <c r="C434" s="3182" t="s">
        <v>777</v>
      </c>
      <c r="D434" s="3182"/>
      <c r="E434" s="3178"/>
      <c r="F434" s="1016">
        <f>IF(SETUP!$F$56="Upfront",$E$433*'Malaria-Equipment &amp; Other HPs'!AX18,0)</f>
        <v>0</v>
      </c>
      <c r="G434" s="920">
        <f>IF(SETUP!$F$56="Upfront",$E$433*'Malaria-Equipment &amp; Other HPs'!AY18,0)</f>
        <v>0</v>
      </c>
      <c r="H434" s="920">
        <f>IF(SETUP!$F$56="Upfront",$E$433*'Malaria-Equipment &amp; Other HPs'!AZ18,0)</f>
        <v>0</v>
      </c>
      <c r="I434" s="920">
        <f>IF(SETUP!$F$56="Upfront",$E$433*'Malaria-Equipment &amp; Other HPs'!BA18,0)</f>
        <v>0</v>
      </c>
      <c r="J434" s="920">
        <f t="shared" si="63"/>
        <v>0</v>
      </c>
      <c r="K434" s="1016">
        <f>IF(SETUP!$F$56="Upfront",$E$433*'Malaria-Equipment &amp; Other HPs'!BB18,0)</f>
        <v>0</v>
      </c>
      <c r="L434" s="920">
        <f>IF(SETUP!$F$56="Upfront",$E$433*'Malaria-Equipment &amp; Other HPs'!BC18,0)</f>
        <v>0</v>
      </c>
      <c r="M434" s="920">
        <f>IF(SETUP!$F$56="Upfront",$E$433*'Malaria-Equipment &amp; Other HPs'!BD18,0)</f>
        <v>0</v>
      </c>
      <c r="N434" s="920">
        <f>IF(SETUP!$F$56="Upfront",$E$433*'Malaria-Equipment &amp; Other HPs'!BE18,0)</f>
        <v>0</v>
      </c>
      <c r="O434" s="920">
        <f t="shared" si="64"/>
        <v>0</v>
      </c>
      <c r="P434" s="1016">
        <f>IF(SETUP!$F$56="Upfront",$E$433*'Malaria-Equipment &amp; Other HPs'!BF18,0)</f>
        <v>0</v>
      </c>
      <c r="Q434" s="920">
        <f>IF(SETUP!$F$56="Upfront",$E$433*'Malaria-Equipment &amp; Other HPs'!BG18,0)</f>
        <v>0</v>
      </c>
      <c r="R434" s="920">
        <f>IF(SETUP!$F$56="Upfront",$E$433*'Malaria-Equipment &amp; Other HPs'!BH18,0)</f>
        <v>0</v>
      </c>
      <c r="S434" s="920">
        <f>IF(SETUP!$F$56="Upfront",$E$433*'Malaria-Equipment &amp; Other HPs'!BI18,0)</f>
        <v>0</v>
      </c>
      <c r="T434" s="920">
        <f t="shared" si="65"/>
        <v>0</v>
      </c>
      <c r="U434" s="1016">
        <f t="shared" si="66"/>
        <v>0</v>
      </c>
      <c r="V434" s="1344">
        <v>7.3</v>
      </c>
      <c r="W434" s="2006"/>
      <c r="X434" s="654"/>
      <c r="Y434" s="579"/>
      <c r="Z434" s="579"/>
      <c r="AA434" s="579"/>
      <c r="AB434" s="579"/>
      <c r="AC434" s="579"/>
      <c r="AD434" s="579"/>
      <c r="AE434" s="579"/>
      <c r="AF434" s="674"/>
      <c r="AG434" s="579"/>
      <c r="AH434" s="579"/>
      <c r="AI434" s="579"/>
      <c r="AJ434" s="579"/>
      <c r="AK434" s="579"/>
      <c r="AL434" s="579"/>
      <c r="AM434" s="579"/>
      <c r="AN434" s="579"/>
      <c r="AO434" s="579"/>
      <c r="AP434" s="579"/>
      <c r="AQ434" s="579"/>
      <c r="AR434" s="579"/>
      <c r="AS434" s="579"/>
      <c r="AT434" s="579"/>
      <c r="AU434" s="579"/>
      <c r="AV434" s="579"/>
      <c r="AW434" s="579"/>
      <c r="AX434" s="579"/>
      <c r="AY434" s="579"/>
      <c r="AZ434" s="579"/>
      <c r="BA434" s="579"/>
      <c r="BB434" s="579"/>
      <c r="BC434" s="579"/>
      <c r="BD434" s="579"/>
      <c r="BE434" s="579"/>
      <c r="BF434" s="579"/>
      <c r="BG434" s="579"/>
      <c r="BH434" s="579"/>
      <c r="BI434" s="579"/>
      <c r="BJ434" s="579"/>
      <c r="BK434" s="579"/>
      <c r="BL434" s="579"/>
      <c r="BM434" s="579"/>
      <c r="BN434" s="579"/>
      <c r="BO434" s="579"/>
      <c r="BP434" s="579"/>
      <c r="BQ434" s="579"/>
      <c r="BR434" s="579"/>
    </row>
    <row r="435" spans="1:72" s="571" customFormat="1" ht="17.25" hidden="1" customHeight="1" outlineLevel="1">
      <c r="A435" s="3197"/>
      <c r="B435" s="3198"/>
      <c r="C435" s="3182" t="s">
        <v>36</v>
      </c>
      <c r="D435" s="3182"/>
      <c r="E435" s="3179"/>
      <c r="F435" s="1016">
        <v>0</v>
      </c>
      <c r="G435" s="920">
        <f>IF(SETUP!$F$56="At delivery",IF(SETUP!$G$56=1,$E$433*'Malaria-Equipment &amp; Other HPs'!AX18,0),0)</f>
        <v>0</v>
      </c>
      <c r="H435" s="920">
        <f>IF(SETUP!$F$56="At delivery",IF(SETUP!$G$56=2,$E$433*'Malaria-Equipment &amp; Other HPs'!AX18,IF(SETUP!$G$56=1,$E$433*'Malaria-Equipment &amp; Other HPs'!AY18,0)),0)</f>
        <v>0</v>
      </c>
      <c r="I435" s="920">
        <f>IF(SETUP!$F$56="At delivery",IF(SETUP!$G$56=3,$E$433*'Malaria-Equipment &amp; Other HPs'!AX18,IF(SETUP!$G$56=2,$E$433*'Malaria-Equipment &amp; Other HPs'!AY18,IF(SETUP!$G$56=1,$E$433*'Malaria-Equipment &amp; Other HPs'!AZ18,0))),0)</f>
        <v>0</v>
      </c>
      <c r="J435" s="920">
        <f t="shared" si="63"/>
        <v>0</v>
      </c>
      <c r="K435" s="1016">
        <f>IF(SETUP!$F$56="At delivery",IF(SETUP!$G$56=4,$E$433*'Malaria-Equipment &amp; Other HPs'!AX18,IF(SETUP!$G$56=3,$E$433*'Malaria-Equipment &amp; Other HPs'!AY18,IF(SETUP!$G$56=2,$E$433*'Malaria-Equipment &amp; Other HPs'!AZ18,IF(SETUP!$G$56=1,$E$433*'Malaria-Equipment &amp; Other HPs'!BA18,0)))),0)</f>
        <v>0</v>
      </c>
      <c r="L435" s="920">
        <f>IF(SETUP!$F$56="At delivery",IF(SETUP!$G$56=4,$E$433*'Malaria-Equipment &amp; Other HPs'!AY18,IF(SETUP!$G$56=3,$E$433*'Malaria-Equipment &amp; Other HPs'!AZ18,IF(SETUP!$G$56=2,$E$433*'Malaria-Equipment &amp; Other HPs'!BA18,IF(SETUP!$G$56=1,$E$433*'Malaria-Equipment &amp; Other HPs'!BB18,0)))),0)</f>
        <v>0</v>
      </c>
      <c r="M435" s="920">
        <f>IF(SETUP!$F$56="At delivery",IF(SETUP!$G$56=4,$E$433*'Malaria-Equipment &amp; Other HPs'!AZ18,IF(SETUP!$G$56=3,$E$433*'Malaria-Equipment &amp; Other HPs'!BA18,IF(SETUP!$G$56=2,$E$433*'Malaria-Equipment &amp; Other HPs'!BB18,IF(SETUP!$G$56=1,$E$433*'Malaria-Equipment &amp; Other HPs'!BC18,0)))),0)</f>
        <v>0</v>
      </c>
      <c r="N435" s="920">
        <f>IF(SETUP!$F$56="At delivery",IF(SETUP!$G$56=4,$E$433*'Malaria-Equipment &amp; Other HPs'!BA18,IF(SETUP!$G$56=3,$E$433*'Malaria-Equipment &amp; Other HPs'!BB18,IF(SETUP!$G$56=2,$E$433*'Malaria-Equipment &amp; Other HPs'!BC18,IF(SETUP!$G$56=1,$E$433*'Malaria-Equipment &amp; Other HPs'!BD18,0)))),0)</f>
        <v>0</v>
      </c>
      <c r="O435" s="920">
        <f t="shared" si="64"/>
        <v>0</v>
      </c>
      <c r="P435" s="1016">
        <f>IF(SETUP!$F$56="At delivery",IF(SETUP!$G$56=4,$E$433*'Malaria-Equipment &amp; Other HPs'!BB18,IF(SETUP!$G$56=3,$E$433*'Malaria-Equipment &amp; Other HPs'!BC18,IF(SETUP!$G$56=2,$E$433*'Malaria-Equipment &amp; Other HPs'!BD18,IF(SETUP!$G$56=1,$E$433*'Malaria-Equipment &amp; Other HPs'!BE18,0)))),0)</f>
        <v>0</v>
      </c>
      <c r="Q435" s="920">
        <f>IF(SETUP!$F$56="At delivery",IF(SETUP!$G$56=4,$E$433*'Malaria-Equipment &amp; Other HPs'!BC18,IF(SETUP!$G$56=3,$E$433*'Malaria-Equipment &amp; Other HPs'!BD18,IF(SETUP!$G$56=2,$E$433*'Malaria-Equipment &amp; Other HPs'!BE18,IF(SETUP!$G$56=1,$E$433*'Malaria-Equipment &amp; Other HPs'!BF18,0)))),0)</f>
        <v>0</v>
      </c>
      <c r="R435" s="920">
        <f>IF(SETUP!$F$56="At delivery",IF(SETUP!$G$56=4,$E$433*'Malaria-Equipment &amp; Other HPs'!BD18,IF(SETUP!$G$56=3,$E$433*'Malaria-Equipment &amp; Other HPs'!BE18,IF(SETUP!$G$56=2,$E$433*'Malaria-Equipment &amp; Other HPs'!BF18,IF(SETUP!$G$56=1,$E$433*'Malaria-Equipment &amp; Other HPs'!BG18,0)))),0)</f>
        <v>0</v>
      </c>
      <c r="S435" s="920">
        <f>IF(SETUP!$F$56="At delivery",IF(SETUP!$G$56=4,$E$433*('Malaria-Equipment &amp; Other HPs'!BE18+'Malaria-Equipment &amp; Other HPs'!BF18+'Malaria-Equipment &amp; Other HPs'!BG18+'Malaria-Equipment &amp; Other HPs'!BH18+'Malaria-Equipment &amp; Other HPs'!BI18),IF(SETUP!$G$56=3,$E$433*('Malaria-Equipment &amp; Other HPs'!BF18+'Malaria-Equipment &amp; Other HPs'!BG18+'Malaria-Equipment &amp; Other HPs'!BH18+'Malaria-Equipment &amp; Other HPs'!BI18),IF(SETUP!$G$56=2,$E$433*('Malaria-Equipment &amp; Other HPs'!BG18+'Malaria-Equipment &amp; Other HPs'!BH18+'Malaria-Equipment &amp; Other HPs'!BI18),IF(SETUP!$G$56=1,$E$433*('Malaria-Equipment &amp; Other HPs'!BH18+'Malaria-Equipment &amp; Other HPs'!BI18),0)))),0)</f>
        <v>0</v>
      </c>
      <c r="T435" s="920">
        <f t="shared" si="65"/>
        <v>0</v>
      </c>
      <c r="U435" s="1016">
        <f t="shared" si="66"/>
        <v>0</v>
      </c>
      <c r="V435" s="1344">
        <v>7.3</v>
      </c>
      <c r="W435" s="2006"/>
      <c r="X435" s="654"/>
      <c r="Y435" s="579"/>
      <c r="Z435" s="579"/>
      <c r="AA435" s="579"/>
      <c r="AB435" s="579"/>
      <c r="AC435" s="579"/>
      <c r="AD435" s="579"/>
      <c r="AE435" s="579"/>
      <c r="AF435" s="674"/>
      <c r="AG435" s="579"/>
      <c r="AH435" s="579"/>
      <c r="AI435" s="579"/>
      <c r="AJ435" s="579"/>
      <c r="AK435" s="579"/>
      <c r="AL435" s="579"/>
      <c r="AM435" s="579"/>
      <c r="AN435" s="579"/>
      <c r="AO435" s="579"/>
      <c r="AP435" s="579"/>
      <c r="AQ435" s="579"/>
      <c r="AR435" s="579"/>
      <c r="AS435" s="579"/>
      <c r="AT435" s="579"/>
      <c r="AU435" s="579"/>
      <c r="AV435" s="579"/>
      <c r="AW435" s="579"/>
      <c r="AX435" s="579"/>
      <c r="AY435" s="579"/>
      <c r="AZ435" s="579"/>
      <c r="BA435" s="579"/>
      <c r="BB435" s="579"/>
      <c r="BC435" s="579"/>
      <c r="BD435" s="579"/>
      <c r="BE435" s="579"/>
      <c r="BF435" s="579"/>
      <c r="BG435" s="579"/>
      <c r="BH435" s="579"/>
      <c r="BI435" s="579"/>
      <c r="BJ435" s="579"/>
      <c r="BK435" s="579"/>
      <c r="BL435" s="579"/>
      <c r="BM435" s="579"/>
      <c r="BN435" s="579"/>
      <c r="BO435" s="579"/>
      <c r="BP435" s="579"/>
      <c r="BQ435" s="579"/>
      <c r="BR435" s="579"/>
    </row>
    <row r="436" spans="1:72" s="571" customFormat="1" ht="13.5" hidden="1" collapsed="1" thickBot="1">
      <c r="A436" s="3197"/>
      <c r="B436" s="3198"/>
      <c r="C436" s="3188" t="s">
        <v>429</v>
      </c>
      <c r="D436" s="3188"/>
      <c r="E436" s="1245">
        <v>0</v>
      </c>
      <c r="F436" s="1016">
        <f>IF(SETUP!$F$57="Upfront",F437,F438)</f>
        <v>0</v>
      </c>
      <c r="G436" s="920">
        <f>IF(SETUP!$F$57="Upfront",G437,G438)</f>
        <v>0</v>
      </c>
      <c r="H436" s="920">
        <f>IF(SETUP!$F$57="Upfront",H437,H438)</f>
        <v>0</v>
      </c>
      <c r="I436" s="920">
        <f>IF(SETUP!$F$57="Upfront",I437,I438)</f>
        <v>0</v>
      </c>
      <c r="J436" s="920">
        <f t="shared" si="63"/>
        <v>0</v>
      </c>
      <c r="K436" s="1016">
        <f>IF(SETUP!$F$57="Upfront",K437,K438)</f>
        <v>0</v>
      </c>
      <c r="L436" s="920">
        <f>IF(SETUP!$F$57="Upfront",L437,L438)</f>
        <v>0</v>
      </c>
      <c r="M436" s="920">
        <f>IF(SETUP!$F$57="Upfront",M437,M438)</f>
        <v>0</v>
      </c>
      <c r="N436" s="920">
        <f>IF(SETUP!$F$57="Upfront",N437,N438)</f>
        <v>0</v>
      </c>
      <c r="O436" s="920">
        <f t="shared" si="64"/>
        <v>0</v>
      </c>
      <c r="P436" s="1016">
        <f>IF(SETUP!$F$57="Upfront",P437,P438)</f>
        <v>0</v>
      </c>
      <c r="Q436" s="920">
        <f>IF(SETUP!$F$57="Upfront",Q437,Q438)</f>
        <v>0</v>
      </c>
      <c r="R436" s="920">
        <f>IF(SETUP!$F$57="Upfront",R437,R438)</f>
        <v>0</v>
      </c>
      <c r="S436" s="920">
        <f>IF(SETUP!$F$57="Upfront",S437,S438)</f>
        <v>0</v>
      </c>
      <c r="T436" s="920">
        <f t="shared" si="65"/>
        <v>0</v>
      </c>
      <c r="U436" s="1016">
        <f t="shared" si="66"/>
        <v>0</v>
      </c>
      <c r="V436" s="1344">
        <v>7.3</v>
      </c>
      <c r="W436" s="2006"/>
      <c r="X436" s="654"/>
      <c r="Y436" s="579"/>
      <c r="Z436" s="579"/>
      <c r="AA436" s="579"/>
      <c r="AB436" s="579"/>
      <c r="AC436" s="579"/>
      <c r="AD436" s="579"/>
      <c r="AE436" s="579"/>
      <c r="AF436" s="674"/>
      <c r="AG436" s="579"/>
      <c r="AH436" s="579"/>
      <c r="AI436" s="579"/>
      <c r="AJ436" s="579"/>
      <c r="AK436" s="579"/>
      <c r="AL436" s="579"/>
      <c r="AM436" s="579"/>
      <c r="AN436" s="579"/>
      <c r="AO436" s="579"/>
      <c r="AP436" s="579"/>
      <c r="AQ436" s="579"/>
      <c r="AR436" s="579"/>
      <c r="AS436" s="579"/>
      <c r="AT436" s="579"/>
      <c r="AU436" s="579"/>
      <c r="AV436" s="579"/>
      <c r="AW436" s="579"/>
      <c r="AX436" s="579"/>
      <c r="AY436" s="579"/>
      <c r="AZ436" s="579"/>
      <c r="BA436" s="579"/>
      <c r="BB436" s="579"/>
      <c r="BC436" s="579"/>
      <c r="BD436" s="579"/>
      <c r="BE436" s="579"/>
      <c r="BF436" s="579"/>
      <c r="BG436" s="579"/>
      <c r="BH436" s="579"/>
      <c r="BI436" s="579"/>
      <c r="BJ436" s="579"/>
      <c r="BK436" s="579"/>
      <c r="BL436" s="579"/>
      <c r="BM436" s="579"/>
      <c r="BN436" s="579"/>
      <c r="BO436" s="579"/>
      <c r="BP436" s="579"/>
      <c r="BQ436" s="579"/>
      <c r="BR436" s="579"/>
    </row>
    <row r="437" spans="1:72" s="571" customFormat="1" ht="16.149999999999999" hidden="1" customHeight="1" outlineLevel="1">
      <c r="A437" s="3197"/>
      <c r="B437" s="3198"/>
      <c r="C437" s="3182" t="s">
        <v>777</v>
      </c>
      <c r="D437" s="3182"/>
      <c r="E437" s="1579"/>
      <c r="F437" s="1016">
        <f>IF(SETUP!$F$57="Upfront",$E$436*'Malaria-Equipment &amp; Other HPs'!AX19,0)</f>
        <v>0</v>
      </c>
      <c r="G437" s="920">
        <f>IF(SETUP!$F$57="Upfront",$E$436*'Malaria-Equipment &amp; Other HPs'!AY19,0)</f>
        <v>0</v>
      </c>
      <c r="H437" s="920">
        <f>IF(SETUP!$F$57="Upfront",$E$436*'Malaria-Equipment &amp; Other HPs'!AZ19,0)</f>
        <v>0</v>
      </c>
      <c r="I437" s="920">
        <f>IF(SETUP!$F$57="Upfront",$E$436*'Malaria-Equipment &amp; Other HPs'!BA19,0)</f>
        <v>0</v>
      </c>
      <c r="J437" s="920">
        <f t="shared" si="63"/>
        <v>0</v>
      </c>
      <c r="K437" s="1016">
        <f>IF(SETUP!$F$57="Upfront",$E$436*'Malaria-Equipment &amp; Other HPs'!BB19,0)</f>
        <v>0</v>
      </c>
      <c r="L437" s="920">
        <f>IF(SETUP!$F$57="Upfront",$E$436*'Malaria-Equipment &amp; Other HPs'!BC19,0)</f>
        <v>0</v>
      </c>
      <c r="M437" s="920">
        <f>IF(SETUP!$F$57="Upfront",$E$436*'Malaria-Equipment &amp; Other HPs'!BD19,0)</f>
        <v>0</v>
      </c>
      <c r="N437" s="920">
        <f>IF(SETUP!$F$57="Upfront",$E$436*'Malaria-Equipment &amp; Other HPs'!BE19,0)</f>
        <v>0</v>
      </c>
      <c r="O437" s="920">
        <f t="shared" si="64"/>
        <v>0</v>
      </c>
      <c r="P437" s="1016">
        <f>IF(SETUP!$F$57="Upfront",$E$436*'Malaria-Equipment &amp; Other HPs'!BF19,0)</f>
        <v>0</v>
      </c>
      <c r="Q437" s="920">
        <f>IF(SETUP!$F$57="Upfront",$E$436*'Malaria-Equipment &amp; Other HPs'!BG19,0)</f>
        <v>0</v>
      </c>
      <c r="R437" s="920">
        <f>IF(SETUP!$F$57="Upfront",$E$436*'Malaria-Equipment &amp; Other HPs'!BH19,0)</f>
        <v>0</v>
      </c>
      <c r="S437" s="920">
        <f>IF(SETUP!$F$57="Upfront",$E$436*'Malaria-Equipment &amp; Other HPs'!BI19,0)</f>
        <v>0</v>
      </c>
      <c r="T437" s="920">
        <f t="shared" si="65"/>
        <v>0</v>
      </c>
      <c r="U437" s="1016">
        <f t="shared" si="66"/>
        <v>0</v>
      </c>
      <c r="V437" s="1344">
        <v>7.3</v>
      </c>
      <c r="W437" s="2006"/>
      <c r="X437" s="654"/>
      <c r="Y437" s="579"/>
      <c r="Z437" s="579"/>
      <c r="AA437" s="579"/>
      <c r="AB437" s="579"/>
      <c r="AC437" s="579"/>
      <c r="AD437" s="579"/>
      <c r="AE437" s="579"/>
      <c r="AF437" s="674"/>
      <c r="AG437" s="579"/>
      <c r="AH437" s="579"/>
      <c r="AI437" s="579"/>
      <c r="AJ437" s="579"/>
      <c r="AK437" s="579"/>
      <c r="AL437" s="579"/>
      <c r="AM437" s="579"/>
      <c r="AN437" s="579"/>
      <c r="AO437" s="579"/>
      <c r="AP437" s="579"/>
      <c r="AQ437" s="579"/>
      <c r="AR437" s="579"/>
      <c r="AS437" s="579"/>
      <c r="AT437" s="579"/>
      <c r="AU437" s="579"/>
      <c r="AV437" s="579"/>
      <c r="AW437" s="579"/>
      <c r="AX437" s="579"/>
      <c r="AY437" s="579"/>
      <c r="AZ437" s="579"/>
      <c r="BA437" s="579"/>
      <c r="BB437" s="579"/>
      <c r="BC437" s="579"/>
      <c r="BD437" s="579"/>
      <c r="BE437" s="579"/>
      <c r="BF437" s="579"/>
      <c r="BG437" s="579"/>
      <c r="BH437" s="579"/>
      <c r="BI437" s="579"/>
      <c r="BJ437" s="579"/>
      <c r="BK437" s="579"/>
      <c r="BL437" s="579"/>
      <c r="BM437" s="579"/>
      <c r="BN437" s="579"/>
      <c r="BO437" s="579"/>
      <c r="BP437" s="579"/>
      <c r="BQ437" s="579"/>
      <c r="BR437" s="579"/>
    </row>
    <row r="438" spans="1:72" s="571" customFormat="1" ht="17.25" hidden="1" customHeight="1" outlineLevel="1">
      <c r="A438" s="3197"/>
      <c r="B438" s="3198"/>
      <c r="C438" s="3182" t="s">
        <v>36</v>
      </c>
      <c r="D438" s="3182"/>
      <c r="E438" s="1579"/>
      <c r="F438" s="1016">
        <v>0</v>
      </c>
      <c r="G438" s="920">
        <f>IF(SETUP!$F$57="At delivery",IF(SETUP!$G$57=1,$E$436*'Malaria-Equipment &amp; Other HPs'!AX19,0),0)</f>
        <v>0</v>
      </c>
      <c r="H438" s="920">
        <f>IF(SETUP!$F$57="At delivery",IF(SETUP!$G$57=2,$E$436*'Malaria-Equipment &amp; Other HPs'!AX19,IF(SETUP!$G$57=1,$E$436*'Malaria-Equipment &amp; Other HPs'!AY19,0)),0)</f>
        <v>0</v>
      </c>
      <c r="I438" s="920">
        <f>IF(SETUP!$F$57="At delivery",IF(SETUP!$G$57=3,$E$436*'Malaria-Equipment &amp; Other HPs'!AX19,IF(SETUP!$G$57=2,$E$436*'Malaria-Equipment &amp; Other HPs'!AY19,IF(SETUP!$G$57=1,$E$436*'Malaria-Equipment &amp; Other HPs'!AZ19,0))),0)</f>
        <v>0</v>
      </c>
      <c r="J438" s="920">
        <f t="shared" si="63"/>
        <v>0</v>
      </c>
      <c r="K438" s="1016">
        <f>IF(SETUP!$F$57="At delivery",IF(SETUP!$G$57=4,$E$436*'Malaria-Equipment &amp; Other HPs'!AX19,IF(SETUP!$G$57=3,$E$436*'Malaria-Equipment &amp; Other HPs'!AY19,IF(SETUP!$G$57=2,$E$436*'Malaria-Equipment &amp; Other HPs'!AZ19,IF(SETUP!$G$57=1,$E$436*'Malaria-Equipment &amp; Other HPs'!BA19,0)))),0)</f>
        <v>0</v>
      </c>
      <c r="L438" s="920">
        <f>IF(SETUP!$F$57="At delivery",IF(SETUP!$G$57=4,$E$436*'Malaria-Equipment &amp; Other HPs'!AY19,IF(SETUP!$G$57=3,$E$436*'Malaria-Equipment &amp; Other HPs'!AZ19,IF(SETUP!$G$57=2,$E$436*'Malaria-Equipment &amp; Other HPs'!BA19,IF(SETUP!$G$57=1,$E$436*'Malaria-Equipment &amp; Other HPs'!BB19,0)))),0)</f>
        <v>0</v>
      </c>
      <c r="M438" s="920">
        <f>IF(SETUP!$F$57="At delivery",IF(SETUP!$G$57=4,$E$436*'Malaria-Equipment &amp; Other HPs'!AZ19,IF(SETUP!$G$57=3,$E$436*'Malaria-Equipment &amp; Other HPs'!BA19,IF(SETUP!$G$57=2,$E$436*'Malaria-Equipment &amp; Other HPs'!BB19,IF(SETUP!$G$57=1,$E$436*'Malaria-Equipment &amp; Other HPs'!BC19,0)))),0)</f>
        <v>0</v>
      </c>
      <c r="N438" s="920">
        <f>IF(SETUP!$F$57="At delivery",IF(SETUP!$G$57=4,$E$436*'Malaria-Equipment &amp; Other HPs'!BA19,IF(SETUP!$G$57=3,$E$436*'Malaria-Equipment &amp; Other HPs'!BB19,IF(SETUP!$G$57=2,$E$436*'Malaria-Equipment &amp; Other HPs'!BC19,IF(SETUP!$G$57=1,$E$436*'Malaria-Equipment &amp; Other HPs'!BD19,0)))),0)</f>
        <v>0</v>
      </c>
      <c r="O438" s="920">
        <f t="shared" si="64"/>
        <v>0</v>
      </c>
      <c r="P438" s="1016">
        <f>IF(SETUP!$F$57="At delivery",IF(SETUP!$G$57=4,$E$436*'Malaria-Equipment &amp; Other HPs'!BB19,IF(SETUP!$G$57=3,$E$436*'Malaria-Equipment &amp; Other HPs'!BC19,IF(SETUP!$G$57=2,$E$436*'Malaria-Equipment &amp; Other HPs'!BD19,IF(SETUP!$G$57=1,$E$436*'Malaria-Equipment &amp; Other HPs'!BE19,0)))),0)</f>
        <v>0</v>
      </c>
      <c r="Q438" s="920">
        <f>IF(SETUP!$F$57="At delivery",IF(SETUP!$G$57=4,$E$436*'Malaria-Equipment &amp; Other HPs'!BC19,IF(SETUP!$G$57=3,$E$436*'Malaria-Equipment &amp; Other HPs'!BD19,IF(SETUP!$G$57=2,$E$436*'Malaria-Equipment &amp; Other HPs'!BE19,IF(SETUP!$G$57=1,$E$436*'Malaria-Equipment &amp; Other HPs'!BF19,0)))),0)</f>
        <v>0</v>
      </c>
      <c r="R438" s="920">
        <f>IF(SETUP!$F$57="At delivery",IF(SETUP!$G$57=4,$E$436*'Malaria-Equipment &amp; Other HPs'!BD19,IF(SETUP!$G$57=3,$E$436*'Malaria-Equipment &amp; Other HPs'!BE19,IF(SETUP!$G$57=2,$E$436*'Malaria-Equipment &amp; Other HPs'!BF19,IF(SETUP!$G$57=1,$E$436*'Malaria-Equipment &amp; Other HPs'!BG19,0)))),0)</f>
        <v>0</v>
      </c>
      <c r="S438" s="920">
        <f>IF(SETUP!$F$57="At delivery",IF(SETUP!$G$57=4,$E$436*('Malaria-Equipment &amp; Other HPs'!BE19+'Malaria-Equipment &amp; Other HPs'!BF19+'Malaria-Equipment &amp; Other HPs'!BG19+'Malaria-Equipment &amp; Other HPs'!BH19+'Malaria-Equipment &amp; Other HPs'!BI19),IF(SETUP!$G$57=3,$E$436*('Malaria-Equipment &amp; Other HPs'!BF19+'Malaria-Equipment &amp; Other HPs'!BG19+'Malaria-Equipment &amp; Other HPs'!BH19+'Malaria-Equipment &amp; Other HPs'!BI19),IF(SETUP!$G$57=2,$E$436*('Malaria-Equipment &amp; Other HPs'!BG19+'Malaria-Equipment &amp; Other HPs'!BH19+'Malaria-Equipment &amp; Other HPs'!BI19),IF(SETUP!$G$57=1,$E$436*('Malaria-Equipment &amp; Other HPs'!BH19+'Malaria-Equipment &amp; Other HPs'!BI19),0)))),0)</f>
        <v>0</v>
      </c>
      <c r="T438" s="920">
        <f t="shared" si="65"/>
        <v>0</v>
      </c>
      <c r="U438" s="1016">
        <f t="shared" si="66"/>
        <v>0</v>
      </c>
      <c r="V438" s="1344">
        <v>7.3</v>
      </c>
      <c r="W438" s="2006"/>
      <c r="X438" s="654"/>
      <c r="Y438" s="579"/>
      <c r="Z438" s="579"/>
      <c r="AA438" s="579"/>
      <c r="AB438" s="579"/>
      <c r="AC438" s="579"/>
      <c r="AD438" s="579"/>
      <c r="AE438" s="579"/>
      <c r="AF438" s="674"/>
      <c r="AG438" s="579"/>
      <c r="AH438" s="579"/>
      <c r="AI438" s="579"/>
      <c r="AJ438" s="579"/>
      <c r="AK438" s="579"/>
      <c r="AL438" s="579"/>
      <c r="AM438" s="579"/>
      <c r="AN438" s="579"/>
      <c r="AO438" s="579"/>
      <c r="AP438" s="579"/>
      <c r="AQ438" s="579"/>
      <c r="AR438" s="579"/>
      <c r="AS438" s="579"/>
      <c r="AT438" s="579"/>
      <c r="AU438" s="579"/>
      <c r="AV438" s="579"/>
      <c r="AW438" s="579"/>
      <c r="AX438" s="579"/>
      <c r="AY438" s="579"/>
      <c r="AZ438" s="579"/>
      <c r="BA438" s="579"/>
      <c r="BB438" s="579"/>
      <c r="BC438" s="579"/>
      <c r="BD438" s="579"/>
      <c r="BE438" s="579"/>
      <c r="BF438" s="579"/>
      <c r="BG438" s="579"/>
      <c r="BH438" s="579"/>
      <c r="BI438" s="579"/>
      <c r="BJ438" s="579"/>
      <c r="BK438" s="579"/>
      <c r="BL438" s="579"/>
      <c r="BM438" s="579"/>
      <c r="BN438" s="579"/>
      <c r="BO438" s="579"/>
      <c r="BP438" s="579"/>
      <c r="BQ438" s="579"/>
      <c r="BR438" s="579"/>
    </row>
    <row r="439" spans="1:72" s="571" customFormat="1" ht="13.5" hidden="1" collapsed="1" thickBot="1">
      <c r="A439" s="3199"/>
      <c r="B439" s="3200"/>
      <c r="C439" s="3204" t="s">
        <v>459</v>
      </c>
      <c r="D439" s="3204"/>
      <c r="E439" s="1245">
        <v>0</v>
      </c>
      <c r="F439" s="1017">
        <f>IF(SETUP!$F$58="Upfront",F440,F441)</f>
        <v>0</v>
      </c>
      <c r="G439" s="1018">
        <f>IF(SETUP!$F$58="Upfront",G440,G441)</f>
        <v>0</v>
      </c>
      <c r="H439" s="1018">
        <f>IF(SETUP!$F$58="Upfront",H440,H441)</f>
        <v>0</v>
      </c>
      <c r="I439" s="1018">
        <f>IF(SETUP!$F$58="Upfront",I440,I441)</f>
        <v>0</v>
      </c>
      <c r="J439" s="1018">
        <f t="shared" si="63"/>
        <v>0</v>
      </c>
      <c r="K439" s="1017">
        <f>IF(SETUP!$F$58="Upfront",K440,K441)</f>
        <v>0</v>
      </c>
      <c r="L439" s="1018">
        <f>IF(SETUP!$F$58="Upfront",L440,L441)</f>
        <v>0</v>
      </c>
      <c r="M439" s="1018">
        <f>IF(SETUP!$F$58="Upfront",M440,M441)</f>
        <v>0</v>
      </c>
      <c r="N439" s="1018">
        <f>IF(SETUP!$F$58="Upfront",N440,N441)</f>
        <v>0</v>
      </c>
      <c r="O439" s="1018">
        <f t="shared" si="64"/>
        <v>0</v>
      </c>
      <c r="P439" s="1017">
        <f>IF(SETUP!$F$58="Upfront",P440,P441)</f>
        <v>0</v>
      </c>
      <c r="Q439" s="1018">
        <f>IF(SETUP!$F$58="Upfront",Q440,Q441)</f>
        <v>0</v>
      </c>
      <c r="R439" s="1018">
        <f>IF(SETUP!$F$58="Upfront",R440,R441)</f>
        <v>0</v>
      </c>
      <c r="S439" s="1018">
        <f>IF(SETUP!$F$58="Upfront",S440,S441)</f>
        <v>0</v>
      </c>
      <c r="T439" s="1018">
        <f t="shared" si="65"/>
        <v>0</v>
      </c>
      <c r="U439" s="1017">
        <f t="shared" si="66"/>
        <v>0</v>
      </c>
      <c r="V439" s="1345">
        <v>7.3</v>
      </c>
      <c r="W439" s="2007"/>
      <c r="X439" s="654"/>
      <c r="Y439" s="579"/>
      <c r="Z439" s="579"/>
      <c r="AA439" s="579"/>
      <c r="AB439" s="579"/>
      <c r="AC439" s="579"/>
      <c r="AD439" s="579"/>
      <c r="AE439" s="579"/>
      <c r="AF439" s="674"/>
      <c r="AG439" s="579"/>
      <c r="AH439" s="579"/>
      <c r="AI439" s="579"/>
      <c r="AJ439" s="579"/>
      <c r="AK439" s="579"/>
      <c r="AL439" s="579"/>
      <c r="AM439" s="579"/>
      <c r="AN439" s="579"/>
      <c r="AO439" s="579"/>
      <c r="AP439" s="579"/>
      <c r="AQ439" s="579"/>
      <c r="AR439" s="579"/>
      <c r="AS439" s="579"/>
      <c r="AT439" s="579"/>
      <c r="AU439" s="579"/>
      <c r="AV439" s="579"/>
      <c r="AW439" s="579"/>
      <c r="AX439" s="579"/>
      <c r="AY439" s="579"/>
      <c r="AZ439" s="579"/>
      <c r="BA439" s="579"/>
      <c r="BB439" s="579"/>
      <c r="BC439" s="579"/>
      <c r="BD439" s="579"/>
      <c r="BE439" s="579"/>
      <c r="BF439" s="579"/>
      <c r="BG439" s="579"/>
      <c r="BH439" s="579"/>
      <c r="BI439" s="579"/>
      <c r="BJ439" s="579"/>
      <c r="BK439" s="579"/>
      <c r="BL439" s="579"/>
      <c r="BM439" s="579"/>
      <c r="BN439" s="579"/>
      <c r="BO439" s="579"/>
      <c r="BP439" s="579"/>
      <c r="BQ439" s="579"/>
      <c r="BR439" s="579"/>
    </row>
    <row r="440" spans="1:72" s="571" customFormat="1" ht="12.75" hidden="1" customHeight="1" outlineLevel="1">
      <c r="A440" s="1027"/>
      <c r="B440" s="1028"/>
      <c r="C440" s="3241" t="s">
        <v>777</v>
      </c>
      <c r="D440" s="3241"/>
      <c r="E440" s="1013"/>
      <c r="F440" s="937">
        <f>IF(SETUP!$F$58="Upfront",$E$439*'Malaria-Equipment &amp; Other HPs'!AX20,0)</f>
        <v>0</v>
      </c>
      <c r="G440" s="938">
        <f>IF(SETUP!$F$58="Upfront",$E$439*'Malaria-Equipment &amp; Other HPs'!AY20,0)</f>
        <v>0</v>
      </c>
      <c r="H440" s="938">
        <f>IF(SETUP!$F$58="Upfront",$E$439*'Malaria-Equipment &amp; Other HPs'!AZ20,0)</f>
        <v>0</v>
      </c>
      <c r="I440" s="938">
        <f>IF(SETUP!$F$58="Upfront",$E$439*'Malaria-Equipment &amp; Other HPs'!BA20,0)</f>
        <v>0</v>
      </c>
      <c r="J440" s="939">
        <f>SUM('HPM costs'!$F440:$I440)</f>
        <v>0</v>
      </c>
      <c r="K440" s="937">
        <f>IF(SETUP!$F$58="Upfront",$E$439*'Malaria-Equipment &amp; Other HPs'!BB20,0)</f>
        <v>0</v>
      </c>
      <c r="L440" s="938">
        <f>IF(SETUP!$F$58="Upfront",$E$439*'Malaria-Equipment &amp; Other HPs'!BC20,0)</f>
        <v>0</v>
      </c>
      <c r="M440" s="938">
        <f>IF(SETUP!$F$58="Upfront",$E$439*'Malaria-Equipment &amp; Other HPs'!BD20,0)</f>
        <v>0</v>
      </c>
      <c r="N440" s="938">
        <f>IF(SETUP!$F$58="Upfront",$E$439*'Malaria-Equipment &amp; Other HPs'!BE20,0)</f>
        <v>0</v>
      </c>
      <c r="O440" s="939">
        <f>SUM('HPM costs'!$K440:$N440)</f>
        <v>0</v>
      </c>
      <c r="P440" s="937">
        <f>IF(SETUP!$F$58="Upfront",$E$439*'Malaria-Equipment &amp; Other HPs'!BF20,0)</f>
        <v>0</v>
      </c>
      <c r="Q440" s="938">
        <f>IF(SETUP!$F$58="Upfront",$E$439*'Malaria-Equipment &amp; Other HPs'!BG20,0)</f>
        <v>0</v>
      </c>
      <c r="R440" s="938">
        <f>IF(SETUP!$F$58="Upfront",$E$439*'Malaria-Equipment &amp; Other HPs'!BH20,0)</f>
        <v>0</v>
      </c>
      <c r="S440" s="938">
        <f>IF(SETUP!$F$58="Upfront",$E$439*'Malaria-Equipment &amp; Other HPs'!BI20,0)</f>
        <v>0</v>
      </c>
      <c r="T440" s="939">
        <f>SUM('HPM costs'!$P440:$S440)</f>
        <v>0</v>
      </c>
      <c r="U440" s="940">
        <f>'HPM costs'!$T440+'HPM costs'!$O440+'HPM costs'!$J440</f>
        <v>0</v>
      </c>
      <c r="V440" s="743"/>
      <c r="W440" s="2008"/>
      <c r="X440" s="654"/>
      <c r="Y440" s="579"/>
      <c r="Z440" s="579"/>
      <c r="AA440" s="579"/>
      <c r="AB440" s="579"/>
      <c r="AC440" s="579"/>
      <c r="AD440" s="579"/>
      <c r="AE440" s="579"/>
      <c r="AF440" s="674"/>
      <c r="AG440" s="579"/>
      <c r="AH440" s="579"/>
      <c r="AI440" s="579"/>
      <c r="AJ440" s="579"/>
      <c r="AK440" s="579"/>
      <c r="AL440" s="579"/>
      <c r="AM440" s="579"/>
      <c r="AN440" s="579"/>
      <c r="AO440" s="579"/>
      <c r="AP440" s="579"/>
      <c r="AQ440" s="579"/>
      <c r="AR440" s="579"/>
      <c r="AS440" s="579"/>
      <c r="AT440" s="579"/>
      <c r="AU440" s="579"/>
      <c r="AV440" s="579"/>
      <c r="AW440" s="579"/>
      <c r="AX440" s="579"/>
      <c r="AY440" s="579"/>
      <c r="AZ440" s="579"/>
      <c r="BA440" s="579"/>
      <c r="BB440" s="579"/>
      <c r="BC440" s="579"/>
      <c r="BD440" s="579"/>
      <c r="BE440" s="579"/>
      <c r="BF440" s="579"/>
      <c r="BG440" s="579"/>
      <c r="BH440" s="579"/>
      <c r="BI440" s="579"/>
      <c r="BJ440" s="579"/>
      <c r="BK440" s="579"/>
      <c r="BL440" s="579"/>
      <c r="BM440" s="579"/>
      <c r="BN440" s="579"/>
      <c r="BO440" s="579"/>
      <c r="BP440" s="579"/>
      <c r="BQ440" s="579"/>
      <c r="BR440" s="579"/>
    </row>
    <row r="441" spans="1:72" s="571" customFormat="1" ht="13.5" hidden="1" customHeight="1" outlineLevel="1" thickBot="1">
      <c r="A441" s="976"/>
      <c r="B441" s="977"/>
      <c r="C441" s="3244" t="s">
        <v>36</v>
      </c>
      <c r="D441" s="3244"/>
      <c r="E441" s="1014"/>
      <c r="F441" s="941">
        <v>0</v>
      </c>
      <c r="G441" s="942">
        <f>IF(SETUP!$F$58="At delivery",IF(SETUP!$G$58=1,$E$439*'Malaria-Equipment &amp; Other HPs'!AX20,0),0)</f>
        <v>0</v>
      </c>
      <c r="H441" s="942">
        <f>IF(SETUP!$F$58="At delivery",IF(SETUP!$G$58=2,$E$439*'Malaria-Equipment &amp; Other HPs'!AX20,IF(SETUP!$G$58=1,$E$439*'Malaria-Equipment &amp; Other HPs'!AY20,0)),0)</f>
        <v>0</v>
      </c>
      <c r="I441" s="942">
        <f>IF(SETUP!$F$58="At delivery",IF(SETUP!$G$58=3,$E$439*'Malaria-Equipment &amp; Other HPs'!AX20,IF(SETUP!$G$58=2,$E$439*'Malaria-Equipment &amp; Other HPs'!AY20,IF(SETUP!$G$58=1,$E$439*'Malaria-Equipment &amp; Other HPs'!AZ20,0))),0)</f>
        <v>0</v>
      </c>
      <c r="J441" s="943">
        <f>SUM('HPM costs'!$F441:$I441)</f>
        <v>0</v>
      </c>
      <c r="K441" s="941">
        <f>IF(SETUP!$F$58="At delivery",IF(SETUP!$G$58=4,$E$439*'Malaria-Equipment &amp; Other HPs'!AX20,IF(SETUP!$G$58=3,$E$439*'Malaria-Equipment &amp; Other HPs'!AY20,IF(SETUP!$G$58=2,$E$439*'Malaria-Equipment &amp; Other HPs'!AZ20,IF(SETUP!$G$58=1,$E$439*'Malaria-Equipment &amp; Other HPs'!BA20,0)))),0)</f>
        <v>0</v>
      </c>
      <c r="L441" s="942">
        <f>IF(SETUP!$F$58="At delivery",IF(SETUP!$G$58=4,$E$439*'Malaria-Equipment &amp; Other HPs'!AY20,IF(SETUP!$G$58=3,$E$439*'Malaria-Equipment &amp; Other HPs'!AZ20,IF(SETUP!$G$58=2,$E$439*'Malaria-Equipment &amp; Other HPs'!BA20,IF(SETUP!$G$58=1,$E$439*'Malaria-Equipment &amp; Other HPs'!BB20,0)))),0)</f>
        <v>0</v>
      </c>
      <c r="M441" s="942">
        <f>IF(SETUP!$F$58="At delivery",IF(SETUP!$G$58=4,$E$439*'Malaria-Equipment &amp; Other HPs'!AZ20,IF(SETUP!$G$58=3,$E$439*'Malaria-Equipment &amp; Other HPs'!BA20,IF(SETUP!$G$58=2,$E$439*'Malaria-Equipment &amp; Other HPs'!BB20,IF(SETUP!$G$58=1,$E$439*'Malaria-Equipment &amp; Other HPs'!BC20,0)))),0)</f>
        <v>0</v>
      </c>
      <c r="N441" s="942">
        <f>IF(SETUP!$F$58="At delivery",IF(SETUP!$G$58=4,$E$439*'Malaria-Equipment &amp; Other HPs'!BA20,IF(SETUP!$G$58=3,$E$439*'Malaria-Equipment &amp; Other HPs'!BB20,IF(SETUP!$G$58=2,$E$439*'Malaria-Equipment &amp; Other HPs'!BC20,IF(SETUP!$G$58=1,$E$439*'Malaria-Equipment &amp; Other HPs'!BD20,0)))),0)</f>
        <v>0</v>
      </c>
      <c r="O441" s="943">
        <f>SUM('HPM costs'!$K441:$N441)</f>
        <v>0</v>
      </c>
      <c r="P441" s="941">
        <f>IF(SETUP!$F$58="At delivery",IF(SETUP!$G$58=4,$E$439*'Malaria-Equipment &amp; Other HPs'!BB20,IF(SETUP!$G$58=3,$E$439*'Malaria-Equipment &amp; Other HPs'!BC20,IF(SETUP!$G$58=2,$E$439*'Malaria-Equipment &amp; Other HPs'!BD20,IF(SETUP!$G$58=1,$E$439*'Malaria-Equipment &amp; Other HPs'!BE20,0)))),0)</f>
        <v>0</v>
      </c>
      <c r="Q441" s="942">
        <f>IF(SETUP!$F$58="At delivery",IF(SETUP!$G$58=4,$E$439*'Malaria-Equipment &amp; Other HPs'!BC20,IF(SETUP!$G$58=3,$E$439*'Malaria-Equipment &amp; Other HPs'!BD20,IF(SETUP!$G$58=2,$E$439*'Malaria-Equipment &amp; Other HPs'!BE20,IF(SETUP!$G$58=1,$E$439*'Malaria-Equipment &amp; Other HPs'!BF20,0)))),0)</f>
        <v>0</v>
      </c>
      <c r="R441" s="942">
        <f>IF(SETUP!$F$58="At delivery",IF(SETUP!$G$58=4,$E$439*'Malaria-Equipment &amp; Other HPs'!BD20,IF(SETUP!$G$58=3,$E$439*'Malaria-Equipment &amp; Other HPs'!BE20,IF(SETUP!$G$58=2,$E$439*'Malaria-Equipment &amp; Other HPs'!BF20,IF(SETUP!$G$58=1,$E$439*'Malaria-Equipment &amp; Other HPs'!BG20,0)))),0)</f>
        <v>0</v>
      </c>
      <c r="S441" s="942">
        <f>IF(SETUP!$F$58="At delivery",IF(SETUP!$G$58=4,$E$439*('Malaria-Equipment &amp; Other HPs'!BE20+'Malaria-Equipment &amp; Other HPs'!BF20+'Malaria-Equipment &amp; Other HPs'!BG20+'Malaria-Equipment &amp; Other HPs'!BH20+'Malaria-Equipment &amp; Other HPs'!BI20),IF(SETUP!$G$58=3,$E$439*('Malaria-Equipment &amp; Other HPs'!BF20+'Malaria-Equipment &amp; Other HPs'!BG20+'Malaria-Equipment &amp; Other HPs'!BH20+'Malaria-Equipment &amp; Other HPs'!BI20),IF(SETUP!$G$58=2,$E$439*('Malaria-Equipment &amp; Other HPs'!BG20+'Malaria-Equipment &amp; Other HPs'!BH20+'Malaria-Equipment &amp; Other HPs'!BI20),IF(SETUP!$G$58=1,$E$439*('Malaria-Equipment &amp; Other HPs'!BH20+'Malaria-Equipment &amp; Other HPs'!BI20),0)))),0)</f>
        <v>0</v>
      </c>
      <c r="T441" s="943">
        <f>SUM('HPM costs'!$P441:$S441)</f>
        <v>0</v>
      </c>
      <c r="U441" s="944">
        <f>'HPM costs'!$T441+'HPM costs'!$O441+'HPM costs'!$J441</f>
        <v>0</v>
      </c>
      <c r="V441" s="744"/>
      <c r="W441" s="573"/>
      <c r="X441" s="654"/>
      <c r="Y441" s="579"/>
      <c r="Z441" s="579"/>
      <c r="AA441" s="579"/>
      <c r="AB441" s="579"/>
      <c r="AC441" s="579"/>
      <c r="AD441" s="579"/>
      <c r="AE441" s="579"/>
      <c r="AF441" s="674"/>
      <c r="AG441" s="579"/>
      <c r="AH441" s="579"/>
      <c r="AI441" s="579"/>
      <c r="AJ441" s="579"/>
      <c r="AK441" s="579"/>
      <c r="AL441" s="579"/>
      <c r="AM441" s="579"/>
      <c r="AN441" s="579"/>
      <c r="AO441" s="579"/>
      <c r="AP441" s="579"/>
      <c r="AQ441" s="579"/>
      <c r="AR441" s="579"/>
      <c r="AS441" s="579"/>
      <c r="AT441" s="579"/>
      <c r="AU441" s="579"/>
      <c r="AV441" s="579"/>
      <c r="AW441" s="579"/>
      <c r="AX441" s="579"/>
      <c r="AY441" s="579"/>
      <c r="AZ441" s="579"/>
      <c r="BA441" s="579"/>
      <c r="BB441" s="579"/>
      <c r="BC441" s="579"/>
      <c r="BD441" s="579"/>
      <c r="BE441" s="579"/>
      <c r="BF441" s="579"/>
      <c r="BG441" s="579"/>
      <c r="BH441" s="579"/>
      <c r="BI441" s="579"/>
      <c r="BJ441" s="579"/>
      <c r="BK441" s="579"/>
      <c r="BL441" s="579"/>
      <c r="BM441" s="579"/>
      <c r="BN441" s="579"/>
      <c r="BO441" s="579"/>
      <c r="BP441" s="579"/>
      <c r="BQ441" s="579"/>
      <c r="BR441" s="579"/>
    </row>
    <row r="442" spans="1:72" s="688" customFormat="1" ht="13" collapsed="1">
      <c r="A442" s="681"/>
      <c r="B442" s="681"/>
      <c r="C442" s="682"/>
      <c r="D442" s="683"/>
      <c r="E442" s="724"/>
      <c r="F442" s="683"/>
      <c r="G442" s="683"/>
      <c r="H442" s="684"/>
      <c r="I442" s="684"/>
      <c r="J442" s="684"/>
      <c r="K442" s="684"/>
      <c r="L442" s="574"/>
      <c r="M442" s="684"/>
      <c r="N442" s="684"/>
      <c r="O442" s="684"/>
      <c r="P442" s="684"/>
      <c r="Q442" s="574"/>
      <c r="R442" s="684"/>
      <c r="S442" s="684"/>
      <c r="T442" s="684"/>
      <c r="U442" s="1718"/>
      <c r="V442" s="745"/>
      <c r="W442" s="2009"/>
      <c r="X442" s="575"/>
      <c r="Y442" s="685"/>
      <c r="Z442" s="655"/>
      <c r="AA442" s="686"/>
      <c r="AB442" s="686"/>
      <c r="AC442" s="686"/>
      <c r="AD442" s="686"/>
      <c r="AE442" s="686"/>
      <c r="AF442" s="686"/>
      <c r="AG442" s="686"/>
      <c r="AH442" s="687"/>
      <c r="AI442" s="686"/>
      <c r="AJ442" s="686"/>
      <c r="AK442" s="686"/>
      <c r="AL442" s="686"/>
      <c r="AM442" s="686"/>
      <c r="AN442" s="686"/>
      <c r="AO442" s="686"/>
      <c r="AP442" s="686"/>
      <c r="AQ442" s="686"/>
      <c r="AR442" s="686"/>
      <c r="AS442" s="686"/>
      <c r="AT442" s="686"/>
      <c r="AU442" s="686"/>
      <c r="AV442" s="686"/>
      <c r="AW442" s="686"/>
      <c r="AX442" s="686"/>
      <c r="AY442" s="686"/>
      <c r="AZ442" s="686"/>
      <c r="BA442" s="686"/>
      <c r="BB442" s="686"/>
      <c r="BC442" s="686"/>
      <c r="BD442" s="686"/>
      <c r="BE442" s="686"/>
      <c r="BF442" s="686"/>
      <c r="BG442" s="686"/>
      <c r="BH442" s="686"/>
      <c r="BI442" s="686"/>
      <c r="BJ442" s="686"/>
      <c r="BK442" s="686"/>
      <c r="BL442" s="686"/>
      <c r="BM442" s="686"/>
      <c r="BN442" s="686"/>
      <c r="BO442" s="686"/>
      <c r="BP442" s="686"/>
      <c r="BQ442" s="686"/>
      <c r="BR442" s="686"/>
      <c r="BS442" s="686"/>
      <c r="BT442" s="686"/>
    </row>
    <row r="443" spans="1:72" s="688" customFormat="1" ht="13">
      <c r="A443" s="681"/>
      <c r="B443" s="681"/>
      <c r="C443" s="682"/>
      <c r="D443" s="683"/>
      <c r="E443" s="724"/>
      <c r="F443" s="683"/>
      <c r="G443" s="683"/>
      <c r="H443" s="684"/>
      <c r="I443" s="684"/>
      <c r="J443" s="684"/>
      <c r="K443" s="684"/>
      <c r="L443" s="574"/>
      <c r="M443" s="684"/>
      <c r="N443" s="684"/>
      <c r="O443" s="684"/>
      <c r="P443" s="684"/>
      <c r="Q443" s="574"/>
      <c r="R443" s="684"/>
      <c r="S443" s="684"/>
      <c r="T443" s="684"/>
      <c r="U443" s="684"/>
      <c r="V443" s="745"/>
      <c r="W443" s="2009"/>
      <c r="X443" s="575"/>
      <c r="Y443" s="685"/>
      <c r="Z443" s="655"/>
      <c r="AA443" s="686"/>
      <c r="AB443" s="686"/>
      <c r="AC443" s="686"/>
      <c r="AD443" s="686"/>
      <c r="AE443" s="686"/>
      <c r="AF443" s="686"/>
      <c r="AG443" s="686"/>
      <c r="AH443" s="687"/>
      <c r="AI443" s="686"/>
      <c r="AJ443" s="686"/>
      <c r="AK443" s="686"/>
      <c r="AL443" s="686"/>
      <c r="AM443" s="686"/>
      <c r="AN443" s="686"/>
      <c r="AO443" s="686"/>
      <c r="AP443" s="686"/>
      <c r="AQ443" s="686"/>
      <c r="AR443" s="686"/>
      <c r="AS443" s="686"/>
      <c r="AT443" s="686"/>
      <c r="AU443" s="686"/>
      <c r="AV443" s="686"/>
      <c r="AW443" s="686"/>
      <c r="AX443" s="686"/>
      <c r="AY443" s="686"/>
      <c r="AZ443" s="686"/>
      <c r="BA443" s="686"/>
      <c r="BB443" s="686"/>
      <c r="BC443" s="686"/>
      <c r="BD443" s="686"/>
      <c r="BE443" s="686"/>
      <c r="BF443" s="686"/>
      <c r="BG443" s="686"/>
      <c r="BH443" s="686"/>
      <c r="BI443" s="686"/>
      <c r="BJ443" s="686"/>
      <c r="BK443" s="686"/>
      <c r="BL443" s="686"/>
      <c r="BM443" s="686"/>
      <c r="BN443" s="686"/>
      <c r="BO443" s="686"/>
      <c r="BP443" s="686"/>
      <c r="BQ443" s="686"/>
      <c r="BR443" s="686"/>
      <c r="BS443" s="686"/>
      <c r="BT443" s="686"/>
    </row>
    <row r="444" spans="1:72" s="1073" customFormat="1" ht="19.5" customHeight="1" thickBot="1">
      <c r="A444" s="1067" t="s">
        <v>1236</v>
      </c>
      <c r="B444" s="681"/>
      <c r="C444" s="682"/>
      <c r="D444" s="681"/>
      <c r="E444" s="1049"/>
      <c r="F444" s="1080"/>
      <c r="G444" s="681"/>
      <c r="H444" s="1050"/>
      <c r="I444" s="1050"/>
      <c r="J444" s="1050"/>
      <c r="K444" s="1050"/>
      <c r="L444" s="1050"/>
      <c r="M444" s="1050"/>
      <c r="N444" s="1050"/>
      <c r="O444" s="1050"/>
      <c r="P444" s="1050"/>
      <c r="Q444" s="1050"/>
      <c r="R444" s="1050"/>
      <c r="S444" s="1050"/>
      <c r="T444" s="1050"/>
      <c r="U444" s="1050"/>
      <c r="V444" s="1069"/>
      <c r="W444" s="2010"/>
      <c r="X444" s="1070"/>
      <c r="Y444" s="1347"/>
      <c r="Z444" s="682"/>
      <c r="AA444" s="1071"/>
      <c r="AB444" s="1071"/>
      <c r="AC444" s="1071"/>
      <c r="AD444" s="1071"/>
      <c r="AE444" s="1071"/>
      <c r="AF444" s="1071"/>
      <c r="AG444" s="1071"/>
      <c r="AH444" s="1072"/>
      <c r="AI444" s="1071"/>
      <c r="AJ444" s="1071"/>
      <c r="AK444" s="1071"/>
      <c r="AL444" s="1071"/>
      <c r="AM444" s="1071"/>
      <c r="AN444" s="1071"/>
      <c r="AO444" s="1071"/>
      <c r="AP444" s="1071"/>
      <c r="AQ444" s="1071"/>
      <c r="AR444" s="1071"/>
      <c r="AS444" s="1071"/>
      <c r="AT444" s="1071"/>
      <c r="AU444" s="1071"/>
      <c r="AV444" s="1071"/>
      <c r="AW444" s="1071"/>
      <c r="AX444" s="1071"/>
      <c r="AY444" s="1071"/>
      <c r="AZ444" s="1071"/>
      <c r="BA444" s="1071"/>
      <c r="BB444" s="1071"/>
      <c r="BC444" s="1071"/>
      <c r="BD444" s="1071"/>
      <c r="BE444" s="1071"/>
      <c r="BF444" s="1071"/>
      <c r="BG444" s="1071"/>
      <c r="BH444" s="1071"/>
      <c r="BI444" s="1071"/>
      <c r="BJ444" s="1071"/>
      <c r="BK444" s="1071"/>
      <c r="BL444" s="1071"/>
      <c r="BM444" s="1071"/>
      <c r="BN444" s="1071"/>
      <c r="BO444" s="1071"/>
      <c r="BP444" s="1071"/>
      <c r="BQ444" s="1071"/>
      <c r="BR444" s="1071"/>
      <c r="BS444" s="1071"/>
      <c r="BT444" s="1071"/>
    </row>
    <row r="445" spans="1:72" s="688" customFormat="1" ht="25.9" customHeight="1" thickBot="1">
      <c r="A445" s="3209" t="str">
        <f>VLOOKUP("Cost description (e.g: service provider,…)",Language!$D$882:$G$969,$L$1,FALSE)</f>
        <v>Descripción del costo (por ejemplo: proveedor de servicios,…)</v>
      </c>
      <c r="B445" s="3210"/>
      <c r="C445" s="3210"/>
      <c r="D445" s="3219"/>
      <c r="E445" s="3180" t="str">
        <f>VLOOKUP("Estimated fees (7.4)",Language!$D$882:$G$969,$L$1,FALSE)</f>
        <v>Honorarios estimados (7.4)</v>
      </c>
      <c r="F445" s="3209">
        <f>IF(ISBLANK(IMP_ST_DATE),SETUP!$A$3,YEAR(IMP_ST_DATE))</f>
        <v>2022</v>
      </c>
      <c r="G445" s="3210"/>
      <c r="H445" s="3210"/>
      <c r="I445" s="3210"/>
      <c r="J445" s="3221"/>
      <c r="K445" s="3209">
        <f>IF(ISBLANK(IMP_ST_DATE),SETUP!$A$3,YEAR(IMP_ST_DATE)+1)</f>
        <v>2023</v>
      </c>
      <c r="L445" s="3210"/>
      <c r="M445" s="3210"/>
      <c r="N445" s="3210"/>
      <c r="O445" s="3221"/>
      <c r="P445" s="3209">
        <f>IF(ISBLANK(IMP_ST_DATE),SETUP!$A$3,YEAR(IMP_ST_DATE)+2)</f>
        <v>2024</v>
      </c>
      <c r="Q445" s="3210"/>
      <c r="R445" s="3210"/>
      <c r="S445" s="3210"/>
      <c r="T445" s="3221"/>
      <c r="U445" s="651" t="str">
        <f>U359</f>
        <v>Total del período de subvención</v>
      </c>
      <c r="V445" s="1358" t="str">
        <f>V359</f>
        <v>Finanzas</v>
      </c>
      <c r="W445" s="3284" t="str">
        <f>W359</f>
        <v>Comentarios</v>
      </c>
      <c r="X445" s="1348"/>
      <c r="Y445" s="1349"/>
      <c r="Z445" s="655"/>
      <c r="AA445" s="686"/>
      <c r="AB445" s="686"/>
      <c r="AC445" s="686"/>
      <c r="AD445" s="686"/>
      <c r="AE445" s="686"/>
      <c r="AF445" s="686"/>
      <c r="AG445" s="686"/>
      <c r="AH445" s="687"/>
      <c r="AI445" s="686"/>
      <c r="AJ445" s="686"/>
      <c r="AK445" s="686"/>
      <c r="AL445" s="686"/>
      <c r="AM445" s="686"/>
      <c r="AN445" s="686"/>
      <c r="AO445" s="686"/>
      <c r="AP445" s="686"/>
      <c r="AQ445" s="686"/>
      <c r="AR445" s="686"/>
      <c r="AS445" s="686"/>
      <c r="AT445" s="686"/>
      <c r="AU445" s="686"/>
      <c r="AV445" s="686"/>
      <c r="AW445" s="686"/>
      <c r="AX445" s="686"/>
      <c r="AY445" s="686"/>
      <c r="AZ445" s="686"/>
      <c r="BA445" s="686"/>
      <c r="BB445" s="686"/>
      <c r="BC445" s="686"/>
      <c r="BD445" s="686"/>
      <c r="BE445" s="686"/>
      <c r="BF445" s="686"/>
      <c r="BG445" s="686"/>
      <c r="BH445" s="686"/>
      <c r="BI445" s="686"/>
      <c r="BJ445" s="686"/>
      <c r="BK445" s="686"/>
      <c r="BL445" s="686"/>
      <c r="BM445" s="686"/>
      <c r="BN445" s="686"/>
      <c r="BO445" s="686"/>
      <c r="BP445" s="686"/>
      <c r="BQ445" s="686"/>
      <c r="BR445" s="686"/>
      <c r="BS445" s="686"/>
      <c r="BT445" s="686"/>
    </row>
    <row r="446" spans="1:72" s="688" customFormat="1" ht="23.25" customHeight="1" thickBot="1">
      <c r="A446" s="3212"/>
      <c r="B446" s="3213"/>
      <c r="C446" s="3213"/>
      <c r="D446" s="3220"/>
      <c r="E446" s="3181"/>
      <c r="F446" s="3212"/>
      <c r="G446" s="3213"/>
      <c r="H446" s="3213"/>
      <c r="I446" s="3213"/>
      <c r="J446" s="3222"/>
      <c r="K446" s="3212"/>
      <c r="L446" s="3213"/>
      <c r="M446" s="3213"/>
      <c r="N446" s="3213"/>
      <c r="O446" s="3222"/>
      <c r="P446" s="3212"/>
      <c r="Q446" s="3213"/>
      <c r="R446" s="3213"/>
      <c r="S446" s="3213"/>
      <c r="T446" s="3213"/>
      <c r="U446" s="1364" t="str">
        <f>U360</f>
        <v xml:space="preserve">Costo total </v>
      </c>
      <c r="V446" s="1338" t="str">
        <f>V360</f>
        <v>Categoría de costos</v>
      </c>
      <c r="W446" s="3285"/>
      <c r="X446" s="575"/>
      <c r="Y446" s="1350"/>
      <c r="Z446" s="655"/>
      <c r="AA446" s="686"/>
      <c r="AB446" s="686"/>
      <c r="AC446" s="686"/>
      <c r="AD446" s="686"/>
      <c r="AE446" s="686"/>
      <c r="AF446" s="686"/>
      <c r="AG446" s="686"/>
      <c r="AH446" s="687"/>
      <c r="AI446" s="686"/>
      <c r="AJ446" s="686"/>
      <c r="AK446" s="686"/>
      <c r="AL446" s="686"/>
      <c r="AM446" s="686"/>
      <c r="AN446" s="686"/>
      <c r="AO446" s="686"/>
      <c r="AP446" s="686"/>
      <c r="AQ446" s="686"/>
      <c r="AR446" s="686"/>
      <c r="AS446" s="686"/>
      <c r="AT446" s="686"/>
      <c r="AU446" s="686"/>
      <c r="AV446" s="686"/>
      <c r="AW446" s="686"/>
      <c r="AX446" s="686"/>
      <c r="AY446" s="686"/>
      <c r="AZ446" s="686"/>
      <c r="BA446" s="686"/>
      <c r="BB446" s="686"/>
      <c r="BC446" s="686"/>
      <c r="BD446" s="686"/>
      <c r="BE446" s="686"/>
      <c r="BF446" s="686"/>
      <c r="BG446" s="686"/>
      <c r="BH446" s="686"/>
      <c r="BI446" s="686"/>
      <c r="BJ446" s="686"/>
      <c r="BK446" s="686"/>
      <c r="BL446" s="686"/>
      <c r="BM446" s="686"/>
      <c r="BN446" s="686"/>
      <c r="BO446" s="686"/>
      <c r="BP446" s="686"/>
      <c r="BQ446" s="686"/>
      <c r="BR446" s="686"/>
      <c r="BS446" s="686"/>
      <c r="BT446" s="686"/>
    </row>
    <row r="447" spans="1:72" s="688" customFormat="1" ht="13.5" thickBot="1">
      <c r="A447" s="3191" t="s">
        <v>435</v>
      </c>
      <c r="B447" s="3192"/>
      <c r="C447" s="3203" t="s">
        <v>436</v>
      </c>
      <c r="D447" s="3203"/>
      <c r="E447" s="1245">
        <v>0</v>
      </c>
      <c r="F447" s="1015">
        <f>IF(SETUP!$F$20="Upfront",F448,F449)</f>
        <v>0</v>
      </c>
      <c r="G447" s="996">
        <f>IF(SETUP!$F$20="Upfront",G448,G449)</f>
        <v>0</v>
      </c>
      <c r="H447" s="996">
        <f>IF(SETUP!$F$20="Upfront",H448,H449)</f>
        <v>0</v>
      </c>
      <c r="I447" s="996">
        <f>IF(SETUP!$F$20="Upfront",I448,I449)</f>
        <v>0</v>
      </c>
      <c r="J447" s="996">
        <f>F447+G447+H447+I447</f>
        <v>0</v>
      </c>
      <c r="K447" s="1015">
        <f>IF(SETUP!$F$20="Upfront",K448,K449)</f>
        <v>0</v>
      </c>
      <c r="L447" s="996">
        <f>IF(SETUP!$F$20="Upfront",L448,L449)</f>
        <v>0</v>
      </c>
      <c r="M447" s="996">
        <f>IF(SETUP!$F$20="Upfront",M448,M449)</f>
        <v>0</v>
      </c>
      <c r="N447" s="996">
        <f>IF(SETUP!$F$20="Upfront",N448,N449)</f>
        <v>0</v>
      </c>
      <c r="O447" s="996">
        <f>K447+L447+M447+N447</f>
        <v>0</v>
      </c>
      <c r="P447" s="1015">
        <f>IF(SETUP!$F$20="Upfront",P448,P449)</f>
        <v>0</v>
      </c>
      <c r="Q447" s="996">
        <f>IF(SETUP!$F$20="Upfront",Q448,Q449)</f>
        <v>0</v>
      </c>
      <c r="R447" s="996">
        <f>IF(SETUP!$F$20="Upfront",R448,R449)</f>
        <v>0</v>
      </c>
      <c r="S447" s="996">
        <f>IF(SETUP!$F$20="Upfront",S448,S449)</f>
        <v>0</v>
      </c>
      <c r="T447" s="996">
        <f>P447+Q447+R447+S447</f>
        <v>0</v>
      </c>
      <c r="U447" s="1016">
        <f>J447+O447+T447</f>
        <v>0</v>
      </c>
      <c r="V447" s="1344">
        <v>7.4</v>
      </c>
      <c r="W447" s="2011"/>
      <c r="X447" s="575"/>
      <c r="Y447" s="1351"/>
      <c r="Z447" s="655"/>
      <c r="AA447" s="686"/>
      <c r="AB447" s="686"/>
      <c r="AC447" s="686"/>
      <c r="AD447" s="686"/>
      <c r="AE447" s="686"/>
      <c r="AF447" s="686"/>
      <c r="AG447" s="686"/>
      <c r="AH447" s="687"/>
      <c r="AI447" s="686"/>
      <c r="AJ447" s="686"/>
      <c r="AK447" s="686"/>
      <c r="AL447" s="686"/>
      <c r="AM447" s="686"/>
      <c r="AN447" s="686"/>
      <c r="AO447" s="686"/>
      <c r="AP447" s="686"/>
      <c r="AQ447" s="686"/>
      <c r="AR447" s="686"/>
      <c r="AS447" s="686"/>
      <c r="AT447" s="686"/>
      <c r="AU447" s="686"/>
      <c r="AV447" s="686"/>
      <c r="AW447" s="686"/>
      <c r="AX447" s="686"/>
      <c r="AY447" s="686"/>
      <c r="AZ447" s="686"/>
      <c r="BA447" s="686"/>
      <c r="BB447" s="686"/>
      <c r="BC447" s="686"/>
      <c r="BD447" s="686"/>
      <c r="BE447" s="686"/>
      <c r="BF447" s="686"/>
      <c r="BG447" s="686"/>
      <c r="BH447" s="686"/>
      <c r="BI447" s="686"/>
      <c r="BJ447" s="686"/>
      <c r="BK447" s="686"/>
      <c r="BL447" s="686"/>
      <c r="BM447" s="686"/>
      <c r="BN447" s="686"/>
      <c r="BO447" s="686"/>
      <c r="BP447" s="686"/>
      <c r="BQ447" s="686"/>
      <c r="BR447" s="686"/>
      <c r="BS447" s="686"/>
      <c r="BT447" s="686"/>
    </row>
    <row r="448" spans="1:72" s="688" customFormat="1" ht="16.149999999999999" hidden="1" customHeight="1" outlineLevel="1">
      <c r="A448" s="3193"/>
      <c r="B448" s="3194"/>
      <c r="C448" s="3182" t="s">
        <v>777</v>
      </c>
      <c r="D448" s="3182"/>
      <c r="E448" s="1246"/>
      <c r="F448" s="1016">
        <f>IF(SETUP!$F$20="Upfront",$E$447*'HIV-Pharmaceuticals'!AX14,0)</f>
        <v>0</v>
      </c>
      <c r="G448" s="920">
        <f>IF(SETUP!$F$20="Upfront",$E$447*'HIV-Pharmaceuticals'!AY14,0)</f>
        <v>0</v>
      </c>
      <c r="H448" s="920">
        <f>IF(SETUP!$F$20="Upfront",$E$447*'HIV-Pharmaceuticals'!AZ14,0)</f>
        <v>0</v>
      </c>
      <c r="I448" s="920">
        <f>IF(SETUP!$F$20="Upfront",$E$447*'HIV-Pharmaceuticals'!BA14,0)</f>
        <v>0</v>
      </c>
      <c r="J448" s="920">
        <f>'HPM costs'!$F448+'HPM costs'!$G448+'HPM costs'!$H448+'HPM costs'!$I448</f>
        <v>0</v>
      </c>
      <c r="K448" s="1016">
        <f>IF(SETUP!$F$20="Upfront",$E$447*'HIV-Pharmaceuticals'!BB14,0)</f>
        <v>0</v>
      </c>
      <c r="L448" s="920">
        <f>IF(SETUP!$F$20="Upfront",$E$447*'HIV-Pharmaceuticals'!BC14,0)</f>
        <v>0</v>
      </c>
      <c r="M448" s="920">
        <f>IF(SETUP!$F$20="Upfront",$E$447*'HIV-Pharmaceuticals'!BD14,0)</f>
        <v>0</v>
      </c>
      <c r="N448" s="920">
        <f>IF(SETUP!$F$20="Upfront",$E$447*'HIV-Pharmaceuticals'!BE14,0)</f>
        <v>0</v>
      </c>
      <c r="O448" s="920">
        <f>'HPM costs'!$F448+'HPM costs'!$G448+'HPM costs'!$H448+'HPM costs'!$I448</f>
        <v>0</v>
      </c>
      <c r="P448" s="1016">
        <f>IF(SETUP!$F$20="Upfront",$E$447*'HIV-Pharmaceuticals'!BF14,0)</f>
        <v>0</v>
      </c>
      <c r="Q448" s="920">
        <f>IF(SETUP!$F$20="Upfront",$E$447*'HIV-Pharmaceuticals'!BG14,0)</f>
        <v>0</v>
      </c>
      <c r="R448" s="920">
        <f>IF(SETUP!$F$20="Upfront",$E$447*'HIV-Pharmaceuticals'!BH14,0)</f>
        <v>0</v>
      </c>
      <c r="S448" s="920">
        <f>IF(SETUP!$F$20="Upfront",$E$447*'HIV-Pharmaceuticals'!BI14,0)</f>
        <v>0</v>
      </c>
      <c r="T448" s="920">
        <f>'HPM costs'!$F448+'HPM costs'!$G448+'HPM costs'!$H448+'HPM costs'!$I448</f>
        <v>0</v>
      </c>
      <c r="U448" s="1016">
        <f>'HPM costs'!$J448+'HPM costs'!$O448+'HPM costs'!$T448</f>
        <v>0</v>
      </c>
      <c r="V448" s="1344"/>
      <c r="W448" s="2011"/>
      <c r="X448" s="575"/>
      <c r="Y448" s="1350"/>
      <c r="Z448" s="655"/>
      <c r="AA448" s="686"/>
      <c r="AB448" s="686"/>
      <c r="AC448" s="686"/>
      <c r="AD448" s="686"/>
      <c r="AE448" s="686"/>
      <c r="AF448" s="686"/>
      <c r="AG448" s="686"/>
      <c r="AH448" s="687"/>
      <c r="AI448" s="686"/>
      <c r="AJ448" s="686"/>
      <c r="AK448" s="686"/>
      <c r="AL448" s="686"/>
      <c r="AM448" s="686"/>
      <c r="AN448" s="686"/>
      <c r="AO448" s="686"/>
      <c r="AP448" s="686"/>
      <c r="AQ448" s="686"/>
      <c r="AR448" s="686"/>
      <c r="AS448" s="686"/>
      <c r="AT448" s="686"/>
      <c r="AU448" s="686"/>
      <c r="AV448" s="686"/>
      <c r="AW448" s="686"/>
      <c r="AX448" s="686"/>
      <c r="AY448" s="686"/>
      <c r="AZ448" s="686"/>
      <c r="BA448" s="686"/>
      <c r="BB448" s="686"/>
      <c r="BC448" s="686"/>
      <c r="BD448" s="686"/>
      <c r="BE448" s="686"/>
      <c r="BF448" s="686"/>
      <c r="BG448" s="686"/>
      <c r="BH448" s="686"/>
      <c r="BI448" s="686"/>
      <c r="BJ448" s="686"/>
      <c r="BK448" s="686"/>
      <c r="BL448" s="686"/>
      <c r="BM448" s="686"/>
      <c r="BN448" s="686"/>
      <c r="BO448" s="686"/>
      <c r="BP448" s="686"/>
      <c r="BQ448" s="686"/>
      <c r="BR448" s="686"/>
      <c r="BS448" s="686"/>
      <c r="BT448" s="686"/>
    </row>
    <row r="449" spans="1:72" s="688" customFormat="1" ht="16.149999999999999" hidden="1" customHeight="1" outlineLevel="1">
      <c r="A449" s="3193"/>
      <c r="B449" s="3194"/>
      <c r="C449" s="3182" t="s">
        <v>36</v>
      </c>
      <c r="D449" s="3182"/>
      <c r="E449" s="1246"/>
      <c r="F449" s="1016">
        <v>0</v>
      </c>
      <c r="G449" s="920">
        <f>IF(SETUP!$F$20="At delivery",IF(SETUP!$G$20=1,$E$447*'HIV-Pharmaceuticals'!AX14,0),0)</f>
        <v>0</v>
      </c>
      <c r="H449" s="920">
        <f>IF(SETUP!$F$20="At delivery",IF(SETUP!$G$20=2,$E$447*'HIV-Pharmaceuticals'!AX14,IF(SETUP!$G$20=1,$E$447*'HIV-Pharmaceuticals'!AY14,0)),0)</f>
        <v>0</v>
      </c>
      <c r="I449" s="920">
        <f>IF(SETUP!$F$20="At delivery",IF(SETUP!$G$20=3,$E$447*'HIV-Pharmaceuticals'!AX14,IF(SETUP!$G$20=2,$E$447*'HIV-Pharmaceuticals'!AY14,IF(SETUP!$G$20=1,$E$447*'HIV-Pharmaceuticals'!AZ14,0))),0)</f>
        <v>0</v>
      </c>
      <c r="J449" s="920">
        <f>'HPM costs'!$F449+'HPM costs'!$G449+'HPM costs'!$H449+'HPM costs'!$I449</f>
        <v>0</v>
      </c>
      <c r="K449" s="1016">
        <f>IF(SETUP!$F$20="At delivery",IF(SETUP!$G$20=4,$E$447*'HIV-Pharmaceuticals'!AX14,IF(SETUP!$G$20=3,$E$447*'HIV-Pharmaceuticals'!AY14,IF(SETUP!$G$20=2,$E$447*'HIV-Pharmaceuticals'!AZ14,IF(SETUP!$G$20=1,$E$447*'HIV-Pharmaceuticals'!BA14,0)))),0)</f>
        <v>0</v>
      </c>
      <c r="L449" s="920">
        <f>IF(SETUP!$F$20="At delivery",IF(SETUP!$G$20=4,$E$447*'HIV-Pharmaceuticals'!AY14,IF(SETUP!$G$20=3,$E$447*'HIV-Pharmaceuticals'!AZ14,IF(SETUP!$G$20=2,$E$447*'HIV-Pharmaceuticals'!BA14,IF(SETUP!$G$20=1,$E$447*'HIV-Pharmaceuticals'!BB14,0)))),0)</f>
        <v>0</v>
      </c>
      <c r="M449" s="920">
        <f>IF(SETUP!$F$20="At delivery",IF(SETUP!$G$20=4,$E$447*'HIV-Pharmaceuticals'!AZ14,IF(SETUP!$G$20=3,$E$447*'HIV-Pharmaceuticals'!BA14,IF(SETUP!$G$20=2,$E$447*'HIV-Pharmaceuticals'!BB14,IF(SETUP!$G$20=1,$E$447*'HIV-Pharmaceuticals'!BC14,0)))),0)</f>
        <v>0</v>
      </c>
      <c r="N449" s="920">
        <f>IF(SETUP!$F$20="At delivery",IF(SETUP!$G$20=4,$E$447*'HIV-Pharmaceuticals'!BA14,IF(SETUP!$G$20=3,$E$447*'HIV-Pharmaceuticals'!BB14,IF(SETUP!$G$20=2,$E$447*'HIV-Pharmaceuticals'!BC14,IF(SETUP!$G$20=1,$E$447*'HIV-Pharmaceuticals'!BD14,0)))),0)</f>
        <v>0</v>
      </c>
      <c r="O449" s="920">
        <f>'HPM costs'!$F449+'HPM costs'!$G449+'HPM costs'!$H449+'HPM costs'!$I449</f>
        <v>0</v>
      </c>
      <c r="P449" s="1016">
        <f>IF(SETUP!$F$20="At delivery",IF(SETUP!$G$20=4,$E$447*'HIV-Pharmaceuticals'!BB14,IF(SETUP!$G$20=3,$E$447*'HIV-Pharmaceuticals'!BC14,IF(SETUP!$G$20=2,$E$447*'HIV-Pharmaceuticals'!BD14,IF(SETUP!$G$20=1,$E$447*'HIV-Pharmaceuticals'!BE14,0)))),0)</f>
        <v>0</v>
      </c>
      <c r="Q449" s="920">
        <f>IF(SETUP!$F$20="At delivery",IF(SETUP!$G$20=4,$E$447*'HIV-Pharmaceuticals'!BC14,IF(SETUP!$G$20=3,$E$447*'HIV-Pharmaceuticals'!BD14,IF(SETUP!$G$20=2,$E$447*'HIV-Pharmaceuticals'!BE14,IF(SETUP!$G$20=1,$E$447*'HIV-Pharmaceuticals'!BF14,0)))),0)</f>
        <v>0</v>
      </c>
      <c r="R449" s="920">
        <f>IF(SETUP!$F$20="At delivery",IF(SETUP!$G$20=4,$E$447*'HIV-Pharmaceuticals'!BD14,IF(SETUP!$G$20=3,$E$447*'HIV-Pharmaceuticals'!BE14,IF(SETUP!$G$20=2,$E$447*'HIV-Pharmaceuticals'!BF14,IF(SETUP!$G$20=1,$E$447*'HIV-Pharmaceuticals'!BG14,0)))),0)</f>
        <v>0</v>
      </c>
      <c r="S449" s="920">
        <f>IF(SETUP!$F$20="At delivery",IF(SETUP!$G$20=4,$E$447*('HIV-Pharmaceuticals'!BE14+'HIV-Pharmaceuticals'!BF14+'HIV-Pharmaceuticals'!BG14+'HIV-Pharmaceuticals'!BH14+'HIV-Pharmaceuticals'!BI14),IF(SETUP!$G$20=3,$E$447*('HIV-Pharmaceuticals'!BF14+'HIV-Pharmaceuticals'!BG14+'HIV-Pharmaceuticals'!BH14+'HIV-Pharmaceuticals'!BI14),IF(SETUP!$G$20=2,$E$447*('HIV-Pharmaceuticals'!BG14+'HIV-Pharmaceuticals'!BH14+'HIV-Pharmaceuticals'!BI14),IF(SETUP!$G$20=1,$E$447*('HIV-Pharmaceuticals'!BH14+'HIV-Pharmaceuticals'!BI14),0)))),0)</f>
        <v>0</v>
      </c>
      <c r="T449" s="920">
        <f>'HPM costs'!$F449+'HPM costs'!$G449+'HPM costs'!$H449+'HPM costs'!$I449</f>
        <v>0</v>
      </c>
      <c r="U449" s="1016">
        <f>'HPM costs'!$J449+'HPM costs'!$O449+'HPM costs'!$T449</f>
        <v>0</v>
      </c>
      <c r="V449" s="1344"/>
      <c r="W449" s="2011"/>
      <c r="X449" s="575"/>
      <c r="Y449" s="1350"/>
      <c r="Z449" s="655"/>
      <c r="AA449" s="686"/>
      <c r="AB449" s="686"/>
      <c r="AC449" s="686"/>
      <c r="AD449" s="686"/>
      <c r="AE449" s="686"/>
      <c r="AF449" s="686"/>
      <c r="AG449" s="686"/>
      <c r="AH449" s="687"/>
      <c r="AI449" s="686"/>
      <c r="AJ449" s="686"/>
      <c r="AK449" s="686"/>
      <c r="AL449" s="686"/>
      <c r="AM449" s="686"/>
      <c r="AN449" s="686"/>
      <c r="AO449" s="686"/>
      <c r="AP449" s="686"/>
      <c r="AQ449" s="686"/>
      <c r="AR449" s="686"/>
      <c r="AS449" s="686"/>
      <c r="AT449" s="686"/>
      <c r="AU449" s="686"/>
      <c r="AV449" s="686"/>
      <c r="AW449" s="686"/>
      <c r="AX449" s="686"/>
      <c r="AY449" s="686"/>
      <c r="AZ449" s="686"/>
      <c r="BA449" s="686"/>
      <c r="BB449" s="686"/>
      <c r="BC449" s="686"/>
      <c r="BD449" s="686"/>
      <c r="BE449" s="686"/>
      <c r="BF449" s="686"/>
      <c r="BG449" s="686"/>
      <c r="BH449" s="686"/>
      <c r="BI449" s="686"/>
      <c r="BJ449" s="686"/>
      <c r="BK449" s="686"/>
      <c r="BL449" s="686"/>
      <c r="BM449" s="686"/>
      <c r="BN449" s="686"/>
      <c r="BO449" s="686"/>
      <c r="BP449" s="686"/>
      <c r="BQ449" s="686"/>
      <c r="BR449" s="686"/>
      <c r="BS449" s="686"/>
      <c r="BT449" s="686"/>
    </row>
    <row r="450" spans="1:72" s="688" customFormat="1" ht="13.5" collapsed="1" thickBot="1">
      <c r="A450" s="3193"/>
      <c r="B450" s="3194"/>
      <c r="C450" s="3188" t="s">
        <v>139</v>
      </c>
      <c r="D450" s="3188"/>
      <c r="E450" s="1245">
        <v>0</v>
      </c>
      <c r="F450" s="1016">
        <f>IF(SETUP!$F$21="Upfront",F451,F452)</f>
        <v>0</v>
      </c>
      <c r="G450" s="920">
        <f>IF(SETUP!$F$21="Upfront",G451,G452)</f>
        <v>0</v>
      </c>
      <c r="H450" s="920">
        <f>IF(SETUP!$F$21="Upfront",H451,H452)</f>
        <v>0</v>
      </c>
      <c r="I450" s="920">
        <f>IF(SETUP!$F$21="Upfront",I451,I452)</f>
        <v>0</v>
      </c>
      <c r="J450" s="920">
        <f t="shared" ref="J450:J471" si="67">F450+G450+H450+I450</f>
        <v>0</v>
      </c>
      <c r="K450" s="1016">
        <f>IF(SETUP!$F$21="Upfront",K451,K452)</f>
        <v>0</v>
      </c>
      <c r="L450" s="920">
        <f>IF(SETUP!$F$21="Upfront",L451,L452)</f>
        <v>0</v>
      </c>
      <c r="M450" s="920">
        <f>IF(SETUP!$F$21="Upfront",M451,M452)</f>
        <v>0</v>
      </c>
      <c r="N450" s="920">
        <f>IF(SETUP!$F$21="Upfront",N451,N452)</f>
        <v>0</v>
      </c>
      <c r="O450" s="920">
        <f t="shared" ref="O450:O474" si="68">K450+L450+M450+N450</f>
        <v>0</v>
      </c>
      <c r="P450" s="1016">
        <f>IF(SETUP!$F$21="Upfront",P451,P452)</f>
        <v>0</v>
      </c>
      <c r="Q450" s="920">
        <f>IF(SETUP!$F$21="Upfront",Q451,Q452)</f>
        <v>0</v>
      </c>
      <c r="R450" s="920">
        <f>IF(SETUP!$F$21="Upfront",R451,R452)</f>
        <v>0</v>
      </c>
      <c r="S450" s="920">
        <f>IF(SETUP!$F$21="Upfront",S451,S452)</f>
        <v>0</v>
      </c>
      <c r="T450" s="920">
        <f t="shared" ref="T450:T465" si="69">P450+Q450+R450+S450</f>
        <v>0</v>
      </c>
      <c r="U450" s="1016">
        <f t="shared" ref="U450:U465" si="70">J450+O450+T450</f>
        <v>0</v>
      </c>
      <c r="V450" s="1344">
        <v>7.4</v>
      </c>
      <c r="W450" s="2011"/>
      <c r="X450" s="575"/>
      <c r="Y450" s="1350"/>
      <c r="Z450" s="655"/>
      <c r="AA450" s="686"/>
      <c r="AB450" s="686"/>
      <c r="AC450" s="686"/>
      <c r="AD450" s="686"/>
      <c r="AE450" s="686"/>
      <c r="AF450" s="686"/>
      <c r="AG450" s="686"/>
      <c r="AH450" s="687"/>
      <c r="AI450" s="686"/>
      <c r="AJ450" s="686"/>
      <c r="AK450" s="686"/>
      <c r="AL450" s="686"/>
      <c r="AM450" s="686"/>
      <c r="AN450" s="686"/>
      <c r="AO450" s="686"/>
      <c r="AP450" s="686"/>
      <c r="AQ450" s="686"/>
      <c r="AR450" s="686"/>
      <c r="AS450" s="686"/>
      <c r="AT450" s="686"/>
      <c r="AU450" s="686"/>
      <c r="AV450" s="686"/>
      <c r="AW450" s="686"/>
      <c r="AX450" s="686"/>
      <c r="AY450" s="686"/>
      <c r="AZ450" s="686"/>
      <c r="BA450" s="686"/>
      <c r="BB450" s="686"/>
      <c r="BC450" s="686"/>
      <c r="BD450" s="686"/>
      <c r="BE450" s="686"/>
      <c r="BF450" s="686"/>
      <c r="BG450" s="686"/>
      <c r="BH450" s="686"/>
      <c r="BI450" s="686"/>
      <c r="BJ450" s="686"/>
      <c r="BK450" s="686"/>
      <c r="BL450" s="686"/>
      <c r="BM450" s="686"/>
      <c r="BN450" s="686"/>
      <c r="BO450" s="686"/>
      <c r="BP450" s="686"/>
      <c r="BQ450" s="686"/>
      <c r="BR450" s="686"/>
      <c r="BS450" s="686"/>
      <c r="BT450" s="686"/>
    </row>
    <row r="451" spans="1:72" s="688" customFormat="1" ht="16.149999999999999" hidden="1" customHeight="1" outlineLevel="1">
      <c r="A451" s="3193"/>
      <c r="B451" s="3194"/>
      <c r="C451" s="3182" t="s">
        <v>777</v>
      </c>
      <c r="D451" s="3182"/>
      <c r="E451" s="1248"/>
      <c r="F451" s="1016">
        <f>IF(SETUP!$F$21="Upfront",$E$450*'HIV-Pharmaceuticals'!AX15,0)</f>
        <v>0</v>
      </c>
      <c r="G451" s="920">
        <f>IF(SETUP!$F$21="Upfront",$E$450*'HIV-Pharmaceuticals'!AY15,0)</f>
        <v>0</v>
      </c>
      <c r="H451" s="920">
        <f>IF(SETUP!$F$21="Upfront",$E$450*'HIV-Pharmaceuticals'!AZ15,0)</f>
        <v>0</v>
      </c>
      <c r="I451" s="920">
        <f>IF(SETUP!$F$21="Upfront",$E$450*'HIV-Pharmaceuticals'!BA15,0)</f>
        <v>0</v>
      </c>
      <c r="J451" s="920">
        <f t="shared" si="67"/>
        <v>0</v>
      </c>
      <c r="K451" s="1016">
        <f>IF(SETUP!$F$21="Upfront",$E$450*'HIV-Pharmaceuticals'!BB15,0)</f>
        <v>0</v>
      </c>
      <c r="L451" s="920">
        <f>IF(SETUP!$F$21="Upfront",$E$450*'HIV-Pharmaceuticals'!BC15,0)</f>
        <v>0</v>
      </c>
      <c r="M451" s="920">
        <f>IF(SETUP!$F$21="Upfront",$E$450*'HIV-Pharmaceuticals'!BD15,0)</f>
        <v>0</v>
      </c>
      <c r="N451" s="920">
        <f>IF(SETUP!$F$21="Upfront",$E$450*'HIV-Pharmaceuticals'!BE15,0)</f>
        <v>0</v>
      </c>
      <c r="O451" s="920">
        <f t="shared" si="68"/>
        <v>0</v>
      </c>
      <c r="P451" s="1016">
        <f>IF(SETUP!$F$21="Upfront",$E$450*'HIV-Pharmaceuticals'!BF15,0)</f>
        <v>0</v>
      </c>
      <c r="Q451" s="920">
        <f>IF(SETUP!$F$21="Upfront",$E$450*'HIV-Pharmaceuticals'!BG15,0)</f>
        <v>0</v>
      </c>
      <c r="R451" s="920">
        <f>IF(SETUP!$F$21="Upfront",$E$450*'HIV-Pharmaceuticals'!BH15,0)</f>
        <v>0</v>
      </c>
      <c r="S451" s="920">
        <f>IF(SETUP!$F$21="Upfront",$E$450*'HIV-Pharmaceuticals'!BI15,0)</f>
        <v>0</v>
      </c>
      <c r="T451" s="920">
        <f t="shared" si="69"/>
        <v>0</v>
      </c>
      <c r="U451" s="1016">
        <f t="shared" si="70"/>
        <v>0</v>
      </c>
      <c r="V451" s="1344">
        <v>7.4</v>
      </c>
      <c r="W451" s="2011"/>
      <c r="X451" s="575"/>
      <c r="Y451" s="1350"/>
      <c r="Z451" s="655"/>
      <c r="AA451" s="686"/>
      <c r="AB451" s="686"/>
      <c r="AC451" s="686"/>
      <c r="AD451" s="686"/>
      <c r="AE451" s="686"/>
      <c r="AF451" s="686"/>
      <c r="AG451" s="686"/>
      <c r="AH451" s="687"/>
      <c r="AI451" s="686"/>
      <c r="AJ451" s="686"/>
      <c r="AK451" s="686"/>
      <c r="AL451" s="686"/>
      <c r="AM451" s="686"/>
      <c r="AN451" s="686"/>
      <c r="AO451" s="686"/>
      <c r="AP451" s="686"/>
      <c r="AQ451" s="686"/>
      <c r="AR451" s="686"/>
      <c r="AS451" s="686"/>
      <c r="AT451" s="686"/>
      <c r="AU451" s="686"/>
      <c r="AV451" s="686"/>
      <c r="AW451" s="686"/>
      <c r="AX451" s="686"/>
      <c r="AY451" s="686"/>
      <c r="AZ451" s="686"/>
      <c r="BA451" s="686"/>
      <c r="BB451" s="686"/>
      <c r="BC451" s="686"/>
      <c r="BD451" s="686"/>
      <c r="BE451" s="686"/>
      <c r="BF451" s="686"/>
      <c r="BG451" s="686"/>
      <c r="BH451" s="686"/>
      <c r="BI451" s="686"/>
      <c r="BJ451" s="686"/>
      <c r="BK451" s="686"/>
      <c r="BL451" s="686"/>
      <c r="BM451" s="686"/>
      <c r="BN451" s="686"/>
      <c r="BO451" s="686"/>
      <c r="BP451" s="686"/>
      <c r="BQ451" s="686"/>
      <c r="BR451" s="686"/>
      <c r="BS451" s="686"/>
      <c r="BT451" s="686"/>
    </row>
    <row r="452" spans="1:72" s="688" customFormat="1" ht="16.149999999999999" hidden="1" customHeight="1" outlineLevel="1">
      <c r="A452" s="3193"/>
      <c r="B452" s="3194"/>
      <c r="C452" s="3182" t="s">
        <v>36</v>
      </c>
      <c r="D452" s="3182"/>
      <c r="E452" s="1246"/>
      <c r="F452" s="1016">
        <v>0</v>
      </c>
      <c r="G452" s="920">
        <f>IF(SETUP!$F$21="At delivery",IF(SETUP!$G$21=1,$E$450*'HIV-Pharmaceuticals'!AX15,0),0)</f>
        <v>0</v>
      </c>
      <c r="H452" s="920">
        <f>IF(SETUP!$F$21="At delivery",IF(SETUP!$G$21=2,$E$450*'HIV-Pharmaceuticals'!AX15,IF(SETUP!$G$21=1,$E$450*'HIV-Pharmaceuticals'!AY15,0)),0)</f>
        <v>0</v>
      </c>
      <c r="I452" s="920">
        <f>IF(SETUP!$F$21="At delivery",IF(SETUP!$G$21=3,$E$450*'HIV-Pharmaceuticals'!AX15,IF(SETUP!$G$21=2,$E$450*'HIV-Pharmaceuticals'!AY15,IF(SETUP!$G$21=1,$E$450*'HIV-Pharmaceuticals'!AZ15,0))),0)</f>
        <v>0</v>
      </c>
      <c r="J452" s="920">
        <f t="shared" si="67"/>
        <v>0</v>
      </c>
      <c r="K452" s="1016">
        <f>IF(SETUP!$F$21="At delivery",IF(SETUP!$G$21=4,$E$450*'HIV-Pharmaceuticals'!AX15,IF(SETUP!$G$21=3,$E$450*'HIV-Pharmaceuticals'!AY15,IF(SETUP!$G$21=2,$E$450*'HIV-Pharmaceuticals'!AZ15,IF(SETUP!$G$21=1,$E$450*'HIV-Pharmaceuticals'!BA15,0)))),0)</f>
        <v>0</v>
      </c>
      <c r="L452" s="920">
        <f>IF(SETUP!$F$21="At delivery",IF(SETUP!$G$21=4,$E$450*'HIV-Pharmaceuticals'!AY15,IF(SETUP!$G$21=3,$E$450*'HIV-Pharmaceuticals'!AZ15,IF(SETUP!$G$21=2,$E$450*'HIV-Pharmaceuticals'!BA15,IF(SETUP!$G$21=1,$E$450*'HIV-Pharmaceuticals'!BB15,0)))),0)</f>
        <v>0</v>
      </c>
      <c r="M452" s="920">
        <f>IF(SETUP!$F$21="At delivery",IF(SETUP!$G$21=4,$E$450*'HIV-Pharmaceuticals'!AZ15,IF(SETUP!$G$21=3,$E$450*'HIV-Pharmaceuticals'!BA15,IF(SETUP!$G$21=2,$E$450*'HIV-Pharmaceuticals'!BB15,IF(SETUP!$G$21=1,$E$450*'HIV-Pharmaceuticals'!BC15,0)))),0)</f>
        <v>0</v>
      </c>
      <c r="N452" s="920">
        <f>IF(SETUP!$F$21="At delivery",IF(SETUP!$G$21=4,$E$450*'HIV-Pharmaceuticals'!BA15,IF(SETUP!$G$21=3,$E$450*'HIV-Pharmaceuticals'!BB15,IF(SETUP!$G$21=2,$E$450*'HIV-Pharmaceuticals'!BC15,IF(SETUP!$G$21=1,$E$450*'HIV-Pharmaceuticals'!BD15,0)))),0)</f>
        <v>0</v>
      </c>
      <c r="O452" s="920">
        <f t="shared" si="68"/>
        <v>0</v>
      </c>
      <c r="P452" s="1016">
        <f>IF(SETUP!$F$21="At delivery",IF(SETUP!$G$21=4,$E$450*'HIV-Pharmaceuticals'!BB15,IF(SETUP!$G$21=3,$E$450*'HIV-Pharmaceuticals'!BC15,IF(SETUP!$G$21=2,$E$450*'HIV-Pharmaceuticals'!BD15,IF(SETUP!$G$21=1,$E$450*'HIV-Pharmaceuticals'!BE15,0)))),0)</f>
        <v>0</v>
      </c>
      <c r="Q452" s="920">
        <f>IF(SETUP!$F$21="At delivery",IF(SETUP!$G$21=4,$E$450*'HIV-Pharmaceuticals'!BC15,IF(SETUP!$G$21=3,$E$450*'HIV-Pharmaceuticals'!BD15,IF(SETUP!$G$21=2,$E$450*'HIV-Pharmaceuticals'!BE15,IF(SETUP!$G$21=1,$E$450*'HIV-Pharmaceuticals'!BF15,0)))),0)</f>
        <v>0</v>
      </c>
      <c r="R452" s="920">
        <f>IF(SETUP!$F$21="At delivery",IF(SETUP!$G$21=4,$E$450*'HIV-Pharmaceuticals'!BD15,IF(SETUP!$G$21=3,$E$450*'HIV-Pharmaceuticals'!BE15,IF(SETUP!$G$21=2,$E$450*'HIV-Pharmaceuticals'!BF15,IF(SETUP!$G$21=1,$E$450*'HIV-Pharmaceuticals'!BG15,0)))),0)</f>
        <v>0</v>
      </c>
      <c r="S452" s="920">
        <f>IF(SETUP!$F$21="At delivery",IF(SETUP!$G$21=4,$E$450*('HIV-Pharmaceuticals'!BE15+'HIV-Pharmaceuticals'!BF15+'HIV-Pharmaceuticals'!BG15+'HIV-Pharmaceuticals'!BH15+'HIV-Pharmaceuticals'!BI15),IF(SETUP!$G$21=3,$E$450*('HIV-Pharmaceuticals'!BF15+'HIV-Pharmaceuticals'!BG15+'HIV-Pharmaceuticals'!BH15+'HIV-Pharmaceuticals'!BI15),IF(SETUP!$G$21=2,$E$450*('HIV-Pharmaceuticals'!BG15+'HIV-Pharmaceuticals'!BH15+'HIV-Pharmaceuticals'!BI15),IF(SETUP!$G$21=1,$E$450*('HIV-Pharmaceuticals'!BH15+'HIV-Pharmaceuticals'!BI15),0)))),0)</f>
        <v>0</v>
      </c>
      <c r="T452" s="920">
        <f t="shared" si="69"/>
        <v>0</v>
      </c>
      <c r="U452" s="1016">
        <f t="shared" si="70"/>
        <v>0</v>
      </c>
      <c r="V452" s="1344">
        <v>7.4</v>
      </c>
      <c r="W452" s="2011"/>
      <c r="X452" s="575"/>
      <c r="Y452" s="1350"/>
      <c r="Z452" s="655"/>
      <c r="AA452" s="686"/>
      <c r="AB452" s="686"/>
      <c r="AC452" s="686"/>
      <c r="AD452" s="686"/>
      <c r="AE452" s="686"/>
      <c r="AF452" s="686"/>
      <c r="AG452" s="686"/>
      <c r="AH452" s="687"/>
      <c r="AI452" s="686"/>
      <c r="AJ452" s="686"/>
      <c r="AK452" s="686"/>
      <c r="AL452" s="686"/>
      <c r="AM452" s="686"/>
      <c r="AN452" s="686"/>
      <c r="AO452" s="686"/>
      <c r="AP452" s="686"/>
      <c r="AQ452" s="686"/>
      <c r="AR452" s="686"/>
      <c r="AS452" s="686"/>
      <c r="AT452" s="686"/>
      <c r="AU452" s="686"/>
      <c r="AV452" s="686"/>
      <c r="AW452" s="686"/>
      <c r="AX452" s="686"/>
      <c r="AY452" s="686"/>
      <c r="AZ452" s="686"/>
      <c r="BA452" s="686"/>
      <c r="BB452" s="686"/>
      <c r="BC452" s="686"/>
      <c r="BD452" s="686"/>
      <c r="BE452" s="686"/>
      <c r="BF452" s="686"/>
      <c r="BG452" s="686"/>
      <c r="BH452" s="686"/>
      <c r="BI452" s="686"/>
      <c r="BJ452" s="686"/>
      <c r="BK452" s="686"/>
      <c r="BL452" s="686"/>
      <c r="BM452" s="686"/>
      <c r="BN452" s="686"/>
      <c r="BO452" s="686"/>
      <c r="BP452" s="686"/>
      <c r="BQ452" s="686"/>
      <c r="BR452" s="686"/>
      <c r="BS452" s="686"/>
      <c r="BT452" s="686"/>
    </row>
    <row r="453" spans="1:72" s="688" customFormat="1" ht="13.5" collapsed="1" thickBot="1">
      <c r="A453" s="3193"/>
      <c r="B453" s="3194"/>
      <c r="C453" s="3201" t="s">
        <v>1054</v>
      </c>
      <c r="D453" s="3201"/>
      <c r="E453" s="1245">
        <v>0</v>
      </c>
      <c r="F453" s="1016">
        <f>IF(SETUP!$F$22="Upfront",F454,F455)</f>
        <v>0</v>
      </c>
      <c r="G453" s="920">
        <f>IF(SETUP!$F$22="Upfront",G454,G455)</f>
        <v>0</v>
      </c>
      <c r="H453" s="920">
        <f>IF(SETUP!$F$22="Upfront",H454,H455)</f>
        <v>0</v>
      </c>
      <c r="I453" s="920">
        <f>IF(SETUP!$F$22="Upfront",I454,I455)</f>
        <v>0</v>
      </c>
      <c r="J453" s="920">
        <f t="shared" si="67"/>
        <v>0</v>
      </c>
      <c r="K453" s="1016">
        <f>IF(SETUP!$F$22="Upfront",K454,K455)</f>
        <v>0</v>
      </c>
      <c r="L453" s="920">
        <f>IF(SETUP!$F$22="Upfront",L454,L455)</f>
        <v>0</v>
      </c>
      <c r="M453" s="920">
        <f>IF(SETUP!$F$22="Upfront",M454,M455)</f>
        <v>0</v>
      </c>
      <c r="N453" s="920">
        <f>IF(SETUP!$F$22="Upfront",N454,N455)</f>
        <v>0</v>
      </c>
      <c r="O453" s="920">
        <f t="shared" si="68"/>
        <v>0</v>
      </c>
      <c r="P453" s="1016">
        <f>IF(SETUP!$F$22="Upfront",P454,P455)</f>
        <v>0</v>
      </c>
      <c r="Q453" s="920">
        <f>IF(SETUP!$F$22="Upfront",Q454,Q455)</f>
        <v>0</v>
      </c>
      <c r="R453" s="920">
        <f>IF(SETUP!$F$22="Upfront",R454,R455)</f>
        <v>0</v>
      </c>
      <c r="S453" s="920">
        <f>IF(SETUP!$F$22="Upfront",S454,S455)</f>
        <v>0</v>
      </c>
      <c r="T453" s="920">
        <f t="shared" si="69"/>
        <v>0</v>
      </c>
      <c r="U453" s="1016">
        <f t="shared" si="70"/>
        <v>0</v>
      </c>
      <c r="V453" s="1344">
        <v>7.4</v>
      </c>
      <c r="W453" s="2011"/>
      <c r="X453" s="575"/>
      <c r="Y453" s="1350"/>
      <c r="Z453" s="655"/>
      <c r="AA453" s="686"/>
      <c r="AB453" s="686"/>
      <c r="AC453" s="686"/>
      <c r="AD453" s="686"/>
      <c r="AE453" s="686"/>
      <c r="AF453" s="686"/>
      <c r="AG453" s="686"/>
      <c r="AH453" s="687"/>
      <c r="AI453" s="686"/>
      <c r="AJ453" s="686"/>
      <c r="AK453" s="686"/>
      <c r="AL453" s="686"/>
      <c r="AM453" s="686"/>
      <c r="AN453" s="686"/>
      <c r="AO453" s="686"/>
      <c r="AP453" s="686"/>
      <c r="AQ453" s="686"/>
      <c r="AR453" s="686"/>
      <c r="AS453" s="686"/>
      <c r="AT453" s="686"/>
      <c r="AU453" s="686"/>
      <c r="AV453" s="686"/>
      <c r="AW453" s="686"/>
      <c r="AX453" s="686"/>
      <c r="AY453" s="686"/>
      <c r="AZ453" s="686"/>
      <c r="BA453" s="686"/>
      <c r="BB453" s="686"/>
      <c r="BC453" s="686"/>
      <c r="BD453" s="686"/>
      <c r="BE453" s="686"/>
      <c r="BF453" s="686"/>
      <c r="BG453" s="686"/>
      <c r="BH453" s="686"/>
      <c r="BI453" s="686"/>
      <c r="BJ453" s="686"/>
      <c r="BK453" s="686"/>
      <c r="BL453" s="686"/>
      <c r="BM453" s="686"/>
      <c r="BN453" s="686"/>
      <c r="BO453" s="686"/>
      <c r="BP453" s="686"/>
      <c r="BQ453" s="686"/>
      <c r="BR453" s="686"/>
      <c r="BS453" s="686"/>
      <c r="BT453" s="686"/>
    </row>
    <row r="454" spans="1:72" s="688" customFormat="1" ht="15" hidden="1" customHeight="1" outlineLevel="1">
      <c r="A454" s="3184" t="s">
        <v>439</v>
      </c>
      <c r="B454" s="3185"/>
      <c r="C454" s="3182" t="s">
        <v>777</v>
      </c>
      <c r="D454" s="3182"/>
      <c r="E454" s="1990"/>
      <c r="F454" s="1016">
        <f>IF(SETUP!$F$22="Upfront",$E$453*'HIV-Pharmaceuticals'!AX16,0)</f>
        <v>0</v>
      </c>
      <c r="G454" s="920">
        <f>IF(SETUP!$F$22="Upfront",$E$453*'HIV-Pharmaceuticals'!AY16,0)</f>
        <v>0</v>
      </c>
      <c r="H454" s="920">
        <f>IF(SETUP!$F$22="Upfront",$E$453*'HIV-Pharmaceuticals'!AZ16,0)</f>
        <v>0</v>
      </c>
      <c r="I454" s="920">
        <f>IF(SETUP!$F$22="Upfront",$E$453*'HIV-Pharmaceuticals'!BA16,0)</f>
        <v>0</v>
      </c>
      <c r="J454" s="920">
        <f t="shared" si="67"/>
        <v>0</v>
      </c>
      <c r="K454" s="1016">
        <f>IF(SETUP!$F$22="Upfront",$E$453*'HIV-Pharmaceuticals'!BB16,0)</f>
        <v>0</v>
      </c>
      <c r="L454" s="920">
        <f>IF(SETUP!$F$22="Upfront",$E$453*'HIV-Pharmaceuticals'!BC16,0)</f>
        <v>0</v>
      </c>
      <c r="M454" s="920">
        <f>IF(SETUP!$F$22="Upfront",$E$453*'HIV-Pharmaceuticals'!BD16,0)</f>
        <v>0</v>
      </c>
      <c r="N454" s="920">
        <f>IF(SETUP!$F$22="Upfront",$E$453*'HIV-Pharmaceuticals'!BE16,0)</f>
        <v>0</v>
      </c>
      <c r="O454" s="920">
        <f t="shared" si="68"/>
        <v>0</v>
      </c>
      <c r="P454" s="1016">
        <f>IF(SETUP!$F$22="Upfront",$E$453*'HIV-Pharmaceuticals'!BF16,0)</f>
        <v>0</v>
      </c>
      <c r="Q454" s="920">
        <f>IF(SETUP!$F$22="Upfront",$E$453*'HIV-Pharmaceuticals'!BG16,0)</f>
        <v>0</v>
      </c>
      <c r="R454" s="920">
        <f>IF(SETUP!$F$22="Upfront",$E$453*'HIV-Pharmaceuticals'!BH16,0)</f>
        <v>0</v>
      </c>
      <c r="S454" s="920">
        <f>IF(SETUP!$F$22="Upfront",$E$453*'HIV-Pharmaceuticals'!BI16,0)</f>
        <v>0</v>
      </c>
      <c r="T454" s="920">
        <f t="shared" si="69"/>
        <v>0</v>
      </c>
      <c r="U454" s="1016">
        <f t="shared" si="70"/>
        <v>0</v>
      </c>
      <c r="V454" s="1344">
        <v>7.4</v>
      </c>
      <c r="W454" s="2011"/>
      <c r="X454" s="575"/>
      <c r="Y454" s="1350"/>
      <c r="Z454" s="655"/>
      <c r="AA454" s="686"/>
      <c r="AB454" s="686"/>
      <c r="AC454" s="686"/>
      <c r="AD454" s="686"/>
      <c r="AE454" s="686"/>
      <c r="AF454" s="686"/>
      <c r="AG454" s="686"/>
      <c r="AH454" s="687"/>
      <c r="AI454" s="686"/>
      <c r="AJ454" s="686"/>
      <c r="AK454" s="686"/>
      <c r="AL454" s="686"/>
      <c r="AM454" s="686"/>
      <c r="AN454" s="686"/>
      <c r="AO454" s="686"/>
      <c r="AP454" s="686"/>
      <c r="AQ454" s="686"/>
      <c r="AR454" s="686"/>
      <c r="AS454" s="686"/>
      <c r="AT454" s="686"/>
      <c r="AU454" s="686"/>
      <c r="AV454" s="686"/>
      <c r="AW454" s="686"/>
      <c r="AX454" s="686"/>
      <c r="AY454" s="686"/>
      <c r="AZ454" s="686"/>
      <c r="BA454" s="686"/>
      <c r="BB454" s="686"/>
      <c r="BC454" s="686"/>
      <c r="BD454" s="686"/>
      <c r="BE454" s="686"/>
      <c r="BF454" s="686"/>
      <c r="BG454" s="686"/>
      <c r="BH454" s="686"/>
      <c r="BI454" s="686"/>
      <c r="BJ454" s="686"/>
      <c r="BK454" s="686"/>
      <c r="BL454" s="686"/>
      <c r="BM454" s="686"/>
      <c r="BN454" s="686"/>
      <c r="BO454" s="686"/>
      <c r="BP454" s="686"/>
      <c r="BQ454" s="686"/>
      <c r="BR454" s="686"/>
      <c r="BS454" s="686"/>
      <c r="BT454" s="686"/>
    </row>
    <row r="455" spans="1:72" s="688" customFormat="1" ht="12.75" hidden="1" customHeight="1" outlineLevel="1">
      <c r="A455" s="3184"/>
      <c r="B455" s="3185"/>
      <c r="C455" s="3182" t="s">
        <v>36</v>
      </c>
      <c r="D455" s="3182"/>
      <c r="E455" s="1990"/>
      <c r="F455" s="1016">
        <v>0</v>
      </c>
      <c r="G455" s="920">
        <f>IF(SETUP!$F$22="At delivery",IF(SETUP!$G$22=1,$E$453*'HIV-Pharmaceuticals'!AX16,0),0)</f>
        <v>0</v>
      </c>
      <c r="H455" s="920">
        <f>IF(SETUP!$F$22="At delivery",IF(SETUP!$G$22=2,$E$453*'HIV-Pharmaceuticals'!AX16,IF(SETUP!$G$22=1,$E$453*'HIV-Pharmaceuticals'!AY16,0)),0)</f>
        <v>0</v>
      </c>
      <c r="I455" s="920">
        <f>IF(SETUP!$F$22="At delivery",IF(SETUP!$G$22=3,$E$453*'HIV-Pharmaceuticals'!AX16,IF(SETUP!$G$22=2,$E$453*'HIV-Pharmaceuticals'!AY16,IF(SETUP!$G$22=1,$E$453*'HIV-Pharmaceuticals'!AZ16,0))),0)</f>
        <v>0</v>
      </c>
      <c r="J455" s="920">
        <f t="shared" si="67"/>
        <v>0</v>
      </c>
      <c r="K455" s="1016">
        <f>IF(SETUP!$F$22="At delivery",IF(SETUP!$G$22=4,$E$453*'HIV-Pharmaceuticals'!AX16,IF(SETUP!$G$22=3,$E$453*'HIV-Pharmaceuticals'!AY16,IF(SETUP!$G$22=2,$E$453*'HIV-Pharmaceuticals'!AZ16,IF(SETUP!$G$22=1,$E$453*'HIV-Pharmaceuticals'!BA16,0)))),0)</f>
        <v>0</v>
      </c>
      <c r="L455" s="920">
        <f>IF(SETUP!$F$22="At delivery",IF(SETUP!$G$22=4,$E$453*'HIV-Pharmaceuticals'!AY16,IF(SETUP!$G$22=3,$E$453*'HIV-Pharmaceuticals'!AZ16,IF(SETUP!$G$22=2,$E$453*'HIV-Pharmaceuticals'!BA16,IF(SETUP!$G$22=1,$E$453*'HIV-Pharmaceuticals'!BB16,0)))),0)</f>
        <v>0</v>
      </c>
      <c r="M455" s="920">
        <f>IF(SETUP!$F$22="At delivery",IF(SETUP!$G$22=4,$E$453*'HIV-Pharmaceuticals'!AZ16,IF(SETUP!$G$22=3,$E$453*'HIV-Pharmaceuticals'!BA16,IF(SETUP!$G$22=2,$E$453*'HIV-Pharmaceuticals'!BB16,IF(SETUP!$G$22=1,$E$453*'HIV-Pharmaceuticals'!BC16,0)))),0)</f>
        <v>0</v>
      </c>
      <c r="N455" s="920">
        <f>IF(SETUP!$F$22="At delivery",IF(SETUP!$G$22=4,$E$453*'HIV-Pharmaceuticals'!BA16,IF(SETUP!$G$22=3,$E$453*'HIV-Pharmaceuticals'!BB16,IF(SETUP!$G$22=2,$E$453*'HIV-Pharmaceuticals'!BC16,IF(SETUP!$G$22=1,$E$453*'HIV-Pharmaceuticals'!BD16,0)))),0)</f>
        <v>0</v>
      </c>
      <c r="O455" s="920">
        <f t="shared" si="68"/>
        <v>0</v>
      </c>
      <c r="P455" s="1016">
        <f>IF(SETUP!$F$22="At delivery",IF(SETUP!$G$22=4,$E$453*'HIV-Pharmaceuticals'!BB16,IF(SETUP!$G$22=3,$E$453*'HIV-Pharmaceuticals'!BC16,IF(SETUP!$G$22=2,$E$453*'HIV-Pharmaceuticals'!BD16,IF(SETUP!$G$22=1,$E$453*'HIV-Pharmaceuticals'!BE16,0)))),0)</f>
        <v>0</v>
      </c>
      <c r="Q455" s="920">
        <f>IF(SETUP!$F$22="At delivery",IF(SETUP!$G$22=4,$E$453*'HIV-Pharmaceuticals'!BC16,IF(SETUP!$G$22=3,$E$453*'HIV-Pharmaceuticals'!BD16,IF(SETUP!$G$22=2,$E$453*'HIV-Pharmaceuticals'!BE16,IF(SETUP!$G$22=1,$E$453*'HIV-Pharmaceuticals'!BF16,0)))),0)</f>
        <v>0</v>
      </c>
      <c r="R455" s="920">
        <f>IF(SETUP!$F$22="At delivery",IF(SETUP!$G$22=4,$E$453*'HIV-Pharmaceuticals'!BD16,IF(SETUP!$G$22=3,$E$453*'HIV-Pharmaceuticals'!BE16,IF(SETUP!$G$22=2,$E$453*'HIV-Pharmaceuticals'!BF16,IF(SETUP!$G$22=1,$E$453*'HIV-Pharmaceuticals'!BG16,0)))),0)</f>
        <v>0</v>
      </c>
      <c r="S455" s="920">
        <f>IF(SETUP!$F$22="At delivery",IF(SETUP!$G$22=4,$E$453*('HIV-Pharmaceuticals'!BE16+'HIV-Pharmaceuticals'!BF16+'HIV-Pharmaceuticals'!BG16+'HIV-Pharmaceuticals'!BH16+'HIV-Pharmaceuticals'!BI16),IF(SETUP!$G$22=3,$E$453*('HIV-Pharmaceuticals'!BF16+'HIV-Pharmaceuticals'!BG16+'HIV-Pharmaceuticals'!BH16+'HIV-Pharmaceuticals'!BI16),IF(SETUP!$G$22=2,$E$453*('HIV-Pharmaceuticals'!BG16+'HIV-Pharmaceuticals'!BH16+'HIV-Pharmaceuticals'!BI16),IF(SETUP!$G$22=1,$E$453*('HIV-Pharmaceuticals'!BH16+'HIV-Pharmaceuticals'!BI16),0)))),0)</f>
        <v>0</v>
      </c>
      <c r="T455" s="920">
        <f t="shared" si="69"/>
        <v>0</v>
      </c>
      <c r="U455" s="1016">
        <f t="shared" si="70"/>
        <v>0</v>
      </c>
      <c r="V455" s="1344">
        <v>7.4</v>
      </c>
      <c r="W455" s="2011"/>
      <c r="X455" s="575"/>
      <c r="Y455" s="1350"/>
      <c r="Z455" s="655"/>
      <c r="AA455" s="686"/>
      <c r="AB455" s="686"/>
      <c r="AC455" s="686"/>
      <c r="AD455" s="686"/>
      <c r="AE455" s="686"/>
      <c r="AF455" s="686"/>
      <c r="AG455" s="686"/>
      <c r="AH455" s="687"/>
      <c r="AI455" s="686"/>
      <c r="AJ455" s="686"/>
      <c r="AK455" s="686"/>
      <c r="AL455" s="686"/>
      <c r="AM455" s="686"/>
      <c r="AN455" s="686"/>
      <c r="AO455" s="686"/>
      <c r="AP455" s="686"/>
      <c r="AQ455" s="686"/>
      <c r="AR455" s="686"/>
      <c r="AS455" s="686"/>
      <c r="AT455" s="686"/>
      <c r="AU455" s="686"/>
      <c r="AV455" s="686"/>
      <c r="AW455" s="686"/>
      <c r="AX455" s="686"/>
      <c r="AY455" s="686"/>
      <c r="AZ455" s="686"/>
      <c r="BA455" s="686"/>
      <c r="BB455" s="686"/>
      <c r="BC455" s="686"/>
      <c r="BD455" s="686"/>
      <c r="BE455" s="686"/>
      <c r="BF455" s="686"/>
      <c r="BG455" s="686"/>
      <c r="BH455" s="686"/>
      <c r="BI455" s="686"/>
      <c r="BJ455" s="686"/>
      <c r="BK455" s="686"/>
      <c r="BL455" s="686"/>
      <c r="BM455" s="686"/>
      <c r="BN455" s="686"/>
      <c r="BO455" s="686"/>
      <c r="BP455" s="686"/>
      <c r="BQ455" s="686"/>
      <c r="BR455" s="686"/>
      <c r="BS455" s="686"/>
      <c r="BT455" s="686"/>
    </row>
    <row r="456" spans="1:72" s="688" customFormat="1" ht="13.5" collapsed="1" thickBot="1">
      <c r="A456" s="3184"/>
      <c r="B456" s="3185"/>
      <c r="C456" s="3202" t="s">
        <v>1390</v>
      </c>
      <c r="D456" s="3202"/>
      <c r="E456" s="1245">
        <v>0</v>
      </c>
      <c r="F456" s="1016">
        <f>IF(SETUP!$F$23="Upfront",F457,F458)</f>
        <v>0</v>
      </c>
      <c r="G456" s="920">
        <f>IF(SETUP!$F$23="Upfront",G457,G458)</f>
        <v>0</v>
      </c>
      <c r="H456" s="920">
        <f>IF(SETUP!$F$23="Upfront",H457,H458)</f>
        <v>0</v>
      </c>
      <c r="I456" s="920">
        <f>IF(SETUP!$F$23="Upfront",I457,I458)</f>
        <v>0</v>
      </c>
      <c r="J456" s="920">
        <f t="shared" si="67"/>
        <v>0</v>
      </c>
      <c r="K456" s="1016">
        <f>IF(SETUP!$F$23="Upfront",K457,K458)</f>
        <v>0</v>
      </c>
      <c r="L456" s="920">
        <f>IF(SETUP!$F$23="Upfront",L457,L458)</f>
        <v>0</v>
      </c>
      <c r="M456" s="920">
        <f>IF(SETUP!$F$23="Upfront",M457,M458)</f>
        <v>0</v>
      </c>
      <c r="N456" s="920">
        <f>IF(SETUP!$F$23="Upfront",N457,N458)</f>
        <v>0</v>
      </c>
      <c r="O456" s="920">
        <f t="shared" si="68"/>
        <v>0</v>
      </c>
      <c r="P456" s="1016">
        <f>IF(SETUP!$F$23="Upfront",P457,P458)</f>
        <v>0</v>
      </c>
      <c r="Q456" s="920">
        <f>IF(SETUP!$F$23="Upfront",Q457,Q458)</f>
        <v>0</v>
      </c>
      <c r="R456" s="920">
        <f>IF(SETUP!$F$23="Upfront",R457,R458)</f>
        <v>0</v>
      </c>
      <c r="S456" s="920">
        <f>IF(SETUP!$F$23="Upfront",S457,S458)</f>
        <v>0</v>
      </c>
      <c r="T456" s="920">
        <f t="shared" si="69"/>
        <v>0</v>
      </c>
      <c r="U456" s="1016">
        <f t="shared" si="70"/>
        <v>0</v>
      </c>
      <c r="V456" s="1344">
        <v>7.4</v>
      </c>
      <c r="W456" s="2011"/>
      <c r="X456" s="575"/>
      <c r="Y456" s="1350"/>
      <c r="Z456" s="655"/>
      <c r="AA456" s="686"/>
      <c r="AB456" s="686"/>
      <c r="AC456" s="686"/>
      <c r="AD456" s="686"/>
      <c r="AE456" s="686"/>
      <c r="AF456" s="686"/>
      <c r="AG456" s="686"/>
      <c r="AH456" s="687"/>
      <c r="AI456" s="686"/>
      <c r="AJ456" s="686"/>
      <c r="AK456" s="686"/>
      <c r="AL456" s="686"/>
      <c r="AM456" s="686"/>
      <c r="AN456" s="686"/>
      <c r="AO456" s="686"/>
      <c r="AP456" s="686"/>
      <c r="AQ456" s="686"/>
      <c r="AR456" s="686"/>
      <c r="AS456" s="686"/>
      <c r="AT456" s="686"/>
      <c r="AU456" s="686"/>
      <c r="AV456" s="686"/>
      <c r="AW456" s="686"/>
      <c r="AX456" s="686"/>
      <c r="AY456" s="686"/>
      <c r="AZ456" s="686"/>
      <c r="BA456" s="686"/>
      <c r="BB456" s="686"/>
      <c r="BC456" s="686"/>
      <c r="BD456" s="686"/>
      <c r="BE456" s="686"/>
      <c r="BF456" s="686"/>
      <c r="BG456" s="686"/>
      <c r="BH456" s="686"/>
      <c r="BI456" s="686"/>
      <c r="BJ456" s="686"/>
      <c r="BK456" s="686"/>
      <c r="BL456" s="686"/>
      <c r="BM456" s="686"/>
      <c r="BN456" s="686"/>
      <c r="BO456" s="686"/>
      <c r="BP456" s="686"/>
      <c r="BQ456" s="686"/>
      <c r="BR456" s="686"/>
      <c r="BS456" s="686"/>
      <c r="BT456" s="686"/>
    </row>
    <row r="457" spans="1:72" s="688" customFormat="1" ht="12.75" hidden="1" customHeight="1" outlineLevel="1">
      <c r="A457" s="3184"/>
      <c r="B457" s="3185"/>
      <c r="C457" s="3182" t="s">
        <v>777</v>
      </c>
      <c r="D457" s="3182"/>
      <c r="E457" s="1991"/>
      <c r="F457" s="1016">
        <f>IF(SETUP!$F$23="Upfront",$E$456*'HIV-Equipment'!AW14,0)</f>
        <v>0</v>
      </c>
      <c r="G457" s="920">
        <f>IF(SETUP!$F$23="Upfront",$E$456*'HIV-Equipment'!AX14,0)</f>
        <v>0</v>
      </c>
      <c r="H457" s="920">
        <f>IF(SETUP!$F$23="Upfront",$E$456*'HIV-Equipment'!AY14,0)</f>
        <v>0</v>
      </c>
      <c r="I457" s="920">
        <f>IF(SETUP!$F$23="Upfront",$E$456*'HIV-Equipment'!AZ14,0)</f>
        <v>0</v>
      </c>
      <c r="J457" s="920">
        <f t="shared" si="67"/>
        <v>0</v>
      </c>
      <c r="K457" s="1016">
        <f>IF(SETUP!$F$23="Upfront",$E$456*'HIV-Equipment'!BA14,0)</f>
        <v>0</v>
      </c>
      <c r="L457" s="920">
        <f>IF(SETUP!$F$23="Upfront",$E$456*'HIV-Equipment'!BB14,0)</f>
        <v>0</v>
      </c>
      <c r="M457" s="920">
        <f>IF(SETUP!$F$23="Upfront",$E$456*'HIV-Equipment'!BC14,0)</f>
        <v>0</v>
      </c>
      <c r="N457" s="920">
        <f>IF(SETUP!$F$23="Upfront",$E$456*'HIV-Equipment'!BD14,0)</f>
        <v>0</v>
      </c>
      <c r="O457" s="920">
        <f t="shared" si="68"/>
        <v>0</v>
      </c>
      <c r="P457" s="1016">
        <f>IF(SETUP!$F$23="Upfront",$E$456*'HIV-Equipment'!BE14,0)</f>
        <v>0</v>
      </c>
      <c r="Q457" s="920">
        <f>IF(SETUP!$F$23="Upfront",$E$456*'HIV-Equipment'!BF14,0)</f>
        <v>0</v>
      </c>
      <c r="R457" s="920">
        <f>IF(SETUP!$F$23="Upfront",$E$456*'HIV-Equipment'!BG14,0)</f>
        <v>0</v>
      </c>
      <c r="S457" s="920">
        <f>IF(SETUP!$F$23="Upfront",$E$456*'HIV-Equipment'!BH14,0)</f>
        <v>0</v>
      </c>
      <c r="T457" s="920">
        <f t="shared" si="69"/>
        <v>0</v>
      </c>
      <c r="U457" s="1016">
        <f t="shared" si="70"/>
        <v>0</v>
      </c>
      <c r="V457" s="1344">
        <v>7.4</v>
      </c>
      <c r="W457" s="2011"/>
      <c r="X457" s="575"/>
      <c r="Y457" s="1350"/>
      <c r="Z457" s="655"/>
      <c r="AA457" s="686"/>
      <c r="AB457" s="686"/>
      <c r="AC457" s="686"/>
      <c r="AD457" s="686"/>
      <c r="AE457" s="686"/>
      <c r="AF457" s="686"/>
      <c r="AG457" s="686"/>
      <c r="AH457" s="687"/>
      <c r="AI457" s="686"/>
      <c r="AJ457" s="686"/>
      <c r="AK457" s="686"/>
      <c r="AL457" s="686"/>
      <c r="AM457" s="686"/>
      <c r="AN457" s="686"/>
      <c r="AO457" s="686"/>
      <c r="AP457" s="686"/>
      <c r="AQ457" s="686"/>
      <c r="AR457" s="686"/>
      <c r="AS457" s="686"/>
      <c r="AT457" s="686"/>
      <c r="AU457" s="686"/>
      <c r="AV457" s="686"/>
      <c r="AW457" s="686"/>
      <c r="AX457" s="686"/>
      <c r="AY457" s="686"/>
      <c r="AZ457" s="686"/>
      <c r="BA457" s="686"/>
      <c r="BB457" s="686"/>
      <c r="BC457" s="686"/>
      <c r="BD457" s="686"/>
      <c r="BE457" s="686"/>
      <c r="BF457" s="686"/>
      <c r="BG457" s="686"/>
      <c r="BH457" s="686"/>
      <c r="BI457" s="686"/>
      <c r="BJ457" s="686"/>
      <c r="BK457" s="686"/>
      <c r="BL457" s="686"/>
      <c r="BM457" s="686"/>
      <c r="BN457" s="686"/>
      <c r="BO457" s="686"/>
      <c r="BP457" s="686"/>
      <c r="BQ457" s="686"/>
      <c r="BR457" s="686"/>
      <c r="BS457" s="686"/>
      <c r="BT457" s="686"/>
    </row>
    <row r="458" spans="1:72" s="688" customFormat="1" ht="12.75" hidden="1" customHeight="1" outlineLevel="1" thickBot="1">
      <c r="A458" s="3184"/>
      <c r="B458" s="3185"/>
      <c r="C458" s="3182" t="s">
        <v>36</v>
      </c>
      <c r="D458" s="3182"/>
      <c r="E458" s="1990"/>
      <c r="F458" s="1016">
        <v>0</v>
      </c>
      <c r="G458" s="920">
        <f>IF(SETUP!$F$23="At delivery",IF(SETUP!$G$23=1,$E$456*'HIV-Equipment'!AW14,0),0)</f>
        <v>0</v>
      </c>
      <c r="H458" s="920">
        <f>IF(SETUP!$F$23="At delivery",IF(SETUP!$G$23=2,$E$456*'HIV-Equipment'!AW14,IF(SETUP!$G$23=1,$E$456*'HIV-Equipment'!AX14,0)),0)</f>
        <v>0</v>
      </c>
      <c r="I458" s="920">
        <f>IF(SETUP!$F$23="At delivery",IF(SETUP!$G$23=3,$E$456*'HIV-Equipment'!AW14,IF(SETUP!$G$23=2,$E$456*'HIV-Equipment'!AX14,IF(SETUP!$G$23=1,$E$456*'HIV-Equipment'!AY14,0))),0)</f>
        <v>0</v>
      </c>
      <c r="J458" s="920">
        <f t="shared" si="67"/>
        <v>0</v>
      </c>
      <c r="K458" s="1016">
        <f>IF(SETUP!$F$23="At delivery",IF(SETUP!$G$23=4,$E$456*'HIV-Equipment'!AW14,IF(SETUP!$G$23=3,$E$456*'HIV-Equipment'!AX14,IF(SETUP!$G$23=2,$E$456*'HIV-Equipment'!AY14,IF(SETUP!$G$23=1,$E$456*'HIV-Equipment'!AZ14,0)))),0)</f>
        <v>0</v>
      </c>
      <c r="L458" s="920">
        <f>IF(SETUP!$F$23="At delivery",IF(SETUP!$G$23=4,$E$456*'HIV-Equipment'!AX14,IF(SETUP!$G$23=3,$E$456*'HIV-Equipment'!AY14,IF(SETUP!$G$23=2,$E$456*'HIV-Equipment'!AZ14,IF(SETUP!$G$23=1,$E$456*'HIV-Equipment'!BA14,0)))),0)</f>
        <v>0</v>
      </c>
      <c r="M458" s="920">
        <f>IF(SETUP!$F$23="At delivery",IF(SETUP!$G$23=4,$E$456*'HIV-Equipment'!AY14,IF(SETUP!$G$23=3,$E$456*'HIV-Equipment'!AZ14,IF(SETUP!$G$23=2,$E$456*'HIV-Equipment'!BA14,IF(SETUP!$G$23=1,$E$456*'HIV-Equipment'!BB14,0)))),0)</f>
        <v>0</v>
      </c>
      <c r="N458" s="920">
        <f>IF(SETUP!$F$23="At delivery",IF(SETUP!$G$23=4,$E$456*'HIV-Equipment'!AZ14,IF(SETUP!$G$23=3,$E$456*'HIV-Equipment'!BA14,IF(SETUP!$G$23=2,$E$456*'HIV-Equipment'!BB14,IF(SETUP!$G$23=1,$E$456*'HIV-Equipment'!BC14,0)))),0)</f>
        <v>0</v>
      </c>
      <c r="O458" s="920">
        <f t="shared" si="68"/>
        <v>0</v>
      </c>
      <c r="P458" s="1016">
        <f>IF(SETUP!$F$23="At delivery",IF(SETUP!$G$23=4,$E$456*'HIV-Equipment'!BA14,IF(SETUP!$G$23=3,$E$456*'HIV-Equipment'!BB14,IF(SETUP!$G$23=2,$E$456*'HIV-Equipment'!BC14,IF(SETUP!$G$23=1,$E$456*'HIV-Equipment'!BD14,0)))),0)</f>
        <v>0</v>
      </c>
      <c r="Q458" s="920">
        <f>IF(SETUP!$F$23="At delivery",IF(SETUP!$G$23=4,$E$456*'HIV-Equipment'!BB14,IF(SETUP!$G$23=3,$E$456*'HIV-Equipment'!BC14,IF(SETUP!$G$23=2,$E$456*'HIV-Equipment'!BD14,IF(SETUP!$G$23=1,$E$456*'HIV-Equipment'!BE14,0)))),0)</f>
        <v>0</v>
      </c>
      <c r="R458" s="920">
        <f>IF(SETUP!$F$23="At delivery",IF(SETUP!$G$23=4,$E$456*'HIV-Equipment'!BC14,IF(SETUP!$G$23=3,$E$456*'HIV-Equipment'!BD14,IF(SETUP!$G$23=2,$E$456*'HIV-Equipment'!BE14,IF(SETUP!$G$23=1,$E$456*'HIV-Equipment'!BF14,0)))),0)</f>
        <v>0</v>
      </c>
      <c r="S458" s="920">
        <f>IF(SETUP!$F$23="At delivery",IF(SETUP!$G$23=4,$E$456*('HIV-Equipment'!BD14+'HIV-Equipment'!BE14+'HIV-Equipment'!BF14+'HIV-Equipment'!BG14+'HIV-Equipment'!BH14),IF(SETUP!$G$23=3,$E$456*('HIV-Equipment'!BE14+'HIV-Equipment'!BF14+'HIV-Equipment'!BG14+'HIV-Equipment'!BH14),IF(SETUP!$G$23=2,$E$456*('HIV-Equipment'!BF14+'HIV-Equipment'!BG14+'HIV-Equipment'!BH14),IF(SETUP!$G$23=1,$E$456*('HIV-Equipment'!BG14+'HIV-Equipment'!BH14),0)))),0)</f>
        <v>0</v>
      </c>
      <c r="T458" s="920">
        <f t="shared" si="69"/>
        <v>0</v>
      </c>
      <c r="U458" s="1016">
        <f t="shared" si="70"/>
        <v>0</v>
      </c>
      <c r="V458" s="1344">
        <v>7.4</v>
      </c>
      <c r="W458" s="2011"/>
      <c r="X458" s="575"/>
      <c r="Y458" s="1350"/>
      <c r="Z458" s="655"/>
      <c r="AA458" s="686"/>
      <c r="AB458" s="686"/>
      <c r="AC458" s="686"/>
      <c r="AD458" s="686"/>
      <c r="AE458" s="686"/>
      <c r="AF458" s="686"/>
      <c r="AG458" s="686"/>
      <c r="AH458" s="687"/>
      <c r="AI458" s="686"/>
      <c r="AJ458" s="686"/>
      <c r="AK458" s="686"/>
      <c r="AL458" s="686"/>
      <c r="AM458" s="686"/>
      <c r="AN458" s="686"/>
      <c r="AO458" s="686"/>
      <c r="AP458" s="686"/>
      <c r="AQ458" s="686"/>
      <c r="AR458" s="686"/>
      <c r="AS458" s="686"/>
      <c r="AT458" s="686"/>
      <c r="AU458" s="686"/>
      <c r="AV458" s="686"/>
      <c r="AW458" s="686"/>
      <c r="AX458" s="686"/>
      <c r="AY458" s="686"/>
      <c r="AZ458" s="686"/>
      <c r="BA458" s="686"/>
      <c r="BB458" s="686"/>
      <c r="BC458" s="686"/>
      <c r="BD458" s="686"/>
      <c r="BE458" s="686"/>
      <c r="BF458" s="686"/>
      <c r="BG458" s="686"/>
      <c r="BH458" s="686"/>
      <c r="BI458" s="686"/>
      <c r="BJ458" s="686"/>
      <c r="BK458" s="686"/>
      <c r="BL458" s="686"/>
      <c r="BM458" s="686"/>
      <c r="BN458" s="686"/>
      <c r="BO458" s="686"/>
      <c r="BP458" s="686"/>
      <c r="BQ458" s="686"/>
      <c r="BR458" s="686"/>
      <c r="BS458" s="686"/>
      <c r="BT458" s="686"/>
    </row>
    <row r="459" spans="1:72" s="688" customFormat="1" ht="13.5" collapsed="1" thickBot="1">
      <c r="A459" s="3184" t="s">
        <v>440</v>
      </c>
      <c r="B459" s="3185"/>
      <c r="C459" s="3188" t="s">
        <v>213</v>
      </c>
      <c r="D459" s="3188"/>
      <c r="E459" s="1245">
        <v>0</v>
      </c>
      <c r="F459" s="1016">
        <f>IF(SETUP!$F$27="Upfront",F460,F461)</f>
        <v>0</v>
      </c>
      <c r="G459" s="920">
        <f>IF(SETUP!$F$27="Upfront",G460,G461)</f>
        <v>0</v>
      </c>
      <c r="H459" s="920">
        <f>IF(SETUP!$F$27="Upfront",H460,H461)</f>
        <v>0</v>
      </c>
      <c r="I459" s="920">
        <f>IF(SETUP!$F$27="Upfront",I460,I461)</f>
        <v>0</v>
      </c>
      <c r="J459" s="920">
        <f t="shared" si="67"/>
        <v>0</v>
      </c>
      <c r="K459" s="1016">
        <f>IF(SETUP!$F$27="Upfront",K460,K461)</f>
        <v>0</v>
      </c>
      <c r="L459" s="920">
        <f>IF(SETUP!$F$27="Upfront",L460,L461)</f>
        <v>0</v>
      </c>
      <c r="M459" s="920">
        <f>IF(SETUP!$F$27="Upfront",M460,M461)</f>
        <v>0</v>
      </c>
      <c r="N459" s="920">
        <f>IF(SETUP!$F$27="Upfront",N460,N461)</f>
        <v>0</v>
      </c>
      <c r="O459" s="920">
        <f t="shared" si="68"/>
        <v>0</v>
      </c>
      <c r="P459" s="1016">
        <f>IF(SETUP!$F$27="Upfront",P460,P461)</f>
        <v>0</v>
      </c>
      <c r="Q459" s="920">
        <f>IF(SETUP!$F$27="Upfront",Q460,Q461)</f>
        <v>0</v>
      </c>
      <c r="R459" s="920">
        <f>IF(SETUP!$F$27="Upfront",R460,R461)</f>
        <v>0</v>
      </c>
      <c r="S459" s="920">
        <f>IF(SETUP!$F$27="Upfront",S460,S461)</f>
        <v>0</v>
      </c>
      <c r="T459" s="920">
        <f t="shared" si="69"/>
        <v>0</v>
      </c>
      <c r="U459" s="1016">
        <f t="shared" si="70"/>
        <v>0</v>
      </c>
      <c r="V459" s="1344">
        <v>7.4</v>
      </c>
      <c r="W459" s="2011"/>
      <c r="X459" s="575"/>
      <c r="Y459" s="1350"/>
      <c r="Z459" s="655"/>
      <c r="AA459" s="686"/>
      <c r="AB459" s="686"/>
      <c r="AC459" s="686"/>
      <c r="AD459" s="686"/>
      <c r="AE459" s="686"/>
      <c r="AF459" s="686"/>
      <c r="AG459" s="686"/>
      <c r="AH459" s="687"/>
      <c r="AI459" s="686"/>
      <c r="AJ459" s="686"/>
      <c r="AK459" s="686"/>
      <c r="AL459" s="686"/>
      <c r="AM459" s="686"/>
      <c r="AN459" s="686"/>
      <c r="AO459" s="686"/>
      <c r="AP459" s="686"/>
      <c r="AQ459" s="686"/>
      <c r="AR459" s="686"/>
      <c r="AS459" s="686"/>
      <c r="AT459" s="686"/>
      <c r="AU459" s="686"/>
      <c r="AV459" s="686"/>
      <c r="AW459" s="686"/>
      <c r="AX459" s="686"/>
      <c r="AY459" s="686"/>
      <c r="AZ459" s="686"/>
      <c r="BA459" s="686"/>
      <c r="BB459" s="686"/>
      <c r="BC459" s="686"/>
      <c r="BD459" s="686"/>
      <c r="BE459" s="686"/>
      <c r="BF459" s="686"/>
      <c r="BG459" s="686"/>
      <c r="BH459" s="686"/>
      <c r="BI459" s="686"/>
      <c r="BJ459" s="686"/>
      <c r="BK459" s="686"/>
      <c r="BL459" s="686"/>
      <c r="BM459" s="686"/>
      <c r="BN459" s="686"/>
      <c r="BO459" s="686"/>
      <c r="BP459" s="686"/>
      <c r="BQ459" s="686"/>
      <c r="BR459" s="686"/>
      <c r="BS459" s="686"/>
      <c r="BT459" s="686"/>
    </row>
    <row r="460" spans="1:72" s="688" customFormat="1" ht="16.149999999999999" hidden="1" customHeight="1" outlineLevel="1">
      <c r="A460" s="3184"/>
      <c r="B460" s="3185"/>
      <c r="C460" s="3182" t="s">
        <v>777</v>
      </c>
      <c r="D460" s="3182"/>
      <c r="E460" s="1991"/>
      <c r="F460" s="1016">
        <f>IF(SETUP!$F$27="Upfront",$E$459*'HIV-Other HPs'!AX14,0)</f>
        <v>0</v>
      </c>
      <c r="G460" s="920">
        <f>IF(SETUP!$F$27="Upfront",$E$459*'HIV-Other HPs'!AY14,0)</f>
        <v>0</v>
      </c>
      <c r="H460" s="920">
        <f>IF(SETUP!$F$27="Upfront",$E$459*'HIV-Other HPs'!AZ14,0)</f>
        <v>0</v>
      </c>
      <c r="I460" s="920">
        <f>IF(SETUP!$F$27="Upfront",$E$459*'HIV-Other HPs'!BA14,0)</f>
        <v>0</v>
      </c>
      <c r="J460" s="920">
        <f t="shared" si="67"/>
        <v>0</v>
      </c>
      <c r="K460" s="1016">
        <f>IF(SETUP!$F$27="Upfront",$E$459*'HIV-Other HPs'!BB14,0)</f>
        <v>0</v>
      </c>
      <c r="L460" s="920">
        <f>IF(SETUP!$F$27="Upfront",$E$459*'HIV-Other HPs'!BC14,0)</f>
        <v>0</v>
      </c>
      <c r="M460" s="920">
        <f>IF(SETUP!$F$27="Upfront",$E$459*'HIV-Other HPs'!BD14,0)</f>
        <v>0</v>
      </c>
      <c r="N460" s="920">
        <f>IF(SETUP!$F$27="Upfront",$E$459*'HIV-Other HPs'!BE14,0)</f>
        <v>0</v>
      </c>
      <c r="O460" s="920">
        <f t="shared" si="68"/>
        <v>0</v>
      </c>
      <c r="P460" s="1016">
        <f>IF(SETUP!$F$27="Upfront",$E$459*'HIV-Other HPs'!BF14,0)</f>
        <v>0</v>
      </c>
      <c r="Q460" s="920">
        <f>IF(SETUP!$F$27="Upfront",$E$459*'HIV-Other HPs'!BG14,0)</f>
        <v>0</v>
      </c>
      <c r="R460" s="920">
        <f>IF(SETUP!$F$27="Upfront",$E$459*'HIV-Other HPs'!BH14,0)</f>
        <v>0</v>
      </c>
      <c r="S460" s="920">
        <f>IF(SETUP!$F$27="Upfront",$E$459*'HIV-Other HPs'!BI14,0)</f>
        <v>0</v>
      </c>
      <c r="T460" s="920">
        <f t="shared" si="69"/>
        <v>0</v>
      </c>
      <c r="U460" s="1016">
        <f t="shared" si="70"/>
        <v>0</v>
      </c>
      <c r="V460" s="1344">
        <v>7.4</v>
      </c>
      <c r="W460" s="2011"/>
      <c r="X460" s="575"/>
      <c r="Y460" s="1350"/>
      <c r="Z460" s="655"/>
      <c r="AA460" s="686"/>
      <c r="AB460" s="686"/>
      <c r="AC460" s="686"/>
      <c r="AD460" s="686"/>
      <c r="AE460" s="686"/>
      <c r="AF460" s="686"/>
      <c r="AG460" s="686"/>
      <c r="AH460" s="687"/>
      <c r="AI460" s="686"/>
      <c r="AJ460" s="686"/>
      <c r="AK460" s="686"/>
      <c r="AL460" s="686"/>
      <c r="AM460" s="686"/>
      <c r="AN460" s="686"/>
      <c r="AO460" s="686"/>
      <c r="AP460" s="686"/>
      <c r="AQ460" s="686"/>
      <c r="AR460" s="686"/>
      <c r="AS460" s="686"/>
      <c r="AT460" s="686"/>
      <c r="AU460" s="686"/>
      <c r="AV460" s="686"/>
      <c r="AW460" s="686"/>
      <c r="AX460" s="686"/>
      <c r="AY460" s="686"/>
      <c r="AZ460" s="686"/>
      <c r="BA460" s="686"/>
      <c r="BB460" s="686"/>
      <c r="BC460" s="686"/>
      <c r="BD460" s="686"/>
      <c r="BE460" s="686"/>
      <c r="BF460" s="686"/>
      <c r="BG460" s="686"/>
      <c r="BH460" s="686"/>
      <c r="BI460" s="686"/>
      <c r="BJ460" s="686"/>
      <c r="BK460" s="686"/>
      <c r="BL460" s="686"/>
      <c r="BM460" s="686"/>
      <c r="BN460" s="686"/>
      <c r="BO460" s="686"/>
      <c r="BP460" s="686"/>
      <c r="BQ460" s="686"/>
      <c r="BR460" s="686"/>
      <c r="BS460" s="686"/>
      <c r="BT460" s="686"/>
    </row>
    <row r="461" spans="1:72" s="688" customFormat="1" ht="16.149999999999999" hidden="1" customHeight="1" outlineLevel="1">
      <c r="A461" s="3184"/>
      <c r="B461" s="3185"/>
      <c r="C461" s="3182" t="s">
        <v>36</v>
      </c>
      <c r="D461" s="3182"/>
      <c r="E461" s="1246"/>
      <c r="F461" s="1016">
        <v>0</v>
      </c>
      <c r="G461" s="920">
        <f>IF(SETUP!$F$27="At delivery",IF(SETUP!$G$27=1,$E$459*'HIV-Other HPs'!AX14,0),0)</f>
        <v>0</v>
      </c>
      <c r="H461" s="920">
        <f>IF(SETUP!$F$27="At delivery",IF(SETUP!$G$27=2,$E$459*'HIV-Other HPs'!AX14,IF(SETUP!$G$27=1,$E$459*'HIV-Other HPs'!AY14,0)),0)</f>
        <v>0</v>
      </c>
      <c r="I461" s="920">
        <f>IF(SETUP!$F$27="At delivery",IF(SETUP!$G$27=3,$E$459*'HIV-Other HPs'!AX14,IF(SETUP!$G$27=2,$E$459*'HIV-Other HPs'!AY14,IF(SETUP!$G$27=1,$E$459*'HIV-Other HPs'!AZ14,0))),0)</f>
        <v>0</v>
      </c>
      <c r="J461" s="920">
        <f t="shared" si="67"/>
        <v>0</v>
      </c>
      <c r="K461" s="1016">
        <f>IF(SETUP!$F$27="At delivery",IF(SETUP!$G$27=4,$E$459*'HIV-Other HPs'!AX14,IF(SETUP!$G$27=3,$E$459*'HIV-Other HPs'!AY14,IF(SETUP!$G$27=2,$E$459*'HIV-Other HPs'!AZ14,IF(SETUP!$G$27=1,$E$459*'HIV-Other HPs'!BA14,0)))),0)</f>
        <v>0</v>
      </c>
      <c r="L461" s="920">
        <f>IF(SETUP!$F$27="At delivery",IF(SETUP!$G$27=4,$E$459*'HIV-Other HPs'!AY14,IF(SETUP!$G$27=3,$E$459*'HIV-Other HPs'!AZ14,IF(SETUP!$G$27=2,$E$459*'HIV-Other HPs'!BA14,IF(SETUP!$G$27=1,$E$459*'HIV-Other HPs'!BB14,0)))),0)</f>
        <v>0</v>
      </c>
      <c r="M461" s="920">
        <f>IF(SETUP!$F$27="At delivery",IF(SETUP!$G$27=4,$E$459*'HIV-Other HPs'!AZ14,IF(SETUP!$G$27=3,$E$459*'HIV-Other HPs'!BA14,IF(SETUP!$G$27=2,$E$459*'HIV-Other HPs'!BB14,IF(SETUP!$G$27=1,$E$459*'HIV-Other HPs'!BC14,0)))),0)</f>
        <v>0</v>
      </c>
      <c r="N461" s="920">
        <f>IF(SETUP!$F$27="At delivery",IF(SETUP!$G$27=4,$E$459*'HIV-Other HPs'!BA14,IF(SETUP!$G$27=3,$E$459*'HIV-Other HPs'!BB14,IF(SETUP!$G$27=2,$E$459*'HIV-Other HPs'!BC14,IF(SETUP!$G$27=1,$E$459*'HIV-Other HPs'!BD14,0)))),0)</f>
        <v>0</v>
      </c>
      <c r="O461" s="920">
        <f t="shared" si="68"/>
        <v>0</v>
      </c>
      <c r="P461" s="1016">
        <f>IF(SETUP!$F$27="At delivery",IF(SETUP!$G$27=4,$E$459*'HIV-Other HPs'!BB14,IF(SETUP!$G$27=3,$E$459*'HIV-Other HPs'!BC14,IF(SETUP!$G$27=2,$E$459*'HIV-Other HPs'!BD14,IF(SETUP!$G$27=1,$E$459*'HIV-Other HPs'!BE14,0)))),0)</f>
        <v>0</v>
      </c>
      <c r="Q461" s="920">
        <f>IF(SETUP!$F$27="At delivery",IF(SETUP!$G$27=4,$E$459*'HIV-Other HPs'!BC14,IF(SETUP!$G$27=3,$E$459*'HIV-Other HPs'!BD14,IF(SETUP!$G$27=2,$E$459*'HIV-Other HPs'!BE14,IF(SETUP!$G$27=1,$E$459*'HIV-Other HPs'!BF14,0)))),0)</f>
        <v>0</v>
      </c>
      <c r="R461" s="920">
        <f>IF(SETUP!$F$27="At delivery",IF(SETUP!$G$27=4,$E$459*'HIV-Other HPs'!BD14,IF(SETUP!$G$27=3,$E$459*'HIV-Other HPs'!BE14,IF(SETUP!$G$27=2,$E$459*'HIV-Other HPs'!BF14,IF(SETUP!$G$27=1,$E$459*'HIV-Other HPs'!BG14,0)))),0)</f>
        <v>0</v>
      </c>
      <c r="S461" s="920">
        <f>IF(SETUP!$F$27="At delivery",IF(SETUP!$G$27=4,$E$459*('HIV-Other HPs'!BE14+'HIV-Other HPs'!BF14+'HIV-Other HPs'!BG14+'HIV-Other HPs'!BH14+'HIV-Other HPs'!BI14),IF(SETUP!$G$27=3,$E$459*('HIV-Other HPs'!BF14+'HIV-Other HPs'!BG14+'HIV-Other HPs'!BH14+'HIV-Other HPs'!BI14),IF(SETUP!$G$27=2,$E$459*('HIV-Other HPs'!BG14+'HIV-Other HPs'!BH14+'HIV-Other HPs'!BI14),IF(SETUP!$G$27=1,$E$459*('HIV-Other HPs'!BH14+'HIV-Other HPs'!BI14),0)))),0)</f>
        <v>0</v>
      </c>
      <c r="T461" s="920">
        <f t="shared" si="69"/>
        <v>0</v>
      </c>
      <c r="U461" s="1016">
        <f t="shared" si="70"/>
        <v>0</v>
      </c>
      <c r="V461" s="1344">
        <v>7.4</v>
      </c>
      <c r="W461" s="2011"/>
      <c r="X461" s="575"/>
      <c r="Y461" s="1350"/>
      <c r="Z461" s="655"/>
      <c r="AA461" s="686"/>
      <c r="AB461" s="686"/>
      <c r="AC461" s="686"/>
      <c r="AD461" s="686"/>
      <c r="AE461" s="686"/>
      <c r="AF461" s="686"/>
      <c r="AG461" s="686"/>
      <c r="AH461" s="687"/>
      <c r="AI461" s="686"/>
      <c r="AJ461" s="686"/>
      <c r="AK461" s="686"/>
      <c r="AL461" s="686"/>
      <c r="AM461" s="686"/>
      <c r="AN461" s="686"/>
      <c r="AO461" s="686"/>
      <c r="AP461" s="686"/>
      <c r="AQ461" s="686"/>
      <c r="AR461" s="686"/>
      <c r="AS461" s="686"/>
      <c r="AT461" s="686"/>
      <c r="AU461" s="686"/>
      <c r="AV461" s="686"/>
      <c r="AW461" s="686"/>
      <c r="AX461" s="686"/>
      <c r="AY461" s="686"/>
      <c r="AZ461" s="686"/>
      <c r="BA461" s="686"/>
      <c r="BB461" s="686"/>
      <c r="BC461" s="686"/>
      <c r="BD461" s="686"/>
      <c r="BE461" s="686"/>
      <c r="BF461" s="686"/>
      <c r="BG461" s="686"/>
      <c r="BH461" s="686"/>
      <c r="BI461" s="686"/>
      <c r="BJ461" s="686"/>
      <c r="BK461" s="686"/>
      <c r="BL461" s="686"/>
      <c r="BM461" s="686"/>
      <c r="BN461" s="686"/>
      <c r="BO461" s="686"/>
      <c r="BP461" s="686"/>
      <c r="BQ461" s="686"/>
      <c r="BR461" s="686"/>
      <c r="BS461" s="686"/>
      <c r="BT461" s="686"/>
    </row>
    <row r="462" spans="1:72" s="688" customFormat="1" ht="13.5" collapsed="1" thickBot="1">
      <c r="A462" s="3184"/>
      <c r="B462" s="3185"/>
      <c r="C462" s="3188" t="s">
        <v>217</v>
      </c>
      <c r="D462" s="3188"/>
      <c r="E462" s="1245">
        <v>0</v>
      </c>
      <c r="F462" s="1016">
        <f>IF(SETUP!$F$28="Upfront",F463,F464)</f>
        <v>0</v>
      </c>
      <c r="G462" s="920">
        <f>IF(SETUP!$F$28="Upfront",G463,G464)</f>
        <v>0</v>
      </c>
      <c r="H462" s="920">
        <f>IF(SETUP!$F$28="Upfront",H463,H464)</f>
        <v>0</v>
      </c>
      <c r="I462" s="920">
        <f>IF(SETUP!$F$28="Upfront",I463,I464)</f>
        <v>0</v>
      </c>
      <c r="J462" s="920">
        <f t="shared" si="67"/>
        <v>0</v>
      </c>
      <c r="K462" s="1016">
        <f>IF(SETUP!$F$28="Upfront",K463,K464)</f>
        <v>0</v>
      </c>
      <c r="L462" s="920">
        <f>IF(SETUP!$F$28="Upfront",L463,L464)</f>
        <v>0</v>
      </c>
      <c r="M462" s="920">
        <f>IF(SETUP!$F$28="Upfront",M463,M464)</f>
        <v>0</v>
      </c>
      <c r="N462" s="920">
        <f>IF(SETUP!$F$28="Upfront",N463,N464)</f>
        <v>0</v>
      </c>
      <c r="O462" s="920">
        <f t="shared" si="68"/>
        <v>0</v>
      </c>
      <c r="P462" s="1016">
        <f>IF(SETUP!$F$28="Upfront",P463,P464)</f>
        <v>0</v>
      </c>
      <c r="Q462" s="920">
        <f>IF(SETUP!$F$28="Upfront",Q463,Q464)</f>
        <v>0</v>
      </c>
      <c r="R462" s="920">
        <f>IF(SETUP!$F$28="Upfront",R463,R464)</f>
        <v>0</v>
      </c>
      <c r="S462" s="920">
        <f>IF(SETUP!$F$28="Upfront",S463,S464)</f>
        <v>0</v>
      </c>
      <c r="T462" s="920">
        <f t="shared" si="69"/>
        <v>0</v>
      </c>
      <c r="U462" s="1016">
        <f t="shared" si="70"/>
        <v>0</v>
      </c>
      <c r="V462" s="1344">
        <v>7.4</v>
      </c>
      <c r="W462" s="2011"/>
      <c r="X462" s="575"/>
      <c r="Y462" s="1350"/>
      <c r="Z462" s="655"/>
      <c r="AA462" s="686"/>
      <c r="AB462" s="686"/>
      <c r="AC462" s="686"/>
      <c r="AD462" s="686"/>
      <c r="AE462" s="686"/>
      <c r="AF462" s="686"/>
      <c r="AG462" s="686"/>
      <c r="AH462" s="687"/>
      <c r="AI462" s="686"/>
      <c r="AJ462" s="686"/>
      <c r="AK462" s="686"/>
      <c r="AL462" s="686"/>
      <c r="AM462" s="686"/>
      <c r="AN462" s="686"/>
      <c r="AO462" s="686"/>
      <c r="AP462" s="686"/>
      <c r="AQ462" s="686"/>
      <c r="AR462" s="686"/>
      <c r="AS462" s="686"/>
      <c r="AT462" s="686"/>
      <c r="AU462" s="686"/>
      <c r="AV462" s="686"/>
      <c r="AW462" s="686"/>
      <c r="AX462" s="686"/>
      <c r="AY462" s="686"/>
      <c r="AZ462" s="686"/>
      <c r="BA462" s="686"/>
      <c r="BB462" s="686"/>
      <c r="BC462" s="686"/>
      <c r="BD462" s="686"/>
      <c r="BE462" s="686"/>
      <c r="BF462" s="686"/>
      <c r="BG462" s="686"/>
      <c r="BH462" s="686"/>
      <c r="BI462" s="686"/>
      <c r="BJ462" s="686"/>
      <c r="BK462" s="686"/>
      <c r="BL462" s="686"/>
      <c r="BM462" s="686"/>
      <c r="BN462" s="686"/>
      <c r="BO462" s="686"/>
      <c r="BP462" s="686"/>
      <c r="BQ462" s="686"/>
      <c r="BR462" s="686"/>
      <c r="BS462" s="686"/>
      <c r="BT462" s="686"/>
    </row>
    <row r="463" spans="1:72" s="688" customFormat="1" ht="16.149999999999999" hidden="1" customHeight="1" outlineLevel="1">
      <c r="A463" s="3184"/>
      <c r="B463" s="3185"/>
      <c r="C463" s="3182" t="s">
        <v>777</v>
      </c>
      <c r="D463" s="3182"/>
      <c r="E463" s="1246"/>
      <c r="F463" s="1016">
        <f>IF(SETUP!$F$28="Upfront",$E$462*'HIV-Other HPs'!AX15,0)</f>
        <v>0</v>
      </c>
      <c r="G463" s="920">
        <f>IF(SETUP!$F$28="Upfront",$E$462*'HIV-Other HPs'!AY15,0)</f>
        <v>0</v>
      </c>
      <c r="H463" s="920">
        <f>IF(SETUP!$F$28="Upfront",$E$462*'HIV-Other HPs'!AZ15,0)</f>
        <v>0</v>
      </c>
      <c r="I463" s="920">
        <f>IF(SETUP!$F$28="Upfront",$E$462*'HIV-Other HPs'!BA15,0)</f>
        <v>0</v>
      </c>
      <c r="J463" s="920">
        <f t="shared" si="67"/>
        <v>0</v>
      </c>
      <c r="K463" s="1016">
        <f>IF(SETUP!$F$28="Upfront",$E$462*'HIV-Other HPs'!BB15,0)</f>
        <v>0</v>
      </c>
      <c r="L463" s="920">
        <f>IF(SETUP!$F$28="Upfront",$E$462*'HIV-Other HPs'!BC15,0)</f>
        <v>0</v>
      </c>
      <c r="M463" s="920">
        <f>IF(SETUP!$F$28="Upfront",$E$462*'HIV-Other HPs'!BD15,0)</f>
        <v>0</v>
      </c>
      <c r="N463" s="920">
        <f>IF(SETUP!$F$28="Upfront",$E$462*'HIV-Other HPs'!BE15,0)</f>
        <v>0</v>
      </c>
      <c r="O463" s="920">
        <f t="shared" si="68"/>
        <v>0</v>
      </c>
      <c r="P463" s="1016">
        <f>IF(SETUP!$F$28="Upfront",$E$462*'HIV-Other HPs'!BF15,0)</f>
        <v>0</v>
      </c>
      <c r="Q463" s="920">
        <f>IF(SETUP!$F$28="Upfront",$E$462*'HIV-Other HPs'!BG15,0)</f>
        <v>0</v>
      </c>
      <c r="R463" s="920">
        <f>IF(SETUP!$F$28="Upfront",$E$462*'HIV-Other HPs'!BH15,0)</f>
        <v>0</v>
      </c>
      <c r="S463" s="920">
        <f>IF(SETUP!$F$28="Upfront",$E$462*'HIV-Other HPs'!BI15,0)</f>
        <v>0</v>
      </c>
      <c r="T463" s="920">
        <f t="shared" si="69"/>
        <v>0</v>
      </c>
      <c r="U463" s="1016">
        <f t="shared" si="70"/>
        <v>0</v>
      </c>
      <c r="V463" s="1344">
        <v>7.4</v>
      </c>
      <c r="W463" s="2011"/>
      <c r="X463" s="575"/>
      <c r="Y463" s="1350"/>
      <c r="Z463" s="655"/>
      <c r="AA463" s="686"/>
      <c r="AB463" s="686"/>
      <c r="AC463" s="686"/>
      <c r="AD463" s="686"/>
      <c r="AE463" s="686"/>
      <c r="AF463" s="686"/>
      <c r="AG463" s="686"/>
      <c r="AH463" s="687"/>
      <c r="AI463" s="686"/>
      <c r="AJ463" s="686"/>
      <c r="AK463" s="686"/>
      <c r="AL463" s="686"/>
      <c r="AM463" s="686"/>
      <c r="AN463" s="686"/>
      <c r="AO463" s="686"/>
      <c r="AP463" s="686"/>
      <c r="AQ463" s="686"/>
      <c r="AR463" s="686"/>
      <c r="AS463" s="686"/>
      <c r="AT463" s="686"/>
      <c r="AU463" s="686"/>
      <c r="AV463" s="686"/>
      <c r="AW463" s="686"/>
      <c r="AX463" s="686"/>
      <c r="AY463" s="686"/>
      <c r="AZ463" s="686"/>
      <c r="BA463" s="686"/>
      <c r="BB463" s="686"/>
      <c r="BC463" s="686"/>
      <c r="BD463" s="686"/>
      <c r="BE463" s="686"/>
      <c r="BF463" s="686"/>
      <c r="BG463" s="686"/>
      <c r="BH463" s="686"/>
      <c r="BI463" s="686"/>
      <c r="BJ463" s="686"/>
      <c r="BK463" s="686"/>
      <c r="BL463" s="686"/>
      <c r="BM463" s="686"/>
      <c r="BN463" s="686"/>
      <c r="BO463" s="686"/>
      <c r="BP463" s="686"/>
      <c r="BQ463" s="686"/>
      <c r="BR463" s="686"/>
      <c r="BS463" s="686"/>
      <c r="BT463" s="686"/>
    </row>
    <row r="464" spans="1:72" s="688" customFormat="1" ht="16.149999999999999" hidden="1" customHeight="1" outlineLevel="1">
      <c r="A464" s="3184"/>
      <c r="B464" s="3185"/>
      <c r="C464" s="3182" t="s">
        <v>36</v>
      </c>
      <c r="D464" s="3182"/>
      <c r="E464" s="1246"/>
      <c r="F464" s="1016">
        <v>0</v>
      </c>
      <c r="G464" s="920">
        <f>IF(SETUP!$F$28="At delivery",IF(SETUP!$G$28=1,$E$462*'HIV-Other HPs'!AX15,0),0)</f>
        <v>0</v>
      </c>
      <c r="H464" s="920">
        <f>IF(SETUP!$F$28="At delivery",IF(SETUP!$G$28=2,$E$462*'HIV-Other HPs'!AX15,IF(SETUP!$G$28=1,$E$462*'HIV-Other HPs'!AY15,0)),0)</f>
        <v>0</v>
      </c>
      <c r="I464" s="920">
        <f>IF(SETUP!$F$28="At delivery",IF(SETUP!$G$28=3,$E$462*'HIV-Other HPs'!AX15,IF(SETUP!$G$28=2,$E$462*'HIV-Other HPs'!AY15,IF(SETUP!$G$28=1,$E$462*'HIV-Other HPs'!AZ15,0))),0)</f>
        <v>0</v>
      </c>
      <c r="J464" s="920">
        <f t="shared" si="67"/>
        <v>0</v>
      </c>
      <c r="K464" s="1016">
        <f>IF(SETUP!$F$28="At delivery",IF(SETUP!$G$28=4,$E$462*'HIV-Other HPs'!AX15,IF(SETUP!$G$28=3,$E$462*'HIV-Other HPs'!AY15,IF(SETUP!$G$28=2,$E$462*'HIV-Other HPs'!AZ15,IF(SETUP!$G$28=1,$E$462*'HIV-Other HPs'!BA15,0)))),0)</f>
        <v>0</v>
      </c>
      <c r="L464" s="920">
        <f>IF(SETUP!$F$28="At delivery",IF(SETUP!$G$28=4,$E$462*'HIV-Other HPs'!AY15,IF(SETUP!$G$28=3,$E$462*'HIV-Other HPs'!AZ15,IF(SETUP!$G$28=2,$E$462*'HIV-Other HPs'!BA15,IF(SETUP!$G$28=1,$E$462*'HIV-Other HPs'!BB15,0)))),0)</f>
        <v>0</v>
      </c>
      <c r="M464" s="920">
        <f>IF(SETUP!$F$28="At delivery",IF(SETUP!$G$28=4,$E$462*'HIV-Other HPs'!AZ15,IF(SETUP!$G$28=3,$E$462*'HIV-Other HPs'!BA15,IF(SETUP!$G$28=2,$E$462*'HIV-Other HPs'!BB15,IF(SETUP!$G$28=1,$E$462*'HIV-Other HPs'!BC15,0)))),0)</f>
        <v>0</v>
      </c>
      <c r="N464" s="920">
        <f>IF(SETUP!$F$28="At delivery",IF(SETUP!$G$28=4,$E$462*'HIV-Other HPs'!BA15,IF(SETUP!$G$28=3,$E$462*'HIV-Other HPs'!BB15,IF(SETUP!$G$28=2,$E$462*'HIV-Other HPs'!BC15,IF(SETUP!$G$28=1,$E$462*'HIV-Other HPs'!BD15,0)))),0)</f>
        <v>0</v>
      </c>
      <c r="O464" s="920">
        <f t="shared" si="68"/>
        <v>0</v>
      </c>
      <c r="P464" s="1016">
        <f>IF(SETUP!$F$28="At delivery",IF(SETUP!$G$28=4,$E$462*'HIV-Other HPs'!BB15,IF(SETUP!$G$28=3,$E$462*'HIV-Other HPs'!BC15,IF(SETUP!$G$28=2,$E$462*'HIV-Other HPs'!BD15,IF(SETUP!$G$28=1,$E$462*'HIV-Other HPs'!BE15,0)))),0)</f>
        <v>0</v>
      </c>
      <c r="Q464" s="920">
        <f>IF(SETUP!$F$28="At delivery",IF(SETUP!$G$28=4,$E$462*'HIV-Other HPs'!BC15,IF(SETUP!$G$28=3,$E$462*'HIV-Other HPs'!BD15,IF(SETUP!$G$28=2,$E$462*'HIV-Other HPs'!BE15,IF(SETUP!$G$28=1,$E$462*'HIV-Other HPs'!BF15,0)))),0)</f>
        <v>0</v>
      </c>
      <c r="R464" s="920">
        <f>IF(SETUP!$F$28="At delivery",IF(SETUP!$G$28=4,$E$462*'HIV-Other HPs'!BD15,IF(SETUP!$G$28=3,$E$462*'HIV-Other HPs'!BE15,IF(SETUP!$G$28=2,$E$462*'HIV-Other HPs'!BF15,IF(SETUP!$G$28=1,$E$462*'HIV-Other HPs'!BG15,0)))),0)</f>
        <v>0</v>
      </c>
      <c r="S464" s="920">
        <f>IF(SETUP!$F$28="At delivery",IF(SETUP!$G$28=4,$E$462*('HIV-Other HPs'!BE15+'HIV-Other HPs'!BF15+'HIV-Other HPs'!BG15+'HIV-Other HPs'!BH15+'HIV-Other HPs'!BI15),IF(SETUP!$G$28=3,$E$462*('HIV-Other HPs'!BF15+'HIV-Other HPs'!BG15+'HIV-Other HPs'!BH15+'HIV-Other HPs'!BI15),IF(SETUP!$G$28=2,$E$462*('HIV-Other HPs'!BG15+'HIV-Other HPs'!BH15+'HIV-Other HPs'!BI15),IF(SETUP!$G$28=1,$E$462*('HIV-Other HPs'!BH15+'HIV-Other HPs'!BI15),0)))),0)</f>
        <v>0</v>
      </c>
      <c r="T464" s="920">
        <f t="shared" si="69"/>
        <v>0</v>
      </c>
      <c r="U464" s="1016">
        <f t="shared" si="70"/>
        <v>0</v>
      </c>
      <c r="V464" s="1344">
        <v>7.4</v>
      </c>
      <c r="W464" s="2011"/>
      <c r="X464" s="575"/>
      <c r="Y464" s="1350"/>
      <c r="Z464" s="655"/>
      <c r="AA464" s="686"/>
      <c r="AB464" s="686"/>
      <c r="AC464" s="686"/>
      <c r="AD464" s="686"/>
      <c r="AE464" s="686"/>
      <c r="AF464" s="686"/>
      <c r="AG464" s="686"/>
      <c r="AH464" s="687"/>
      <c r="AI464" s="686"/>
      <c r="AJ464" s="686"/>
      <c r="AK464" s="686"/>
      <c r="AL464" s="686"/>
      <c r="AM464" s="686"/>
      <c r="AN464" s="686"/>
      <c r="AO464" s="686"/>
      <c r="AP464" s="686"/>
      <c r="AQ464" s="686"/>
      <c r="AR464" s="686"/>
      <c r="AS464" s="686"/>
      <c r="AT464" s="686"/>
      <c r="AU464" s="686"/>
      <c r="AV464" s="686"/>
      <c r="AW464" s="686"/>
      <c r="AX464" s="686"/>
      <c r="AY464" s="686"/>
      <c r="AZ464" s="686"/>
      <c r="BA464" s="686"/>
      <c r="BB464" s="686"/>
      <c r="BC464" s="686"/>
      <c r="BD464" s="686"/>
      <c r="BE464" s="686"/>
      <c r="BF464" s="686"/>
      <c r="BG464" s="686"/>
      <c r="BH464" s="686"/>
      <c r="BI464" s="686"/>
      <c r="BJ464" s="686"/>
      <c r="BK464" s="686"/>
      <c r="BL464" s="686"/>
      <c r="BM464" s="686"/>
      <c r="BN464" s="686"/>
      <c r="BO464" s="686"/>
      <c r="BP464" s="686"/>
      <c r="BQ464" s="686"/>
      <c r="BR464" s="686"/>
      <c r="BS464" s="686"/>
      <c r="BT464" s="686"/>
    </row>
    <row r="465" spans="1:72" s="688" customFormat="1" ht="13.5" collapsed="1" thickBot="1">
      <c r="A465" s="3184"/>
      <c r="B465" s="3185"/>
      <c r="C465" s="3188" t="s">
        <v>441</v>
      </c>
      <c r="D465" s="3188"/>
      <c r="E465" s="1245">
        <v>0</v>
      </c>
      <c r="F465" s="1016">
        <f>IF(SETUP!$F$29="Upfront",F466,F467)</f>
        <v>0</v>
      </c>
      <c r="G465" s="920">
        <f>IF(SETUP!$F$29="Upfront",G466,G467)</f>
        <v>0</v>
      </c>
      <c r="H465" s="920">
        <f>IF(SETUP!$F$29="Upfront",H466,H467)</f>
        <v>0</v>
      </c>
      <c r="I465" s="920">
        <f>IF(SETUP!$F$29="Upfront",I466,I467)</f>
        <v>0</v>
      </c>
      <c r="J465" s="920">
        <f t="shared" si="67"/>
        <v>0</v>
      </c>
      <c r="K465" s="1016">
        <f>IF(SETUP!$F$29="Upfront",K466,K467)</f>
        <v>0</v>
      </c>
      <c r="L465" s="920">
        <f>IF(SETUP!$F$29="Upfront",L466,L467)</f>
        <v>0</v>
      </c>
      <c r="M465" s="920">
        <f>IF(SETUP!$F$29="Upfront",M466,M467)</f>
        <v>0</v>
      </c>
      <c r="N465" s="920">
        <f>IF(SETUP!$F$29="Upfront",N466,N467)</f>
        <v>0</v>
      </c>
      <c r="O465" s="920">
        <f t="shared" si="68"/>
        <v>0</v>
      </c>
      <c r="P465" s="1016">
        <f>IF(SETUP!$F$29="Upfront",P466,P467)</f>
        <v>0</v>
      </c>
      <c r="Q465" s="920">
        <f>IF(SETUP!$F$29="Upfront",Q466,Q467)</f>
        <v>0</v>
      </c>
      <c r="R465" s="920">
        <f>IF(SETUP!$F$29="Upfront",R466,R467)</f>
        <v>0</v>
      </c>
      <c r="S465" s="920">
        <f>IF(SETUP!$F$29="Upfront",S466,S467)</f>
        <v>0</v>
      </c>
      <c r="T465" s="920">
        <f t="shared" si="69"/>
        <v>0</v>
      </c>
      <c r="U465" s="1016">
        <f t="shared" si="70"/>
        <v>0</v>
      </c>
      <c r="V465" s="1344">
        <v>7.4</v>
      </c>
      <c r="W465" s="2011"/>
      <c r="X465" s="575"/>
      <c r="Y465" s="1350"/>
      <c r="Z465" s="655"/>
      <c r="AA465" s="686"/>
      <c r="AB465" s="686"/>
      <c r="AC465" s="686"/>
      <c r="AD465" s="686"/>
      <c r="AE465" s="686"/>
      <c r="AF465" s="686"/>
      <c r="AG465" s="686"/>
      <c r="AH465" s="687"/>
      <c r="AI465" s="686"/>
      <c r="AJ465" s="686"/>
      <c r="AK465" s="686"/>
      <c r="AL465" s="686"/>
      <c r="AM465" s="686"/>
      <c r="AN465" s="686"/>
      <c r="AO465" s="686"/>
      <c r="AP465" s="686"/>
      <c r="AQ465" s="686"/>
      <c r="AR465" s="686"/>
      <c r="AS465" s="686"/>
      <c r="AT465" s="686"/>
      <c r="AU465" s="686"/>
      <c r="AV465" s="686"/>
      <c r="AW465" s="686"/>
      <c r="AX465" s="686"/>
      <c r="AY465" s="686"/>
      <c r="AZ465" s="686"/>
      <c r="BA465" s="686"/>
      <c r="BB465" s="686"/>
      <c r="BC465" s="686"/>
      <c r="BD465" s="686"/>
      <c r="BE465" s="686"/>
      <c r="BF465" s="686"/>
      <c r="BG465" s="686"/>
      <c r="BH465" s="686"/>
      <c r="BI465" s="686"/>
      <c r="BJ465" s="686"/>
      <c r="BK465" s="686"/>
      <c r="BL465" s="686"/>
      <c r="BM465" s="686"/>
      <c r="BN465" s="686"/>
      <c r="BO465" s="686"/>
      <c r="BP465" s="686"/>
      <c r="BQ465" s="686"/>
      <c r="BR465" s="686"/>
      <c r="BS465" s="686"/>
      <c r="BT465" s="686"/>
    </row>
    <row r="466" spans="1:72" s="688" customFormat="1" ht="16.149999999999999" hidden="1" customHeight="1" outlineLevel="1">
      <c r="A466" s="3184"/>
      <c r="B466" s="3185"/>
      <c r="C466" s="3182" t="s">
        <v>777</v>
      </c>
      <c r="D466" s="3182"/>
      <c r="E466" s="1246"/>
      <c r="F466" s="1016">
        <f>IF(SETUP!$F$29="Upfront",$E$465*'HIV-Other HPs'!AX16,0)</f>
        <v>0</v>
      </c>
      <c r="G466" s="920">
        <f>IF(SETUP!$F$29="Upfront",$E$465*'HIV-Other HPs'!AY16,0)</f>
        <v>0</v>
      </c>
      <c r="H466" s="920">
        <f>IF(SETUP!$F$29="Upfront",$E$465*'HIV-Other HPs'!AZ16,0)</f>
        <v>0</v>
      </c>
      <c r="I466" s="920">
        <f>IF(SETUP!$F$29="Upfront",$E$465*'HIV-Other HPs'!BA16,0)</f>
        <v>0</v>
      </c>
      <c r="J466" s="920">
        <f t="shared" si="67"/>
        <v>0</v>
      </c>
      <c r="K466" s="1016">
        <f>IF(SETUP!$F$29="Upfront",$E$465*'HIV-Other HPs'!BB16,0)</f>
        <v>0</v>
      </c>
      <c r="L466" s="920">
        <f>IF(SETUP!$F$29="Upfront",$E$465*'HIV-Other HPs'!BC16,0)</f>
        <v>0</v>
      </c>
      <c r="M466" s="920">
        <f>IF(SETUP!$F$29="Upfront",$E$465*'HIV-Other HPs'!BD16,0)</f>
        <v>0</v>
      </c>
      <c r="N466" s="920">
        <f>IF(SETUP!$F$29="Upfront",$E$465*'HIV-Other HPs'!BE16,0)</f>
        <v>0</v>
      </c>
      <c r="O466" s="920">
        <f t="shared" si="68"/>
        <v>0</v>
      </c>
      <c r="P466" s="1016">
        <f>IF(SETUP!$F$29="Upfront",$E$465*'HIV-Other HPs'!BF16,0)</f>
        <v>0</v>
      </c>
      <c r="Q466" s="920">
        <f>IF(SETUP!$F$29="Upfront",$E$465*'HIV-Other HPs'!BG16,0)</f>
        <v>0</v>
      </c>
      <c r="R466" s="920">
        <f>IF(SETUP!$F$29="Upfront",$E$465*'HIV-Other HPs'!BH16,0)</f>
        <v>0</v>
      </c>
      <c r="S466" s="920">
        <f>IF(SETUP!$F$29="Upfront",$E$465*'HIV-Other HPs'!BI16,0)</f>
        <v>0</v>
      </c>
      <c r="T466" s="920">
        <f t="shared" ref="T466:T480" si="71">P466+Q466+R466+S466</f>
        <v>0</v>
      </c>
      <c r="U466" s="1016">
        <f t="shared" ref="U466:U480" si="72">J466+O466+T466</f>
        <v>0</v>
      </c>
      <c r="V466" s="1344">
        <v>7.4</v>
      </c>
      <c r="W466" s="2011"/>
      <c r="X466" s="575"/>
      <c r="Y466" s="1350"/>
      <c r="Z466" s="655"/>
      <c r="AA466" s="686"/>
      <c r="AB466" s="686"/>
      <c r="AC466" s="686"/>
      <c r="AD466" s="686"/>
      <c r="AE466" s="686"/>
      <c r="AF466" s="686"/>
      <c r="AG466" s="686"/>
      <c r="AH466" s="687"/>
      <c r="AI466" s="686"/>
      <c r="AJ466" s="686"/>
      <c r="AK466" s="686"/>
      <c r="AL466" s="686"/>
      <c r="AM466" s="686"/>
      <c r="AN466" s="686"/>
      <c r="AO466" s="686"/>
      <c r="AP466" s="686"/>
      <c r="AQ466" s="686"/>
      <c r="AR466" s="686"/>
      <c r="AS466" s="686"/>
      <c r="AT466" s="686"/>
      <c r="AU466" s="686"/>
      <c r="AV466" s="686"/>
      <c r="AW466" s="686"/>
      <c r="AX466" s="686"/>
      <c r="AY466" s="686"/>
      <c r="AZ466" s="686"/>
      <c r="BA466" s="686"/>
      <c r="BB466" s="686"/>
      <c r="BC466" s="686"/>
      <c r="BD466" s="686"/>
      <c r="BE466" s="686"/>
      <c r="BF466" s="686"/>
      <c r="BG466" s="686"/>
      <c r="BH466" s="686"/>
      <c r="BI466" s="686"/>
      <c r="BJ466" s="686"/>
      <c r="BK466" s="686"/>
      <c r="BL466" s="686"/>
      <c r="BM466" s="686"/>
      <c r="BN466" s="686"/>
      <c r="BO466" s="686"/>
      <c r="BP466" s="686"/>
      <c r="BQ466" s="686"/>
      <c r="BR466" s="686"/>
      <c r="BS466" s="686"/>
      <c r="BT466" s="686"/>
    </row>
    <row r="467" spans="1:72" s="688" customFormat="1" ht="16.149999999999999" hidden="1" customHeight="1" outlineLevel="1">
      <c r="A467" s="3184"/>
      <c r="B467" s="3185"/>
      <c r="C467" s="3182" t="s">
        <v>36</v>
      </c>
      <c r="D467" s="3182"/>
      <c r="E467" s="1991"/>
      <c r="F467" s="1016">
        <v>0</v>
      </c>
      <c r="G467" s="920">
        <f>IF(SETUP!$F$29="At delivery",IF(SETUP!$G$29=1,$E$465*'HIV-Other HPs'!AX16,0),0)</f>
        <v>0</v>
      </c>
      <c r="H467" s="920">
        <f>IF(SETUP!$F$29="At delivery",IF(SETUP!$G$29=2,$E$465*'HIV-Other HPs'!AX16,IF(SETUP!$G$29=1,$E$465*'HIV-Other HPs'!AY16,0)),0)</f>
        <v>0</v>
      </c>
      <c r="I467" s="920">
        <f>IF(SETUP!$F$29="At delivery",IF(SETUP!$G$29=3,$E$465*'HIV-Other HPs'!AX16,IF(SETUP!$G$29=2,$E$465*'HIV-Other HPs'!AY16,IF(SETUP!$G$29=1,$E$465*'HIV-Other HPs'!AZ16,0))),0)</f>
        <v>0</v>
      </c>
      <c r="J467" s="920">
        <f t="shared" si="67"/>
        <v>0</v>
      </c>
      <c r="K467" s="1016">
        <f>IF(SETUP!$F$29="At delivery",IF(SETUP!$G$29=4,$E$465*'HIV-Other HPs'!AX16,IF(SETUP!$G$29=3,$E$465*'HIV-Other HPs'!AY16,IF(SETUP!$G$29=2,$E$465*'HIV-Other HPs'!AZ16,IF(SETUP!$G$29=1,$E$465*'HIV-Other HPs'!BA16,0)))),0)</f>
        <v>0</v>
      </c>
      <c r="L467" s="920">
        <f>IF(SETUP!$F$29="At delivery",IF(SETUP!$G$29=4,$E$465*'HIV-Other HPs'!AY16,IF(SETUP!$G$29=3,$E$465*'HIV-Other HPs'!AZ16,IF(SETUP!$G$29=2,$E$465*'HIV-Other HPs'!BA16,IF(SETUP!$G$29=1,$E$465*'HIV-Other HPs'!BB16,0)))),0)</f>
        <v>0</v>
      </c>
      <c r="M467" s="920">
        <f>IF(SETUP!$F$29="At delivery",IF(SETUP!$G$29=4,$E$465*'HIV-Other HPs'!AZ16,IF(SETUP!$G$29=3,$E$465*'HIV-Other HPs'!BA16,IF(SETUP!$G$29=2,$E$465*'HIV-Other HPs'!BB16,IF(SETUP!$G$29=1,$E$465*'HIV-Other HPs'!BC16,0)))),0)</f>
        <v>0</v>
      </c>
      <c r="N467" s="920">
        <f>IF(SETUP!$F$29="At delivery",IF(SETUP!$G$29=4,$E$465*'HIV-Other HPs'!BA16,IF(SETUP!$G$29=3,$E$465*'HIV-Other HPs'!BB16,IF(SETUP!$G$29=2,$E$465*'HIV-Other HPs'!BC16,IF(SETUP!$G$29=1,$E$465*'HIV-Other HPs'!BD16,0)))),0)</f>
        <v>0</v>
      </c>
      <c r="O467" s="920">
        <f t="shared" si="68"/>
        <v>0</v>
      </c>
      <c r="P467" s="1016">
        <f>IF(SETUP!$F$29="At delivery",IF(SETUP!$G$29=4,$E$465*'HIV-Other HPs'!BB16,IF(SETUP!$G$29=3,$E$465*'HIV-Other HPs'!BC16,IF(SETUP!$G$29=2,$E$465*'HIV-Other HPs'!BD16,IF(SETUP!$G$29=1,$E$465*'HIV-Other HPs'!BE16,0)))),0)</f>
        <v>0</v>
      </c>
      <c r="Q467" s="920">
        <f>IF(SETUP!$F$29="At delivery",IF(SETUP!$G$29=4,$E$465*'HIV-Other HPs'!BC16,IF(SETUP!$G$29=3,$E$465*'HIV-Other HPs'!BD16,IF(SETUP!$G$29=2,$E$465*'HIV-Other HPs'!BE16,IF(SETUP!$G$29=1,$E$465*'HIV-Other HPs'!BF16,0)))),0)</f>
        <v>0</v>
      </c>
      <c r="R467" s="920">
        <f>IF(SETUP!$F$29="At delivery",IF(SETUP!$G$29=4,$E$465*'HIV-Other HPs'!BD16,IF(SETUP!$G$29=3,$E$465*'HIV-Other HPs'!BE16,IF(SETUP!$G$29=2,$E$465*'HIV-Other HPs'!BF16,IF(SETUP!$G$29=1,$E$465*'HIV-Other HPs'!BG16,0)))),0)</f>
        <v>0</v>
      </c>
      <c r="S467" s="920">
        <f>IF(SETUP!$F$29="At delivery",IF(SETUP!$G$29=4,$E$465*('HIV-Other HPs'!BE16+'HIV-Other HPs'!BF16+'HIV-Other HPs'!BG16+'HIV-Other HPs'!BH16+'HIV-Other HPs'!BI16),IF(SETUP!$G$29=3,$E$465*('HIV-Other HPs'!BF16+'HIV-Other HPs'!BG16+'HIV-Other HPs'!BH16+'HIV-Other HPs'!BI16),IF(SETUP!$G$29=2,$E$465*('HIV-Other HPs'!BG16+'HIV-Other HPs'!BH16+'HIV-Other HPs'!BI16),IF(SETUP!$G$29=1,$E$465*('HIV-Other HPs'!BH16+'HIV-Other HPs'!BI16),0)))),0)</f>
        <v>0</v>
      </c>
      <c r="T467" s="920">
        <f t="shared" si="71"/>
        <v>0</v>
      </c>
      <c r="U467" s="1016">
        <f t="shared" si="72"/>
        <v>0</v>
      </c>
      <c r="V467" s="1344">
        <v>7.4</v>
      </c>
      <c r="W467" s="2011"/>
      <c r="X467" s="575"/>
      <c r="Y467" s="1350"/>
      <c r="Z467" s="655"/>
      <c r="AA467" s="686"/>
      <c r="AB467" s="686"/>
      <c r="AC467" s="686"/>
      <c r="AD467" s="686"/>
      <c r="AE467" s="686"/>
      <c r="AF467" s="686"/>
      <c r="AG467" s="686"/>
      <c r="AH467" s="687"/>
      <c r="AI467" s="686"/>
      <c r="AJ467" s="686"/>
      <c r="AK467" s="686"/>
      <c r="AL467" s="686"/>
      <c r="AM467" s="686"/>
      <c r="AN467" s="686"/>
      <c r="AO467" s="686"/>
      <c r="AP467" s="686"/>
      <c r="AQ467" s="686"/>
      <c r="AR467" s="686"/>
      <c r="AS467" s="686"/>
      <c r="AT467" s="686"/>
      <c r="AU467" s="686"/>
      <c r="AV467" s="686"/>
      <c r="AW467" s="686"/>
      <c r="AX467" s="686"/>
      <c r="AY467" s="686"/>
      <c r="AZ467" s="686"/>
      <c r="BA467" s="686"/>
      <c r="BB467" s="686"/>
      <c r="BC467" s="686"/>
      <c r="BD467" s="686"/>
      <c r="BE467" s="686"/>
      <c r="BF467" s="686"/>
      <c r="BG467" s="686"/>
      <c r="BH467" s="686"/>
      <c r="BI467" s="686"/>
      <c r="BJ467" s="686"/>
      <c r="BK467" s="686"/>
      <c r="BL467" s="686"/>
      <c r="BM467" s="686"/>
      <c r="BN467" s="686"/>
      <c r="BO467" s="686"/>
      <c r="BP467" s="686"/>
      <c r="BQ467" s="686"/>
      <c r="BR467" s="686"/>
      <c r="BS467" s="686"/>
      <c r="BT467" s="686"/>
    </row>
    <row r="468" spans="1:72" s="688" customFormat="1" ht="13.5" collapsed="1" thickBot="1">
      <c r="A468" s="3184"/>
      <c r="B468" s="3185"/>
      <c r="C468" s="3188" t="s">
        <v>1452</v>
      </c>
      <c r="D468" s="3188"/>
      <c r="E468" s="1245">
        <v>0</v>
      </c>
      <c r="F468" s="1016">
        <f>IF(SETUP!$F$30="Upfront",F469,F470)</f>
        <v>0</v>
      </c>
      <c r="G468" s="920">
        <f>IF(SETUP!$F$30="Upfront",G469,G470)</f>
        <v>0</v>
      </c>
      <c r="H468" s="920">
        <f>IF(SETUP!$F$30="Upfront",H469,H470)</f>
        <v>0</v>
      </c>
      <c r="I468" s="920">
        <f>IF(SETUP!$F$30="Upfront",I469,I470)</f>
        <v>0</v>
      </c>
      <c r="J468" s="920">
        <f t="shared" si="67"/>
        <v>0</v>
      </c>
      <c r="K468" s="1016">
        <f>IF(SETUP!$F$30="Upfront",K469,K470)</f>
        <v>0</v>
      </c>
      <c r="L468" s="920">
        <f>IF(SETUP!$F$30="Upfront",L469,L470)</f>
        <v>0</v>
      </c>
      <c r="M468" s="920">
        <f>IF(SETUP!$F$30="Upfront",M469,M470)</f>
        <v>0</v>
      </c>
      <c r="N468" s="920">
        <f>IF(SETUP!$F$30="Upfront",N469,N470)</f>
        <v>0</v>
      </c>
      <c r="O468" s="920">
        <f t="shared" si="68"/>
        <v>0</v>
      </c>
      <c r="P468" s="1016">
        <f>IF(SETUP!$F$30="Upfront",P469,P470)</f>
        <v>0</v>
      </c>
      <c r="Q468" s="920">
        <f>IF(SETUP!$F$30="Upfront",Q469,Q470)</f>
        <v>0</v>
      </c>
      <c r="R468" s="920">
        <f>IF(SETUP!$F$30="Upfront",R469,R470)</f>
        <v>0</v>
      </c>
      <c r="S468" s="920">
        <f>IF(SETUP!$F$30="Upfront",S469,S470)</f>
        <v>0</v>
      </c>
      <c r="T468" s="920">
        <f t="shared" si="71"/>
        <v>0</v>
      </c>
      <c r="U468" s="1016">
        <f t="shared" si="72"/>
        <v>0</v>
      </c>
      <c r="V468" s="1344">
        <v>7.4</v>
      </c>
      <c r="W468" s="2011"/>
      <c r="X468" s="575"/>
      <c r="Y468" s="1350"/>
      <c r="Z468" s="655"/>
      <c r="AA468" s="686"/>
      <c r="AB468" s="686"/>
      <c r="AC468" s="686"/>
      <c r="AD468" s="686"/>
      <c r="AE468" s="686"/>
      <c r="AF468" s="686"/>
      <c r="AG468" s="686"/>
      <c r="AH468" s="687"/>
      <c r="AI468" s="686"/>
      <c r="AJ468" s="686"/>
      <c r="AK468" s="686"/>
      <c r="AL468" s="686"/>
      <c r="AM468" s="686"/>
      <c r="AN468" s="686"/>
      <c r="AO468" s="686"/>
      <c r="AP468" s="686"/>
      <c r="AQ468" s="686"/>
      <c r="AR468" s="686"/>
      <c r="AS468" s="686"/>
      <c r="AT468" s="686"/>
      <c r="AU468" s="686"/>
      <c r="AV468" s="686"/>
      <c r="AW468" s="686"/>
      <c r="AX468" s="686"/>
      <c r="AY468" s="686"/>
      <c r="AZ468" s="686"/>
      <c r="BA468" s="686"/>
      <c r="BB468" s="686"/>
      <c r="BC468" s="686"/>
      <c r="BD468" s="686"/>
      <c r="BE468" s="686"/>
      <c r="BF468" s="686"/>
      <c r="BG468" s="686"/>
      <c r="BH468" s="686"/>
      <c r="BI468" s="686"/>
      <c r="BJ468" s="686"/>
      <c r="BK468" s="686"/>
      <c r="BL468" s="686"/>
      <c r="BM468" s="686"/>
      <c r="BN468" s="686"/>
      <c r="BO468" s="686"/>
      <c r="BP468" s="686"/>
      <c r="BQ468" s="686"/>
      <c r="BR468" s="686"/>
      <c r="BS468" s="686"/>
      <c r="BT468" s="686"/>
    </row>
    <row r="469" spans="1:72" s="688" customFormat="1" ht="16.149999999999999" hidden="1" customHeight="1" outlineLevel="1">
      <c r="A469" s="3184"/>
      <c r="B469" s="3185"/>
      <c r="C469" s="3182" t="s">
        <v>777</v>
      </c>
      <c r="D469" s="3182"/>
      <c r="E469" s="1246"/>
      <c r="F469" s="1016">
        <f>IF(SETUP!$F$30="Upfront",$E$468*'HIV-Other HPs'!AX17,0)</f>
        <v>0</v>
      </c>
      <c r="G469" s="920">
        <f>IF(SETUP!$F$30="Upfront",$E$468*'HIV-Other HPs'!AY17,0)</f>
        <v>0</v>
      </c>
      <c r="H469" s="920">
        <f>IF(SETUP!$F$30="Upfront",$E$468*'HIV-Other HPs'!AZ17,0)</f>
        <v>0</v>
      </c>
      <c r="I469" s="920">
        <f>IF(SETUP!$F$30="Upfront",$E$468*'HIV-Other HPs'!BA17,0)</f>
        <v>0</v>
      </c>
      <c r="J469" s="920">
        <f t="shared" si="67"/>
        <v>0</v>
      </c>
      <c r="K469" s="1016">
        <f>IF(SETUP!$F$30="Upfront",$E$468*'HIV-Other HPs'!BB17,0)</f>
        <v>0</v>
      </c>
      <c r="L469" s="920">
        <f>IF(SETUP!$F$30="Upfront",$E$468*'HIV-Other HPs'!BC17,0)</f>
        <v>0</v>
      </c>
      <c r="M469" s="920">
        <f>IF(SETUP!$F$30="Upfront",$E$468*'HIV-Other HPs'!BD17,0)</f>
        <v>0</v>
      </c>
      <c r="N469" s="920">
        <f>IF(SETUP!$F$30="Upfront",$E$468*'HIV-Other HPs'!BE17,0)</f>
        <v>0</v>
      </c>
      <c r="O469" s="920">
        <f t="shared" si="68"/>
        <v>0</v>
      </c>
      <c r="P469" s="1016">
        <f>IF(SETUP!$F$30="Upfront",$E$468*'HIV-Other HPs'!BF17,0)</f>
        <v>0</v>
      </c>
      <c r="Q469" s="920">
        <f>IF(SETUP!$F$30="Upfront",$E$468*'HIV-Other HPs'!BG17,0)</f>
        <v>0</v>
      </c>
      <c r="R469" s="920">
        <f>IF(SETUP!$F$30="Upfront",$E$468*'HIV-Other HPs'!BH17,0)</f>
        <v>0</v>
      </c>
      <c r="S469" s="920">
        <f>IF(SETUP!$F$30="Upfront",$E$468*'HIV-Other HPs'!BI17,0)</f>
        <v>0</v>
      </c>
      <c r="T469" s="920">
        <f t="shared" si="71"/>
        <v>0</v>
      </c>
      <c r="U469" s="1016">
        <f t="shared" si="72"/>
        <v>0</v>
      </c>
      <c r="V469" s="1344">
        <v>7.4</v>
      </c>
      <c r="W469" s="2011"/>
      <c r="X469" s="575"/>
      <c r="Y469" s="1350"/>
      <c r="Z469" s="655"/>
      <c r="AA469" s="686"/>
      <c r="AB469" s="686"/>
      <c r="AC469" s="686"/>
      <c r="AD469" s="686"/>
      <c r="AE469" s="686"/>
      <c r="AF469" s="686"/>
      <c r="AG469" s="686"/>
      <c r="AH469" s="687"/>
      <c r="AI469" s="686"/>
      <c r="AJ469" s="686"/>
      <c r="AK469" s="686"/>
      <c r="AL469" s="686"/>
      <c r="AM469" s="686"/>
      <c r="AN469" s="686"/>
      <c r="AO469" s="686"/>
      <c r="AP469" s="686"/>
      <c r="AQ469" s="686"/>
      <c r="AR469" s="686"/>
      <c r="AS469" s="686"/>
      <c r="AT469" s="686"/>
      <c r="AU469" s="686"/>
      <c r="AV469" s="686"/>
      <c r="AW469" s="686"/>
      <c r="AX469" s="686"/>
      <c r="AY469" s="686"/>
      <c r="AZ469" s="686"/>
      <c r="BA469" s="686"/>
      <c r="BB469" s="686"/>
      <c r="BC469" s="686"/>
      <c r="BD469" s="686"/>
      <c r="BE469" s="686"/>
      <c r="BF469" s="686"/>
      <c r="BG469" s="686"/>
      <c r="BH469" s="686"/>
      <c r="BI469" s="686"/>
      <c r="BJ469" s="686"/>
      <c r="BK469" s="686"/>
      <c r="BL469" s="686"/>
      <c r="BM469" s="686"/>
      <c r="BN469" s="686"/>
      <c r="BO469" s="686"/>
      <c r="BP469" s="686"/>
      <c r="BQ469" s="686"/>
      <c r="BR469" s="686"/>
      <c r="BS469" s="686"/>
      <c r="BT469" s="686"/>
    </row>
    <row r="470" spans="1:72" s="688" customFormat="1" ht="16.149999999999999" hidden="1" customHeight="1" outlineLevel="1">
      <c r="A470" s="3184"/>
      <c r="B470" s="3185"/>
      <c r="C470" s="3182" t="s">
        <v>36</v>
      </c>
      <c r="D470" s="3182"/>
      <c r="E470" s="1246"/>
      <c r="F470" s="1016">
        <v>0</v>
      </c>
      <c r="G470" s="920">
        <f>IF(SETUP!$F$30="At delivery",IF(SETUP!$G$30=1,$E$468*'HIV-Other HPs'!AX17,0),0)</f>
        <v>0</v>
      </c>
      <c r="H470" s="920">
        <f>IF(SETUP!$F$30="At delivery",IF(SETUP!$G$30=2,$E$468*'HIV-Other HPs'!AX17,IF(SETUP!$G$30=1,$E$468*'HIV-Other HPs'!AY17,0)),0)</f>
        <v>0</v>
      </c>
      <c r="I470" s="920">
        <f>IF(SETUP!$F$30="At delivery",IF(SETUP!$G$30=3,$E$468*'HIV-Other HPs'!AX17,IF(SETUP!$G$30=2,$E$468*'HIV-Other HPs'!AY17,IF(SETUP!$G$30=1,$E$468*'HIV-Other HPs'!AZ17,0))),0)</f>
        <v>0</v>
      </c>
      <c r="J470" s="920">
        <f t="shared" si="67"/>
        <v>0</v>
      </c>
      <c r="K470" s="1016">
        <f>IF(SETUP!$F$30="At delivery",IF(SETUP!$G$30=4,$E$468*'HIV-Other HPs'!AX17,IF(SETUP!$G$30=3,$E$468*'HIV-Other HPs'!AY17,IF(SETUP!$G$30=2,$E$468*'HIV-Other HPs'!AZ17,IF(SETUP!$G$30=1,$E$468*'HIV-Other HPs'!BA17,0)))),0)</f>
        <v>0</v>
      </c>
      <c r="L470" s="920">
        <f>IF(SETUP!$F$30="At delivery",IF(SETUP!$G$30=4,$E$468*'HIV-Other HPs'!AY17,IF(SETUP!$G$30=3,$E$468*'HIV-Other HPs'!AZ17,IF(SETUP!$G$30=2,$E$468*'HIV-Other HPs'!BA17,IF(SETUP!$G$30=1,$E$468*'HIV-Other HPs'!BB17,0)))),0)</f>
        <v>0</v>
      </c>
      <c r="M470" s="920">
        <f>IF(SETUP!$F$30="At delivery",IF(SETUP!$G$30=4,$E$468*'HIV-Other HPs'!AZ17,IF(SETUP!$G$30=3,$E$468*'HIV-Other HPs'!BA17,IF(SETUP!$G$30=2,$E$468*'HIV-Other HPs'!BB17,IF(SETUP!$G$30=1,$E$468*'HIV-Other HPs'!BC17,0)))),0)</f>
        <v>0</v>
      </c>
      <c r="N470" s="920">
        <f>IF(SETUP!$F$30="At delivery",IF(SETUP!$G$30=4,$E$468*'HIV-Other HPs'!BA17,IF(SETUP!$G$30=3,$E$468*'HIV-Other HPs'!BB17,IF(SETUP!$G$30=2,$E$468*'HIV-Other HPs'!BC17,IF(SETUP!$G$30=1,$E$468*'HIV-Other HPs'!BD17,0)))),0)</f>
        <v>0</v>
      </c>
      <c r="O470" s="920">
        <f t="shared" si="68"/>
        <v>0</v>
      </c>
      <c r="P470" s="1016">
        <f>IF(SETUP!$F$30="At delivery",IF(SETUP!$G$30=4,$E$468*'HIV-Other HPs'!BB17,IF(SETUP!$G$30=3,$E$468*'HIV-Other HPs'!BC17,IF(SETUP!$G$30=2,$E$468*'HIV-Other HPs'!BD17,IF(SETUP!$G$30=1,$E$468*'HIV-Other HPs'!BE17,0)))),0)</f>
        <v>0</v>
      </c>
      <c r="Q470" s="920">
        <f>IF(SETUP!$F$30="At delivery",IF(SETUP!$G$30=4,$E$468*'HIV-Other HPs'!BC17,IF(SETUP!$G$30=3,$E$468*'HIV-Other HPs'!BD17,IF(SETUP!$G$30=2,$E$468*'HIV-Other HPs'!BE17,IF(SETUP!$G$30=1,$E$468*'HIV-Other HPs'!BF17,0)))),0)</f>
        <v>0</v>
      </c>
      <c r="R470" s="920">
        <f>IF(SETUP!$F$30="At delivery",IF(SETUP!$G$30=4,$E$468*'HIV-Other HPs'!BD17,IF(SETUP!$G$30=3,$E$468*'HIV-Other HPs'!BE17,IF(SETUP!$G$30=2,$E$468*'HIV-Other HPs'!BF17,IF(SETUP!$G$30=1,$E$468*'HIV-Other HPs'!BG17,0)))),0)</f>
        <v>0</v>
      </c>
      <c r="S470" s="920">
        <f>IF(SETUP!$F$30="At delivery",IF(SETUP!$G$30=4,$E$468*('HIV-Other HPs'!BE17+'HIV-Other HPs'!BF17+'HIV-Other HPs'!BG17+'HIV-Other HPs'!BH17+'HIV-Other HPs'!BI17),IF(SETUP!$G$30=3,$E$468*('HIV-Other HPs'!BF17+'HIV-Other HPs'!BG17+'HIV-Other HPs'!BH17+'HIV-Other HPs'!BI17),IF(SETUP!$G$30=2,$E$468*('HIV-Other HPs'!BG17+'HIV-Other HPs'!BH17+'HIV-Other HPs'!BI17),IF(SETUP!$G$30=1,$E$468*('HIV-Other HPs'!BH17+'HIV-Other HPs'!BI17),0)))),0)</f>
        <v>0</v>
      </c>
      <c r="T470" s="920">
        <f t="shared" si="71"/>
        <v>0</v>
      </c>
      <c r="U470" s="1016">
        <f t="shared" si="72"/>
        <v>0</v>
      </c>
      <c r="V470" s="1344">
        <v>7.4</v>
      </c>
      <c r="W470" s="2011"/>
      <c r="X470" s="575"/>
      <c r="Y470" s="1350"/>
      <c r="Z470" s="655"/>
      <c r="AA470" s="686"/>
      <c r="AB470" s="686"/>
      <c r="AC470" s="686"/>
      <c r="AD470" s="686"/>
      <c r="AE470" s="686"/>
      <c r="AF470" s="686"/>
      <c r="AG470" s="686"/>
      <c r="AH470" s="687"/>
      <c r="AI470" s="686"/>
      <c r="AJ470" s="686"/>
      <c r="AK470" s="686"/>
      <c r="AL470" s="686"/>
      <c r="AM470" s="686"/>
      <c r="AN470" s="686"/>
      <c r="AO470" s="686"/>
      <c r="AP470" s="686"/>
      <c r="AQ470" s="686"/>
      <c r="AR470" s="686"/>
      <c r="AS470" s="686"/>
      <c r="AT470" s="686"/>
      <c r="AU470" s="686"/>
      <c r="AV470" s="686"/>
      <c r="AW470" s="686"/>
      <c r="AX470" s="686"/>
      <c r="AY470" s="686"/>
      <c r="AZ470" s="686"/>
      <c r="BA470" s="686"/>
      <c r="BB470" s="686"/>
      <c r="BC470" s="686"/>
      <c r="BD470" s="686"/>
      <c r="BE470" s="686"/>
      <c r="BF470" s="686"/>
      <c r="BG470" s="686"/>
      <c r="BH470" s="686"/>
      <c r="BI470" s="686"/>
      <c r="BJ470" s="686"/>
      <c r="BK470" s="686"/>
      <c r="BL470" s="686"/>
      <c r="BM470" s="686"/>
      <c r="BN470" s="686"/>
      <c r="BO470" s="686"/>
      <c r="BP470" s="686"/>
      <c r="BQ470" s="686"/>
      <c r="BR470" s="686"/>
      <c r="BS470" s="686"/>
      <c r="BT470" s="686"/>
    </row>
    <row r="471" spans="1:72" s="688" customFormat="1" ht="13.5" collapsed="1" thickBot="1">
      <c r="A471" s="3184"/>
      <c r="B471" s="3185"/>
      <c r="C471" s="3188" t="s">
        <v>1391</v>
      </c>
      <c r="D471" s="3188"/>
      <c r="E471" s="1245">
        <v>0</v>
      </c>
      <c r="F471" s="1016">
        <f>IF(SETUP!$F$31="Upfront",F472,F473)</f>
        <v>0</v>
      </c>
      <c r="G471" s="920">
        <f>IF(SETUP!$F$31="Upfront",G472,G473)</f>
        <v>0</v>
      </c>
      <c r="H471" s="920">
        <f>IF(SETUP!$F$31="Upfront",H472,H473)</f>
        <v>0</v>
      </c>
      <c r="I471" s="920">
        <f>IF(SETUP!$F$31="Upfront",I472,I473)</f>
        <v>0</v>
      </c>
      <c r="J471" s="920">
        <f t="shared" si="67"/>
        <v>0</v>
      </c>
      <c r="K471" s="1016">
        <f>IF(SETUP!$F$31="Upfront",K472,K473)</f>
        <v>0</v>
      </c>
      <c r="L471" s="920">
        <f>IF(SETUP!$F$31="Upfront",L472,L473)</f>
        <v>0</v>
      </c>
      <c r="M471" s="920">
        <f>IF(SETUP!$F$31="Upfront",M472,M473)</f>
        <v>0</v>
      </c>
      <c r="N471" s="920">
        <f>IF(SETUP!$F$31="Upfront",N472,N473)</f>
        <v>0</v>
      </c>
      <c r="O471" s="920">
        <f t="shared" si="68"/>
        <v>0</v>
      </c>
      <c r="P471" s="1016">
        <f>IF(SETUP!$F$31="Upfront",P472,P473)</f>
        <v>0</v>
      </c>
      <c r="Q471" s="920">
        <f>IF(SETUP!$F$31="Upfront",Q472,Q473)</f>
        <v>0</v>
      </c>
      <c r="R471" s="920">
        <f>IF(SETUP!$F$31="Upfront",R472,R473)</f>
        <v>0</v>
      </c>
      <c r="S471" s="920">
        <f>IF(SETUP!$F$31="Upfront",S472,S473)</f>
        <v>0</v>
      </c>
      <c r="T471" s="920">
        <f t="shared" si="71"/>
        <v>0</v>
      </c>
      <c r="U471" s="1016">
        <f t="shared" si="72"/>
        <v>0</v>
      </c>
      <c r="V471" s="1344">
        <v>7.4</v>
      </c>
      <c r="W471" s="2011"/>
      <c r="X471" s="575"/>
      <c r="Y471" s="1350"/>
      <c r="Z471" s="655"/>
      <c r="AA471" s="686"/>
      <c r="AB471" s="686"/>
      <c r="AC471" s="686"/>
      <c r="AD471" s="686"/>
      <c r="AE471" s="686"/>
      <c r="AF471" s="686"/>
      <c r="AG471" s="686"/>
      <c r="AH471" s="687"/>
      <c r="AI471" s="686"/>
      <c r="AJ471" s="686"/>
      <c r="AK471" s="686"/>
      <c r="AL471" s="686"/>
      <c r="AM471" s="686"/>
      <c r="AN471" s="686"/>
      <c r="AO471" s="686"/>
      <c r="AP471" s="686"/>
      <c r="AQ471" s="686"/>
      <c r="AR471" s="686"/>
      <c r="AS471" s="686"/>
      <c r="AT471" s="686"/>
      <c r="AU471" s="686"/>
      <c r="AV471" s="686"/>
      <c r="AW471" s="686"/>
      <c r="AX471" s="686"/>
      <c r="AY471" s="686"/>
      <c r="AZ471" s="686"/>
      <c r="BA471" s="686"/>
      <c r="BB471" s="686"/>
      <c r="BC471" s="686"/>
      <c r="BD471" s="686"/>
      <c r="BE471" s="686"/>
      <c r="BF471" s="686"/>
      <c r="BG471" s="686"/>
      <c r="BH471" s="686"/>
      <c r="BI471" s="686"/>
      <c r="BJ471" s="686"/>
      <c r="BK471" s="686"/>
      <c r="BL471" s="686"/>
      <c r="BM471" s="686"/>
      <c r="BN471" s="686"/>
      <c r="BO471" s="686"/>
      <c r="BP471" s="686"/>
      <c r="BQ471" s="686"/>
      <c r="BR471" s="686"/>
      <c r="BS471" s="686"/>
      <c r="BT471" s="686"/>
    </row>
    <row r="472" spans="1:72" s="688" customFormat="1" ht="16.149999999999999" hidden="1" customHeight="1" outlineLevel="1">
      <c r="A472" s="3184"/>
      <c r="B472" s="3185"/>
      <c r="C472" s="3182" t="s">
        <v>777</v>
      </c>
      <c r="D472" s="3182"/>
      <c r="E472" s="1246"/>
      <c r="F472" s="1016">
        <f>IF(SETUP!$F$31="Upfront",$E$471*'HIV-Other HPs'!AX18,0)</f>
        <v>0</v>
      </c>
      <c r="G472" s="920">
        <f>IF(SETUP!$F$31="Upfront",$E$471*'HIV-Other HPs'!AY18,0)</f>
        <v>0</v>
      </c>
      <c r="H472" s="920">
        <f>IF(SETUP!$F$31="Upfront",$E$471*'HIV-Other HPs'!AZ18,0)</f>
        <v>0</v>
      </c>
      <c r="I472" s="920">
        <f>IF(SETUP!$F$31="Upfront",$E$471*'HIV-Other HPs'!BA18,0)</f>
        <v>0</v>
      </c>
      <c r="J472" s="920">
        <f t="shared" ref="J472:J502" si="73">F472+G472+H472+I472</f>
        <v>0</v>
      </c>
      <c r="K472" s="1016">
        <f>IF(SETUP!$F$31="Upfront",$E$471*'HIV-Other HPs'!BB18,0)</f>
        <v>0</v>
      </c>
      <c r="L472" s="920">
        <f>IF(SETUP!$F$31="Upfront",$E$471*'HIV-Other HPs'!BC18,0)</f>
        <v>0</v>
      </c>
      <c r="M472" s="920">
        <f>IF(SETUP!$F$31="Upfront",$E$471*'HIV-Other HPs'!BD18,0)</f>
        <v>0</v>
      </c>
      <c r="N472" s="920">
        <f>IF(SETUP!$F$31="Upfront",$E$471*'HIV-Other HPs'!BE18,0)</f>
        <v>0</v>
      </c>
      <c r="O472" s="920">
        <f t="shared" si="68"/>
        <v>0</v>
      </c>
      <c r="P472" s="1016">
        <f>IF(SETUP!$F$31="Upfront",$E$471*'HIV-Other HPs'!BF18,0)</f>
        <v>0</v>
      </c>
      <c r="Q472" s="920">
        <f>IF(SETUP!$F$31="Upfront",$E$471*'HIV-Other HPs'!BG18,0)</f>
        <v>0</v>
      </c>
      <c r="R472" s="920">
        <f>IF(SETUP!$F$31="Upfront",$E$471*'HIV-Other HPs'!BH18,0)</f>
        <v>0</v>
      </c>
      <c r="S472" s="920">
        <f>IF(SETUP!$F$31="Upfront",$E$471*'HIV-Other HPs'!BI18,0)</f>
        <v>0</v>
      </c>
      <c r="T472" s="920">
        <f t="shared" si="71"/>
        <v>0</v>
      </c>
      <c r="U472" s="1016">
        <f t="shared" si="72"/>
        <v>0</v>
      </c>
      <c r="V472" s="1344">
        <v>7.4</v>
      </c>
      <c r="W472" s="2011"/>
      <c r="X472" s="575"/>
      <c r="Y472" s="1350"/>
      <c r="Z472" s="655"/>
      <c r="AA472" s="686"/>
      <c r="AB472" s="686"/>
      <c r="AC472" s="686"/>
      <c r="AD472" s="686"/>
      <c r="AE472" s="686"/>
      <c r="AF472" s="686"/>
      <c r="AG472" s="686"/>
      <c r="AH472" s="687"/>
      <c r="AI472" s="686"/>
      <c r="AJ472" s="686"/>
      <c r="AK472" s="686"/>
      <c r="AL472" s="686"/>
      <c r="AM472" s="686"/>
      <c r="AN472" s="686"/>
      <c r="AO472" s="686"/>
      <c r="AP472" s="686"/>
      <c r="AQ472" s="686"/>
      <c r="AR472" s="686"/>
      <c r="AS472" s="686"/>
      <c r="AT472" s="686"/>
      <c r="AU472" s="686"/>
      <c r="AV472" s="686"/>
      <c r="AW472" s="686"/>
      <c r="AX472" s="686"/>
      <c r="AY472" s="686"/>
      <c r="AZ472" s="686"/>
      <c r="BA472" s="686"/>
      <c r="BB472" s="686"/>
      <c r="BC472" s="686"/>
      <c r="BD472" s="686"/>
      <c r="BE472" s="686"/>
      <c r="BF472" s="686"/>
      <c r="BG472" s="686"/>
      <c r="BH472" s="686"/>
      <c r="BI472" s="686"/>
      <c r="BJ472" s="686"/>
      <c r="BK472" s="686"/>
      <c r="BL472" s="686"/>
      <c r="BM472" s="686"/>
      <c r="BN472" s="686"/>
      <c r="BO472" s="686"/>
      <c r="BP472" s="686"/>
      <c r="BQ472" s="686"/>
      <c r="BR472" s="686"/>
      <c r="BS472" s="686"/>
      <c r="BT472" s="686"/>
    </row>
    <row r="473" spans="1:72" s="688" customFormat="1" ht="16.149999999999999" hidden="1" customHeight="1" outlineLevel="1">
      <c r="A473" s="3184"/>
      <c r="B473" s="3185"/>
      <c r="C473" s="3182" t="s">
        <v>36</v>
      </c>
      <c r="D473" s="3182"/>
      <c r="E473" s="1991"/>
      <c r="F473" s="1016">
        <v>0</v>
      </c>
      <c r="G473" s="920">
        <f>IF(SETUP!$F$31="At delivery",IF(SETUP!$G$31=1,$E$471*'HIV-Other HPs'!AX18,0),0)</f>
        <v>0</v>
      </c>
      <c r="H473" s="920">
        <f>IF(SETUP!$F$31="At delivery",IF(SETUP!$G$31=2,$E$471*'HIV-Other HPs'!AX18,IF(SETUP!$G$31=1,$E$471*'HIV-Other HPs'!AY18,0)),0)</f>
        <v>0</v>
      </c>
      <c r="I473" s="920">
        <f>IF(SETUP!$F$31="At delivery",IF(SETUP!$G$31=3,$E$471*'HIV-Other HPs'!AX18,IF(SETUP!$G$31=2,$E$471*'HIV-Other HPs'!AY18,IF(SETUP!$G$31=1,$E$471*'HIV-Other HPs'!AZ18,0))),0)</f>
        <v>0</v>
      </c>
      <c r="J473" s="920">
        <f t="shared" si="73"/>
        <v>0</v>
      </c>
      <c r="K473" s="1016">
        <f>IF(SETUP!$F$31="At delivery",IF(SETUP!$G$31=4,$E$471*'HIV-Other HPs'!AX18,IF(SETUP!$G$31=3,$E$471*'HIV-Other HPs'!AY18,IF(SETUP!$G$31=2,$E$471*'HIV-Other HPs'!AZ18,IF(SETUP!$G$31=1,$E$471*'HIV-Other HPs'!BA18,0)))),0)</f>
        <v>0</v>
      </c>
      <c r="L473" s="920">
        <f>IF(SETUP!$F$31="At delivery",IF(SETUP!$G$31=4,$E$471*'HIV-Other HPs'!AY18,IF(SETUP!$G$31=3,$E$471*'HIV-Other HPs'!AZ18,IF(SETUP!$G$31=2,$E$471*'HIV-Other HPs'!BA18,IF(SETUP!$G$31=1,$E$471*'HIV-Other HPs'!BB18,0)))),0)</f>
        <v>0</v>
      </c>
      <c r="M473" s="920">
        <f>IF(SETUP!$F$31="At delivery",IF(SETUP!$G$31=4,$E$471*'HIV-Other HPs'!AZ18,IF(SETUP!$G$31=3,$E$471*'HIV-Other HPs'!BA18,IF(SETUP!$G$31=2,$E$471*'HIV-Other HPs'!BB18,IF(SETUP!$G$31=1,$E$471*'HIV-Other HPs'!BC18,0)))),0)</f>
        <v>0</v>
      </c>
      <c r="N473" s="920">
        <f>IF(SETUP!$F$31="At delivery",IF(SETUP!$G$31=4,$E$471*'HIV-Other HPs'!BA18,IF(SETUP!$G$31=3,$E$471*'HIV-Other HPs'!BB18,IF(SETUP!$G$31=2,$E$471*'HIV-Other HPs'!BC18,IF(SETUP!$G$31=1,$E$471*'HIV-Other HPs'!BD18,0)))),0)</f>
        <v>0</v>
      </c>
      <c r="O473" s="920">
        <f t="shared" si="68"/>
        <v>0</v>
      </c>
      <c r="P473" s="1016">
        <f>IF(SETUP!$F$31="At delivery",IF(SETUP!$G$31=4,$E$471*'HIV-Other HPs'!BB18,IF(SETUP!$G$31=3,$E$471*'HIV-Other HPs'!BC18,IF(SETUP!$G$31=2,$E$471*'HIV-Other HPs'!BD18,IF(SETUP!$G$31=1,$E$471*'HIV-Other HPs'!BE18,0)))),0)</f>
        <v>0</v>
      </c>
      <c r="Q473" s="920">
        <f>IF(SETUP!$F$31="At delivery",IF(SETUP!$G$31=4,$E$471*'HIV-Other HPs'!BC18,IF(SETUP!$G$31=3,$E$471*'HIV-Other HPs'!BD18,IF(SETUP!$G$31=2,$E$471*'HIV-Other HPs'!BE18,IF(SETUP!$G$31=1,$E$471*'HIV-Other HPs'!BF18,0)))),0)</f>
        <v>0</v>
      </c>
      <c r="R473" s="920">
        <f>IF(SETUP!$F$31="At delivery",IF(SETUP!$G$31=4,$E$471*'HIV-Other HPs'!BD18,IF(SETUP!$G$31=3,$E$471*'HIV-Other HPs'!BE18,IF(SETUP!$G$31=2,$E$471*'HIV-Other HPs'!BF18,IF(SETUP!$G$31=1,$E$471*'HIV-Other HPs'!BG18,0)))),0)</f>
        <v>0</v>
      </c>
      <c r="S473" s="920">
        <f>IF(SETUP!$F$31="At delivery",IF(SETUP!$G$31=4,$E$471*('HIV-Other HPs'!BE18+'HIV-Other HPs'!BF18+'HIV-Other HPs'!BG18+'HIV-Other HPs'!BH18+'HIV-Other HPs'!BI18),IF(SETUP!$G$31=3,$E$471*('HIV-Other HPs'!BF18+'HIV-Other HPs'!BG18+'HIV-Other HPs'!BH18+'HIV-Other HPs'!BI18),IF(SETUP!$G$31=2,$E$471*('HIV-Other HPs'!BG18+'HIV-Other HPs'!BH18+'HIV-Other HPs'!BI18),IF(SETUP!$G$31=1,$E$471*('HIV-Other HPs'!BH18+'HIV-Other HPs'!BI18),0)))),0)</f>
        <v>0</v>
      </c>
      <c r="T473" s="920">
        <f t="shared" si="71"/>
        <v>0</v>
      </c>
      <c r="U473" s="1016">
        <f t="shared" si="72"/>
        <v>0</v>
      </c>
      <c r="V473" s="1344">
        <v>7.4</v>
      </c>
      <c r="W473" s="2011"/>
      <c r="X473" s="575"/>
      <c r="Y473" s="1350"/>
      <c r="Z473" s="655"/>
      <c r="AA473" s="686"/>
      <c r="AB473" s="686"/>
      <c r="AC473" s="686"/>
      <c r="AD473" s="686"/>
      <c r="AE473" s="686"/>
      <c r="AF473" s="686"/>
      <c r="AG473" s="686"/>
      <c r="AH473" s="687"/>
      <c r="AI473" s="686"/>
      <c r="AJ473" s="686"/>
      <c r="AK473" s="686"/>
      <c r="AL473" s="686"/>
      <c r="AM473" s="686"/>
      <c r="AN473" s="686"/>
      <c r="AO473" s="686"/>
      <c r="AP473" s="686"/>
      <c r="AQ473" s="686"/>
      <c r="AR473" s="686"/>
      <c r="AS473" s="686"/>
      <c r="AT473" s="686"/>
      <c r="AU473" s="686"/>
      <c r="AV473" s="686"/>
      <c r="AW473" s="686"/>
      <c r="AX473" s="686"/>
      <c r="AY473" s="686"/>
      <c r="AZ473" s="686"/>
      <c r="BA473" s="686"/>
      <c r="BB473" s="686"/>
      <c r="BC473" s="686"/>
      <c r="BD473" s="686"/>
      <c r="BE473" s="686"/>
      <c r="BF473" s="686"/>
      <c r="BG473" s="686"/>
      <c r="BH473" s="686"/>
      <c r="BI473" s="686"/>
      <c r="BJ473" s="686"/>
      <c r="BK473" s="686"/>
      <c r="BL473" s="686"/>
      <c r="BM473" s="686"/>
      <c r="BN473" s="686"/>
      <c r="BO473" s="686"/>
      <c r="BP473" s="686"/>
      <c r="BQ473" s="686"/>
      <c r="BR473" s="686"/>
      <c r="BS473" s="686"/>
      <c r="BT473" s="686"/>
    </row>
    <row r="474" spans="1:72" s="688" customFormat="1" ht="13.5" collapsed="1" thickBot="1">
      <c r="A474" s="3184"/>
      <c r="B474" s="3185"/>
      <c r="C474" s="3188" t="s">
        <v>443</v>
      </c>
      <c r="D474" s="3188"/>
      <c r="E474" s="1245">
        <v>0</v>
      </c>
      <c r="F474" s="1016">
        <f>IF(SETUP!$F$32="Upfront",F475,F476)</f>
        <v>0</v>
      </c>
      <c r="G474" s="920">
        <f>IF(SETUP!$F$32="Upfront",G475,G476)</f>
        <v>0</v>
      </c>
      <c r="H474" s="920">
        <f>IF(SETUP!$F$32="Upfront",H475,H476)</f>
        <v>0</v>
      </c>
      <c r="I474" s="920">
        <f>IF(SETUP!$F$32="Upfront",I475,I476)</f>
        <v>0</v>
      </c>
      <c r="J474" s="920">
        <f t="shared" si="73"/>
        <v>0</v>
      </c>
      <c r="K474" s="1016">
        <f>IF(SETUP!$F$32="Upfront",K475,K476)</f>
        <v>0</v>
      </c>
      <c r="L474" s="920">
        <f>IF(SETUP!$F$32="Upfront",L475,L476)</f>
        <v>0</v>
      </c>
      <c r="M474" s="920">
        <f>IF(SETUP!$F$32="Upfront",M475,M476)</f>
        <v>0</v>
      </c>
      <c r="N474" s="920">
        <f>IF(SETUP!$F$32="Upfront",N475,N476)</f>
        <v>0</v>
      </c>
      <c r="O474" s="920">
        <f t="shared" si="68"/>
        <v>0</v>
      </c>
      <c r="P474" s="1016">
        <f>IF(SETUP!$F$32="Upfront",P475,P476)</f>
        <v>0</v>
      </c>
      <c r="Q474" s="920">
        <f>IF(SETUP!$F$32="Upfront",Q475,Q476)</f>
        <v>0</v>
      </c>
      <c r="R474" s="920">
        <f>IF(SETUP!$F$32="Upfront",R475,R476)</f>
        <v>0</v>
      </c>
      <c r="S474" s="920">
        <f>IF(SETUP!$F$32="Upfront",S475,S476)</f>
        <v>0</v>
      </c>
      <c r="T474" s="920">
        <f t="shared" si="71"/>
        <v>0</v>
      </c>
      <c r="U474" s="1016">
        <f t="shared" si="72"/>
        <v>0</v>
      </c>
      <c r="V474" s="1344">
        <v>7.4</v>
      </c>
      <c r="W474" s="2011"/>
      <c r="X474" s="575"/>
      <c r="Y474" s="1350"/>
      <c r="Z474" s="655"/>
      <c r="AA474" s="686"/>
      <c r="AB474" s="686"/>
      <c r="AC474" s="686"/>
      <c r="AD474" s="686"/>
      <c r="AE474" s="686"/>
      <c r="AF474" s="686"/>
      <c r="AG474" s="686"/>
      <c r="AH474" s="687"/>
      <c r="AI474" s="686"/>
      <c r="AJ474" s="686"/>
      <c r="AK474" s="686"/>
      <c r="AL474" s="686"/>
      <c r="AM474" s="686"/>
      <c r="AN474" s="686"/>
      <c r="AO474" s="686"/>
      <c r="AP474" s="686"/>
      <c r="AQ474" s="686"/>
      <c r="AR474" s="686"/>
      <c r="AS474" s="686"/>
      <c r="AT474" s="686"/>
      <c r="AU474" s="686"/>
      <c r="AV474" s="686"/>
      <c r="AW474" s="686"/>
      <c r="AX474" s="686"/>
      <c r="AY474" s="686"/>
      <c r="AZ474" s="686"/>
      <c r="BA474" s="686"/>
      <c r="BB474" s="686"/>
      <c r="BC474" s="686"/>
      <c r="BD474" s="686"/>
      <c r="BE474" s="686"/>
      <c r="BF474" s="686"/>
      <c r="BG474" s="686"/>
      <c r="BH474" s="686"/>
      <c r="BI474" s="686"/>
      <c r="BJ474" s="686"/>
      <c r="BK474" s="686"/>
      <c r="BL474" s="686"/>
      <c r="BM474" s="686"/>
      <c r="BN474" s="686"/>
      <c r="BO474" s="686"/>
      <c r="BP474" s="686"/>
      <c r="BQ474" s="686"/>
      <c r="BR474" s="686"/>
      <c r="BS474" s="686"/>
      <c r="BT474" s="686"/>
    </row>
    <row r="475" spans="1:72" s="688" customFormat="1" ht="16.149999999999999" hidden="1" customHeight="1" outlineLevel="1">
      <c r="A475" s="3184"/>
      <c r="B475" s="3185"/>
      <c r="C475" s="3182" t="s">
        <v>777</v>
      </c>
      <c r="D475" s="3182"/>
      <c r="E475" s="1246"/>
      <c r="F475" s="1016">
        <f>IF(SETUP!$F$32="Upfront",$E$474*'HIV-Other HPs'!AX19,0)</f>
        <v>0</v>
      </c>
      <c r="G475" s="920">
        <f>IF(SETUP!$F$32="Upfront",$E$474*'HIV-Other HPs'!AY19,0)</f>
        <v>0</v>
      </c>
      <c r="H475" s="920">
        <f>IF(SETUP!$F$32="Upfront",$E$474*'HIV-Other HPs'!AZ19,0)</f>
        <v>0</v>
      </c>
      <c r="I475" s="920">
        <f>IF(SETUP!$F$32="Upfront",$E$474*'HIV-Other HPs'!BA19,0)</f>
        <v>0</v>
      </c>
      <c r="J475" s="920">
        <f t="shared" si="73"/>
        <v>0</v>
      </c>
      <c r="K475" s="1016">
        <f>IF(SETUP!$F$32="Upfront",$E$474*'HIV-Other HPs'!BB19,0)</f>
        <v>0</v>
      </c>
      <c r="L475" s="920">
        <f>IF(SETUP!$F$32="Upfront",$E$474*'HIV-Other HPs'!BC19,0)</f>
        <v>0</v>
      </c>
      <c r="M475" s="920">
        <f>IF(SETUP!$F$32="Upfront",$E$474*'HIV-Other HPs'!BD19,0)</f>
        <v>0</v>
      </c>
      <c r="N475" s="920">
        <f>IF(SETUP!$F$32="Upfront",$E$474*'HIV-Other HPs'!BE19,0)</f>
        <v>0</v>
      </c>
      <c r="O475" s="920">
        <f t="shared" ref="O475:O502" si="74">K475+L475+M475+N475</f>
        <v>0</v>
      </c>
      <c r="P475" s="1016">
        <f>IF(SETUP!$F$32="Upfront",$E$474*'HIV-Other HPs'!BF19,0)</f>
        <v>0</v>
      </c>
      <c r="Q475" s="920">
        <f>IF(SETUP!$F$32="Upfront",$E$474*'HIV-Other HPs'!BG19,0)</f>
        <v>0</v>
      </c>
      <c r="R475" s="920">
        <f>IF(SETUP!$F$32="Upfront",$E$474*'HIV-Other HPs'!BH19,0)</f>
        <v>0</v>
      </c>
      <c r="S475" s="920">
        <f>IF(SETUP!$F$32="Upfront",$E$474*'HIV-Other HPs'!BI19,0)</f>
        <v>0</v>
      </c>
      <c r="T475" s="920">
        <f t="shared" si="71"/>
        <v>0</v>
      </c>
      <c r="U475" s="1016">
        <f t="shared" si="72"/>
        <v>0</v>
      </c>
      <c r="V475" s="1344">
        <v>7.4</v>
      </c>
      <c r="W475" s="2011"/>
      <c r="X475" s="575"/>
      <c r="Y475" s="1350"/>
      <c r="Z475" s="655"/>
      <c r="AA475" s="686"/>
      <c r="AB475" s="686"/>
      <c r="AC475" s="686"/>
      <c r="AD475" s="686"/>
      <c r="AE475" s="686"/>
      <c r="AF475" s="686"/>
      <c r="AG475" s="686"/>
      <c r="AH475" s="687"/>
      <c r="AI475" s="686"/>
      <c r="AJ475" s="686"/>
      <c r="AK475" s="686"/>
      <c r="AL475" s="686"/>
      <c r="AM475" s="686"/>
      <c r="AN475" s="686"/>
      <c r="AO475" s="686"/>
      <c r="AP475" s="686"/>
      <c r="AQ475" s="686"/>
      <c r="AR475" s="686"/>
      <c r="AS475" s="686"/>
      <c r="AT475" s="686"/>
      <c r="AU475" s="686"/>
      <c r="AV475" s="686"/>
      <c r="AW475" s="686"/>
      <c r="AX475" s="686"/>
      <c r="AY475" s="686"/>
      <c r="AZ475" s="686"/>
      <c r="BA475" s="686"/>
      <c r="BB475" s="686"/>
      <c r="BC475" s="686"/>
      <c r="BD475" s="686"/>
      <c r="BE475" s="686"/>
      <c r="BF475" s="686"/>
      <c r="BG475" s="686"/>
      <c r="BH475" s="686"/>
      <c r="BI475" s="686"/>
      <c r="BJ475" s="686"/>
      <c r="BK475" s="686"/>
      <c r="BL475" s="686"/>
      <c r="BM475" s="686"/>
      <c r="BN475" s="686"/>
      <c r="BO475" s="686"/>
      <c r="BP475" s="686"/>
      <c r="BQ475" s="686"/>
      <c r="BR475" s="686"/>
      <c r="BS475" s="686"/>
      <c r="BT475" s="686"/>
    </row>
    <row r="476" spans="1:72" s="688" customFormat="1" ht="16.149999999999999" hidden="1" customHeight="1" outlineLevel="1">
      <c r="A476" s="3184"/>
      <c r="B476" s="3185"/>
      <c r="C476" s="3182" t="s">
        <v>36</v>
      </c>
      <c r="D476" s="3182"/>
      <c r="E476" s="1246"/>
      <c r="F476" s="1016">
        <v>0</v>
      </c>
      <c r="G476" s="920">
        <f>IF(SETUP!$F$32="At delivery",IF(SETUP!$G$32=1,$E$474*'HIV-Other HPs'!AX19,0),0)</f>
        <v>0</v>
      </c>
      <c r="H476" s="920">
        <f>IF(SETUP!$F$32="At delivery",IF(SETUP!$G$32=2,$E$474*'HIV-Other HPs'!AX19,IF(SETUP!$G$32=1,$E$474*'HIV-Other HPs'!AY19,0)),0)</f>
        <v>0</v>
      </c>
      <c r="I476" s="920">
        <f>IF(SETUP!$F$32="At delivery",IF(SETUP!$G$32=3,$E$474*'HIV-Other HPs'!AX19,IF(SETUP!$G$32=2,$E$474*'HIV-Other HPs'!AY19,IF(SETUP!$G$32=1,$E$474*'HIV-Other HPs'!AZ19,0))),0)</f>
        <v>0</v>
      </c>
      <c r="J476" s="920">
        <f t="shared" si="73"/>
        <v>0</v>
      </c>
      <c r="K476" s="1016">
        <f>IF(SETUP!$F$32="At delivery",IF(SETUP!$G$32=4,$E$474*'HIV-Other HPs'!AX19,IF(SETUP!$G$32=3,$E$474*'HIV-Other HPs'!AY19,IF(SETUP!$G$32=2,$E$474*'HIV-Other HPs'!AZ19,IF(SETUP!$G$32=1,$E$474*'HIV-Other HPs'!BA19,0)))),0)</f>
        <v>0</v>
      </c>
      <c r="L476" s="920">
        <f>IF(SETUP!$F$32="At delivery",IF(SETUP!$G$32=4,$E$474*'HIV-Other HPs'!AY19,IF(SETUP!$G$32=3,$E$474*'HIV-Other HPs'!AZ19,IF(SETUP!$G$32=2,$E$474*'HIV-Other HPs'!BA19,IF(SETUP!$G$32=1,$E$474*'HIV-Other HPs'!BB19,0)))),0)</f>
        <v>0</v>
      </c>
      <c r="M476" s="920">
        <f>IF(SETUP!$F$32="At delivery",IF(SETUP!$G$32=4,$E$474*'HIV-Other HPs'!AZ19,IF(SETUP!$G$32=3,$E$474*'HIV-Other HPs'!BA19,IF(SETUP!$G$32=2,$E$474*'HIV-Other HPs'!BB19,IF(SETUP!$G$32=1,$E$474*'HIV-Other HPs'!BC19,0)))),0)</f>
        <v>0</v>
      </c>
      <c r="N476" s="920">
        <f>IF(SETUP!$F$32="At delivery",IF(SETUP!$G$32=4,$E$474*'HIV-Other HPs'!BA19,IF(SETUP!$G$32=3,$E$474*'HIV-Other HPs'!BB19,IF(SETUP!$G$32=2,$E$474*'HIV-Other HPs'!BC19,IF(SETUP!$G$32=1,$E$474*'HIV-Other HPs'!BD19,0)))),0)</f>
        <v>0</v>
      </c>
      <c r="O476" s="920">
        <f t="shared" si="74"/>
        <v>0</v>
      </c>
      <c r="P476" s="1016">
        <f>IF(SETUP!$F$32="At delivery",IF(SETUP!$G$32=4,$E$474*'HIV-Other HPs'!BB19,IF(SETUP!$G$32=3,$E$474*'HIV-Other HPs'!BC19,IF(SETUP!$G$32=2,$E$474*'HIV-Other HPs'!BD19,IF(SETUP!$G$32=1,$E$474*'HIV-Other HPs'!BE19,0)))),0)</f>
        <v>0</v>
      </c>
      <c r="Q476" s="920">
        <f>IF(SETUP!$F$32="At delivery",IF(SETUP!$G$32=4,$E$474*'HIV-Other HPs'!BC19,IF(SETUP!$G$32=3,$E$474*'HIV-Other HPs'!BD19,IF(SETUP!$G$32=2,$E$474*'HIV-Other HPs'!BE19,IF(SETUP!$G$32=1,$E$474*'HIV-Other HPs'!BF19,0)))),0)</f>
        <v>0</v>
      </c>
      <c r="R476" s="920">
        <f>IF(SETUP!$F$32="At delivery",IF(SETUP!$G$32=4,$E$474*'HIV-Other HPs'!BD19,IF(SETUP!$G$32=3,$E$474*'HIV-Other HPs'!BE19,IF(SETUP!$G$32=2,$E$474*'HIV-Other HPs'!BF19,IF(SETUP!$G$32=1,$E$474*'HIV-Other HPs'!BG19,0)))),0)</f>
        <v>0</v>
      </c>
      <c r="S476" s="920">
        <f>IF(SETUP!$F$32="At delivery",IF(SETUP!$G$32=4,$E$474*('HIV-Other HPs'!BE19+'HIV-Other HPs'!BF19+'HIV-Other HPs'!BG19+'HIV-Other HPs'!BH19+'HIV-Other HPs'!BI19),IF(SETUP!$G$32=3,$E$474*('HIV-Other HPs'!BF19+'HIV-Other HPs'!BG19+'HIV-Other HPs'!BH19+'HIV-Other HPs'!BI19),IF(SETUP!$G$32=2,$E$474*('HIV-Other HPs'!BG19+'HIV-Other HPs'!BH19+'HIV-Other HPs'!BI19),IF(SETUP!$G$32=1,$E$474*('HIV-Other HPs'!BH19+'HIV-Other HPs'!BI19),0)))),0)</f>
        <v>0</v>
      </c>
      <c r="T476" s="920">
        <f t="shared" si="71"/>
        <v>0</v>
      </c>
      <c r="U476" s="1016">
        <f t="shared" si="72"/>
        <v>0</v>
      </c>
      <c r="V476" s="1344">
        <v>7.4</v>
      </c>
      <c r="W476" s="2011"/>
      <c r="X476" s="575"/>
      <c r="Y476" s="1350"/>
      <c r="Z476" s="655"/>
      <c r="AA476" s="686"/>
      <c r="AB476" s="686"/>
      <c r="AC476" s="686"/>
      <c r="AD476" s="686"/>
      <c r="AE476" s="686"/>
      <c r="AF476" s="686"/>
      <c r="AG476" s="686"/>
      <c r="AH476" s="687"/>
      <c r="AI476" s="686"/>
      <c r="AJ476" s="686"/>
      <c r="AK476" s="686"/>
      <c r="AL476" s="686"/>
      <c r="AM476" s="686"/>
      <c r="AN476" s="686"/>
      <c r="AO476" s="686"/>
      <c r="AP476" s="686"/>
      <c r="AQ476" s="686"/>
      <c r="AR476" s="686"/>
      <c r="AS476" s="686"/>
      <c r="AT476" s="686"/>
      <c r="AU476" s="686"/>
      <c r="AV476" s="686"/>
      <c r="AW476" s="686"/>
      <c r="AX476" s="686"/>
      <c r="AY476" s="686"/>
      <c r="AZ476" s="686"/>
      <c r="BA476" s="686"/>
      <c r="BB476" s="686"/>
      <c r="BC476" s="686"/>
      <c r="BD476" s="686"/>
      <c r="BE476" s="686"/>
      <c r="BF476" s="686"/>
      <c r="BG476" s="686"/>
      <c r="BH476" s="686"/>
      <c r="BI476" s="686"/>
      <c r="BJ476" s="686"/>
      <c r="BK476" s="686"/>
      <c r="BL476" s="686"/>
      <c r="BM476" s="686"/>
      <c r="BN476" s="686"/>
      <c r="BO476" s="686"/>
      <c r="BP476" s="686"/>
      <c r="BQ476" s="686"/>
      <c r="BR476" s="686"/>
      <c r="BS476" s="686"/>
      <c r="BT476" s="686"/>
    </row>
    <row r="477" spans="1:72" s="688" customFormat="1" ht="13.5" collapsed="1" thickBot="1">
      <c r="A477" s="3184"/>
      <c r="B477" s="3185"/>
      <c r="C477" s="3202" t="s">
        <v>1392</v>
      </c>
      <c r="D477" s="3202"/>
      <c r="E477" s="1245">
        <v>0</v>
      </c>
      <c r="F477" s="1016">
        <f>IF(SETUP!$F$33="Upfront",F478,F479)</f>
        <v>0</v>
      </c>
      <c r="G477" s="920">
        <f>IF(SETUP!$F$33="Upfront",G478,G479)</f>
        <v>0</v>
      </c>
      <c r="H477" s="920">
        <f>IF(SETUP!$F$33="Upfront",H478,H479)</f>
        <v>0</v>
      </c>
      <c r="I477" s="920">
        <f>IF(SETUP!$F$33="Upfront",I478,I479)</f>
        <v>0</v>
      </c>
      <c r="J477" s="920">
        <f t="shared" si="73"/>
        <v>0</v>
      </c>
      <c r="K477" s="1016">
        <f>IF(SETUP!$F$33="Upfront",K478,K479)</f>
        <v>0</v>
      </c>
      <c r="L477" s="920">
        <f>IF(SETUP!$F$33="Upfront",L478,L479)</f>
        <v>0</v>
      </c>
      <c r="M477" s="920">
        <f>IF(SETUP!$F$33="Upfront",M478,M479)</f>
        <v>0</v>
      </c>
      <c r="N477" s="920">
        <f>IF(SETUP!$F$33="Upfront",N478,N479)</f>
        <v>0</v>
      </c>
      <c r="O477" s="920">
        <f t="shared" si="74"/>
        <v>0</v>
      </c>
      <c r="P477" s="1016">
        <f>IF(SETUP!$F$33="Upfront",P478,P479)</f>
        <v>0</v>
      </c>
      <c r="Q477" s="920">
        <f>IF(SETUP!$F$33="Upfront",Q478,Q479)</f>
        <v>0</v>
      </c>
      <c r="R477" s="920">
        <f>IF(SETUP!$F$33="Upfront",R478,R479)</f>
        <v>0</v>
      </c>
      <c r="S477" s="920">
        <f>IF(SETUP!$F$33="Upfront",S478,S479)</f>
        <v>0</v>
      </c>
      <c r="T477" s="920">
        <f t="shared" si="71"/>
        <v>0</v>
      </c>
      <c r="U477" s="1016">
        <f t="shared" si="72"/>
        <v>0</v>
      </c>
      <c r="V477" s="1344">
        <v>7.4</v>
      </c>
      <c r="W477" s="2011"/>
      <c r="X477" s="575"/>
      <c r="Y477" s="1350"/>
      <c r="Z477" s="655"/>
      <c r="AA477" s="686"/>
      <c r="AB477" s="686"/>
      <c r="AC477" s="686"/>
      <c r="AD477" s="686"/>
      <c r="AE477" s="686"/>
      <c r="AF477" s="686"/>
      <c r="AG477" s="686"/>
      <c r="AH477" s="687"/>
      <c r="AI477" s="686"/>
      <c r="AJ477" s="686"/>
      <c r="AK477" s="686"/>
      <c r="AL477" s="686"/>
      <c r="AM477" s="686"/>
      <c r="AN477" s="686"/>
      <c r="AO477" s="686"/>
      <c r="AP477" s="686"/>
      <c r="AQ477" s="686"/>
      <c r="AR477" s="686"/>
      <c r="AS477" s="686"/>
      <c r="AT477" s="686"/>
      <c r="AU477" s="686"/>
      <c r="AV477" s="686"/>
      <c r="AW477" s="686"/>
      <c r="AX477" s="686"/>
      <c r="AY477" s="686"/>
      <c r="AZ477" s="686"/>
      <c r="BA477" s="686"/>
      <c r="BB477" s="686"/>
      <c r="BC477" s="686"/>
      <c r="BD477" s="686"/>
      <c r="BE477" s="686"/>
      <c r="BF477" s="686"/>
      <c r="BG477" s="686"/>
      <c r="BH477" s="686"/>
      <c r="BI477" s="686"/>
      <c r="BJ477" s="686"/>
      <c r="BK477" s="686"/>
      <c r="BL477" s="686"/>
      <c r="BM477" s="686"/>
      <c r="BN477" s="686"/>
      <c r="BO477" s="686"/>
      <c r="BP477" s="686"/>
      <c r="BQ477" s="686"/>
      <c r="BR477" s="686"/>
      <c r="BS477" s="686"/>
      <c r="BT477" s="686"/>
    </row>
    <row r="478" spans="1:72" s="688" customFormat="1" ht="12.75" hidden="1" customHeight="1" outlineLevel="1">
      <c r="A478" s="3184"/>
      <c r="B478" s="3185"/>
      <c r="C478" s="3182" t="s">
        <v>777</v>
      </c>
      <c r="D478" s="3182"/>
      <c r="E478" s="1991"/>
      <c r="F478" s="1016">
        <f>IF(SETUP!$F$33="Upfront",$E$477*'HIV-Other HPs'!AX20,0)</f>
        <v>0</v>
      </c>
      <c r="G478" s="920">
        <f>IF(SETUP!$F$33="Upfront",$E$477*'HIV-Other HPs'!AY20,0)</f>
        <v>0</v>
      </c>
      <c r="H478" s="920">
        <f>IF(SETUP!$F$33="Upfront",$E$477*'HIV-Other HPs'!AZ20,0)</f>
        <v>0</v>
      </c>
      <c r="I478" s="920">
        <f>IF(SETUP!$F$33="Upfront",$E$477*'HIV-Other HPs'!BA20,0)</f>
        <v>0</v>
      </c>
      <c r="J478" s="920">
        <f t="shared" si="73"/>
        <v>0</v>
      </c>
      <c r="K478" s="1016">
        <f>IF(SETUP!$F$33="Upfront",$E$477*'HIV-Other HPs'!BB20,0)</f>
        <v>0</v>
      </c>
      <c r="L478" s="920">
        <f>IF(SETUP!$F$33="Upfront",$E$477*'HIV-Other HPs'!BC20,0)</f>
        <v>0</v>
      </c>
      <c r="M478" s="920">
        <f>IF(SETUP!$F$33="Upfront",$E$477*'HIV-Other HPs'!BD20,0)</f>
        <v>0</v>
      </c>
      <c r="N478" s="920">
        <f>IF(SETUP!$F$33="Upfront",$E$477*'HIV-Other HPs'!BE20,0)</f>
        <v>0</v>
      </c>
      <c r="O478" s="920">
        <f t="shared" si="74"/>
        <v>0</v>
      </c>
      <c r="P478" s="1016">
        <f>IF(SETUP!$F$33="Upfront",$E$477*'HIV-Other HPs'!BF20,0)</f>
        <v>0</v>
      </c>
      <c r="Q478" s="920">
        <f>IF(SETUP!$F$33="Upfront",$E$477*'HIV-Other HPs'!BG20,0)</f>
        <v>0</v>
      </c>
      <c r="R478" s="920">
        <f>IF(SETUP!$F$33="Upfront",$E$477*'HIV-Other HPs'!BH20,0)</f>
        <v>0</v>
      </c>
      <c r="S478" s="920">
        <f>IF(SETUP!$F$33="Upfront",$E$477*'HIV-Other HPs'!BI20,0)</f>
        <v>0</v>
      </c>
      <c r="T478" s="920">
        <f t="shared" si="71"/>
        <v>0</v>
      </c>
      <c r="U478" s="1016">
        <f t="shared" si="72"/>
        <v>0</v>
      </c>
      <c r="V478" s="1344">
        <v>7.4</v>
      </c>
      <c r="W478" s="2011"/>
      <c r="X478" s="575"/>
      <c r="Y478" s="1350"/>
      <c r="Z478" s="655"/>
      <c r="AA478" s="686"/>
      <c r="AB478" s="686"/>
      <c r="AC478" s="686"/>
      <c r="AD478" s="686"/>
      <c r="AE478" s="686"/>
      <c r="AF478" s="686"/>
      <c r="AG478" s="686"/>
      <c r="AH478" s="687"/>
      <c r="AI478" s="686"/>
      <c r="AJ478" s="686"/>
      <c r="AK478" s="686"/>
      <c r="AL478" s="686"/>
      <c r="AM478" s="686"/>
      <c r="AN478" s="686"/>
      <c r="AO478" s="686"/>
      <c r="AP478" s="686"/>
      <c r="AQ478" s="686"/>
      <c r="AR478" s="686"/>
      <c r="AS478" s="686"/>
      <c r="AT478" s="686"/>
      <c r="AU478" s="686"/>
      <c r="AV478" s="686"/>
      <c r="AW478" s="686"/>
      <c r="AX478" s="686"/>
      <c r="AY478" s="686"/>
      <c r="AZ478" s="686"/>
      <c r="BA478" s="686"/>
      <c r="BB478" s="686"/>
      <c r="BC478" s="686"/>
      <c r="BD478" s="686"/>
      <c r="BE478" s="686"/>
      <c r="BF478" s="686"/>
      <c r="BG478" s="686"/>
      <c r="BH478" s="686"/>
      <c r="BI478" s="686"/>
      <c r="BJ478" s="686"/>
      <c r="BK478" s="686"/>
      <c r="BL478" s="686"/>
      <c r="BM478" s="686"/>
      <c r="BN478" s="686"/>
      <c r="BO478" s="686"/>
      <c r="BP478" s="686"/>
      <c r="BQ478" s="686"/>
      <c r="BR478" s="686"/>
      <c r="BS478" s="686"/>
      <c r="BT478" s="686"/>
    </row>
    <row r="479" spans="1:72" s="688" customFormat="1" ht="12.75" hidden="1" customHeight="1" outlineLevel="1">
      <c r="A479" s="3184"/>
      <c r="B479" s="3185"/>
      <c r="C479" s="3182" t="s">
        <v>36</v>
      </c>
      <c r="D479" s="3182"/>
      <c r="E479" s="1990"/>
      <c r="F479" s="1016">
        <v>0</v>
      </c>
      <c r="G479" s="920">
        <f>IF(SETUP!$F$33="At delivery",IF(SETUP!$G$33=1,$E$477*'HIV-Other HPs'!AX20,0),0)</f>
        <v>0</v>
      </c>
      <c r="H479" s="920">
        <f>IF(SETUP!$F$33="At delivery",IF(SETUP!$G$33=2,$E$477*'HIV-Other HPs'!AX20,IF(SETUP!$G$33=1,$E$477*'HIV-Other HPs'!AY20,0)),0)</f>
        <v>0</v>
      </c>
      <c r="I479" s="920">
        <f>IF(SETUP!$F$33="At delivery",IF(SETUP!$G$33=3,$E$477*'HIV-Other HPs'!AX20,IF(SETUP!$G$33=2,$E$477*'HIV-Other HPs'!AY20,IF(SETUP!$G$33=1,$E$477*'HIV-Other HPs'!AZ20,0))),0)</f>
        <v>0</v>
      </c>
      <c r="J479" s="920">
        <f t="shared" si="73"/>
        <v>0</v>
      </c>
      <c r="K479" s="1016">
        <f>IF(SETUP!$F$33="At delivery",IF(SETUP!$G$33=4,$E$477*'HIV-Other HPs'!AX20,IF(SETUP!$G$33=3,$E$477*'HIV-Other HPs'!AY20,IF(SETUP!$G$33=2,$E$477*'HIV-Other HPs'!AZ20,IF(SETUP!$G$33=1,$E$477*'HIV-Other HPs'!BA20,0)))),0)</f>
        <v>0</v>
      </c>
      <c r="L479" s="920">
        <f>IF(SETUP!$F$33="At delivery",IF(SETUP!$G$33=4,$E$477*'HIV-Other HPs'!AY20,IF(SETUP!$G$33=3,$E$477*'HIV-Other HPs'!AZ20,IF(SETUP!$G$33=2,$E$477*'HIV-Other HPs'!BA20,IF(SETUP!$G$33=1,$E$477*'HIV-Other HPs'!BB20,0)))),0)</f>
        <v>0</v>
      </c>
      <c r="M479" s="920">
        <f>IF(SETUP!$F$33="At delivery",IF(SETUP!$G$33=4,$E$477*'HIV-Other HPs'!AZ20,IF(SETUP!$G$33=3,$E$477*'HIV-Other HPs'!BA20,IF(SETUP!$G$33=2,$E$477*'HIV-Other HPs'!BB20,IF(SETUP!$G$33=1,$E$477*'HIV-Other HPs'!BC20,0)))),0)</f>
        <v>0</v>
      </c>
      <c r="N479" s="920">
        <f>IF(SETUP!$F$33="At delivery",IF(SETUP!$G$33=4,$E$477*'HIV-Other HPs'!BA20,IF(SETUP!$G$33=3,$E$477*'HIV-Other HPs'!BB20,IF(SETUP!$G$33=2,$E$477*'HIV-Other HPs'!BC20,IF(SETUP!$G$33=1,$E$477*'HIV-Other HPs'!BD20,0)))),0)</f>
        <v>0</v>
      </c>
      <c r="O479" s="920">
        <f t="shared" si="74"/>
        <v>0</v>
      </c>
      <c r="P479" s="1016">
        <f>IF(SETUP!$F$33="At delivery",IF(SETUP!$G$33=4,$E$477*'HIV-Other HPs'!BB20,IF(SETUP!$G$33=3,$E$477*'HIV-Other HPs'!BC20,IF(SETUP!$G$33=2,$E$477*'HIV-Other HPs'!BD20,IF(SETUP!$G$33=1,$E$477*'HIV-Other HPs'!BE20,0)))),0)</f>
        <v>0</v>
      </c>
      <c r="Q479" s="920">
        <f>IF(SETUP!$F$33="At delivery",IF(SETUP!$G$33=4,$E$477*'HIV-Other HPs'!BC20,IF(SETUP!$G$33=3,$E$477*'HIV-Other HPs'!BD20,IF(SETUP!$G$33=2,$E$477*'HIV-Other HPs'!BE20,IF(SETUP!$G$33=1,$E$477*'HIV-Other HPs'!BF20,0)))),0)</f>
        <v>0</v>
      </c>
      <c r="R479" s="920">
        <f>IF(SETUP!$F$33="At delivery",IF(SETUP!$G$33=4,$E$477*'HIV-Other HPs'!BD20,IF(SETUP!$G$33=3,$E$477*'HIV-Other HPs'!BE20,IF(SETUP!$G$33=2,$E$477*'HIV-Other HPs'!BF20,IF(SETUP!$G$33=1,$E$477*'HIV-Other HPs'!BG20,0)))),0)</f>
        <v>0</v>
      </c>
      <c r="S479" s="920">
        <f>IF(SETUP!$F$33="At delivery",IF(SETUP!$G$33=4,$E$477*('HIV-Other HPs'!BE20+'HIV-Other HPs'!BF20+'HIV-Other HPs'!BG20+'HIV-Other HPs'!BH20+'HIV-Other HPs'!BI20),IF(SETUP!$G$33=3,$E$477*('HIV-Other HPs'!BF20+'HIV-Other HPs'!BG20+'HIV-Other HPs'!BH20+'HIV-Other HPs'!BI20),IF(SETUP!$G$33=2,$E$477*('HIV-Other HPs'!BG20+'HIV-Other HPs'!BH20+'HIV-Other HPs'!BI20),IF(SETUP!$G$33=1,$E$477*('HIV-Other HPs'!BH20+'HIV-Other HPs'!BI20),0)))),0)</f>
        <v>0</v>
      </c>
      <c r="T479" s="920">
        <f t="shared" si="71"/>
        <v>0</v>
      </c>
      <c r="U479" s="1016">
        <f t="shared" si="72"/>
        <v>0</v>
      </c>
      <c r="V479" s="1344">
        <v>7.4</v>
      </c>
      <c r="W479" s="2011"/>
      <c r="X479" s="575"/>
      <c r="Y479" s="1350"/>
      <c r="Z479" s="655"/>
      <c r="AA479" s="686"/>
      <c r="AB479" s="686"/>
      <c r="AC479" s="686"/>
      <c r="AD479" s="686"/>
      <c r="AE479" s="686"/>
      <c r="AF479" s="686"/>
      <c r="AG479" s="686"/>
      <c r="AH479" s="687"/>
      <c r="AI479" s="686"/>
      <c r="AJ479" s="686"/>
      <c r="AK479" s="686"/>
      <c r="AL479" s="686"/>
      <c r="AM479" s="686"/>
      <c r="AN479" s="686"/>
      <c r="AO479" s="686"/>
      <c r="AP479" s="686"/>
      <c r="AQ479" s="686"/>
      <c r="AR479" s="686"/>
      <c r="AS479" s="686"/>
      <c r="AT479" s="686"/>
      <c r="AU479" s="686"/>
      <c r="AV479" s="686"/>
      <c r="AW479" s="686"/>
      <c r="AX479" s="686"/>
      <c r="AY479" s="686"/>
      <c r="AZ479" s="686"/>
      <c r="BA479" s="686"/>
      <c r="BB479" s="686"/>
      <c r="BC479" s="686"/>
      <c r="BD479" s="686"/>
      <c r="BE479" s="686"/>
      <c r="BF479" s="686"/>
      <c r="BG479" s="686"/>
      <c r="BH479" s="686"/>
      <c r="BI479" s="686"/>
      <c r="BJ479" s="686"/>
      <c r="BK479" s="686"/>
      <c r="BL479" s="686"/>
      <c r="BM479" s="686"/>
      <c r="BN479" s="686"/>
      <c r="BO479" s="686"/>
      <c r="BP479" s="686"/>
      <c r="BQ479" s="686"/>
      <c r="BR479" s="686"/>
      <c r="BS479" s="686"/>
      <c r="BT479" s="686"/>
    </row>
    <row r="480" spans="1:72" s="688" customFormat="1" ht="13.5" hidden="1" collapsed="1" thickBot="1">
      <c r="A480" s="3186" t="s">
        <v>444</v>
      </c>
      <c r="B480" s="3187"/>
      <c r="C480" s="3188" t="s">
        <v>445</v>
      </c>
      <c r="D480" s="3188"/>
      <c r="E480" s="1245">
        <v>0</v>
      </c>
      <c r="F480" s="1016">
        <f>IF(SETUP!$F$36="Upfront",F481,F482)</f>
        <v>0</v>
      </c>
      <c r="G480" s="920">
        <f>IF(SETUP!$F$36="Upfront",G481,G482)</f>
        <v>0</v>
      </c>
      <c r="H480" s="920">
        <f>IF(SETUP!$F$36="Upfront",H481,H482)</f>
        <v>0</v>
      </c>
      <c r="I480" s="920">
        <f>IF(SETUP!$F$36="Upfront",I481,I482)</f>
        <v>0</v>
      </c>
      <c r="J480" s="920">
        <f t="shared" si="73"/>
        <v>0</v>
      </c>
      <c r="K480" s="1016">
        <f>IF(SETUP!$F$36="Upfront",K481,K482)</f>
        <v>0</v>
      </c>
      <c r="L480" s="920">
        <f>IF(SETUP!$F$36="Upfront",L481,L482)</f>
        <v>0</v>
      </c>
      <c r="M480" s="920">
        <f>IF(SETUP!$F$36="Upfront",M481,M482)</f>
        <v>0</v>
      </c>
      <c r="N480" s="920">
        <f>IF(SETUP!$F$36="Upfront",N481,N482)</f>
        <v>0</v>
      </c>
      <c r="O480" s="920">
        <f t="shared" si="74"/>
        <v>0</v>
      </c>
      <c r="P480" s="1016">
        <f>IF(SETUP!$F$36="Upfront",P481,P482)</f>
        <v>0</v>
      </c>
      <c r="Q480" s="920">
        <f>IF(SETUP!$F$36="Upfront",Q481,Q482)</f>
        <v>0</v>
      </c>
      <c r="R480" s="920">
        <f>IF(SETUP!$F$36="Upfront",R481,R482)</f>
        <v>0</v>
      </c>
      <c r="S480" s="920">
        <f>IF(SETUP!$F$36="Upfront",S481,S482)</f>
        <v>0</v>
      </c>
      <c r="T480" s="920">
        <f t="shared" si="71"/>
        <v>0</v>
      </c>
      <c r="U480" s="1016">
        <f t="shared" si="72"/>
        <v>0</v>
      </c>
      <c r="V480" s="1344">
        <v>7.4</v>
      </c>
      <c r="W480" s="2011"/>
      <c r="X480" s="575"/>
      <c r="Y480" s="1350"/>
      <c r="Z480" s="655"/>
      <c r="AA480" s="686"/>
      <c r="AB480" s="686"/>
      <c r="AC480" s="686"/>
      <c r="AD480" s="686"/>
      <c r="AE480" s="686"/>
      <c r="AF480" s="686"/>
      <c r="AG480" s="686"/>
      <c r="AH480" s="687"/>
      <c r="AI480" s="686"/>
      <c r="AJ480" s="686"/>
      <c r="AK480" s="686"/>
      <c r="AL480" s="686"/>
      <c r="AM480" s="686"/>
      <c r="AN480" s="686"/>
      <c r="AO480" s="686"/>
      <c r="AP480" s="686"/>
      <c r="AQ480" s="686"/>
      <c r="AR480" s="686"/>
      <c r="AS480" s="686"/>
      <c r="AT480" s="686"/>
      <c r="AU480" s="686"/>
      <c r="AV480" s="686"/>
      <c r="AW480" s="686"/>
      <c r="AX480" s="686"/>
      <c r="AY480" s="686"/>
      <c r="AZ480" s="686"/>
      <c r="BA480" s="686"/>
      <c r="BB480" s="686"/>
      <c r="BC480" s="686"/>
      <c r="BD480" s="686"/>
      <c r="BE480" s="686"/>
      <c r="BF480" s="686"/>
      <c r="BG480" s="686"/>
      <c r="BH480" s="686"/>
      <c r="BI480" s="686"/>
      <c r="BJ480" s="686"/>
      <c r="BK480" s="686"/>
      <c r="BL480" s="686"/>
      <c r="BM480" s="686"/>
      <c r="BN480" s="686"/>
      <c r="BO480" s="686"/>
      <c r="BP480" s="686"/>
      <c r="BQ480" s="686"/>
      <c r="BR480" s="686"/>
      <c r="BS480" s="686"/>
      <c r="BT480" s="686"/>
    </row>
    <row r="481" spans="1:72" s="688" customFormat="1" ht="12.75" hidden="1" customHeight="1" outlineLevel="1">
      <c r="A481" s="3186"/>
      <c r="B481" s="3187"/>
      <c r="C481" s="3182" t="s">
        <v>777</v>
      </c>
      <c r="D481" s="3182"/>
      <c r="E481" s="1246"/>
      <c r="F481" s="1016">
        <f>IF(SETUP!$F$36="Upfront",$E$480*'TB-Pharmaceuticals'!AX14,0)</f>
        <v>0</v>
      </c>
      <c r="G481" s="920">
        <f>IF(SETUP!$F$36="Upfront",$E$480*'TB-Pharmaceuticals'!AY14,0)</f>
        <v>0</v>
      </c>
      <c r="H481" s="920">
        <f>IF(SETUP!$F$36="Upfront",$E$480*'TB-Pharmaceuticals'!AZ14,0)</f>
        <v>0</v>
      </c>
      <c r="I481" s="920">
        <f>IF(SETUP!$F$36="Upfront",$E$480*'TB-Pharmaceuticals'!BA14,0)</f>
        <v>0</v>
      </c>
      <c r="J481" s="920">
        <f t="shared" si="73"/>
        <v>0</v>
      </c>
      <c r="K481" s="1016">
        <f>IF(SETUP!$F$36="Upfront",$E$480*'TB-Pharmaceuticals'!BB14,0)</f>
        <v>0</v>
      </c>
      <c r="L481" s="920">
        <f>IF(SETUP!$F$36="Upfront",$E$480*'TB-Pharmaceuticals'!BC14,0)</f>
        <v>0</v>
      </c>
      <c r="M481" s="920">
        <f>IF(SETUP!$F$36="Upfront",$E$480*'TB-Pharmaceuticals'!BD14,0)</f>
        <v>0</v>
      </c>
      <c r="N481" s="920">
        <f>IF(SETUP!$F$36="Upfront",$E$480*'TB-Pharmaceuticals'!BE14,0)</f>
        <v>0</v>
      </c>
      <c r="O481" s="920">
        <f t="shared" si="74"/>
        <v>0</v>
      </c>
      <c r="P481" s="1016">
        <f>IF(SETUP!$F$36="Upfront",$E$480*'TB-Pharmaceuticals'!BF14,0)</f>
        <v>0</v>
      </c>
      <c r="Q481" s="920">
        <f>IF(SETUP!$F$36="Upfront",$E$480*'TB-Pharmaceuticals'!BG14,0)</f>
        <v>0</v>
      </c>
      <c r="R481" s="920">
        <f>IF(SETUP!$F$36="Upfront",$E$480*'TB-Pharmaceuticals'!BH14,0)</f>
        <v>0</v>
      </c>
      <c r="S481" s="920">
        <f>IF(SETUP!$F$36="Upfront",$E$480*'TB-Pharmaceuticals'!BI14,0)</f>
        <v>0</v>
      </c>
      <c r="T481" s="920">
        <f t="shared" ref="T481:T502" si="75">P481+Q481+R481+S481</f>
        <v>0</v>
      </c>
      <c r="U481" s="1016">
        <f t="shared" ref="U481:U502" si="76">J481+O481+T481</f>
        <v>0</v>
      </c>
      <c r="V481" s="1344">
        <v>7.4</v>
      </c>
      <c r="W481" s="2011"/>
      <c r="X481" s="575"/>
      <c r="Y481" s="1350"/>
      <c r="Z481" s="655"/>
      <c r="AA481" s="686"/>
      <c r="AB481" s="686"/>
      <c r="AC481" s="686"/>
      <c r="AD481" s="686"/>
      <c r="AE481" s="686"/>
      <c r="AF481" s="686"/>
      <c r="AG481" s="686"/>
      <c r="AH481" s="687"/>
      <c r="AI481" s="686"/>
      <c r="AJ481" s="686"/>
      <c r="AK481" s="686"/>
      <c r="AL481" s="686"/>
      <c r="AM481" s="686"/>
      <c r="AN481" s="686"/>
      <c r="AO481" s="686"/>
      <c r="AP481" s="686"/>
      <c r="AQ481" s="686"/>
      <c r="AR481" s="686"/>
      <c r="AS481" s="686"/>
      <c r="AT481" s="686"/>
      <c r="AU481" s="686"/>
      <c r="AV481" s="686"/>
      <c r="AW481" s="686"/>
      <c r="AX481" s="686"/>
      <c r="AY481" s="686"/>
      <c r="AZ481" s="686"/>
      <c r="BA481" s="686"/>
      <c r="BB481" s="686"/>
      <c r="BC481" s="686"/>
      <c r="BD481" s="686"/>
      <c r="BE481" s="686"/>
      <c r="BF481" s="686"/>
      <c r="BG481" s="686"/>
      <c r="BH481" s="686"/>
      <c r="BI481" s="686"/>
      <c r="BJ481" s="686"/>
      <c r="BK481" s="686"/>
      <c r="BL481" s="686"/>
      <c r="BM481" s="686"/>
      <c r="BN481" s="686"/>
      <c r="BO481" s="686"/>
      <c r="BP481" s="686"/>
      <c r="BQ481" s="686"/>
      <c r="BR481" s="686"/>
      <c r="BS481" s="686"/>
      <c r="BT481" s="686"/>
    </row>
    <row r="482" spans="1:72" s="688" customFormat="1" ht="12.75" hidden="1" customHeight="1" outlineLevel="1">
      <c r="A482" s="3186"/>
      <c r="B482" s="3187"/>
      <c r="C482" s="3182" t="s">
        <v>36</v>
      </c>
      <c r="D482" s="3182"/>
      <c r="E482" s="1991"/>
      <c r="F482" s="1016">
        <v>0</v>
      </c>
      <c r="G482" s="920">
        <f>IF(SETUP!$F$36="At delivery",IF(SETUP!$G$36=1,$E$480*'TB-Pharmaceuticals'!AX14,0),0)</f>
        <v>0</v>
      </c>
      <c r="H482" s="920">
        <f>IF(SETUP!$F$36="At delivery",IF(SETUP!$G$36=2,$E$480*'TB-Pharmaceuticals'!AX14,IF(SETUP!$G$36=1,$E$480*'TB-Pharmaceuticals'!AY14,0)),0)</f>
        <v>0</v>
      </c>
      <c r="I482" s="920">
        <f>IF(SETUP!$F$36="At delivery",IF(SETUP!$G$36=3,$E$480*'TB-Pharmaceuticals'!AX14,IF(SETUP!$G$36=2,$E$480*'TB-Pharmaceuticals'!AY14,IF(SETUP!$G$36=1,$E$480*'TB-Pharmaceuticals'!AZ14,0))),0)</f>
        <v>0</v>
      </c>
      <c r="J482" s="920">
        <f t="shared" si="73"/>
        <v>0</v>
      </c>
      <c r="K482" s="1016">
        <f>IF(SETUP!$F$36="At delivery",IF(SETUP!$G$36=4,$E$480*'TB-Pharmaceuticals'!AX14,IF(SETUP!$G$36=3,$E$480*'TB-Pharmaceuticals'!AY14,IF(SETUP!$G$36=2,$E$480*'TB-Pharmaceuticals'!AZ14,IF(SETUP!$G$36=1,$E$480*'TB-Pharmaceuticals'!BA14,0)))),0)</f>
        <v>0</v>
      </c>
      <c r="L482" s="920">
        <f>IF(SETUP!$F$36="At delivery",IF(SETUP!$G$36=4,$E$480*'TB-Pharmaceuticals'!AY14,IF(SETUP!$G$36=3,$E$480*'TB-Pharmaceuticals'!AZ14,IF(SETUP!$G$36=2,$E$480*'TB-Pharmaceuticals'!BA14,IF(SETUP!$G$36=1,$E$480*'TB-Pharmaceuticals'!BB14,0)))),0)</f>
        <v>0</v>
      </c>
      <c r="M482" s="920">
        <f>IF(SETUP!$F$36="At delivery",IF(SETUP!$G$36=4,$E$480*'TB-Pharmaceuticals'!AZ14,IF(SETUP!$G$36=3,$E$480*'TB-Pharmaceuticals'!BA14,IF(SETUP!$G$36=2,$E$480*'TB-Pharmaceuticals'!BB14,IF(SETUP!$G$36=1,$E$480*'TB-Pharmaceuticals'!BC14,0)))),0)</f>
        <v>0</v>
      </c>
      <c r="N482" s="920">
        <f>IF(SETUP!$F$36="At delivery",IF(SETUP!$G$36=4,$E$480*'TB-Pharmaceuticals'!BA14,IF(SETUP!$G$36=3,$E$480*'TB-Pharmaceuticals'!BB14,IF(SETUP!$G$36=2,$E$480*'TB-Pharmaceuticals'!BC14,IF(SETUP!$G$36=1,$E$480*'TB-Pharmaceuticals'!BD14,0)))),0)</f>
        <v>0</v>
      </c>
      <c r="O482" s="920">
        <f t="shared" si="74"/>
        <v>0</v>
      </c>
      <c r="P482" s="1016">
        <f>IF(SETUP!$F$36="At delivery",IF(SETUP!$G$36=4,$E$480*'TB-Pharmaceuticals'!BB14,IF(SETUP!$G$36=3,$E$480*'TB-Pharmaceuticals'!BC14,IF(SETUP!$G$36=2,$E$480*'TB-Pharmaceuticals'!BD14,IF(SETUP!$G$36=1,$E$480*'TB-Pharmaceuticals'!BE14,0)))),0)</f>
        <v>0</v>
      </c>
      <c r="Q482" s="920">
        <f>IF(SETUP!$F$36="At delivery",IF(SETUP!$G$36=4,$E$480*'TB-Pharmaceuticals'!BC14,IF(SETUP!$G$36=3,$E$480*'TB-Pharmaceuticals'!BD14,IF(SETUP!$G$36=2,$E$480*'TB-Pharmaceuticals'!BE14,IF(SETUP!$G$36=1,$E$480*'TB-Pharmaceuticals'!BF14,0)))),0)</f>
        <v>0</v>
      </c>
      <c r="R482" s="920">
        <f>IF(SETUP!$F$36="At delivery",IF(SETUP!$G$36=4,$E$480*'TB-Pharmaceuticals'!BD14,IF(SETUP!$G$36=3,$E$480*'TB-Pharmaceuticals'!BE14,IF(SETUP!$G$36=2,$E$480*'TB-Pharmaceuticals'!BF14,IF(SETUP!$G$36=1,$E$480*'TB-Pharmaceuticals'!BG14,0)))),0)</f>
        <v>0</v>
      </c>
      <c r="S482" s="920">
        <f>IF(SETUP!$F$36="At delivery",IF(SETUP!$G$36=4,$E$480*('TB-Pharmaceuticals'!BE14+'TB-Pharmaceuticals'!BF14+'TB-Pharmaceuticals'!BG14+'TB-Pharmaceuticals'!BH14+'TB-Pharmaceuticals'!BI14),IF(SETUP!$G$36=3,$E$480*('TB-Pharmaceuticals'!BF14+'TB-Pharmaceuticals'!BG14+'TB-Pharmaceuticals'!BH14+'TB-Pharmaceuticals'!BI14),IF(SETUP!$G$36=2,$E$480*('TB-Pharmaceuticals'!BG14+'TB-Pharmaceuticals'!BH14+'TB-Pharmaceuticals'!BI14),IF(SETUP!$G$36=1,$E$480*('TB-Pharmaceuticals'!BH14+'TB-Pharmaceuticals'!BI14),0)))),0)</f>
        <v>0</v>
      </c>
      <c r="T482" s="920">
        <f t="shared" si="75"/>
        <v>0</v>
      </c>
      <c r="U482" s="1016">
        <f t="shared" si="76"/>
        <v>0</v>
      </c>
      <c r="V482" s="1344">
        <v>7.4</v>
      </c>
      <c r="W482" s="2011"/>
      <c r="X482" s="575"/>
      <c r="Y482" s="1350"/>
      <c r="Z482" s="655"/>
      <c r="AA482" s="686"/>
      <c r="AB482" s="686"/>
      <c r="AC482" s="686"/>
      <c r="AD482" s="686"/>
      <c r="AE482" s="686"/>
      <c r="AF482" s="686"/>
      <c r="AG482" s="686"/>
      <c r="AH482" s="687"/>
      <c r="AI482" s="686"/>
      <c r="AJ482" s="686"/>
      <c r="AK482" s="686"/>
      <c r="AL482" s="686"/>
      <c r="AM482" s="686"/>
      <c r="AN482" s="686"/>
      <c r="AO482" s="686"/>
      <c r="AP482" s="686"/>
      <c r="AQ482" s="686"/>
      <c r="AR482" s="686"/>
      <c r="AS482" s="686"/>
      <c r="AT482" s="686"/>
      <c r="AU482" s="686"/>
      <c r="AV482" s="686"/>
      <c r="AW482" s="686"/>
      <c r="AX482" s="686"/>
      <c r="AY482" s="686"/>
      <c r="AZ482" s="686"/>
      <c r="BA482" s="686"/>
      <c r="BB482" s="686"/>
      <c r="BC482" s="686"/>
      <c r="BD482" s="686"/>
      <c r="BE482" s="686"/>
      <c r="BF482" s="686"/>
      <c r="BG482" s="686"/>
      <c r="BH482" s="686"/>
      <c r="BI482" s="686"/>
      <c r="BJ482" s="686"/>
      <c r="BK482" s="686"/>
      <c r="BL482" s="686"/>
      <c r="BM482" s="686"/>
      <c r="BN482" s="686"/>
      <c r="BO482" s="686"/>
      <c r="BP482" s="686"/>
      <c r="BQ482" s="686"/>
      <c r="BR482" s="686"/>
      <c r="BS482" s="686"/>
      <c r="BT482" s="686"/>
    </row>
    <row r="483" spans="1:72" s="688" customFormat="1" ht="13.5" hidden="1" collapsed="1" thickBot="1">
      <c r="A483" s="3186"/>
      <c r="B483" s="3187"/>
      <c r="C483" s="3188" t="s">
        <v>446</v>
      </c>
      <c r="D483" s="3188"/>
      <c r="E483" s="1245">
        <v>0</v>
      </c>
      <c r="F483" s="1016">
        <f>IF(SETUP!$F$38="Upfront",F484,F485)</f>
        <v>0</v>
      </c>
      <c r="G483" s="920">
        <f>IF(SETUP!$F$38="Upfront",G484,G485)</f>
        <v>0</v>
      </c>
      <c r="H483" s="920">
        <f>IF(SETUP!$F$38="Upfront",H484,H485)</f>
        <v>0</v>
      </c>
      <c r="I483" s="920">
        <f>IF(SETUP!$F$38="Upfront",I484,I485)</f>
        <v>0</v>
      </c>
      <c r="J483" s="920">
        <f t="shared" si="73"/>
        <v>0</v>
      </c>
      <c r="K483" s="1016">
        <f>IF(SETUP!$F$38="Upfront",K484,K485)</f>
        <v>0</v>
      </c>
      <c r="L483" s="920">
        <f>IF(SETUP!$F$38="Upfront",L484,L485)</f>
        <v>0</v>
      </c>
      <c r="M483" s="920">
        <f>IF(SETUP!$F$38="Upfront",M484,M485)</f>
        <v>0</v>
      </c>
      <c r="N483" s="920">
        <f>IF(SETUP!$F$38="Upfront",N484,N485)</f>
        <v>0</v>
      </c>
      <c r="O483" s="920">
        <f t="shared" si="74"/>
        <v>0</v>
      </c>
      <c r="P483" s="1016">
        <f>IF(SETUP!$F$38="Upfront",P484,P485)</f>
        <v>0</v>
      </c>
      <c r="Q483" s="920">
        <f>IF(SETUP!$F$38="Upfront",Q484,Q485)</f>
        <v>0</v>
      </c>
      <c r="R483" s="920">
        <f>IF(SETUP!$F$38="Upfront",R484,R485)</f>
        <v>0</v>
      </c>
      <c r="S483" s="920">
        <f>IF(SETUP!$F$38="Upfront",S484,S485)</f>
        <v>0</v>
      </c>
      <c r="T483" s="920">
        <f t="shared" si="75"/>
        <v>0</v>
      </c>
      <c r="U483" s="1016">
        <f t="shared" si="76"/>
        <v>0</v>
      </c>
      <c r="V483" s="1344">
        <v>7.4</v>
      </c>
      <c r="W483" s="2011"/>
      <c r="X483" s="575"/>
      <c r="Y483" s="1350"/>
      <c r="Z483" s="655"/>
      <c r="AA483" s="686"/>
      <c r="AB483" s="686"/>
      <c r="AC483" s="686"/>
      <c r="AD483" s="686"/>
      <c r="AE483" s="686"/>
      <c r="AF483" s="686"/>
      <c r="AG483" s="686"/>
      <c r="AH483" s="687"/>
      <c r="AI483" s="686"/>
      <c r="AJ483" s="686"/>
      <c r="AK483" s="686"/>
      <c r="AL483" s="686"/>
      <c r="AM483" s="686"/>
      <c r="AN483" s="686"/>
      <c r="AO483" s="686"/>
      <c r="AP483" s="686"/>
      <c r="AQ483" s="686"/>
      <c r="AR483" s="686"/>
      <c r="AS483" s="686"/>
      <c r="AT483" s="686"/>
      <c r="AU483" s="686"/>
      <c r="AV483" s="686"/>
      <c r="AW483" s="686"/>
      <c r="AX483" s="686"/>
      <c r="AY483" s="686"/>
      <c r="AZ483" s="686"/>
      <c r="BA483" s="686"/>
      <c r="BB483" s="686"/>
      <c r="BC483" s="686"/>
      <c r="BD483" s="686"/>
      <c r="BE483" s="686"/>
      <c r="BF483" s="686"/>
      <c r="BG483" s="686"/>
      <c r="BH483" s="686"/>
      <c r="BI483" s="686"/>
      <c r="BJ483" s="686"/>
      <c r="BK483" s="686"/>
      <c r="BL483" s="686"/>
      <c r="BM483" s="686"/>
      <c r="BN483" s="686"/>
      <c r="BO483" s="686"/>
      <c r="BP483" s="686"/>
      <c r="BQ483" s="686"/>
      <c r="BR483" s="686"/>
      <c r="BS483" s="686"/>
      <c r="BT483" s="686"/>
    </row>
    <row r="484" spans="1:72" s="688" customFormat="1" ht="12.75" hidden="1" customHeight="1" outlineLevel="1">
      <c r="A484" s="3186"/>
      <c r="B484" s="3187"/>
      <c r="C484" s="3182" t="s">
        <v>777</v>
      </c>
      <c r="D484" s="3182"/>
      <c r="E484" s="1991"/>
      <c r="F484" s="1016">
        <f>IF(SETUP!$F$38="Upfront",$E$483*'TB-Pharmaceuticals'!AX15,0)</f>
        <v>0</v>
      </c>
      <c r="G484" s="920">
        <f>IF(SETUP!$F$38="Upfront",$E$483*'TB-Pharmaceuticals'!AY15,0)</f>
        <v>0</v>
      </c>
      <c r="H484" s="920">
        <f>IF(SETUP!$F$38="Upfront",$E$483*'TB-Pharmaceuticals'!AZ15,0)</f>
        <v>0</v>
      </c>
      <c r="I484" s="920">
        <f>IF(SETUP!$F$38="Upfront",$E$483*'TB-Pharmaceuticals'!BA15,0)</f>
        <v>0</v>
      </c>
      <c r="J484" s="920">
        <f t="shared" si="73"/>
        <v>0</v>
      </c>
      <c r="K484" s="1016">
        <f>IF(SETUP!$F$38="Upfront",$E$483*'TB-Pharmaceuticals'!BB15,0)</f>
        <v>0</v>
      </c>
      <c r="L484" s="920">
        <f>IF(SETUP!$F$38="Upfront",$E$483*'TB-Pharmaceuticals'!BC15,0)</f>
        <v>0</v>
      </c>
      <c r="M484" s="920">
        <f>IF(SETUP!$F$38="Upfront",$E$483*'TB-Pharmaceuticals'!BD15,0)</f>
        <v>0</v>
      </c>
      <c r="N484" s="920">
        <f>IF(SETUP!$F$38="Upfront",$E$483*'TB-Pharmaceuticals'!BE15,0)</f>
        <v>0</v>
      </c>
      <c r="O484" s="920">
        <f t="shared" si="74"/>
        <v>0</v>
      </c>
      <c r="P484" s="1016">
        <f>IF(SETUP!$F$38="Upfront",$E$483*'TB-Pharmaceuticals'!BF15,0)</f>
        <v>0</v>
      </c>
      <c r="Q484" s="920">
        <f>IF(SETUP!$F$38="Upfront",$E$483*'TB-Pharmaceuticals'!BG15,0)</f>
        <v>0</v>
      </c>
      <c r="R484" s="920">
        <f>IF(SETUP!$F$38="Upfront",$E$483*'TB-Pharmaceuticals'!BH15,0)</f>
        <v>0</v>
      </c>
      <c r="S484" s="920">
        <f>IF(SETUP!$F$38="Upfront",$E$483*'TB-Pharmaceuticals'!BI15,0)</f>
        <v>0</v>
      </c>
      <c r="T484" s="920">
        <f t="shared" si="75"/>
        <v>0</v>
      </c>
      <c r="U484" s="1016">
        <f t="shared" si="76"/>
        <v>0</v>
      </c>
      <c r="V484" s="1344">
        <v>7.4</v>
      </c>
      <c r="W484" s="2011"/>
      <c r="X484" s="575"/>
      <c r="Y484" s="1350"/>
      <c r="Z484" s="655"/>
      <c r="AA484" s="686"/>
      <c r="AB484" s="686"/>
      <c r="AC484" s="686"/>
      <c r="AD484" s="686"/>
      <c r="AE484" s="686"/>
      <c r="AF484" s="686"/>
      <c r="AG484" s="686"/>
      <c r="AH484" s="687"/>
      <c r="AI484" s="686"/>
      <c r="AJ484" s="686"/>
      <c r="AK484" s="686"/>
      <c r="AL484" s="686"/>
      <c r="AM484" s="686"/>
      <c r="AN484" s="686"/>
      <c r="AO484" s="686"/>
      <c r="AP484" s="686"/>
      <c r="AQ484" s="686"/>
      <c r="AR484" s="686"/>
      <c r="AS484" s="686"/>
      <c r="AT484" s="686"/>
      <c r="AU484" s="686"/>
      <c r="AV484" s="686"/>
      <c r="AW484" s="686"/>
      <c r="AX484" s="686"/>
      <c r="AY484" s="686"/>
      <c r="AZ484" s="686"/>
      <c r="BA484" s="686"/>
      <c r="BB484" s="686"/>
      <c r="BC484" s="686"/>
      <c r="BD484" s="686"/>
      <c r="BE484" s="686"/>
      <c r="BF484" s="686"/>
      <c r="BG484" s="686"/>
      <c r="BH484" s="686"/>
      <c r="BI484" s="686"/>
      <c r="BJ484" s="686"/>
      <c r="BK484" s="686"/>
      <c r="BL484" s="686"/>
      <c r="BM484" s="686"/>
      <c r="BN484" s="686"/>
      <c r="BO484" s="686"/>
      <c r="BP484" s="686"/>
      <c r="BQ484" s="686"/>
      <c r="BR484" s="686"/>
      <c r="BS484" s="686"/>
      <c r="BT484" s="686"/>
    </row>
    <row r="485" spans="1:72" s="688" customFormat="1" ht="12.75" hidden="1" customHeight="1" outlineLevel="1" thickBot="1">
      <c r="A485" s="3186"/>
      <c r="B485" s="3187"/>
      <c r="C485" s="3182" t="s">
        <v>36</v>
      </c>
      <c r="D485" s="3182"/>
      <c r="E485" s="1246"/>
      <c r="F485" s="1016">
        <v>0</v>
      </c>
      <c r="G485" s="920">
        <f>IF(SETUP!$F$38="At delivery",IF(SETUP!$G$38=1,$E$483*'TB-Pharmaceuticals'!AX15,0),0)</f>
        <v>0</v>
      </c>
      <c r="H485" s="920">
        <f>IF(SETUP!$F$38="At delivery",IF(SETUP!$G$38=2,$E$483*'TB-Pharmaceuticals'!AX15,IF(SETUP!$G$38=1,$E$483*'TB-Pharmaceuticals'!AY15,0)),0)</f>
        <v>0</v>
      </c>
      <c r="I485" s="920">
        <f>IF(SETUP!$F$38="At delivery",IF(SETUP!$G$38=3,$E$483*'TB-Pharmaceuticals'!AX15,IF(SETUP!$G$38=2,$E$483*'TB-Pharmaceuticals'!AY15,IF(SETUP!$G$38=1,$E$483*'TB-Pharmaceuticals'!AZ15,0))),0)</f>
        <v>0</v>
      </c>
      <c r="J485" s="920">
        <f t="shared" si="73"/>
        <v>0</v>
      </c>
      <c r="K485" s="1016">
        <f>IF(SETUP!$F$38="At delivery",IF(SETUP!$G$38=4,$E$483*'TB-Pharmaceuticals'!AX15,IF(SETUP!$G$38=3,$E$483*'TB-Pharmaceuticals'!AY15,IF(SETUP!$G$38=2,$E$483*'TB-Pharmaceuticals'!AZ15,IF(SETUP!$G$38=1,$E$483*'TB-Pharmaceuticals'!BA15,0)))),0)</f>
        <v>0</v>
      </c>
      <c r="L485" s="920">
        <f>IF(SETUP!$F$38="At delivery",IF(SETUP!$G$38=4,$E$483*'TB-Pharmaceuticals'!AY15,IF(SETUP!$G$38=3,$E$483*'TB-Pharmaceuticals'!AZ15,IF(SETUP!$G$38=2,$E$483*'TB-Pharmaceuticals'!BA15,IF(SETUP!$G$38=1,$E$483*'TB-Pharmaceuticals'!BB15,0)))),0)</f>
        <v>0</v>
      </c>
      <c r="M485" s="920">
        <f>IF(SETUP!$F$38="At delivery",IF(SETUP!$G$38=4,$E$483*'TB-Pharmaceuticals'!AZ15,IF(SETUP!$G$38=3,$E$483*'TB-Pharmaceuticals'!BA15,IF(SETUP!$G$38=2,$E$483*'TB-Pharmaceuticals'!BB15,IF(SETUP!$G$38=1,$E$483*'TB-Pharmaceuticals'!BC15,0)))),0)</f>
        <v>0</v>
      </c>
      <c r="N485" s="920">
        <f>IF(SETUP!$F$38="At delivery",IF(SETUP!$G$38=4,$E$483*'TB-Pharmaceuticals'!BA15,IF(SETUP!$G$38=3,$E$483*'TB-Pharmaceuticals'!BB15,IF(SETUP!$G$38=2,$E$483*'TB-Pharmaceuticals'!BC15,IF(SETUP!$G$38=1,$E$483*'TB-Pharmaceuticals'!BD15,0)))),0)</f>
        <v>0</v>
      </c>
      <c r="O485" s="920">
        <f t="shared" si="74"/>
        <v>0</v>
      </c>
      <c r="P485" s="1016">
        <f>IF(SETUP!$F$38="At delivery",IF(SETUP!$G$38=4,$E$483*'TB-Pharmaceuticals'!BB15,IF(SETUP!$G$38=3,$E$483*'TB-Pharmaceuticals'!BC15,IF(SETUP!$G$38=2,$E$483*'TB-Pharmaceuticals'!BD15,IF(SETUP!$G$38=1,$E$483*'TB-Pharmaceuticals'!BE15,0)))),0)</f>
        <v>0</v>
      </c>
      <c r="Q485" s="920">
        <f>IF(SETUP!$F$38="At delivery",IF(SETUP!$G$38=4,$E$483*'TB-Pharmaceuticals'!BC15,IF(SETUP!$G$38=3,$E$483*'TB-Pharmaceuticals'!BD15,IF(SETUP!$G$38=2,$E$483*'TB-Pharmaceuticals'!BE15,IF(SETUP!$G$38=1,$E$483*'TB-Pharmaceuticals'!BF15,0)))),0)</f>
        <v>0</v>
      </c>
      <c r="R485" s="920">
        <f>IF(SETUP!$F$38="At delivery",IF(SETUP!$G$38=4,$E$483*'TB-Pharmaceuticals'!BD15,IF(SETUP!$G$38=3,$E$483*'TB-Pharmaceuticals'!BE15,IF(SETUP!$G$38=2,$E$483*'TB-Pharmaceuticals'!BF15,IF(SETUP!$G$38=1,$E$483*'TB-Pharmaceuticals'!BG15,0)))),0)</f>
        <v>0</v>
      </c>
      <c r="S485" s="920">
        <f>IF(SETUP!$F$38="At delivery",IF(SETUP!$G$38=4,$E$483*('TB-Pharmaceuticals'!BE15+'TB-Pharmaceuticals'!BF15+'TB-Pharmaceuticals'!BG15+'TB-Pharmaceuticals'!BH15+'TB-Pharmaceuticals'!BI15),IF(SETUP!$G$38=3,$E$483*('TB-Pharmaceuticals'!BF15+'TB-Pharmaceuticals'!BG15+'TB-Pharmaceuticals'!BH15+'TB-Pharmaceuticals'!BI15),IF(SETUP!$G$38=2,$E$483*('TB-Pharmaceuticals'!BG15+'TB-Pharmaceuticals'!BH15+'TB-Pharmaceuticals'!BI15),IF(SETUP!$G$38=1,$E$483*('TB-Pharmaceuticals'!BH15+'TB-Pharmaceuticals'!BI15),0)))),0)</f>
        <v>0</v>
      </c>
      <c r="T485" s="920">
        <f t="shared" si="75"/>
        <v>0</v>
      </c>
      <c r="U485" s="1016">
        <f t="shared" si="76"/>
        <v>0</v>
      </c>
      <c r="V485" s="1344">
        <v>7.4</v>
      </c>
      <c r="W485" s="2011"/>
      <c r="X485" s="575"/>
      <c r="Y485" s="1350"/>
      <c r="Z485" s="655"/>
      <c r="AA485" s="686"/>
      <c r="AB485" s="686"/>
      <c r="AC485" s="686"/>
      <c r="AD485" s="686"/>
      <c r="AE485" s="686"/>
      <c r="AF485" s="686"/>
      <c r="AG485" s="686"/>
      <c r="AH485" s="687"/>
      <c r="AI485" s="686"/>
      <c r="AJ485" s="686"/>
      <c r="AK485" s="686"/>
      <c r="AL485" s="686"/>
      <c r="AM485" s="686"/>
      <c r="AN485" s="686"/>
      <c r="AO485" s="686"/>
      <c r="AP485" s="686"/>
      <c r="AQ485" s="686"/>
      <c r="AR485" s="686"/>
      <c r="AS485" s="686"/>
      <c r="AT485" s="686"/>
      <c r="AU485" s="686"/>
      <c r="AV485" s="686"/>
      <c r="AW485" s="686"/>
      <c r="AX485" s="686"/>
      <c r="AY485" s="686"/>
      <c r="AZ485" s="686"/>
      <c r="BA485" s="686"/>
      <c r="BB485" s="686"/>
      <c r="BC485" s="686"/>
      <c r="BD485" s="686"/>
      <c r="BE485" s="686"/>
      <c r="BF485" s="686"/>
      <c r="BG485" s="686"/>
      <c r="BH485" s="686"/>
      <c r="BI485" s="686"/>
      <c r="BJ485" s="686"/>
      <c r="BK485" s="686"/>
      <c r="BL485" s="686"/>
      <c r="BM485" s="686"/>
      <c r="BN485" s="686"/>
      <c r="BO485" s="686"/>
      <c r="BP485" s="686"/>
      <c r="BQ485" s="686"/>
      <c r="BR485" s="686"/>
      <c r="BS485" s="686"/>
      <c r="BT485" s="686"/>
    </row>
    <row r="486" spans="1:72" s="688" customFormat="1" ht="13.5" hidden="1" collapsed="1" thickBot="1">
      <c r="A486" s="3186"/>
      <c r="B486" s="3187"/>
      <c r="C486" s="3188" t="s">
        <v>1389</v>
      </c>
      <c r="D486" s="3188"/>
      <c r="E486" s="1245">
        <v>0</v>
      </c>
      <c r="F486" s="1016">
        <f>IF(SETUP!$F$39="Upfront",F487,F488)</f>
        <v>0</v>
      </c>
      <c r="G486" s="920">
        <f>IF(SETUP!$F$39="Upfront",G487,G488)</f>
        <v>0</v>
      </c>
      <c r="H486" s="920">
        <f>IF(SETUP!$F$39="Upfront",H487,H488)</f>
        <v>0</v>
      </c>
      <c r="I486" s="920">
        <f>IF(SETUP!$F$39="Upfront",I487,I488)</f>
        <v>0</v>
      </c>
      <c r="J486" s="920">
        <f t="shared" si="73"/>
        <v>0</v>
      </c>
      <c r="K486" s="1016">
        <f>IF(SETUP!$F$39="Upfront",K487,K488)</f>
        <v>0</v>
      </c>
      <c r="L486" s="920">
        <f>IF(SETUP!$F$39="Upfront",L487,L488)</f>
        <v>0</v>
      </c>
      <c r="M486" s="920">
        <f>IF(SETUP!$F$39="Upfront",M487,M488)</f>
        <v>0</v>
      </c>
      <c r="N486" s="920">
        <f>IF(SETUP!$F$39="Upfront",N487,N488)</f>
        <v>0</v>
      </c>
      <c r="O486" s="920">
        <f t="shared" si="74"/>
        <v>0</v>
      </c>
      <c r="P486" s="1016">
        <f>IF(SETUP!$F$39="Upfront",P487,P488)</f>
        <v>0</v>
      </c>
      <c r="Q486" s="920">
        <f>IF(SETUP!$F$39="Upfront",Q487,Q488)</f>
        <v>0</v>
      </c>
      <c r="R486" s="920">
        <f>IF(SETUP!$F$39="Upfront",R487,R488)</f>
        <v>0</v>
      </c>
      <c r="S486" s="920">
        <f>IF(SETUP!$F$39="Upfront",S487,S488)</f>
        <v>0</v>
      </c>
      <c r="T486" s="920">
        <f t="shared" si="75"/>
        <v>0</v>
      </c>
      <c r="U486" s="1016">
        <f t="shared" si="76"/>
        <v>0</v>
      </c>
      <c r="V486" s="1344">
        <v>7.4</v>
      </c>
      <c r="W486" s="2011"/>
      <c r="X486" s="575"/>
      <c r="Y486" s="1350"/>
      <c r="Z486" s="655"/>
      <c r="AA486" s="686"/>
      <c r="AB486" s="686"/>
      <c r="AC486" s="686"/>
      <c r="AD486" s="686"/>
      <c r="AE486" s="686"/>
      <c r="AF486" s="686"/>
      <c r="AG486" s="686"/>
      <c r="AH486" s="687"/>
      <c r="AI486" s="686"/>
      <c r="AJ486" s="686"/>
      <c r="AK486" s="686"/>
      <c r="AL486" s="686"/>
      <c r="AM486" s="686"/>
      <c r="AN486" s="686"/>
      <c r="AO486" s="686"/>
      <c r="AP486" s="686"/>
      <c r="AQ486" s="686"/>
      <c r="AR486" s="686"/>
      <c r="AS486" s="686"/>
      <c r="AT486" s="686"/>
      <c r="AU486" s="686"/>
      <c r="AV486" s="686"/>
      <c r="AW486" s="686"/>
      <c r="AX486" s="686"/>
      <c r="AY486" s="686"/>
      <c r="AZ486" s="686"/>
      <c r="BA486" s="686"/>
      <c r="BB486" s="686"/>
      <c r="BC486" s="686"/>
      <c r="BD486" s="686"/>
      <c r="BE486" s="686"/>
      <c r="BF486" s="686"/>
      <c r="BG486" s="686"/>
      <c r="BH486" s="686"/>
      <c r="BI486" s="686"/>
      <c r="BJ486" s="686"/>
      <c r="BK486" s="686"/>
      <c r="BL486" s="686"/>
      <c r="BM486" s="686"/>
      <c r="BN486" s="686"/>
      <c r="BO486" s="686"/>
      <c r="BP486" s="686"/>
      <c r="BQ486" s="686"/>
      <c r="BR486" s="686"/>
      <c r="BS486" s="686"/>
      <c r="BT486" s="686"/>
    </row>
    <row r="487" spans="1:72" s="688" customFormat="1" ht="12.75" hidden="1" customHeight="1" outlineLevel="1">
      <c r="A487" s="3186"/>
      <c r="B487" s="3187"/>
      <c r="C487" s="3182" t="s">
        <v>777</v>
      </c>
      <c r="D487" s="3182"/>
      <c r="E487" s="1990"/>
      <c r="F487" s="1016">
        <f>IF(SETUP!$F$39="Upfront",$E$486*'TB-Pharmaceuticals'!AX16,0)</f>
        <v>0</v>
      </c>
      <c r="G487" s="920">
        <f>IF(SETUP!$F$39="Upfront",$E$486*'TB-Pharmaceuticals'!AY16,0)</f>
        <v>0</v>
      </c>
      <c r="H487" s="920">
        <f>IF(SETUP!$F$39="Upfront",$E$486*'TB-Pharmaceuticals'!AZ16,0)</f>
        <v>0</v>
      </c>
      <c r="I487" s="920">
        <f>IF(SETUP!$F$39="Upfront",$E$486*'TB-Pharmaceuticals'!BA16,0)</f>
        <v>0</v>
      </c>
      <c r="J487" s="920">
        <f t="shared" si="73"/>
        <v>0</v>
      </c>
      <c r="K487" s="1016">
        <f>IF(SETUP!$F$39="Upfront",$E$486*'TB-Pharmaceuticals'!BB16,0)</f>
        <v>0</v>
      </c>
      <c r="L487" s="920">
        <f>IF(SETUP!$F$39="Upfront",$E$486*'TB-Pharmaceuticals'!BC16,0)</f>
        <v>0</v>
      </c>
      <c r="M487" s="920">
        <f>IF(SETUP!$F$39="Upfront",$E$486*'TB-Pharmaceuticals'!BD16,0)</f>
        <v>0</v>
      </c>
      <c r="N487" s="920">
        <f>IF(SETUP!$F$39="Upfront",$E$486*'TB-Pharmaceuticals'!BE16,0)</f>
        <v>0</v>
      </c>
      <c r="O487" s="920">
        <f t="shared" si="74"/>
        <v>0</v>
      </c>
      <c r="P487" s="1016">
        <f>IF(SETUP!$F$39="Upfront",$E$486*'TB-Pharmaceuticals'!BF16,0)</f>
        <v>0</v>
      </c>
      <c r="Q487" s="920">
        <f>IF(SETUP!$F$39="Upfront",$E$486*'TB-Pharmaceuticals'!BG16,0)</f>
        <v>0</v>
      </c>
      <c r="R487" s="920">
        <f>IF(SETUP!$F$39="Upfront",$E$486*'TB-Pharmaceuticals'!BH16,0)</f>
        <v>0</v>
      </c>
      <c r="S487" s="920">
        <f>IF(SETUP!$F$39="Upfront",$E$486*'TB-Pharmaceuticals'!BI16,0)</f>
        <v>0</v>
      </c>
      <c r="T487" s="920">
        <f t="shared" si="75"/>
        <v>0</v>
      </c>
      <c r="U487" s="1016">
        <f t="shared" si="76"/>
        <v>0</v>
      </c>
      <c r="V487" s="1344">
        <v>7.4</v>
      </c>
      <c r="W487" s="2011"/>
      <c r="X487" s="575"/>
      <c r="Y487" s="1350"/>
      <c r="Z487" s="655"/>
      <c r="AA487" s="686"/>
      <c r="AB487" s="686"/>
      <c r="AC487" s="686"/>
      <c r="AD487" s="686"/>
      <c r="AE487" s="686"/>
      <c r="AF487" s="686"/>
      <c r="AG487" s="686"/>
      <c r="AH487" s="687"/>
      <c r="AI487" s="686"/>
      <c r="AJ487" s="686"/>
      <c r="AK487" s="686"/>
      <c r="AL487" s="686"/>
      <c r="AM487" s="686"/>
      <c r="AN487" s="686"/>
      <c r="AO487" s="686"/>
      <c r="AP487" s="686"/>
      <c r="AQ487" s="686"/>
      <c r="AR487" s="686"/>
      <c r="AS487" s="686"/>
      <c r="AT487" s="686"/>
      <c r="AU487" s="686"/>
      <c r="AV487" s="686"/>
      <c r="AW487" s="686"/>
      <c r="AX487" s="686"/>
      <c r="AY487" s="686"/>
      <c r="AZ487" s="686"/>
      <c r="BA487" s="686"/>
      <c r="BB487" s="686"/>
      <c r="BC487" s="686"/>
      <c r="BD487" s="686"/>
      <c r="BE487" s="686"/>
      <c r="BF487" s="686"/>
      <c r="BG487" s="686"/>
      <c r="BH487" s="686"/>
      <c r="BI487" s="686"/>
      <c r="BJ487" s="686"/>
      <c r="BK487" s="686"/>
      <c r="BL487" s="686"/>
      <c r="BM487" s="686"/>
      <c r="BN487" s="686"/>
      <c r="BO487" s="686"/>
      <c r="BP487" s="686"/>
      <c r="BQ487" s="686"/>
      <c r="BR487" s="686"/>
      <c r="BS487" s="686"/>
      <c r="BT487" s="686"/>
    </row>
    <row r="488" spans="1:72" s="688" customFormat="1" ht="12.75" hidden="1" customHeight="1" outlineLevel="1">
      <c r="A488" s="3186"/>
      <c r="B488" s="3187"/>
      <c r="C488" s="3182" t="s">
        <v>36</v>
      </c>
      <c r="D488" s="3182"/>
      <c r="E488" s="1990"/>
      <c r="F488" s="1016">
        <v>0</v>
      </c>
      <c r="G488" s="920">
        <f>IF(SETUP!$F$39="At delivery",IF(SETUP!$G$39=1,$E$486*'TB-Pharmaceuticals'!AX16,0),0)</f>
        <v>0</v>
      </c>
      <c r="H488" s="920">
        <f>IF(SETUP!$F$39="At delivery",IF(SETUP!$G$39=2,$E$486*'TB-Pharmaceuticals'!AX16,IF(SETUP!$G$39=1,$E$486*'TB-Pharmaceuticals'!AY16,0)),0)</f>
        <v>0</v>
      </c>
      <c r="I488" s="920">
        <f>IF(SETUP!$F$39="At delivery",IF(SETUP!$G$39=3,$E$486*'TB-Pharmaceuticals'!AX16,IF(SETUP!$G$39=2,$E$486*'TB-Pharmaceuticals'!AY16,IF(SETUP!$G$39=1,$E$486*'TB-Pharmaceuticals'!AZ16,0))),0)</f>
        <v>0</v>
      </c>
      <c r="J488" s="920">
        <f t="shared" si="73"/>
        <v>0</v>
      </c>
      <c r="K488" s="1016">
        <f>IF(SETUP!$F$39="At delivery",IF(SETUP!$G$39=4,$E$486*'TB-Pharmaceuticals'!AX16,IF(SETUP!$G$39=3,$E$486*'TB-Pharmaceuticals'!AY16,IF(SETUP!$G$39=2,$E$486*'TB-Pharmaceuticals'!AZ16,IF(SETUP!$G$39=1,$E$486*'TB-Pharmaceuticals'!BA16,0)))),0)</f>
        <v>0</v>
      </c>
      <c r="L488" s="920">
        <f>IF(SETUP!$F$39="At delivery",IF(SETUP!$G$39=4,$E$486*'TB-Pharmaceuticals'!AY16,IF(SETUP!$G$39=3,$E$486*'TB-Pharmaceuticals'!AZ16,IF(SETUP!$G$39=2,$E$486*'TB-Pharmaceuticals'!BA16,IF(SETUP!$G$39=1,$E$486*'TB-Pharmaceuticals'!BB16,0)))),0)</f>
        <v>0</v>
      </c>
      <c r="M488" s="920">
        <f>IF(SETUP!$F$39="At delivery",IF(SETUP!$G$39=4,$E$486*'TB-Pharmaceuticals'!AZ16,IF(SETUP!$G$39=3,$E$486*'TB-Pharmaceuticals'!BA16,IF(SETUP!$G$39=2,$E$486*'TB-Pharmaceuticals'!BB16,IF(SETUP!$G$39=1,$E$486*'TB-Pharmaceuticals'!BC16,0)))),0)</f>
        <v>0</v>
      </c>
      <c r="N488" s="920">
        <f>IF(SETUP!$F$39="At delivery",IF(SETUP!$G$39=4,$E$486*'TB-Pharmaceuticals'!BA16,IF(SETUP!$G$39=3,$E$486*'TB-Pharmaceuticals'!BB16,IF(SETUP!$G$39=2,$E$486*'TB-Pharmaceuticals'!BC16,IF(SETUP!$G$39=1,$E$486*'TB-Pharmaceuticals'!BD16,0)))),0)</f>
        <v>0</v>
      </c>
      <c r="O488" s="920">
        <f t="shared" si="74"/>
        <v>0</v>
      </c>
      <c r="P488" s="1016">
        <f>IF(SETUP!$F$39="At delivery",IF(SETUP!$G$39=4,$E$486*'TB-Pharmaceuticals'!BB16,IF(SETUP!$G$39=3,$E$486*'TB-Pharmaceuticals'!BC16,IF(SETUP!$G$39=2,$E$486*'TB-Pharmaceuticals'!BD16,IF(SETUP!$G$39=1,$E$486*'TB-Pharmaceuticals'!BE16,0)))),0)</f>
        <v>0</v>
      </c>
      <c r="Q488" s="920">
        <f>IF(SETUP!$F$39="At delivery",IF(SETUP!$G$39=4,$E$486*'TB-Pharmaceuticals'!BC16,IF(SETUP!$G$39=3,$E$486*'TB-Pharmaceuticals'!BD16,IF(SETUP!$G$39=2,$E$486*'TB-Pharmaceuticals'!BE16,IF(SETUP!$G$39=1,$E$486*'TB-Pharmaceuticals'!BF16,0)))),0)</f>
        <v>0</v>
      </c>
      <c r="R488" s="920">
        <f>IF(SETUP!$F$39="At delivery",IF(SETUP!$G$39=4,$E$486*'TB-Pharmaceuticals'!BD16,IF(SETUP!$G$39=3,$E$486*'TB-Pharmaceuticals'!BE16,IF(SETUP!$G$39=2,$E$486*'TB-Pharmaceuticals'!BF16,IF(SETUP!$G$39=1,$E$486*'TB-Pharmaceuticals'!BG16,0)))),0)</f>
        <v>0</v>
      </c>
      <c r="S488" s="920">
        <f>IF(SETUP!$F$39="At delivery",IF(SETUP!$G$39=4,$E$486*('TB-Pharmaceuticals'!BE16+'TB-Pharmaceuticals'!BF16+'TB-Pharmaceuticals'!BG16+'TB-Pharmaceuticals'!BH16+'TB-Pharmaceuticals'!BI16),IF(SETUP!$G$39=3,$E$486*('TB-Pharmaceuticals'!BF16+'TB-Pharmaceuticals'!BG16+'TB-Pharmaceuticals'!BH16+'TB-Pharmaceuticals'!BI16),IF(SETUP!$G$39=2,$E$486*('TB-Pharmaceuticals'!BG16+'TB-Pharmaceuticals'!BH16+'TB-Pharmaceuticals'!BI16),IF(SETUP!$G$39=1,$E$486*('TB-Pharmaceuticals'!BH16+'TB-Pharmaceuticals'!BI16),0)))),0)</f>
        <v>0</v>
      </c>
      <c r="T488" s="920">
        <f t="shared" si="75"/>
        <v>0</v>
      </c>
      <c r="U488" s="1016">
        <f t="shared" si="76"/>
        <v>0</v>
      </c>
      <c r="V488" s="1344">
        <v>7.4</v>
      </c>
      <c r="W488" s="2011"/>
      <c r="X488" s="575"/>
      <c r="Y488" s="1350"/>
      <c r="Z488" s="655"/>
      <c r="AA488" s="686"/>
      <c r="AB488" s="686"/>
      <c r="AC488" s="686"/>
      <c r="AD488" s="686"/>
      <c r="AE488" s="686"/>
      <c r="AF488" s="686"/>
      <c r="AG488" s="686"/>
      <c r="AH488" s="687"/>
      <c r="AI488" s="686"/>
      <c r="AJ488" s="686"/>
      <c r="AK488" s="686"/>
      <c r="AL488" s="686"/>
      <c r="AM488" s="686"/>
      <c r="AN488" s="686"/>
      <c r="AO488" s="686"/>
      <c r="AP488" s="686"/>
      <c r="AQ488" s="686"/>
      <c r="AR488" s="686"/>
      <c r="AS488" s="686"/>
      <c r="AT488" s="686"/>
      <c r="AU488" s="686"/>
      <c r="AV488" s="686"/>
      <c r="AW488" s="686"/>
      <c r="AX488" s="686"/>
      <c r="AY488" s="686"/>
      <c r="AZ488" s="686"/>
      <c r="BA488" s="686"/>
      <c r="BB488" s="686"/>
      <c r="BC488" s="686"/>
      <c r="BD488" s="686"/>
      <c r="BE488" s="686"/>
      <c r="BF488" s="686"/>
      <c r="BG488" s="686"/>
      <c r="BH488" s="686"/>
      <c r="BI488" s="686"/>
      <c r="BJ488" s="686"/>
      <c r="BK488" s="686"/>
      <c r="BL488" s="686"/>
      <c r="BM488" s="686"/>
      <c r="BN488" s="686"/>
      <c r="BO488" s="686"/>
      <c r="BP488" s="686"/>
      <c r="BQ488" s="686"/>
      <c r="BR488" s="686"/>
      <c r="BS488" s="686"/>
      <c r="BT488" s="686"/>
    </row>
    <row r="489" spans="1:72" s="688" customFormat="1" ht="13.5" hidden="1" collapsed="1" thickBot="1">
      <c r="A489" s="3186" t="s">
        <v>447</v>
      </c>
      <c r="B489" s="3187"/>
      <c r="C489" s="3188" t="s">
        <v>292</v>
      </c>
      <c r="D489" s="3188"/>
      <c r="E489" s="1245">
        <v>0</v>
      </c>
      <c r="F489" s="1016">
        <f>IF(SETUP!$F$40="Upfront",F490,F491)</f>
        <v>0</v>
      </c>
      <c r="G489" s="920">
        <f>IF(SETUP!$F$40="Upfront",G490,G491)</f>
        <v>0</v>
      </c>
      <c r="H489" s="920">
        <f>IF(SETUP!$F$40="Upfront",H490,H491)</f>
        <v>0</v>
      </c>
      <c r="I489" s="920">
        <f>IF(SETUP!$F$40="Upfront",I490,I491)</f>
        <v>0</v>
      </c>
      <c r="J489" s="920">
        <f t="shared" si="73"/>
        <v>0</v>
      </c>
      <c r="K489" s="1016">
        <f>IF(SETUP!$F$40="Upfront",K490,K491)</f>
        <v>0</v>
      </c>
      <c r="L489" s="920">
        <f>IF(SETUP!$F$40="Upfront",L490,L491)</f>
        <v>0</v>
      </c>
      <c r="M489" s="920">
        <f>IF(SETUP!$F$40="Upfront",M490,M491)</f>
        <v>0</v>
      </c>
      <c r="N489" s="920">
        <f>IF(SETUP!$F$40="Upfront",N490,N491)</f>
        <v>0</v>
      </c>
      <c r="O489" s="920">
        <f t="shared" si="74"/>
        <v>0</v>
      </c>
      <c r="P489" s="1016">
        <f>IF(SETUP!$F$40="Upfront",P490,P491)</f>
        <v>0</v>
      </c>
      <c r="Q489" s="920">
        <f>IF(SETUP!$F$40="Upfront",Q490,Q491)</f>
        <v>0</v>
      </c>
      <c r="R489" s="920">
        <f>IF(SETUP!$F$40="Upfront",R490,R491)</f>
        <v>0</v>
      </c>
      <c r="S489" s="920">
        <f>IF(SETUP!$F$40="Upfront",S490,S491)</f>
        <v>0</v>
      </c>
      <c r="T489" s="920">
        <f t="shared" si="75"/>
        <v>0</v>
      </c>
      <c r="U489" s="1016">
        <f t="shared" si="76"/>
        <v>0</v>
      </c>
      <c r="V489" s="1344">
        <v>7.4</v>
      </c>
      <c r="W489" s="2011"/>
      <c r="X489" s="575"/>
      <c r="Y489" s="1350"/>
      <c r="Z489" s="655"/>
      <c r="AA489" s="686"/>
      <c r="AB489" s="686"/>
      <c r="AC489" s="686"/>
      <c r="AD489" s="686"/>
      <c r="AE489" s="686"/>
      <c r="AF489" s="686"/>
      <c r="AG489" s="686"/>
      <c r="AH489" s="687"/>
      <c r="AI489" s="686"/>
      <c r="AJ489" s="686"/>
      <c r="AK489" s="686"/>
      <c r="AL489" s="686"/>
      <c r="AM489" s="686"/>
      <c r="AN489" s="686"/>
      <c r="AO489" s="686"/>
      <c r="AP489" s="686"/>
      <c r="AQ489" s="686"/>
      <c r="AR489" s="686"/>
      <c r="AS489" s="686"/>
      <c r="AT489" s="686"/>
      <c r="AU489" s="686"/>
      <c r="AV489" s="686"/>
      <c r="AW489" s="686"/>
      <c r="AX489" s="686"/>
      <c r="AY489" s="686"/>
      <c r="AZ489" s="686"/>
      <c r="BA489" s="686"/>
      <c r="BB489" s="686"/>
      <c r="BC489" s="686"/>
      <c r="BD489" s="686"/>
      <c r="BE489" s="686"/>
      <c r="BF489" s="686"/>
      <c r="BG489" s="686"/>
      <c r="BH489" s="686"/>
      <c r="BI489" s="686"/>
      <c r="BJ489" s="686"/>
      <c r="BK489" s="686"/>
      <c r="BL489" s="686"/>
      <c r="BM489" s="686"/>
      <c r="BN489" s="686"/>
      <c r="BO489" s="686"/>
      <c r="BP489" s="686"/>
      <c r="BQ489" s="686"/>
      <c r="BR489" s="686"/>
      <c r="BS489" s="686"/>
      <c r="BT489" s="686"/>
    </row>
    <row r="490" spans="1:72" s="688" customFormat="1" ht="12.75" hidden="1" customHeight="1" outlineLevel="1">
      <c r="A490" s="3186"/>
      <c r="B490" s="3187"/>
      <c r="C490" s="3182" t="s">
        <v>777</v>
      </c>
      <c r="D490" s="3182"/>
      <c r="E490" s="1990"/>
      <c r="F490" s="1016">
        <f>IF(SETUP!$F$40="Upfront",$E$489*'TB-EQUIPMENT &amp; OTHER HPs'!AX14,0)</f>
        <v>0</v>
      </c>
      <c r="G490" s="920">
        <f>IF(SETUP!$F$40="Upfront",$E$489*'TB-EQUIPMENT &amp; OTHER HPs'!AY14,0)</f>
        <v>0</v>
      </c>
      <c r="H490" s="920">
        <f>IF(SETUP!$F$40="Upfront",$E$489*'TB-EQUIPMENT &amp; OTHER HPs'!AZ14,0)</f>
        <v>0</v>
      </c>
      <c r="I490" s="920">
        <f>IF(SETUP!$F$40="Upfront",$E$489*'TB-EQUIPMENT &amp; OTHER HPs'!BA14,0)</f>
        <v>0</v>
      </c>
      <c r="J490" s="920">
        <f t="shared" si="73"/>
        <v>0</v>
      </c>
      <c r="K490" s="1016">
        <f>IF(SETUP!$F$40="Upfront",$E$489*'TB-EQUIPMENT &amp; OTHER HPs'!BB14,0)</f>
        <v>0</v>
      </c>
      <c r="L490" s="920">
        <f>IF(SETUP!$F$40="Upfront",$E$489*'TB-EQUIPMENT &amp; OTHER HPs'!BC14,0)</f>
        <v>0</v>
      </c>
      <c r="M490" s="920">
        <f>IF(SETUP!$F$40="Upfront",$E$489*'TB-EQUIPMENT &amp; OTHER HPs'!BD14,0)</f>
        <v>0</v>
      </c>
      <c r="N490" s="920">
        <f>IF(SETUP!$F$40="Upfront",$E$489*'TB-EQUIPMENT &amp; OTHER HPs'!BE14,0)</f>
        <v>0</v>
      </c>
      <c r="O490" s="920">
        <f t="shared" si="74"/>
        <v>0</v>
      </c>
      <c r="P490" s="1016">
        <f>IF(SETUP!$F$40="Upfront",$E$489*'TB-EQUIPMENT &amp; OTHER HPs'!BF14,0)</f>
        <v>0</v>
      </c>
      <c r="Q490" s="920">
        <f>IF(SETUP!$F$40="Upfront",$E$489*'TB-EQUIPMENT &amp; OTHER HPs'!BG14,0)</f>
        <v>0</v>
      </c>
      <c r="R490" s="920">
        <f>IF(SETUP!$F$40="Upfront",$E$489*'TB-EQUIPMENT &amp; OTHER HPs'!BH14,0)</f>
        <v>0</v>
      </c>
      <c r="S490" s="920">
        <f>IF(SETUP!$F$40="Upfront",$E$489*'TB-EQUIPMENT &amp; OTHER HPs'!BI14,0)</f>
        <v>0</v>
      </c>
      <c r="T490" s="920">
        <f t="shared" si="75"/>
        <v>0</v>
      </c>
      <c r="U490" s="1016">
        <f t="shared" si="76"/>
        <v>0</v>
      </c>
      <c r="V490" s="1344">
        <v>7.4</v>
      </c>
      <c r="W490" s="2011"/>
      <c r="X490" s="575"/>
      <c r="Y490" s="1350"/>
      <c r="Z490" s="655"/>
      <c r="AA490" s="686"/>
      <c r="AB490" s="686"/>
      <c r="AC490" s="686"/>
      <c r="AD490" s="686"/>
      <c r="AE490" s="686"/>
      <c r="AF490" s="686"/>
      <c r="AG490" s="686"/>
      <c r="AH490" s="687"/>
      <c r="AI490" s="686"/>
      <c r="AJ490" s="686"/>
      <c r="AK490" s="686"/>
      <c r="AL490" s="686"/>
      <c r="AM490" s="686"/>
      <c r="AN490" s="686"/>
      <c r="AO490" s="686"/>
      <c r="AP490" s="686"/>
      <c r="AQ490" s="686"/>
      <c r="AR490" s="686"/>
      <c r="AS490" s="686"/>
      <c r="AT490" s="686"/>
      <c r="AU490" s="686"/>
      <c r="AV490" s="686"/>
      <c r="AW490" s="686"/>
      <c r="AX490" s="686"/>
      <c r="AY490" s="686"/>
      <c r="AZ490" s="686"/>
      <c r="BA490" s="686"/>
      <c r="BB490" s="686"/>
      <c r="BC490" s="686"/>
      <c r="BD490" s="686"/>
      <c r="BE490" s="686"/>
      <c r="BF490" s="686"/>
      <c r="BG490" s="686"/>
      <c r="BH490" s="686"/>
      <c r="BI490" s="686"/>
      <c r="BJ490" s="686"/>
      <c r="BK490" s="686"/>
      <c r="BL490" s="686"/>
      <c r="BM490" s="686"/>
      <c r="BN490" s="686"/>
      <c r="BO490" s="686"/>
      <c r="BP490" s="686"/>
      <c r="BQ490" s="686"/>
      <c r="BR490" s="686"/>
      <c r="BS490" s="686"/>
      <c r="BT490" s="686"/>
    </row>
    <row r="491" spans="1:72" s="688" customFormat="1" ht="12.75" hidden="1" customHeight="1" outlineLevel="1">
      <c r="A491" s="3186"/>
      <c r="B491" s="3187"/>
      <c r="C491" s="3182" t="s">
        <v>36</v>
      </c>
      <c r="D491" s="3182"/>
      <c r="E491" s="1990"/>
      <c r="F491" s="1016">
        <v>0</v>
      </c>
      <c r="G491" s="920">
        <f>IF(SETUP!$F$40="At delivery",IF(SETUP!$G$40=1,$E$489*'TB-EQUIPMENT &amp; OTHER HPs'!AX14,0),0)</f>
        <v>0</v>
      </c>
      <c r="H491" s="920">
        <f>IF(SETUP!$F$40="At delivery",IF(SETUP!$G$40=2,$E$489*'TB-EQUIPMENT &amp; OTHER HPs'!AX14,IF(SETUP!$G$40=1,$E$489*'TB-EQUIPMENT &amp; OTHER HPs'!AY14,0)),0)</f>
        <v>0</v>
      </c>
      <c r="I491" s="920">
        <f>IF(SETUP!$F$40="At delivery",IF(SETUP!$G$40=3,$E$489*'TB-EQUIPMENT &amp; OTHER HPs'!AX14,IF(SETUP!$G$40=2,$E$489*'TB-EQUIPMENT &amp; OTHER HPs'!AY14,IF(SETUP!$G$40=1,$E$489*'TB-EQUIPMENT &amp; OTHER HPs'!AZ14,0))),0)</f>
        <v>0</v>
      </c>
      <c r="J491" s="920">
        <f t="shared" si="73"/>
        <v>0</v>
      </c>
      <c r="K491" s="1016">
        <f>IF(SETUP!$F$40="At delivery",IF(SETUP!$G$40=4,$E$489*'TB-EQUIPMENT &amp; OTHER HPs'!AX14,IF(SETUP!$G$40=3,$E$489*'TB-EQUIPMENT &amp; OTHER HPs'!AY14,IF(SETUP!$G$40=2,$E$489*'TB-EQUIPMENT &amp; OTHER HPs'!AZ14,IF(SETUP!$G$40=1,$E$489*'TB-EQUIPMENT &amp; OTHER HPs'!BA14,0)))),0)</f>
        <v>0</v>
      </c>
      <c r="L491" s="920">
        <f>IF(SETUP!$F$40="At delivery",IF(SETUP!$G$40=4,$E$489*'TB-EQUIPMENT &amp; OTHER HPs'!AY14,IF(SETUP!$G$40=3,$E$489*'TB-EQUIPMENT &amp; OTHER HPs'!AZ14,IF(SETUP!$G$40=2,$E$489*'TB-EQUIPMENT &amp; OTHER HPs'!BA14,IF(SETUP!$G$40=1,$E$489*'TB-EQUIPMENT &amp; OTHER HPs'!BB14,0)))),0)</f>
        <v>0</v>
      </c>
      <c r="M491" s="920">
        <f>IF(SETUP!$F$40="At delivery",IF(SETUP!$G$40=4,$E$489*'TB-EQUIPMENT &amp; OTHER HPs'!AZ14,IF(SETUP!$G$40=3,$E$489*'TB-EQUIPMENT &amp; OTHER HPs'!BA14,IF(SETUP!$G$40=2,$E$489*'TB-EQUIPMENT &amp; OTHER HPs'!BB14,IF(SETUP!$G$40=1,$E$489*'TB-EQUIPMENT &amp; OTHER HPs'!BC14,0)))),0)</f>
        <v>0</v>
      </c>
      <c r="N491" s="920">
        <f>IF(SETUP!$F$40="At delivery",IF(SETUP!$G$40=4,$E$489*'TB-EQUIPMENT &amp; OTHER HPs'!BA14,IF(SETUP!$G$40=3,$E$489*'TB-EQUIPMENT &amp; OTHER HPs'!BB14,IF(SETUP!$G$40=2,$E$489*'TB-EQUIPMENT &amp; OTHER HPs'!BC14,IF(SETUP!$G$40=1,$E$489*'TB-EQUIPMENT &amp; OTHER HPs'!BD14,0)))),0)</f>
        <v>0</v>
      </c>
      <c r="O491" s="920">
        <f t="shared" si="74"/>
        <v>0</v>
      </c>
      <c r="P491" s="1016">
        <f>IF(SETUP!$F$40="At delivery",IF(SETUP!$G$40=4,$E$489*'TB-EQUIPMENT &amp; OTHER HPs'!BB14,IF(SETUP!$G$40=3,$E$489*'TB-EQUIPMENT &amp; OTHER HPs'!BC14,IF(SETUP!$G$40=2,$E$489*'TB-EQUIPMENT &amp; OTHER HPs'!BD14,IF(SETUP!$G$40=1,$E$489*'TB-EQUIPMENT &amp; OTHER HPs'!BE14,0)))),0)</f>
        <v>0</v>
      </c>
      <c r="Q491" s="920">
        <f>IF(SETUP!$F$40="At delivery",IF(SETUP!$G$40=4,$E$489*'TB-EQUIPMENT &amp; OTHER HPs'!BC14,IF(SETUP!$G$40=3,$E$489*'TB-EQUIPMENT &amp; OTHER HPs'!BD14,IF(SETUP!$G$40=2,$E$489*'TB-EQUIPMENT &amp; OTHER HPs'!BE14,IF(SETUP!$G$40=1,$E$489*'TB-EQUIPMENT &amp; OTHER HPs'!BF14,0)))),0)</f>
        <v>0</v>
      </c>
      <c r="R491" s="920">
        <f>IF(SETUP!$F$40="At delivery",IF(SETUP!$G$40=4,$E$489*'TB-EQUIPMENT &amp; OTHER HPs'!BD14,IF(SETUP!$G$40=3,$E$489*'TB-EQUIPMENT &amp; OTHER HPs'!BE14,IF(SETUP!$G$40=2,$E$489*'TB-EQUIPMENT &amp; OTHER HPs'!BF14,IF(SETUP!$G$40=1,$E$489*'TB-EQUIPMENT &amp; OTHER HPs'!BG14,0)))),0)</f>
        <v>0</v>
      </c>
      <c r="S491" s="920">
        <f>IF(SETUP!$F$40="At delivery",IF(SETUP!$G$40=4,$E$489*('TB-EQUIPMENT &amp; OTHER HPs'!BE14+'TB-EQUIPMENT &amp; OTHER HPs'!BF14+'TB-EQUIPMENT &amp; OTHER HPs'!BG14+'TB-EQUIPMENT &amp; OTHER HPs'!BH14+'TB-EQUIPMENT &amp; OTHER HPs'!BI14),IF(SETUP!$G$40=3,$E$489*('TB-EQUIPMENT &amp; OTHER HPs'!BF14+'TB-EQUIPMENT &amp; OTHER HPs'!BG14+'TB-EQUIPMENT &amp; OTHER HPs'!BH14+'TB-EQUIPMENT &amp; OTHER HPs'!BI14),IF(SETUP!$G$40=2,$E$489*('TB-EQUIPMENT &amp; OTHER HPs'!BG14+'TB-EQUIPMENT &amp; OTHER HPs'!BH14+'TB-EQUIPMENT &amp; OTHER HPs'!BI14),IF(SETUP!$G$40=1,$E$489*('TB-EQUIPMENT &amp; OTHER HPs'!BH14+'TB-EQUIPMENT &amp; OTHER HPs'!BI14),0)))),0)</f>
        <v>0</v>
      </c>
      <c r="T491" s="920">
        <f t="shared" si="75"/>
        <v>0</v>
      </c>
      <c r="U491" s="1016">
        <f t="shared" si="76"/>
        <v>0</v>
      </c>
      <c r="V491" s="1344">
        <v>7.4</v>
      </c>
      <c r="W491" s="2011"/>
      <c r="X491" s="575"/>
      <c r="Y491" s="1350"/>
      <c r="Z491" s="655"/>
      <c r="AA491" s="686"/>
      <c r="AB491" s="686"/>
      <c r="AC491" s="686"/>
      <c r="AD491" s="686"/>
      <c r="AE491" s="686"/>
      <c r="AF491" s="686"/>
      <c r="AG491" s="686"/>
      <c r="AH491" s="687"/>
      <c r="AI491" s="686"/>
      <c r="AJ491" s="686"/>
      <c r="AK491" s="686"/>
      <c r="AL491" s="686"/>
      <c r="AM491" s="686"/>
      <c r="AN491" s="686"/>
      <c r="AO491" s="686"/>
      <c r="AP491" s="686"/>
      <c r="AQ491" s="686"/>
      <c r="AR491" s="686"/>
      <c r="AS491" s="686"/>
      <c r="AT491" s="686"/>
      <c r="AU491" s="686"/>
      <c r="AV491" s="686"/>
      <c r="AW491" s="686"/>
      <c r="AX491" s="686"/>
      <c r="AY491" s="686"/>
      <c r="AZ491" s="686"/>
      <c r="BA491" s="686"/>
      <c r="BB491" s="686"/>
      <c r="BC491" s="686"/>
      <c r="BD491" s="686"/>
      <c r="BE491" s="686"/>
      <c r="BF491" s="686"/>
      <c r="BG491" s="686"/>
      <c r="BH491" s="686"/>
      <c r="BI491" s="686"/>
      <c r="BJ491" s="686"/>
      <c r="BK491" s="686"/>
      <c r="BL491" s="686"/>
      <c r="BM491" s="686"/>
      <c r="BN491" s="686"/>
      <c r="BO491" s="686"/>
      <c r="BP491" s="686"/>
      <c r="BQ491" s="686"/>
      <c r="BR491" s="686"/>
      <c r="BS491" s="686"/>
      <c r="BT491" s="686"/>
    </row>
    <row r="492" spans="1:72" s="688" customFormat="1" ht="13.5" hidden="1" collapsed="1" thickBot="1">
      <c r="A492" s="3186"/>
      <c r="B492" s="3187"/>
      <c r="C492" s="3188" t="s">
        <v>1348</v>
      </c>
      <c r="D492" s="3188"/>
      <c r="E492" s="1245">
        <v>0</v>
      </c>
      <c r="F492" s="1016">
        <f>IF(SETUP!$F$41="Upfront",F493,F494)</f>
        <v>0</v>
      </c>
      <c r="G492" s="920">
        <f>IF(SETUP!$F$41="Upfront",G493,G494)</f>
        <v>0</v>
      </c>
      <c r="H492" s="920">
        <f>IF(SETUP!$F$41="Upfront",H493,H494)</f>
        <v>0</v>
      </c>
      <c r="I492" s="920">
        <f>IF(SETUP!$F$41="Upfront",I493,I494)</f>
        <v>0</v>
      </c>
      <c r="J492" s="920">
        <f t="shared" si="73"/>
        <v>0</v>
      </c>
      <c r="K492" s="1016">
        <f>IF(SETUP!$F$41="Upfront",K493,K494)</f>
        <v>0</v>
      </c>
      <c r="L492" s="920">
        <f>IF(SETUP!$F$41="Upfront",L493,L494)</f>
        <v>0</v>
      </c>
      <c r="M492" s="920">
        <f>IF(SETUP!$F$41="Upfront",M493,M494)</f>
        <v>0</v>
      </c>
      <c r="N492" s="920">
        <f>IF(SETUP!$F$41="Upfront",N493,N494)</f>
        <v>0</v>
      </c>
      <c r="O492" s="920">
        <f t="shared" si="74"/>
        <v>0</v>
      </c>
      <c r="P492" s="1016">
        <f>IF(SETUP!$F$41="Upfront",P493,P494)</f>
        <v>0</v>
      </c>
      <c r="Q492" s="920">
        <f>IF(SETUP!$F$41="Upfront",Q493,Q494)</f>
        <v>0</v>
      </c>
      <c r="R492" s="920">
        <f>IF(SETUP!$F$41="Upfront",R493,R494)</f>
        <v>0</v>
      </c>
      <c r="S492" s="920">
        <f>IF(SETUP!$F$41="Upfront",S493,S494)</f>
        <v>0</v>
      </c>
      <c r="T492" s="920">
        <f t="shared" si="75"/>
        <v>0</v>
      </c>
      <c r="U492" s="1016">
        <f t="shared" si="76"/>
        <v>0</v>
      </c>
      <c r="V492" s="1344">
        <v>7.4</v>
      </c>
      <c r="W492" s="2011"/>
      <c r="X492" s="575"/>
      <c r="Y492" s="1350"/>
      <c r="Z492" s="655"/>
      <c r="AA492" s="686"/>
      <c r="AB492" s="686"/>
      <c r="AC492" s="686"/>
      <c r="AD492" s="686"/>
      <c r="AE492" s="686"/>
      <c r="AF492" s="686"/>
      <c r="AG492" s="686"/>
      <c r="AH492" s="687"/>
      <c r="AI492" s="686"/>
      <c r="AJ492" s="686"/>
      <c r="AK492" s="686"/>
      <c r="AL492" s="686"/>
      <c r="AM492" s="686"/>
      <c r="AN492" s="686"/>
      <c r="AO492" s="686"/>
      <c r="AP492" s="686"/>
      <c r="AQ492" s="686"/>
      <c r="AR492" s="686"/>
      <c r="AS492" s="686"/>
      <c r="AT492" s="686"/>
      <c r="AU492" s="686"/>
      <c r="AV492" s="686"/>
      <c r="AW492" s="686"/>
      <c r="AX492" s="686"/>
      <c r="AY492" s="686"/>
      <c r="AZ492" s="686"/>
      <c r="BA492" s="686"/>
      <c r="BB492" s="686"/>
      <c r="BC492" s="686"/>
      <c r="BD492" s="686"/>
      <c r="BE492" s="686"/>
      <c r="BF492" s="686"/>
      <c r="BG492" s="686"/>
      <c r="BH492" s="686"/>
      <c r="BI492" s="686"/>
      <c r="BJ492" s="686"/>
      <c r="BK492" s="686"/>
      <c r="BL492" s="686"/>
      <c r="BM492" s="686"/>
      <c r="BN492" s="686"/>
      <c r="BO492" s="686"/>
      <c r="BP492" s="686"/>
      <c r="BQ492" s="686"/>
      <c r="BR492" s="686"/>
      <c r="BS492" s="686"/>
      <c r="BT492" s="686"/>
    </row>
    <row r="493" spans="1:72" s="688" customFormat="1" ht="12.75" hidden="1" customHeight="1" outlineLevel="1">
      <c r="A493" s="3186"/>
      <c r="B493" s="3187"/>
      <c r="C493" s="3182" t="s">
        <v>777</v>
      </c>
      <c r="D493" s="3182"/>
      <c r="E493" s="1990"/>
      <c r="F493" s="1016">
        <f>IF(SETUP!$F$41="Upfront",$E$492*'TB-EQUIPMENT &amp; OTHER HPs'!AX15,0)</f>
        <v>0</v>
      </c>
      <c r="G493" s="920">
        <f>IF(SETUP!$F$41="Upfront",$E$492*'TB-EQUIPMENT &amp; OTHER HPs'!AY15,0)</f>
        <v>0</v>
      </c>
      <c r="H493" s="920">
        <f>IF(SETUP!$F$41="Upfront",$E$492*'TB-EQUIPMENT &amp; OTHER HPs'!AZ15,0)</f>
        <v>0</v>
      </c>
      <c r="I493" s="920">
        <f>IF(SETUP!$F$41="Upfront",$E$492*'TB-EQUIPMENT &amp; OTHER HPs'!BA15,0)</f>
        <v>0</v>
      </c>
      <c r="J493" s="920">
        <f t="shared" si="73"/>
        <v>0</v>
      </c>
      <c r="K493" s="1016">
        <f>IF(SETUP!$F$41="Upfront",$E$492*'TB-EQUIPMENT &amp; OTHER HPs'!BB15,0)</f>
        <v>0</v>
      </c>
      <c r="L493" s="920">
        <f>IF(SETUP!$F$41="Upfront",$E$492*'TB-EQUIPMENT &amp; OTHER HPs'!BC15,0)</f>
        <v>0</v>
      </c>
      <c r="M493" s="920">
        <f>IF(SETUP!$F$41="Upfront",$E$492*'TB-EQUIPMENT &amp; OTHER HPs'!BD15,0)</f>
        <v>0</v>
      </c>
      <c r="N493" s="920">
        <f>IF(SETUP!$F$41="Upfront",$E$492*'TB-EQUIPMENT &amp; OTHER HPs'!BE15,0)</f>
        <v>0</v>
      </c>
      <c r="O493" s="920">
        <f t="shared" si="74"/>
        <v>0</v>
      </c>
      <c r="P493" s="1016">
        <f>IF(SETUP!$F$41="Upfront",$E$492*'TB-EQUIPMENT &amp; OTHER HPs'!BF15,0)</f>
        <v>0</v>
      </c>
      <c r="Q493" s="920">
        <f>IF(SETUP!$F$41="Upfront",$E$492*'TB-EQUIPMENT &amp; OTHER HPs'!BG15,0)</f>
        <v>0</v>
      </c>
      <c r="R493" s="920">
        <f>IF(SETUP!$F$41="Upfront",$E$492*'TB-EQUIPMENT &amp; OTHER HPs'!BH15,0)</f>
        <v>0</v>
      </c>
      <c r="S493" s="920">
        <f>IF(SETUP!$F$41="Upfront",$E$492*'TB-EQUIPMENT &amp; OTHER HPs'!BI15,0)</f>
        <v>0</v>
      </c>
      <c r="T493" s="920">
        <f t="shared" si="75"/>
        <v>0</v>
      </c>
      <c r="U493" s="1016">
        <f t="shared" si="76"/>
        <v>0</v>
      </c>
      <c r="V493" s="1344">
        <v>7.4</v>
      </c>
      <c r="W493" s="2011"/>
      <c r="X493" s="575"/>
      <c r="Y493" s="1350"/>
      <c r="Z493" s="655"/>
      <c r="AA493" s="686"/>
      <c r="AB493" s="686"/>
      <c r="AC493" s="686"/>
      <c r="AD493" s="686"/>
      <c r="AE493" s="686"/>
      <c r="AF493" s="686"/>
      <c r="AG493" s="686"/>
      <c r="AH493" s="687"/>
      <c r="AI493" s="686"/>
      <c r="AJ493" s="686"/>
      <c r="AK493" s="686"/>
      <c r="AL493" s="686"/>
      <c r="AM493" s="686"/>
      <c r="AN493" s="686"/>
      <c r="AO493" s="686"/>
      <c r="AP493" s="686"/>
      <c r="AQ493" s="686"/>
      <c r="AR493" s="686"/>
      <c r="AS493" s="686"/>
      <c r="AT493" s="686"/>
      <c r="AU493" s="686"/>
      <c r="AV493" s="686"/>
      <c r="AW493" s="686"/>
      <c r="AX493" s="686"/>
      <c r="AY493" s="686"/>
      <c r="AZ493" s="686"/>
      <c r="BA493" s="686"/>
      <c r="BB493" s="686"/>
      <c r="BC493" s="686"/>
      <c r="BD493" s="686"/>
      <c r="BE493" s="686"/>
      <c r="BF493" s="686"/>
      <c r="BG493" s="686"/>
      <c r="BH493" s="686"/>
      <c r="BI493" s="686"/>
      <c r="BJ493" s="686"/>
      <c r="BK493" s="686"/>
      <c r="BL493" s="686"/>
      <c r="BM493" s="686"/>
      <c r="BN493" s="686"/>
      <c r="BO493" s="686"/>
      <c r="BP493" s="686"/>
      <c r="BQ493" s="686"/>
      <c r="BR493" s="686"/>
      <c r="BS493" s="686"/>
      <c r="BT493" s="686"/>
    </row>
    <row r="494" spans="1:72" s="688" customFormat="1" ht="12.75" hidden="1" customHeight="1" outlineLevel="1" thickBot="1">
      <c r="A494" s="3186"/>
      <c r="B494" s="3187"/>
      <c r="C494" s="3182" t="s">
        <v>36</v>
      </c>
      <c r="D494" s="3182"/>
      <c r="E494" s="1990"/>
      <c r="F494" s="1016">
        <v>0</v>
      </c>
      <c r="G494" s="920">
        <f>IF(SETUP!$F$41="At delivery",IF(SETUP!$G$41=1,$E$492*'TB-EQUIPMENT &amp; OTHER HPs'!AX15,0),0)</f>
        <v>0</v>
      </c>
      <c r="H494" s="920">
        <f>IF(SETUP!$F$41="At delivery",IF(SETUP!$G$41=2,$E$492*'TB-EQUIPMENT &amp; OTHER HPs'!AX15,IF(SETUP!$G$41=1,$E$492*'TB-EQUIPMENT &amp; OTHER HPs'!AY15,0)),0)</f>
        <v>0</v>
      </c>
      <c r="I494" s="920">
        <f>IF(SETUP!$F$41="At delivery",IF(SETUP!$G$41=3,$E$492*'TB-EQUIPMENT &amp; OTHER HPs'!AX15,IF(SETUP!$G$41=2,$E$492*'TB-EQUIPMENT &amp; OTHER HPs'!AY15,IF(SETUP!$G$41=1,$E$492*'TB-EQUIPMENT &amp; OTHER HPs'!AZ15,0))),0)</f>
        <v>0</v>
      </c>
      <c r="J494" s="920">
        <f t="shared" si="73"/>
        <v>0</v>
      </c>
      <c r="K494" s="1016">
        <f>IF(SETUP!$F$41="At delivery",IF(SETUP!$G$41=4,$E$492*'TB-EQUIPMENT &amp; OTHER HPs'!AX15,IF(SETUP!$G$41=3,$E$492*'TB-EQUIPMENT &amp; OTHER HPs'!AY15,IF(SETUP!$G$41=2,$E$492*'TB-EQUIPMENT &amp; OTHER HPs'!AZ15,IF(SETUP!$G$41=1,$E$492*'TB-EQUIPMENT &amp; OTHER HPs'!BA15,0)))),0)</f>
        <v>0</v>
      </c>
      <c r="L494" s="920">
        <f>IF(SETUP!$F$41="At delivery",IF(SETUP!$G$41=4,$E$492*'TB-EQUIPMENT &amp; OTHER HPs'!AY15,IF(SETUP!$G$41=3,$E$492*'TB-EQUIPMENT &amp; OTHER HPs'!AZ15,IF(SETUP!$G$41=2,$E$492*'TB-EQUIPMENT &amp; OTHER HPs'!BA15,IF(SETUP!$G$41=1,$E$492*'TB-EQUIPMENT &amp; OTHER HPs'!BB15,0)))),0)</f>
        <v>0</v>
      </c>
      <c r="M494" s="920">
        <f>IF(SETUP!$F$41="At delivery",IF(SETUP!$G$41=4,$E$492*'TB-EQUIPMENT &amp; OTHER HPs'!AZ15,IF(SETUP!$G$41=3,$E$492*'TB-EQUIPMENT &amp; OTHER HPs'!BA15,IF(SETUP!$G$41=2,$E$492*'TB-EQUIPMENT &amp; OTHER HPs'!BB15,IF(SETUP!$G$41=1,$E$492*'TB-EQUIPMENT &amp; OTHER HPs'!BC15,0)))),0)</f>
        <v>0</v>
      </c>
      <c r="N494" s="920">
        <f>IF(SETUP!$F$41="At delivery",IF(SETUP!$G$41=4,$E$492*'TB-EQUIPMENT &amp; OTHER HPs'!BA15,IF(SETUP!$G$41=3,$E$492*'TB-EQUIPMENT &amp; OTHER HPs'!BB15,IF(SETUP!$G$41=2,$E$492*'TB-EQUIPMENT &amp; OTHER HPs'!BC15,IF(SETUP!$G$41=1,$E$492*'TB-EQUIPMENT &amp; OTHER HPs'!BD15,0)))),0)</f>
        <v>0</v>
      </c>
      <c r="O494" s="920">
        <f t="shared" si="74"/>
        <v>0</v>
      </c>
      <c r="P494" s="1016">
        <f>IF(SETUP!$F$41="At delivery",IF(SETUP!$G$41=4,$E$492*'TB-EQUIPMENT &amp; OTHER HPs'!BB15,IF(SETUP!$G$41=3,$E$492*'TB-EQUIPMENT &amp; OTHER HPs'!BC15,IF(SETUP!$G$41=2,$E$492*'TB-EQUIPMENT &amp; OTHER HPs'!BD15,IF(SETUP!$G$41=1,$E$492*'TB-EQUIPMENT &amp; OTHER HPs'!BE15,0)))),0)</f>
        <v>0</v>
      </c>
      <c r="Q494" s="920">
        <f>IF(SETUP!$F$41="At delivery",IF(SETUP!$G$41=4,$E$492*'TB-EQUIPMENT &amp; OTHER HPs'!BC15,IF(SETUP!$G$41=3,$E$492*'TB-EQUIPMENT &amp; OTHER HPs'!BD15,IF(SETUP!$G$41=2,$E$492*'TB-EQUIPMENT &amp; OTHER HPs'!BE15,IF(SETUP!$G$41=1,$E$492*'TB-EQUIPMENT &amp; OTHER HPs'!BF15,0)))),0)</f>
        <v>0</v>
      </c>
      <c r="R494" s="920">
        <f>IF(SETUP!$F$41="At delivery",IF(SETUP!$G$41=4,$E$492*'TB-EQUIPMENT &amp; OTHER HPs'!BD15,IF(SETUP!$G$41=3,$E$492*'TB-EQUIPMENT &amp; OTHER HPs'!BE15,IF(SETUP!$G$41=2,$E$492*'TB-EQUIPMENT &amp; OTHER HPs'!BF15,IF(SETUP!$G$41=1,$E$492*'TB-EQUIPMENT &amp; OTHER HPs'!BG15,0)))),0)</f>
        <v>0</v>
      </c>
      <c r="S494" s="920">
        <f>IF(SETUP!$F$41="At delivery",IF(SETUP!$G$41=4,$E$492*('TB-EQUIPMENT &amp; OTHER HPs'!BE15+'TB-EQUIPMENT &amp; OTHER HPs'!BF15+'TB-EQUIPMENT &amp; OTHER HPs'!BG15+'TB-EQUIPMENT &amp; OTHER HPs'!BH15+'TB-EQUIPMENT &amp; OTHER HPs'!BI15),IF(SETUP!$G$41=3,$E$492*('TB-EQUIPMENT &amp; OTHER HPs'!BF15+'TB-EQUIPMENT &amp; OTHER HPs'!BG15+'TB-EQUIPMENT &amp; OTHER HPs'!BH15+'TB-EQUIPMENT &amp; OTHER HPs'!BI15),IF(SETUP!$G$41=2,$E$492*('TB-EQUIPMENT &amp; OTHER HPs'!BG15+'TB-EQUIPMENT &amp; OTHER HPs'!BH15+'TB-EQUIPMENT &amp; OTHER HPs'!BI15),IF(SETUP!$G$41=1,$E$492*('TB-EQUIPMENT &amp; OTHER HPs'!BH15+'TB-EQUIPMENT &amp; OTHER HPs'!BI15),0)))),0)</f>
        <v>0</v>
      </c>
      <c r="T494" s="920">
        <f t="shared" si="75"/>
        <v>0</v>
      </c>
      <c r="U494" s="1016">
        <f t="shared" si="76"/>
        <v>0</v>
      </c>
      <c r="V494" s="1344">
        <v>7.4</v>
      </c>
      <c r="W494" s="2011"/>
      <c r="X494" s="575"/>
      <c r="Y494" s="1350"/>
      <c r="Z494" s="655"/>
      <c r="AA494" s="686"/>
      <c r="AB494" s="686"/>
      <c r="AC494" s="686"/>
      <c r="AD494" s="686"/>
      <c r="AE494" s="686"/>
      <c r="AF494" s="686"/>
      <c r="AG494" s="686"/>
      <c r="AH494" s="687"/>
      <c r="AI494" s="686"/>
      <c r="AJ494" s="686"/>
      <c r="AK494" s="686"/>
      <c r="AL494" s="686"/>
      <c r="AM494" s="686"/>
      <c r="AN494" s="686"/>
      <c r="AO494" s="686"/>
      <c r="AP494" s="686"/>
      <c r="AQ494" s="686"/>
      <c r="AR494" s="686"/>
      <c r="AS494" s="686"/>
      <c r="AT494" s="686"/>
      <c r="AU494" s="686"/>
      <c r="AV494" s="686"/>
      <c r="AW494" s="686"/>
      <c r="AX494" s="686"/>
      <c r="AY494" s="686"/>
      <c r="AZ494" s="686"/>
      <c r="BA494" s="686"/>
      <c r="BB494" s="686"/>
      <c r="BC494" s="686"/>
      <c r="BD494" s="686"/>
      <c r="BE494" s="686"/>
      <c r="BF494" s="686"/>
      <c r="BG494" s="686"/>
      <c r="BH494" s="686"/>
      <c r="BI494" s="686"/>
      <c r="BJ494" s="686"/>
      <c r="BK494" s="686"/>
      <c r="BL494" s="686"/>
      <c r="BM494" s="686"/>
      <c r="BN494" s="686"/>
      <c r="BO494" s="686"/>
      <c r="BP494" s="686"/>
      <c r="BQ494" s="686"/>
      <c r="BR494" s="686"/>
      <c r="BS494" s="686"/>
      <c r="BT494" s="686"/>
    </row>
    <row r="495" spans="1:72" s="688" customFormat="1" ht="13.5" hidden="1" collapsed="1" thickBot="1">
      <c r="A495" s="3186"/>
      <c r="B495" s="3187"/>
      <c r="C495" s="3188" t="s">
        <v>1354</v>
      </c>
      <c r="D495" s="3188"/>
      <c r="E495" s="1245">
        <v>0</v>
      </c>
      <c r="F495" s="1016">
        <f>IF(SETUP!$F$43="Upfront",F496,F497)</f>
        <v>0</v>
      </c>
      <c r="G495" s="920">
        <f>IF(SETUP!$F$43="Upfront",G496,G497)</f>
        <v>0</v>
      </c>
      <c r="H495" s="920">
        <f>IF(SETUP!$F$43="Upfront",H496,H497)</f>
        <v>0</v>
      </c>
      <c r="I495" s="920">
        <f>IF(SETUP!$F$43="Upfront",I496,I497)</f>
        <v>0</v>
      </c>
      <c r="J495" s="920">
        <f t="shared" si="73"/>
        <v>0</v>
      </c>
      <c r="K495" s="1016">
        <f>IF(SETUP!$F$43="Upfront",K496,K497)</f>
        <v>0</v>
      </c>
      <c r="L495" s="920">
        <f>IF(SETUP!$F$43="Upfront",L496,L497)</f>
        <v>0</v>
      </c>
      <c r="M495" s="920">
        <f>IF(SETUP!$F$43="Upfront",M496,M497)</f>
        <v>0</v>
      </c>
      <c r="N495" s="920">
        <f>IF(SETUP!$F$43="Upfront",N496,N497)</f>
        <v>0</v>
      </c>
      <c r="O495" s="920">
        <f t="shared" si="74"/>
        <v>0</v>
      </c>
      <c r="P495" s="1016">
        <f>IF(SETUP!$F$43="Upfront",P496,P497)</f>
        <v>0</v>
      </c>
      <c r="Q495" s="920">
        <f>IF(SETUP!$F$43="Upfront",Q496,Q497)</f>
        <v>0</v>
      </c>
      <c r="R495" s="920">
        <f>IF(SETUP!$F$43="Upfront",R496,R497)</f>
        <v>0</v>
      </c>
      <c r="S495" s="920">
        <f>IF(SETUP!$F$43="Upfront",S496,S497)</f>
        <v>0</v>
      </c>
      <c r="T495" s="920">
        <f t="shared" si="75"/>
        <v>0</v>
      </c>
      <c r="U495" s="1016">
        <f t="shared" si="76"/>
        <v>0</v>
      </c>
      <c r="V495" s="1344">
        <v>7.4</v>
      </c>
      <c r="W495" s="2011"/>
      <c r="X495" s="575"/>
      <c r="Y495" s="1350"/>
      <c r="Z495" s="655"/>
      <c r="AA495" s="686"/>
      <c r="AB495" s="686"/>
      <c r="AC495" s="686"/>
      <c r="AD495" s="686"/>
      <c r="AE495" s="686"/>
      <c r="AF495" s="686"/>
      <c r="AG495" s="686"/>
      <c r="AH495" s="687"/>
      <c r="AI495" s="686"/>
      <c r="AJ495" s="686"/>
      <c r="AK495" s="686"/>
      <c r="AL495" s="686"/>
      <c r="AM495" s="686"/>
      <c r="AN495" s="686"/>
      <c r="AO495" s="686"/>
      <c r="AP495" s="686"/>
      <c r="AQ495" s="686"/>
      <c r="AR495" s="686"/>
      <c r="AS495" s="686"/>
      <c r="AT495" s="686"/>
      <c r="AU495" s="686"/>
      <c r="AV495" s="686"/>
      <c r="AW495" s="686"/>
      <c r="AX495" s="686"/>
      <c r="AY495" s="686"/>
      <c r="AZ495" s="686"/>
      <c r="BA495" s="686"/>
      <c r="BB495" s="686"/>
      <c r="BC495" s="686"/>
      <c r="BD495" s="686"/>
      <c r="BE495" s="686"/>
      <c r="BF495" s="686"/>
      <c r="BG495" s="686"/>
      <c r="BH495" s="686"/>
      <c r="BI495" s="686"/>
      <c r="BJ495" s="686"/>
      <c r="BK495" s="686"/>
      <c r="BL495" s="686"/>
      <c r="BM495" s="686"/>
      <c r="BN495" s="686"/>
      <c r="BO495" s="686"/>
      <c r="BP495" s="686"/>
      <c r="BQ495" s="686"/>
      <c r="BR495" s="686"/>
      <c r="BS495" s="686"/>
      <c r="BT495" s="686"/>
    </row>
    <row r="496" spans="1:72" s="688" customFormat="1" ht="12.75" hidden="1" customHeight="1" outlineLevel="1">
      <c r="A496" s="3186"/>
      <c r="B496" s="3187"/>
      <c r="C496" s="3182" t="s">
        <v>777</v>
      </c>
      <c r="D496" s="3182"/>
      <c r="E496" s="1246"/>
      <c r="F496" s="1016">
        <f>IF(SETUP!$F$43="Upfront",$E$495*'TB-EQUIPMENT &amp; OTHER HPs'!AX16,0)</f>
        <v>0</v>
      </c>
      <c r="G496" s="920">
        <f>IF(SETUP!$F$43="Upfront",$E$495*'TB-EQUIPMENT &amp; OTHER HPs'!AY16,0)</f>
        <v>0</v>
      </c>
      <c r="H496" s="920">
        <f>IF(SETUP!$F$43="Upfront",$E$495*'TB-EQUIPMENT &amp; OTHER HPs'!AZ16,0)</f>
        <v>0</v>
      </c>
      <c r="I496" s="920">
        <f>IF(SETUP!$F$43="Upfront",$E$495*'TB-EQUIPMENT &amp; OTHER HPs'!BA16,0)</f>
        <v>0</v>
      </c>
      <c r="J496" s="920">
        <f t="shared" si="73"/>
        <v>0</v>
      </c>
      <c r="K496" s="1016">
        <f>IF(SETUP!$F$43="Upfront",$E$495*'TB-EQUIPMENT &amp; OTHER HPs'!BB16,0)</f>
        <v>0</v>
      </c>
      <c r="L496" s="920">
        <f>IF(SETUP!$F$43="Upfront",$E$495*'TB-EQUIPMENT &amp; OTHER HPs'!BC16,0)</f>
        <v>0</v>
      </c>
      <c r="M496" s="920">
        <f>IF(SETUP!$F$43="Upfront",$E$495*'TB-EQUIPMENT &amp; OTHER HPs'!BD16,0)</f>
        <v>0</v>
      </c>
      <c r="N496" s="920">
        <f>IF(SETUP!$F$43="Upfront",$E$495*'TB-EQUIPMENT &amp; OTHER HPs'!BE16,0)</f>
        <v>0</v>
      </c>
      <c r="O496" s="920">
        <f t="shared" si="74"/>
        <v>0</v>
      </c>
      <c r="P496" s="1016">
        <f>IF(SETUP!$F$43="Upfront",$E$495*'TB-EQUIPMENT &amp; OTHER HPs'!BF16,0)</f>
        <v>0</v>
      </c>
      <c r="Q496" s="920">
        <f>IF(SETUP!$F$43="Upfront",$E$495*'TB-EQUIPMENT &amp; OTHER HPs'!BG16,0)</f>
        <v>0</v>
      </c>
      <c r="R496" s="920">
        <f>IF(SETUP!$F$43="Upfront",$E$495*'TB-EQUIPMENT &amp; OTHER HPs'!BH16,0)</f>
        <v>0</v>
      </c>
      <c r="S496" s="920">
        <f>IF(SETUP!$F$43="Upfront",$E$495*'TB-EQUIPMENT &amp; OTHER HPs'!BI16,0)</f>
        <v>0</v>
      </c>
      <c r="T496" s="920">
        <f t="shared" si="75"/>
        <v>0</v>
      </c>
      <c r="U496" s="1016">
        <f t="shared" si="76"/>
        <v>0</v>
      </c>
      <c r="V496" s="1344">
        <v>7.4</v>
      </c>
      <c r="W496" s="2011"/>
      <c r="X496" s="575"/>
      <c r="Y496" s="1350"/>
      <c r="Z496" s="655"/>
      <c r="AA496" s="686"/>
      <c r="AB496" s="686"/>
      <c r="AC496" s="686"/>
      <c r="AD496" s="686"/>
      <c r="AE496" s="686"/>
      <c r="AF496" s="686"/>
      <c r="AG496" s="686"/>
      <c r="AH496" s="687"/>
      <c r="AI496" s="686"/>
      <c r="AJ496" s="686"/>
      <c r="AK496" s="686"/>
      <c r="AL496" s="686"/>
      <c r="AM496" s="686"/>
      <c r="AN496" s="686"/>
      <c r="AO496" s="686"/>
      <c r="AP496" s="686"/>
      <c r="AQ496" s="686"/>
      <c r="AR496" s="686"/>
      <c r="AS496" s="686"/>
      <c r="AT496" s="686"/>
      <c r="AU496" s="686"/>
      <c r="AV496" s="686"/>
      <c r="AW496" s="686"/>
      <c r="AX496" s="686"/>
      <c r="AY496" s="686"/>
      <c r="AZ496" s="686"/>
      <c r="BA496" s="686"/>
      <c r="BB496" s="686"/>
      <c r="BC496" s="686"/>
      <c r="BD496" s="686"/>
      <c r="BE496" s="686"/>
      <c r="BF496" s="686"/>
      <c r="BG496" s="686"/>
      <c r="BH496" s="686"/>
      <c r="BI496" s="686"/>
      <c r="BJ496" s="686"/>
      <c r="BK496" s="686"/>
      <c r="BL496" s="686"/>
      <c r="BM496" s="686"/>
      <c r="BN496" s="686"/>
      <c r="BO496" s="686"/>
      <c r="BP496" s="686"/>
      <c r="BQ496" s="686"/>
      <c r="BR496" s="686"/>
      <c r="BS496" s="686"/>
      <c r="BT496" s="686"/>
    </row>
    <row r="497" spans="1:72" s="688" customFormat="1" ht="12.75" hidden="1" customHeight="1" outlineLevel="1" thickBot="1">
      <c r="A497" s="3186"/>
      <c r="B497" s="3187"/>
      <c r="C497" s="3182" t="s">
        <v>36</v>
      </c>
      <c r="D497" s="3182"/>
      <c r="E497" s="1246"/>
      <c r="F497" s="1016">
        <v>0</v>
      </c>
      <c r="G497" s="920">
        <f>IF(SETUP!$F$43="At delivery",IF(SETUP!$G$43=1,$E$495*'TB-EQUIPMENT &amp; OTHER HPs'!AX16,0),0)</f>
        <v>0</v>
      </c>
      <c r="H497" s="920">
        <f>IF(SETUP!$F$43="At delivery",IF(SETUP!$G$43=2,$E$495*'TB-EQUIPMENT &amp; OTHER HPs'!AX16,IF(SETUP!$G$43=1,$E$495*'TB-EQUIPMENT &amp; OTHER HPs'!AY16,0)),0)</f>
        <v>0</v>
      </c>
      <c r="I497" s="920">
        <f>IF(SETUP!$F$43="At delivery",IF(SETUP!$G$43=3,$E$495*'TB-EQUIPMENT &amp; OTHER HPs'!AX16,IF(SETUP!$G$43=2,$E$495*'TB-EQUIPMENT &amp; OTHER HPs'!AY16,IF(SETUP!$G$43=1,$E$495*'TB-EQUIPMENT &amp; OTHER HPs'!AZ16,0))),0)</f>
        <v>0</v>
      </c>
      <c r="J497" s="920">
        <f t="shared" si="73"/>
        <v>0</v>
      </c>
      <c r="K497" s="1016">
        <f>IF(SETUP!$F$43="At delivery",IF(SETUP!$G$43=4,$E$495*'TB-EQUIPMENT &amp; OTHER HPs'!AX16,IF(SETUP!$G$43=3,$E$495*'TB-EQUIPMENT &amp; OTHER HPs'!AY16,IF(SETUP!$G$43=2,$E$495*'TB-EQUIPMENT &amp; OTHER HPs'!AZ16,IF(SETUP!$G$43=1,$E$495*'TB-EQUIPMENT &amp; OTHER HPs'!BA16,0)))),0)</f>
        <v>0</v>
      </c>
      <c r="L497" s="920">
        <f>IF(SETUP!$F$43="At delivery",IF(SETUP!$G$43=4,$E$495*'TB-EQUIPMENT &amp; OTHER HPs'!AY16,IF(SETUP!$G$43=3,$E$495*'TB-EQUIPMENT &amp; OTHER HPs'!AZ16,IF(SETUP!$G$43=2,$E$495*'TB-EQUIPMENT &amp; OTHER HPs'!BA16,IF(SETUP!$G$43=1,$E$495*'TB-EQUIPMENT &amp; OTHER HPs'!BB16,0)))),0)</f>
        <v>0</v>
      </c>
      <c r="M497" s="920">
        <f>IF(SETUP!$F$43="At delivery",IF(SETUP!$G$43=4,$E$495*'TB-EQUIPMENT &amp; OTHER HPs'!AZ16,IF(SETUP!$G$43=3,$E$495*'TB-EQUIPMENT &amp; OTHER HPs'!BA16,IF(SETUP!$G$43=2,$E$495*'TB-EQUIPMENT &amp; OTHER HPs'!BB16,IF(SETUP!$G$43=1,$E$495*'TB-EQUIPMENT &amp; OTHER HPs'!BC16,0)))),0)</f>
        <v>0</v>
      </c>
      <c r="N497" s="920">
        <f>IF(SETUP!$F$43="At delivery",IF(SETUP!$G$43=4,$E$495*'TB-EQUIPMENT &amp; OTHER HPs'!BA16,IF(SETUP!$G$43=3,$E$495*'TB-EQUIPMENT &amp; OTHER HPs'!BB16,IF(SETUP!$G$43=2,$E$495*'TB-EQUIPMENT &amp; OTHER HPs'!BC16,IF(SETUP!$G$43=1,$E$495*'TB-EQUIPMENT &amp; OTHER HPs'!BD16,0)))),0)</f>
        <v>0</v>
      </c>
      <c r="O497" s="920">
        <f t="shared" si="74"/>
        <v>0</v>
      </c>
      <c r="P497" s="1016">
        <f>IF(SETUP!$F$43="At delivery",IF(SETUP!$G$43=4,$E$495*'TB-EQUIPMENT &amp; OTHER HPs'!BB16,IF(SETUP!$G$43=3,$E$495*'TB-EQUIPMENT &amp; OTHER HPs'!BC16,IF(SETUP!$G$43=2,$E$495*'TB-EQUIPMENT &amp; OTHER HPs'!BD16,IF(SETUP!$G$43=1,$E$495*'TB-EQUIPMENT &amp; OTHER HPs'!BE16,0)))),0)</f>
        <v>0</v>
      </c>
      <c r="Q497" s="920">
        <f>IF(SETUP!$F$43="At delivery",IF(SETUP!$G$43=4,$E$495*'TB-EQUIPMENT &amp; OTHER HPs'!BC16,IF(SETUP!$G$43=3,$E$495*'TB-EQUIPMENT &amp; OTHER HPs'!BD16,IF(SETUP!$G$43=2,$E$495*'TB-EQUIPMENT &amp; OTHER HPs'!BE16,IF(SETUP!$G$43=1,$E$495*'TB-EQUIPMENT &amp; OTHER HPs'!BF16,0)))),0)</f>
        <v>0</v>
      </c>
      <c r="R497" s="920">
        <f>IF(SETUP!$F$43="At delivery",IF(SETUP!$G$43=4,$E$495*'TB-EQUIPMENT &amp; OTHER HPs'!BD16,IF(SETUP!$G$43=3,$E$495*'TB-EQUIPMENT &amp; OTHER HPs'!BE16,IF(SETUP!$G$43=2,$E$495*'TB-EQUIPMENT &amp; OTHER HPs'!BF16,IF(SETUP!$G$43=1,$E$495*'TB-EQUIPMENT &amp; OTHER HPs'!BG16,0)))),0)</f>
        <v>0</v>
      </c>
      <c r="S497" s="920">
        <f>IF(SETUP!$F$43="At delivery",IF(SETUP!$G$43=4,$E$495*('TB-EQUIPMENT &amp; OTHER HPs'!BE16+'TB-EQUIPMENT &amp; OTHER HPs'!BF16+'TB-EQUIPMENT &amp; OTHER HPs'!BG16+'TB-EQUIPMENT &amp; OTHER HPs'!BH16+'TB-EQUIPMENT &amp; OTHER HPs'!BI16),IF(SETUP!$G$43=3,$E$495*('TB-EQUIPMENT &amp; OTHER HPs'!BF16+'TB-EQUIPMENT &amp; OTHER HPs'!BG16+'TB-EQUIPMENT &amp; OTHER HPs'!BH16+'TB-EQUIPMENT &amp; OTHER HPs'!BI16),IF(SETUP!$G$43=2,$E$495*('TB-EQUIPMENT &amp; OTHER HPs'!BG16+'TB-EQUIPMENT &amp; OTHER HPs'!BH16+'TB-EQUIPMENT &amp; OTHER HPs'!BI16),IF(SETUP!$G$43=1,$E$495*('TB-EQUIPMENT &amp; OTHER HPs'!BH16+'TB-EQUIPMENT &amp; OTHER HPs'!BI16),0)))),0)</f>
        <v>0</v>
      </c>
      <c r="T497" s="920">
        <f t="shared" si="75"/>
        <v>0</v>
      </c>
      <c r="U497" s="1016">
        <f t="shared" si="76"/>
        <v>0</v>
      </c>
      <c r="V497" s="1344">
        <v>7.4</v>
      </c>
      <c r="W497" s="2011"/>
      <c r="X497" s="575"/>
      <c r="Y497" s="1350"/>
      <c r="Z497" s="655"/>
      <c r="AA497" s="686"/>
      <c r="AB497" s="686"/>
      <c r="AC497" s="686"/>
      <c r="AD497" s="686"/>
      <c r="AE497" s="686"/>
      <c r="AF497" s="686"/>
      <c r="AG497" s="686"/>
      <c r="AH497" s="687"/>
      <c r="AI497" s="686"/>
      <c r="AJ497" s="686"/>
      <c r="AK497" s="686"/>
      <c r="AL497" s="686"/>
      <c r="AM497" s="686"/>
      <c r="AN497" s="686"/>
      <c r="AO497" s="686"/>
      <c r="AP497" s="686"/>
      <c r="AQ497" s="686"/>
      <c r="AR497" s="686"/>
      <c r="AS497" s="686"/>
      <c r="AT497" s="686"/>
      <c r="AU497" s="686"/>
      <c r="AV497" s="686"/>
      <c r="AW497" s="686"/>
      <c r="AX497" s="686"/>
      <c r="AY497" s="686"/>
      <c r="AZ497" s="686"/>
      <c r="BA497" s="686"/>
      <c r="BB497" s="686"/>
      <c r="BC497" s="686"/>
      <c r="BD497" s="686"/>
      <c r="BE497" s="686"/>
      <c r="BF497" s="686"/>
      <c r="BG497" s="686"/>
      <c r="BH497" s="686"/>
      <c r="BI497" s="686"/>
      <c r="BJ497" s="686"/>
      <c r="BK497" s="686"/>
      <c r="BL497" s="686"/>
      <c r="BM497" s="686"/>
      <c r="BN497" s="686"/>
      <c r="BO497" s="686"/>
      <c r="BP497" s="686"/>
      <c r="BQ497" s="686"/>
      <c r="BR497" s="686"/>
      <c r="BS497" s="686"/>
      <c r="BT497" s="686"/>
    </row>
    <row r="498" spans="1:72" s="688" customFormat="1" ht="13.5" hidden="1" collapsed="1" thickBot="1">
      <c r="A498" s="3186"/>
      <c r="B498" s="3187"/>
      <c r="C498" s="3188" t="s">
        <v>449</v>
      </c>
      <c r="D498" s="3188"/>
      <c r="E498" s="1245">
        <v>0</v>
      </c>
      <c r="F498" s="1016">
        <f>IF(SETUP!$F$44="Upfront",F499,F500)</f>
        <v>0</v>
      </c>
      <c r="G498" s="920">
        <f>IF(SETUP!$F$44="Upfront",G499,G500)</f>
        <v>0</v>
      </c>
      <c r="H498" s="920">
        <f>IF(SETUP!$F$44="Upfront",H499,H500)</f>
        <v>0</v>
      </c>
      <c r="I498" s="920">
        <f>IF(SETUP!$F$44="Upfront",I499,I500)</f>
        <v>0</v>
      </c>
      <c r="J498" s="920">
        <f t="shared" si="73"/>
        <v>0</v>
      </c>
      <c r="K498" s="1016">
        <f>IF(SETUP!$F$44="Upfront",K499,K500)</f>
        <v>0</v>
      </c>
      <c r="L498" s="920">
        <f>IF(SETUP!$F$44="Upfront",L499,L500)</f>
        <v>0</v>
      </c>
      <c r="M498" s="920">
        <f>IF(SETUP!$F$44="Upfront",M499,M500)</f>
        <v>0</v>
      </c>
      <c r="N498" s="920">
        <f>IF(SETUP!$F$44="Upfront",N499,N500)</f>
        <v>0</v>
      </c>
      <c r="O498" s="920">
        <f t="shared" si="74"/>
        <v>0</v>
      </c>
      <c r="P498" s="1016">
        <f>IF(SETUP!$F$44="Upfront",P499,P500)</f>
        <v>0</v>
      </c>
      <c r="Q498" s="920">
        <f>IF(SETUP!$F$44="Upfront",Q499,Q500)</f>
        <v>0</v>
      </c>
      <c r="R498" s="920">
        <f>IF(SETUP!$F$44="Upfront",R499,R500)</f>
        <v>0</v>
      </c>
      <c r="S498" s="920">
        <f>IF(SETUP!$F$44="Upfront",S499,S500)</f>
        <v>0</v>
      </c>
      <c r="T498" s="920">
        <f t="shared" si="75"/>
        <v>0</v>
      </c>
      <c r="U498" s="1016">
        <f t="shared" si="76"/>
        <v>0</v>
      </c>
      <c r="V498" s="1344">
        <v>7.4</v>
      </c>
      <c r="W498" s="2011"/>
      <c r="X498" s="575"/>
      <c r="Y498" s="1350"/>
      <c r="Z498" s="655"/>
      <c r="AA498" s="686"/>
      <c r="AB498" s="686"/>
      <c r="AC498" s="686"/>
      <c r="AD498" s="686"/>
      <c r="AE498" s="686"/>
      <c r="AF498" s="686"/>
      <c r="AG498" s="686"/>
      <c r="AH498" s="687"/>
      <c r="AI498" s="686"/>
      <c r="AJ498" s="686"/>
      <c r="AK498" s="686"/>
      <c r="AL498" s="686"/>
      <c r="AM498" s="686"/>
      <c r="AN498" s="686"/>
      <c r="AO498" s="686"/>
      <c r="AP498" s="686"/>
      <c r="AQ498" s="686"/>
      <c r="AR498" s="686"/>
      <c r="AS498" s="686"/>
      <c r="AT498" s="686"/>
      <c r="AU498" s="686"/>
      <c r="AV498" s="686"/>
      <c r="AW498" s="686"/>
      <c r="AX498" s="686"/>
      <c r="AY498" s="686"/>
      <c r="AZ498" s="686"/>
      <c r="BA498" s="686"/>
      <c r="BB498" s="686"/>
      <c r="BC498" s="686"/>
      <c r="BD498" s="686"/>
      <c r="BE498" s="686"/>
      <c r="BF498" s="686"/>
      <c r="BG498" s="686"/>
      <c r="BH498" s="686"/>
      <c r="BI498" s="686"/>
      <c r="BJ498" s="686"/>
      <c r="BK498" s="686"/>
      <c r="BL498" s="686"/>
      <c r="BM498" s="686"/>
      <c r="BN498" s="686"/>
      <c r="BO498" s="686"/>
      <c r="BP498" s="686"/>
      <c r="BQ498" s="686"/>
      <c r="BR498" s="686"/>
      <c r="BS498" s="686"/>
      <c r="BT498" s="686"/>
    </row>
    <row r="499" spans="1:72" s="688" customFormat="1" ht="12.75" hidden="1" customHeight="1" outlineLevel="1">
      <c r="A499" s="3186"/>
      <c r="B499" s="3187"/>
      <c r="C499" s="3182" t="s">
        <v>777</v>
      </c>
      <c r="D499" s="3182"/>
      <c r="E499" s="1246"/>
      <c r="F499" s="1016">
        <f>IF(SETUP!$F$44="Upfront",$E$498*'TB-EQUIPMENT &amp; OTHER HPs'!AX17,0)</f>
        <v>0</v>
      </c>
      <c r="G499" s="920">
        <f>IF(SETUP!$F$44="Upfront",$E$498*'TB-EQUIPMENT &amp; OTHER HPs'!AY17,0)</f>
        <v>0</v>
      </c>
      <c r="H499" s="920">
        <f>IF(SETUP!$F$44="Upfront",$E$498*'TB-EQUIPMENT &amp; OTHER HPs'!AZ17,0)</f>
        <v>0</v>
      </c>
      <c r="I499" s="920">
        <f>IF(SETUP!$F$44="Upfront",$E$498*'TB-EQUIPMENT &amp; OTHER HPs'!BA17,0)</f>
        <v>0</v>
      </c>
      <c r="J499" s="920">
        <f t="shared" si="73"/>
        <v>0</v>
      </c>
      <c r="K499" s="1016">
        <f>IF(SETUP!$F$44="Upfront",$E$498*'TB-EQUIPMENT &amp; OTHER HPs'!BB17,0)</f>
        <v>0</v>
      </c>
      <c r="L499" s="920">
        <f>IF(SETUP!$F$44="Upfront",$E$498*'TB-EQUIPMENT &amp; OTHER HPs'!BC17,0)</f>
        <v>0</v>
      </c>
      <c r="M499" s="920">
        <f>IF(SETUP!$F$44="Upfront",$E$498*'TB-EQUIPMENT &amp; OTHER HPs'!BD17,0)</f>
        <v>0</v>
      </c>
      <c r="N499" s="920">
        <f>IF(SETUP!$F$44="Upfront",$E$498*'TB-EQUIPMENT &amp; OTHER HPs'!BE17,0)</f>
        <v>0</v>
      </c>
      <c r="O499" s="920">
        <f t="shared" si="74"/>
        <v>0</v>
      </c>
      <c r="P499" s="1016">
        <f>IF(SETUP!$F$44="Upfront",$E$498*'TB-EQUIPMENT &amp; OTHER HPs'!BF17,0)</f>
        <v>0</v>
      </c>
      <c r="Q499" s="920">
        <f>IF(SETUP!$F$44="Upfront",$E$498*'TB-EQUIPMENT &amp; OTHER HPs'!BG17,0)</f>
        <v>0</v>
      </c>
      <c r="R499" s="920">
        <f>IF(SETUP!$F$44="Upfront",$E$498*'TB-EQUIPMENT &amp; OTHER HPs'!BH17,0)</f>
        <v>0</v>
      </c>
      <c r="S499" s="920">
        <f>IF(SETUP!$F$44="Upfront",$E$498*'TB-EQUIPMENT &amp; OTHER HPs'!BI17,0)</f>
        <v>0</v>
      </c>
      <c r="T499" s="920">
        <f t="shared" si="75"/>
        <v>0</v>
      </c>
      <c r="U499" s="1016">
        <f t="shared" si="76"/>
        <v>0</v>
      </c>
      <c r="V499" s="1344">
        <v>7.4</v>
      </c>
      <c r="W499" s="2011"/>
      <c r="X499" s="575"/>
      <c r="Y499" s="1350"/>
      <c r="Z499" s="655"/>
      <c r="AA499" s="686"/>
      <c r="AB499" s="686"/>
      <c r="AC499" s="686"/>
      <c r="AD499" s="686"/>
      <c r="AE499" s="686"/>
      <c r="AF499" s="686"/>
      <c r="AG499" s="686"/>
      <c r="AH499" s="687"/>
      <c r="AI499" s="686"/>
      <c r="AJ499" s="686"/>
      <c r="AK499" s="686"/>
      <c r="AL499" s="686"/>
      <c r="AM499" s="686"/>
      <c r="AN499" s="686"/>
      <c r="AO499" s="686"/>
      <c r="AP499" s="686"/>
      <c r="AQ499" s="686"/>
      <c r="AR499" s="686"/>
      <c r="AS499" s="686"/>
      <c r="AT499" s="686"/>
      <c r="AU499" s="686"/>
      <c r="AV499" s="686"/>
      <c r="AW499" s="686"/>
      <c r="AX499" s="686"/>
      <c r="AY499" s="686"/>
      <c r="AZ499" s="686"/>
      <c r="BA499" s="686"/>
      <c r="BB499" s="686"/>
      <c r="BC499" s="686"/>
      <c r="BD499" s="686"/>
      <c r="BE499" s="686"/>
      <c r="BF499" s="686"/>
      <c r="BG499" s="686"/>
      <c r="BH499" s="686"/>
      <c r="BI499" s="686"/>
      <c r="BJ499" s="686"/>
      <c r="BK499" s="686"/>
      <c r="BL499" s="686"/>
      <c r="BM499" s="686"/>
      <c r="BN499" s="686"/>
      <c r="BO499" s="686"/>
      <c r="BP499" s="686"/>
      <c r="BQ499" s="686"/>
      <c r="BR499" s="686"/>
      <c r="BS499" s="686"/>
      <c r="BT499" s="686"/>
    </row>
    <row r="500" spans="1:72" s="688" customFormat="1" ht="12.75" hidden="1" customHeight="1" outlineLevel="1">
      <c r="A500" s="3186"/>
      <c r="B500" s="3187"/>
      <c r="C500" s="3182" t="s">
        <v>36</v>
      </c>
      <c r="D500" s="3182"/>
      <c r="E500" s="1246"/>
      <c r="F500" s="1016">
        <v>0</v>
      </c>
      <c r="G500" s="920">
        <f>IF(SETUP!$F$44="At delivery",IF(SETUP!$G$44=1,$E$498*'TB-EQUIPMENT &amp; OTHER HPs'!AX17,0),0)</f>
        <v>0</v>
      </c>
      <c r="H500" s="920">
        <f>IF(SETUP!$F$44="At delivery",IF(SETUP!$G$44=2,$E$498*'TB-EQUIPMENT &amp; OTHER HPs'!AX17,IF(SETUP!$G$44=1,$E$498*'TB-EQUIPMENT &amp; OTHER HPs'!AY17,0)),0)</f>
        <v>0</v>
      </c>
      <c r="I500" s="920">
        <f>IF(SETUP!$F$44="At delivery",IF(SETUP!$G$44=3,$E$498*'TB-EQUIPMENT &amp; OTHER HPs'!AX17,IF(SETUP!$G$44=2,$E$498*'TB-EQUIPMENT &amp; OTHER HPs'!AY17,IF(SETUP!$G$44=1,$E$498*'TB-EQUIPMENT &amp; OTHER HPs'!AZ17,0))),0)</f>
        <v>0</v>
      </c>
      <c r="J500" s="920">
        <f t="shared" si="73"/>
        <v>0</v>
      </c>
      <c r="K500" s="1016">
        <f>IF(SETUP!$F$44="At delivery",IF(SETUP!$G$44=4,$E$498*'TB-EQUIPMENT &amp; OTHER HPs'!AX17,IF(SETUP!$G$44=3,$E$498*'TB-EQUIPMENT &amp; OTHER HPs'!AY17,IF(SETUP!$G$44=2,$E$498*'TB-EQUIPMENT &amp; OTHER HPs'!AZ17,IF(SETUP!$G$44=1,$E$498*'TB-EQUIPMENT &amp; OTHER HPs'!BA17,0)))),0)</f>
        <v>0</v>
      </c>
      <c r="L500" s="920">
        <f>IF(SETUP!$F$44="At delivery",IF(SETUP!$G$44=4,$E$498*'TB-EQUIPMENT &amp; OTHER HPs'!AY17,IF(SETUP!$G$44=3,$E$498*'TB-EQUIPMENT &amp; OTHER HPs'!AZ17,IF(SETUP!$G$44=2,$E$498*'TB-EQUIPMENT &amp; OTHER HPs'!BA17,IF(SETUP!$G$44=1,$E$498*'TB-EQUIPMENT &amp; OTHER HPs'!BB17,0)))),0)</f>
        <v>0</v>
      </c>
      <c r="M500" s="920">
        <f>IF(SETUP!$F$44="At delivery",IF(SETUP!$G$44=4,$E$498*'TB-EQUIPMENT &amp; OTHER HPs'!AZ17,IF(SETUP!$G$44=3,$E$498*'TB-EQUIPMENT &amp; OTHER HPs'!BA17,IF(SETUP!$G$44=2,$E$498*'TB-EQUIPMENT &amp; OTHER HPs'!BB17,IF(SETUP!$G$44=1,$E$498*'TB-EQUIPMENT &amp; OTHER HPs'!BC17,0)))),0)</f>
        <v>0</v>
      </c>
      <c r="N500" s="920">
        <f>IF(SETUP!$F$44="At delivery",IF(SETUP!$G$44=4,$E$498*'TB-EQUIPMENT &amp; OTHER HPs'!BA17,IF(SETUP!$G$44=3,$E$498*'TB-EQUIPMENT &amp; OTHER HPs'!BB17,IF(SETUP!$G$44=2,$E$498*'TB-EQUIPMENT &amp; OTHER HPs'!BC17,IF(SETUP!$G$44=1,$E$498*'TB-EQUIPMENT &amp; OTHER HPs'!BD17,0)))),0)</f>
        <v>0</v>
      </c>
      <c r="O500" s="920">
        <f t="shared" si="74"/>
        <v>0</v>
      </c>
      <c r="P500" s="1016">
        <f>IF(SETUP!$F$44="At delivery",IF(SETUP!$G$44=4,$E$498*'TB-EQUIPMENT &amp; OTHER HPs'!BB17,IF(SETUP!$G$44=3,$E$498*'TB-EQUIPMENT &amp; OTHER HPs'!BC17,IF(SETUP!$G$44=2,$E$498*'TB-EQUIPMENT &amp; OTHER HPs'!BD17,IF(SETUP!$G$44=1,$E$498*'TB-EQUIPMENT &amp; OTHER HPs'!BE17,0)))),0)</f>
        <v>0</v>
      </c>
      <c r="Q500" s="920">
        <f>IF(SETUP!$F$44="At delivery",IF(SETUP!$G$44=4,$E$498*'TB-EQUIPMENT &amp; OTHER HPs'!BC17,IF(SETUP!$G$44=3,$E$498*'TB-EQUIPMENT &amp; OTHER HPs'!BD17,IF(SETUP!$G$44=2,$E$498*'TB-EQUIPMENT &amp; OTHER HPs'!BE17,IF(SETUP!$G$44=1,$E$498*'TB-EQUIPMENT &amp; OTHER HPs'!BF17,0)))),0)</f>
        <v>0</v>
      </c>
      <c r="R500" s="920">
        <f>IF(SETUP!$F$44="At delivery",IF(SETUP!$G$44=4,$E$498*'TB-EQUIPMENT &amp; OTHER HPs'!BD17,IF(SETUP!$G$44=3,$E$498*'TB-EQUIPMENT &amp; OTHER HPs'!BE17,IF(SETUP!$G$44=2,$E$498*'TB-EQUIPMENT &amp; OTHER HPs'!BF17,IF(SETUP!$G$44=1,$E$498*'TB-EQUIPMENT &amp; OTHER HPs'!BG17,0)))),0)</f>
        <v>0</v>
      </c>
      <c r="S500" s="920">
        <f>IF(SETUP!$F$44="At delivery",IF(SETUP!$G$44=4,$E$498*('TB-EQUIPMENT &amp; OTHER HPs'!BE17+'TB-EQUIPMENT &amp; OTHER HPs'!BF17+'TB-EQUIPMENT &amp; OTHER HPs'!BG17+'TB-EQUIPMENT &amp; OTHER HPs'!BH17+'TB-EQUIPMENT &amp; OTHER HPs'!BI17),IF(SETUP!$G$44=3,$E$498*('TB-EQUIPMENT &amp; OTHER HPs'!BF17+'TB-EQUIPMENT &amp; OTHER HPs'!BG17+'TB-EQUIPMENT &amp; OTHER HPs'!BH17+'TB-EQUIPMENT &amp; OTHER HPs'!BI17),IF(SETUP!$G$44=2,$E$498*('TB-EQUIPMENT &amp; OTHER HPs'!BG17+'TB-EQUIPMENT &amp; OTHER HPs'!BH17+'TB-EQUIPMENT &amp; OTHER HPs'!BI17),IF(SETUP!$G$44=1,$E$498*('TB-EQUIPMENT &amp; OTHER HPs'!BH17+'TB-EQUIPMENT &amp; OTHER HPs'!BI17),0)))),0)</f>
        <v>0</v>
      </c>
      <c r="T500" s="920">
        <f t="shared" si="75"/>
        <v>0</v>
      </c>
      <c r="U500" s="1016">
        <f t="shared" si="76"/>
        <v>0</v>
      </c>
      <c r="V500" s="1344">
        <v>7.4</v>
      </c>
      <c r="W500" s="2011"/>
      <c r="X500" s="575"/>
      <c r="Y500" s="1350"/>
      <c r="Z500" s="655"/>
      <c r="AA500" s="686"/>
      <c r="AB500" s="686"/>
      <c r="AC500" s="686"/>
      <c r="AD500" s="686"/>
      <c r="AE500" s="686"/>
      <c r="AF500" s="686"/>
      <c r="AG500" s="686"/>
      <c r="AH500" s="687"/>
      <c r="AI500" s="686"/>
      <c r="AJ500" s="686"/>
      <c r="AK500" s="686"/>
      <c r="AL500" s="686"/>
      <c r="AM500" s="686"/>
      <c r="AN500" s="686"/>
      <c r="AO500" s="686"/>
      <c r="AP500" s="686"/>
      <c r="AQ500" s="686"/>
      <c r="AR500" s="686"/>
      <c r="AS500" s="686"/>
      <c r="AT500" s="686"/>
      <c r="AU500" s="686"/>
      <c r="AV500" s="686"/>
      <c r="AW500" s="686"/>
      <c r="AX500" s="686"/>
      <c r="AY500" s="686"/>
      <c r="AZ500" s="686"/>
      <c r="BA500" s="686"/>
      <c r="BB500" s="686"/>
      <c r="BC500" s="686"/>
      <c r="BD500" s="686"/>
      <c r="BE500" s="686"/>
      <c r="BF500" s="686"/>
      <c r="BG500" s="686"/>
      <c r="BH500" s="686"/>
      <c r="BI500" s="686"/>
      <c r="BJ500" s="686"/>
      <c r="BK500" s="686"/>
      <c r="BL500" s="686"/>
      <c r="BM500" s="686"/>
      <c r="BN500" s="686"/>
      <c r="BO500" s="686"/>
      <c r="BP500" s="686"/>
      <c r="BQ500" s="686"/>
      <c r="BR500" s="686"/>
      <c r="BS500" s="686"/>
      <c r="BT500" s="686"/>
    </row>
    <row r="501" spans="1:72" s="688" customFormat="1" ht="13.5" hidden="1" collapsed="1" thickBot="1">
      <c r="A501" s="3189" t="s">
        <v>450</v>
      </c>
      <c r="B501" s="3190"/>
      <c r="C501" s="3188" t="s">
        <v>451</v>
      </c>
      <c r="D501" s="3188"/>
      <c r="E501" s="1245">
        <v>0</v>
      </c>
      <c r="F501" s="1016">
        <f>IF(SETUP!$F$50="Upfront",F502,F503)</f>
        <v>0</v>
      </c>
      <c r="G501" s="920">
        <f>IF(SETUP!$F$50="Upfront",G502,G503)</f>
        <v>0</v>
      </c>
      <c r="H501" s="920">
        <f>IF(SETUP!$F$50="Upfront",H502,H503)</f>
        <v>0</v>
      </c>
      <c r="I501" s="920">
        <f>IF(SETUP!$F$50="Upfront",I502,I503)</f>
        <v>0</v>
      </c>
      <c r="J501" s="920">
        <f t="shared" si="73"/>
        <v>0</v>
      </c>
      <c r="K501" s="1016">
        <f>IF(SETUP!$F$50="Upfront",K502,K503)</f>
        <v>0</v>
      </c>
      <c r="L501" s="920">
        <f>IF(SETUP!$F$50="Upfront",L502,L503)</f>
        <v>0</v>
      </c>
      <c r="M501" s="920">
        <f>IF(SETUP!$F$50="Upfront",M502,M503)</f>
        <v>0</v>
      </c>
      <c r="N501" s="920">
        <f>IF(SETUP!$F$50="Upfront",N502,N503)</f>
        <v>0</v>
      </c>
      <c r="O501" s="920">
        <f t="shared" si="74"/>
        <v>0</v>
      </c>
      <c r="P501" s="1016">
        <f>IF(SETUP!$F$50="Upfront",P502,P503)</f>
        <v>0</v>
      </c>
      <c r="Q501" s="920">
        <f>IF(SETUP!$F$50="Upfront",Q502,Q503)</f>
        <v>0</v>
      </c>
      <c r="R501" s="920">
        <f>IF(SETUP!$F$50="Upfront",R502,R503)</f>
        <v>0</v>
      </c>
      <c r="S501" s="920">
        <f>IF(SETUP!$F$50="Upfront",S502,S503)</f>
        <v>0</v>
      </c>
      <c r="T501" s="920">
        <f t="shared" si="75"/>
        <v>0</v>
      </c>
      <c r="U501" s="1016">
        <f t="shared" si="76"/>
        <v>0</v>
      </c>
      <c r="V501" s="1344">
        <v>7.4</v>
      </c>
      <c r="W501" s="2011"/>
      <c r="X501" s="575"/>
      <c r="Y501" s="1350"/>
      <c r="Z501" s="655"/>
      <c r="AA501" s="686"/>
      <c r="AB501" s="686"/>
      <c r="AC501" s="686"/>
      <c r="AD501" s="686"/>
      <c r="AE501" s="686"/>
      <c r="AF501" s="686"/>
      <c r="AG501" s="686"/>
      <c r="AH501" s="687"/>
      <c r="AI501" s="686"/>
      <c r="AJ501" s="686"/>
      <c r="AK501" s="686"/>
      <c r="AL501" s="686"/>
      <c r="AM501" s="686"/>
      <c r="AN501" s="686"/>
      <c r="AO501" s="686"/>
      <c r="AP501" s="686"/>
      <c r="AQ501" s="686"/>
      <c r="AR501" s="686"/>
      <c r="AS501" s="686"/>
      <c r="AT501" s="686"/>
      <c r="AU501" s="686"/>
      <c r="AV501" s="686"/>
      <c r="AW501" s="686"/>
      <c r="AX501" s="686"/>
      <c r="AY501" s="686"/>
      <c r="AZ501" s="686"/>
      <c r="BA501" s="686"/>
      <c r="BB501" s="686"/>
      <c r="BC501" s="686"/>
      <c r="BD501" s="686"/>
      <c r="BE501" s="686"/>
      <c r="BF501" s="686"/>
      <c r="BG501" s="686"/>
      <c r="BH501" s="686"/>
      <c r="BI501" s="686"/>
      <c r="BJ501" s="686"/>
      <c r="BK501" s="686"/>
      <c r="BL501" s="686"/>
      <c r="BM501" s="686"/>
      <c r="BN501" s="686"/>
      <c r="BO501" s="686"/>
      <c r="BP501" s="686"/>
      <c r="BQ501" s="686"/>
      <c r="BR501" s="686"/>
      <c r="BS501" s="686"/>
      <c r="BT501" s="686"/>
    </row>
    <row r="502" spans="1:72" s="688" customFormat="1" ht="16.149999999999999" hidden="1" customHeight="1" outlineLevel="1">
      <c r="A502" s="3189"/>
      <c r="B502" s="3190"/>
      <c r="C502" s="3182" t="s">
        <v>777</v>
      </c>
      <c r="D502" s="3182"/>
      <c r="E502" s="1579"/>
      <c r="F502" s="1016">
        <f>IF(SETUP!$F$50="Upfront",$E$501*'Malaria-Pharmaceuticals'!AX14,0)</f>
        <v>0</v>
      </c>
      <c r="G502" s="920">
        <f>IF(SETUP!$F$50="Upfront",$E$501*'Malaria-Pharmaceuticals'!AY14,0)</f>
        <v>0</v>
      </c>
      <c r="H502" s="920">
        <f>IF(SETUP!$F$50="Upfront",$E$501*'Malaria-Pharmaceuticals'!AZ14,0)</f>
        <v>0</v>
      </c>
      <c r="I502" s="920">
        <f>IF(SETUP!$F$50="Upfront",$E$501*'Malaria-Pharmaceuticals'!BA14,0)</f>
        <v>0</v>
      </c>
      <c r="J502" s="920">
        <f t="shared" si="73"/>
        <v>0</v>
      </c>
      <c r="K502" s="1016">
        <f>IF(SETUP!$F$50="Upfront",$E$501*'Malaria-Pharmaceuticals'!BB14,0)</f>
        <v>0</v>
      </c>
      <c r="L502" s="920">
        <f>IF(SETUP!$F$50="Upfront",$E$501*'Malaria-Pharmaceuticals'!BC14,0)</f>
        <v>0</v>
      </c>
      <c r="M502" s="920">
        <f>IF(SETUP!$F$50="Upfront",$E$501*'Malaria-Pharmaceuticals'!BD14,0)</f>
        <v>0</v>
      </c>
      <c r="N502" s="920">
        <f>IF(SETUP!$F$50="Upfront",$E$501*'Malaria-Pharmaceuticals'!BE14,0)</f>
        <v>0</v>
      </c>
      <c r="O502" s="920">
        <f t="shared" si="74"/>
        <v>0</v>
      </c>
      <c r="P502" s="1016">
        <f>IF(SETUP!$F$50="Upfront",$E$501*'Malaria-Pharmaceuticals'!BF14,0)</f>
        <v>0</v>
      </c>
      <c r="Q502" s="920">
        <f>IF(SETUP!$F$50="Upfront",$E$501*'Malaria-Pharmaceuticals'!BG14,0)</f>
        <v>0</v>
      </c>
      <c r="R502" s="920">
        <f>IF(SETUP!$F$50="Upfront",$E$501*'Malaria-Pharmaceuticals'!BH14,0)</f>
        <v>0</v>
      </c>
      <c r="S502" s="920">
        <f>IF(SETUP!$F$50="Upfront",$E$501*'Malaria-Pharmaceuticals'!BI14,0)</f>
        <v>0</v>
      </c>
      <c r="T502" s="920">
        <f t="shared" si="75"/>
        <v>0</v>
      </c>
      <c r="U502" s="1016">
        <f t="shared" si="76"/>
        <v>0</v>
      </c>
      <c r="V502" s="1344">
        <v>7.4</v>
      </c>
      <c r="W502" s="2011"/>
      <c r="X502" s="575"/>
      <c r="Y502" s="1350"/>
      <c r="Z502" s="655"/>
      <c r="AA502" s="686"/>
      <c r="AB502" s="686"/>
      <c r="AC502" s="686"/>
      <c r="AD502" s="686"/>
      <c r="AE502" s="686"/>
      <c r="AF502" s="686"/>
      <c r="AG502" s="686"/>
      <c r="AH502" s="687"/>
      <c r="AI502" s="686"/>
      <c r="AJ502" s="686"/>
      <c r="AK502" s="686"/>
      <c r="AL502" s="686"/>
      <c r="AM502" s="686"/>
      <c r="AN502" s="686"/>
      <c r="AO502" s="686"/>
      <c r="AP502" s="686"/>
      <c r="AQ502" s="686"/>
      <c r="AR502" s="686"/>
      <c r="AS502" s="686"/>
      <c r="AT502" s="686"/>
      <c r="AU502" s="686"/>
      <c r="AV502" s="686"/>
      <c r="AW502" s="686"/>
      <c r="AX502" s="686"/>
      <c r="AY502" s="686"/>
      <c r="AZ502" s="686"/>
      <c r="BA502" s="686"/>
      <c r="BB502" s="686"/>
      <c r="BC502" s="686"/>
      <c r="BD502" s="686"/>
      <c r="BE502" s="686"/>
      <c r="BF502" s="686"/>
      <c r="BG502" s="686"/>
      <c r="BH502" s="686"/>
      <c r="BI502" s="686"/>
      <c r="BJ502" s="686"/>
      <c r="BK502" s="686"/>
      <c r="BL502" s="686"/>
      <c r="BM502" s="686"/>
      <c r="BN502" s="686"/>
      <c r="BO502" s="686"/>
      <c r="BP502" s="686"/>
      <c r="BQ502" s="686"/>
      <c r="BR502" s="686"/>
      <c r="BS502" s="686"/>
      <c r="BT502" s="686"/>
    </row>
    <row r="503" spans="1:72" s="688" customFormat="1" ht="17.25" hidden="1" customHeight="1" outlineLevel="1" thickBot="1">
      <c r="A503" s="3189"/>
      <c r="B503" s="3190"/>
      <c r="C503" s="3182" t="s">
        <v>36</v>
      </c>
      <c r="D503" s="3182"/>
      <c r="E503" s="1579"/>
      <c r="F503" s="1016">
        <v>0</v>
      </c>
      <c r="G503" s="920">
        <f>IF(SETUP!$F$50="At delivery",IF(SETUP!$G$50=1,$E$501*'Malaria-Pharmaceuticals'!AX14,0),0)</f>
        <v>0</v>
      </c>
      <c r="H503" s="920">
        <f>IF(SETUP!$F$50="At delivery",IF(SETUP!$G$50=2,$E$501*'Malaria-Pharmaceuticals'!AX14,IF(SETUP!$G$50=1,$E$501*'Malaria-Pharmaceuticals'!AY14,0)),0)</f>
        <v>0</v>
      </c>
      <c r="I503" s="920">
        <f>IF(SETUP!$F$50="At delivery",IF(SETUP!$G$50=3,$E$501*'Malaria-Pharmaceuticals'!AX14,IF(SETUP!$G$50=2,$E$501*'Malaria-Pharmaceuticals'!AY14,IF(SETUP!$G$50=1,$E$501*'Malaria-Pharmaceuticals'!AZ14,0))),0)</f>
        <v>0</v>
      </c>
      <c r="J503" s="920">
        <f t="shared" ref="J503:J525" si="77">F503+G503+H503+I503</f>
        <v>0</v>
      </c>
      <c r="K503" s="1016">
        <f>IF(SETUP!$F$50="At delivery",IF(SETUP!$G$50=4,$E$501*'Malaria-Pharmaceuticals'!AX14,IF(SETUP!$G$50=3,$E$501*'Malaria-Pharmaceuticals'!AY14,IF(SETUP!$G$50=2,$E$501*'Malaria-Pharmaceuticals'!AZ14,IF(SETUP!$G$50=1,$E$501*'Malaria-Pharmaceuticals'!BA14,0)))),0)</f>
        <v>0</v>
      </c>
      <c r="L503" s="920">
        <f>IF(SETUP!$F$50="At delivery",IF(SETUP!$G$50=4,$E$501*'Malaria-Pharmaceuticals'!AY14,IF(SETUP!$G$50=3,$E$501*'Malaria-Pharmaceuticals'!AZ14,IF(SETUP!$G$50=2,$E$501*'Malaria-Pharmaceuticals'!BA14,IF(SETUP!$G$50=1,$E$501*'Malaria-Pharmaceuticals'!BB14,0)))),0)</f>
        <v>0</v>
      </c>
      <c r="M503" s="920">
        <f>IF(SETUP!$F$50="At delivery",IF(SETUP!$G$50=4,$E$501*'Malaria-Pharmaceuticals'!AZ14,IF(SETUP!$G$50=3,$E$501*'Malaria-Pharmaceuticals'!BA14,IF(SETUP!$G$50=2,$E$501*'Malaria-Pharmaceuticals'!BB14,IF(SETUP!$G$50=1,$E$501*'Malaria-Pharmaceuticals'!BC14,0)))),0)</f>
        <v>0</v>
      </c>
      <c r="N503" s="920">
        <f>IF(SETUP!$F$50="At delivery",IF(SETUP!$G$50=4,$E$501*'Malaria-Pharmaceuticals'!BA14,IF(SETUP!$G$50=3,$E$501*'Malaria-Pharmaceuticals'!BB14,IF(SETUP!$G$50=2,$E$501*'Malaria-Pharmaceuticals'!BC14,IF(SETUP!$G$50=1,$E$501*'Malaria-Pharmaceuticals'!BD14,0)))),0)</f>
        <v>0</v>
      </c>
      <c r="O503" s="920">
        <f t="shared" ref="O503:O525" si="78">K503+L503+M503+N503</f>
        <v>0</v>
      </c>
      <c r="P503" s="1016">
        <f>IF(SETUP!$F$50="At delivery",IF(SETUP!$G$50=4,$E$501*'Malaria-Pharmaceuticals'!BB14,IF(SETUP!$G$50=3,$E$501*'Malaria-Pharmaceuticals'!BC14,IF(SETUP!$G$50=2,$E$501*'Malaria-Pharmaceuticals'!BD14,IF(SETUP!$G$50=1,$E$501*'Malaria-Pharmaceuticals'!BE14,0)))),0)</f>
        <v>0</v>
      </c>
      <c r="Q503" s="920">
        <f>IF(SETUP!$F$50="At delivery",IF(SETUP!$G$50=4,$E$501*'Malaria-Pharmaceuticals'!BC14,IF(SETUP!$G$50=3,$E$501*'Malaria-Pharmaceuticals'!BD14,IF(SETUP!$G$50=2,$E$501*'Malaria-Pharmaceuticals'!BE14,IF(SETUP!$G$50=1,$E$501*'Malaria-Pharmaceuticals'!BF14,0)))),0)</f>
        <v>0</v>
      </c>
      <c r="R503" s="920">
        <f>IF(SETUP!$F$50="At delivery",IF(SETUP!$G$50=4,$E$501*'Malaria-Pharmaceuticals'!BD14,IF(SETUP!$G$50=3,$E$501*'Malaria-Pharmaceuticals'!BE14,IF(SETUP!$G$50=2,$E$501*'Malaria-Pharmaceuticals'!BF14,IF(SETUP!$G$50=1,$E$501*'Malaria-Pharmaceuticals'!BG14,0)))),0)</f>
        <v>0</v>
      </c>
      <c r="S503" s="920">
        <f>IF(SETUP!$F$50="At delivery",IF(SETUP!$G$50=4,$E$501*('Malaria-Pharmaceuticals'!BE14+'Malaria-Pharmaceuticals'!BF14+'Malaria-Pharmaceuticals'!BG14+'Malaria-Pharmaceuticals'!BH14+'Malaria-Pharmaceuticals'!BI14),IF(SETUP!$G$50=3,$E$501*('Malaria-Pharmaceuticals'!BF14+'Malaria-Pharmaceuticals'!BG14+'Malaria-Pharmaceuticals'!BH14+'Malaria-Pharmaceuticals'!BI14),IF(SETUP!$G$50=2,$E$501*('Malaria-Pharmaceuticals'!BG14+'Malaria-Pharmaceuticals'!BH14+'Malaria-Pharmaceuticals'!BI14),IF(SETUP!$G$50=1,$E$501*('Malaria-Pharmaceuticals'!BH14+'Malaria-Pharmaceuticals'!BI14),0)))),0)</f>
        <v>0</v>
      </c>
      <c r="T503" s="920">
        <f t="shared" ref="T503:T525" si="79">P503+Q503+R503+S503</f>
        <v>0</v>
      </c>
      <c r="U503" s="1016">
        <f t="shared" ref="U503:U525" si="80">J503+O503+T503</f>
        <v>0</v>
      </c>
      <c r="V503" s="1344">
        <v>7.4</v>
      </c>
      <c r="W503" s="2011"/>
      <c r="X503" s="575"/>
      <c r="Y503" s="1350"/>
      <c r="Z503" s="655"/>
      <c r="AA503" s="686"/>
      <c r="AB503" s="686"/>
      <c r="AC503" s="686"/>
      <c r="AD503" s="686"/>
      <c r="AE503" s="686"/>
      <c r="AF503" s="686"/>
      <c r="AG503" s="686"/>
      <c r="AH503" s="687"/>
      <c r="AI503" s="686"/>
      <c r="AJ503" s="686"/>
      <c r="AK503" s="686"/>
      <c r="AL503" s="686"/>
      <c r="AM503" s="686"/>
      <c r="AN503" s="686"/>
      <c r="AO503" s="686"/>
      <c r="AP503" s="686"/>
      <c r="AQ503" s="686"/>
      <c r="AR503" s="686"/>
      <c r="AS503" s="686"/>
      <c r="AT503" s="686"/>
      <c r="AU503" s="686"/>
      <c r="AV503" s="686"/>
      <c r="AW503" s="686"/>
      <c r="AX503" s="686"/>
      <c r="AY503" s="686"/>
      <c r="AZ503" s="686"/>
      <c r="BA503" s="686"/>
      <c r="BB503" s="686"/>
      <c r="BC503" s="686"/>
      <c r="BD503" s="686"/>
      <c r="BE503" s="686"/>
      <c r="BF503" s="686"/>
      <c r="BG503" s="686"/>
      <c r="BH503" s="686"/>
      <c r="BI503" s="686"/>
      <c r="BJ503" s="686"/>
      <c r="BK503" s="686"/>
      <c r="BL503" s="686"/>
      <c r="BM503" s="686"/>
      <c r="BN503" s="686"/>
      <c r="BO503" s="686"/>
      <c r="BP503" s="686"/>
      <c r="BQ503" s="686"/>
      <c r="BR503" s="686"/>
      <c r="BS503" s="686"/>
      <c r="BT503" s="686"/>
    </row>
    <row r="504" spans="1:72" s="688" customFormat="1" ht="13.5" hidden="1" collapsed="1" thickBot="1">
      <c r="A504" s="3189"/>
      <c r="B504" s="3190"/>
      <c r="C504" s="3188" t="s">
        <v>453</v>
      </c>
      <c r="D504" s="3188"/>
      <c r="E504" s="1245">
        <v>0</v>
      </c>
      <c r="F504" s="1016">
        <f>IF(SETUP!$F$51="Upfront",F505,F506)</f>
        <v>0</v>
      </c>
      <c r="G504" s="920">
        <f>IF(SETUP!$F$51="Upfront",G505,G506)</f>
        <v>0</v>
      </c>
      <c r="H504" s="920">
        <f>IF(SETUP!$F$51="Upfront",H505,H506)</f>
        <v>0</v>
      </c>
      <c r="I504" s="920">
        <f>IF(SETUP!$F$51="Upfront",I505,I506)</f>
        <v>0</v>
      </c>
      <c r="J504" s="920">
        <f t="shared" si="77"/>
        <v>0</v>
      </c>
      <c r="K504" s="1016">
        <f>IF(SETUP!$F$51="Upfront",K505,K506)</f>
        <v>0</v>
      </c>
      <c r="L504" s="920">
        <f>IF(SETUP!$F$51="Upfront",L505,L506)</f>
        <v>0</v>
      </c>
      <c r="M504" s="920">
        <f>IF(SETUP!$F$51="Upfront",M505,M506)</f>
        <v>0</v>
      </c>
      <c r="N504" s="920">
        <f>IF(SETUP!$F$51="Upfront",N505,N506)</f>
        <v>0</v>
      </c>
      <c r="O504" s="920">
        <f t="shared" si="78"/>
        <v>0</v>
      </c>
      <c r="P504" s="1016">
        <f>IF(SETUP!$F$51="Upfront",P505,P506)</f>
        <v>0</v>
      </c>
      <c r="Q504" s="920">
        <f>IF(SETUP!$F$51="Upfront",Q505,Q506)</f>
        <v>0</v>
      </c>
      <c r="R504" s="920">
        <f>IF(SETUP!$F$51="Upfront",R505,R506)</f>
        <v>0</v>
      </c>
      <c r="S504" s="920">
        <f>IF(SETUP!$F$51="Upfront",S505,S506)</f>
        <v>0</v>
      </c>
      <c r="T504" s="920">
        <f t="shared" si="79"/>
        <v>0</v>
      </c>
      <c r="U504" s="1016">
        <f t="shared" si="80"/>
        <v>0</v>
      </c>
      <c r="V504" s="1344">
        <v>7.4</v>
      </c>
      <c r="W504" s="2011"/>
      <c r="X504" s="575"/>
      <c r="Y504" s="1350"/>
      <c r="Z504" s="655"/>
      <c r="AA504" s="686"/>
      <c r="AB504" s="686"/>
      <c r="AC504" s="686"/>
      <c r="AD504" s="686"/>
      <c r="AE504" s="686"/>
      <c r="AF504" s="686"/>
      <c r="AG504" s="686"/>
      <c r="AH504" s="687"/>
      <c r="AI504" s="686"/>
      <c r="AJ504" s="686"/>
      <c r="AK504" s="686"/>
      <c r="AL504" s="686"/>
      <c r="AM504" s="686"/>
      <c r="AN504" s="686"/>
      <c r="AO504" s="686"/>
      <c r="AP504" s="686"/>
      <c r="AQ504" s="686"/>
      <c r="AR504" s="686"/>
      <c r="AS504" s="686"/>
      <c r="AT504" s="686"/>
      <c r="AU504" s="686"/>
      <c r="AV504" s="686"/>
      <c r="AW504" s="686"/>
      <c r="AX504" s="686"/>
      <c r="AY504" s="686"/>
      <c r="AZ504" s="686"/>
      <c r="BA504" s="686"/>
      <c r="BB504" s="686"/>
      <c r="BC504" s="686"/>
      <c r="BD504" s="686"/>
      <c r="BE504" s="686"/>
      <c r="BF504" s="686"/>
      <c r="BG504" s="686"/>
      <c r="BH504" s="686"/>
      <c r="BI504" s="686"/>
      <c r="BJ504" s="686"/>
      <c r="BK504" s="686"/>
      <c r="BL504" s="686"/>
      <c r="BM504" s="686"/>
      <c r="BN504" s="686"/>
      <c r="BO504" s="686"/>
      <c r="BP504" s="686"/>
      <c r="BQ504" s="686"/>
      <c r="BR504" s="686"/>
      <c r="BS504" s="686"/>
      <c r="BT504" s="686"/>
    </row>
    <row r="505" spans="1:72" s="688" customFormat="1" ht="12.75" hidden="1" customHeight="1" outlineLevel="1">
      <c r="A505" s="3189"/>
      <c r="B505" s="3190"/>
      <c r="C505" s="3182" t="s">
        <v>777</v>
      </c>
      <c r="D505" s="3182"/>
      <c r="E505" s="1579"/>
      <c r="F505" s="1016">
        <f>IF(SETUP!$F$51="Upfront",$E$504*'Malaria-Pharmaceuticals'!AX15,0)</f>
        <v>0</v>
      </c>
      <c r="G505" s="920">
        <f>IF(SETUP!$F$51="Upfront",$E$504*'Malaria-Pharmaceuticals'!AY15,0)</f>
        <v>0</v>
      </c>
      <c r="H505" s="920">
        <f>IF(SETUP!$F$51="Upfront",$E$504*'Malaria-Pharmaceuticals'!AZ15,0)</f>
        <v>0</v>
      </c>
      <c r="I505" s="920">
        <f>IF(SETUP!$F$51="Upfront",$E$504*'Malaria-Pharmaceuticals'!BA15,0)</f>
        <v>0</v>
      </c>
      <c r="J505" s="920">
        <f t="shared" si="77"/>
        <v>0</v>
      </c>
      <c r="K505" s="1016">
        <f>IF(SETUP!$F$51="Upfront",$E$504*'Malaria-Pharmaceuticals'!BB15,0)</f>
        <v>0</v>
      </c>
      <c r="L505" s="920">
        <f>IF(SETUP!$F$51="Upfront",$E$504*'Malaria-Pharmaceuticals'!BC15,0)</f>
        <v>0</v>
      </c>
      <c r="M505" s="920">
        <f>IF(SETUP!$F$51="Upfront",$E$504*'Malaria-Pharmaceuticals'!BD15,0)</f>
        <v>0</v>
      </c>
      <c r="N505" s="920">
        <f>IF(SETUP!$F$51="Upfront",$E$504*'Malaria-Pharmaceuticals'!BE15,0)</f>
        <v>0</v>
      </c>
      <c r="O505" s="920">
        <f t="shared" si="78"/>
        <v>0</v>
      </c>
      <c r="P505" s="1016">
        <f>IF(SETUP!$F$51="Upfront",$E$504*'Malaria-Pharmaceuticals'!BF15,0)</f>
        <v>0</v>
      </c>
      <c r="Q505" s="920">
        <f>IF(SETUP!$F$51="Upfront",$E$504*'Malaria-Pharmaceuticals'!BG15,0)</f>
        <v>0</v>
      </c>
      <c r="R505" s="920">
        <f>IF(SETUP!$F$51="Upfront",$E$504*'Malaria-Pharmaceuticals'!BH15,0)</f>
        <v>0</v>
      </c>
      <c r="S505" s="920">
        <f>IF(SETUP!$F$51="Upfront",$E$504*'Malaria-Pharmaceuticals'!BI15,0)</f>
        <v>0</v>
      </c>
      <c r="T505" s="920">
        <f t="shared" si="79"/>
        <v>0</v>
      </c>
      <c r="U505" s="1016">
        <f t="shared" si="80"/>
        <v>0</v>
      </c>
      <c r="V505" s="1344">
        <v>7.4</v>
      </c>
      <c r="W505" s="2011"/>
      <c r="X505" s="575"/>
      <c r="Y505" s="1350"/>
      <c r="Z505" s="655"/>
      <c r="AA505" s="686"/>
      <c r="AB505" s="686"/>
      <c r="AC505" s="686"/>
      <c r="AD505" s="686"/>
      <c r="AE505" s="686"/>
      <c r="AF505" s="686"/>
      <c r="AG505" s="686"/>
      <c r="AH505" s="687"/>
      <c r="AI505" s="686"/>
      <c r="AJ505" s="686"/>
      <c r="AK505" s="686"/>
      <c r="AL505" s="686"/>
      <c r="AM505" s="686"/>
      <c r="AN505" s="686"/>
      <c r="AO505" s="686"/>
      <c r="AP505" s="686"/>
      <c r="AQ505" s="686"/>
      <c r="AR505" s="686"/>
      <c r="AS505" s="686"/>
      <c r="AT505" s="686"/>
      <c r="AU505" s="686"/>
      <c r="AV505" s="686"/>
      <c r="AW505" s="686"/>
      <c r="AX505" s="686"/>
      <c r="AY505" s="686"/>
      <c r="AZ505" s="686"/>
      <c r="BA505" s="686"/>
      <c r="BB505" s="686"/>
      <c r="BC505" s="686"/>
      <c r="BD505" s="686"/>
      <c r="BE505" s="686"/>
      <c r="BF505" s="686"/>
      <c r="BG505" s="686"/>
      <c r="BH505" s="686"/>
      <c r="BI505" s="686"/>
      <c r="BJ505" s="686"/>
      <c r="BK505" s="686"/>
      <c r="BL505" s="686"/>
      <c r="BM505" s="686"/>
      <c r="BN505" s="686"/>
      <c r="BO505" s="686"/>
      <c r="BP505" s="686"/>
      <c r="BQ505" s="686"/>
      <c r="BR505" s="686"/>
      <c r="BS505" s="686"/>
      <c r="BT505" s="686"/>
    </row>
    <row r="506" spans="1:72" s="688" customFormat="1" ht="13.5" hidden="1" customHeight="1" outlineLevel="1" thickBot="1">
      <c r="A506" s="3189"/>
      <c r="B506" s="3190"/>
      <c r="C506" s="3182" t="s">
        <v>36</v>
      </c>
      <c r="D506" s="3182"/>
      <c r="E506" s="1580"/>
      <c r="F506" s="1016">
        <v>0</v>
      </c>
      <c r="G506" s="920">
        <f>IF(SETUP!$F$51="At delivery",IF(SETUP!$G$51=1,$E$504*'Malaria-Pharmaceuticals'!AX15,0),0)</f>
        <v>0</v>
      </c>
      <c r="H506" s="920">
        <f>IF(SETUP!$F$51="At delivery",IF(SETUP!$G$51=2,$E$504*'Malaria-Pharmaceuticals'!AX15,IF(SETUP!$G$51=1,$E$504*'Malaria-Pharmaceuticals'!AY15,0)),0)</f>
        <v>0</v>
      </c>
      <c r="I506" s="920">
        <f>IF(SETUP!$F$51="At delivery",IF(SETUP!$G$51=3,$E$504*'Malaria-Pharmaceuticals'!AX15,IF(SETUP!$G$51=2,$E$504*'Malaria-Pharmaceuticals'!AY15,IF(SETUP!$G$51=1,$E$504*'Malaria-Pharmaceuticals'!AZ15,0))),0)</f>
        <v>0</v>
      </c>
      <c r="J506" s="920">
        <f t="shared" si="77"/>
        <v>0</v>
      </c>
      <c r="K506" s="1016">
        <f>IF(SETUP!$F$51="At delivery",IF(SETUP!$G$51=4,$E$504*'Malaria-Pharmaceuticals'!AX15,IF(SETUP!$G$51=3,$E$504*'Malaria-Pharmaceuticals'!AY15,IF(SETUP!$G$51=2,$E$504*'Malaria-Pharmaceuticals'!AZ15,IF(SETUP!$G$51=1,$E$504*'Malaria-Pharmaceuticals'!BA15,0)))),0)</f>
        <v>0</v>
      </c>
      <c r="L506" s="920">
        <f>IF(SETUP!$F$51="At delivery",IF(SETUP!$G$51=4,$E$504*'Malaria-Pharmaceuticals'!AY15,IF(SETUP!$G$51=3,$E$504*'Malaria-Pharmaceuticals'!AZ15,IF(SETUP!$G$51=2,$E$504*'Malaria-Pharmaceuticals'!BA15,IF(SETUP!$G$51=1,$E$504*'Malaria-Pharmaceuticals'!BB15,0)))),0)</f>
        <v>0</v>
      </c>
      <c r="M506" s="920">
        <f>IF(SETUP!$F$51="At delivery",IF(SETUP!$G$51=4,$E$504*'Malaria-Pharmaceuticals'!AZ15,IF(SETUP!$G$51=3,$E$504*'Malaria-Pharmaceuticals'!BA15,IF(SETUP!$G$51=2,$E$504*'Malaria-Pharmaceuticals'!BB15,IF(SETUP!$G$51=1,$E$504*'Malaria-Pharmaceuticals'!BC15,0)))),0)</f>
        <v>0</v>
      </c>
      <c r="N506" s="920">
        <f>IF(SETUP!$F$51="At delivery",IF(SETUP!$G$51=4,$E$504*'Malaria-Pharmaceuticals'!BA15,IF(SETUP!$G$51=3,$E$504*'Malaria-Pharmaceuticals'!BB15,IF(SETUP!$G$51=2,$E$504*'Malaria-Pharmaceuticals'!BC15,IF(SETUP!$G$51=1,$E$504*'Malaria-Pharmaceuticals'!BD15,0)))),0)</f>
        <v>0</v>
      </c>
      <c r="O506" s="920">
        <f t="shared" si="78"/>
        <v>0</v>
      </c>
      <c r="P506" s="1016">
        <f>IF(SETUP!$F$51="At delivery",IF(SETUP!$G$51=4,$E$504*'Malaria-Pharmaceuticals'!BB15,IF(SETUP!$G$51=3,$E$504*'Malaria-Pharmaceuticals'!BC15,IF(SETUP!$G$51=2,$E$504*'Malaria-Pharmaceuticals'!BD15,IF(SETUP!$G$51=1,$E$504*'Malaria-Pharmaceuticals'!BE15,0)))),0)</f>
        <v>0</v>
      </c>
      <c r="Q506" s="920">
        <f>IF(SETUP!$F$51="At delivery",IF(SETUP!$G$51=4,$E$504*'Malaria-Pharmaceuticals'!BC15,IF(SETUP!$G$51=3,$E$504*'Malaria-Pharmaceuticals'!BD15,IF(SETUP!$G$51=2,$E$504*'Malaria-Pharmaceuticals'!BE15,IF(SETUP!$G$51=1,$E$504*'Malaria-Pharmaceuticals'!BF15,0)))),0)</f>
        <v>0</v>
      </c>
      <c r="R506" s="920">
        <f>IF(SETUP!$F$51="At delivery",IF(SETUP!$G$51=4,$E$504*'Malaria-Pharmaceuticals'!BD15,IF(SETUP!$G$51=3,$E$504*'Malaria-Pharmaceuticals'!BE15,IF(SETUP!$G$51=2,$E$504*'Malaria-Pharmaceuticals'!BF15,IF(SETUP!$G$51=1,$E$504*'Malaria-Pharmaceuticals'!BG15,0)))),0)</f>
        <v>0</v>
      </c>
      <c r="S506" s="920">
        <f>IF(SETUP!$F$51="At delivery",IF(SETUP!$G$51=4,$E$504*('Malaria-Pharmaceuticals'!BE15+'Malaria-Pharmaceuticals'!BF15+'Malaria-Pharmaceuticals'!BG15+'Malaria-Pharmaceuticals'!BH15+'Malaria-Pharmaceuticals'!BI15),IF(SETUP!$G$51=3,$E$504*('Malaria-Pharmaceuticals'!BF15+'Malaria-Pharmaceuticals'!BG15+'Malaria-Pharmaceuticals'!BH15+'Malaria-Pharmaceuticals'!BI15),IF(SETUP!$G$51=2,$E$504*('Malaria-Pharmaceuticals'!BG15+'Malaria-Pharmaceuticals'!BH15+'Malaria-Pharmaceuticals'!BI15),IF(SETUP!$G$51=1,$E$504*('Malaria-Pharmaceuticals'!BH15+'Malaria-Pharmaceuticals'!BI15),0)))),0)</f>
        <v>0</v>
      </c>
      <c r="T506" s="920">
        <f t="shared" si="79"/>
        <v>0</v>
      </c>
      <c r="U506" s="1016">
        <f t="shared" si="80"/>
        <v>0</v>
      </c>
      <c r="V506" s="1344">
        <v>7.4</v>
      </c>
      <c r="W506" s="2011"/>
      <c r="X506" s="575"/>
      <c r="Y506" s="1350"/>
      <c r="Z506" s="655"/>
      <c r="AA506" s="686"/>
      <c r="AB506" s="686"/>
      <c r="AC506" s="686"/>
      <c r="AD506" s="686"/>
      <c r="AE506" s="686"/>
      <c r="AF506" s="686"/>
      <c r="AG506" s="686"/>
      <c r="AH506" s="687"/>
      <c r="AI506" s="686"/>
      <c r="AJ506" s="686"/>
      <c r="AK506" s="686"/>
      <c r="AL506" s="686"/>
      <c r="AM506" s="686"/>
      <c r="AN506" s="686"/>
      <c r="AO506" s="686"/>
      <c r="AP506" s="686"/>
      <c r="AQ506" s="686"/>
      <c r="AR506" s="686"/>
      <c r="AS506" s="686"/>
      <c r="AT506" s="686"/>
      <c r="AU506" s="686"/>
      <c r="AV506" s="686"/>
      <c r="AW506" s="686"/>
      <c r="AX506" s="686"/>
      <c r="AY506" s="686"/>
      <c r="AZ506" s="686"/>
      <c r="BA506" s="686"/>
      <c r="BB506" s="686"/>
      <c r="BC506" s="686"/>
      <c r="BD506" s="686"/>
      <c r="BE506" s="686"/>
      <c r="BF506" s="686"/>
      <c r="BG506" s="686"/>
      <c r="BH506" s="686"/>
      <c r="BI506" s="686"/>
      <c r="BJ506" s="686"/>
      <c r="BK506" s="686"/>
      <c r="BL506" s="686"/>
      <c r="BM506" s="686"/>
      <c r="BN506" s="686"/>
      <c r="BO506" s="686"/>
      <c r="BP506" s="686"/>
      <c r="BQ506" s="686"/>
      <c r="BR506" s="686"/>
      <c r="BS506" s="686"/>
      <c r="BT506" s="686"/>
    </row>
    <row r="507" spans="1:72" s="688" customFormat="1" ht="16.149999999999999" hidden="1" customHeight="1" collapsed="1" thickBot="1">
      <c r="A507" s="3227" t="s">
        <v>454</v>
      </c>
      <c r="B507" s="3228"/>
      <c r="C507" s="3188" t="s">
        <v>292</v>
      </c>
      <c r="D507" s="3188"/>
      <c r="E507" s="1245">
        <v>0</v>
      </c>
      <c r="F507" s="1016">
        <f>IF(SETUP!$F$52="Upfront",F508,F509)</f>
        <v>0</v>
      </c>
      <c r="G507" s="920">
        <f>IF(SETUP!$F$52="Upfront",G508,G509)</f>
        <v>0</v>
      </c>
      <c r="H507" s="920">
        <f>IF(SETUP!$F$52="Upfront",H508,H509)</f>
        <v>0</v>
      </c>
      <c r="I507" s="920">
        <f>IF(SETUP!$F$52="Upfront",I508,I509)</f>
        <v>0</v>
      </c>
      <c r="J507" s="920">
        <f t="shared" si="77"/>
        <v>0</v>
      </c>
      <c r="K507" s="1016">
        <f>IF(SETUP!$F$52="Upfront",K508,K509)</f>
        <v>0</v>
      </c>
      <c r="L507" s="920">
        <f>IF(SETUP!$F$52="Upfront",L508,L509)</f>
        <v>0</v>
      </c>
      <c r="M507" s="920">
        <f>IF(SETUP!$F$52="Upfront",M508,M509)</f>
        <v>0</v>
      </c>
      <c r="N507" s="920">
        <f>IF(SETUP!$F$52="Upfront",N508,N509)</f>
        <v>0</v>
      </c>
      <c r="O507" s="920">
        <f t="shared" si="78"/>
        <v>0</v>
      </c>
      <c r="P507" s="1016">
        <f>IF(SETUP!$F$52="Upfront",P508,P509)</f>
        <v>0</v>
      </c>
      <c r="Q507" s="920">
        <f>IF(SETUP!$F$52="Upfront",Q508,Q509)</f>
        <v>0</v>
      </c>
      <c r="R507" s="920">
        <f>IF(SETUP!$F$52="Upfront",R508,R509)</f>
        <v>0</v>
      </c>
      <c r="S507" s="920">
        <f>IF(SETUP!$F$52="Upfront",S508,S509)</f>
        <v>0</v>
      </c>
      <c r="T507" s="920">
        <f t="shared" si="79"/>
        <v>0</v>
      </c>
      <c r="U507" s="1016">
        <f t="shared" si="80"/>
        <v>0</v>
      </c>
      <c r="V507" s="1344">
        <v>7.4</v>
      </c>
      <c r="W507" s="2011"/>
      <c r="X507" s="575"/>
      <c r="Y507" s="1350"/>
      <c r="Z507" s="655"/>
      <c r="AA507" s="686"/>
      <c r="AB507" s="686"/>
      <c r="AC507" s="686"/>
      <c r="AD507" s="686"/>
      <c r="AE507" s="686"/>
      <c r="AF507" s="686"/>
      <c r="AG507" s="686"/>
      <c r="AH507" s="687"/>
      <c r="AI507" s="686"/>
      <c r="AJ507" s="686"/>
      <c r="AK507" s="686"/>
      <c r="AL507" s="686"/>
      <c r="AM507" s="686"/>
      <c r="AN507" s="686"/>
      <c r="AO507" s="686"/>
      <c r="AP507" s="686"/>
      <c r="AQ507" s="686"/>
      <c r="AR507" s="686"/>
      <c r="AS507" s="686"/>
      <c r="AT507" s="686"/>
      <c r="AU507" s="686"/>
      <c r="AV507" s="686"/>
      <c r="AW507" s="686"/>
      <c r="AX507" s="686"/>
      <c r="AY507" s="686"/>
      <c r="AZ507" s="686"/>
      <c r="BA507" s="686"/>
      <c r="BB507" s="686"/>
      <c r="BC507" s="686"/>
      <c r="BD507" s="686"/>
      <c r="BE507" s="686"/>
      <c r="BF507" s="686"/>
      <c r="BG507" s="686"/>
      <c r="BH507" s="686"/>
      <c r="BI507" s="686"/>
      <c r="BJ507" s="686"/>
      <c r="BK507" s="686"/>
      <c r="BL507" s="686"/>
      <c r="BM507" s="686"/>
      <c r="BN507" s="686"/>
      <c r="BO507" s="686"/>
      <c r="BP507" s="686"/>
      <c r="BQ507" s="686"/>
      <c r="BR507" s="686"/>
      <c r="BS507" s="686"/>
      <c r="BT507" s="686"/>
    </row>
    <row r="508" spans="1:72" s="688" customFormat="1" ht="16.149999999999999" hidden="1" customHeight="1" outlineLevel="1">
      <c r="A508" s="3227"/>
      <c r="B508" s="3228"/>
      <c r="C508" s="3182" t="s">
        <v>777</v>
      </c>
      <c r="D508" s="3182"/>
      <c r="E508" s="1579"/>
      <c r="F508" s="1016">
        <f>IF(SETUP!$F$52="Upfront",$E$507*'Malaria-Equipment &amp; Other HPs'!AX14,0)</f>
        <v>0</v>
      </c>
      <c r="G508" s="920">
        <f>IF(SETUP!$F$52="Upfront",$E$507*'Malaria-Equipment &amp; Other HPs'!AY14,0)</f>
        <v>0</v>
      </c>
      <c r="H508" s="920">
        <f>IF(SETUP!$F$52="Upfront",$E$507*'Malaria-Equipment &amp; Other HPs'!AZ14,0)</f>
        <v>0</v>
      </c>
      <c r="I508" s="920">
        <f>IF(SETUP!$F$52="Upfront",$E$507*'Malaria-Equipment &amp; Other HPs'!BA14,0)</f>
        <v>0</v>
      </c>
      <c r="J508" s="920">
        <f t="shared" si="77"/>
        <v>0</v>
      </c>
      <c r="K508" s="1016">
        <f>IF(SETUP!$F$52="Upfront",$E$507*'Malaria-Equipment &amp; Other HPs'!BB14,0)</f>
        <v>0</v>
      </c>
      <c r="L508" s="920">
        <f>IF(SETUP!$F$52="Upfront",$E$507*'Malaria-Equipment &amp; Other HPs'!BC14,0)</f>
        <v>0</v>
      </c>
      <c r="M508" s="920">
        <f>IF(SETUP!$F$52="Upfront",$E$507*'Malaria-Equipment &amp; Other HPs'!BD14,0)</f>
        <v>0</v>
      </c>
      <c r="N508" s="920">
        <f>IF(SETUP!$F$52="Upfront",$E$507*'Malaria-Equipment &amp; Other HPs'!BE14,0)</f>
        <v>0</v>
      </c>
      <c r="O508" s="920">
        <f t="shared" si="78"/>
        <v>0</v>
      </c>
      <c r="P508" s="1016">
        <f>IF(SETUP!$F$52="Upfront",$E$507*'Malaria-Equipment &amp; Other HPs'!BF14,0)</f>
        <v>0</v>
      </c>
      <c r="Q508" s="920">
        <f>IF(SETUP!$F$52="Upfront",$E$507*'Malaria-Equipment &amp; Other HPs'!BG14,0)</f>
        <v>0</v>
      </c>
      <c r="R508" s="920">
        <f>IF(SETUP!$F$52="Upfront",$E$507*'Malaria-Equipment &amp; Other HPs'!BH14,0)</f>
        <v>0</v>
      </c>
      <c r="S508" s="920">
        <f>IF(SETUP!$F$52="Upfront",$E$507*'Malaria-Equipment &amp; Other HPs'!BI14,0)</f>
        <v>0</v>
      </c>
      <c r="T508" s="920">
        <f t="shared" si="79"/>
        <v>0</v>
      </c>
      <c r="U508" s="1016">
        <f t="shared" si="80"/>
        <v>0</v>
      </c>
      <c r="V508" s="1344">
        <v>7.4</v>
      </c>
      <c r="W508" s="2011"/>
      <c r="X508" s="575"/>
      <c r="Y508" s="1350"/>
      <c r="Z508" s="655"/>
      <c r="AA508" s="686"/>
      <c r="AB508" s="686"/>
      <c r="AC508" s="686"/>
      <c r="AD508" s="686"/>
      <c r="AE508" s="686"/>
      <c r="AF508" s="686"/>
      <c r="AG508" s="686"/>
      <c r="AH508" s="687"/>
      <c r="AI508" s="686"/>
      <c r="AJ508" s="686"/>
      <c r="AK508" s="686"/>
      <c r="AL508" s="686"/>
      <c r="AM508" s="686"/>
      <c r="AN508" s="686"/>
      <c r="AO508" s="686"/>
      <c r="AP508" s="686"/>
      <c r="AQ508" s="686"/>
      <c r="AR508" s="686"/>
      <c r="AS508" s="686"/>
      <c r="AT508" s="686"/>
      <c r="AU508" s="686"/>
      <c r="AV508" s="686"/>
      <c r="AW508" s="686"/>
      <c r="AX508" s="686"/>
      <c r="AY508" s="686"/>
      <c r="AZ508" s="686"/>
      <c r="BA508" s="686"/>
      <c r="BB508" s="686"/>
      <c r="BC508" s="686"/>
      <c r="BD508" s="686"/>
      <c r="BE508" s="686"/>
      <c r="BF508" s="686"/>
      <c r="BG508" s="686"/>
      <c r="BH508" s="686"/>
      <c r="BI508" s="686"/>
      <c r="BJ508" s="686"/>
      <c r="BK508" s="686"/>
      <c r="BL508" s="686"/>
      <c r="BM508" s="686"/>
      <c r="BN508" s="686"/>
      <c r="BO508" s="686"/>
      <c r="BP508" s="686"/>
      <c r="BQ508" s="686"/>
      <c r="BR508" s="686"/>
      <c r="BS508" s="686"/>
      <c r="BT508" s="686"/>
    </row>
    <row r="509" spans="1:72" s="688" customFormat="1" ht="17.25" hidden="1" customHeight="1" outlineLevel="1" thickBot="1">
      <c r="A509" s="3227"/>
      <c r="B509" s="3228"/>
      <c r="C509" s="3182" t="s">
        <v>36</v>
      </c>
      <c r="D509" s="3182"/>
      <c r="E509" s="1579"/>
      <c r="F509" s="1016">
        <v>0</v>
      </c>
      <c r="G509" s="920">
        <f>IF(SETUP!$F$52="At delivery",IF(SETUP!$G$52=1,$E$507*'Malaria-Equipment &amp; Other HPs'!AX14,0),0)</f>
        <v>0</v>
      </c>
      <c r="H509" s="920">
        <f>IF(SETUP!$F$52="At delivery",IF(SETUP!$G$52=2,$E$507*'Malaria-Equipment &amp; Other HPs'!AX14,IF(SETUP!$G$52=1,$E$507*'Malaria-Equipment &amp; Other HPs'!AY14,0)),0)</f>
        <v>0</v>
      </c>
      <c r="I509" s="920">
        <f>IF(SETUP!$F$52="At delivery",IF(SETUP!$G$52=3,$E$507*'Malaria-Equipment &amp; Other HPs'!AX14,IF(SETUP!$G$52=2,$E$507*'Malaria-Equipment &amp; Other HPs'!AY14,IF(SETUP!$G$52=1,$E$507*'Malaria-Equipment &amp; Other HPs'!AZ14,0))),0)</f>
        <v>0</v>
      </c>
      <c r="J509" s="920">
        <f t="shared" si="77"/>
        <v>0</v>
      </c>
      <c r="K509" s="1016">
        <f>IF(SETUP!$F$52="At delivery",IF(SETUP!$G$52=4,$E$507*'Malaria-Equipment &amp; Other HPs'!AX14,IF(SETUP!$G$52=3,$E$507*'Malaria-Equipment &amp; Other HPs'!AY14,IF(SETUP!$G$52=2,$E$507*'Malaria-Equipment &amp; Other HPs'!AZ14,IF(SETUP!$G$52=1,$E$507*'Malaria-Equipment &amp; Other HPs'!BA14,0)))),0)</f>
        <v>0</v>
      </c>
      <c r="L509" s="920">
        <f>IF(SETUP!$F$52="At delivery",IF(SETUP!$G$52=4,$E$507*'Malaria-Equipment &amp; Other HPs'!AY14,IF(SETUP!$G$52=3,$E$507*'Malaria-Equipment &amp; Other HPs'!AZ14,IF(SETUP!$G$52=2,$E$507*'Malaria-Equipment &amp; Other HPs'!BA14,IF(SETUP!$G$52=1,$E$507*'Malaria-Equipment &amp; Other HPs'!BB14,0)))),0)</f>
        <v>0</v>
      </c>
      <c r="M509" s="920">
        <f>IF(SETUP!$F$52="At delivery",IF(SETUP!$G$52=4,$E$507*'Malaria-Equipment &amp; Other HPs'!AZ14,IF(SETUP!$G$52=3,$E$507*'Malaria-Equipment &amp; Other HPs'!BA14,IF(SETUP!$G$52=2,$E$507*'Malaria-Equipment &amp; Other HPs'!BB14,IF(SETUP!$G$52=1,$E$507*'Malaria-Equipment &amp; Other HPs'!BC14,0)))),0)</f>
        <v>0</v>
      </c>
      <c r="N509" s="920">
        <f>IF(SETUP!$F$52="At delivery",IF(SETUP!$G$52=4,$E$507*'Malaria-Equipment &amp; Other HPs'!BA14,IF(SETUP!$G$52=3,$E$507*'Malaria-Equipment &amp; Other HPs'!BB14,IF(SETUP!$G$52=2,$E$507*'Malaria-Equipment &amp; Other HPs'!BC14,IF(SETUP!$G$52=1,$E$507*'Malaria-Equipment &amp; Other HPs'!BD14,0)))),0)</f>
        <v>0</v>
      </c>
      <c r="O509" s="920">
        <f t="shared" si="78"/>
        <v>0</v>
      </c>
      <c r="P509" s="1016">
        <f>IF(SETUP!$F$52="At delivery",IF(SETUP!$G$52=4,$E$507*'Malaria-Equipment &amp; Other HPs'!BB14,IF(SETUP!$G$52=3,$E$507*'Malaria-Equipment &amp; Other HPs'!BC14,IF(SETUP!$G$52=2,$E$507*'Malaria-Equipment &amp; Other HPs'!BD14,IF(SETUP!$G$52=1,$E$507*'Malaria-Equipment &amp; Other HPs'!BE14,0)))),0)</f>
        <v>0</v>
      </c>
      <c r="Q509" s="920">
        <f>IF(SETUP!$F$52="At delivery",IF(SETUP!$G$52=4,$E$507*'Malaria-Equipment &amp; Other HPs'!BC14,IF(SETUP!$G$52=3,$E$507*'Malaria-Equipment &amp; Other HPs'!BD14,IF(SETUP!$G$52=2,$E$507*'Malaria-Equipment &amp; Other HPs'!BE14,IF(SETUP!$G$52=1,$E$507*'Malaria-Equipment &amp; Other HPs'!BF14,0)))),0)</f>
        <v>0</v>
      </c>
      <c r="R509" s="920">
        <f>IF(SETUP!$F$52="At delivery",IF(SETUP!$G$52=4,$E$507*'Malaria-Equipment &amp; Other HPs'!BD14,IF(SETUP!$G$52=3,$E$507*'Malaria-Equipment &amp; Other HPs'!BE14,IF(SETUP!$G$52=2,$E$507*'Malaria-Equipment &amp; Other HPs'!BF14,IF(SETUP!$G$52=1,$E$507*'Malaria-Equipment &amp; Other HPs'!BG14,0)))),0)</f>
        <v>0</v>
      </c>
      <c r="S509" s="920">
        <f>IF(SETUP!$F$52="At delivery",IF(SETUP!$G$52=4,$E$507*('Malaria-Equipment &amp; Other HPs'!BE14+'Malaria-Equipment &amp; Other HPs'!BF14+'Malaria-Equipment &amp; Other HPs'!BG14+'Malaria-Equipment &amp; Other HPs'!BH14+'Malaria-Equipment &amp; Other HPs'!BI14),IF(SETUP!$G$52=3,$E$507*('Malaria-Equipment &amp; Other HPs'!BF14+'Malaria-Equipment &amp; Other HPs'!BG14+'Malaria-Equipment &amp; Other HPs'!BH14+'Malaria-Equipment &amp; Other HPs'!BI14),IF(SETUP!$G$52=2,$E$507*('Malaria-Equipment &amp; Other HPs'!BG14+'Malaria-Equipment &amp; Other HPs'!BH14+'Malaria-Equipment &amp; Other HPs'!BI14),IF(SETUP!$G$52=1,$E$507*('Malaria-Equipment &amp; Other HPs'!BH14+'Malaria-Equipment &amp; Other HPs'!BI14),0)))),0)</f>
        <v>0</v>
      </c>
      <c r="T509" s="920">
        <f t="shared" si="79"/>
        <v>0</v>
      </c>
      <c r="U509" s="1016">
        <f t="shared" si="80"/>
        <v>0</v>
      </c>
      <c r="V509" s="1344">
        <v>7.4</v>
      </c>
      <c r="W509" s="2011"/>
      <c r="X509" s="575"/>
      <c r="Y509" s="1350"/>
      <c r="Z509" s="655"/>
      <c r="AA509" s="686"/>
      <c r="AB509" s="686"/>
      <c r="AC509" s="686"/>
      <c r="AD509" s="686"/>
      <c r="AE509" s="686"/>
      <c r="AF509" s="686"/>
      <c r="AG509" s="686"/>
      <c r="AH509" s="687"/>
      <c r="AI509" s="686"/>
      <c r="AJ509" s="686"/>
      <c r="AK509" s="686"/>
      <c r="AL509" s="686"/>
      <c r="AM509" s="686"/>
      <c r="AN509" s="686"/>
      <c r="AO509" s="686"/>
      <c r="AP509" s="686"/>
      <c r="AQ509" s="686"/>
      <c r="AR509" s="686"/>
      <c r="AS509" s="686"/>
      <c r="AT509" s="686"/>
      <c r="AU509" s="686"/>
      <c r="AV509" s="686"/>
      <c r="AW509" s="686"/>
      <c r="AX509" s="686"/>
      <c r="AY509" s="686"/>
      <c r="AZ509" s="686"/>
      <c r="BA509" s="686"/>
      <c r="BB509" s="686"/>
      <c r="BC509" s="686"/>
      <c r="BD509" s="686"/>
      <c r="BE509" s="686"/>
      <c r="BF509" s="686"/>
      <c r="BG509" s="686"/>
      <c r="BH509" s="686"/>
      <c r="BI509" s="686"/>
      <c r="BJ509" s="686"/>
      <c r="BK509" s="686"/>
      <c r="BL509" s="686"/>
      <c r="BM509" s="686"/>
      <c r="BN509" s="686"/>
      <c r="BO509" s="686"/>
      <c r="BP509" s="686"/>
      <c r="BQ509" s="686"/>
      <c r="BR509" s="686"/>
      <c r="BS509" s="686"/>
      <c r="BT509" s="686"/>
    </row>
    <row r="510" spans="1:72" s="688" customFormat="1" ht="13" hidden="1" collapsed="1">
      <c r="A510" s="3227"/>
      <c r="B510" s="3228"/>
      <c r="C510" s="3188" t="s">
        <v>455</v>
      </c>
      <c r="D510" s="3188"/>
      <c r="E510" s="1245">
        <v>0</v>
      </c>
      <c r="F510" s="1016">
        <f>IF(SETUP!$F$53="Upfront",F511,F512)</f>
        <v>0</v>
      </c>
      <c r="G510" s="920">
        <f>IF(SETUP!$F$53="Upfront",G511,G512)</f>
        <v>0</v>
      </c>
      <c r="H510" s="920">
        <f>IF(SETUP!$F$53="Upfront",H511,H512)</f>
        <v>0</v>
      </c>
      <c r="I510" s="920">
        <f>IF(SETUP!$F$53="Upfront",I511,I512)</f>
        <v>0</v>
      </c>
      <c r="J510" s="920">
        <f t="shared" si="77"/>
        <v>0</v>
      </c>
      <c r="K510" s="1016">
        <f>IF(SETUP!$F$53="Upfront",K511,K512)</f>
        <v>0</v>
      </c>
      <c r="L510" s="920">
        <f>IF(SETUP!$F$53="Upfront",L511,L512)</f>
        <v>0</v>
      </c>
      <c r="M510" s="920">
        <f>IF(SETUP!$F$53="Upfront",M511,M512)</f>
        <v>0</v>
      </c>
      <c r="N510" s="920">
        <f>IF(SETUP!$F$53="Upfront",N511,N512)</f>
        <v>0</v>
      </c>
      <c r="O510" s="920">
        <f t="shared" si="78"/>
        <v>0</v>
      </c>
      <c r="P510" s="1016">
        <f>IF(SETUP!$F$53="Upfront",P511,P512)</f>
        <v>0</v>
      </c>
      <c r="Q510" s="920">
        <f>IF(SETUP!$F$53="Upfront",Q511,Q512)</f>
        <v>0</v>
      </c>
      <c r="R510" s="920">
        <f>IF(SETUP!$F$53="Upfront",R511,R512)</f>
        <v>0</v>
      </c>
      <c r="S510" s="920">
        <f>IF(SETUP!$F$53="Upfront",S511,S512)</f>
        <v>0</v>
      </c>
      <c r="T510" s="920">
        <f t="shared" si="79"/>
        <v>0</v>
      </c>
      <c r="U510" s="1016">
        <f t="shared" si="80"/>
        <v>0</v>
      </c>
      <c r="V510" s="1344">
        <v>7.4</v>
      </c>
      <c r="W510" s="2011"/>
      <c r="X510" s="575"/>
      <c r="Y510" s="1350"/>
      <c r="Z510" s="655"/>
      <c r="AA510" s="686"/>
      <c r="AB510" s="686"/>
      <c r="AC510" s="686"/>
      <c r="AD510" s="686"/>
      <c r="AE510" s="686"/>
      <c r="AF510" s="686"/>
      <c r="AG510" s="686"/>
      <c r="AH510" s="687"/>
      <c r="AI510" s="686"/>
      <c r="AJ510" s="686"/>
      <c r="AK510" s="686"/>
      <c r="AL510" s="686"/>
      <c r="AM510" s="686"/>
      <c r="AN510" s="686"/>
      <c r="AO510" s="686"/>
      <c r="AP510" s="686"/>
      <c r="AQ510" s="686"/>
      <c r="AR510" s="686"/>
      <c r="AS510" s="686"/>
      <c r="AT510" s="686"/>
      <c r="AU510" s="686"/>
      <c r="AV510" s="686"/>
      <c r="AW510" s="686"/>
      <c r="AX510" s="686"/>
      <c r="AY510" s="686"/>
      <c r="AZ510" s="686"/>
      <c r="BA510" s="686"/>
      <c r="BB510" s="686"/>
      <c r="BC510" s="686"/>
      <c r="BD510" s="686"/>
      <c r="BE510" s="686"/>
      <c r="BF510" s="686"/>
      <c r="BG510" s="686"/>
      <c r="BH510" s="686"/>
      <c r="BI510" s="686"/>
      <c r="BJ510" s="686"/>
      <c r="BK510" s="686"/>
      <c r="BL510" s="686"/>
      <c r="BM510" s="686"/>
      <c r="BN510" s="686"/>
      <c r="BO510" s="686"/>
      <c r="BP510" s="686"/>
      <c r="BQ510" s="686"/>
      <c r="BR510" s="686"/>
      <c r="BS510" s="686"/>
      <c r="BT510" s="686"/>
    </row>
    <row r="511" spans="1:72" s="688" customFormat="1" ht="16.149999999999999" hidden="1" customHeight="1" outlineLevel="1">
      <c r="A511" s="3227"/>
      <c r="B511" s="3228"/>
      <c r="C511" s="3182" t="s">
        <v>777</v>
      </c>
      <c r="D511" s="3182"/>
      <c r="E511" s="1579"/>
      <c r="F511" s="1016">
        <f>IF(SETUP!$F$53="Upfront",$E$510*'Malaria-Equipment &amp; Other HPs'!AX15,0)</f>
        <v>0</v>
      </c>
      <c r="G511" s="920">
        <f>IF(SETUP!$F$53="Upfront",$E$510*'Malaria-Equipment &amp; Other HPs'!AY15,0)</f>
        <v>0</v>
      </c>
      <c r="H511" s="920">
        <f>IF(SETUP!$F$53="Upfront",$E$510*'Malaria-Equipment &amp; Other HPs'!AZ15,0)</f>
        <v>0</v>
      </c>
      <c r="I511" s="920">
        <f>IF(SETUP!$F$53="Upfront",$E$510*'Malaria-Equipment &amp; Other HPs'!BA15,0)</f>
        <v>0</v>
      </c>
      <c r="J511" s="920">
        <f t="shared" si="77"/>
        <v>0</v>
      </c>
      <c r="K511" s="1016">
        <f>IF(SETUP!$F$53="Upfront",$E$510*'Malaria-Equipment &amp; Other HPs'!BB15,0)</f>
        <v>0</v>
      </c>
      <c r="L511" s="920">
        <f>IF(SETUP!$F$53="Upfront",$E$510*'Malaria-Equipment &amp; Other HPs'!BC15,0)</f>
        <v>0</v>
      </c>
      <c r="M511" s="920">
        <f>IF(SETUP!$F$53="Upfront",$E$510*'Malaria-Equipment &amp; Other HPs'!BD15,0)</f>
        <v>0</v>
      </c>
      <c r="N511" s="920">
        <f>IF(SETUP!$F$53="Upfront",$E$510*'Malaria-Equipment &amp; Other HPs'!BE15,0)</f>
        <v>0</v>
      </c>
      <c r="O511" s="920">
        <f t="shared" si="78"/>
        <v>0</v>
      </c>
      <c r="P511" s="1016">
        <f>IF(SETUP!$F$53="Upfront",$E$510*'Malaria-Equipment &amp; Other HPs'!BF15,0)</f>
        <v>0</v>
      </c>
      <c r="Q511" s="920">
        <f>IF(SETUP!$F$53="Upfront",$E$510*'Malaria-Equipment &amp; Other HPs'!BG15,0)</f>
        <v>0</v>
      </c>
      <c r="R511" s="920">
        <f>IF(SETUP!$F$53="Upfront",$E$510*'Malaria-Equipment &amp; Other HPs'!BH15,0)</f>
        <v>0</v>
      </c>
      <c r="S511" s="920">
        <f>IF(SETUP!$F$53="Upfront",$E$510*'Malaria-Equipment &amp; Other HPs'!BI15,0)</f>
        <v>0</v>
      </c>
      <c r="T511" s="920">
        <f t="shared" si="79"/>
        <v>0</v>
      </c>
      <c r="U511" s="1016">
        <f t="shared" si="80"/>
        <v>0</v>
      </c>
      <c r="V511" s="1344">
        <v>7.4</v>
      </c>
      <c r="W511" s="2011"/>
      <c r="X511" s="575"/>
      <c r="Y511" s="1350"/>
      <c r="Z511" s="655"/>
      <c r="AA511" s="686"/>
      <c r="AB511" s="686"/>
      <c r="AC511" s="686"/>
      <c r="AD511" s="686"/>
      <c r="AE511" s="686"/>
      <c r="AF511" s="686"/>
      <c r="AG511" s="686"/>
      <c r="AH511" s="687"/>
      <c r="AI511" s="686"/>
      <c r="AJ511" s="686"/>
      <c r="AK511" s="686"/>
      <c r="AL511" s="686"/>
      <c r="AM511" s="686"/>
      <c r="AN511" s="686"/>
      <c r="AO511" s="686"/>
      <c r="AP511" s="686"/>
      <c r="AQ511" s="686"/>
      <c r="AR511" s="686"/>
      <c r="AS511" s="686"/>
      <c r="AT511" s="686"/>
      <c r="AU511" s="686"/>
      <c r="AV511" s="686"/>
      <c r="AW511" s="686"/>
      <c r="AX511" s="686"/>
      <c r="AY511" s="686"/>
      <c r="AZ511" s="686"/>
      <c r="BA511" s="686"/>
      <c r="BB511" s="686"/>
      <c r="BC511" s="686"/>
      <c r="BD511" s="686"/>
      <c r="BE511" s="686"/>
      <c r="BF511" s="686"/>
      <c r="BG511" s="686"/>
      <c r="BH511" s="686"/>
      <c r="BI511" s="686"/>
      <c r="BJ511" s="686"/>
      <c r="BK511" s="686"/>
      <c r="BL511" s="686"/>
      <c r="BM511" s="686"/>
      <c r="BN511" s="686"/>
      <c r="BO511" s="686"/>
      <c r="BP511" s="686"/>
      <c r="BQ511" s="686"/>
      <c r="BR511" s="686"/>
      <c r="BS511" s="686"/>
      <c r="BT511" s="686"/>
    </row>
    <row r="512" spans="1:72" s="688" customFormat="1" ht="17.25" hidden="1" customHeight="1" outlineLevel="1">
      <c r="A512" s="3227"/>
      <c r="B512" s="3228"/>
      <c r="C512" s="3182" t="s">
        <v>36</v>
      </c>
      <c r="D512" s="3182"/>
      <c r="E512" s="1580"/>
      <c r="F512" s="1016">
        <v>0</v>
      </c>
      <c r="G512" s="920">
        <f>IF(SETUP!$F$53="At delivery",IF(SETUP!$G$53=1,$E$510*'Malaria-Equipment &amp; Other HPs'!AX15,0),0)</f>
        <v>0</v>
      </c>
      <c r="H512" s="920">
        <f>IF(SETUP!$F$53="At delivery",IF(SETUP!$G$53=2,$E$510*'Malaria-Equipment &amp; Other HPs'!AX15,IF(SETUP!$G$53=1,$E$510*'Malaria-Equipment &amp; Other HPs'!AY15,0)),0)</f>
        <v>0</v>
      </c>
      <c r="I512" s="920">
        <f>IF(SETUP!$F$53="At delivery",IF(SETUP!$G$53=3,$E$510*'Malaria-Equipment &amp; Other HPs'!AX15,IF(SETUP!$G$53=2,$E$510*'Malaria-Equipment &amp; Other HPs'!AY15,IF(SETUP!$G$53=1,$E$510*'Malaria-Equipment &amp; Other HPs'!AZ15,0))),0)</f>
        <v>0</v>
      </c>
      <c r="J512" s="920">
        <f t="shared" si="77"/>
        <v>0</v>
      </c>
      <c r="K512" s="1016">
        <f>IF(SETUP!$F$53="At delivery",IF(SETUP!$G$53=4,$E$510*'Malaria-Equipment &amp; Other HPs'!AX15,IF(SETUP!$G$53=3,$E$510*'Malaria-Equipment &amp; Other HPs'!AY15,IF(SETUP!$G$53=2,$E$510*'Malaria-Equipment &amp; Other HPs'!AZ15,IF(SETUP!$G$53=1,$E$510*'Malaria-Equipment &amp; Other HPs'!BA15,0)))),0)</f>
        <v>0</v>
      </c>
      <c r="L512" s="920">
        <f>IF(SETUP!$F$53="At delivery",IF(SETUP!$G$53=4,$E$510*'Malaria-Equipment &amp; Other HPs'!AY15,IF(SETUP!$G$53=3,$E$510*'Malaria-Equipment &amp; Other HPs'!AZ15,IF(SETUP!$G$53=2,$E$510*'Malaria-Equipment &amp; Other HPs'!BA15,IF(SETUP!$G$53=1,$E$510*'Malaria-Equipment &amp; Other HPs'!BB15,0)))),0)</f>
        <v>0</v>
      </c>
      <c r="M512" s="920">
        <f>IF(SETUP!$F$53="At delivery",IF(SETUP!$G$53=4,$E$510*'Malaria-Equipment &amp; Other HPs'!AZ15,IF(SETUP!$G$53=3,$E$510*'Malaria-Equipment &amp; Other HPs'!BA15,IF(SETUP!$G$53=2,$E$510*'Malaria-Equipment &amp; Other HPs'!BB15,IF(SETUP!$G$53=1,$E$510*'Malaria-Equipment &amp; Other HPs'!BC15,0)))),0)</f>
        <v>0</v>
      </c>
      <c r="N512" s="920">
        <f>IF(SETUP!$F$53="At delivery",IF(SETUP!$G$53=4,$E$510*'Malaria-Equipment &amp; Other HPs'!BA15,IF(SETUP!$G$53=3,$E$510*'Malaria-Equipment &amp; Other HPs'!BB15,IF(SETUP!$G$53=2,$E$510*'Malaria-Equipment &amp; Other HPs'!BC15,IF(SETUP!$G$53=1,$E$510*'Malaria-Equipment &amp; Other HPs'!BD15,0)))),0)</f>
        <v>0</v>
      </c>
      <c r="O512" s="920">
        <f t="shared" si="78"/>
        <v>0</v>
      </c>
      <c r="P512" s="1016">
        <f>IF(SETUP!$F$53="At delivery",IF(SETUP!$G$53=4,$E$510*'Malaria-Equipment &amp; Other HPs'!BB15,IF(SETUP!$G$53=3,$E$510*'Malaria-Equipment &amp; Other HPs'!BC15,IF(SETUP!$G$53=2,$E$510*'Malaria-Equipment &amp; Other HPs'!BD15,IF(SETUP!$G$53=1,$E$510*'Malaria-Equipment &amp; Other HPs'!BE15,0)))),0)</f>
        <v>0</v>
      </c>
      <c r="Q512" s="920">
        <f>IF(SETUP!$F$53="At delivery",IF(SETUP!$G$53=4,$E$510*'Malaria-Equipment &amp; Other HPs'!BC15,IF(SETUP!$G$53=3,$E$510*'Malaria-Equipment &amp; Other HPs'!BD15,IF(SETUP!$G$53=2,$E$510*'Malaria-Equipment &amp; Other HPs'!BE15,IF(SETUP!$G$53=1,$E$510*'Malaria-Equipment &amp; Other HPs'!BF15,0)))),0)</f>
        <v>0</v>
      </c>
      <c r="R512" s="920">
        <f>IF(SETUP!$F$53="At delivery",IF(SETUP!$G$53=4,$E$510*'Malaria-Equipment &amp; Other HPs'!BD15,IF(SETUP!$G$53=3,$E$510*'Malaria-Equipment &amp; Other HPs'!BE15,IF(SETUP!$G$53=2,$E$510*'Malaria-Equipment &amp; Other HPs'!BF15,IF(SETUP!$G$53=1,$E$510*'Malaria-Equipment &amp; Other HPs'!BG15,0)))),0)</f>
        <v>0</v>
      </c>
      <c r="S512" s="920">
        <f>IF(SETUP!$F$53="At delivery",IF(SETUP!$G$53=4,$E$510*('Malaria-Equipment &amp; Other HPs'!BE15+'Malaria-Equipment &amp; Other HPs'!BF15+'Malaria-Equipment &amp; Other HPs'!BG15+'Malaria-Equipment &amp; Other HPs'!BH15+'Malaria-Equipment &amp; Other HPs'!BI15),IF(SETUP!$G$53=3,$E$510*('Malaria-Equipment &amp; Other HPs'!BF15+'Malaria-Equipment &amp; Other HPs'!BG15+'Malaria-Equipment &amp; Other HPs'!BH15+'Malaria-Equipment &amp; Other HPs'!BI15),IF(SETUP!$G$53=2,$E$510*('Malaria-Equipment &amp; Other HPs'!BG15+'Malaria-Equipment &amp; Other HPs'!BH15+'Malaria-Equipment &amp; Other HPs'!BI15),IF(SETUP!$G$53=1,$E$510*('Malaria-Equipment &amp; Other HPs'!BH15+'Malaria-Equipment &amp; Other HPs'!BI15),0)))),0)</f>
        <v>0</v>
      </c>
      <c r="T512" s="920">
        <f t="shared" si="79"/>
        <v>0</v>
      </c>
      <c r="U512" s="1016">
        <f t="shared" si="80"/>
        <v>0</v>
      </c>
      <c r="V512" s="1344">
        <v>7.4</v>
      </c>
      <c r="W512" s="2011"/>
      <c r="X512" s="575"/>
      <c r="Y512" s="1350"/>
      <c r="Z512" s="655"/>
      <c r="AA512" s="686"/>
      <c r="AB512" s="686"/>
      <c r="AC512" s="686"/>
      <c r="AD512" s="686"/>
      <c r="AE512" s="686"/>
      <c r="AF512" s="686"/>
      <c r="AG512" s="686"/>
      <c r="AH512" s="687"/>
      <c r="AI512" s="686"/>
      <c r="AJ512" s="686"/>
      <c r="AK512" s="686"/>
      <c r="AL512" s="686"/>
      <c r="AM512" s="686"/>
      <c r="AN512" s="686"/>
      <c r="AO512" s="686"/>
      <c r="AP512" s="686"/>
      <c r="AQ512" s="686"/>
      <c r="AR512" s="686"/>
      <c r="AS512" s="686"/>
      <c r="AT512" s="686"/>
      <c r="AU512" s="686"/>
      <c r="AV512" s="686"/>
      <c r="AW512" s="686"/>
      <c r="AX512" s="686"/>
      <c r="AY512" s="686"/>
      <c r="AZ512" s="686"/>
      <c r="BA512" s="686"/>
      <c r="BB512" s="686"/>
      <c r="BC512" s="686"/>
      <c r="BD512" s="686"/>
      <c r="BE512" s="686"/>
      <c r="BF512" s="686"/>
      <c r="BG512" s="686"/>
      <c r="BH512" s="686"/>
      <c r="BI512" s="686"/>
      <c r="BJ512" s="686"/>
      <c r="BK512" s="686"/>
      <c r="BL512" s="686"/>
      <c r="BM512" s="686"/>
      <c r="BN512" s="686"/>
      <c r="BO512" s="686"/>
      <c r="BP512" s="686"/>
      <c r="BQ512" s="686"/>
      <c r="BR512" s="686"/>
      <c r="BS512" s="686"/>
      <c r="BT512" s="686"/>
    </row>
    <row r="513" spans="1:72" s="688" customFormat="1" ht="13" hidden="1" collapsed="1">
      <c r="A513" s="3227"/>
      <c r="B513" s="3228"/>
      <c r="C513" s="3188" t="s">
        <v>456</v>
      </c>
      <c r="D513" s="3188"/>
      <c r="E513" s="3177">
        <v>0</v>
      </c>
      <c r="F513" s="1016">
        <f>IF(SETUP!$F$54="Upfront",F514,F515)</f>
        <v>0</v>
      </c>
      <c r="G513" s="920">
        <f>IF(SETUP!$F$54="Upfront",G514,G515)</f>
        <v>0</v>
      </c>
      <c r="H513" s="920">
        <f>IF(SETUP!$F$54="Upfront",H514,H515)</f>
        <v>0</v>
      </c>
      <c r="I513" s="920">
        <f>IF(SETUP!$F$54="Upfront",I514,I515)</f>
        <v>0</v>
      </c>
      <c r="J513" s="920">
        <f t="shared" si="77"/>
        <v>0</v>
      </c>
      <c r="K513" s="1016">
        <f>IF(SETUP!$F$54="Upfront",K514,K515)</f>
        <v>0</v>
      </c>
      <c r="L513" s="920">
        <f>IF(SETUP!$F$54="Upfront",L514,L515)</f>
        <v>0</v>
      </c>
      <c r="M513" s="920">
        <f>IF(SETUP!$F$54="Upfront",M514,M515)</f>
        <v>0</v>
      </c>
      <c r="N513" s="920">
        <f>IF(SETUP!$F$54="Upfront",N514,N515)</f>
        <v>0</v>
      </c>
      <c r="O513" s="920">
        <f t="shared" si="78"/>
        <v>0</v>
      </c>
      <c r="P513" s="1016">
        <f>IF(SETUP!$F$54="Upfront",P514,P515)</f>
        <v>0</v>
      </c>
      <c r="Q513" s="920">
        <f>IF(SETUP!$F$54="Upfront",Q514,Q515)</f>
        <v>0</v>
      </c>
      <c r="R513" s="920">
        <f>IF(SETUP!$F$54="Upfront",R514,R515)</f>
        <v>0</v>
      </c>
      <c r="S513" s="920">
        <f>IF(SETUP!$F$54="Upfront",S514,S515)</f>
        <v>0</v>
      </c>
      <c r="T513" s="920">
        <f t="shared" si="79"/>
        <v>0</v>
      </c>
      <c r="U513" s="1016">
        <f t="shared" si="80"/>
        <v>0</v>
      </c>
      <c r="V513" s="1344">
        <v>7.4</v>
      </c>
      <c r="W513" s="2011"/>
      <c r="X513" s="575"/>
      <c r="Y513" s="1350"/>
      <c r="Z513" s="655"/>
      <c r="AA513" s="686"/>
      <c r="AB513" s="686"/>
      <c r="AC513" s="686"/>
      <c r="AD513" s="686"/>
      <c r="AE513" s="686"/>
      <c r="AF513" s="686"/>
      <c r="AG513" s="686"/>
      <c r="AH513" s="687"/>
      <c r="AI513" s="686"/>
      <c r="AJ513" s="686"/>
      <c r="AK513" s="686"/>
      <c r="AL513" s="686"/>
      <c r="AM513" s="686"/>
      <c r="AN513" s="686"/>
      <c r="AO513" s="686"/>
      <c r="AP513" s="686"/>
      <c r="AQ513" s="686"/>
      <c r="AR513" s="686"/>
      <c r="AS513" s="686"/>
      <c r="AT513" s="686"/>
      <c r="AU513" s="686"/>
      <c r="AV513" s="686"/>
      <c r="AW513" s="686"/>
      <c r="AX513" s="686"/>
      <c r="AY513" s="686"/>
      <c r="AZ513" s="686"/>
      <c r="BA513" s="686"/>
      <c r="BB513" s="686"/>
      <c r="BC513" s="686"/>
      <c r="BD513" s="686"/>
      <c r="BE513" s="686"/>
      <c r="BF513" s="686"/>
      <c r="BG513" s="686"/>
      <c r="BH513" s="686"/>
      <c r="BI513" s="686"/>
      <c r="BJ513" s="686"/>
      <c r="BK513" s="686"/>
      <c r="BL513" s="686"/>
      <c r="BM513" s="686"/>
      <c r="BN513" s="686"/>
      <c r="BO513" s="686"/>
      <c r="BP513" s="686"/>
      <c r="BQ513" s="686"/>
      <c r="BR513" s="686"/>
      <c r="BS513" s="686"/>
      <c r="BT513" s="686"/>
    </row>
    <row r="514" spans="1:72" s="688" customFormat="1" ht="16.149999999999999" hidden="1" customHeight="1" outlineLevel="1">
      <c r="A514" s="3227"/>
      <c r="B514" s="3228"/>
      <c r="C514" s="3182" t="s">
        <v>777</v>
      </c>
      <c r="D514" s="3182"/>
      <c r="E514" s="3178"/>
      <c r="F514" s="1016">
        <f>IF(SETUP!$F$54="Upfront",$E$513*'Malaria-Equipment &amp; Other HPs'!AX16,0)</f>
        <v>0</v>
      </c>
      <c r="G514" s="920">
        <f>IF(SETUP!$F$54="Upfront",$E$513*'Malaria-Equipment &amp; Other HPs'!AY16,0)</f>
        <v>0</v>
      </c>
      <c r="H514" s="920">
        <f>IF(SETUP!$F$54="Upfront",$E$513*'Malaria-Equipment &amp; Other HPs'!AZ16,0)</f>
        <v>0</v>
      </c>
      <c r="I514" s="920">
        <f>IF(SETUP!$F$54="Upfront",$E$513*'Malaria-Equipment &amp; Other HPs'!BA16,0)</f>
        <v>0</v>
      </c>
      <c r="J514" s="920">
        <f t="shared" si="77"/>
        <v>0</v>
      </c>
      <c r="K514" s="1016">
        <f>IF(SETUP!$F$54="Upfront",$E$513*'Malaria-Equipment &amp; Other HPs'!BB16,0)</f>
        <v>0</v>
      </c>
      <c r="L514" s="920">
        <f>IF(SETUP!$F$54="Upfront",$E$513*'Malaria-Equipment &amp; Other HPs'!BC16,0)</f>
        <v>0</v>
      </c>
      <c r="M514" s="920">
        <f>IF(SETUP!$F$54="Upfront",$E$513*'Malaria-Equipment &amp; Other HPs'!BD16,0)</f>
        <v>0</v>
      </c>
      <c r="N514" s="920">
        <f>IF(SETUP!$F$54="Upfront",$E$513*'Malaria-Equipment &amp; Other HPs'!BE16,0)</f>
        <v>0</v>
      </c>
      <c r="O514" s="920">
        <f t="shared" si="78"/>
        <v>0</v>
      </c>
      <c r="P514" s="1016">
        <f>IF(SETUP!$F$54="Upfront",$E$513*'Malaria-Equipment &amp; Other HPs'!BF16,0)</f>
        <v>0</v>
      </c>
      <c r="Q514" s="920">
        <f>IF(SETUP!$F$54="Upfront",$E$513*'Malaria-Equipment &amp; Other HPs'!BG16,0)</f>
        <v>0</v>
      </c>
      <c r="R514" s="920">
        <f>IF(SETUP!$F$54="Upfront",$E$513*'Malaria-Equipment &amp; Other HPs'!BH16,0)</f>
        <v>0</v>
      </c>
      <c r="S514" s="920">
        <f>IF(SETUP!$F$54="Upfront",$E$513*'Malaria-Equipment &amp; Other HPs'!BI16,0)</f>
        <v>0</v>
      </c>
      <c r="T514" s="920">
        <f t="shared" si="79"/>
        <v>0</v>
      </c>
      <c r="U514" s="1016">
        <f t="shared" si="80"/>
        <v>0</v>
      </c>
      <c r="V514" s="1344">
        <v>7.4</v>
      </c>
      <c r="W514" s="2011"/>
      <c r="X514" s="575"/>
      <c r="Y514" s="1350"/>
      <c r="Z514" s="655"/>
      <c r="AA514" s="686"/>
      <c r="AB514" s="686"/>
      <c r="AC514" s="686"/>
      <c r="AD514" s="686"/>
      <c r="AE514" s="686"/>
      <c r="AF514" s="686"/>
      <c r="AG514" s="686"/>
      <c r="AH514" s="687"/>
      <c r="AI514" s="686"/>
      <c r="AJ514" s="686"/>
      <c r="AK514" s="686"/>
      <c r="AL514" s="686"/>
      <c r="AM514" s="686"/>
      <c r="AN514" s="686"/>
      <c r="AO514" s="686"/>
      <c r="AP514" s="686"/>
      <c r="AQ514" s="686"/>
      <c r="AR514" s="686"/>
      <c r="AS514" s="686"/>
      <c r="AT514" s="686"/>
      <c r="AU514" s="686"/>
      <c r="AV514" s="686"/>
      <c r="AW514" s="686"/>
      <c r="AX514" s="686"/>
      <c r="AY514" s="686"/>
      <c r="AZ514" s="686"/>
      <c r="BA514" s="686"/>
      <c r="BB514" s="686"/>
      <c r="BC514" s="686"/>
      <c r="BD514" s="686"/>
      <c r="BE514" s="686"/>
      <c r="BF514" s="686"/>
      <c r="BG514" s="686"/>
      <c r="BH514" s="686"/>
      <c r="BI514" s="686"/>
      <c r="BJ514" s="686"/>
      <c r="BK514" s="686"/>
      <c r="BL514" s="686"/>
      <c r="BM514" s="686"/>
      <c r="BN514" s="686"/>
      <c r="BO514" s="686"/>
      <c r="BP514" s="686"/>
      <c r="BQ514" s="686"/>
      <c r="BR514" s="686"/>
      <c r="BS514" s="686"/>
      <c r="BT514" s="686"/>
    </row>
    <row r="515" spans="1:72" s="688" customFormat="1" ht="17.25" hidden="1" customHeight="1" outlineLevel="1">
      <c r="A515" s="3227"/>
      <c r="B515" s="3228"/>
      <c r="C515" s="3182" t="s">
        <v>36</v>
      </c>
      <c r="D515" s="3182"/>
      <c r="E515" s="3178"/>
      <c r="F515" s="1016">
        <v>0</v>
      </c>
      <c r="G515" s="920">
        <f>IF(SETUP!$F$54="At delivery",IF(SETUP!$G$54=1,$E$513*'Malaria-Equipment &amp; Other HPs'!AX16,0),0)</f>
        <v>0</v>
      </c>
      <c r="H515" s="920">
        <f>IF(SETUP!$F$54="At delivery",IF(SETUP!$G$54=2,$E$513*'Malaria-Equipment &amp; Other HPs'!AX16,IF(SETUP!$G$54=1,$E$513*'Malaria-Equipment &amp; Other HPs'!AY16,0)),0)</f>
        <v>0</v>
      </c>
      <c r="I515" s="920">
        <f>IF(SETUP!$F$54="At delivery",IF(SETUP!$G$54=3,$E$513*'Malaria-Equipment &amp; Other HPs'!AX16,IF(SETUP!$G$54=2,$E$513*'Malaria-Equipment &amp; Other HPs'!AY16,IF(SETUP!$G$54=1,$E$513*'Malaria-Equipment &amp; Other HPs'!AZ16,0))),0)</f>
        <v>0</v>
      </c>
      <c r="J515" s="920">
        <f t="shared" si="77"/>
        <v>0</v>
      </c>
      <c r="K515" s="1016">
        <f>IF(SETUP!$F$54="At delivery",IF(SETUP!$G$54=4,$E$513*'Malaria-Equipment &amp; Other HPs'!AX16,IF(SETUP!$G$54=3,$E$513*'Malaria-Equipment &amp; Other HPs'!AY16,IF(SETUP!$G$54=2,$E$513*'Malaria-Equipment &amp; Other HPs'!AZ16,IF(SETUP!$G$54=1,$E$513*'Malaria-Equipment &amp; Other HPs'!BA16,0)))),0)</f>
        <v>0</v>
      </c>
      <c r="L515" s="920">
        <f>IF(SETUP!$F$54="At delivery",IF(SETUP!$G$54=4,$E$513*'Malaria-Equipment &amp; Other HPs'!AY16,IF(SETUP!$G$54=3,$E$513*'Malaria-Equipment &amp; Other HPs'!AZ16,IF(SETUP!$G$54=2,$E$513*'Malaria-Equipment &amp; Other HPs'!BA16,IF(SETUP!$G$54=1,$E$513*'Malaria-Equipment &amp; Other HPs'!BB16,0)))),0)</f>
        <v>0</v>
      </c>
      <c r="M515" s="920">
        <f>IF(SETUP!$F$54="At delivery",IF(SETUP!$G$54=4,$E$513*'Malaria-Equipment &amp; Other HPs'!AZ16,IF(SETUP!$G$54=3,$E$513*'Malaria-Equipment &amp; Other HPs'!BA16,IF(SETUP!$G$54=2,$E$513*'Malaria-Equipment &amp; Other HPs'!BB16,IF(SETUP!$G$54=1,$E$513*'Malaria-Equipment &amp; Other HPs'!BC16,0)))),0)</f>
        <v>0</v>
      </c>
      <c r="N515" s="920">
        <f>IF(SETUP!$F$54="At delivery",IF(SETUP!$G$54=4,$E$513*'Malaria-Equipment &amp; Other HPs'!BA16,IF(SETUP!$G$54=3,$E$513*'Malaria-Equipment &amp; Other HPs'!BB16,IF(SETUP!$G$54=2,$E$513*'Malaria-Equipment &amp; Other HPs'!BC16,IF(SETUP!$G$54=1,$E$513*'Malaria-Equipment &amp; Other HPs'!BD16,0)))),0)</f>
        <v>0</v>
      </c>
      <c r="O515" s="920">
        <f t="shared" si="78"/>
        <v>0</v>
      </c>
      <c r="P515" s="1016">
        <f>IF(SETUP!$F$54="At delivery",IF(SETUP!$G$54=4,$E$513*'Malaria-Equipment &amp; Other HPs'!BB16,IF(SETUP!$G$54=3,$E$513*'Malaria-Equipment &amp; Other HPs'!BC16,IF(SETUP!$G$54=2,$E$513*'Malaria-Equipment &amp; Other HPs'!BD16,IF(SETUP!$G$54=1,$E$513*'Malaria-Equipment &amp; Other HPs'!BE16,0)))),0)</f>
        <v>0</v>
      </c>
      <c r="Q515" s="920">
        <f>IF(SETUP!$F$54="At delivery",IF(SETUP!$G$54=4,$E$513*'Malaria-Equipment &amp; Other HPs'!BC16,IF(SETUP!$G$54=3,$E$513*'Malaria-Equipment &amp; Other HPs'!BD16,IF(SETUP!$G$54=2,$E$513*'Malaria-Equipment &amp; Other HPs'!BE16,IF(SETUP!$G$54=1,$E$513*'Malaria-Equipment &amp; Other HPs'!BF16,0)))),0)</f>
        <v>0</v>
      </c>
      <c r="R515" s="920">
        <f>IF(SETUP!$F$54="At delivery",IF(SETUP!$G$54=4,$E$513*'Malaria-Equipment &amp; Other HPs'!BD16,IF(SETUP!$G$54=3,$E$513*'Malaria-Equipment &amp; Other HPs'!BE16,IF(SETUP!$G$54=2,$E$513*'Malaria-Equipment &amp; Other HPs'!BF16,IF(SETUP!$G$54=1,$E$513*'Malaria-Equipment &amp; Other HPs'!BG16,0)))),0)</f>
        <v>0</v>
      </c>
      <c r="S515" s="920">
        <f>IF(SETUP!$F$54="At delivery",IF(SETUP!$G$54=4,$E$513*('Malaria-Equipment &amp; Other HPs'!BE16+'Malaria-Equipment &amp; Other HPs'!BF16+'Malaria-Equipment &amp; Other HPs'!BG16+'Malaria-Equipment &amp; Other HPs'!BH16+'Malaria-Equipment &amp; Other HPs'!BI16),IF(SETUP!$G$54=3,$E$513*('Malaria-Equipment &amp; Other HPs'!BF16+'Malaria-Equipment &amp; Other HPs'!BG16+'Malaria-Equipment &amp; Other HPs'!BH16+'Malaria-Equipment &amp; Other HPs'!BI16),IF(SETUP!$G$54=2,$E$513*('Malaria-Equipment &amp; Other HPs'!BG16+'Malaria-Equipment &amp; Other HPs'!BH16+'Malaria-Equipment &amp; Other HPs'!BI16),IF(SETUP!$G$54=1,$E$513*('Malaria-Equipment &amp; Other HPs'!BH16+'Malaria-Equipment &amp; Other HPs'!BI16),0)))),0)</f>
        <v>0</v>
      </c>
      <c r="T515" s="920">
        <f t="shared" si="79"/>
        <v>0</v>
      </c>
      <c r="U515" s="1016">
        <f t="shared" si="80"/>
        <v>0</v>
      </c>
      <c r="V515" s="1344">
        <v>7.4</v>
      </c>
      <c r="W515" s="2011"/>
      <c r="X515" s="575"/>
      <c r="Y515" s="1350"/>
      <c r="Z515" s="655"/>
      <c r="AA515" s="686"/>
      <c r="AB515" s="686"/>
      <c r="AC515" s="686"/>
      <c r="AD515" s="686"/>
      <c r="AE515" s="686"/>
      <c r="AF515" s="686"/>
      <c r="AG515" s="686"/>
      <c r="AH515" s="687"/>
      <c r="AI515" s="686"/>
      <c r="AJ515" s="686"/>
      <c r="AK515" s="686"/>
      <c r="AL515" s="686"/>
      <c r="AM515" s="686"/>
      <c r="AN515" s="686"/>
      <c r="AO515" s="686"/>
      <c r="AP515" s="686"/>
      <c r="AQ515" s="686"/>
      <c r="AR515" s="686"/>
      <c r="AS515" s="686"/>
      <c r="AT515" s="686"/>
      <c r="AU515" s="686"/>
      <c r="AV515" s="686"/>
      <c r="AW515" s="686"/>
      <c r="AX515" s="686"/>
      <c r="AY515" s="686"/>
      <c r="AZ515" s="686"/>
      <c r="BA515" s="686"/>
      <c r="BB515" s="686"/>
      <c r="BC515" s="686"/>
      <c r="BD515" s="686"/>
      <c r="BE515" s="686"/>
      <c r="BF515" s="686"/>
      <c r="BG515" s="686"/>
      <c r="BH515" s="686"/>
      <c r="BI515" s="686"/>
      <c r="BJ515" s="686"/>
      <c r="BK515" s="686"/>
      <c r="BL515" s="686"/>
      <c r="BM515" s="686"/>
      <c r="BN515" s="686"/>
      <c r="BO515" s="686"/>
      <c r="BP515" s="686"/>
      <c r="BQ515" s="686"/>
      <c r="BR515" s="686"/>
      <c r="BS515" s="686"/>
      <c r="BT515" s="686"/>
    </row>
    <row r="516" spans="1:72" s="688" customFormat="1" ht="13" hidden="1" collapsed="1">
      <c r="A516" s="3227"/>
      <c r="B516" s="3228"/>
      <c r="C516" s="3188" t="s">
        <v>457</v>
      </c>
      <c r="D516" s="3188"/>
      <c r="E516" s="3177">
        <v>0</v>
      </c>
      <c r="F516" s="1016">
        <f>IF(SETUP!$F$55="Upfront",F517,F518)</f>
        <v>0</v>
      </c>
      <c r="G516" s="920">
        <f>IF(SETUP!$F$55="Upfront",G517,G518)</f>
        <v>0</v>
      </c>
      <c r="H516" s="920">
        <f>IF(SETUP!$F$55="Upfront",H517,H518)</f>
        <v>0</v>
      </c>
      <c r="I516" s="920">
        <f>IF(SETUP!$F$55="Upfront",I517,I518)</f>
        <v>0</v>
      </c>
      <c r="J516" s="920">
        <f t="shared" si="77"/>
        <v>0</v>
      </c>
      <c r="K516" s="1016">
        <f>IF(SETUP!$F$55="Upfront",K517,K518)</f>
        <v>0</v>
      </c>
      <c r="L516" s="920">
        <f>IF(SETUP!$F$55="Upfront",L517,L518)</f>
        <v>0</v>
      </c>
      <c r="M516" s="920">
        <f>IF(SETUP!$F$55="Upfront",M517,M518)</f>
        <v>0</v>
      </c>
      <c r="N516" s="920">
        <f>IF(SETUP!$F$55="Upfront",N517,N518)</f>
        <v>0</v>
      </c>
      <c r="O516" s="920">
        <f t="shared" si="78"/>
        <v>0</v>
      </c>
      <c r="P516" s="1016">
        <f>IF(SETUP!$F$55="Upfront",P517,P518)</f>
        <v>0</v>
      </c>
      <c r="Q516" s="920">
        <f>IF(SETUP!$F$55="Upfront",Q517,Q518)</f>
        <v>0</v>
      </c>
      <c r="R516" s="920">
        <f>IF(SETUP!$F$55="Upfront",R517,R518)</f>
        <v>0</v>
      </c>
      <c r="S516" s="920">
        <f>IF(SETUP!$F$55="Upfront",S517,S518)</f>
        <v>0</v>
      </c>
      <c r="T516" s="920">
        <f t="shared" si="79"/>
        <v>0</v>
      </c>
      <c r="U516" s="1016">
        <f t="shared" si="80"/>
        <v>0</v>
      </c>
      <c r="V516" s="1344">
        <v>7.4</v>
      </c>
      <c r="W516" s="2011"/>
      <c r="X516" s="575"/>
      <c r="Y516" s="1350"/>
      <c r="Z516" s="655"/>
      <c r="AA516" s="686"/>
      <c r="AB516" s="686"/>
      <c r="AC516" s="686"/>
      <c r="AD516" s="686"/>
      <c r="AE516" s="686"/>
      <c r="AF516" s="686"/>
      <c r="AG516" s="686"/>
      <c r="AH516" s="687"/>
      <c r="AI516" s="686"/>
      <c r="AJ516" s="686"/>
      <c r="AK516" s="686"/>
      <c r="AL516" s="686"/>
      <c r="AM516" s="686"/>
      <c r="AN516" s="686"/>
      <c r="AO516" s="686"/>
      <c r="AP516" s="686"/>
      <c r="AQ516" s="686"/>
      <c r="AR516" s="686"/>
      <c r="AS516" s="686"/>
      <c r="AT516" s="686"/>
      <c r="AU516" s="686"/>
      <c r="AV516" s="686"/>
      <c r="AW516" s="686"/>
      <c r="AX516" s="686"/>
      <c r="AY516" s="686"/>
      <c r="AZ516" s="686"/>
      <c r="BA516" s="686"/>
      <c r="BB516" s="686"/>
      <c r="BC516" s="686"/>
      <c r="BD516" s="686"/>
      <c r="BE516" s="686"/>
      <c r="BF516" s="686"/>
      <c r="BG516" s="686"/>
      <c r="BH516" s="686"/>
      <c r="BI516" s="686"/>
      <c r="BJ516" s="686"/>
      <c r="BK516" s="686"/>
      <c r="BL516" s="686"/>
      <c r="BM516" s="686"/>
      <c r="BN516" s="686"/>
      <c r="BO516" s="686"/>
      <c r="BP516" s="686"/>
      <c r="BQ516" s="686"/>
      <c r="BR516" s="686"/>
      <c r="BS516" s="686"/>
      <c r="BT516" s="686"/>
    </row>
    <row r="517" spans="1:72" s="688" customFormat="1" ht="16.149999999999999" hidden="1" customHeight="1" outlineLevel="1">
      <c r="A517" s="3227"/>
      <c r="B517" s="3228"/>
      <c r="C517" s="3182" t="s">
        <v>777</v>
      </c>
      <c r="D517" s="3182"/>
      <c r="E517" s="3178"/>
      <c r="F517" s="1016">
        <f>IF(SETUP!$F$55="Upfront",$E$516*'Malaria-Equipment &amp; Other HPs'!AX17,0)</f>
        <v>0</v>
      </c>
      <c r="G517" s="920">
        <f>IF(SETUP!$F$55="Upfront",$E$516*'Malaria-Equipment &amp; Other HPs'!AY17,0)</f>
        <v>0</v>
      </c>
      <c r="H517" s="920">
        <f>IF(SETUP!$F$55="Upfront",$E$516*'Malaria-Equipment &amp; Other HPs'!AZ17,0)</f>
        <v>0</v>
      </c>
      <c r="I517" s="920">
        <f>IF(SETUP!$F$55="Upfront",$E$516*'Malaria-Equipment &amp; Other HPs'!BA17,0)</f>
        <v>0</v>
      </c>
      <c r="J517" s="920">
        <f t="shared" si="77"/>
        <v>0</v>
      </c>
      <c r="K517" s="1016">
        <f>IF(SETUP!$F$55="Upfront",$E$516*'Malaria-Equipment &amp; Other HPs'!BB17,0)</f>
        <v>0</v>
      </c>
      <c r="L517" s="920">
        <f>IF(SETUP!$F$55="Upfront",$E$516*'Malaria-Equipment &amp; Other HPs'!BC17,0)</f>
        <v>0</v>
      </c>
      <c r="M517" s="920">
        <f>IF(SETUP!$F$55="Upfront",$E$516*'Malaria-Equipment &amp; Other HPs'!BD17,0)</f>
        <v>0</v>
      </c>
      <c r="N517" s="920">
        <f>IF(SETUP!$F$55="Upfront",$E$516*'Malaria-Equipment &amp; Other HPs'!BE17,0)</f>
        <v>0</v>
      </c>
      <c r="O517" s="920">
        <f t="shared" si="78"/>
        <v>0</v>
      </c>
      <c r="P517" s="1016">
        <f>IF(SETUP!$F$55="Upfront",$E$516*'Malaria-Equipment &amp; Other HPs'!BF17,0)</f>
        <v>0</v>
      </c>
      <c r="Q517" s="920">
        <f>IF(SETUP!$F$55="Upfront",$E$516*'Malaria-Equipment &amp; Other HPs'!BG17,0)</f>
        <v>0</v>
      </c>
      <c r="R517" s="920">
        <f>IF(SETUP!$F$55="Upfront",$E$516*'Malaria-Equipment &amp; Other HPs'!BH17,0)</f>
        <v>0</v>
      </c>
      <c r="S517" s="920">
        <f>IF(SETUP!$F$55="Upfront",$E$516*'Malaria-Equipment &amp; Other HPs'!BI17,0)</f>
        <v>0</v>
      </c>
      <c r="T517" s="920">
        <f>P517+Q517+R517+S517</f>
        <v>0</v>
      </c>
      <c r="U517" s="1016">
        <f t="shared" si="80"/>
        <v>0</v>
      </c>
      <c r="V517" s="1344">
        <v>7.4</v>
      </c>
      <c r="W517" s="2011"/>
      <c r="X517" s="575"/>
      <c r="Y517" s="1350"/>
      <c r="Z517" s="655"/>
      <c r="AA517" s="686"/>
      <c r="AB517" s="686"/>
      <c r="AC517" s="686"/>
      <c r="AD517" s="686"/>
      <c r="AE517" s="686"/>
      <c r="AF517" s="686"/>
      <c r="AG517" s="686"/>
      <c r="AH517" s="687"/>
      <c r="AI517" s="686"/>
      <c r="AJ517" s="686"/>
      <c r="AK517" s="686"/>
      <c r="AL517" s="686"/>
      <c r="AM517" s="686"/>
      <c r="AN517" s="686"/>
      <c r="AO517" s="686"/>
      <c r="AP517" s="686"/>
      <c r="AQ517" s="686"/>
      <c r="AR517" s="686"/>
      <c r="AS517" s="686"/>
      <c r="AT517" s="686"/>
      <c r="AU517" s="686"/>
      <c r="AV517" s="686"/>
      <c r="AW517" s="686"/>
      <c r="AX517" s="686"/>
      <c r="AY517" s="686"/>
      <c r="AZ517" s="686"/>
      <c r="BA517" s="686"/>
      <c r="BB517" s="686"/>
      <c r="BC517" s="686"/>
      <c r="BD517" s="686"/>
      <c r="BE517" s="686"/>
      <c r="BF517" s="686"/>
      <c r="BG517" s="686"/>
      <c r="BH517" s="686"/>
      <c r="BI517" s="686"/>
      <c r="BJ517" s="686"/>
      <c r="BK517" s="686"/>
      <c r="BL517" s="686"/>
      <c r="BM517" s="686"/>
      <c r="BN517" s="686"/>
      <c r="BO517" s="686"/>
      <c r="BP517" s="686"/>
      <c r="BQ517" s="686"/>
      <c r="BR517" s="686"/>
      <c r="BS517" s="686"/>
      <c r="BT517" s="686"/>
    </row>
    <row r="518" spans="1:72" s="688" customFormat="1" ht="17.25" hidden="1" customHeight="1" outlineLevel="1">
      <c r="A518" s="3227"/>
      <c r="B518" s="3228"/>
      <c r="C518" s="3182" t="s">
        <v>36</v>
      </c>
      <c r="D518" s="3182"/>
      <c r="E518" s="3178"/>
      <c r="F518" s="1016">
        <v>0</v>
      </c>
      <c r="G518" s="920">
        <f>IF(SETUP!$F$55="At delivery",IF(SETUP!$G$55=1,$E$516*'Malaria-Equipment &amp; Other HPs'!AX17,0),0)</f>
        <v>0</v>
      </c>
      <c r="H518" s="920">
        <f>IF(SETUP!$F$55="At delivery",IF(SETUP!$G$55=2,$E$516*'Malaria-Equipment &amp; Other HPs'!AX17,IF(SETUP!$G$55=1,$E$516*'Malaria-Equipment &amp; Other HPs'!AY17,0)),0)</f>
        <v>0</v>
      </c>
      <c r="I518" s="920">
        <f>IF(SETUP!$F$55="At delivery",IF(SETUP!$G$55=3,$E$516*'Malaria-Equipment &amp; Other HPs'!AX17,IF(SETUP!$G$55=2,$E$516*'Malaria-Equipment &amp; Other HPs'!AY17,IF(SETUP!$G$55=1,$E$516*'Malaria-Equipment &amp; Other HPs'!AZ17,0))),0)</f>
        <v>0</v>
      </c>
      <c r="J518" s="920">
        <f t="shared" si="77"/>
        <v>0</v>
      </c>
      <c r="K518" s="1016">
        <f>IF(SETUP!$F$55="At delivery",IF(SETUP!$G$55=4,$E$516*'Malaria-Equipment &amp; Other HPs'!AX17,IF(SETUP!$G$55=3,$E$516*'Malaria-Equipment &amp; Other HPs'!AY17,IF(SETUP!$G$55=2,$E$516*'Malaria-Equipment &amp; Other HPs'!AZ17,IF(SETUP!$G$55=1,$E$516*'Malaria-Equipment &amp; Other HPs'!BA17,0)))),0)</f>
        <v>0</v>
      </c>
      <c r="L518" s="920">
        <f>IF(SETUP!$F$55="At delivery",IF(SETUP!$G$55=4,$E$516*'Malaria-Equipment &amp; Other HPs'!AY17,IF(SETUP!$G$55=3,$E$516*'Malaria-Equipment &amp; Other HPs'!AZ17,IF(SETUP!$G$55=2,$E$516*'Malaria-Equipment &amp; Other HPs'!BA17,IF(SETUP!$G$55=1,$E$516*'Malaria-Equipment &amp; Other HPs'!BB17,0)))),0)</f>
        <v>0</v>
      </c>
      <c r="M518" s="920">
        <f>IF(SETUP!$F$55="At delivery",IF(SETUP!$G$55=4,$E$516*'Malaria-Equipment &amp; Other HPs'!AZ17,IF(SETUP!$G$55=3,$E$516*'Malaria-Equipment &amp; Other HPs'!BA17,IF(SETUP!$G$55=2,$E$516*'Malaria-Equipment &amp; Other HPs'!BB17,IF(SETUP!$G$55=1,$E$516*'Malaria-Equipment &amp; Other HPs'!BC17,0)))),0)</f>
        <v>0</v>
      </c>
      <c r="N518" s="920">
        <f>IF(SETUP!$F$55="At delivery",IF(SETUP!$G$55=4,$E$516*'Malaria-Equipment &amp; Other HPs'!BA17,IF(SETUP!$G$55=3,$E$516*'Malaria-Equipment &amp; Other HPs'!BB17,IF(SETUP!$G$55=2,$E$516*'Malaria-Equipment &amp; Other HPs'!BC17,IF(SETUP!$G$55=1,$E$516*'Malaria-Equipment &amp; Other HPs'!BD17,0)))),0)</f>
        <v>0</v>
      </c>
      <c r="O518" s="920">
        <f t="shared" si="78"/>
        <v>0</v>
      </c>
      <c r="P518" s="1016">
        <f>IF(SETUP!$F$55="At delivery",IF(SETUP!$G$55=4,$E$516*'Malaria-Equipment &amp; Other HPs'!BB17,IF(SETUP!$G$55=3,$E$516*'Malaria-Equipment &amp; Other HPs'!BC17,IF(SETUP!$G$55=2,$E$516*'Malaria-Equipment &amp; Other HPs'!BD17,IF(SETUP!$G$55=1,$E$516*'Malaria-Equipment &amp; Other HPs'!BE17,0)))),0)</f>
        <v>0</v>
      </c>
      <c r="Q518" s="920">
        <f>IF(SETUP!$F$55="At delivery",IF(SETUP!$G$55=4,$E$516*'Malaria-Equipment &amp; Other HPs'!BC17,IF(SETUP!$G$55=3,$E$516*'Malaria-Equipment &amp; Other HPs'!BD17,IF(SETUP!$G$55=2,$E$516*'Malaria-Equipment &amp; Other HPs'!BE17,IF(SETUP!$G$55=1,$E$516*'Malaria-Equipment &amp; Other HPs'!BF17,0)))),0)</f>
        <v>0</v>
      </c>
      <c r="R518" s="920">
        <f>IF(SETUP!$F$55="At delivery",IF(SETUP!$G$55=4,$E$516*'Malaria-Equipment &amp; Other HPs'!BD17,IF(SETUP!$G$55=3,$E$516*'Malaria-Equipment &amp; Other HPs'!BE17,IF(SETUP!$G$55=2,$E$516*'Malaria-Equipment &amp; Other HPs'!BF17,IF(SETUP!$G$55=1,$E$516*'Malaria-Equipment &amp; Other HPs'!BG17,0)))),0)</f>
        <v>0</v>
      </c>
      <c r="S518" s="920">
        <f>IF(SETUP!$F$55="At delivery",IF(SETUP!$G$55=4,$E$516*('Malaria-Equipment &amp; Other HPs'!BE17+'Malaria-Equipment &amp; Other HPs'!BF17+'Malaria-Equipment &amp; Other HPs'!BG17+'Malaria-Equipment &amp; Other HPs'!BH17+'Malaria-Equipment &amp; Other HPs'!BI17),IF(SETUP!$G$55=3,$E$516*('Malaria-Equipment &amp; Other HPs'!BF17+'Malaria-Equipment &amp; Other HPs'!BG17+'Malaria-Equipment &amp; Other HPs'!BH17+'Malaria-Equipment &amp; Other HPs'!BI17),IF(SETUP!$G$55=2,$E$516*('Malaria-Equipment &amp; Other HPs'!BG17+'Malaria-Equipment &amp; Other HPs'!BH17+'Malaria-Equipment &amp; Other HPs'!BI17),IF(SETUP!$G$55=1,$E$516*('Malaria-Equipment &amp; Other HPs'!BH17+'Malaria-Equipment &amp; Other HPs'!BI17),0)))),0)</f>
        <v>0</v>
      </c>
      <c r="T518" s="920">
        <f t="shared" si="79"/>
        <v>0</v>
      </c>
      <c r="U518" s="1016">
        <f t="shared" si="80"/>
        <v>0</v>
      </c>
      <c r="V518" s="1344">
        <v>7.4</v>
      </c>
      <c r="W518" s="2011"/>
      <c r="X518" s="575"/>
      <c r="Y518" s="1350"/>
      <c r="Z518" s="655"/>
      <c r="AA518" s="686"/>
      <c r="AB518" s="686"/>
      <c r="AC518" s="686"/>
      <c r="AD518" s="686"/>
      <c r="AE518" s="686"/>
      <c r="AF518" s="686"/>
      <c r="AG518" s="686"/>
      <c r="AH518" s="687"/>
      <c r="AI518" s="686"/>
      <c r="AJ518" s="686"/>
      <c r="AK518" s="686"/>
      <c r="AL518" s="686"/>
      <c r="AM518" s="686"/>
      <c r="AN518" s="686"/>
      <c r="AO518" s="686"/>
      <c r="AP518" s="686"/>
      <c r="AQ518" s="686"/>
      <c r="AR518" s="686"/>
      <c r="AS518" s="686"/>
      <c r="AT518" s="686"/>
      <c r="AU518" s="686"/>
      <c r="AV518" s="686"/>
      <c r="AW518" s="686"/>
      <c r="AX518" s="686"/>
      <c r="AY518" s="686"/>
      <c r="AZ518" s="686"/>
      <c r="BA518" s="686"/>
      <c r="BB518" s="686"/>
      <c r="BC518" s="686"/>
      <c r="BD518" s="686"/>
      <c r="BE518" s="686"/>
      <c r="BF518" s="686"/>
      <c r="BG518" s="686"/>
      <c r="BH518" s="686"/>
      <c r="BI518" s="686"/>
      <c r="BJ518" s="686"/>
      <c r="BK518" s="686"/>
      <c r="BL518" s="686"/>
      <c r="BM518" s="686"/>
      <c r="BN518" s="686"/>
      <c r="BO518" s="686"/>
      <c r="BP518" s="686"/>
      <c r="BQ518" s="686"/>
      <c r="BR518" s="686"/>
      <c r="BS518" s="686"/>
      <c r="BT518" s="686"/>
    </row>
    <row r="519" spans="1:72" s="688" customFormat="1" ht="13.5" hidden="1" collapsed="1" thickBot="1">
      <c r="A519" s="3227"/>
      <c r="B519" s="3228"/>
      <c r="C519" s="3188" t="s">
        <v>458</v>
      </c>
      <c r="D519" s="3188"/>
      <c r="E519" s="3177">
        <v>0</v>
      </c>
      <c r="F519" s="1016">
        <f>IF(SETUP!$F$56="Upfront",F520,F521)</f>
        <v>0</v>
      </c>
      <c r="G519" s="920">
        <f>IF(SETUP!$F$56="Upfront",G520,G521)</f>
        <v>0</v>
      </c>
      <c r="H519" s="920">
        <f>IF(SETUP!$F$56="Upfront",H520,H521)</f>
        <v>0</v>
      </c>
      <c r="I519" s="920">
        <f>IF(SETUP!$F$56="Upfront",I520,I521)</f>
        <v>0</v>
      </c>
      <c r="J519" s="920">
        <f t="shared" si="77"/>
        <v>0</v>
      </c>
      <c r="K519" s="1016">
        <f>IF(SETUP!$F$56="Upfront",K520,K521)</f>
        <v>0</v>
      </c>
      <c r="L519" s="920">
        <f>IF(SETUP!$F$56="Upfront",L520,L521)</f>
        <v>0</v>
      </c>
      <c r="M519" s="920">
        <f>IF(SETUP!$F$56="Upfront",M520,M521)</f>
        <v>0</v>
      </c>
      <c r="N519" s="920">
        <f>IF(SETUP!$F$56="Upfront",N520,N521)</f>
        <v>0</v>
      </c>
      <c r="O519" s="920">
        <f t="shared" si="78"/>
        <v>0</v>
      </c>
      <c r="P519" s="1016">
        <f>IF(SETUP!$F$56="Upfront",P520,P521)</f>
        <v>0</v>
      </c>
      <c r="Q519" s="920">
        <f>IF(SETUP!$F$56="Upfront",Q520,Q521)</f>
        <v>0</v>
      </c>
      <c r="R519" s="920">
        <f>IF(SETUP!$F$56="Upfront",R520,R521)</f>
        <v>0</v>
      </c>
      <c r="S519" s="920">
        <f>IF(SETUP!$F$56="Upfront",S520,S521)</f>
        <v>0</v>
      </c>
      <c r="T519" s="920">
        <f t="shared" si="79"/>
        <v>0</v>
      </c>
      <c r="U519" s="1016">
        <f t="shared" si="80"/>
        <v>0</v>
      </c>
      <c r="V519" s="1344">
        <v>7.4</v>
      </c>
      <c r="W519" s="2011"/>
      <c r="X519" s="575"/>
      <c r="Y519" s="1350"/>
      <c r="Z519" s="655"/>
      <c r="AA519" s="686"/>
      <c r="AB519" s="686"/>
      <c r="AC519" s="686"/>
      <c r="AD519" s="686"/>
      <c r="AE519" s="686"/>
      <c r="AF519" s="686"/>
      <c r="AG519" s="686"/>
      <c r="AH519" s="687"/>
      <c r="AI519" s="686"/>
      <c r="AJ519" s="686"/>
      <c r="AK519" s="686"/>
      <c r="AL519" s="686"/>
      <c r="AM519" s="686"/>
      <c r="AN519" s="686"/>
      <c r="AO519" s="686"/>
      <c r="AP519" s="686"/>
      <c r="AQ519" s="686"/>
      <c r="AR519" s="686"/>
      <c r="AS519" s="686"/>
      <c r="AT519" s="686"/>
      <c r="AU519" s="686"/>
      <c r="AV519" s="686"/>
      <c r="AW519" s="686"/>
      <c r="AX519" s="686"/>
      <c r="AY519" s="686"/>
      <c r="AZ519" s="686"/>
      <c r="BA519" s="686"/>
      <c r="BB519" s="686"/>
      <c r="BC519" s="686"/>
      <c r="BD519" s="686"/>
      <c r="BE519" s="686"/>
      <c r="BF519" s="686"/>
      <c r="BG519" s="686"/>
      <c r="BH519" s="686"/>
      <c r="BI519" s="686"/>
      <c r="BJ519" s="686"/>
      <c r="BK519" s="686"/>
      <c r="BL519" s="686"/>
      <c r="BM519" s="686"/>
      <c r="BN519" s="686"/>
      <c r="BO519" s="686"/>
      <c r="BP519" s="686"/>
      <c r="BQ519" s="686"/>
      <c r="BR519" s="686"/>
      <c r="BS519" s="686"/>
      <c r="BT519" s="686"/>
    </row>
    <row r="520" spans="1:72" s="688" customFormat="1" ht="16.149999999999999" hidden="1" customHeight="1" outlineLevel="1">
      <c r="A520" s="3227"/>
      <c r="B520" s="3228"/>
      <c r="C520" s="3182" t="s">
        <v>777</v>
      </c>
      <c r="D520" s="3182"/>
      <c r="E520" s="3178"/>
      <c r="F520" s="1016">
        <f>IF(SETUP!$F$56="Upfront",$E$519*'Malaria-Equipment &amp; Other HPs'!AX18,0)</f>
        <v>0</v>
      </c>
      <c r="G520" s="920">
        <f>IF(SETUP!$F$56="Upfront",$E$519*'Malaria-Equipment &amp; Other HPs'!AY18,0)</f>
        <v>0</v>
      </c>
      <c r="H520" s="920">
        <f>IF(SETUP!$F$56="Upfront",$E$519*'Malaria-Equipment &amp; Other HPs'!AZ18,0)</f>
        <v>0</v>
      </c>
      <c r="I520" s="920">
        <f>IF(SETUP!$F$56="Upfront",$E$519*'Malaria-Equipment &amp; Other HPs'!BA18,0)</f>
        <v>0</v>
      </c>
      <c r="J520" s="920">
        <f t="shared" si="77"/>
        <v>0</v>
      </c>
      <c r="K520" s="1016">
        <f>IF(SETUP!$F$56="Upfront",$E$519*'Malaria-Equipment &amp; Other HPs'!BB18,0)</f>
        <v>0</v>
      </c>
      <c r="L520" s="920">
        <f>IF(SETUP!$F$56="Upfront",$E$519*'Malaria-Equipment &amp; Other HPs'!BC18,0)</f>
        <v>0</v>
      </c>
      <c r="M520" s="920">
        <f>IF(SETUP!$F$56="Upfront",$E$519*'Malaria-Equipment &amp; Other HPs'!BD18,0)</f>
        <v>0</v>
      </c>
      <c r="N520" s="920">
        <f>IF(SETUP!$F$56="Upfront",$E$519*'Malaria-Equipment &amp; Other HPs'!BE18,0)</f>
        <v>0</v>
      </c>
      <c r="O520" s="920">
        <f t="shared" si="78"/>
        <v>0</v>
      </c>
      <c r="P520" s="1016">
        <f>IF(SETUP!$F$56="Upfront",$E$519*'Malaria-Equipment &amp; Other HPs'!BF18,0)</f>
        <v>0</v>
      </c>
      <c r="Q520" s="920">
        <f>IF(SETUP!$F$56="Upfront",$E$519*'Malaria-Equipment &amp; Other HPs'!BG18,0)</f>
        <v>0</v>
      </c>
      <c r="R520" s="920">
        <f>IF(SETUP!$F$56="Upfront",$E$519*'Malaria-Equipment &amp; Other HPs'!BH18,0)</f>
        <v>0</v>
      </c>
      <c r="S520" s="920">
        <f>IF(SETUP!$F$56="Upfront",$E$519*'Malaria-Equipment &amp; Other HPs'!BI18,0)</f>
        <v>0</v>
      </c>
      <c r="T520" s="920">
        <f t="shared" si="79"/>
        <v>0</v>
      </c>
      <c r="U520" s="1016">
        <f t="shared" si="80"/>
        <v>0</v>
      </c>
      <c r="V520" s="1344">
        <v>7.4</v>
      </c>
      <c r="W520" s="2011"/>
      <c r="X520" s="575"/>
      <c r="Y520" s="1350"/>
      <c r="Z520" s="655"/>
      <c r="AA520" s="686"/>
      <c r="AB520" s="686"/>
      <c r="AC520" s="686"/>
      <c r="AD520" s="686"/>
      <c r="AE520" s="686"/>
      <c r="AF520" s="686"/>
      <c r="AG520" s="686"/>
      <c r="AH520" s="687"/>
      <c r="AI520" s="686"/>
      <c r="AJ520" s="686"/>
      <c r="AK520" s="686"/>
      <c r="AL520" s="686"/>
      <c r="AM520" s="686"/>
      <c r="AN520" s="686"/>
      <c r="AO520" s="686"/>
      <c r="AP520" s="686"/>
      <c r="AQ520" s="686"/>
      <c r="AR520" s="686"/>
      <c r="AS520" s="686"/>
      <c r="AT520" s="686"/>
      <c r="AU520" s="686"/>
      <c r="AV520" s="686"/>
      <c r="AW520" s="686"/>
      <c r="AX520" s="686"/>
      <c r="AY520" s="686"/>
      <c r="AZ520" s="686"/>
      <c r="BA520" s="686"/>
      <c r="BB520" s="686"/>
      <c r="BC520" s="686"/>
      <c r="BD520" s="686"/>
      <c r="BE520" s="686"/>
      <c r="BF520" s="686"/>
      <c r="BG520" s="686"/>
      <c r="BH520" s="686"/>
      <c r="BI520" s="686"/>
      <c r="BJ520" s="686"/>
      <c r="BK520" s="686"/>
      <c r="BL520" s="686"/>
      <c r="BM520" s="686"/>
      <c r="BN520" s="686"/>
      <c r="BO520" s="686"/>
      <c r="BP520" s="686"/>
      <c r="BQ520" s="686"/>
      <c r="BR520" s="686"/>
      <c r="BS520" s="686"/>
      <c r="BT520" s="686"/>
    </row>
    <row r="521" spans="1:72" s="688" customFormat="1" ht="17.25" hidden="1" customHeight="1" outlineLevel="1" thickBot="1">
      <c r="A521" s="3227"/>
      <c r="B521" s="3228"/>
      <c r="C521" s="3182" t="s">
        <v>36</v>
      </c>
      <c r="D521" s="3182"/>
      <c r="E521" s="3179"/>
      <c r="F521" s="1016">
        <v>0</v>
      </c>
      <c r="G521" s="920">
        <f>IF(SETUP!$F$56="At delivery",IF(SETUP!$G$56=1,$E$519*'Malaria-Equipment &amp; Other HPs'!AX18,0),0)</f>
        <v>0</v>
      </c>
      <c r="H521" s="920">
        <f>IF(SETUP!$F$56="At delivery",IF(SETUP!$G$56=2,$E$519*'Malaria-Equipment &amp; Other HPs'!AX18,IF(SETUP!$G$56=1,$E$519*'Malaria-Equipment &amp; Other HPs'!AY18,0)),0)</f>
        <v>0</v>
      </c>
      <c r="I521" s="920">
        <f>IF(SETUP!$F$56="At delivery",IF(SETUP!$G$56=3,$E$519*'Malaria-Equipment &amp; Other HPs'!AX18,IF(SETUP!$G$56=2,$E$519*'Malaria-Equipment &amp; Other HPs'!AY18,IF(SETUP!$G$56=1,$E$519*'Malaria-Equipment &amp; Other HPs'!AZ18,0))),0)</f>
        <v>0</v>
      </c>
      <c r="J521" s="920">
        <f t="shared" si="77"/>
        <v>0</v>
      </c>
      <c r="K521" s="1016">
        <f>IF(SETUP!$F$56="At delivery",IF(SETUP!$G$56=4,$E$519*'Malaria-Equipment &amp; Other HPs'!AX18,IF(SETUP!$G$56=3,$E$519*'Malaria-Equipment &amp; Other HPs'!AY18,IF(SETUP!$G$56=2,$E$519*'Malaria-Equipment &amp; Other HPs'!AZ18,IF(SETUP!$G$56=1,$E$519*'Malaria-Equipment &amp; Other HPs'!BA18,0)))),0)</f>
        <v>0</v>
      </c>
      <c r="L521" s="920">
        <f>IF(SETUP!$F$56="At delivery",IF(SETUP!$G$56=4,$E$519*'Malaria-Equipment &amp; Other HPs'!AY18,IF(SETUP!$G$56=3,$E$519*'Malaria-Equipment &amp; Other HPs'!AZ18,IF(SETUP!$G$56=2,$E$519*'Malaria-Equipment &amp; Other HPs'!BA18,IF(SETUP!$G$56=1,$E$519*'Malaria-Equipment &amp; Other HPs'!BB18,0)))),0)</f>
        <v>0</v>
      </c>
      <c r="M521" s="920">
        <f>IF(SETUP!$F$56="At delivery",IF(SETUP!$G$56=4,$E$519*'Malaria-Equipment &amp; Other HPs'!AZ18,IF(SETUP!$G$56=3,$E$519*'Malaria-Equipment &amp; Other HPs'!BA18,IF(SETUP!$G$56=2,$E$519*'Malaria-Equipment &amp; Other HPs'!BB18,IF(SETUP!$G$56=1,$E$519*'Malaria-Equipment &amp; Other HPs'!BC18,0)))),0)</f>
        <v>0</v>
      </c>
      <c r="N521" s="920">
        <f>IF(SETUP!$F$56="At delivery",IF(SETUP!$G$56=4,$E$519*'Malaria-Equipment &amp; Other HPs'!BA18,IF(SETUP!$G$56=3,$E$519*'Malaria-Equipment &amp; Other HPs'!BB18,IF(SETUP!$G$56=2,$E$519*'Malaria-Equipment &amp; Other HPs'!BC18,IF(SETUP!$G$56=1,$E$519*'Malaria-Equipment &amp; Other HPs'!BD18,0)))),0)</f>
        <v>0</v>
      </c>
      <c r="O521" s="920">
        <f t="shared" si="78"/>
        <v>0</v>
      </c>
      <c r="P521" s="1016">
        <f>IF(SETUP!$F$56="At delivery",IF(SETUP!$G$56=4,$E$519*'Malaria-Equipment &amp; Other HPs'!BB18,IF(SETUP!$G$56=3,$E$519*'Malaria-Equipment &amp; Other HPs'!BC18,IF(SETUP!$G$56=2,$E$519*'Malaria-Equipment &amp; Other HPs'!BD18,IF(SETUP!$G$56=1,$E$519*'Malaria-Equipment &amp; Other HPs'!BE18,0)))),0)</f>
        <v>0</v>
      </c>
      <c r="Q521" s="920">
        <f>IF(SETUP!$F$56="At delivery",IF(SETUP!$G$56=4,$E$519*'Malaria-Equipment &amp; Other HPs'!BC18,IF(SETUP!$G$56=3,$E$519*'Malaria-Equipment &amp; Other HPs'!BD18,IF(SETUP!$G$56=2,$E$519*'Malaria-Equipment &amp; Other HPs'!BE18,IF(SETUP!$G$56=1,$E$519*'Malaria-Equipment &amp; Other HPs'!BF18,0)))),0)</f>
        <v>0</v>
      </c>
      <c r="R521" s="920">
        <f>IF(SETUP!$F$56="At delivery",IF(SETUP!$G$56=4,$E$519*'Malaria-Equipment &amp; Other HPs'!BD18,IF(SETUP!$G$56=3,$E$519*'Malaria-Equipment &amp; Other HPs'!BE18,IF(SETUP!$G$56=2,$E$519*'Malaria-Equipment &amp; Other HPs'!BF18,IF(SETUP!$G$56=1,$E$519*'Malaria-Equipment &amp; Other HPs'!BG18,0)))),0)</f>
        <v>0</v>
      </c>
      <c r="S521" s="920">
        <f>IF(SETUP!$F$56="At delivery",IF(SETUP!$G$56=4,$E$519*('Malaria-Equipment &amp; Other HPs'!BE18+'Malaria-Equipment &amp; Other HPs'!BF18+'Malaria-Equipment &amp; Other HPs'!BG18+'Malaria-Equipment &amp; Other HPs'!BH18+'Malaria-Equipment &amp; Other HPs'!BI18),IF(SETUP!$G$56=3,$E$519*('Malaria-Equipment &amp; Other HPs'!BF18+'Malaria-Equipment &amp; Other HPs'!BG18+'Malaria-Equipment &amp; Other HPs'!BH18+'Malaria-Equipment &amp; Other HPs'!BI18),IF(SETUP!$G$56=2,$E$519*('Malaria-Equipment &amp; Other HPs'!BG18+'Malaria-Equipment &amp; Other HPs'!BH18+'Malaria-Equipment &amp; Other HPs'!BI18),IF(SETUP!$G$56=1,$E$519*('Malaria-Equipment &amp; Other HPs'!BH18+'Malaria-Equipment &amp; Other HPs'!BI18),0)))),0)</f>
        <v>0</v>
      </c>
      <c r="T521" s="920">
        <f t="shared" si="79"/>
        <v>0</v>
      </c>
      <c r="U521" s="1016">
        <f t="shared" si="80"/>
        <v>0</v>
      </c>
      <c r="V521" s="1344">
        <v>7.4</v>
      </c>
      <c r="W521" s="2011"/>
      <c r="X521" s="575"/>
      <c r="Y521" s="1350"/>
      <c r="Z521" s="655"/>
      <c r="AA521" s="686"/>
      <c r="AB521" s="686"/>
      <c r="AC521" s="686"/>
      <c r="AD521" s="686"/>
      <c r="AE521" s="686"/>
      <c r="AF521" s="686"/>
      <c r="AG521" s="686"/>
      <c r="AH521" s="687"/>
      <c r="AI521" s="686"/>
      <c r="AJ521" s="686"/>
      <c r="AK521" s="686"/>
      <c r="AL521" s="686"/>
      <c r="AM521" s="686"/>
      <c r="AN521" s="686"/>
      <c r="AO521" s="686"/>
      <c r="AP521" s="686"/>
      <c r="AQ521" s="686"/>
      <c r="AR521" s="686"/>
      <c r="AS521" s="686"/>
      <c r="AT521" s="686"/>
      <c r="AU521" s="686"/>
      <c r="AV521" s="686"/>
      <c r="AW521" s="686"/>
      <c r="AX521" s="686"/>
      <c r="AY521" s="686"/>
      <c r="AZ521" s="686"/>
      <c r="BA521" s="686"/>
      <c r="BB521" s="686"/>
      <c r="BC521" s="686"/>
      <c r="BD521" s="686"/>
      <c r="BE521" s="686"/>
      <c r="BF521" s="686"/>
      <c r="BG521" s="686"/>
      <c r="BH521" s="686"/>
      <c r="BI521" s="686"/>
      <c r="BJ521" s="686"/>
      <c r="BK521" s="686"/>
      <c r="BL521" s="686"/>
      <c r="BM521" s="686"/>
      <c r="BN521" s="686"/>
      <c r="BO521" s="686"/>
      <c r="BP521" s="686"/>
      <c r="BQ521" s="686"/>
      <c r="BR521" s="686"/>
      <c r="BS521" s="686"/>
      <c r="BT521" s="686"/>
    </row>
    <row r="522" spans="1:72" s="688" customFormat="1" ht="13.5" hidden="1" collapsed="1" thickBot="1">
      <c r="A522" s="3227"/>
      <c r="B522" s="3228"/>
      <c r="C522" s="3188" t="s">
        <v>429</v>
      </c>
      <c r="D522" s="3188"/>
      <c r="E522" s="1245">
        <v>0</v>
      </c>
      <c r="F522" s="1016">
        <f>IF(SETUP!$F$57="Upfront",F523,F524)</f>
        <v>0</v>
      </c>
      <c r="G522" s="920">
        <f>IF(SETUP!$F$57="Upfront",G523,G524)</f>
        <v>0</v>
      </c>
      <c r="H522" s="920">
        <f>IF(SETUP!$F$57="Upfront",H523,H524)</f>
        <v>0</v>
      </c>
      <c r="I522" s="920">
        <f>IF(SETUP!$F$57="Upfront",I523,I524)</f>
        <v>0</v>
      </c>
      <c r="J522" s="920">
        <f t="shared" si="77"/>
        <v>0</v>
      </c>
      <c r="K522" s="1016">
        <f>IF(SETUP!$F$57="Upfront",K523,K524)</f>
        <v>0</v>
      </c>
      <c r="L522" s="920">
        <f>IF(SETUP!$F$57="Upfront",L523,L524)</f>
        <v>0</v>
      </c>
      <c r="M522" s="920">
        <f>IF(SETUP!$F$57="Upfront",M523,M524)</f>
        <v>0</v>
      </c>
      <c r="N522" s="920">
        <f>IF(SETUP!$F$57="Upfront",N523,N524)</f>
        <v>0</v>
      </c>
      <c r="O522" s="920">
        <f t="shared" si="78"/>
        <v>0</v>
      </c>
      <c r="P522" s="1016">
        <f>IF(SETUP!$F$57="Upfront",P523,P524)</f>
        <v>0</v>
      </c>
      <c r="Q522" s="920">
        <f>IF(SETUP!$F$57="Upfront",Q523,Q524)</f>
        <v>0</v>
      </c>
      <c r="R522" s="920">
        <f>IF(SETUP!$F$57="Upfront",R523,R524)</f>
        <v>0</v>
      </c>
      <c r="S522" s="920">
        <f>IF(SETUP!$F$57="Upfront",S523,S524)</f>
        <v>0</v>
      </c>
      <c r="T522" s="920">
        <f t="shared" si="79"/>
        <v>0</v>
      </c>
      <c r="U522" s="1016">
        <f t="shared" si="80"/>
        <v>0</v>
      </c>
      <c r="V522" s="1344">
        <v>7.4</v>
      </c>
      <c r="W522" s="2011"/>
      <c r="X522" s="575"/>
      <c r="Y522" s="1350"/>
      <c r="Z522" s="655"/>
      <c r="AA522" s="686"/>
      <c r="AB522" s="686"/>
      <c r="AC522" s="686"/>
      <c r="AD522" s="686"/>
      <c r="AE522" s="686"/>
      <c r="AF522" s="686"/>
      <c r="AG522" s="686"/>
      <c r="AH522" s="687"/>
      <c r="AI522" s="686"/>
      <c r="AJ522" s="686"/>
      <c r="AK522" s="686"/>
      <c r="AL522" s="686"/>
      <c r="AM522" s="686"/>
      <c r="AN522" s="686"/>
      <c r="AO522" s="686"/>
      <c r="AP522" s="686"/>
      <c r="AQ522" s="686"/>
      <c r="AR522" s="686"/>
      <c r="AS522" s="686"/>
      <c r="AT522" s="686"/>
      <c r="AU522" s="686"/>
      <c r="AV522" s="686"/>
      <c r="AW522" s="686"/>
      <c r="AX522" s="686"/>
      <c r="AY522" s="686"/>
      <c r="AZ522" s="686"/>
      <c r="BA522" s="686"/>
      <c r="BB522" s="686"/>
      <c r="BC522" s="686"/>
      <c r="BD522" s="686"/>
      <c r="BE522" s="686"/>
      <c r="BF522" s="686"/>
      <c r="BG522" s="686"/>
      <c r="BH522" s="686"/>
      <c r="BI522" s="686"/>
      <c r="BJ522" s="686"/>
      <c r="BK522" s="686"/>
      <c r="BL522" s="686"/>
      <c r="BM522" s="686"/>
      <c r="BN522" s="686"/>
      <c r="BO522" s="686"/>
      <c r="BP522" s="686"/>
      <c r="BQ522" s="686"/>
      <c r="BR522" s="686"/>
      <c r="BS522" s="686"/>
      <c r="BT522" s="686"/>
    </row>
    <row r="523" spans="1:72" s="688" customFormat="1" ht="16.149999999999999" hidden="1" customHeight="1" outlineLevel="1">
      <c r="A523" s="3227"/>
      <c r="B523" s="3228"/>
      <c r="C523" s="3182" t="s">
        <v>777</v>
      </c>
      <c r="D523" s="3182"/>
      <c r="E523" s="1579"/>
      <c r="F523" s="1016">
        <f>IF(SETUP!$F$57="Upfront",$E$522*'Malaria-Equipment &amp; Other HPs'!AX19,0)</f>
        <v>0</v>
      </c>
      <c r="G523" s="920">
        <f>IF(SETUP!$F$57="Upfront",$E$522*'Malaria-Equipment &amp; Other HPs'!AY19,0)</f>
        <v>0</v>
      </c>
      <c r="H523" s="920">
        <f>IF(SETUP!$F$57="Upfront",$E$522*'Malaria-Equipment &amp; Other HPs'!AZ19,0)</f>
        <v>0</v>
      </c>
      <c r="I523" s="920">
        <f>IF(SETUP!$F$57="Upfront",$E$522*'Malaria-Equipment &amp; Other HPs'!BA19,0)</f>
        <v>0</v>
      </c>
      <c r="J523" s="920">
        <f t="shared" si="77"/>
        <v>0</v>
      </c>
      <c r="K523" s="1016">
        <f>IF(SETUP!$F$57="Upfront",$E$522*'Malaria-Equipment &amp; Other HPs'!BB19,0)</f>
        <v>0</v>
      </c>
      <c r="L523" s="920">
        <f>IF(SETUP!$F$57="Upfront",$E$522*'Malaria-Equipment &amp; Other HPs'!BC19,0)</f>
        <v>0</v>
      </c>
      <c r="M523" s="920">
        <f>IF(SETUP!$F$57="Upfront",$E$522*'Malaria-Equipment &amp; Other HPs'!BD19,0)</f>
        <v>0</v>
      </c>
      <c r="N523" s="920">
        <f>IF(SETUP!$F$57="Upfront",$E$522*'Malaria-Equipment &amp; Other HPs'!BE19,0)</f>
        <v>0</v>
      </c>
      <c r="O523" s="920">
        <f t="shared" si="78"/>
        <v>0</v>
      </c>
      <c r="P523" s="1016">
        <f>IF(SETUP!$F$57="Upfront",$E$522*'Malaria-Equipment &amp; Other HPs'!BF19,0)</f>
        <v>0</v>
      </c>
      <c r="Q523" s="920">
        <f>IF(SETUP!$F$57="Upfront",$E$522*'Malaria-Equipment &amp; Other HPs'!BG19,0)</f>
        <v>0</v>
      </c>
      <c r="R523" s="920">
        <f>IF(SETUP!$F$57="Upfront",$E$522*'Malaria-Equipment &amp; Other HPs'!BH19,0)</f>
        <v>0</v>
      </c>
      <c r="S523" s="920">
        <f>IF(SETUP!$F$57="Upfront",$E$522*'Malaria-Equipment &amp; Other HPs'!BI19,0)</f>
        <v>0</v>
      </c>
      <c r="T523" s="920">
        <f t="shared" si="79"/>
        <v>0</v>
      </c>
      <c r="U523" s="1016">
        <f t="shared" si="80"/>
        <v>0</v>
      </c>
      <c r="V523" s="1344">
        <v>7.4</v>
      </c>
      <c r="W523" s="2011"/>
      <c r="X523" s="575"/>
      <c r="Y523" s="1350"/>
      <c r="Z523" s="655"/>
      <c r="AA523" s="686"/>
      <c r="AB523" s="686"/>
      <c r="AC523" s="686"/>
      <c r="AD523" s="686"/>
      <c r="AE523" s="686"/>
      <c r="AF523" s="686"/>
      <c r="AG523" s="686"/>
      <c r="AH523" s="687"/>
      <c r="AI523" s="686"/>
      <c r="AJ523" s="686"/>
      <c r="AK523" s="686"/>
      <c r="AL523" s="686"/>
      <c r="AM523" s="686"/>
      <c r="AN523" s="686"/>
      <c r="AO523" s="686"/>
      <c r="AP523" s="686"/>
      <c r="AQ523" s="686"/>
      <c r="AR523" s="686"/>
      <c r="AS523" s="686"/>
      <c r="AT523" s="686"/>
      <c r="AU523" s="686"/>
      <c r="AV523" s="686"/>
      <c r="AW523" s="686"/>
      <c r="AX523" s="686"/>
      <c r="AY523" s="686"/>
      <c r="AZ523" s="686"/>
      <c r="BA523" s="686"/>
      <c r="BB523" s="686"/>
      <c r="BC523" s="686"/>
      <c r="BD523" s="686"/>
      <c r="BE523" s="686"/>
      <c r="BF523" s="686"/>
      <c r="BG523" s="686"/>
      <c r="BH523" s="686"/>
      <c r="BI523" s="686"/>
      <c r="BJ523" s="686"/>
      <c r="BK523" s="686"/>
      <c r="BL523" s="686"/>
      <c r="BM523" s="686"/>
      <c r="BN523" s="686"/>
      <c r="BO523" s="686"/>
      <c r="BP523" s="686"/>
      <c r="BQ523" s="686"/>
      <c r="BR523" s="686"/>
      <c r="BS523" s="686"/>
      <c r="BT523" s="686"/>
    </row>
    <row r="524" spans="1:72" s="688" customFormat="1" ht="17.25" hidden="1" customHeight="1" outlineLevel="1" thickBot="1">
      <c r="A524" s="3227"/>
      <c r="B524" s="3228"/>
      <c r="C524" s="3182" t="s">
        <v>36</v>
      </c>
      <c r="D524" s="3182"/>
      <c r="E524" s="1579"/>
      <c r="F524" s="1016">
        <v>0</v>
      </c>
      <c r="G524" s="920">
        <f>IF(SETUP!$F$57="At delivery",IF(SETUP!$G$57=1,$E$522*'Malaria-Equipment &amp; Other HPs'!AX19,0),0)</f>
        <v>0</v>
      </c>
      <c r="H524" s="920">
        <f>IF(SETUP!$F$57="At delivery",IF(SETUP!$G$57=2,$E$522*'Malaria-Equipment &amp; Other HPs'!AX19,IF(SETUP!$G$57=1,$E$522*'Malaria-Equipment &amp; Other HPs'!AY19,0)),0)</f>
        <v>0</v>
      </c>
      <c r="I524" s="920">
        <f>IF(SETUP!$F$57="At delivery",IF(SETUP!$G$57=3,$E$522*'Malaria-Equipment &amp; Other HPs'!AX19,IF(SETUP!$G$57=2,$E$522*'Malaria-Equipment &amp; Other HPs'!AY19,IF(SETUP!$G$57=1,$E$522*'Malaria-Equipment &amp; Other HPs'!AZ19,0))),0)</f>
        <v>0</v>
      </c>
      <c r="J524" s="920">
        <f t="shared" si="77"/>
        <v>0</v>
      </c>
      <c r="K524" s="1016">
        <f>IF(SETUP!$F$57="At delivery",IF(SETUP!$G$57=4,$E$522*'Malaria-Equipment &amp; Other HPs'!AX19,IF(SETUP!$G$57=3,$E$522*'Malaria-Equipment &amp; Other HPs'!AY19,IF(SETUP!$G$57=2,$E$522*'Malaria-Equipment &amp; Other HPs'!AZ19,IF(SETUP!$G$57=1,$E$522*'Malaria-Equipment &amp; Other HPs'!BA19,0)))),0)</f>
        <v>0</v>
      </c>
      <c r="L524" s="920">
        <f>IF(SETUP!$F$57="At delivery",IF(SETUP!$G$57=4,$E$522*'Malaria-Equipment &amp; Other HPs'!AY19,IF(SETUP!$G$57=3,$E$522*'Malaria-Equipment &amp; Other HPs'!AZ19,IF(SETUP!$G$57=2,$E$522*'Malaria-Equipment &amp; Other HPs'!BA19,IF(SETUP!$G$57=1,$E$522*'Malaria-Equipment &amp; Other HPs'!BB19,0)))),0)</f>
        <v>0</v>
      </c>
      <c r="M524" s="920">
        <f>IF(SETUP!$F$57="At delivery",IF(SETUP!$G$57=4,$E$522*'Malaria-Equipment &amp; Other HPs'!AZ19,IF(SETUP!$G$57=3,$E$522*'Malaria-Equipment &amp; Other HPs'!BA19,IF(SETUP!$G$57=2,$E$522*'Malaria-Equipment &amp; Other HPs'!BB19,IF(SETUP!$G$57=1,$E$522*'Malaria-Equipment &amp; Other HPs'!BC19,0)))),0)</f>
        <v>0</v>
      </c>
      <c r="N524" s="920">
        <f>IF(SETUP!$F$57="At delivery",IF(SETUP!$G$57=4,$E$522*'Malaria-Equipment &amp; Other HPs'!BA19,IF(SETUP!$G$57=3,$E$522*'Malaria-Equipment &amp; Other HPs'!BB19,IF(SETUP!$G$57=2,$E$522*'Malaria-Equipment &amp; Other HPs'!BC19,IF(SETUP!$G$57=1,$E$522*'Malaria-Equipment &amp; Other HPs'!BD19,0)))),0)</f>
        <v>0</v>
      </c>
      <c r="O524" s="920">
        <f t="shared" si="78"/>
        <v>0</v>
      </c>
      <c r="P524" s="1016">
        <f>IF(SETUP!$F$57="At delivery",IF(SETUP!$G$57=4,$E$522*'Malaria-Equipment &amp; Other HPs'!BB19,IF(SETUP!$G$57=3,$E$522*'Malaria-Equipment &amp; Other HPs'!BC19,IF(SETUP!$G$57=2,$E$522*'Malaria-Equipment &amp; Other HPs'!BD19,IF(SETUP!$G$57=1,$E$522*'Malaria-Equipment &amp; Other HPs'!BE19,0)))),0)</f>
        <v>0</v>
      </c>
      <c r="Q524" s="920">
        <f>IF(SETUP!$F$57="At delivery",IF(SETUP!$G$57=4,$E$522*'Malaria-Equipment &amp; Other HPs'!BC19,IF(SETUP!$G$57=3,$E$522*'Malaria-Equipment &amp; Other HPs'!BD19,IF(SETUP!$G$57=2,$E$522*'Malaria-Equipment &amp; Other HPs'!BE19,IF(SETUP!$G$57=1,$E$522*'Malaria-Equipment &amp; Other HPs'!BF19,0)))),0)</f>
        <v>0</v>
      </c>
      <c r="R524" s="920">
        <f>IF(SETUP!$F$57="At delivery",IF(SETUP!$G$57=4,$E$522*'Malaria-Equipment &amp; Other HPs'!BD19,IF(SETUP!$G$57=3,$E$522*'Malaria-Equipment &amp; Other HPs'!BE19,IF(SETUP!$G$57=2,$E$522*'Malaria-Equipment &amp; Other HPs'!BF19,IF(SETUP!$G$57=1,$E$522*'Malaria-Equipment &amp; Other HPs'!BG19,0)))),0)</f>
        <v>0</v>
      </c>
      <c r="S524" s="920">
        <f>IF(SETUP!$F$57="At delivery",IF(SETUP!$G$57=4,$E$522*('Malaria-Equipment &amp; Other HPs'!BE19+'Malaria-Equipment &amp; Other HPs'!BF19+'Malaria-Equipment &amp; Other HPs'!BG19+'Malaria-Equipment &amp; Other HPs'!BH19+'Malaria-Equipment &amp; Other HPs'!BI19),IF(SETUP!$G$57=3,$E$522*('Malaria-Equipment &amp; Other HPs'!BF19+'Malaria-Equipment &amp; Other HPs'!BG19+'Malaria-Equipment &amp; Other HPs'!BH19+'Malaria-Equipment &amp; Other HPs'!BI19),IF(SETUP!$G$57=2,$E$522*('Malaria-Equipment &amp; Other HPs'!BG19+'Malaria-Equipment &amp; Other HPs'!BH19+'Malaria-Equipment &amp; Other HPs'!BI19),IF(SETUP!$G$57=1,$E$522*('Malaria-Equipment &amp; Other HPs'!BH19+'Malaria-Equipment &amp; Other HPs'!BI19),0)))),0)</f>
        <v>0</v>
      </c>
      <c r="T524" s="920">
        <f t="shared" si="79"/>
        <v>0</v>
      </c>
      <c r="U524" s="1016">
        <f t="shared" si="80"/>
        <v>0</v>
      </c>
      <c r="V524" s="1344">
        <v>7.4</v>
      </c>
      <c r="W524" s="2011"/>
      <c r="X524" s="575"/>
      <c r="Y524" s="1350"/>
      <c r="Z524" s="655"/>
      <c r="AA524" s="686"/>
      <c r="AB524" s="686"/>
      <c r="AC524" s="686"/>
      <c r="AD524" s="686"/>
      <c r="AE524" s="686"/>
      <c r="AF524" s="686"/>
      <c r="AG524" s="686"/>
      <c r="AH524" s="687"/>
      <c r="AI524" s="686"/>
      <c r="AJ524" s="686"/>
      <c r="AK524" s="686"/>
      <c r="AL524" s="686"/>
      <c r="AM524" s="686"/>
      <c r="AN524" s="686"/>
      <c r="AO524" s="686"/>
      <c r="AP524" s="686"/>
      <c r="AQ524" s="686"/>
      <c r="AR524" s="686"/>
      <c r="AS524" s="686"/>
      <c r="AT524" s="686"/>
      <c r="AU524" s="686"/>
      <c r="AV524" s="686"/>
      <c r="AW524" s="686"/>
      <c r="AX524" s="686"/>
      <c r="AY524" s="686"/>
      <c r="AZ524" s="686"/>
      <c r="BA524" s="686"/>
      <c r="BB524" s="686"/>
      <c r="BC524" s="686"/>
      <c r="BD524" s="686"/>
      <c r="BE524" s="686"/>
      <c r="BF524" s="686"/>
      <c r="BG524" s="686"/>
      <c r="BH524" s="686"/>
      <c r="BI524" s="686"/>
      <c r="BJ524" s="686"/>
      <c r="BK524" s="686"/>
      <c r="BL524" s="686"/>
      <c r="BM524" s="686"/>
      <c r="BN524" s="686"/>
      <c r="BO524" s="686"/>
      <c r="BP524" s="686"/>
      <c r="BQ524" s="686"/>
      <c r="BR524" s="686"/>
      <c r="BS524" s="686"/>
      <c r="BT524" s="686"/>
    </row>
    <row r="525" spans="1:72" s="688" customFormat="1" ht="13.5" hidden="1" collapsed="1" thickBot="1">
      <c r="A525" s="3227"/>
      <c r="B525" s="3228"/>
      <c r="C525" s="3188" t="s">
        <v>459</v>
      </c>
      <c r="D525" s="3188"/>
      <c r="E525" s="1245">
        <v>0</v>
      </c>
      <c r="F525" s="1035">
        <f>IF(SETUP!$F$58="Upfront",F526,F527)</f>
        <v>0</v>
      </c>
      <c r="G525" s="1036">
        <f>IF(SETUP!$F$58="Upfront",G526,G527)</f>
        <v>0</v>
      </c>
      <c r="H525" s="1036">
        <f>IF(SETUP!$F$58="Upfront",H526,H527)</f>
        <v>0</v>
      </c>
      <c r="I525" s="1036">
        <f>IF(SETUP!$F$58="Upfront",I526,I527)</f>
        <v>0</v>
      </c>
      <c r="J525" s="1036">
        <f t="shared" si="77"/>
        <v>0</v>
      </c>
      <c r="K525" s="1035">
        <f>IF(SETUP!$F$58="Upfront",K526,K527)</f>
        <v>0</v>
      </c>
      <c r="L525" s="1036">
        <f>IF(SETUP!$F$58="Upfront",L526,L527)</f>
        <v>0</v>
      </c>
      <c r="M525" s="1036">
        <f>IF(SETUP!$F$58="Upfront",M526,M527)</f>
        <v>0</v>
      </c>
      <c r="N525" s="1036">
        <f>IF(SETUP!$F$58="Upfront",N526,N527)</f>
        <v>0</v>
      </c>
      <c r="O525" s="1037">
        <f t="shared" si="78"/>
        <v>0</v>
      </c>
      <c r="P525" s="1019">
        <f>IF(SETUP!$F$58="Upfront",P526,P527)</f>
        <v>0</v>
      </c>
      <c r="Q525" s="1020">
        <f>IF(SETUP!$F$58="Upfront",Q526,Q527)</f>
        <v>0</v>
      </c>
      <c r="R525" s="1020">
        <f>IF(SETUP!$F$58="Upfront",R526,R527)</f>
        <v>0</v>
      </c>
      <c r="S525" s="1020">
        <f>IF(SETUP!$F$58="Upfront",S526,S527)</f>
        <v>0</v>
      </c>
      <c r="T525" s="1020">
        <f t="shared" si="79"/>
        <v>0</v>
      </c>
      <c r="U525" s="1019">
        <f t="shared" si="80"/>
        <v>0</v>
      </c>
      <c r="V525" s="1325">
        <v>7.4</v>
      </c>
      <c r="W525" s="2012"/>
      <c r="X525" s="575"/>
      <c r="Y525" s="1350"/>
      <c r="Z525" s="655"/>
      <c r="AA525" s="686"/>
      <c r="AB525" s="686"/>
      <c r="AC525" s="686"/>
      <c r="AD525" s="686"/>
      <c r="AE525" s="686"/>
      <c r="AF525" s="686"/>
      <c r="AG525" s="686"/>
      <c r="AH525" s="687"/>
      <c r="AI525" s="686"/>
      <c r="AJ525" s="686"/>
      <c r="AK525" s="686"/>
      <c r="AL525" s="686"/>
      <c r="AM525" s="686"/>
      <c r="AN525" s="686"/>
      <c r="AO525" s="686"/>
      <c r="AP525" s="686"/>
      <c r="AQ525" s="686"/>
      <c r="AR525" s="686"/>
      <c r="AS525" s="686"/>
      <c r="AT525" s="686"/>
      <c r="AU525" s="686"/>
      <c r="AV525" s="686"/>
      <c r="AW525" s="686"/>
      <c r="AX525" s="686"/>
      <c r="AY525" s="686"/>
      <c r="AZ525" s="686"/>
      <c r="BA525" s="686"/>
      <c r="BB525" s="686"/>
      <c r="BC525" s="686"/>
      <c r="BD525" s="686"/>
      <c r="BE525" s="686"/>
      <c r="BF525" s="686"/>
      <c r="BG525" s="686"/>
      <c r="BH525" s="686"/>
      <c r="BI525" s="686"/>
      <c r="BJ525" s="686"/>
      <c r="BK525" s="686"/>
      <c r="BL525" s="686"/>
      <c r="BM525" s="686"/>
      <c r="BN525" s="686"/>
      <c r="BO525" s="686"/>
      <c r="BP525" s="686"/>
      <c r="BQ525" s="686"/>
      <c r="BR525" s="686"/>
      <c r="BS525" s="686"/>
      <c r="BT525" s="686"/>
    </row>
    <row r="526" spans="1:72" s="688" customFormat="1" ht="12.75" hidden="1" customHeight="1" outlineLevel="1">
      <c r="A526" s="974"/>
      <c r="B526" s="975"/>
      <c r="C526" s="3182" t="s">
        <v>777</v>
      </c>
      <c r="D526" s="3182"/>
      <c r="E526" s="1013"/>
      <c r="F526" s="984">
        <f>IF(SETUP!$F$58="Upfront",$E$525*'Malaria-Equipment &amp; Other HPs'!AX20,0)</f>
        <v>0</v>
      </c>
      <c r="G526" s="985">
        <f>IF(SETUP!$F$58="Upfront",$E$525*'Malaria-Equipment &amp; Other HPs'!AY20,0)</f>
        <v>0</v>
      </c>
      <c r="H526" s="985">
        <f>IF(SETUP!$F$58="Upfront",$E$525*'Malaria-Equipment &amp; Other HPs'!AZ20,0)</f>
        <v>0</v>
      </c>
      <c r="I526" s="985">
        <f>IF(SETUP!$F$58="Upfront",$E$525*'Malaria-Equipment &amp; Other HPs'!BA20,0)</f>
        <v>0</v>
      </c>
      <c r="J526" s="986">
        <f>SUM('HPM costs'!$F526:$I526)</f>
        <v>0</v>
      </c>
      <c r="K526" s="984">
        <f>IF(SETUP!$F$58="Upfront",$E$525*'Malaria-Equipment &amp; Other HPs'!BB20,0)</f>
        <v>0</v>
      </c>
      <c r="L526" s="985">
        <f>IF(SETUP!$F$58="Upfront",$E$525*'Malaria-Equipment &amp; Other HPs'!BC20,0)</f>
        <v>0</v>
      </c>
      <c r="M526" s="985">
        <f>IF(SETUP!$F$58="Upfront",$E$525*'Malaria-Equipment &amp; Other HPs'!BD20,0)</f>
        <v>0</v>
      </c>
      <c r="N526" s="985">
        <f>IF(SETUP!$F$58="Upfront",$E$525*'Malaria-Equipment &amp; Other HPs'!BE20,0)</f>
        <v>0</v>
      </c>
      <c r="O526" s="986">
        <f>SUM('HPM costs'!$K526:$N526)</f>
        <v>0</v>
      </c>
      <c r="P526" s="984">
        <f>IF(SETUP!$F$58="Upfront",$E$525*'Malaria-Equipment &amp; Other HPs'!BF20,0)</f>
        <v>0</v>
      </c>
      <c r="Q526" s="985">
        <f>IF(SETUP!$F$58="Upfront",$E$525*'Malaria-Equipment &amp; Other HPs'!BG20,0)</f>
        <v>0</v>
      </c>
      <c r="R526" s="985">
        <f>IF(SETUP!$F$58="Upfront",$E$525*'Malaria-Equipment &amp; Other HPs'!BH20,0)</f>
        <v>0</v>
      </c>
      <c r="S526" s="985">
        <f>IF(SETUP!$F$58="Upfront",$E$525*'Malaria-Equipment &amp; Other HPs'!BI20,0)</f>
        <v>0</v>
      </c>
      <c r="T526" s="986">
        <f>SUM('HPM costs'!$P526:$S526)</f>
        <v>0</v>
      </c>
      <c r="U526" s="987">
        <f>'HPM costs'!$T526+'HPM costs'!$O526+'HPM costs'!$J526</f>
        <v>0</v>
      </c>
      <c r="V526" s="1346"/>
      <c r="W526" s="2013"/>
      <c r="X526" s="575"/>
      <c r="Y526" s="1350"/>
      <c r="Z526" s="655"/>
      <c r="AA526" s="686"/>
      <c r="AB526" s="686"/>
      <c r="AC526" s="686"/>
      <c r="AD526" s="686"/>
      <c r="AE526" s="686"/>
      <c r="AF526" s="686"/>
      <c r="AG526" s="686"/>
      <c r="AH526" s="687"/>
      <c r="AI526" s="686"/>
      <c r="AJ526" s="686"/>
      <c r="AK526" s="686"/>
      <c r="AL526" s="686"/>
      <c r="AM526" s="686"/>
      <c r="AN526" s="686"/>
      <c r="AO526" s="686"/>
      <c r="AP526" s="686"/>
      <c r="AQ526" s="686"/>
      <c r="AR526" s="686"/>
      <c r="AS526" s="686"/>
      <c r="AT526" s="686"/>
      <c r="AU526" s="686"/>
      <c r="AV526" s="686"/>
      <c r="AW526" s="686"/>
      <c r="AX526" s="686"/>
      <c r="AY526" s="686"/>
      <c r="AZ526" s="686"/>
      <c r="BA526" s="686"/>
      <c r="BB526" s="686"/>
      <c r="BC526" s="686"/>
      <c r="BD526" s="686"/>
      <c r="BE526" s="686"/>
      <c r="BF526" s="686"/>
      <c r="BG526" s="686"/>
      <c r="BH526" s="686"/>
      <c r="BI526" s="686"/>
      <c r="BJ526" s="686"/>
      <c r="BK526" s="686"/>
      <c r="BL526" s="686"/>
      <c r="BM526" s="686"/>
      <c r="BN526" s="686"/>
      <c r="BO526" s="686"/>
      <c r="BP526" s="686"/>
      <c r="BQ526" s="686"/>
      <c r="BR526" s="686"/>
      <c r="BS526" s="686"/>
      <c r="BT526" s="686"/>
    </row>
    <row r="527" spans="1:72" s="688" customFormat="1" ht="13.5" hidden="1" customHeight="1" outlineLevel="1" thickBot="1">
      <c r="A527" s="1030"/>
      <c r="B527" s="1031"/>
      <c r="C527" s="3245" t="s">
        <v>36</v>
      </c>
      <c r="D527" s="3245"/>
      <c r="E527" s="1014"/>
      <c r="F527" s="1010">
        <v>0</v>
      </c>
      <c r="G527" s="1011">
        <f>IF(SETUP!$F$58="At delivery",IF(SETUP!$G$58=1,$E$525*'Malaria-Equipment &amp; Other HPs'!AX20,0),0)</f>
        <v>0</v>
      </c>
      <c r="H527" s="1011">
        <f>IF(SETUP!$F$58="At delivery",IF(SETUP!$G$58=2,$E$525*'Malaria-Equipment &amp; Other HPs'!AX20,IF(SETUP!$G$58=1,$E$525*'Malaria-Equipment &amp; Other HPs'!AY20,0)),0)</f>
        <v>0</v>
      </c>
      <c r="I527" s="1011">
        <f>IF(SETUP!$F$58="At delivery",IF(SETUP!$G$58=3,$E$525*'Malaria-Equipment &amp; Other HPs'!AX20,IF(SETUP!$G$58=2,$E$525*'Malaria-Equipment &amp; Other HPs'!AY20,IF(SETUP!$G$58=1,$E$525*'Malaria-Equipment &amp; Other HPs'!AZ20,0))),0)</f>
        <v>0</v>
      </c>
      <c r="J527" s="1012">
        <f>SUM('HPM costs'!$F527:$I527)</f>
        <v>0</v>
      </c>
      <c r="K527" s="1010">
        <f>IF(SETUP!$F$58="At delivery",IF(SETUP!$G$58=4,$E$525*'Malaria-Equipment &amp; Other HPs'!AX20,IF(SETUP!$G$58=3,$E$525*'Malaria-Equipment &amp; Other HPs'!AY20,IF(SETUP!$G$58=2,$E$525*'Malaria-Equipment &amp; Other HPs'!AZ20,IF(SETUP!$G$58=1,$E$525*'Malaria-Equipment &amp; Other HPs'!BA20,0)))),0)</f>
        <v>0</v>
      </c>
      <c r="L527" s="1011">
        <f>IF(SETUP!$F$58="At delivery",IF(SETUP!$G$58=4,$E$525*'Malaria-Equipment &amp; Other HPs'!AY20,IF(SETUP!$G$58=3,$E$525*'Malaria-Equipment &amp; Other HPs'!AZ20,IF(SETUP!$G$58=2,$E$525*'Malaria-Equipment &amp; Other HPs'!BA20,IF(SETUP!$G$58=1,$E$525*'Malaria-Equipment &amp; Other HPs'!BB20,0)))),0)</f>
        <v>0</v>
      </c>
      <c r="M527" s="1011">
        <f>IF(SETUP!$F$58="At delivery",IF(SETUP!$G$58=4,$E$525*'Malaria-Equipment &amp; Other HPs'!AZ20,IF(SETUP!$G$58=3,$E$525*'Malaria-Equipment &amp; Other HPs'!BA20,IF(SETUP!$G$58=2,$E$525*'Malaria-Equipment &amp; Other HPs'!BB20,IF(SETUP!$G$58=1,$E$525*'Malaria-Equipment &amp; Other HPs'!BC20,0)))),0)</f>
        <v>0</v>
      </c>
      <c r="N527" s="1011">
        <f>IF(SETUP!$F$58="At delivery",IF(SETUP!$G$58=4,$E$525*'Malaria-Equipment &amp; Other HPs'!BA20,IF(SETUP!$G$58=3,$E$525*'Malaria-Equipment &amp; Other HPs'!BB20,IF(SETUP!$G$58=2,$E$525*'Malaria-Equipment &amp; Other HPs'!BC20,IF(SETUP!$G$58=1,$E$525*'Malaria-Equipment &amp; Other HPs'!BD20,0)))),0)</f>
        <v>0</v>
      </c>
      <c r="O527" s="1012">
        <f>SUM('HPM costs'!$K527:$N527)</f>
        <v>0</v>
      </c>
      <c r="P527" s="1038">
        <f>IF(SETUP!$F$58="At delivery",IF(SETUP!$G$58=4,$E$525*'Malaria-Equipment &amp; Other HPs'!BB20,IF(SETUP!$G$58=3,$E$525*'Malaria-Equipment &amp; Other HPs'!BC20,IF(SETUP!$G$58=2,$E$525*'Malaria-Equipment &amp; Other HPs'!BD20,IF(SETUP!$G$58=1,$E$525*'Malaria-Equipment &amp; Other HPs'!BE20,0)))),0)</f>
        <v>0</v>
      </c>
      <c r="Q527" s="1039">
        <f>IF(SETUP!$F$58="At delivery",IF(SETUP!$G$58=4,$E$525*'Malaria-Equipment &amp; Other HPs'!BC20,IF(SETUP!$G$58=3,$E$525*'Malaria-Equipment &amp; Other HPs'!BD20,IF(SETUP!$G$58=2,$E$525*'Malaria-Equipment &amp; Other HPs'!BE20,IF(SETUP!$G$58=1,$E$525*'Malaria-Equipment &amp; Other HPs'!BF20,0)))),0)</f>
        <v>0</v>
      </c>
      <c r="R527" s="1039">
        <f>IF(SETUP!$F$58="At delivery",IF(SETUP!$G$58=4,$E$525*'Malaria-Equipment &amp; Other HPs'!BD20,IF(SETUP!$G$58=3,$E$525*'Malaria-Equipment &amp; Other HPs'!BE20,IF(SETUP!$G$58=2,$E$525*'Malaria-Equipment &amp; Other HPs'!BF20,IF(SETUP!$G$58=1,$E$525*'Malaria-Equipment &amp; Other HPs'!BG20,0)))),0)</f>
        <v>0</v>
      </c>
      <c r="S527" s="1039">
        <f>IF(SETUP!$F$58="At delivery",IF(SETUP!$G$58=4,$E$525*('Malaria-Equipment &amp; Other HPs'!BE20+'Malaria-Equipment &amp; Other HPs'!BF20+'Malaria-Equipment &amp; Other HPs'!BG20+'Malaria-Equipment &amp; Other HPs'!BH20+'Malaria-Equipment &amp; Other HPs'!BI20),IF(SETUP!$G$58=3,$E$525*('Malaria-Equipment &amp; Other HPs'!BF20+'Malaria-Equipment &amp; Other HPs'!BG20+'Malaria-Equipment &amp; Other HPs'!BH20+'Malaria-Equipment &amp; Other HPs'!BI20),IF(SETUP!$G$58=2,$E$525*('Malaria-Equipment &amp; Other HPs'!BG20+'Malaria-Equipment &amp; Other HPs'!BH20+'Malaria-Equipment &amp; Other HPs'!BI20),IF(SETUP!$G$58=1,$E$525*('Malaria-Equipment &amp; Other HPs'!BH20+'Malaria-Equipment &amp; Other HPs'!BI20),0)))),0)</f>
        <v>0</v>
      </c>
      <c r="T527" s="1040">
        <f>SUM('HPM costs'!$P527:$S527)</f>
        <v>0</v>
      </c>
      <c r="U527" s="1041">
        <f>'HPM costs'!$T527+'HPM costs'!$O527+'HPM costs'!$J527</f>
        <v>0</v>
      </c>
      <c r="V527" s="1331"/>
      <c r="W527" s="2013"/>
      <c r="X527" s="575"/>
      <c r="Y527" s="1350"/>
      <c r="Z527" s="655"/>
      <c r="AA527" s="686"/>
      <c r="AB527" s="686"/>
      <c r="AC527" s="686"/>
      <c r="AD527" s="686"/>
      <c r="AE527" s="686"/>
      <c r="AF527" s="686"/>
      <c r="AG527" s="686"/>
      <c r="AH527" s="687"/>
      <c r="AI527" s="686"/>
      <c r="AJ527" s="686"/>
      <c r="AK527" s="686"/>
      <c r="AL527" s="686"/>
      <c r="AM527" s="686"/>
      <c r="AN527" s="686"/>
      <c r="AO527" s="686"/>
      <c r="AP527" s="686"/>
      <c r="AQ527" s="686"/>
      <c r="AR527" s="686"/>
      <c r="AS527" s="686"/>
      <c r="AT527" s="686"/>
      <c r="AU527" s="686"/>
      <c r="AV527" s="686"/>
      <c r="AW527" s="686"/>
      <c r="AX527" s="686"/>
      <c r="AY527" s="686"/>
      <c r="AZ527" s="686"/>
      <c r="BA527" s="686"/>
      <c r="BB527" s="686"/>
      <c r="BC527" s="686"/>
      <c r="BD527" s="686"/>
      <c r="BE527" s="686"/>
      <c r="BF527" s="686"/>
      <c r="BG527" s="686"/>
      <c r="BH527" s="686"/>
      <c r="BI527" s="686"/>
      <c r="BJ527" s="686"/>
      <c r="BK527" s="686"/>
      <c r="BL527" s="686"/>
      <c r="BM527" s="686"/>
      <c r="BN527" s="686"/>
      <c r="BO527" s="686"/>
      <c r="BP527" s="686"/>
      <c r="BQ527" s="686"/>
      <c r="BR527" s="686"/>
      <c r="BS527" s="686"/>
      <c r="BT527" s="686"/>
    </row>
    <row r="528" spans="1:72" s="688" customFormat="1" ht="13" collapsed="1">
      <c r="A528" s="1032"/>
      <c r="B528" s="1032"/>
      <c r="C528" s="1033"/>
      <c r="D528" s="1034"/>
      <c r="E528" s="724"/>
      <c r="F528" s="683"/>
      <c r="G528" s="683"/>
      <c r="H528" s="684"/>
      <c r="I528" s="684"/>
      <c r="J528" s="684"/>
      <c r="K528" s="684"/>
      <c r="L528" s="574"/>
      <c r="M528" s="684"/>
      <c r="N528" s="684"/>
      <c r="O528" s="684"/>
      <c r="P528" s="1043"/>
      <c r="Q528" s="1044"/>
      <c r="R528" s="1043"/>
      <c r="S528" s="1043"/>
      <c r="T528" s="1043"/>
      <c r="U528" s="1718"/>
      <c r="V528" s="1045"/>
      <c r="W528" s="2014"/>
      <c r="X528" s="575"/>
      <c r="Y528" s="1350"/>
      <c r="Z528" s="655"/>
      <c r="AA528" s="686"/>
      <c r="AB528" s="686"/>
      <c r="AC528" s="686"/>
      <c r="AD528" s="686"/>
      <c r="AE528" s="686"/>
      <c r="AF528" s="686"/>
      <c r="AG528" s="686"/>
      <c r="AH528" s="687"/>
      <c r="AI528" s="686"/>
      <c r="AJ528" s="686"/>
      <c r="AK528" s="686"/>
      <c r="AL528" s="686"/>
      <c r="AM528" s="686"/>
      <c r="AN528" s="686"/>
      <c r="AO528" s="686"/>
      <c r="AP528" s="686"/>
      <c r="AQ528" s="686"/>
      <c r="AR528" s="686"/>
      <c r="AS528" s="686"/>
      <c r="AT528" s="686"/>
      <c r="AU528" s="686"/>
      <c r="AV528" s="686"/>
      <c r="AW528" s="686"/>
      <c r="AX528" s="686"/>
      <c r="AY528" s="686"/>
      <c r="AZ528" s="686"/>
      <c r="BA528" s="686"/>
      <c r="BB528" s="686"/>
      <c r="BC528" s="686"/>
      <c r="BD528" s="686"/>
      <c r="BE528" s="686"/>
      <c r="BF528" s="686"/>
      <c r="BG528" s="686"/>
      <c r="BH528" s="686"/>
      <c r="BI528" s="686"/>
      <c r="BJ528" s="686"/>
      <c r="BK528" s="686"/>
      <c r="BL528" s="686"/>
      <c r="BM528" s="686"/>
      <c r="BN528" s="686"/>
      <c r="BO528" s="686"/>
      <c r="BP528" s="686"/>
      <c r="BQ528" s="686"/>
      <c r="BR528" s="686"/>
      <c r="BS528" s="686"/>
      <c r="BT528" s="686"/>
    </row>
    <row r="529" spans="1:72" s="688" customFormat="1" ht="13">
      <c r="A529" s="681"/>
      <c r="B529" s="681"/>
      <c r="C529" s="682"/>
      <c r="D529" s="683"/>
      <c r="E529" s="724"/>
      <c r="F529" s="683"/>
      <c r="G529" s="683"/>
      <c r="H529" s="684"/>
      <c r="I529" s="684"/>
      <c r="J529" s="684"/>
      <c r="K529" s="684"/>
      <c r="L529" s="574"/>
      <c r="M529" s="684"/>
      <c r="N529" s="684"/>
      <c r="O529" s="684"/>
      <c r="P529" s="684"/>
      <c r="Q529" s="574"/>
      <c r="R529" s="684"/>
      <c r="S529" s="684"/>
      <c r="T529" s="684"/>
      <c r="U529" s="684"/>
      <c r="V529" s="745"/>
      <c r="W529" s="2014"/>
      <c r="X529" s="575"/>
      <c r="Y529" s="1350"/>
      <c r="Z529" s="655"/>
      <c r="AA529" s="686"/>
      <c r="AB529" s="686"/>
      <c r="AC529" s="686"/>
      <c r="AD529" s="686"/>
      <c r="AE529" s="686"/>
      <c r="AF529" s="686"/>
      <c r="AG529" s="686"/>
      <c r="AH529" s="687"/>
      <c r="AI529" s="686"/>
      <c r="AJ529" s="686"/>
      <c r="AK529" s="686"/>
      <c r="AL529" s="686"/>
      <c r="AM529" s="686"/>
      <c r="AN529" s="686"/>
      <c r="AO529" s="686"/>
      <c r="AP529" s="686"/>
      <c r="AQ529" s="686"/>
      <c r="AR529" s="686"/>
      <c r="AS529" s="686"/>
      <c r="AT529" s="686"/>
      <c r="AU529" s="686"/>
      <c r="AV529" s="686"/>
      <c r="AW529" s="686"/>
      <c r="AX529" s="686"/>
      <c r="AY529" s="686"/>
      <c r="AZ529" s="686"/>
      <c r="BA529" s="686"/>
      <c r="BB529" s="686"/>
      <c r="BC529" s="686"/>
      <c r="BD529" s="686"/>
      <c r="BE529" s="686"/>
      <c r="BF529" s="686"/>
      <c r="BG529" s="686"/>
      <c r="BH529" s="686"/>
      <c r="BI529" s="686"/>
      <c r="BJ529" s="686"/>
      <c r="BK529" s="686"/>
      <c r="BL529" s="686"/>
      <c r="BM529" s="686"/>
      <c r="BN529" s="686"/>
      <c r="BO529" s="686"/>
      <c r="BP529" s="686"/>
      <c r="BQ529" s="686"/>
      <c r="BR529" s="686"/>
      <c r="BS529" s="686"/>
      <c r="BT529" s="686"/>
    </row>
    <row r="530" spans="1:72" s="1066" customFormat="1" ht="22.15" customHeight="1" thickBot="1">
      <c r="A530" s="1068" t="s">
        <v>470</v>
      </c>
      <c r="B530" s="1058"/>
      <c r="C530" s="1059"/>
      <c r="D530" s="1058"/>
      <c r="E530" s="1060"/>
      <c r="F530" s="1080"/>
      <c r="G530" s="1058"/>
      <c r="H530" s="1061"/>
      <c r="I530" s="1061"/>
      <c r="J530" s="1061"/>
      <c r="K530" s="1061"/>
      <c r="L530" s="1061"/>
      <c r="M530" s="1061"/>
      <c r="N530" s="1061"/>
      <c r="O530" s="1061"/>
      <c r="P530" s="1061"/>
      <c r="Q530" s="1061"/>
      <c r="R530" s="1061"/>
      <c r="S530" s="1061"/>
      <c r="T530" s="1061"/>
      <c r="U530" s="1061"/>
      <c r="V530" s="1062"/>
      <c r="W530" s="2015"/>
      <c r="X530" s="1063"/>
      <c r="Y530" s="1352"/>
      <c r="Z530" s="1059"/>
      <c r="AA530" s="1064"/>
      <c r="AB530" s="1064"/>
      <c r="AC530" s="1064"/>
      <c r="AD530" s="1064"/>
      <c r="AE530" s="1064"/>
      <c r="AF530" s="1064"/>
      <c r="AG530" s="1064"/>
      <c r="AH530" s="1065"/>
      <c r="AI530" s="1064"/>
      <c r="AJ530" s="1064"/>
      <c r="AK530" s="1064"/>
      <c r="AL530" s="1064"/>
      <c r="AM530" s="1064"/>
      <c r="AN530" s="1064"/>
      <c r="AO530" s="1064"/>
      <c r="AP530" s="1064"/>
      <c r="AQ530" s="1064"/>
      <c r="AR530" s="1064"/>
      <c r="AS530" s="1064"/>
      <c r="AT530" s="1064"/>
      <c r="AU530" s="1064"/>
      <c r="AV530" s="1064"/>
      <c r="AW530" s="1064"/>
      <c r="AX530" s="1064"/>
      <c r="AY530" s="1064"/>
      <c r="AZ530" s="1064"/>
      <c r="BA530" s="1064"/>
      <c r="BB530" s="1064"/>
      <c r="BC530" s="1064"/>
      <c r="BD530" s="1064"/>
      <c r="BE530" s="1064"/>
      <c r="BF530" s="1064"/>
      <c r="BG530" s="1064"/>
      <c r="BH530" s="1064"/>
      <c r="BI530" s="1064"/>
      <c r="BJ530" s="1064"/>
      <c r="BK530" s="1064"/>
      <c r="BL530" s="1064"/>
      <c r="BM530" s="1064"/>
      <c r="BN530" s="1064"/>
      <c r="BO530" s="1064"/>
      <c r="BP530" s="1064"/>
      <c r="BQ530" s="1064"/>
      <c r="BR530" s="1064"/>
      <c r="BS530" s="1064"/>
      <c r="BT530" s="1064"/>
    </row>
    <row r="531" spans="1:72" s="688" customFormat="1" ht="30" customHeight="1" thickBot="1">
      <c r="A531" s="3209" t="str">
        <f>VLOOKUP("Cost description (e.g: service provider,…)",Language!$D$882:$G$969,$L$1,FALSE)</f>
        <v>Descripción del costo (por ejemplo: proveedor de servicios,…)</v>
      </c>
      <c r="B531" s="3210"/>
      <c r="C531" s="3210"/>
      <c r="D531" s="3219"/>
      <c r="E531" s="3180" t="str">
        <f>VLOOKUP("Estimated fees (7.5)",Language!$D$882:$G$969,$L$1,FALSE)</f>
        <v>Honorarios estimados (7.5)</v>
      </c>
      <c r="F531" s="3209">
        <f>IF(ISBLANK(IMP_ST_DATE),SETUP!$A$3,YEAR(IMP_ST_DATE))</f>
        <v>2022</v>
      </c>
      <c r="G531" s="3210"/>
      <c r="H531" s="3210"/>
      <c r="I531" s="3210"/>
      <c r="J531" s="3221"/>
      <c r="K531" s="3209">
        <f>IF(ISBLANK(IMP_ST_DATE),SETUP!$A$3,YEAR(IMP_ST_DATE)+1)</f>
        <v>2023</v>
      </c>
      <c r="L531" s="3210"/>
      <c r="M531" s="3210"/>
      <c r="N531" s="3210"/>
      <c r="O531" s="3221"/>
      <c r="P531" s="3209">
        <f>IF(ISBLANK(IMP_ST_DATE),SETUP!$A$3,YEAR(IMP_ST_DATE)+2)</f>
        <v>2024</v>
      </c>
      <c r="Q531" s="3210"/>
      <c r="R531" s="3210"/>
      <c r="S531" s="3210"/>
      <c r="T531" s="3210"/>
      <c r="U531" s="1928" t="str">
        <f>U445</f>
        <v>Total del período de subvención</v>
      </c>
      <c r="V531" s="1363" t="str">
        <f>V445</f>
        <v>Finanzas</v>
      </c>
      <c r="W531" s="3284" t="str">
        <f>W445</f>
        <v>Comentarios</v>
      </c>
      <c r="X531" s="575"/>
      <c r="Y531" s="1350"/>
      <c r="Z531" s="655"/>
      <c r="AA531" s="686"/>
      <c r="AB531" s="686"/>
      <c r="AC531" s="686"/>
      <c r="AD531" s="686"/>
      <c r="AE531" s="686"/>
      <c r="AF531" s="686"/>
      <c r="AG531" s="686"/>
      <c r="AH531" s="687"/>
      <c r="AI531" s="686"/>
      <c r="AJ531" s="686"/>
      <c r="AK531" s="686"/>
      <c r="AL531" s="686"/>
      <c r="AM531" s="686"/>
      <c r="AN531" s="686"/>
      <c r="AO531" s="686"/>
      <c r="AP531" s="686"/>
      <c r="AQ531" s="686"/>
      <c r="AR531" s="686"/>
      <c r="AS531" s="686"/>
      <c r="AT531" s="686"/>
      <c r="AU531" s="686"/>
      <c r="AV531" s="686"/>
      <c r="AW531" s="686"/>
      <c r="AX531" s="686"/>
      <c r="AY531" s="686"/>
      <c r="AZ531" s="686"/>
      <c r="BA531" s="686"/>
      <c r="BB531" s="686"/>
      <c r="BC531" s="686"/>
      <c r="BD531" s="686"/>
      <c r="BE531" s="686"/>
      <c r="BF531" s="686"/>
      <c r="BG531" s="686"/>
      <c r="BH531" s="686"/>
      <c r="BI531" s="686"/>
      <c r="BJ531" s="686"/>
      <c r="BK531" s="686"/>
      <c r="BL531" s="686"/>
      <c r="BM531" s="686"/>
      <c r="BN531" s="686"/>
      <c r="BO531" s="686"/>
      <c r="BP531" s="686"/>
      <c r="BQ531" s="686"/>
      <c r="BR531" s="686"/>
      <c r="BS531" s="686"/>
      <c r="BT531" s="686"/>
    </row>
    <row r="532" spans="1:72" s="688" customFormat="1" ht="19.5" customHeight="1" thickBot="1">
      <c r="A532" s="3212"/>
      <c r="B532" s="3213"/>
      <c r="C532" s="3213"/>
      <c r="D532" s="3220"/>
      <c r="E532" s="3181"/>
      <c r="F532" s="3212"/>
      <c r="G532" s="3213"/>
      <c r="H532" s="3213"/>
      <c r="I532" s="3213"/>
      <c r="J532" s="3222"/>
      <c r="K532" s="3212"/>
      <c r="L532" s="3213"/>
      <c r="M532" s="3213"/>
      <c r="N532" s="3213"/>
      <c r="O532" s="3222"/>
      <c r="P532" s="3212"/>
      <c r="Q532" s="3213"/>
      <c r="R532" s="3213"/>
      <c r="S532" s="3213"/>
      <c r="T532" s="3222"/>
      <c r="U532" s="1361" t="str">
        <f>U446</f>
        <v xml:space="preserve">Costo total </v>
      </c>
      <c r="V532" s="1362" t="str">
        <f>V446</f>
        <v>Categoría de costos</v>
      </c>
      <c r="W532" s="3285"/>
      <c r="X532" s="575"/>
      <c r="Y532" s="1350"/>
      <c r="Z532" s="655"/>
      <c r="AA532" s="686"/>
      <c r="AB532" s="686"/>
      <c r="AC532" s="686"/>
      <c r="AD532" s="686"/>
      <c r="AE532" s="686"/>
      <c r="AF532" s="686"/>
      <c r="AG532" s="686"/>
      <c r="AH532" s="687"/>
      <c r="AI532" s="686"/>
      <c r="AJ532" s="686"/>
      <c r="AK532" s="686"/>
      <c r="AL532" s="686"/>
      <c r="AM532" s="686"/>
      <c r="AN532" s="686"/>
      <c r="AO532" s="686"/>
      <c r="AP532" s="686"/>
      <c r="AQ532" s="686"/>
      <c r="AR532" s="686"/>
      <c r="AS532" s="686"/>
      <c r="AT532" s="686"/>
      <c r="AU532" s="686"/>
      <c r="AV532" s="686"/>
      <c r="AW532" s="686"/>
      <c r="AX532" s="686"/>
      <c r="AY532" s="686"/>
      <c r="AZ532" s="686"/>
      <c r="BA532" s="686"/>
      <c r="BB532" s="686"/>
      <c r="BC532" s="686"/>
      <c r="BD532" s="686"/>
      <c r="BE532" s="686"/>
      <c r="BF532" s="686"/>
      <c r="BG532" s="686"/>
      <c r="BH532" s="686"/>
      <c r="BI532" s="686"/>
      <c r="BJ532" s="686"/>
      <c r="BK532" s="686"/>
      <c r="BL532" s="686"/>
      <c r="BM532" s="686"/>
      <c r="BN532" s="686"/>
      <c r="BO532" s="686"/>
      <c r="BP532" s="686"/>
      <c r="BQ532" s="686"/>
      <c r="BR532" s="686"/>
      <c r="BS532" s="686"/>
      <c r="BT532" s="686"/>
    </row>
    <row r="533" spans="1:72" s="688" customFormat="1" ht="13.5" thickBot="1">
      <c r="A533" s="3191" t="s">
        <v>435</v>
      </c>
      <c r="B533" s="3192"/>
      <c r="C533" s="3203" t="s">
        <v>436</v>
      </c>
      <c r="D533" s="3203"/>
      <c r="E533" s="1245">
        <v>0</v>
      </c>
      <c r="F533" s="1015">
        <f>IF(SETUP!$F$20="Upfront",F534,F535)</f>
        <v>0</v>
      </c>
      <c r="G533" s="996">
        <f>IF(SETUP!$F$20="Upfront",G534,G535)</f>
        <v>0</v>
      </c>
      <c r="H533" s="996">
        <f>IF(SETUP!$F$20="Upfront",H534,H535)</f>
        <v>0</v>
      </c>
      <c r="I533" s="996">
        <f>IF(SETUP!$F$20="Upfront",I534,I535)</f>
        <v>0</v>
      </c>
      <c r="J533" s="996">
        <f>F533+G533+H533+I533</f>
        <v>0</v>
      </c>
      <c r="K533" s="1015">
        <f>IF(SETUP!$F$20="Upfront",K534,K535)</f>
        <v>0</v>
      </c>
      <c r="L533" s="996">
        <f>IF(SETUP!$F$20="Upfront",L534,L535)</f>
        <v>0</v>
      </c>
      <c r="M533" s="996">
        <f>IF(SETUP!$F$20="Upfront",M534,M535)</f>
        <v>0</v>
      </c>
      <c r="N533" s="996">
        <f>IF(SETUP!$F$20="Upfront",N534,N535)</f>
        <v>0</v>
      </c>
      <c r="O533" s="996">
        <f>K533+L533+M533+N533</f>
        <v>0</v>
      </c>
      <c r="P533" s="1015">
        <f>IF(SETUP!$F$20="Upfront",P534,P535)</f>
        <v>0</v>
      </c>
      <c r="Q533" s="996">
        <f>IF(SETUP!$F$20="Upfront",Q534,Q535)</f>
        <v>0</v>
      </c>
      <c r="R533" s="996">
        <f>IF(SETUP!$F$20="Upfront",R534,R535)</f>
        <v>0</v>
      </c>
      <c r="S533" s="996">
        <f>IF(SETUP!$F$20="Upfront",S534,S535)</f>
        <v>0</v>
      </c>
      <c r="T533" s="996">
        <f>P533+Q533+R533+S533</f>
        <v>0</v>
      </c>
      <c r="U533" s="1015">
        <f>J533+O533+T533</f>
        <v>0</v>
      </c>
      <c r="V533" s="1343">
        <v>7.5</v>
      </c>
      <c r="W533" s="2011"/>
      <c r="X533" s="575"/>
      <c r="Y533" s="1350"/>
      <c r="Z533" s="655"/>
      <c r="AA533" s="686"/>
      <c r="AB533" s="686"/>
      <c r="AC533" s="686"/>
      <c r="AD533" s="686"/>
      <c r="AE533" s="686"/>
      <c r="AF533" s="686"/>
      <c r="AG533" s="686"/>
      <c r="AH533" s="687"/>
      <c r="AI533" s="686"/>
      <c r="AJ533" s="686"/>
      <c r="AK533" s="686"/>
      <c r="AL533" s="686"/>
      <c r="AM533" s="686"/>
      <c r="AN533" s="686"/>
      <c r="AO533" s="686"/>
      <c r="AP533" s="686"/>
      <c r="AQ533" s="686"/>
      <c r="AR533" s="686"/>
      <c r="AS533" s="686"/>
      <c r="AT533" s="686"/>
      <c r="AU533" s="686"/>
      <c r="AV533" s="686"/>
      <c r="AW533" s="686"/>
      <c r="AX533" s="686"/>
      <c r="AY533" s="686"/>
      <c r="AZ533" s="686"/>
      <c r="BA533" s="686"/>
      <c r="BB533" s="686"/>
      <c r="BC533" s="686"/>
      <c r="BD533" s="686"/>
      <c r="BE533" s="686"/>
      <c r="BF533" s="686"/>
      <c r="BG533" s="686"/>
      <c r="BH533" s="686"/>
      <c r="BI533" s="686"/>
      <c r="BJ533" s="686"/>
      <c r="BK533" s="686"/>
      <c r="BL533" s="686"/>
      <c r="BM533" s="686"/>
      <c r="BN533" s="686"/>
      <c r="BO533" s="686"/>
      <c r="BP533" s="686"/>
      <c r="BQ533" s="686"/>
      <c r="BR533" s="686"/>
      <c r="BS533" s="686"/>
      <c r="BT533" s="686"/>
    </row>
    <row r="534" spans="1:72" s="688" customFormat="1" ht="16.149999999999999" hidden="1" customHeight="1" outlineLevel="1">
      <c r="A534" s="3193"/>
      <c r="B534" s="3194"/>
      <c r="C534" s="3182" t="s">
        <v>777</v>
      </c>
      <c r="D534" s="3182"/>
      <c r="E534" s="1246"/>
      <c r="F534" s="1016">
        <f>IF(SETUP!$F$20="Upfront",$E$533*'HIV-Pharmaceuticals'!AX14,0)</f>
        <v>0</v>
      </c>
      <c r="G534" s="920">
        <f>IF(SETUP!$F$20="Upfront",$E$533*'HIV-Pharmaceuticals'!AY14,0)</f>
        <v>0</v>
      </c>
      <c r="H534" s="920">
        <f>IF(SETUP!$F$20="Upfront",$E$533*'HIV-Pharmaceuticals'!AZ14,0)</f>
        <v>0</v>
      </c>
      <c r="I534" s="920">
        <f>IF(SETUP!$F$20="Upfront",$E$533*'HIV-Pharmaceuticals'!BA14,0)</f>
        <v>0</v>
      </c>
      <c r="J534" s="920">
        <f>'HPM costs'!$F534+'HPM costs'!$G534+'HPM costs'!$H534+'HPM costs'!$I534</f>
        <v>0</v>
      </c>
      <c r="K534" s="1016">
        <f>IF(SETUP!$F$20="Upfront",$E$533*'HIV-Pharmaceuticals'!BB14,0)</f>
        <v>0</v>
      </c>
      <c r="L534" s="920">
        <f>IF(SETUP!$F$20="Upfront",$E$533*'HIV-Pharmaceuticals'!BC14,0)</f>
        <v>0</v>
      </c>
      <c r="M534" s="920">
        <f>IF(SETUP!$F$20="Upfront",$E$533*'HIV-Pharmaceuticals'!BD14,0)</f>
        <v>0</v>
      </c>
      <c r="N534" s="920">
        <f>IF(SETUP!$F$20="Upfront",$E$533*'HIV-Pharmaceuticals'!BE14,0)</f>
        <v>0</v>
      </c>
      <c r="O534" s="920">
        <f>'HPM costs'!$F534+'HPM costs'!$G534+'HPM costs'!$H534+'HPM costs'!$I534</f>
        <v>0</v>
      </c>
      <c r="P534" s="1016">
        <f>IF(SETUP!$F$20="Upfront",$E$533*'HIV-Pharmaceuticals'!BF14,0)</f>
        <v>0</v>
      </c>
      <c r="Q534" s="920">
        <f>IF(SETUP!$F$20="Upfront",$E$533*'HIV-Pharmaceuticals'!BG14,0)</f>
        <v>0</v>
      </c>
      <c r="R534" s="920">
        <f>IF(SETUP!$F$20="Upfront",$E$533*'HIV-Pharmaceuticals'!BH14,0)</f>
        <v>0</v>
      </c>
      <c r="S534" s="920">
        <f>IF(SETUP!$F$20="Upfront",$E$533*'HIV-Pharmaceuticals'!BI14,0)</f>
        <v>0</v>
      </c>
      <c r="T534" s="920">
        <f>'HPM costs'!$F534+'HPM costs'!$G534+'HPM costs'!$H534+'HPM costs'!$I534</f>
        <v>0</v>
      </c>
      <c r="U534" s="1016">
        <f>'HPM costs'!$J534+'HPM costs'!$O534+'HPM costs'!$T534</f>
        <v>0</v>
      </c>
      <c r="V534" s="1344"/>
      <c r="W534" s="2011"/>
      <c r="X534" s="575"/>
      <c r="Y534" s="1350"/>
      <c r="Z534" s="655"/>
      <c r="AA534" s="686"/>
      <c r="AB534" s="686"/>
      <c r="AC534" s="686"/>
      <c r="AD534" s="686"/>
      <c r="AE534" s="686"/>
      <c r="AF534" s="686"/>
      <c r="AG534" s="686"/>
      <c r="AH534" s="687"/>
      <c r="AI534" s="686"/>
      <c r="AJ534" s="686"/>
      <c r="AK534" s="686"/>
      <c r="AL534" s="686"/>
      <c r="AM534" s="686"/>
      <c r="AN534" s="686"/>
      <c r="AO534" s="686"/>
      <c r="AP534" s="686"/>
      <c r="AQ534" s="686"/>
      <c r="AR534" s="686"/>
      <c r="AS534" s="686"/>
      <c r="AT534" s="686"/>
      <c r="AU534" s="686"/>
      <c r="AV534" s="686"/>
      <c r="AW534" s="686"/>
      <c r="AX534" s="686"/>
      <c r="AY534" s="686"/>
      <c r="AZ534" s="686"/>
      <c r="BA534" s="686"/>
      <c r="BB534" s="686"/>
      <c r="BC534" s="686"/>
      <c r="BD534" s="686"/>
      <c r="BE534" s="686"/>
      <c r="BF534" s="686"/>
      <c r="BG534" s="686"/>
      <c r="BH534" s="686"/>
      <c r="BI534" s="686"/>
      <c r="BJ534" s="686"/>
      <c r="BK534" s="686"/>
      <c r="BL534" s="686"/>
      <c r="BM534" s="686"/>
      <c r="BN534" s="686"/>
      <c r="BO534" s="686"/>
      <c r="BP534" s="686"/>
      <c r="BQ534" s="686"/>
      <c r="BR534" s="686"/>
      <c r="BS534" s="686"/>
      <c r="BT534" s="686"/>
    </row>
    <row r="535" spans="1:72" s="688" customFormat="1" ht="16.149999999999999" hidden="1" customHeight="1" outlineLevel="1">
      <c r="A535" s="3193"/>
      <c r="B535" s="3194"/>
      <c r="C535" s="3182" t="s">
        <v>36</v>
      </c>
      <c r="D535" s="3182"/>
      <c r="E535" s="1246"/>
      <c r="F535" s="1016">
        <v>0</v>
      </c>
      <c r="G535" s="920">
        <f>IF(SETUP!$F$20="At delivery",IF(SETUP!$G$20=1,$E$533*'HIV-Pharmaceuticals'!AX14,0),0)</f>
        <v>0</v>
      </c>
      <c r="H535" s="920">
        <f>IF(SETUP!$F$20="At delivery",IF(SETUP!$G$20=2,$E$533*'HIV-Pharmaceuticals'!AX14,IF(SETUP!$G$20=1,$E$533*'HIV-Pharmaceuticals'!AY14,0)),0)</f>
        <v>0</v>
      </c>
      <c r="I535" s="920">
        <f>IF(SETUP!$F$20="At delivery",IF(SETUP!$G$20=3,$E$533*'HIV-Pharmaceuticals'!AX14,IF(SETUP!$G$20=2,$E$533*'HIV-Pharmaceuticals'!AY14,IF(SETUP!$G$20=1,$E$533*'HIV-Pharmaceuticals'!AZ14,0))),0)</f>
        <v>0</v>
      </c>
      <c r="J535" s="920">
        <f>'HPM costs'!$F535+'HPM costs'!$G535+'HPM costs'!$H535+'HPM costs'!$I535</f>
        <v>0</v>
      </c>
      <c r="K535" s="1016">
        <f>IF(SETUP!$F$20="At delivery",IF(SETUP!$G$20=4,$E$533*'HIV-Pharmaceuticals'!AX14,IF(SETUP!$G$20=3,$E$533*'HIV-Pharmaceuticals'!AY14,IF(SETUP!$G$20=2,$E$533*'HIV-Pharmaceuticals'!AZ14,IF(SETUP!$G$20=1,$E$533*'HIV-Pharmaceuticals'!BA14,0)))),0)</f>
        <v>0</v>
      </c>
      <c r="L535" s="920">
        <f>IF(SETUP!$F$20="At delivery",IF(SETUP!$G$20=4,$E$533*'HIV-Pharmaceuticals'!AY14,IF(SETUP!$G$20=3,$E$533*'HIV-Pharmaceuticals'!AZ14,IF(SETUP!$G$20=2,$E$533*'HIV-Pharmaceuticals'!BA14,IF(SETUP!$G$20=1,$E$533*'HIV-Pharmaceuticals'!BB14,0)))),0)</f>
        <v>0</v>
      </c>
      <c r="M535" s="920">
        <f>IF(SETUP!$F$20="At delivery",IF(SETUP!$G$20=4,$E$533*'HIV-Pharmaceuticals'!AZ14,IF(SETUP!$G$20=3,$E$533*'HIV-Pharmaceuticals'!BA14,IF(SETUP!$G$20=2,$E$533*'HIV-Pharmaceuticals'!BB14,IF(SETUP!$G$20=1,$E$533*'HIV-Pharmaceuticals'!BC14,0)))),0)</f>
        <v>0</v>
      </c>
      <c r="N535" s="920">
        <f>IF(SETUP!$F$20="At delivery",IF(SETUP!$G$20=4,$E$533*'HIV-Pharmaceuticals'!BA14,IF(SETUP!$G$20=3,$E$533*'HIV-Pharmaceuticals'!BB14,IF(SETUP!$G$20=2,$E$533*'HIV-Pharmaceuticals'!BC14,IF(SETUP!$G$20=1,$E$533*'HIV-Pharmaceuticals'!BD14,0)))),0)</f>
        <v>0</v>
      </c>
      <c r="O535" s="920">
        <f>'HPM costs'!$F535+'HPM costs'!$G535+'HPM costs'!$H535+'HPM costs'!$I535</f>
        <v>0</v>
      </c>
      <c r="P535" s="1016">
        <f>IF(SETUP!$F$20="At delivery",IF(SETUP!$G$20=4,$E$533*'HIV-Pharmaceuticals'!BB14,IF(SETUP!$G$20=3,$E$533*'HIV-Pharmaceuticals'!BC14,IF(SETUP!$G$20=2,$E$533*'HIV-Pharmaceuticals'!BD14,IF(SETUP!$G$20=1,$E$533*'HIV-Pharmaceuticals'!BE14,0)))),0)</f>
        <v>0</v>
      </c>
      <c r="Q535" s="920">
        <f>IF(SETUP!$F$20="At delivery",IF(SETUP!$G$20=4,$E$533*'HIV-Pharmaceuticals'!BC14,IF(SETUP!$G$20=3,$E$533*'HIV-Pharmaceuticals'!BD14,IF(SETUP!$G$20=2,$E$533*'HIV-Pharmaceuticals'!BE14,IF(SETUP!$G$20=1,$E$533*'HIV-Pharmaceuticals'!BF14,0)))),0)</f>
        <v>0</v>
      </c>
      <c r="R535" s="920">
        <f>IF(SETUP!$F$20="At delivery",IF(SETUP!$G$20=4,$E$533*'HIV-Pharmaceuticals'!BD14,IF(SETUP!$G$20=3,$E$533*'HIV-Pharmaceuticals'!BE14,IF(SETUP!$G$20=2,$E$533*'HIV-Pharmaceuticals'!BF14,IF(SETUP!$G$20=1,$E$533*'HIV-Pharmaceuticals'!BG14,0)))),0)</f>
        <v>0</v>
      </c>
      <c r="S535" s="920">
        <f>IF(SETUP!$F$20="At delivery",IF(SETUP!$G$20=4,$E$533*('HIV-Pharmaceuticals'!BE14+'HIV-Pharmaceuticals'!BF14+'HIV-Pharmaceuticals'!BG14+'HIV-Pharmaceuticals'!BH14+'HIV-Pharmaceuticals'!BI14),IF(SETUP!$G$20=3,$E$533*('HIV-Pharmaceuticals'!BF14+'HIV-Pharmaceuticals'!BG14+'HIV-Pharmaceuticals'!BH14+'HIV-Pharmaceuticals'!BI14),IF(SETUP!$G$20=2,$E$533*('HIV-Pharmaceuticals'!BG14+'HIV-Pharmaceuticals'!BH14+'HIV-Pharmaceuticals'!BI14),IF(SETUP!$G$20=1,$E$533*('HIV-Pharmaceuticals'!BH14+'HIV-Pharmaceuticals'!BI14),0)))),0)</f>
        <v>0</v>
      </c>
      <c r="T535" s="920">
        <f>'HPM costs'!$F535+'HPM costs'!$G535+'HPM costs'!$H535+'HPM costs'!$I535</f>
        <v>0</v>
      </c>
      <c r="U535" s="1016">
        <f>'HPM costs'!$J535+'HPM costs'!$O535+'HPM costs'!$T535</f>
        <v>0</v>
      </c>
      <c r="V535" s="1344"/>
      <c r="W535" s="2011"/>
      <c r="X535" s="575"/>
      <c r="Y535" s="1350"/>
      <c r="Z535" s="655"/>
      <c r="AA535" s="686"/>
      <c r="AB535" s="686"/>
      <c r="AC535" s="686"/>
      <c r="AD535" s="686"/>
      <c r="AE535" s="686"/>
      <c r="AF535" s="686"/>
      <c r="AG535" s="686"/>
      <c r="AH535" s="687"/>
      <c r="AI535" s="686"/>
      <c r="AJ535" s="686"/>
      <c r="AK535" s="686"/>
      <c r="AL535" s="686"/>
      <c r="AM535" s="686"/>
      <c r="AN535" s="686"/>
      <c r="AO535" s="686"/>
      <c r="AP535" s="686"/>
      <c r="AQ535" s="686"/>
      <c r="AR535" s="686"/>
      <c r="AS535" s="686"/>
      <c r="AT535" s="686"/>
      <c r="AU535" s="686"/>
      <c r="AV535" s="686"/>
      <c r="AW535" s="686"/>
      <c r="AX535" s="686"/>
      <c r="AY535" s="686"/>
      <c r="AZ535" s="686"/>
      <c r="BA535" s="686"/>
      <c r="BB535" s="686"/>
      <c r="BC535" s="686"/>
      <c r="BD535" s="686"/>
      <c r="BE535" s="686"/>
      <c r="BF535" s="686"/>
      <c r="BG535" s="686"/>
      <c r="BH535" s="686"/>
      <c r="BI535" s="686"/>
      <c r="BJ535" s="686"/>
      <c r="BK535" s="686"/>
      <c r="BL535" s="686"/>
      <c r="BM535" s="686"/>
      <c r="BN535" s="686"/>
      <c r="BO535" s="686"/>
      <c r="BP535" s="686"/>
      <c r="BQ535" s="686"/>
      <c r="BR535" s="686"/>
      <c r="BS535" s="686"/>
      <c r="BT535" s="686"/>
    </row>
    <row r="536" spans="1:72" s="688" customFormat="1" ht="13.5" collapsed="1" thickBot="1">
      <c r="A536" s="3193"/>
      <c r="B536" s="3194"/>
      <c r="C536" s="3188" t="s">
        <v>139</v>
      </c>
      <c r="D536" s="3188"/>
      <c r="E536" s="1245">
        <v>0</v>
      </c>
      <c r="F536" s="1016">
        <f>IF(SETUP!$F$21="Upfront",F537,F538)</f>
        <v>0</v>
      </c>
      <c r="G536" s="920">
        <f>IF(SETUP!$F$21="Upfront",G537,G538)</f>
        <v>0</v>
      </c>
      <c r="H536" s="920">
        <f>IF(SETUP!$F$21="Upfront",H537,H538)</f>
        <v>0</v>
      </c>
      <c r="I536" s="920">
        <f>IF(SETUP!$F$21="Upfront",I537,I538)</f>
        <v>0</v>
      </c>
      <c r="J536" s="920">
        <f t="shared" ref="J536:J557" si="81">F536+G536+H536+I536</f>
        <v>0</v>
      </c>
      <c r="K536" s="1016">
        <f>IF(SETUP!$F$21="Upfront",K537,K538)</f>
        <v>0</v>
      </c>
      <c r="L536" s="920">
        <f>IF(SETUP!$F$21="Upfront",L537,L538)</f>
        <v>0</v>
      </c>
      <c r="M536" s="920">
        <f>IF(SETUP!$F$21="Upfront",M537,M538)</f>
        <v>0</v>
      </c>
      <c r="N536" s="920">
        <f>IF(SETUP!$F$21="Upfront",N537,N538)</f>
        <v>0</v>
      </c>
      <c r="O536" s="920">
        <f t="shared" ref="O536:O563" si="82">K536+L536+M536+N536</f>
        <v>0</v>
      </c>
      <c r="P536" s="1016">
        <f>IF(SETUP!$F$21="Upfront",P537,P538)</f>
        <v>0</v>
      </c>
      <c r="Q536" s="920">
        <f>IF(SETUP!$F$21="Upfront",Q537,Q538)</f>
        <v>0</v>
      </c>
      <c r="R536" s="920">
        <f>IF(SETUP!$F$21="Upfront",R537,R538)</f>
        <v>0</v>
      </c>
      <c r="S536" s="920">
        <f>IF(SETUP!$F$21="Upfront",S537,S538)</f>
        <v>0</v>
      </c>
      <c r="T536" s="920">
        <f t="shared" ref="T536:T551" si="83">P536+Q536+R536+S536</f>
        <v>0</v>
      </c>
      <c r="U536" s="1016">
        <f t="shared" ref="U536:U551" si="84">J536+O536+T536</f>
        <v>0</v>
      </c>
      <c r="V536" s="1344">
        <v>7.5</v>
      </c>
      <c r="W536" s="2011"/>
      <c r="X536" s="575"/>
      <c r="Y536" s="1350"/>
      <c r="Z536" s="655"/>
      <c r="AA536" s="686"/>
      <c r="AB536" s="686"/>
      <c r="AC536" s="686"/>
      <c r="AD536" s="686"/>
      <c r="AE536" s="686"/>
      <c r="AF536" s="686"/>
      <c r="AG536" s="686"/>
      <c r="AH536" s="687"/>
      <c r="AI536" s="686"/>
      <c r="AJ536" s="686"/>
      <c r="AK536" s="686"/>
      <c r="AL536" s="686"/>
      <c r="AM536" s="686"/>
      <c r="AN536" s="686"/>
      <c r="AO536" s="686"/>
      <c r="AP536" s="686"/>
      <c r="AQ536" s="686"/>
      <c r="AR536" s="686"/>
      <c r="AS536" s="686"/>
      <c r="AT536" s="686"/>
      <c r="AU536" s="686"/>
      <c r="AV536" s="686"/>
      <c r="AW536" s="686"/>
      <c r="AX536" s="686"/>
      <c r="AY536" s="686"/>
      <c r="AZ536" s="686"/>
      <c r="BA536" s="686"/>
      <c r="BB536" s="686"/>
      <c r="BC536" s="686"/>
      <c r="BD536" s="686"/>
      <c r="BE536" s="686"/>
      <c r="BF536" s="686"/>
      <c r="BG536" s="686"/>
      <c r="BH536" s="686"/>
      <c r="BI536" s="686"/>
      <c r="BJ536" s="686"/>
      <c r="BK536" s="686"/>
      <c r="BL536" s="686"/>
      <c r="BM536" s="686"/>
      <c r="BN536" s="686"/>
      <c r="BO536" s="686"/>
      <c r="BP536" s="686"/>
      <c r="BQ536" s="686"/>
      <c r="BR536" s="686"/>
      <c r="BS536" s="686"/>
      <c r="BT536" s="686"/>
    </row>
    <row r="537" spans="1:72" s="688" customFormat="1" ht="16.149999999999999" hidden="1" customHeight="1" outlineLevel="1">
      <c r="A537" s="3193"/>
      <c r="B537" s="3194"/>
      <c r="C537" s="3182" t="s">
        <v>777</v>
      </c>
      <c r="D537" s="3182"/>
      <c r="E537" s="1248"/>
      <c r="F537" s="1016">
        <f>IF(SETUP!$F$21="Upfront",$E$536*'HIV-Pharmaceuticals'!AX15,0)</f>
        <v>0</v>
      </c>
      <c r="G537" s="920">
        <f>IF(SETUP!$F$21="Upfront",$E$536*'HIV-Pharmaceuticals'!AY15,0)</f>
        <v>0</v>
      </c>
      <c r="H537" s="920">
        <f>IF(SETUP!$F$21="Upfront",$E$536*'HIV-Pharmaceuticals'!AZ15,0)</f>
        <v>0</v>
      </c>
      <c r="I537" s="920">
        <f>IF(SETUP!$F$21="Upfront",$E$536*'HIV-Pharmaceuticals'!BA15,0)</f>
        <v>0</v>
      </c>
      <c r="J537" s="920">
        <f t="shared" si="81"/>
        <v>0</v>
      </c>
      <c r="K537" s="1016">
        <f>IF(SETUP!$F$21="Upfront",$E$536*'HIV-Pharmaceuticals'!BB15,0)</f>
        <v>0</v>
      </c>
      <c r="L537" s="920">
        <f>IF(SETUP!$F$21="Upfront",$E$536*'HIV-Pharmaceuticals'!BC15,0)</f>
        <v>0</v>
      </c>
      <c r="M537" s="920">
        <f>IF(SETUP!$F$21="Upfront",$E$536*'HIV-Pharmaceuticals'!BD15,0)</f>
        <v>0</v>
      </c>
      <c r="N537" s="920">
        <f>IF(SETUP!$F$21="Upfront",$E$536*'HIV-Pharmaceuticals'!BE15,0)</f>
        <v>0</v>
      </c>
      <c r="O537" s="920">
        <f t="shared" si="82"/>
        <v>0</v>
      </c>
      <c r="P537" s="1016">
        <f>IF(SETUP!$F$21="Upfront",$E$536*'HIV-Pharmaceuticals'!BF15,0)</f>
        <v>0</v>
      </c>
      <c r="Q537" s="920">
        <f>IF(SETUP!$F$21="Upfront",$E$536*'HIV-Pharmaceuticals'!BG15,0)</f>
        <v>0</v>
      </c>
      <c r="R537" s="920">
        <f>IF(SETUP!$F$21="Upfront",$E$536*'HIV-Pharmaceuticals'!BH15,0)</f>
        <v>0</v>
      </c>
      <c r="S537" s="920">
        <f>IF(SETUP!$F$21="Upfront",$E$536*'HIV-Pharmaceuticals'!BI15,0)</f>
        <v>0</v>
      </c>
      <c r="T537" s="920">
        <f t="shared" si="83"/>
        <v>0</v>
      </c>
      <c r="U537" s="1016">
        <f t="shared" si="84"/>
        <v>0</v>
      </c>
      <c r="V537" s="1344">
        <v>7.5</v>
      </c>
      <c r="W537" s="2011"/>
      <c r="X537" s="575"/>
      <c r="Y537" s="1350"/>
      <c r="Z537" s="655"/>
      <c r="AA537" s="686"/>
      <c r="AB537" s="686"/>
      <c r="AC537" s="686"/>
      <c r="AD537" s="686"/>
      <c r="AE537" s="686"/>
      <c r="AF537" s="686"/>
      <c r="AG537" s="686"/>
      <c r="AH537" s="687"/>
      <c r="AI537" s="686"/>
      <c r="AJ537" s="686"/>
      <c r="AK537" s="686"/>
      <c r="AL537" s="686"/>
      <c r="AM537" s="686"/>
      <c r="AN537" s="686"/>
      <c r="AO537" s="686"/>
      <c r="AP537" s="686"/>
      <c r="AQ537" s="686"/>
      <c r="AR537" s="686"/>
      <c r="AS537" s="686"/>
      <c r="AT537" s="686"/>
      <c r="AU537" s="686"/>
      <c r="AV537" s="686"/>
      <c r="AW537" s="686"/>
      <c r="AX537" s="686"/>
      <c r="AY537" s="686"/>
      <c r="AZ537" s="686"/>
      <c r="BA537" s="686"/>
      <c r="BB537" s="686"/>
      <c r="BC537" s="686"/>
      <c r="BD537" s="686"/>
      <c r="BE537" s="686"/>
      <c r="BF537" s="686"/>
      <c r="BG537" s="686"/>
      <c r="BH537" s="686"/>
      <c r="BI537" s="686"/>
      <c r="BJ537" s="686"/>
      <c r="BK537" s="686"/>
      <c r="BL537" s="686"/>
      <c r="BM537" s="686"/>
      <c r="BN537" s="686"/>
      <c r="BO537" s="686"/>
      <c r="BP537" s="686"/>
      <c r="BQ537" s="686"/>
      <c r="BR537" s="686"/>
      <c r="BS537" s="686"/>
      <c r="BT537" s="686"/>
    </row>
    <row r="538" spans="1:72" s="688" customFormat="1" ht="16.149999999999999" hidden="1" customHeight="1" outlineLevel="1">
      <c r="A538" s="3193"/>
      <c r="B538" s="3194"/>
      <c r="C538" s="3182" t="s">
        <v>36</v>
      </c>
      <c r="D538" s="3182"/>
      <c r="E538" s="1246"/>
      <c r="F538" s="1016">
        <v>0</v>
      </c>
      <c r="G538" s="920">
        <f>IF(SETUP!$F$21="At delivery",IF(SETUP!$G$21=1,$E$536*'HIV-Pharmaceuticals'!AX15,0),0)</f>
        <v>0</v>
      </c>
      <c r="H538" s="920">
        <f>IF(SETUP!$F$21="At delivery",IF(SETUP!$G$21=2,$E$536*'HIV-Pharmaceuticals'!AX15,IF(SETUP!$G$21=1,$E$536*'HIV-Pharmaceuticals'!AY15,0)),0)</f>
        <v>0</v>
      </c>
      <c r="I538" s="920">
        <f>IF(SETUP!$F$21="At delivery",IF(SETUP!$G$21=3,$E$536*'HIV-Pharmaceuticals'!AX15,IF(SETUP!$G$21=2,$E$536*'HIV-Pharmaceuticals'!AY15,IF(SETUP!$G$21=1,$E$536*'HIV-Pharmaceuticals'!AZ15,0))),0)</f>
        <v>0</v>
      </c>
      <c r="J538" s="920">
        <f t="shared" si="81"/>
        <v>0</v>
      </c>
      <c r="K538" s="1016">
        <f>IF(SETUP!$F$21="At delivery",IF(SETUP!$G$21=4,$E$536*'HIV-Pharmaceuticals'!AX15,IF(SETUP!$G$21=3,$E$536*'HIV-Pharmaceuticals'!AY15,IF(SETUP!$G$21=2,$E$536*'HIV-Pharmaceuticals'!AZ15,IF(SETUP!$G$21=1,$E$536*'HIV-Pharmaceuticals'!BA15,0)))),0)</f>
        <v>0</v>
      </c>
      <c r="L538" s="920">
        <f>IF(SETUP!$F$21="At delivery",IF(SETUP!$G$21=4,$E$536*'HIV-Pharmaceuticals'!AY15,IF(SETUP!$G$21=3,$E$536*'HIV-Pharmaceuticals'!AZ15,IF(SETUP!$G$21=2,$E$536*'HIV-Pharmaceuticals'!BA15,IF(SETUP!$G$21=1,$E$536*'HIV-Pharmaceuticals'!BB15,0)))),0)</f>
        <v>0</v>
      </c>
      <c r="M538" s="920">
        <f>IF(SETUP!$F$21="At delivery",IF(SETUP!$G$21=4,$E$536*'HIV-Pharmaceuticals'!AZ15,IF(SETUP!$G$21=3,$E$536*'HIV-Pharmaceuticals'!BA15,IF(SETUP!$G$21=2,$E$536*'HIV-Pharmaceuticals'!BB15,IF(SETUP!$G$21=1,$E$536*'HIV-Pharmaceuticals'!BC15,0)))),0)</f>
        <v>0</v>
      </c>
      <c r="N538" s="920">
        <f>IF(SETUP!$F$21="At delivery",IF(SETUP!$G$21=4,$E$536*'HIV-Pharmaceuticals'!BA15,IF(SETUP!$G$21=3,$E$536*'HIV-Pharmaceuticals'!BB15,IF(SETUP!$G$21=2,$E$536*'HIV-Pharmaceuticals'!BC15,IF(SETUP!$G$21=1,$E$536*'HIV-Pharmaceuticals'!BD15,0)))),0)</f>
        <v>0</v>
      </c>
      <c r="O538" s="920">
        <f t="shared" si="82"/>
        <v>0</v>
      </c>
      <c r="P538" s="1016">
        <f>IF(SETUP!$F$21="At delivery",IF(SETUP!$G$21=4,$E$536*'HIV-Pharmaceuticals'!BB15,IF(SETUP!$G$21=3,$E$536*'HIV-Pharmaceuticals'!BC15,IF(SETUP!$G$21=2,$E$536*'HIV-Pharmaceuticals'!BD15,IF(SETUP!$G$21=1,$E$536*'HIV-Pharmaceuticals'!BE15,0)))),0)</f>
        <v>0</v>
      </c>
      <c r="Q538" s="920">
        <f>IF(SETUP!$F$21="At delivery",IF(SETUP!$G$21=4,$E$536*'HIV-Pharmaceuticals'!BC15,IF(SETUP!$G$21=3,$E$536*'HIV-Pharmaceuticals'!BD15,IF(SETUP!$G$21=2,$E$536*'HIV-Pharmaceuticals'!BE15,IF(SETUP!$G$21=1,$E$536*'HIV-Pharmaceuticals'!BF15,0)))),0)</f>
        <v>0</v>
      </c>
      <c r="R538" s="920">
        <f>IF(SETUP!$F$21="At delivery",IF(SETUP!$G$21=4,$E$536*'HIV-Pharmaceuticals'!BD15,IF(SETUP!$G$21=3,$E$536*'HIV-Pharmaceuticals'!BE15,IF(SETUP!$G$21=2,$E$536*'HIV-Pharmaceuticals'!BF15,IF(SETUP!$G$21=1,$E$536*'HIV-Pharmaceuticals'!BG15,0)))),0)</f>
        <v>0</v>
      </c>
      <c r="S538" s="920">
        <f>IF(SETUP!$F$21="At delivery",IF(SETUP!$G$21=4,$E$536*('HIV-Pharmaceuticals'!BE15+'HIV-Pharmaceuticals'!BF15+'HIV-Pharmaceuticals'!BG15+'HIV-Pharmaceuticals'!BH15+'HIV-Pharmaceuticals'!BI15),IF(SETUP!$G$21=3,$E$536*('HIV-Pharmaceuticals'!BF15+'HIV-Pharmaceuticals'!BG15+'HIV-Pharmaceuticals'!BH15+'HIV-Pharmaceuticals'!BI15),IF(SETUP!$G$21=2,$E$536*('HIV-Pharmaceuticals'!BG15+'HIV-Pharmaceuticals'!BH15+'HIV-Pharmaceuticals'!BI15),IF(SETUP!$G$21=1,$E$536*('HIV-Pharmaceuticals'!BH15+'HIV-Pharmaceuticals'!BI15),0)))),0)</f>
        <v>0</v>
      </c>
      <c r="T538" s="920">
        <f t="shared" si="83"/>
        <v>0</v>
      </c>
      <c r="U538" s="1016">
        <f t="shared" si="84"/>
        <v>0</v>
      </c>
      <c r="V538" s="1344">
        <v>7.5</v>
      </c>
      <c r="W538" s="2011"/>
      <c r="X538" s="575"/>
      <c r="Y538" s="1350"/>
      <c r="Z538" s="655"/>
      <c r="AA538" s="686"/>
      <c r="AB538" s="686"/>
      <c r="AC538" s="686"/>
      <c r="AD538" s="686"/>
      <c r="AE538" s="686"/>
      <c r="AF538" s="686"/>
      <c r="AG538" s="686"/>
      <c r="AH538" s="687"/>
      <c r="AI538" s="686"/>
      <c r="AJ538" s="686"/>
      <c r="AK538" s="686"/>
      <c r="AL538" s="686"/>
      <c r="AM538" s="686"/>
      <c r="AN538" s="686"/>
      <c r="AO538" s="686"/>
      <c r="AP538" s="686"/>
      <c r="AQ538" s="686"/>
      <c r="AR538" s="686"/>
      <c r="AS538" s="686"/>
      <c r="AT538" s="686"/>
      <c r="AU538" s="686"/>
      <c r="AV538" s="686"/>
      <c r="AW538" s="686"/>
      <c r="AX538" s="686"/>
      <c r="AY538" s="686"/>
      <c r="AZ538" s="686"/>
      <c r="BA538" s="686"/>
      <c r="BB538" s="686"/>
      <c r="BC538" s="686"/>
      <c r="BD538" s="686"/>
      <c r="BE538" s="686"/>
      <c r="BF538" s="686"/>
      <c r="BG538" s="686"/>
      <c r="BH538" s="686"/>
      <c r="BI538" s="686"/>
      <c r="BJ538" s="686"/>
      <c r="BK538" s="686"/>
      <c r="BL538" s="686"/>
      <c r="BM538" s="686"/>
      <c r="BN538" s="686"/>
      <c r="BO538" s="686"/>
      <c r="BP538" s="686"/>
      <c r="BQ538" s="686"/>
      <c r="BR538" s="686"/>
      <c r="BS538" s="686"/>
      <c r="BT538" s="686"/>
    </row>
    <row r="539" spans="1:72" s="688" customFormat="1" ht="13.5" collapsed="1" thickBot="1">
      <c r="A539" s="3193"/>
      <c r="B539" s="3194"/>
      <c r="C539" s="3201" t="s">
        <v>1054</v>
      </c>
      <c r="D539" s="3201"/>
      <c r="E539" s="1245">
        <v>0</v>
      </c>
      <c r="F539" s="1016">
        <f>IF(SETUP!$F$22="Upfront",F540,F541)</f>
        <v>0</v>
      </c>
      <c r="G539" s="920">
        <f>IF(SETUP!$F$22="Upfront",G540,G541)</f>
        <v>0</v>
      </c>
      <c r="H539" s="920">
        <f>IF(SETUP!$F$22="Upfront",H540,H541)</f>
        <v>0</v>
      </c>
      <c r="I539" s="920">
        <f>IF(SETUP!$F$22="Upfront",I540,I541)</f>
        <v>0</v>
      </c>
      <c r="J539" s="920">
        <f t="shared" si="81"/>
        <v>0</v>
      </c>
      <c r="K539" s="1016">
        <f>IF(SETUP!$F$22="Upfront",K540,K541)</f>
        <v>0</v>
      </c>
      <c r="L539" s="920">
        <f>IF(SETUP!$F$22="Upfront",L540,L541)</f>
        <v>0</v>
      </c>
      <c r="M539" s="920">
        <f>IF(SETUP!$F$22="Upfront",M540,M541)</f>
        <v>0</v>
      </c>
      <c r="N539" s="920">
        <f>IF(SETUP!$F$22="Upfront",N540,N541)</f>
        <v>0</v>
      </c>
      <c r="O539" s="920">
        <f t="shared" si="82"/>
        <v>0</v>
      </c>
      <c r="P539" s="1016">
        <f>IF(SETUP!$F$22="Upfront",P540,P541)</f>
        <v>0</v>
      </c>
      <c r="Q539" s="920">
        <f>IF(SETUP!$F$22="Upfront",Q540,Q541)</f>
        <v>0</v>
      </c>
      <c r="R539" s="920">
        <f>IF(SETUP!$F$22="Upfront",R540,R541)</f>
        <v>0</v>
      </c>
      <c r="S539" s="920">
        <f>IF(SETUP!$F$22="Upfront",S540,S541)</f>
        <v>0</v>
      </c>
      <c r="T539" s="920">
        <f t="shared" si="83"/>
        <v>0</v>
      </c>
      <c r="U539" s="1016">
        <f t="shared" si="84"/>
        <v>0</v>
      </c>
      <c r="V539" s="1344">
        <v>7.5</v>
      </c>
      <c r="W539" s="2011"/>
      <c r="X539" s="575"/>
      <c r="Y539" s="1350"/>
      <c r="Z539" s="655"/>
      <c r="AA539" s="686"/>
      <c r="AB539" s="686"/>
      <c r="AC539" s="686"/>
      <c r="AD539" s="686"/>
      <c r="AE539" s="686"/>
      <c r="AF539" s="686"/>
      <c r="AG539" s="686"/>
      <c r="AH539" s="687"/>
      <c r="AI539" s="686"/>
      <c r="AJ539" s="686"/>
      <c r="AK539" s="686"/>
      <c r="AL539" s="686"/>
      <c r="AM539" s="686"/>
      <c r="AN539" s="686"/>
      <c r="AO539" s="686"/>
      <c r="AP539" s="686"/>
      <c r="AQ539" s="686"/>
      <c r="AR539" s="686"/>
      <c r="AS539" s="686"/>
      <c r="AT539" s="686"/>
      <c r="AU539" s="686"/>
      <c r="AV539" s="686"/>
      <c r="AW539" s="686"/>
      <c r="AX539" s="686"/>
      <c r="AY539" s="686"/>
      <c r="AZ539" s="686"/>
      <c r="BA539" s="686"/>
      <c r="BB539" s="686"/>
      <c r="BC539" s="686"/>
      <c r="BD539" s="686"/>
      <c r="BE539" s="686"/>
      <c r="BF539" s="686"/>
      <c r="BG539" s="686"/>
      <c r="BH539" s="686"/>
      <c r="BI539" s="686"/>
      <c r="BJ539" s="686"/>
      <c r="BK539" s="686"/>
      <c r="BL539" s="686"/>
      <c r="BM539" s="686"/>
      <c r="BN539" s="686"/>
      <c r="BO539" s="686"/>
      <c r="BP539" s="686"/>
      <c r="BQ539" s="686"/>
      <c r="BR539" s="686"/>
      <c r="BS539" s="686"/>
      <c r="BT539" s="686"/>
    </row>
    <row r="540" spans="1:72" s="688" customFormat="1" ht="15" hidden="1" customHeight="1" outlineLevel="1">
      <c r="A540" s="3184" t="s">
        <v>439</v>
      </c>
      <c r="B540" s="3185"/>
      <c r="C540" s="3182" t="s">
        <v>777</v>
      </c>
      <c r="D540" s="3182"/>
      <c r="E540" s="1990"/>
      <c r="F540" s="1016">
        <f>IF(SETUP!$F$22="Upfront",$E$539*'HIV-Pharmaceuticals'!AX16,0)</f>
        <v>0</v>
      </c>
      <c r="G540" s="920">
        <f>IF(SETUP!$F$22="Upfront",$E$539*'HIV-Pharmaceuticals'!AY16,0)</f>
        <v>0</v>
      </c>
      <c r="H540" s="920">
        <f>IF(SETUP!$F$22="Upfront",$E$539*'HIV-Pharmaceuticals'!AZ16,0)</f>
        <v>0</v>
      </c>
      <c r="I540" s="920">
        <f>IF(SETUP!$F$22="Upfront",$E$539*'HIV-Pharmaceuticals'!BA16,0)</f>
        <v>0</v>
      </c>
      <c r="J540" s="920">
        <f t="shared" si="81"/>
        <v>0</v>
      </c>
      <c r="K540" s="1016">
        <f>IF(SETUP!$F$22="Upfront",$E$539*'HIV-Pharmaceuticals'!BB16,0)</f>
        <v>0</v>
      </c>
      <c r="L540" s="920">
        <f>IF(SETUP!$F$22="Upfront",$E$539*'HIV-Pharmaceuticals'!BC16,0)</f>
        <v>0</v>
      </c>
      <c r="M540" s="920">
        <f>IF(SETUP!$F$22="Upfront",$E$539*'HIV-Pharmaceuticals'!BD16,0)</f>
        <v>0</v>
      </c>
      <c r="N540" s="920">
        <f>IF(SETUP!$F$22="Upfront",$E$539*'HIV-Pharmaceuticals'!BE16,0)</f>
        <v>0</v>
      </c>
      <c r="O540" s="920">
        <f t="shared" si="82"/>
        <v>0</v>
      </c>
      <c r="P540" s="1016">
        <f>IF(SETUP!$F$22="Upfront",$E$539*'HIV-Pharmaceuticals'!BF16,0)</f>
        <v>0</v>
      </c>
      <c r="Q540" s="920">
        <f>IF(SETUP!$F$22="Upfront",$E$539*'HIV-Pharmaceuticals'!BG16,0)</f>
        <v>0</v>
      </c>
      <c r="R540" s="920">
        <f>IF(SETUP!$F$22="Upfront",$E$539*'HIV-Pharmaceuticals'!BH16,0)</f>
        <v>0</v>
      </c>
      <c r="S540" s="920">
        <f>IF(SETUP!$F$22="Upfront",$E$539*'HIV-Pharmaceuticals'!BI16,0)</f>
        <v>0</v>
      </c>
      <c r="T540" s="920">
        <f t="shared" si="83"/>
        <v>0</v>
      </c>
      <c r="U540" s="1016">
        <f t="shared" si="84"/>
        <v>0</v>
      </c>
      <c r="V540" s="1344">
        <v>7.5</v>
      </c>
      <c r="W540" s="2011"/>
      <c r="X540" s="575"/>
      <c r="Y540" s="1350"/>
      <c r="Z540" s="655"/>
      <c r="AA540" s="686"/>
      <c r="AB540" s="686"/>
      <c r="AC540" s="686"/>
      <c r="AD540" s="686"/>
      <c r="AE540" s="686"/>
      <c r="AF540" s="686"/>
      <c r="AG540" s="686"/>
      <c r="AH540" s="687"/>
      <c r="AI540" s="686"/>
      <c r="AJ540" s="686"/>
      <c r="AK540" s="686"/>
      <c r="AL540" s="686"/>
      <c r="AM540" s="686"/>
      <c r="AN540" s="686"/>
      <c r="AO540" s="686"/>
      <c r="AP540" s="686"/>
      <c r="AQ540" s="686"/>
      <c r="AR540" s="686"/>
      <c r="AS540" s="686"/>
      <c r="AT540" s="686"/>
      <c r="AU540" s="686"/>
      <c r="AV540" s="686"/>
      <c r="AW540" s="686"/>
      <c r="AX540" s="686"/>
      <c r="AY540" s="686"/>
      <c r="AZ540" s="686"/>
      <c r="BA540" s="686"/>
      <c r="BB540" s="686"/>
      <c r="BC540" s="686"/>
      <c r="BD540" s="686"/>
      <c r="BE540" s="686"/>
      <c r="BF540" s="686"/>
      <c r="BG540" s="686"/>
      <c r="BH540" s="686"/>
      <c r="BI540" s="686"/>
      <c r="BJ540" s="686"/>
      <c r="BK540" s="686"/>
      <c r="BL540" s="686"/>
      <c r="BM540" s="686"/>
      <c r="BN540" s="686"/>
      <c r="BO540" s="686"/>
      <c r="BP540" s="686"/>
      <c r="BQ540" s="686"/>
      <c r="BR540" s="686"/>
      <c r="BS540" s="686"/>
      <c r="BT540" s="686"/>
    </row>
    <row r="541" spans="1:72" s="688" customFormat="1" ht="12.75" hidden="1" customHeight="1" outlineLevel="1">
      <c r="A541" s="3184"/>
      <c r="B541" s="3185"/>
      <c r="C541" s="3182" t="s">
        <v>36</v>
      </c>
      <c r="D541" s="3182"/>
      <c r="E541" s="1990"/>
      <c r="F541" s="1016">
        <v>0</v>
      </c>
      <c r="G541" s="920">
        <f>IF(SETUP!$F$22="At delivery",IF(SETUP!$G$22=1,$E$539*'HIV-Pharmaceuticals'!AX16,0),0)</f>
        <v>0</v>
      </c>
      <c r="H541" s="920">
        <f>IF(SETUP!$F$22="At delivery",IF(SETUP!$G$22=2,$E$539*'HIV-Pharmaceuticals'!AX16,IF(SETUP!$G$22=1,$E$539*'HIV-Pharmaceuticals'!AY16,0)),0)</f>
        <v>0</v>
      </c>
      <c r="I541" s="920">
        <f>IF(SETUP!$F$22="At delivery",IF(SETUP!$G$22=3,$E$539*'HIV-Pharmaceuticals'!AX16,IF(SETUP!$G$22=2,$E$539*'HIV-Pharmaceuticals'!AY16,IF(SETUP!$G$22=1,$E$539*'HIV-Pharmaceuticals'!AZ16,0))),0)</f>
        <v>0</v>
      </c>
      <c r="J541" s="920">
        <f t="shared" si="81"/>
        <v>0</v>
      </c>
      <c r="K541" s="1016">
        <f>IF(SETUP!$F$22="At delivery",IF(SETUP!$G$22=4,$E$539*'HIV-Pharmaceuticals'!AX16,IF(SETUP!$G$22=3,$E$539*'HIV-Pharmaceuticals'!AY16,IF(SETUP!$G$22=2,$E$539*'HIV-Pharmaceuticals'!AZ16,IF(SETUP!$G$22=1,$E$539*'HIV-Pharmaceuticals'!BA16,0)))),0)</f>
        <v>0</v>
      </c>
      <c r="L541" s="920">
        <f>IF(SETUP!$F$22="At delivery",IF(SETUP!$G$22=4,$E$539*'HIV-Pharmaceuticals'!AY16,IF(SETUP!$G$22=3,$E$539*'HIV-Pharmaceuticals'!AZ16,IF(SETUP!$G$22=2,$E$539*'HIV-Pharmaceuticals'!BA16,IF(SETUP!$G$22=1,$E$539*'HIV-Pharmaceuticals'!BB16,0)))),0)</f>
        <v>0</v>
      </c>
      <c r="M541" s="920">
        <f>IF(SETUP!$F$22="At delivery",IF(SETUP!$G$22=4,$E$539*'HIV-Pharmaceuticals'!AZ16,IF(SETUP!$G$22=3,$E$539*'HIV-Pharmaceuticals'!BA16,IF(SETUP!$G$22=2,$E$539*'HIV-Pharmaceuticals'!BB16,IF(SETUP!$G$22=1,$E$539*'HIV-Pharmaceuticals'!BC16,0)))),0)</f>
        <v>0</v>
      </c>
      <c r="N541" s="920">
        <f>IF(SETUP!$F$22="At delivery",IF(SETUP!$G$22=4,$E$539*'HIV-Pharmaceuticals'!BA16,IF(SETUP!$G$22=3,$E$539*'HIV-Pharmaceuticals'!BB16,IF(SETUP!$G$22=2,$E$539*'HIV-Pharmaceuticals'!BC16,IF(SETUP!$G$22=1,$E$539*'HIV-Pharmaceuticals'!BD16,0)))),0)</f>
        <v>0</v>
      </c>
      <c r="O541" s="920">
        <f t="shared" si="82"/>
        <v>0</v>
      </c>
      <c r="P541" s="1016">
        <f>IF(SETUP!$F$22="At delivery",IF(SETUP!$G$22=4,$E$539*'HIV-Pharmaceuticals'!BB16,IF(SETUP!$G$22=3,$E$539*'HIV-Pharmaceuticals'!BC16,IF(SETUP!$G$22=2,$E$539*'HIV-Pharmaceuticals'!BD16,IF(SETUP!$G$22=1,$E$539*'HIV-Pharmaceuticals'!BE16,0)))),0)</f>
        <v>0</v>
      </c>
      <c r="Q541" s="920">
        <f>IF(SETUP!$F$22="At delivery",IF(SETUP!$G$22=4,$E$539*'HIV-Pharmaceuticals'!BC16,IF(SETUP!$G$22=3,$E$539*'HIV-Pharmaceuticals'!BD16,IF(SETUP!$G$22=2,$E$539*'HIV-Pharmaceuticals'!BE16,IF(SETUP!$G$22=1,$E$539*'HIV-Pharmaceuticals'!BF16,0)))),0)</f>
        <v>0</v>
      </c>
      <c r="R541" s="920">
        <f>IF(SETUP!$F$22="At delivery",IF(SETUP!$G$22=4,$E$539*'HIV-Pharmaceuticals'!BD16,IF(SETUP!$G$22=3,$E$539*'HIV-Pharmaceuticals'!BE16,IF(SETUP!$G$22=2,$E$539*'HIV-Pharmaceuticals'!BF16,IF(SETUP!$G$22=1,$E$539*'HIV-Pharmaceuticals'!BG16,0)))),0)</f>
        <v>0</v>
      </c>
      <c r="S541" s="920">
        <f>IF(SETUP!$F$22="At delivery",IF(SETUP!$G$22=4,$E$539*('HIV-Pharmaceuticals'!BE16+'HIV-Pharmaceuticals'!BF16+'HIV-Pharmaceuticals'!BG16+'HIV-Pharmaceuticals'!BH16+'HIV-Pharmaceuticals'!BI16),IF(SETUP!$G$22=3,$E$539*('HIV-Pharmaceuticals'!BF16+'HIV-Pharmaceuticals'!BG16+'HIV-Pharmaceuticals'!BH16+'HIV-Pharmaceuticals'!BI16),IF(SETUP!$G$22=2,$E$539*('HIV-Pharmaceuticals'!BG16+'HIV-Pharmaceuticals'!BH16+'HIV-Pharmaceuticals'!BI16),IF(SETUP!$G$22=1,$E$539*('HIV-Pharmaceuticals'!BH16+'HIV-Pharmaceuticals'!BI16),0)))),0)</f>
        <v>0</v>
      </c>
      <c r="T541" s="920">
        <f t="shared" si="83"/>
        <v>0</v>
      </c>
      <c r="U541" s="1016">
        <f t="shared" si="84"/>
        <v>0</v>
      </c>
      <c r="V541" s="1344">
        <v>7.5</v>
      </c>
      <c r="W541" s="2011"/>
      <c r="X541" s="575"/>
      <c r="Y541" s="1350"/>
      <c r="Z541" s="655"/>
      <c r="AA541" s="686"/>
      <c r="AB541" s="686"/>
      <c r="AC541" s="686"/>
      <c r="AD541" s="686"/>
      <c r="AE541" s="686"/>
      <c r="AF541" s="686"/>
      <c r="AG541" s="686"/>
      <c r="AH541" s="687"/>
      <c r="AI541" s="686"/>
      <c r="AJ541" s="686"/>
      <c r="AK541" s="686"/>
      <c r="AL541" s="686"/>
      <c r="AM541" s="686"/>
      <c r="AN541" s="686"/>
      <c r="AO541" s="686"/>
      <c r="AP541" s="686"/>
      <c r="AQ541" s="686"/>
      <c r="AR541" s="686"/>
      <c r="AS541" s="686"/>
      <c r="AT541" s="686"/>
      <c r="AU541" s="686"/>
      <c r="AV541" s="686"/>
      <c r="AW541" s="686"/>
      <c r="AX541" s="686"/>
      <c r="AY541" s="686"/>
      <c r="AZ541" s="686"/>
      <c r="BA541" s="686"/>
      <c r="BB541" s="686"/>
      <c r="BC541" s="686"/>
      <c r="BD541" s="686"/>
      <c r="BE541" s="686"/>
      <c r="BF541" s="686"/>
      <c r="BG541" s="686"/>
      <c r="BH541" s="686"/>
      <c r="BI541" s="686"/>
      <c r="BJ541" s="686"/>
      <c r="BK541" s="686"/>
      <c r="BL541" s="686"/>
      <c r="BM541" s="686"/>
      <c r="BN541" s="686"/>
      <c r="BO541" s="686"/>
      <c r="BP541" s="686"/>
      <c r="BQ541" s="686"/>
      <c r="BR541" s="686"/>
      <c r="BS541" s="686"/>
      <c r="BT541" s="686"/>
    </row>
    <row r="542" spans="1:72" s="688" customFormat="1" ht="13.5" collapsed="1" thickBot="1">
      <c r="A542" s="3184"/>
      <c r="B542" s="3185"/>
      <c r="C542" s="3202" t="s">
        <v>1390</v>
      </c>
      <c r="D542" s="3202"/>
      <c r="E542" s="1245">
        <v>0</v>
      </c>
      <c r="F542" s="1016">
        <f>IF(SETUP!$F$23="Upfront",F543,F544)</f>
        <v>0</v>
      </c>
      <c r="G542" s="920">
        <f>IF(SETUP!$F$23="Upfront",G543,G544)</f>
        <v>0</v>
      </c>
      <c r="H542" s="920">
        <f>IF(SETUP!$F$23="Upfront",H543,H544)</f>
        <v>0</v>
      </c>
      <c r="I542" s="920">
        <f>IF(SETUP!$F$23="Upfront",I543,I544)</f>
        <v>0</v>
      </c>
      <c r="J542" s="920">
        <f t="shared" si="81"/>
        <v>0</v>
      </c>
      <c r="K542" s="1016">
        <f>IF(SETUP!$F$23="Upfront",K543,K544)</f>
        <v>0</v>
      </c>
      <c r="L542" s="920">
        <f>IF(SETUP!$F$23="Upfront",L543,L544)</f>
        <v>0</v>
      </c>
      <c r="M542" s="920">
        <f>IF(SETUP!$F$23="Upfront",M543,M544)</f>
        <v>0</v>
      </c>
      <c r="N542" s="920">
        <f>IF(SETUP!$F$23="Upfront",N543,N544)</f>
        <v>0</v>
      </c>
      <c r="O542" s="920">
        <f t="shared" si="82"/>
        <v>0</v>
      </c>
      <c r="P542" s="1016">
        <f>IF(SETUP!$F$23="Upfront",P543,P544)</f>
        <v>0</v>
      </c>
      <c r="Q542" s="920">
        <f>IF(SETUP!$F$23="Upfront",Q543,Q544)</f>
        <v>0</v>
      </c>
      <c r="R542" s="920">
        <f>IF(SETUP!$F$23="Upfront",R543,R544)</f>
        <v>0</v>
      </c>
      <c r="S542" s="920">
        <f>IF(SETUP!$F$23="Upfront",S543,S544)</f>
        <v>0</v>
      </c>
      <c r="T542" s="920">
        <f t="shared" si="83"/>
        <v>0</v>
      </c>
      <c r="U542" s="1016">
        <f t="shared" si="84"/>
        <v>0</v>
      </c>
      <c r="V542" s="1344">
        <v>7.5</v>
      </c>
      <c r="W542" s="2011"/>
      <c r="X542" s="575"/>
      <c r="Y542" s="1350"/>
      <c r="Z542" s="655"/>
      <c r="AA542" s="686"/>
      <c r="AB542" s="686"/>
      <c r="AC542" s="686"/>
      <c r="AD542" s="686"/>
      <c r="AE542" s="686"/>
      <c r="AF542" s="686"/>
      <c r="AG542" s="686"/>
      <c r="AH542" s="687"/>
      <c r="AI542" s="686"/>
      <c r="AJ542" s="686"/>
      <c r="AK542" s="686"/>
      <c r="AL542" s="686"/>
      <c r="AM542" s="686"/>
      <c r="AN542" s="686"/>
      <c r="AO542" s="686"/>
      <c r="AP542" s="686"/>
      <c r="AQ542" s="686"/>
      <c r="AR542" s="686"/>
      <c r="AS542" s="686"/>
      <c r="AT542" s="686"/>
      <c r="AU542" s="686"/>
      <c r="AV542" s="686"/>
      <c r="AW542" s="686"/>
      <c r="AX542" s="686"/>
      <c r="AY542" s="686"/>
      <c r="AZ542" s="686"/>
      <c r="BA542" s="686"/>
      <c r="BB542" s="686"/>
      <c r="BC542" s="686"/>
      <c r="BD542" s="686"/>
      <c r="BE542" s="686"/>
      <c r="BF542" s="686"/>
      <c r="BG542" s="686"/>
      <c r="BH542" s="686"/>
      <c r="BI542" s="686"/>
      <c r="BJ542" s="686"/>
      <c r="BK542" s="686"/>
      <c r="BL542" s="686"/>
      <c r="BM542" s="686"/>
      <c r="BN542" s="686"/>
      <c r="BO542" s="686"/>
      <c r="BP542" s="686"/>
      <c r="BQ542" s="686"/>
      <c r="BR542" s="686"/>
      <c r="BS542" s="686"/>
      <c r="BT542" s="686"/>
    </row>
    <row r="543" spans="1:72" s="688" customFormat="1" ht="12.75" hidden="1" customHeight="1" outlineLevel="1">
      <c r="A543" s="3184"/>
      <c r="B543" s="3185"/>
      <c r="C543" s="3182" t="s">
        <v>777</v>
      </c>
      <c r="D543" s="3182"/>
      <c r="E543" s="1991"/>
      <c r="F543" s="1016">
        <f>IF(SETUP!$F$23="Upfront",$E$542*'HIV-Equipment'!AW14,0)</f>
        <v>0</v>
      </c>
      <c r="G543" s="920">
        <f>IF(SETUP!$F$23="Upfront",$E$542*'HIV-Equipment'!AX14,0)</f>
        <v>0</v>
      </c>
      <c r="H543" s="920">
        <f>IF(SETUP!$F$23="Upfront",$E$542*'HIV-Equipment'!AY14,0)</f>
        <v>0</v>
      </c>
      <c r="I543" s="920">
        <f>IF(SETUP!$F$23="Upfront",$E$542*'HIV-Equipment'!AZ14,0)</f>
        <v>0</v>
      </c>
      <c r="J543" s="920">
        <f t="shared" si="81"/>
        <v>0</v>
      </c>
      <c r="K543" s="1016">
        <f>IF(SETUP!$F$23="Upfront",$E$542*'HIV-Equipment'!BA14,0)</f>
        <v>0</v>
      </c>
      <c r="L543" s="920">
        <f>IF(SETUP!$F$23="Upfront",$E$542*'HIV-Equipment'!BB14,0)</f>
        <v>0</v>
      </c>
      <c r="M543" s="920">
        <f>IF(SETUP!$F$23="Upfront",$E$542*'HIV-Equipment'!BC14,0)</f>
        <v>0</v>
      </c>
      <c r="N543" s="920">
        <f>IF(SETUP!$F$23="Upfront",$E$542*'HIV-Equipment'!BD14,0)</f>
        <v>0</v>
      </c>
      <c r="O543" s="920">
        <f t="shared" si="82"/>
        <v>0</v>
      </c>
      <c r="P543" s="1016">
        <f>IF(SETUP!$F$23="Upfront",$E$542*'HIV-Equipment'!BE14,0)</f>
        <v>0</v>
      </c>
      <c r="Q543" s="920">
        <f>IF(SETUP!$F$23="Upfront",$E$542*'HIV-Equipment'!BF14,0)</f>
        <v>0</v>
      </c>
      <c r="R543" s="920">
        <f>IF(SETUP!$F$23="Upfront",$E$542*'HIV-Equipment'!BG14,0)</f>
        <v>0</v>
      </c>
      <c r="S543" s="920">
        <f>IF(SETUP!$F$23="Upfront",$E$542*'HIV-Equipment'!BH14,0)</f>
        <v>0</v>
      </c>
      <c r="T543" s="920">
        <f t="shared" si="83"/>
        <v>0</v>
      </c>
      <c r="U543" s="1016">
        <f t="shared" si="84"/>
        <v>0</v>
      </c>
      <c r="V543" s="1344">
        <v>7.5</v>
      </c>
      <c r="W543" s="2011"/>
      <c r="X543" s="575"/>
      <c r="Y543" s="1350"/>
      <c r="Z543" s="655"/>
      <c r="AA543" s="686"/>
      <c r="AB543" s="686"/>
      <c r="AC543" s="686"/>
      <c r="AD543" s="686"/>
      <c r="AE543" s="686"/>
      <c r="AF543" s="686"/>
      <c r="AG543" s="686"/>
      <c r="AH543" s="687"/>
      <c r="AI543" s="686"/>
      <c r="AJ543" s="686"/>
      <c r="AK543" s="686"/>
      <c r="AL543" s="686"/>
      <c r="AM543" s="686"/>
      <c r="AN543" s="686"/>
      <c r="AO543" s="686"/>
      <c r="AP543" s="686"/>
      <c r="AQ543" s="686"/>
      <c r="AR543" s="686"/>
      <c r="AS543" s="686"/>
      <c r="AT543" s="686"/>
      <c r="AU543" s="686"/>
      <c r="AV543" s="686"/>
      <c r="AW543" s="686"/>
      <c r="AX543" s="686"/>
      <c r="AY543" s="686"/>
      <c r="AZ543" s="686"/>
      <c r="BA543" s="686"/>
      <c r="BB543" s="686"/>
      <c r="BC543" s="686"/>
      <c r="BD543" s="686"/>
      <c r="BE543" s="686"/>
      <c r="BF543" s="686"/>
      <c r="BG543" s="686"/>
      <c r="BH543" s="686"/>
      <c r="BI543" s="686"/>
      <c r="BJ543" s="686"/>
      <c r="BK543" s="686"/>
      <c r="BL543" s="686"/>
      <c r="BM543" s="686"/>
      <c r="BN543" s="686"/>
      <c r="BO543" s="686"/>
      <c r="BP543" s="686"/>
      <c r="BQ543" s="686"/>
      <c r="BR543" s="686"/>
      <c r="BS543" s="686"/>
      <c r="BT543" s="686"/>
    </row>
    <row r="544" spans="1:72" s="688" customFormat="1" ht="12.75" hidden="1" customHeight="1" outlineLevel="1">
      <c r="A544" s="3184"/>
      <c r="B544" s="3185"/>
      <c r="C544" s="3182" t="s">
        <v>36</v>
      </c>
      <c r="D544" s="3182"/>
      <c r="E544" s="1990"/>
      <c r="F544" s="1016">
        <v>0</v>
      </c>
      <c r="G544" s="920">
        <f>IF(SETUP!$F$23="At delivery",IF(SETUP!$G$23=1,$E$542*'HIV-Equipment'!AW14,0),0)</f>
        <v>0</v>
      </c>
      <c r="H544" s="920">
        <f>IF(SETUP!$F$23="At delivery",IF(SETUP!$G$23=2,$E$542*'HIV-Equipment'!AW14,IF(SETUP!$G$23=1,$E$542*'HIV-Equipment'!AX14,0)),0)</f>
        <v>0</v>
      </c>
      <c r="I544" s="920">
        <f>IF(SETUP!$F$23="At delivery",IF(SETUP!$G$23=3,$E$542*'HIV-Equipment'!AW14,IF(SETUP!$G$23=2,$E$542*'HIV-Equipment'!AX14,IF(SETUP!$G$23=1,$E$542*'HIV-Equipment'!AY14,0))),0)</f>
        <v>0</v>
      </c>
      <c r="J544" s="920">
        <f t="shared" si="81"/>
        <v>0</v>
      </c>
      <c r="K544" s="1016">
        <f>IF(SETUP!$F$23="At delivery",IF(SETUP!$G$23=4,$E$542*'HIV-Equipment'!AW14,IF(SETUP!$G$23=3,$E$542*'HIV-Equipment'!AX14,IF(SETUP!$G$23=2,$E$542*'HIV-Equipment'!AY14,IF(SETUP!$G$23=1,$E$542*'HIV-Equipment'!AZ14,0)))),0)</f>
        <v>0</v>
      </c>
      <c r="L544" s="920">
        <f>IF(SETUP!$F$23="At delivery",IF(SETUP!$G$23=4,$E$542*'HIV-Equipment'!AX14,IF(SETUP!$G$23=3,$E$542*'HIV-Equipment'!AY14,IF(SETUP!$G$23=2,$E$542*'HIV-Equipment'!AZ14,IF(SETUP!$G$23=1,$E$542*'HIV-Equipment'!BA14,0)))),0)</f>
        <v>0</v>
      </c>
      <c r="M544" s="920">
        <f>IF(SETUP!$F$23="At delivery",IF(SETUP!$G$23=4,$E$542*'HIV-Equipment'!AY14,IF(SETUP!$G$23=3,$E$542*'HIV-Equipment'!AZ14,IF(SETUP!$G$23=2,$E$542*'HIV-Equipment'!BA14,IF(SETUP!$G$23=1,$E$542*'HIV-Equipment'!BB14,0)))),0)</f>
        <v>0</v>
      </c>
      <c r="N544" s="920">
        <f>IF(SETUP!$F$23="At delivery",IF(SETUP!$G$23=4,$E$542*'HIV-Equipment'!AZ14,IF(SETUP!$G$23=3,$E$542*'HIV-Equipment'!BA14,IF(SETUP!$G$23=2,$E$542*'HIV-Equipment'!BB14,IF(SETUP!$G$23=1,$E$542*'HIV-Equipment'!BC14,0)))),0)</f>
        <v>0</v>
      </c>
      <c r="O544" s="920">
        <f t="shared" si="82"/>
        <v>0</v>
      </c>
      <c r="P544" s="1016">
        <f>IF(SETUP!$F$23="At delivery",IF(SETUP!$G$23=4,$E$542*'HIV-Equipment'!BA14,IF(SETUP!$G$23=3,$E$542*'HIV-Equipment'!BB14,IF(SETUP!$G$23=2,$E$542*'HIV-Equipment'!BC14,IF(SETUP!$G$23=1,$E$542*'HIV-Equipment'!BD14,0)))),0)</f>
        <v>0</v>
      </c>
      <c r="Q544" s="920">
        <f>IF(SETUP!$F$23="At delivery",IF(SETUP!$G$23=4,$E$542*'HIV-Equipment'!BB14,IF(SETUP!$G$23=3,$E$542*'HIV-Equipment'!BC14,IF(SETUP!$G$23=2,$E$542*'HIV-Equipment'!BD14,IF(SETUP!$G$23=1,$E$542*'HIV-Equipment'!BE14,0)))),0)</f>
        <v>0</v>
      </c>
      <c r="R544" s="920">
        <f>IF(SETUP!$F$23="At delivery",IF(SETUP!$G$23=4,$E$542*'HIV-Equipment'!BC14,IF(SETUP!$G$23=3,$E$542*'HIV-Equipment'!BD14,IF(SETUP!$G$23=2,$E$542*'HIV-Equipment'!BE14,IF(SETUP!$G$23=1,$E$542*'HIV-Equipment'!BF14,0)))),0)</f>
        <v>0</v>
      </c>
      <c r="S544" s="920">
        <f>IF(SETUP!$F$23="At delivery",IF(SETUP!$G$23=4,$E$542*('HIV-Equipment'!BD14+'HIV-Equipment'!BE14+'HIV-Equipment'!BF14+'HIV-Equipment'!BG14+'HIV-Equipment'!BH14),IF(SETUP!$G$23=3,$E$542*('HIV-Equipment'!BE14+'HIV-Equipment'!BF14+'HIV-Equipment'!BG14+'HIV-Equipment'!BH14),IF(SETUP!$G$23=2,$E$542*('HIV-Equipment'!BF14+'HIV-Equipment'!BG14+'HIV-Equipment'!BH14),IF(SETUP!$G$23=1,$E$542*('HIV-Equipment'!BG14+'HIV-Equipment'!BH14),0)))),0)</f>
        <v>0</v>
      </c>
      <c r="T544" s="920">
        <f t="shared" si="83"/>
        <v>0</v>
      </c>
      <c r="U544" s="1016">
        <f t="shared" si="84"/>
        <v>0</v>
      </c>
      <c r="V544" s="1344">
        <v>7.5</v>
      </c>
      <c r="W544" s="2011"/>
      <c r="X544" s="575"/>
      <c r="Y544" s="1350"/>
      <c r="Z544" s="655"/>
      <c r="AA544" s="686"/>
      <c r="AB544" s="686"/>
      <c r="AC544" s="686"/>
      <c r="AD544" s="686"/>
      <c r="AE544" s="686"/>
      <c r="AF544" s="686"/>
      <c r="AG544" s="686"/>
      <c r="AH544" s="687"/>
      <c r="AI544" s="686"/>
      <c r="AJ544" s="686"/>
      <c r="AK544" s="686"/>
      <c r="AL544" s="686"/>
      <c r="AM544" s="686"/>
      <c r="AN544" s="686"/>
      <c r="AO544" s="686"/>
      <c r="AP544" s="686"/>
      <c r="AQ544" s="686"/>
      <c r="AR544" s="686"/>
      <c r="AS544" s="686"/>
      <c r="AT544" s="686"/>
      <c r="AU544" s="686"/>
      <c r="AV544" s="686"/>
      <c r="AW544" s="686"/>
      <c r="AX544" s="686"/>
      <c r="AY544" s="686"/>
      <c r="AZ544" s="686"/>
      <c r="BA544" s="686"/>
      <c r="BB544" s="686"/>
      <c r="BC544" s="686"/>
      <c r="BD544" s="686"/>
      <c r="BE544" s="686"/>
      <c r="BF544" s="686"/>
      <c r="BG544" s="686"/>
      <c r="BH544" s="686"/>
      <c r="BI544" s="686"/>
      <c r="BJ544" s="686"/>
      <c r="BK544" s="686"/>
      <c r="BL544" s="686"/>
      <c r="BM544" s="686"/>
      <c r="BN544" s="686"/>
      <c r="BO544" s="686"/>
      <c r="BP544" s="686"/>
      <c r="BQ544" s="686"/>
      <c r="BR544" s="686"/>
      <c r="BS544" s="686"/>
      <c r="BT544" s="686"/>
    </row>
    <row r="545" spans="1:72" s="688" customFormat="1" ht="13.5" collapsed="1" thickBot="1">
      <c r="A545" s="3184" t="s">
        <v>440</v>
      </c>
      <c r="B545" s="3185"/>
      <c r="C545" s="3188" t="s">
        <v>213</v>
      </c>
      <c r="D545" s="3188"/>
      <c r="E545" s="1245">
        <v>0</v>
      </c>
      <c r="F545" s="1016">
        <f>IF(SETUP!$F$27="Upfront",F546,F547)</f>
        <v>0</v>
      </c>
      <c r="G545" s="920">
        <f>IF(SETUP!$F$27="Upfront",G546,G547)</f>
        <v>0</v>
      </c>
      <c r="H545" s="920">
        <f>IF(SETUP!$F$27="Upfront",H546,H547)</f>
        <v>0</v>
      </c>
      <c r="I545" s="920">
        <f>IF(SETUP!$F$27="Upfront",I546,I547)</f>
        <v>0</v>
      </c>
      <c r="J545" s="920">
        <f t="shared" si="81"/>
        <v>0</v>
      </c>
      <c r="K545" s="1016">
        <f>IF(SETUP!$F$27="Upfront",K546,K547)</f>
        <v>0</v>
      </c>
      <c r="L545" s="920">
        <f>IF(SETUP!$F$27="Upfront",L546,L547)</f>
        <v>0</v>
      </c>
      <c r="M545" s="920">
        <f>IF(SETUP!$F$27="Upfront",M546,M547)</f>
        <v>0</v>
      </c>
      <c r="N545" s="920">
        <f>IF(SETUP!$F$27="Upfront",N546,N547)</f>
        <v>0</v>
      </c>
      <c r="O545" s="920">
        <f t="shared" si="82"/>
        <v>0</v>
      </c>
      <c r="P545" s="1016">
        <f>IF(SETUP!$F$27="Upfront",P546,P547)</f>
        <v>0</v>
      </c>
      <c r="Q545" s="920">
        <f>IF(SETUP!$F$27="Upfront",Q546,Q547)</f>
        <v>0</v>
      </c>
      <c r="R545" s="920">
        <f>IF(SETUP!$F$27="Upfront",R546,R547)</f>
        <v>0</v>
      </c>
      <c r="S545" s="920">
        <f>IF(SETUP!$F$27="Upfront",S546,S547)</f>
        <v>0</v>
      </c>
      <c r="T545" s="920">
        <f t="shared" si="83"/>
        <v>0</v>
      </c>
      <c r="U545" s="1016">
        <f t="shared" si="84"/>
        <v>0</v>
      </c>
      <c r="V545" s="1344">
        <v>7.5</v>
      </c>
      <c r="W545" s="2011"/>
      <c r="X545" s="575"/>
      <c r="Y545" s="1350"/>
      <c r="Z545" s="655"/>
      <c r="AA545" s="686"/>
      <c r="AB545" s="686"/>
      <c r="AC545" s="686"/>
      <c r="AD545" s="686"/>
      <c r="AE545" s="686"/>
      <c r="AF545" s="686"/>
      <c r="AG545" s="686"/>
      <c r="AH545" s="687"/>
      <c r="AI545" s="686"/>
      <c r="AJ545" s="686"/>
      <c r="AK545" s="686"/>
      <c r="AL545" s="686"/>
      <c r="AM545" s="686"/>
      <c r="AN545" s="686"/>
      <c r="AO545" s="686"/>
      <c r="AP545" s="686"/>
      <c r="AQ545" s="686"/>
      <c r="AR545" s="686"/>
      <c r="AS545" s="686"/>
      <c r="AT545" s="686"/>
      <c r="AU545" s="686"/>
      <c r="AV545" s="686"/>
      <c r="AW545" s="686"/>
      <c r="AX545" s="686"/>
      <c r="AY545" s="686"/>
      <c r="AZ545" s="686"/>
      <c r="BA545" s="686"/>
      <c r="BB545" s="686"/>
      <c r="BC545" s="686"/>
      <c r="BD545" s="686"/>
      <c r="BE545" s="686"/>
      <c r="BF545" s="686"/>
      <c r="BG545" s="686"/>
      <c r="BH545" s="686"/>
      <c r="BI545" s="686"/>
      <c r="BJ545" s="686"/>
      <c r="BK545" s="686"/>
      <c r="BL545" s="686"/>
      <c r="BM545" s="686"/>
      <c r="BN545" s="686"/>
      <c r="BO545" s="686"/>
      <c r="BP545" s="686"/>
      <c r="BQ545" s="686"/>
      <c r="BR545" s="686"/>
      <c r="BS545" s="686"/>
      <c r="BT545" s="686"/>
    </row>
    <row r="546" spans="1:72" s="688" customFormat="1" ht="16.149999999999999" hidden="1" customHeight="1" outlineLevel="1">
      <c r="A546" s="3184"/>
      <c r="B546" s="3185"/>
      <c r="C546" s="3182" t="s">
        <v>777</v>
      </c>
      <c r="D546" s="3182"/>
      <c r="E546" s="1991"/>
      <c r="F546" s="1016">
        <f>IF(SETUP!$F$27="Upfront",$E$545*'HIV-Other HPs'!AX14,0)</f>
        <v>0</v>
      </c>
      <c r="G546" s="920">
        <f>IF(SETUP!$F$27="Upfront",$E$545*'HIV-Other HPs'!AY14,0)</f>
        <v>0</v>
      </c>
      <c r="H546" s="920">
        <f>IF(SETUP!$F$27="Upfront",$E$546*'HIV-Other HPs'!AZ14,0)</f>
        <v>0</v>
      </c>
      <c r="I546" s="920">
        <f>IF(SETUP!$F$27="Upfront",$E$545*'HIV-Other HPs'!BA14,0)</f>
        <v>0</v>
      </c>
      <c r="J546" s="920">
        <f t="shared" si="81"/>
        <v>0</v>
      </c>
      <c r="K546" s="1016">
        <f>IF(SETUP!$F$27="Upfront",$E$545*'HIV-Other HPs'!BB14,0)</f>
        <v>0</v>
      </c>
      <c r="L546" s="920">
        <f>IF(SETUP!$F$27="Upfront",$E$545*'HIV-Other HPs'!BC14,0)</f>
        <v>0</v>
      </c>
      <c r="M546" s="920">
        <f>IF(SETUP!$F$27="Upfront",$E$545*'HIV-Other HPs'!BD14,0)</f>
        <v>0</v>
      </c>
      <c r="N546" s="920">
        <f>IF(SETUP!$F$27="Upfront",$E$545*'HIV-Other HPs'!BE14,0)</f>
        <v>0</v>
      </c>
      <c r="O546" s="920">
        <f t="shared" si="82"/>
        <v>0</v>
      </c>
      <c r="P546" s="1016">
        <f>IF(SETUP!$F$27="Upfront",$E$545*'HIV-Other HPs'!BF14,0)</f>
        <v>0</v>
      </c>
      <c r="Q546" s="920">
        <f>IF(SETUP!$F$27="Upfront",$E$545*'HIV-Other HPs'!BG14,0)</f>
        <v>0</v>
      </c>
      <c r="R546" s="920">
        <f>IF(SETUP!$F$27="Upfront",$E$545*'HIV-Other HPs'!BH14,0)</f>
        <v>0</v>
      </c>
      <c r="S546" s="920">
        <f>IF(SETUP!$F$27="Upfront",$E$545*'HIV-Other HPs'!BI14,0)</f>
        <v>0</v>
      </c>
      <c r="T546" s="920">
        <f t="shared" si="83"/>
        <v>0</v>
      </c>
      <c r="U546" s="1016">
        <f t="shared" si="84"/>
        <v>0</v>
      </c>
      <c r="V546" s="1344">
        <v>7.5</v>
      </c>
      <c r="W546" s="2011"/>
      <c r="X546" s="575"/>
      <c r="Y546" s="1350"/>
      <c r="Z546" s="655"/>
      <c r="AA546" s="686"/>
      <c r="AB546" s="686"/>
      <c r="AC546" s="686"/>
      <c r="AD546" s="686"/>
      <c r="AE546" s="686"/>
      <c r="AF546" s="686"/>
      <c r="AG546" s="686"/>
      <c r="AH546" s="687"/>
      <c r="AI546" s="686"/>
      <c r="AJ546" s="686"/>
      <c r="AK546" s="686"/>
      <c r="AL546" s="686"/>
      <c r="AM546" s="686"/>
      <c r="AN546" s="686"/>
      <c r="AO546" s="686"/>
      <c r="AP546" s="686"/>
      <c r="AQ546" s="686"/>
      <c r="AR546" s="686"/>
      <c r="AS546" s="686"/>
      <c r="AT546" s="686"/>
      <c r="AU546" s="686"/>
      <c r="AV546" s="686"/>
      <c r="AW546" s="686"/>
      <c r="AX546" s="686"/>
      <c r="AY546" s="686"/>
      <c r="AZ546" s="686"/>
      <c r="BA546" s="686"/>
      <c r="BB546" s="686"/>
      <c r="BC546" s="686"/>
      <c r="BD546" s="686"/>
      <c r="BE546" s="686"/>
      <c r="BF546" s="686"/>
      <c r="BG546" s="686"/>
      <c r="BH546" s="686"/>
      <c r="BI546" s="686"/>
      <c r="BJ546" s="686"/>
      <c r="BK546" s="686"/>
      <c r="BL546" s="686"/>
      <c r="BM546" s="686"/>
      <c r="BN546" s="686"/>
      <c r="BO546" s="686"/>
      <c r="BP546" s="686"/>
      <c r="BQ546" s="686"/>
      <c r="BR546" s="686"/>
      <c r="BS546" s="686"/>
      <c r="BT546" s="686"/>
    </row>
    <row r="547" spans="1:72" s="688" customFormat="1" ht="16.149999999999999" hidden="1" customHeight="1" outlineLevel="1">
      <c r="A547" s="3184"/>
      <c r="B547" s="3185"/>
      <c r="C547" s="3182" t="s">
        <v>36</v>
      </c>
      <c r="D547" s="3182"/>
      <c r="E547" s="1246"/>
      <c r="F547" s="1016">
        <v>0</v>
      </c>
      <c r="G547" s="920">
        <f>IF(SETUP!$F$27="At delivery",IF(SETUP!$G$27=1,$E$545*'HIV-Other HPs'!AX14,0),0)</f>
        <v>0</v>
      </c>
      <c r="H547" s="920">
        <f>IF(SETUP!$F$27="At delivery",IF(SETUP!$G$27=2,$E$545*'HIV-Other HPs'!AX14,IF(SETUP!$G$27=1,$E$545*'HIV-Other HPs'!AY14,0)),0)</f>
        <v>0</v>
      </c>
      <c r="I547" s="920">
        <f>IF(SETUP!$F$27="At delivery",IF(SETUP!$G$27=3,$E$545*'HIV-Other HPs'!AX14,IF(SETUP!$G$27=2,$E$545*'HIV-Other HPs'!AY14,IF(SETUP!$G$27=1,$E$545*'HIV-Other HPs'!AZ14,0))),0)</f>
        <v>0</v>
      </c>
      <c r="J547" s="920">
        <f t="shared" si="81"/>
        <v>0</v>
      </c>
      <c r="K547" s="1016">
        <f>IF(SETUP!$F$27="At delivery",IF(SETUP!$G$27=4,$E$545*'HIV-Other HPs'!AX14,IF(SETUP!$G$27=3,$E$545*'HIV-Other HPs'!AY14,IF(SETUP!$G$27=2,$E$545*'HIV-Other HPs'!AZ14,IF(SETUP!$G$27=1,$E$545*'HIV-Other HPs'!BA14,0)))),0)</f>
        <v>0</v>
      </c>
      <c r="L547" s="920">
        <f>IF(SETUP!$F$27="At delivery",IF(SETUP!$G$27=4,$E$545*'HIV-Other HPs'!AY14,IF(SETUP!$G$27=3,$E$545*'HIV-Other HPs'!AZ14,IF(SETUP!$G$27=2,$E$545*'HIV-Other HPs'!BA14,IF(SETUP!$G$27=1,$E$545*'HIV-Other HPs'!BB14,0)))),0)</f>
        <v>0</v>
      </c>
      <c r="M547" s="920">
        <f>IF(SETUP!$F$27="At delivery",IF(SETUP!$G$27=4,$E$545*'HIV-Other HPs'!AZ14,IF(SETUP!$G$27=3,$E$545*'HIV-Other HPs'!BA14,IF(SETUP!$G$27=2,$E$545*'HIV-Other HPs'!BB14,IF(SETUP!$G$27=1,$E$545*'HIV-Other HPs'!BC14,0)))),0)</f>
        <v>0</v>
      </c>
      <c r="N547" s="920">
        <f>IF(SETUP!$F$27="At delivery",IF(SETUP!$G$27=4,$E$545*'HIV-Other HPs'!BA14,IF(SETUP!$G$27=3,$E$545*'HIV-Other HPs'!BB14,IF(SETUP!$G$27=2,$E$545*'HIV-Other HPs'!BC14,IF(SETUP!$G$27=1,$E$545*'HIV-Other HPs'!BD14,0)))),0)</f>
        <v>0</v>
      </c>
      <c r="O547" s="920">
        <f t="shared" si="82"/>
        <v>0</v>
      </c>
      <c r="P547" s="1016">
        <f>IF(SETUP!$F$27="At delivery",IF(SETUP!$G$27=4,$E$545*'HIV-Other HPs'!BB14,IF(SETUP!$G$27=3,$E$545*'HIV-Other HPs'!BC14,IF(SETUP!$G$27=2,$E$545*'HIV-Other HPs'!BD14,IF(SETUP!$G$27=1,$E$545*'HIV-Other HPs'!BE14,0)))),0)</f>
        <v>0</v>
      </c>
      <c r="Q547" s="920">
        <f>IF(SETUP!$F$27="At delivery",IF(SETUP!$G$27=4,$E$545*'HIV-Other HPs'!BC14,IF(SETUP!$G$27=3,$E$545*'HIV-Other HPs'!BD14,IF(SETUP!$G$27=2,$E$545*'HIV-Other HPs'!BE14,IF(SETUP!$G$27=1,$E$545*'HIV-Other HPs'!BF14,0)))),0)</f>
        <v>0</v>
      </c>
      <c r="R547" s="920">
        <f>IF(SETUP!$F$27="At delivery",IF(SETUP!$G$27=4,$E$545*'HIV-Other HPs'!BD14,IF(SETUP!$G$27=3,$E$545*'HIV-Other HPs'!BE14,IF(SETUP!$G$27=2,$E$545*'HIV-Other HPs'!BF14,IF(SETUP!$G$27=1,$E$545*'HIV-Other HPs'!BG14,0)))),0)</f>
        <v>0</v>
      </c>
      <c r="S547" s="920">
        <f>IF(SETUP!$F$27="At delivery",IF(SETUP!$G$27=4,$E$545*('HIV-Other HPs'!BE14+'HIV-Other HPs'!BF14+'HIV-Other HPs'!BG14+'HIV-Other HPs'!BH14+'HIV-Other HPs'!BI14),IF(SETUP!$G$27=3,$E$545*('HIV-Other HPs'!BF14+'HIV-Other HPs'!BG14+'HIV-Other HPs'!BH14+'HIV-Other HPs'!BI14),IF(SETUP!$G$27=2,$E$545*('HIV-Other HPs'!BG14+'HIV-Other HPs'!BH14+'HIV-Other HPs'!BI14),IF(SETUP!$G$27=1,$E$545*('HIV-Other HPs'!BH14+'HIV-Other HPs'!BI14),0)))),0)</f>
        <v>0</v>
      </c>
      <c r="T547" s="920">
        <f t="shared" si="83"/>
        <v>0</v>
      </c>
      <c r="U547" s="1016">
        <f t="shared" si="84"/>
        <v>0</v>
      </c>
      <c r="V547" s="1344">
        <v>7.5</v>
      </c>
      <c r="W547" s="2011"/>
      <c r="X547" s="575"/>
      <c r="Y547" s="1350"/>
      <c r="Z547" s="655"/>
      <c r="AA547" s="686"/>
      <c r="AB547" s="686"/>
      <c r="AC547" s="686"/>
      <c r="AD547" s="686"/>
      <c r="AE547" s="686"/>
      <c r="AF547" s="686"/>
      <c r="AG547" s="686"/>
      <c r="AH547" s="687"/>
      <c r="AI547" s="686"/>
      <c r="AJ547" s="686"/>
      <c r="AK547" s="686"/>
      <c r="AL547" s="686"/>
      <c r="AM547" s="686"/>
      <c r="AN547" s="686"/>
      <c r="AO547" s="686"/>
      <c r="AP547" s="686"/>
      <c r="AQ547" s="686"/>
      <c r="AR547" s="686"/>
      <c r="AS547" s="686"/>
      <c r="AT547" s="686"/>
      <c r="AU547" s="686"/>
      <c r="AV547" s="686"/>
      <c r="AW547" s="686"/>
      <c r="AX547" s="686"/>
      <c r="AY547" s="686"/>
      <c r="AZ547" s="686"/>
      <c r="BA547" s="686"/>
      <c r="BB547" s="686"/>
      <c r="BC547" s="686"/>
      <c r="BD547" s="686"/>
      <c r="BE547" s="686"/>
      <c r="BF547" s="686"/>
      <c r="BG547" s="686"/>
      <c r="BH547" s="686"/>
      <c r="BI547" s="686"/>
      <c r="BJ547" s="686"/>
      <c r="BK547" s="686"/>
      <c r="BL547" s="686"/>
      <c r="BM547" s="686"/>
      <c r="BN547" s="686"/>
      <c r="BO547" s="686"/>
      <c r="BP547" s="686"/>
      <c r="BQ547" s="686"/>
      <c r="BR547" s="686"/>
      <c r="BS547" s="686"/>
      <c r="BT547" s="686"/>
    </row>
    <row r="548" spans="1:72" s="688" customFormat="1" ht="13.5" collapsed="1" thickBot="1">
      <c r="A548" s="3184"/>
      <c r="B548" s="3185"/>
      <c r="C548" s="3188" t="s">
        <v>217</v>
      </c>
      <c r="D548" s="3188"/>
      <c r="E548" s="1245">
        <v>0</v>
      </c>
      <c r="F548" s="1016">
        <f>IF(SETUP!$F$28="Upfront",F549,F550)</f>
        <v>0</v>
      </c>
      <c r="G548" s="920">
        <f>IF(SETUP!$F$28="Upfront",G549,G550)</f>
        <v>0</v>
      </c>
      <c r="H548" s="920">
        <f>IF(SETUP!$F$28="Upfront",H549,H550)</f>
        <v>0</v>
      </c>
      <c r="I548" s="920">
        <f>IF(SETUP!$F$28="Upfront",I549,I550)</f>
        <v>0</v>
      </c>
      <c r="J548" s="920">
        <f t="shared" si="81"/>
        <v>0</v>
      </c>
      <c r="K548" s="1016">
        <f>IF(SETUP!$F$28="Upfront",K549,K550)</f>
        <v>0</v>
      </c>
      <c r="L548" s="920">
        <f>IF(SETUP!$F$28="Upfront",L549,L550)</f>
        <v>0</v>
      </c>
      <c r="M548" s="920">
        <f>IF(SETUP!$F$28="Upfront",M549,M550)</f>
        <v>0</v>
      </c>
      <c r="N548" s="920">
        <f>IF(SETUP!$F$28="Upfront",N549,N550)</f>
        <v>0</v>
      </c>
      <c r="O548" s="920">
        <f t="shared" si="82"/>
        <v>0</v>
      </c>
      <c r="P548" s="1016">
        <f>IF(SETUP!$F$28="Upfront",P549,P550)</f>
        <v>0</v>
      </c>
      <c r="Q548" s="920">
        <f>IF(SETUP!$F$28="Upfront",Q549,Q550)</f>
        <v>0</v>
      </c>
      <c r="R548" s="920">
        <f>IF(SETUP!$F$28="Upfront",R549,R550)</f>
        <v>0</v>
      </c>
      <c r="S548" s="920">
        <f>IF(SETUP!$F$28="Upfront",S549,S550)</f>
        <v>0</v>
      </c>
      <c r="T548" s="920">
        <f t="shared" si="83"/>
        <v>0</v>
      </c>
      <c r="U548" s="1016">
        <f t="shared" si="84"/>
        <v>0</v>
      </c>
      <c r="V548" s="1344">
        <v>7.5</v>
      </c>
      <c r="W548" s="2011"/>
      <c r="X548" s="575"/>
      <c r="Y548" s="1350"/>
      <c r="Z548" s="655"/>
      <c r="AA548" s="686"/>
      <c r="AB548" s="686"/>
      <c r="AC548" s="686"/>
      <c r="AD548" s="686"/>
      <c r="AE548" s="686"/>
      <c r="AF548" s="686"/>
      <c r="AG548" s="686"/>
      <c r="AH548" s="687"/>
      <c r="AI548" s="686"/>
      <c r="AJ548" s="686"/>
      <c r="AK548" s="686"/>
      <c r="AL548" s="686"/>
      <c r="AM548" s="686"/>
      <c r="AN548" s="686"/>
      <c r="AO548" s="686"/>
      <c r="AP548" s="686"/>
      <c r="AQ548" s="686"/>
      <c r="AR548" s="686"/>
      <c r="AS548" s="686"/>
      <c r="AT548" s="686"/>
      <c r="AU548" s="686"/>
      <c r="AV548" s="686"/>
      <c r="AW548" s="686"/>
      <c r="AX548" s="686"/>
      <c r="AY548" s="686"/>
      <c r="AZ548" s="686"/>
      <c r="BA548" s="686"/>
      <c r="BB548" s="686"/>
      <c r="BC548" s="686"/>
      <c r="BD548" s="686"/>
      <c r="BE548" s="686"/>
      <c r="BF548" s="686"/>
      <c r="BG548" s="686"/>
      <c r="BH548" s="686"/>
      <c r="BI548" s="686"/>
      <c r="BJ548" s="686"/>
      <c r="BK548" s="686"/>
      <c r="BL548" s="686"/>
      <c r="BM548" s="686"/>
      <c r="BN548" s="686"/>
      <c r="BO548" s="686"/>
      <c r="BP548" s="686"/>
      <c r="BQ548" s="686"/>
      <c r="BR548" s="686"/>
      <c r="BS548" s="686"/>
      <c r="BT548" s="686"/>
    </row>
    <row r="549" spans="1:72" s="688" customFormat="1" ht="16.149999999999999" hidden="1" customHeight="1" outlineLevel="1">
      <c r="A549" s="3184"/>
      <c r="B549" s="3185"/>
      <c r="C549" s="3182" t="s">
        <v>777</v>
      </c>
      <c r="D549" s="3182"/>
      <c r="E549" s="1246"/>
      <c r="F549" s="1016">
        <f>IF(SETUP!$F$28="Upfront",$E$548*'HIV-Other HPs'!AX15,0)</f>
        <v>0</v>
      </c>
      <c r="G549" s="920">
        <f>IF(SETUP!$F$28="Upfront",$E$548*'HIV-Other HPs'!AY15,0)</f>
        <v>0</v>
      </c>
      <c r="H549" s="920">
        <f>IF(SETUP!$F$28="Upfront",$E$548*'HIV-Other HPs'!AZ15,0)</f>
        <v>0</v>
      </c>
      <c r="I549" s="920">
        <f>IF(SETUP!$F$28="Upfront",$E$548*'HIV-Other HPs'!BA15,0)</f>
        <v>0</v>
      </c>
      <c r="J549" s="920">
        <f t="shared" si="81"/>
        <v>0</v>
      </c>
      <c r="K549" s="1016">
        <f>IF(SETUP!$F$28="Upfront",$E$548*'HIV-Other HPs'!BB15,0)</f>
        <v>0</v>
      </c>
      <c r="L549" s="920">
        <f>IF(SETUP!$F$28="Upfront",$E$548*'HIV-Other HPs'!BC15,0)</f>
        <v>0</v>
      </c>
      <c r="M549" s="920">
        <f>IF(SETUP!$F$28="Upfront",$E$548*'HIV-Other HPs'!BD15,0)</f>
        <v>0</v>
      </c>
      <c r="N549" s="920">
        <f>IF(SETUP!$F$28="Upfront",$E$548*'HIV-Other HPs'!BE15,0)</f>
        <v>0</v>
      </c>
      <c r="O549" s="920">
        <f t="shared" si="82"/>
        <v>0</v>
      </c>
      <c r="P549" s="1016">
        <f>IF(SETUP!$F$28="Upfront",$E$548*'HIV-Other HPs'!BF15,0)</f>
        <v>0</v>
      </c>
      <c r="Q549" s="920">
        <f>IF(SETUP!$F$28="Upfront",$E$548*'HIV-Other HPs'!BG15,0)</f>
        <v>0</v>
      </c>
      <c r="R549" s="920">
        <f>IF(SETUP!$F$28="Upfront",$E$548*'HIV-Other HPs'!BH15,0)</f>
        <v>0</v>
      </c>
      <c r="S549" s="920">
        <f>IF(SETUP!$F$28="Upfront",$E$548*'HIV-Other HPs'!BI15,0)</f>
        <v>0</v>
      </c>
      <c r="T549" s="920">
        <f t="shared" si="83"/>
        <v>0</v>
      </c>
      <c r="U549" s="1016">
        <f t="shared" si="84"/>
        <v>0</v>
      </c>
      <c r="V549" s="1344">
        <v>7.5</v>
      </c>
      <c r="W549" s="2011"/>
      <c r="X549" s="575"/>
      <c r="Y549" s="1350"/>
      <c r="Z549" s="655"/>
      <c r="AA549" s="686"/>
      <c r="AB549" s="686"/>
      <c r="AC549" s="686"/>
      <c r="AD549" s="686"/>
      <c r="AE549" s="686"/>
      <c r="AF549" s="686"/>
      <c r="AG549" s="686"/>
      <c r="AH549" s="687"/>
      <c r="AI549" s="686"/>
      <c r="AJ549" s="686"/>
      <c r="AK549" s="686"/>
      <c r="AL549" s="686"/>
      <c r="AM549" s="686"/>
      <c r="AN549" s="686"/>
      <c r="AO549" s="686"/>
      <c r="AP549" s="686"/>
      <c r="AQ549" s="686"/>
      <c r="AR549" s="686"/>
      <c r="AS549" s="686"/>
      <c r="AT549" s="686"/>
      <c r="AU549" s="686"/>
      <c r="AV549" s="686"/>
      <c r="AW549" s="686"/>
      <c r="AX549" s="686"/>
      <c r="AY549" s="686"/>
      <c r="AZ549" s="686"/>
      <c r="BA549" s="686"/>
      <c r="BB549" s="686"/>
      <c r="BC549" s="686"/>
      <c r="BD549" s="686"/>
      <c r="BE549" s="686"/>
      <c r="BF549" s="686"/>
      <c r="BG549" s="686"/>
      <c r="BH549" s="686"/>
      <c r="BI549" s="686"/>
      <c r="BJ549" s="686"/>
      <c r="BK549" s="686"/>
      <c r="BL549" s="686"/>
      <c r="BM549" s="686"/>
      <c r="BN549" s="686"/>
      <c r="BO549" s="686"/>
      <c r="BP549" s="686"/>
      <c r="BQ549" s="686"/>
      <c r="BR549" s="686"/>
      <c r="BS549" s="686"/>
      <c r="BT549" s="686"/>
    </row>
    <row r="550" spans="1:72" s="688" customFormat="1" ht="16.149999999999999" hidden="1" customHeight="1" outlineLevel="1">
      <c r="A550" s="3184"/>
      <c r="B550" s="3185"/>
      <c r="C550" s="3182" t="s">
        <v>36</v>
      </c>
      <c r="D550" s="3182"/>
      <c r="E550" s="1246"/>
      <c r="F550" s="1016">
        <v>0</v>
      </c>
      <c r="G550" s="920">
        <f>IF(SETUP!$F$28="At delivery",IF(SETUP!$G$28=1,$E$548*'HIV-Other HPs'!AX15,0),0)</f>
        <v>0</v>
      </c>
      <c r="H550" s="920">
        <f>IF(SETUP!$F$28="At delivery",IF(SETUP!$G$28=2,$E$548*'HIV-Other HPs'!AX15,IF(SETUP!$G$28=1,$E$548*'HIV-Other HPs'!AY15,0)),0)</f>
        <v>0</v>
      </c>
      <c r="I550" s="920">
        <f>IF(SETUP!$F$28="At delivery",IF(SETUP!$G$28=3,$E$548*'HIV-Other HPs'!AX15,IF(SETUP!$G$28=2,$E$548*'HIV-Other HPs'!AY15,IF(SETUP!$G$28=1,$E$548*'HIV-Other HPs'!AZ15,0))),0)</f>
        <v>0</v>
      </c>
      <c r="J550" s="920">
        <f t="shared" si="81"/>
        <v>0</v>
      </c>
      <c r="K550" s="1016">
        <f>IF(SETUP!$F$28="At delivery",IF(SETUP!$G$28=4,$E$548*'HIV-Other HPs'!AX15,IF(SETUP!$G$28=3,$E$548*'HIV-Other HPs'!AY15,IF(SETUP!$G$28=2,$E$548*'HIV-Other HPs'!AZ15,IF(SETUP!$G$28=1,$E$548*'HIV-Other HPs'!BA15,0)))),0)</f>
        <v>0</v>
      </c>
      <c r="L550" s="920">
        <f>IF(SETUP!$F$28="At delivery",IF(SETUP!$G$28=4,$E$548*'HIV-Other HPs'!AY15,IF(SETUP!$G$28=3,$E$548*'HIV-Other HPs'!AZ15,IF(SETUP!$G$28=2,$E$548*'HIV-Other HPs'!BA15,IF(SETUP!$G$28=1,$E$548*'HIV-Other HPs'!BB15,0)))),0)</f>
        <v>0</v>
      </c>
      <c r="M550" s="920">
        <f>IF(SETUP!$F$28="At delivery",IF(SETUP!$G$28=4,$E$548*'HIV-Other HPs'!AZ15,IF(SETUP!$G$28=3,$E$548*'HIV-Other HPs'!BA15,IF(SETUP!$G$28=2,$E$548*'HIV-Other HPs'!BB15,IF(SETUP!$G$28=1,$E$548*'HIV-Other HPs'!BC15,0)))),0)</f>
        <v>0</v>
      </c>
      <c r="N550" s="920">
        <f>IF(SETUP!$F$28="At delivery",IF(SETUP!$G$28=4,$E$548*'HIV-Other HPs'!BA15,IF(SETUP!$G$28=3,$E$548*'HIV-Other HPs'!BB15,IF(SETUP!$G$28=2,$E$548*'HIV-Other HPs'!BC15,IF(SETUP!$G$28=1,$E$548*'HIV-Other HPs'!BD15,0)))),0)</f>
        <v>0</v>
      </c>
      <c r="O550" s="920">
        <f t="shared" si="82"/>
        <v>0</v>
      </c>
      <c r="P550" s="1016">
        <f>IF(SETUP!$F$28="At delivery",IF(SETUP!$G$28=4,$E$548*'HIV-Other HPs'!BB15,IF(SETUP!$G$28=3,$E$548*'HIV-Other HPs'!BC15,IF(SETUP!$G$28=2,$E$548*'HIV-Other HPs'!BD15,IF(SETUP!$G$28=1,$E$548*'HIV-Other HPs'!BE15,0)))),0)</f>
        <v>0</v>
      </c>
      <c r="Q550" s="920">
        <f>IF(SETUP!$F$28="At delivery",IF(SETUP!$G$28=4,$E$548*'HIV-Other HPs'!BC15,IF(SETUP!$G$28=3,$E$548*'HIV-Other HPs'!BD15,IF(SETUP!$G$28=2,$E$548*'HIV-Other HPs'!BE15,IF(SETUP!$G$28=1,$E$548*'HIV-Other HPs'!BF15,0)))),0)</f>
        <v>0</v>
      </c>
      <c r="R550" s="920">
        <f>IF(SETUP!$F$28="At delivery",IF(SETUP!$G$28=4,$E$548*'HIV-Other HPs'!BD15,IF(SETUP!$G$28=3,$E$548*'HIV-Other HPs'!BE15,IF(SETUP!$G$28=2,$E$548*'HIV-Other HPs'!BF15,IF(SETUP!$G$28=1,$E$548*'HIV-Other HPs'!BG15,0)))),0)</f>
        <v>0</v>
      </c>
      <c r="S550" s="920">
        <f>IF(SETUP!$F$28="At delivery",IF(SETUP!$G$28=4,$E$548*('HIV-Other HPs'!BE15+'HIV-Other HPs'!BF15+'HIV-Other HPs'!BG15+'HIV-Other HPs'!BH15+'HIV-Other HPs'!BI15),IF(SETUP!$G$28=3,$E$548*('HIV-Other HPs'!BF15+'HIV-Other HPs'!BG15+'HIV-Other HPs'!BH15+'HIV-Other HPs'!BI15),IF(SETUP!$G$28=2,$E$548*('HIV-Other HPs'!BG15+'HIV-Other HPs'!BH15+'HIV-Other HPs'!BI15),IF(SETUP!$G$28=1,$E$548*('HIV-Other HPs'!BH15+'HIV-Other HPs'!BI15),0)))),0)</f>
        <v>0</v>
      </c>
      <c r="T550" s="920">
        <f t="shared" si="83"/>
        <v>0</v>
      </c>
      <c r="U550" s="1016">
        <f t="shared" si="84"/>
        <v>0</v>
      </c>
      <c r="V550" s="1344">
        <v>7.5</v>
      </c>
      <c r="W550" s="2011"/>
      <c r="X550" s="575"/>
      <c r="Y550" s="1350"/>
      <c r="Z550" s="655"/>
      <c r="AA550" s="686"/>
      <c r="AB550" s="686"/>
      <c r="AC550" s="686"/>
      <c r="AD550" s="686"/>
      <c r="AE550" s="686"/>
      <c r="AF550" s="686"/>
      <c r="AG550" s="686"/>
      <c r="AH550" s="687"/>
      <c r="AI550" s="686"/>
      <c r="AJ550" s="686"/>
      <c r="AK550" s="686"/>
      <c r="AL550" s="686"/>
      <c r="AM550" s="686"/>
      <c r="AN550" s="686"/>
      <c r="AO550" s="686"/>
      <c r="AP550" s="686"/>
      <c r="AQ550" s="686"/>
      <c r="AR550" s="686"/>
      <c r="AS550" s="686"/>
      <c r="AT550" s="686"/>
      <c r="AU550" s="686"/>
      <c r="AV550" s="686"/>
      <c r="AW550" s="686"/>
      <c r="AX550" s="686"/>
      <c r="AY550" s="686"/>
      <c r="AZ550" s="686"/>
      <c r="BA550" s="686"/>
      <c r="BB550" s="686"/>
      <c r="BC550" s="686"/>
      <c r="BD550" s="686"/>
      <c r="BE550" s="686"/>
      <c r="BF550" s="686"/>
      <c r="BG550" s="686"/>
      <c r="BH550" s="686"/>
      <c r="BI550" s="686"/>
      <c r="BJ550" s="686"/>
      <c r="BK550" s="686"/>
      <c r="BL550" s="686"/>
      <c r="BM550" s="686"/>
      <c r="BN550" s="686"/>
      <c r="BO550" s="686"/>
      <c r="BP550" s="686"/>
      <c r="BQ550" s="686"/>
      <c r="BR550" s="686"/>
      <c r="BS550" s="686"/>
      <c r="BT550" s="686"/>
    </row>
    <row r="551" spans="1:72" s="688" customFormat="1" ht="13.5" collapsed="1" thickBot="1">
      <c r="A551" s="3184"/>
      <c r="B551" s="3185"/>
      <c r="C551" s="3188" t="s">
        <v>441</v>
      </c>
      <c r="D551" s="3188"/>
      <c r="E551" s="1245">
        <v>0</v>
      </c>
      <c r="F551" s="1016">
        <f>IF(SETUP!$F$29="Upfront",F552,F553)</f>
        <v>0</v>
      </c>
      <c r="G551" s="920">
        <f>IF(SETUP!$F$29="Upfront",G552,G553)</f>
        <v>0</v>
      </c>
      <c r="H551" s="920">
        <f>IF(SETUP!$F$29="Upfront",H552,H553)</f>
        <v>0</v>
      </c>
      <c r="I551" s="920">
        <f>IF(SETUP!$F$29="Upfront",I552,I553)</f>
        <v>0</v>
      </c>
      <c r="J551" s="920">
        <f t="shared" si="81"/>
        <v>0</v>
      </c>
      <c r="K551" s="1016">
        <f>IF(SETUP!$F$29="Upfront",K552,K553)</f>
        <v>0</v>
      </c>
      <c r="L551" s="920">
        <f>IF(SETUP!$F$29="Upfront",L552,L553)</f>
        <v>0</v>
      </c>
      <c r="M551" s="920">
        <f>IF(SETUP!$F$29="Upfront",M552,M553)</f>
        <v>0</v>
      </c>
      <c r="N551" s="920">
        <f>IF(SETUP!$F$29="Upfront",N552,N553)</f>
        <v>0</v>
      </c>
      <c r="O551" s="920">
        <f t="shared" si="82"/>
        <v>0</v>
      </c>
      <c r="P551" s="1016">
        <f>IF(SETUP!$F$29="Upfront",P552,P553)</f>
        <v>0</v>
      </c>
      <c r="Q551" s="920">
        <f>IF(SETUP!$F$29="Upfront",Q552,Q553)</f>
        <v>0</v>
      </c>
      <c r="R551" s="920">
        <f>IF(SETUP!$F$29="Upfront",R552,R553)</f>
        <v>0</v>
      </c>
      <c r="S551" s="920">
        <f>IF(SETUP!$F$29="Upfront",S552,S553)</f>
        <v>0</v>
      </c>
      <c r="T551" s="920">
        <f t="shared" si="83"/>
        <v>0</v>
      </c>
      <c r="U551" s="1016">
        <f t="shared" si="84"/>
        <v>0</v>
      </c>
      <c r="V551" s="1344">
        <v>7.5</v>
      </c>
      <c r="W551" s="2011"/>
      <c r="X551" s="575"/>
      <c r="Y551" s="1350"/>
      <c r="Z551" s="655"/>
      <c r="AA551" s="686"/>
      <c r="AB551" s="686"/>
      <c r="AC551" s="686"/>
      <c r="AD551" s="686"/>
      <c r="AE551" s="686"/>
      <c r="AF551" s="686"/>
      <c r="AG551" s="686"/>
      <c r="AH551" s="687"/>
      <c r="AI551" s="686"/>
      <c r="AJ551" s="686"/>
      <c r="AK551" s="686"/>
      <c r="AL551" s="686"/>
      <c r="AM551" s="686"/>
      <c r="AN551" s="686"/>
      <c r="AO551" s="686"/>
      <c r="AP551" s="686"/>
      <c r="AQ551" s="686"/>
      <c r="AR551" s="686"/>
      <c r="AS551" s="686"/>
      <c r="AT551" s="686"/>
      <c r="AU551" s="686"/>
      <c r="AV551" s="686"/>
      <c r="AW551" s="686"/>
      <c r="AX551" s="686"/>
      <c r="AY551" s="686"/>
      <c r="AZ551" s="686"/>
      <c r="BA551" s="686"/>
      <c r="BB551" s="686"/>
      <c r="BC551" s="686"/>
      <c r="BD551" s="686"/>
      <c r="BE551" s="686"/>
      <c r="BF551" s="686"/>
      <c r="BG551" s="686"/>
      <c r="BH551" s="686"/>
      <c r="BI551" s="686"/>
      <c r="BJ551" s="686"/>
      <c r="BK551" s="686"/>
      <c r="BL551" s="686"/>
      <c r="BM551" s="686"/>
      <c r="BN551" s="686"/>
      <c r="BO551" s="686"/>
      <c r="BP551" s="686"/>
      <c r="BQ551" s="686"/>
      <c r="BR551" s="686"/>
      <c r="BS551" s="686"/>
      <c r="BT551" s="686"/>
    </row>
    <row r="552" spans="1:72" s="688" customFormat="1" ht="16.149999999999999" hidden="1" customHeight="1" outlineLevel="1">
      <c r="A552" s="3184"/>
      <c r="B552" s="3185"/>
      <c r="C552" s="3182" t="s">
        <v>777</v>
      </c>
      <c r="D552" s="3182"/>
      <c r="E552" s="1246"/>
      <c r="F552" s="1016">
        <f>IF(SETUP!$F$29="Upfront",$E$551*'HIV-Other HPs'!AX16,0)</f>
        <v>0</v>
      </c>
      <c r="G552" s="920">
        <f>IF(SETUP!$F$29="Upfront",$E$551*'HIV-Other HPs'!AY16,0)</f>
        <v>0</v>
      </c>
      <c r="H552" s="920">
        <f>IF(SETUP!$F$29="Upfront",$E$551*'HIV-Other HPs'!AZ16,0)</f>
        <v>0</v>
      </c>
      <c r="I552" s="920">
        <f>IF(SETUP!$F$29="Upfront",$E$551*'HIV-Other HPs'!BA16,0)</f>
        <v>0</v>
      </c>
      <c r="J552" s="920">
        <f t="shared" si="81"/>
        <v>0</v>
      </c>
      <c r="K552" s="1016">
        <f>IF(SETUP!$F$29="Upfront",$E$551*'HIV-Other HPs'!BB16,0)</f>
        <v>0</v>
      </c>
      <c r="L552" s="920">
        <f>IF(SETUP!$F$29="Upfront",$E$551*'HIV-Other HPs'!BC16,0)</f>
        <v>0</v>
      </c>
      <c r="M552" s="920">
        <f>IF(SETUP!$F$29="Upfront",$E$551*'HIV-Other HPs'!BD16,0)</f>
        <v>0</v>
      </c>
      <c r="N552" s="920">
        <f>IF(SETUP!$F$29="Upfront",$E$551*'HIV-Other HPs'!BE16,0)</f>
        <v>0</v>
      </c>
      <c r="O552" s="920">
        <f t="shared" si="82"/>
        <v>0</v>
      </c>
      <c r="P552" s="1016">
        <f>IF(SETUP!$F$29="Upfront",$E$551*'HIV-Other HPs'!BF16,0)</f>
        <v>0</v>
      </c>
      <c r="Q552" s="920">
        <f>IF(SETUP!$F$29="Upfront",$E$551*'HIV-Other HPs'!BG16,0)</f>
        <v>0</v>
      </c>
      <c r="R552" s="920">
        <f>IF(SETUP!$F$29="Upfront",$E$551*'HIV-Other HPs'!BH16,0)</f>
        <v>0</v>
      </c>
      <c r="S552" s="920">
        <f>IF(SETUP!$F$29="Upfront",$E$551*'HIV-Other HPs'!BI16,0)</f>
        <v>0</v>
      </c>
      <c r="T552" s="920">
        <f t="shared" ref="T552:T560" si="85">P552+Q552+R552+S552</f>
        <v>0</v>
      </c>
      <c r="U552" s="1016">
        <f t="shared" ref="U552:U560" si="86">J552+O552+T552</f>
        <v>0</v>
      </c>
      <c r="V552" s="1344">
        <v>7.5</v>
      </c>
      <c r="W552" s="2011"/>
      <c r="X552" s="575"/>
      <c r="Y552" s="1350"/>
      <c r="Z552" s="655"/>
      <c r="AA552" s="686"/>
      <c r="AB552" s="686"/>
      <c r="AC552" s="686"/>
      <c r="AD552" s="686"/>
      <c r="AE552" s="686"/>
      <c r="AF552" s="686"/>
      <c r="AG552" s="686"/>
      <c r="AH552" s="687"/>
      <c r="AI552" s="686"/>
      <c r="AJ552" s="686"/>
      <c r="AK552" s="686"/>
      <c r="AL552" s="686"/>
      <c r="AM552" s="686"/>
      <c r="AN552" s="686"/>
      <c r="AO552" s="686"/>
      <c r="AP552" s="686"/>
      <c r="AQ552" s="686"/>
      <c r="AR552" s="686"/>
      <c r="AS552" s="686"/>
      <c r="AT552" s="686"/>
      <c r="AU552" s="686"/>
      <c r="AV552" s="686"/>
      <c r="AW552" s="686"/>
      <c r="AX552" s="686"/>
      <c r="AY552" s="686"/>
      <c r="AZ552" s="686"/>
      <c r="BA552" s="686"/>
      <c r="BB552" s="686"/>
      <c r="BC552" s="686"/>
      <c r="BD552" s="686"/>
      <c r="BE552" s="686"/>
      <c r="BF552" s="686"/>
      <c r="BG552" s="686"/>
      <c r="BH552" s="686"/>
      <c r="BI552" s="686"/>
      <c r="BJ552" s="686"/>
      <c r="BK552" s="686"/>
      <c r="BL552" s="686"/>
      <c r="BM552" s="686"/>
      <c r="BN552" s="686"/>
      <c r="BO552" s="686"/>
      <c r="BP552" s="686"/>
      <c r="BQ552" s="686"/>
      <c r="BR552" s="686"/>
      <c r="BS552" s="686"/>
      <c r="BT552" s="686"/>
    </row>
    <row r="553" spans="1:72" s="688" customFormat="1" ht="16.149999999999999" hidden="1" customHeight="1" outlineLevel="1">
      <c r="A553" s="3184"/>
      <c r="B553" s="3185"/>
      <c r="C553" s="3182" t="s">
        <v>36</v>
      </c>
      <c r="D553" s="3182"/>
      <c r="E553" s="1991"/>
      <c r="F553" s="1016">
        <v>0</v>
      </c>
      <c r="G553" s="920">
        <f>IF(SETUP!$F$29="At delivery",IF(SETUP!$G$29=1,$E$551*'HIV-Other HPs'!AX16,0),0)</f>
        <v>0</v>
      </c>
      <c r="H553" s="920">
        <f>IF(SETUP!$F$29="At delivery",IF(SETUP!$G$29=2,$E$551*'HIV-Other HPs'!AX16,IF(SETUP!$G$29=1,$E$551*'HIV-Other HPs'!AY16,0)),0)</f>
        <v>0</v>
      </c>
      <c r="I553" s="920">
        <f>IF(SETUP!$F$29="At delivery",IF(SETUP!$G$29=3,$E$551*'HIV-Other HPs'!AX16,IF(SETUP!$G$29=2,$E$551*'HIV-Other HPs'!AY16,IF(SETUP!$G$29=1,$E$551*'HIV-Other HPs'!AZ16,0))),0)</f>
        <v>0</v>
      </c>
      <c r="J553" s="920">
        <f t="shared" si="81"/>
        <v>0</v>
      </c>
      <c r="K553" s="1016">
        <f>IF(SETUP!$F$29="At delivery",IF(SETUP!$G$29=4,$E$551*'HIV-Other HPs'!AX16,IF(SETUP!$G$29=3,$E$551*'HIV-Other HPs'!AY16,IF(SETUP!$G$29=2,$E$551*'HIV-Other HPs'!AZ16,IF(SETUP!$G$29=1,$E$551*'HIV-Other HPs'!BA16,0)))),0)</f>
        <v>0</v>
      </c>
      <c r="L553" s="920">
        <f>IF(SETUP!$F$29="At delivery",IF(SETUP!$G$29=4,$E$551*'HIV-Other HPs'!AY16,IF(SETUP!$G$29=3,$E$551*'HIV-Other HPs'!AZ16,IF(SETUP!$G$29=2,$E$551*'HIV-Other HPs'!BA16,IF(SETUP!$G$29=1,$E$551*'HIV-Other HPs'!BB16,0)))),0)</f>
        <v>0</v>
      </c>
      <c r="M553" s="920">
        <f>IF(SETUP!$F$29="At delivery",IF(SETUP!$G$29=4,$E$551*'HIV-Other HPs'!AZ16,IF(SETUP!$G$29=3,$E$551*'HIV-Other HPs'!BA16,IF(SETUP!$G$29=2,$E$551*'HIV-Other HPs'!BB16,IF(SETUP!$G$29=1,$E$551*'HIV-Other HPs'!BC16,0)))),0)</f>
        <v>0</v>
      </c>
      <c r="N553" s="920">
        <f>IF(SETUP!$F$29="At delivery",IF(SETUP!$G$29=4,$E$551*'HIV-Other HPs'!BA16,IF(SETUP!$G$29=3,$E$551*'HIV-Other HPs'!BB16,IF(SETUP!$G$29=2,$E$551*'HIV-Other HPs'!BC16,IF(SETUP!$G$29=1,$E$551*'HIV-Other HPs'!BD16,0)))),0)</f>
        <v>0</v>
      </c>
      <c r="O553" s="920">
        <f t="shared" si="82"/>
        <v>0</v>
      </c>
      <c r="P553" s="1016">
        <f>IF(SETUP!$F$29="At delivery",IF(SETUP!$G$29=4,$E$551*'HIV-Other HPs'!BB16,IF(SETUP!$G$29=3,$E$551*'HIV-Other HPs'!BC16,IF(SETUP!$G$29=2,$E$551*'HIV-Other HPs'!BD16,IF(SETUP!$G$29=1,$E$551*'HIV-Other HPs'!BE16,0)))),0)</f>
        <v>0</v>
      </c>
      <c r="Q553" s="920">
        <f>IF(SETUP!$F$29="At delivery",IF(SETUP!$G$29=4,$E$551*'HIV-Other HPs'!BC16,IF(SETUP!$G$29=3,$E$551*'HIV-Other HPs'!BD16,IF(SETUP!$G$29=2,$E$551*'HIV-Other HPs'!BE16,IF(SETUP!$G$29=1,$E$551*'HIV-Other HPs'!BF16,0)))),0)</f>
        <v>0</v>
      </c>
      <c r="R553" s="920">
        <f>IF(SETUP!$F$29="At delivery",IF(SETUP!$G$29=4,$E$551*'HIV-Other HPs'!BD16,IF(SETUP!$G$29=3,$E$551*'HIV-Other HPs'!BE16,IF(SETUP!$G$29=2,$E$551*'HIV-Other HPs'!BF16,IF(SETUP!$G$29=1,$E$551*'HIV-Other HPs'!BG16,0)))),0)</f>
        <v>0</v>
      </c>
      <c r="S553" s="920">
        <f>IF(SETUP!$F$29="At delivery",IF(SETUP!$G$29=4,$E$551*('HIV-Other HPs'!BE16+'HIV-Other HPs'!BF16+'HIV-Other HPs'!BG16+'HIV-Other HPs'!BH16+'HIV-Other HPs'!BI16),IF(SETUP!$G$29=3,$E$551*('HIV-Other HPs'!BF16+'HIV-Other HPs'!BG16+'HIV-Other HPs'!BH16+'HIV-Other HPs'!BI16),IF(SETUP!$G$29=2,$E$551*('HIV-Other HPs'!BG16+'HIV-Other HPs'!BH16+'HIV-Other HPs'!BI16),IF(SETUP!$G$29=1,$E$551*('HIV-Other HPs'!BH16+'HIV-Other HPs'!BI16),0)))),0)</f>
        <v>0</v>
      </c>
      <c r="T553" s="920">
        <f t="shared" si="85"/>
        <v>0</v>
      </c>
      <c r="U553" s="1016">
        <f t="shared" si="86"/>
        <v>0</v>
      </c>
      <c r="V553" s="1344">
        <v>7.5</v>
      </c>
      <c r="W553" s="2011"/>
      <c r="X553" s="575"/>
      <c r="Y553" s="1350"/>
      <c r="Z553" s="655"/>
      <c r="AA553" s="686"/>
      <c r="AB553" s="686"/>
      <c r="AC553" s="686"/>
      <c r="AD553" s="686"/>
      <c r="AE553" s="686"/>
      <c r="AF553" s="686"/>
      <c r="AG553" s="686"/>
      <c r="AH553" s="687"/>
      <c r="AI553" s="686"/>
      <c r="AJ553" s="686"/>
      <c r="AK553" s="686"/>
      <c r="AL553" s="686"/>
      <c r="AM553" s="686"/>
      <c r="AN553" s="686"/>
      <c r="AO553" s="686"/>
      <c r="AP553" s="686"/>
      <c r="AQ553" s="686"/>
      <c r="AR553" s="686"/>
      <c r="AS553" s="686"/>
      <c r="AT553" s="686"/>
      <c r="AU553" s="686"/>
      <c r="AV553" s="686"/>
      <c r="AW553" s="686"/>
      <c r="AX553" s="686"/>
      <c r="AY553" s="686"/>
      <c r="AZ553" s="686"/>
      <c r="BA553" s="686"/>
      <c r="BB553" s="686"/>
      <c r="BC553" s="686"/>
      <c r="BD553" s="686"/>
      <c r="BE553" s="686"/>
      <c r="BF553" s="686"/>
      <c r="BG553" s="686"/>
      <c r="BH553" s="686"/>
      <c r="BI553" s="686"/>
      <c r="BJ553" s="686"/>
      <c r="BK553" s="686"/>
      <c r="BL553" s="686"/>
      <c r="BM553" s="686"/>
      <c r="BN553" s="686"/>
      <c r="BO553" s="686"/>
      <c r="BP553" s="686"/>
      <c r="BQ553" s="686"/>
      <c r="BR553" s="686"/>
      <c r="BS553" s="686"/>
      <c r="BT553" s="686"/>
    </row>
    <row r="554" spans="1:72" s="688" customFormat="1" ht="13.5" collapsed="1" thickBot="1">
      <c r="A554" s="3184"/>
      <c r="B554" s="3185"/>
      <c r="C554" s="3188" t="s">
        <v>1452</v>
      </c>
      <c r="D554" s="3188"/>
      <c r="E554" s="1245">
        <v>0</v>
      </c>
      <c r="F554" s="1016">
        <f>IF(SETUP!$F$30="Upfront",F555,F556)</f>
        <v>0</v>
      </c>
      <c r="G554" s="920">
        <f>IF(SETUP!$F$30="Upfront",G555,G556)</f>
        <v>0</v>
      </c>
      <c r="H554" s="920">
        <f>IF(SETUP!$F$30="Upfront",H555,H556)</f>
        <v>0</v>
      </c>
      <c r="I554" s="920">
        <f>IF(SETUP!$F$30="Upfront",I555,I556)</f>
        <v>0</v>
      </c>
      <c r="J554" s="920">
        <f t="shared" si="81"/>
        <v>0</v>
      </c>
      <c r="K554" s="1016">
        <f>IF(SETUP!$F$30="Upfront",K555,K556)</f>
        <v>0</v>
      </c>
      <c r="L554" s="920">
        <f>IF(SETUP!$F$30="Upfront",L555,L556)</f>
        <v>0</v>
      </c>
      <c r="M554" s="920">
        <f>IF(SETUP!$F$30="Upfront",M555,M556)</f>
        <v>0</v>
      </c>
      <c r="N554" s="920">
        <f>IF(SETUP!$F$30="Upfront",N555,N556)</f>
        <v>0</v>
      </c>
      <c r="O554" s="920">
        <f t="shared" si="82"/>
        <v>0</v>
      </c>
      <c r="P554" s="1016">
        <f>IF(SETUP!$F$30="Upfront",P555,P556)</f>
        <v>0</v>
      </c>
      <c r="Q554" s="920">
        <f>IF(SETUP!$F$30="Upfront",Q555,Q556)</f>
        <v>0</v>
      </c>
      <c r="R554" s="920">
        <f>IF(SETUP!$F$30="Upfront",R555,R556)</f>
        <v>0</v>
      </c>
      <c r="S554" s="920">
        <f>IF(SETUP!$F$30="Upfront",S555,S556)</f>
        <v>0</v>
      </c>
      <c r="T554" s="920">
        <f t="shared" si="85"/>
        <v>0</v>
      </c>
      <c r="U554" s="1016">
        <f t="shared" si="86"/>
        <v>0</v>
      </c>
      <c r="V554" s="1344">
        <v>7.5</v>
      </c>
      <c r="W554" s="2011"/>
      <c r="X554" s="575"/>
      <c r="Y554" s="1350"/>
      <c r="Z554" s="655"/>
      <c r="AA554" s="686"/>
      <c r="AB554" s="686"/>
      <c r="AC554" s="686"/>
      <c r="AD554" s="686"/>
      <c r="AE554" s="686"/>
      <c r="AF554" s="686"/>
      <c r="AG554" s="686"/>
      <c r="AH554" s="687"/>
      <c r="AI554" s="686"/>
      <c r="AJ554" s="686"/>
      <c r="AK554" s="686"/>
      <c r="AL554" s="686"/>
      <c r="AM554" s="686"/>
      <c r="AN554" s="686"/>
      <c r="AO554" s="686"/>
      <c r="AP554" s="686"/>
      <c r="AQ554" s="686"/>
      <c r="AR554" s="686"/>
      <c r="AS554" s="686"/>
      <c r="AT554" s="686"/>
      <c r="AU554" s="686"/>
      <c r="AV554" s="686"/>
      <c r="AW554" s="686"/>
      <c r="AX554" s="686"/>
      <c r="AY554" s="686"/>
      <c r="AZ554" s="686"/>
      <c r="BA554" s="686"/>
      <c r="BB554" s="686"/>
      <c r="BC554" s="686"/>
      <c r="BD554" s="686"/>
      <c r="BE554" s="686"/>
      <c r="BF554" s="686"/>
      <c r="BG554" s="686"/>
      <c r="BH554" s="686"/>
      <c r="BI554" s="686"/>
      <c r="BJ554" s="686"/>
      <c r="BK554" s="686"/>
      <c r="BL554" s="686"/>
      <c r="BM554" s="686"/>
      <c r="BN554" s="686"/>
      <c r="BO554" s="686"/>
      <c r="BP554" s="686"/>
      <c r="BQ554" s="686"/>
      <c r="BR554" s="686"/>
      <c r="BS554" s="686"/>
      <c r="BT554" s="686"/>
    </row>
    <row r="555" spans="1:72" s="688" customFormat="1" ht="16.149999999999999" hidden="1" customHeight="1" outlineLevel="1">
      <c r="A555" s="3184"/>
      <c r="B555" s="3185"/>
      <c r="C555" s="3182" t="s">
        <v>777</v>
      </c>
      <c r="D555" s="3182"/>
      <c r="E555" s="1246"/>
      <c r="F555" s="1016">
        <f>IF(SETUP!$F$30="Upfront",$E$554*'HIV-Other HPs'!AX17,0)</f>
        <v>0</v>
      </c>
      <c r="G555" s="920">
        <f>IF(SETUP!$F$30="Upfront",$E$554*'HIV-Other HPs'!AY17,0)</f>
        <v>0</v>
      </c>
      <c r="H555" s="920">
        <f>IF(SETUP!$F$30="Upfront",$E$554*'HIV-Other HPs'!AZ17,0)</f>
        <v>0</v>
      </c>
      <c r="I555" s="920">
        <f>IF(SETUP!$F$30="Upfront",$E$554*'HIV-Other HPs'!BA17,0)</f>
        <v>0</v>
      </c>
      <c r="J555" s="920">
        <f t="shared" si="81"/>
        <v>0</v>
      </c>
      <c r="K555" s="1016">
        <f>IF(SETUP!$F$30="Upfront",$E$554*'HIV-Other HPs'!BB17,0)</f>
        <v>0</v>
      </c>
      <c r="L555" s="920">
        <f>IF(SETUP!$F$30="Upfront",$E$554*'HIV-Other HPs'!BC17,0)</f>
        <v>0</v>
      </c>
      <c r="M555" s="920">
        <f>IF(SETUP!$F$30="Upfront",$E$554*'HIV-Other HPs'!BD17,0)</f>
        <v>0</v>
      </c>
      <c r="N555" s="920">
        <f>IF(SETUP!$F$30="Upfront",$E$554*'HIV-Other HPs'!BE17,0)</f>
        <v>0</v>
      </c>
      <c r="O555" s="920">
        <f t="shared" si="82"/>
        <v>0</v>
      </c>
      <c r="P555" s="1016">
        <f>IF(SETUP!$F$30="Upfront",$E$554*'HIV-Other HPs'!BF17,0)</f>
        <v>0</v>
      </c>
      <c r="Q555" s="920">
        <f>IF(SETUP!$F$30="Upfront",$E$554*'HIV-Other HPs'!BG17,0)</f>
        <v>0</v>
      </c>
      <c r="R555" s="920">
        <f>IF(SETUP!$F$30="Upfront",$E$554*'HIV-Other HPs'!BH17,0)</f>
        <v>0</v>
      </c>
      <c r="S555" s="920">
        <f>IF(SETUP!$F$30="Upfront",$E$554*'HIV-Other HPs'!BI17,0)</f>
        <v>0</v>
      </c>
      <c r="T555" s="920">
        <f t="shared" si="85"/>
        <v>0</v>
      </c>
      <c r="U555" s="1016">
        <f t="shared" si="86"/>
        <v>0</v>
      </c>
      <c r="V555" s="1344">
        <v>7.5</v>
      </c>
      <c r="W555" s="2011"/>
      <c r="X555" s="575"/>
      <c r="Y555" s="1350"/>
      <c r="Z555" s="655"/>
      <c r="AA555" s="686"/>
      <c r="AB555" s="686"/>
      <c r="AC555" s="686"/>
      <c r="AD555" s="686"/>
      <c r="AE555" s="686"/>
      <c r="AF555" s="686"/>
      <c r="AG555" s="686"/>
      <c r="AH555" s="687"/>
      <c r="AI555" s="686"/>
      <c r="AJ555" s="686"/>
      <c r="AK555" s="686"/>
      <c r="AL555" s="686"/>
      <c r="AM555" s="686"/>
      <c r="AN555" s="686"/>
      <c r="AO555" s="686"/>
      <c r="AP555" s="686"/>
      <c r="AQ555" s="686"/>
      <c r="AR555" s="686"/>
      <c r="AS555" s="686"/>
      <c r="AT555" s="686"/>
      <c r="AU555" s="686"/>
      <c r="AV555" s="686"/>
      <c r="AW555" s="686"/>
      <c r="AX555" s="686"/>
      <c r="AY555" s="686"/>
      <c r="AZ555" s="686"/>
      <c r="BA555" s="686"/>
      <c r="BB555" s="686"/>
      <c r="BC555" s="686"/>
      <c r="BD555" s="686"/>
      <c r="BE555" s="686"/>
      <c r="BF555" s="686"/>
      <c r="BG555" s="686"/>
      <c r="BH555" s="686"/>
      <c r="BI555" s="686"/>
      <c r="BJ555" s="686"/>
      <c r="BK555" s="686"/>
      <c r="BL555" s="686"/>
      <c r="BM555" s="686"/>
      <c r="BN555" s="686"/>
      <c r="BO555" s="686"/>
      <c r="BP555" s="686"/>
      <c r="BQ555" s="686"/>
      <c r="BR555" s="686"/>
      <c r="BS555" s="686"/>
      <c r="BT555" s="686"/>
    </row>
    <row r="556" spans="1:72" s="688" customFormat="1" ht="16.149999999999999" hidden="1" customHeight="1" outlineLevel="1">
      <c r="A556" s="3184"/>
      <c r="B556" s="3185"/>
      <c r="C556" s="3182" t="s">
        <v>36</v>
      </c>
      <c r="D556" s="3182"/>
      <c r="E556" s="1246"/>
      <c r="F556" s="1016">
        <v>0</v>
      </c>
      <c r="G556" s="920">
        <f>IF(SETUP!$F$30="At delivery",IF(SETUP!$G$30=1,$E$554*'HIV-Other HPs'!AX17,0),0)</f>
        <v>0</v>
      </c>
      <c r="H556" s="920">
        <f>IF(SETUP!$F$30="At delivery",IF(SETUP!$G$30=2,$E$554*'HIV-Other HPs'!AX17,IF(SETUP!$G$30=1,$E$554*'HIV-Other HPs'!AY17,0)),0)</f>
        <v>0</v>
      </c>
      <c r="I556" s="920">
        <f>IF(SETUP!$F$30="At delivery",IF(SETUP!$G$30=3,$E$554*'HIV-Other HPs'!AX17,IF(SETUP!$G$30=2,$E$554*'HIV-Other HPs'!AY17,IF(SETUP!$G$30=1,$E$554*'HIV-Other HPs'!AZ17,0))),0)</f>
        <v>0</v>
      </c>
      <c r="J556" s="920">
        <f t="shared" si="81"/>
        <v>0</v>
      </c>
      <c r="K556" s="1016">
        <f>IF(SETUP!$F$30="At delivery",IF(SETUP!$G$30=4,$E$554*'HIV-Other HPs'!AX17,IF(SETUP!$G$30=3,$E$554*'HIV-Other HPs'!AY17,IF(SETUP!$G$30=2,$E$554*'HIV-Other HPs'!AZ17,IF(SETUP!$G$30=1,$E$554*'HIV-Other HPs'!BA17,0)))),0)</f>
        <v>0</v>
      </c>
      <c r="L556" s="920">
        <f>IF(SETUP!$F$30="At delivery",IF(SETUP!$G$30=4,$E$554*'HIV-Other HPs'!AY17,IF(SETUP!$G$30=3,$E$554*'HIV-Other HPs'!AZ17,IF(SETUP!$G$30=2,$E$554*'HIV-Other HPs'!BA17,IF(SETUP!$G$30=1,$E$554*'HIV-Other HPs'!BB17,0)))),0)</f>
        <v>0</v>
      </c>
      <c r="M556" s="920">
        <f>IF(SETUP!$F$30="At delivery",IF(SETUP!$G$30=4,$E$554*'HIV-Other HPs'!AZ17,IF(SETUP!$G$30=3,$E$554*'HIV-Other HPs'!BA17,IF(SETUP!$G$30=2,$E$554*'HIV-Other HPs'!BB17,IF(SETUP!$G$30=1,$E$554*'HIV-Other HPs'!BC17,0)))),0)</f>
        <v>0</v>
      </c>
      <c r="N556" s="920">
        <f>IF(SETUP!$F$30="At delivery",IF(SETUP!$G$30=4,$E$554*'HIV-Other HPs'!BA17,IF(SETUP!$G$30=3,$E$554*'HIV-Other HPs'!BB17,IF(SETUP!$G$30=2,$E$554*'HIV-Other HPs'!BC17,IF(SETUP!$G$30=1,$E$554*'HIV-Other HPs'!BD17,0)))),0)</f>
        <v>0</v>
      </c>
      <c r="O556" s="920">
        <f t="shared" si="82"/>
        <v>0</v>
      </c>
      <c r="P556" s="1016">
        <f>IF(SETUP!$F$30="At delivery",IF(SETUP!$G$30=4,$E$554*'HIV-Other HPs'!BB17,IF(SETUP!$G$30=3,$E$554*'HIV-Other HPs'!BC17,IF(SETUP!$G$30=2,$E$554*'HIV-Other HPs'!BD17,IF(SETUP!$G$30=1,$E$554*'HIV-Other HPs'!BE17,0)))),0)</f>
        <v>0</v>
      </c>
      <c r="Q556" s="920">
        <f>IF(SETUP!$F$30="At delivery",IF(SETUP!$G$30=4,$E$554*'HIV-Other HPs'!BC17,IF(SETUP!$G$30=3,$E$554*'HIV-Other HPs'!BD17,IF(SETUP!$G$30=2,$E$554*'HIV-Other HPs'!BE17,IF(SETUP!$G$30=1,$E$554*'HIV-Other HPs'!BF17,0)))),0)</f>
        <v>0</v>
      </c>
      <c r="R556" s="920">
        <f>IF(SETUP!$F$30="At delivery",IF(SETUP!$G$30=4,$E$554*'HIV-Other HPs'!BD17,IF(SETUP!$G$30=3,$E$554*'HIV-Other HPs'!BE17,IF(SETUP!$G$30=2,$E$554*'HIV-Other HPs'!BF17,IF(SETUP!$G$30=1,$E$554*'HIV-Other HPs'!BG17,0)))),0)</f>
        <v>0</v>
      </c>
      <c r="S556" s="920">
        <f>IF(SETUP!$F$30="At delivery",IF(SETUP!$G$30=4,$E$554*('HIV-Other HPs'!BE17+'HIV-Other HPs'!BF17+'HIV-Other HPs'!BG17+'HIV-Other HPs'!BH17+'HIV-Other HPs'!BI17),IF(SETUP!$G$30=3,$E$554*('HIV-Other HPs'!BF17+'HIV-Other HPs'!BG17+'HIV-Other HPs'!BH17+'HIV-Other HPs'!BI17),IF(SETUP!$G$30=2,$E$554*('HIV-Other HPs'!BG17+'HIV-Other HPs'!BH17+'HIV-Other HPs'!BI17),IF(SETUP!$G$30=1,$E$554*('HIV-Other HPs'!BH17+'HIV-Other HPs'!BI17),0)))),0)</f>
        <v>0</v>
      </c>
      <c r="T556" s="920">
        <f t="shared" si="85"/>
        <v>0</v>
      </c>
      <c r="U556" s="1016">
        <f t="shared" si="86"/>
        <v>0</v>
      </c>
      <c r="V556" s="1344">
        <v>7.5</v>
      </c>
      <c r="W556" s="2011"/>
      <c r="X556" s="575"/>
      <c r="Y556" s="1350"/>
      <c r="Z556" s="655"/>
      <c r="AA556" s="686"/>
      <c r="AB556" s="686"/>
      <c r="AC556" s="686"/>
      <c r="AD556" s="686"/>
      <c r="AE556" s="686"/>
      <c r="AF556" s="686"/>
      <c r="AG556" s="686"/>
      <c r="AH556" s="687"/>
      <c r="AI556" s="686"/>
      <c r="AJ556" s="686"/>
      <c r="AK556" s="686"/>
      <c r="AL556" s="686"/>
      <c r="AM556" s="686"/>
      <c r="AN556" s="686"/>
      <c r="AO556" s="686"/>
      <c r="AP556" s="686"/>
      <c r="AQ556" s="686"/>
      <c r="AR556" s="686"/>
      <c r="AS556" s="686"/>
      <c r="AT556" s="686"/>
      <c r="AU556" s="686"/>
      <c r="AV556" s="686"/>
      <c r="AW556" s="686"/>
      <c r="AX556" s="686"/>
      <c r="AY556" s="686"/>
      <c r="AZ556" s="686"/>
      <c r="BA556" s="686"/>
      <c r="BB556" s="686"/>
      <c r="BC556" s="686"/>
      <c r="BD556" s="686"/>
      <c r="BE556" s="686"/>
      <c r="BF556" s="686"/>
      <c r="BG556" s="686"/>
      <c r="BH556" s="686"/>
      <c r="BI556" s="686"/>
      <c r="BJ556" s="686"/>
      <c r="BK556" s="686"/>
      <c r="BL556" s="686"/>
      <c r="BM556" s="686"/>
      <c r="BN556" s="686"/>
      <c r="BO556" s="686"/>
      <c r="BP556" s="686"/>
      <c r="BQ556" s="686"/>
      <c r="BR556" s="686"/>
      <c r="BS556" s="686"/>
      <c r="BT556" s="686"/>
    </row>
    <row r="557" spans="1:72" s="688" customFormat="1" ht="13.5" collapsed="1" thickBot="1">
      <c r="A557" s="3184"/>
      <c r="B557" s="3185"/>
      <c r="C557" s="3188" t="s">
        <v>1391</v>
      </c>
      <c r="D557" s="3188"/>
      <c r="E557" s="1245">
        <v>0</v>
      </c>
      <c r="F557" s="1016">
        <f>IF(SETUP!$F$31="Upfront",F558,F559)</f>
        <v>0</v>
      </c>
      <c r="G557" s="920">
        <f>IF(SETUP!$F$31="Upfront",G558,G559)</f>
        <v>0</v>
      </c>
      <c r="H557" s="920">
        <f>IF(SETUP!$F$31="Upfront",H558,H559)</f>
        <v>0</v>
      </c>
      <c r="I557" s="920">
        <f>IF(SETUP!$F$31="Upfront",I558,I559)</f>
        <v>0</v>
      </c>
      <c r="J557" s="920">
        <f t="shared" si="81"/>
        <v>0</v>
      </c>
      <c r="K557" s="1016">
        <f>IF(SETUP!$F$31="Upfront",K558,K559)</f>
        <v>0</v>
      </c>
      <c r="L557" s="920">
        <f>IF(SETUP!$F$31="Upfront",L558,L559)</f>
        <v>0</v>
      </c>
      <c r="M557" s="920">
        <f>IF(SETUP!$F$31="Upfront",M558,M559)</f>
        <v>0</v>
      </c>
      <c r="N557" s="920">
        <f>IF(SETUP!$F$31="Upfront",N558,N559)</f>
        <v>0</v>
      </c>
      <c r="O557" s="920">
        <f t="shared" si="82"/>
        <v>0</v>
      </c>
      <c r="P557" s="1016">
        <f>IF(SETUP!$F$31="Upfront",P558,P559)</f>
        <v>0</v>
      </c>
      <c r="Q557" s="920">
        <f>IF(SETUP!$F$31="Upfront",Q558,Q559)</f>
        <v>0</v>
      </c>
      <c r="R557" s="920">
        <f>IF(SETUP!$F$31="Upfront",R558,R559)</f>
        <v>0</v>
      </c>
      <c r="S557" s="920">
        <f>IF(SETUP!$F$31="Upfront",S558,S559)</f>
        <v>0</v>
      </c>
      <c r="T557" s="920">
        <f t="shared" si="85"/>
        <v>0</v>
      </c>
      <c r="U557" s="1016">
        <f t="shared" si="86"/>
        <v>0</v>
      </c>
      <c r="V557" s="1344">
        <v>7.5</v>
      </c>
      <c r="W557" s="2011"/>
      <c r="X557" s="575"/>
      <c r="Y557" s="1350"/>
      <c r="Z557" s="655"/>
      <c r="AA557" s="686"/>
      <c r="AB557" s="686"/>
      <c r="AC557" s="686"/>
      <c r="AD557" s="686"/>
      <c r="AE557" s="686"/>
      <c r="AF557" s="686"/>
      <c r="AG557" s="686"/>
      <c r="AH557" s="687"/>
      <c r="AI557" s="686"/>
      <c r="AJ557" s="686"/>
      <c r="AK557" s="686"/>
      <c r="AL557" s="686"/>
      <c r="AM557" s="686"/>
      <c r="AN557" s="686"/>
      <c r="AO557" s="686"/>
      <c r="AP557" s="686"/>
      <c r="AQ557" s="686"/>
      <c r="AR557" s="686"/>
      <c r="AS557" s="686"/>
      <c r="AT557" s="686"/>
      <c r="AU557" s="686"/>
      <c r="AV557" s="686"/>
      <c r="AW557" s="686"/>
      <c r="AX557" s="686"/>
      <c r="AY557" s="686"/>
      <c r="AZ557" s="686"/>
      <c r="BA557" s="686"/>
      <c r="BB557" s="686"/>
      <c r="BC557" s="686"/>
      <c r="BD557" s="686"/>
      <c r="BE557" s="686"/>
      <c r="BF557" s="686"/>
      <c r="BG557" s="686"/>
      <c r="BH557" s="686"/>
      <c r="BI557" s="686"/>
      <c r="BJ557" s="686"/>
      <c r="BK557" s="686"/>
      <c r="BL557" s="686"/>
      <c r="BM557" s="686"/>
      <c r="BN557" s="686"/>
      <c r="BO557" s="686"/>
      <c r="BP557" s="686"/>
      <c r="BQ557" s="686"/>
      <c r="BR557" s="686"/>
      <c r="BS557" s="686"/>
      <c r="BT557" s="686"/>
    </row>
    <row r="558" spans="1:72" s="688" customFormat="1" ht="16.149999999999999" hidden="1" customHeight="1" outlineLevel="1">
      <c r="A558" s="3184"/>
      <c r="B558" s="3185"/>
      <c r="C558" s="3182" t="s">
        <v>777</v>
      </c>
      <c r="D558" s="3182"/>
      <c r="E558" s="1246"/>
      <c r="F558" s="1016">
        <f>IF(SETUP!$F$31="Upfront",$E$557*'HIV-Other HPs'!AX18,0)</f>
        <v>0</v>
      </c>
      <c r="G558" s="920">
        <f>IF(SETUP!$F$31="Upfront",$E$557*'HIV-Other HPs'!AY18,0)</f>
        <v>0</v>
      </c>
      <c r="H558" s="920">
        <f>IF(SETUP!$F$31="Upfront",$E$557*'HIV-Other HPs'!AZ18,0)</f>
        <v>0</v>
      </c>
      <c r="I558" s="920">
        <f>IF(SETUP!$F$31="Upfront",$E$557*'HIV-Other HPs'!BA18,0)</f>
        <v>0</v>
      </c>
      <c r="J558" s="920">
        <f t="shared" ref="J558:J588" si="87">F558+G558+H558+I558</f>
        <v>0</v>
      </c>
      <c r="K558" s="1016">
        <f>IF(SETUP!$F$31="Upfront",$E$557*'HIV-Other HPs'!BB18,0)</f>
        <v>0</v>
      </c>
      <c r="L558" s="920">
        <f>IF(SETUP!$F$31="Upfront",$E$557*'HIV-Other HPs'!BC18,0)</f>
        <v>0</v>
      </c>
      <c r="M558" s="920">
        <f>IF(SETUP!$F$31="Upfront",$E$557*'HIV-Other HPs'!BD18,0)</f>
        <v>0</v>
      </c>
      <c r="N558" s="920">
        <f>IF(SETUP!$F$31="Upfront",$E$557*'HIV-Other HPs'!BE18,0)</f>
        <v>0</v>
      </c>
      <c r="O558" s="920">
        <f t="shared" si="82"/>
        <v>0</v>
      </c>
      <c r="P558" s="1016">
        <f>IF(SETUP!$F$31="Upfront",$E$557*'HIV-Other HPs'!BF18,0)</f>
        <v>0</v>
      </c>
      <c r="Q558" s="920">
        <f>IF(SETUP!$F$31="Upfront",$E$557*'HIV-Other HPs'!BG18,0)</f>
        <v>0</v>
      </c>
      <c r="R558" s="920">
        <f>IF(SETUP!$F$31="Upfront",$E$557*'HIV-Other HPs'!BH18,0)</f>
        <v>0</v>
      </c>
      <c r="S558" s="920">
        <f>IF(SETUP!$F$31="Upfront",$E$557*'HIV-Other HPs'!BI18,0)</f>
        <v>0</v>
      </c>
      <c r="T558" s="920">
        <f t="shared" si="85"/>
        <v>0</v>
      </c>
      <c r="U558" s="1016">
        <f t="shared" si="86"/>
        <v>0</v>
      </c>
      <c r="V558" s="1344">
        <v>7.5</v>
      </c>
      <c r="W558" s="2011"/>
      <c r="X558" s="575"/>
      <c r="Y558" s="1350"/>
      <c r="Z558" s="655"/>
      <c r="AA558" s="686"/>
      <c r="AB558" s="686"/>
      <c r="AC558" s="686"/>
      <c r="AD558" s="686"/>
      <c r="AE558" s="686"/>
      <c r="AF558" s="686"/>
      <c r="AG558" s="686"/>
      <c r="AH558" s="687"/>
      <c r="AI558" s="686"/>
      <c r="AJ558" s="686"/>
      <c r="AK558" s="686"/>
      <c r="AL558" s="686"/>
      <c r="AM558" s="686"/>
      <c r="AN558" s="686"/>
      <c r="AO558" s="686"/>
      <c r="AP558" s="686"/>
      <c r="AQ558" s="686"/>
      <c r="AR558" s="686"/>
      <c r="AS558" s="686"/>
      <c r="AT558" s="686"/>
      <c r="AU558" s="686"/>
      <c r="AV558" s="686"/>
      <c r="AW558" s="686"/>
      <c r="AX558" s="686"/>
      <c r="AY558" s="686"/>
      <c r="AZ558" s="686"/>
      <c r="BA558" s="686"/>
      <c r="BB558" s="686"/>
      <c r="BC558" s="686"/>
      <c r="BD558" s="686"/>
      <c r="BE558" s="686"/>
      <c r="BF558" s="686"/>
      <c r="BG558" s="686"/>
      <c r="BH558" s="686"/>
      <c r="BI558" s="686"/>
      <c r="BJ558" s="686"/>
      <c r="BK558" s="686"/>
      <c r="BL558" s="686"/>
      <c r="BM558" s="686"/>
      <c r="BN558" s="686"/>
      <c r="BO558" s="686"/>
      <c r="BP558" s="686"/>
      <c r="BQ558" s="686"/>
      <c r="BR558" s="686"/>
      <c r="BS558" s="686"/>
      <c r="BT558" s="686"/>
    </row>
    <row r="559" spans="1:72" s="688" customFormat="1" ht="16.149999999999999" hidden="1" customHeight="1" outlineLevel="1">
      <c r="A559" s="3184"/>
      <c r="B559" s="3185"/>
      <c r="C559" s="3182" t="s">
        <v>36</v>
      </c>
      <c r="D559" s="3182"/>
      <c r="E559" s="1991"/>
      <c r="F559" s="1016">
        <v>0</v>
      </c>
      <c r="G559" s="920">
        <f>IF(SETUP!$F$31="At delivery",IF(SETUP!$G$31=1,$E$557*'HIV-Other HPs'!AX18,0),0)</f>
        <v>0</v>
      </c>
      <c r="H559" s="920">
        <f>IF(SETUP!$F$31="At delivery",IF(SETUP!$G$31=2,$E$557*'HIV-Other HPs'!AX18,IF(SETUP!$G$31=1,$E$557*'HIV-Other HPs'!AY18,0)),0)</f>
        <v>0</v>
      </c>
      <c r="I559" s="920">
        <f>IF(SETUP!$F$31="At delivery",IF(SETUP!$G$31=3,$E$557*'HIV-Other HPs'!AX18,IF(SETUP!$G$31=2,$E$557*'HIV-Other HPs'!AY18,IF(SETUP!$G$31=1,$E$557*'HIV-Other HPs'!AZ18,0))),0)</f>
        <v>0</v>
      </c>
      <c r="J559" s="920">
        <f t="shared" si="87"/>
        <v>0</v>
      </c>
      <c r="K559" s="1016">
        <f>IF(SETUP!$F$31="At delivery",IF(SETUP!$G$31=4,$E$557*'HIV-Other HPs'!AX18,IF(SETUP!$G$31=3,$E$557*'HIV-Other HPs'!AY18,IF(SETUP!$G$31=2,$E$557*'HIV-Other HPs'!AZ18,IF(SETUP!$G$31=1,$E$557*'HIV-Other HPs'!BA18,0)))),0)</f>
        <v>0</v>
      </c>
      <c r="L559" s="920">
        <f>IF(SETUP!$F$31="At delivery",IF(SETUP!$G$31=4,$E$557*'HIV-Other HPs'!AY18,IF(SETUP!$G$31=3,$E$557*'HIV-Other HPs'!AZ18,IF(SETUP!$G$31=2,$E$557*'HIV-Other HPs'!BA18,IF(SETUP!$G$31=1,$E$557*'HIV-Other HPs'!BB18,0)))),0)</f>
        <v>0</v>
      </c>
      <c r="M559" s="920">
        <f>IF(SETUP!$F$31="At delivery",IF(SETUP!$G$31=4,$E$557*'HIV-Other HPs'!AZ18,IF(SETUP!$G$31=3,$E$557*'HIV-Other HPs'!BA18,IF(SETUP!$G$31=2,$E$557*'HIV-Other HPs'!BB18,IF(SETUP!$G$31=1,$E$557*'HIV-Other HPs'!BC18,0)))),0)</f>
        <v>0</v>
      </c>
      <c r="N559" s="920">
        <f>IF(SETUP!$F$31="At delivery",IF(SETUP!$G$31=4,$E$557*'HIV-Other HPs'!BA18,IF(SETUP!$G$31=3,$E$557*'HIV-Other HPs'!BB18,IF(SETUP!$G$31=2,$E$557*'HIV-Other HPs'!BC18,IF(SETUP!$G$31=1,$E$557*'HIV-Other HPs'!BD18,0)))),0)</f>
        <v>0</v>
      </c>
      <c r="O559" s="920">
        <f t="shared" si="82"/>
        <v>0</v>
      </c>
      <c r="P559" s="1016">
        <f>IF(SETUP!$F$31="At delivery",IF(SETUP!$G$31=4,$E$557*'HIV-Other HPs'!BB18,IF(SETUP!$G$31=3,$E$557*'HIV-Other HPs'!BC18,IF(SETUP!$G$31=2,$E$557*'HIV-Other HPs'!BD18,IF(SETUP!$G$31=1,$E$557*'HIV-Other HPs'!BE18,0)))),0)</f>
        <v>0</v>
      </c>
      <c r="Q559" s="920">
        <f>IF(SETUP!$F$31="At delivery",IF(SETUP!$G$31=4,$E$557*'HIV-Other HPs'!BC18,IF(SETUP!$G$31=3,$E$557*'HIV-Other HPs'!BD18,IF(SETUP!$G$31=2,$E$557*'HIV-Other HPs'!BE18,IF(SETUP!$G$31=1,$E$557*'HIV-Other HPs'!BF18,0)))),0)</f>
        <v>0</v>
      </c>
      <c r="R559" s="920">
        <f>IF(SETUP!$F$31="At delivery",IF(SETUP!$G$31=4,$E$557*'HIV-Other HPs'!BD18,IF(SETUP!$G$31=3,$E$557*'HIV-Other HPs'!BE18,IF(SETUP!$G$31=2,$E$557*'HIV-Other HPs'!BF18,IF(SETUP!$G$31=1,$E$557*'HIV-Other HPs'!BG18,0)))),0)</f>
        <v>0</v>
      </c>
      <c r="S559" s="920">
        <f>IF(SETUP!$F$31="At delivery",IF(SETUP!$G$31=4,$E$557*('HIV-Other HPs'!BE18+'HIV-Other HPs'!BF18+'HIV-Other HPs'!BG18+'HIV-Other HPs'!BH18+'HIV-Other HPs'!BI18),IF(SETUP!$G$31=3,$E$557*('HIV-Other HPs'!BF18+'HIV-Other HPs'!BG18+'HIV-Other HPs'!BH18+'HIV-Other HPs'!BI18),IF(SETUP!$G$31=2,$E$557*('HIV-Other HPs'!BG18+'HIV-Other HPs'!BH18+'HIV-Other HPs'!BI18),IF(SETUP!$G$31=1,$E$557*('HIV-Other HPs'!BH18+'HIV-Other HPs'!BI18),0)))),0)</f>
        <v>0</v>
      </c>
      <c r="T559" s="920">
        <f t="shared" si="85"/>
        <v>0</v>
      </c>
      <c r="U559" s="1016">
        <f t="shared" si="86"/>
        <v>0</v>
      </c>
      <c r="V559" s="1344">
        <v>7.5</v>
      </c>
      <c r="W559" s="2011"/>
      <c r="X559" s="575"/>
      <c r="Y559" s="1350"/>
      <c r="Z559" s="655"/>
      <c r="AA559" s="686"/>
      <c r="AB559" s="686"/>
      <c r="AC559" s="686"/>
      <c r="AD559" s="686"/>
      <c r="AE559" s="686"/>
      <c r="AF559" s="686"/>
      <c r="AG559" s="686"/>
      <c r="AH559" s="687"/>
      <c r="AI559" s="686"/>
      <c r="AJ559" s="686"/>
      <c r="AK559" s="686"/>
      <c r="AL559" s="686"/>
      <c r="AM559" s="686"/>
      <c r="AN559" s="686"/>
      <c r="AO559" s="686"/>
      <c r="AP559" s="686"/>
      <c r="AQ559" s="686"/>
      <c r="AR559" s="686"/>
      <c r="AS559" s="686"/>
      <c r="AT559" s="686"/>
      <c r="AU559" s="686"/>
      <c r="AV559" s="686"/>
      <c r="AW559" s="686"/>
      <c r="AX559" s="686"/>
      <c r="AY559" s="686"/>
      <c r="AZ559" s="686"/>
      <c r="BA559" s="686"/>
      <c r="BB559" s="686"/>
      <c r="BC559" s="686"/>
      <c r="BD559" s="686"/>
      <c r="BE559" s="686"/>
      <c r="BF559" s="686"/>
      <c r="BG559" s="686"/>
      <c r="BH559" s="686"/>
      <c r="BI559" s="686"/>
      <c r="BJ559" s="686"/>
      <c r="BK559" s="686"/>
      <c r="BL559" s="686"/>
      <c r="BM559" s="686"/>
      <c r="BN559" s="686"/>
      <c r="BO559" s="686"/>
      <c r="BP559" s="686"/>
      <c r="BQ559" s="686"/>
      <c r="BR559" s="686"/>
      <c r="BS559" s="686"/>
      <c r="BT559" s="686"/>
    </row>
    <row r="560" spans="1:72" s="688" customFormat="1" ht="13.5" collapsed="1" thickBot="1">
      <c r="A560" s="3184"/>
      <c r="B560" s="3185"/>
      <c r="C560" s="3188" t="s">
        <v>443</v>
      </c>
      <c r="D560" s="3188"/>
      <c r="E560" s="1245">
        <v>0</v>
      </c>
      <c r="F560" s="1016">
        <f>IF(SETUP!$F$32="Upfront",F561,F562)</f>
        <v>0</v>
      </c>
      <c r="G560" s="920">
        <f>IF(SETUP!$F$32="Upfront",G561,G562)</f>
        <v>0</v>
      </c>
      <c r="H560" s="920">
        <f>IF(SETUP!$F$32="Upfront",H561,H562)</f>
        <v>0</v>
      </c>
      <c r="I560" s="920">
        <f>IF(SETUP!$F$32="Upfront",I561,I562)</f>
        <v>0</v>
      </c>
      <c r="J560" s="920">
        <f t="shared" si="87"/>
        <v>0</v>
      </c>
      <c r="K560" s="1016">
        <f>IF(SETUP!$F$32="Upfront",K561,K562)</f>
        <v>0</v>
      </c>
      <c r="L560" s="920">
        <f>IF(SETUP!$F$32="Upfront",L561,L562)</f>
        <v>0</v>
      </c>
      <c r="M560" s="920">
        <f>IF(SETUP!$F$32="Upfront",M561,M562)</f>
        <v>0</v>
      </c>
      <c r="N560" s="920">
        <f>IF(SETUP!$F$32="Upfront",N561,N562)</f>
        <v>0</v>
      </c>
      <c r="O560" s="920">
        <f t="shared" si="82"/>
        <v>0</v>
      </c>
      <c r="P560" s="1016">
        <f>IF(SETUP!$F$32="Upfront",P561,P562)</f>
        <v>0</v>
      </c>
      <c r="Q560" s="920">
        <f>IF(SETUP!$F$32="Upfront",Q561,Q562)</f>
        <v>0</v>
      </c>
      <c r="R560" s="920">
        <f>IF(SETUP!$F$32="Upfront",R561,R562)</f>
        <v>0</v>
      </c>
      <c r="S560" s="920">
        <f>IF(SETUP!$F$32="Upfront",S561,S562)</f>
        <v>0</v>
      </c>
      <c r="T560" s="920">
        <f t="shared" si="85"/>
        <v>0</v>
      </c>
      <c r="U560" s="1016">
        <f t="shared" si="86"/>
        <v>0</v>
      </c>
      <c r="V560" s="1344">
        <v>7.5</v>
      </c>
      <c r="W560" s="2011"/>
      <c r="X560" s="575"/>
      <c r="Y560" s="1350"/>
      <c r="Z560" s="655"/>
      <c r="AA560" s="686"/>
      <c r="AB560" s="686"/>
      <c r="AC560" s="686"/>
      <c r="AD560" s="686"/>
      <c r="AE560" s="686"/>
      <c r="AF560" s="686"/>
      <c r="AG560" s="686"/>
      <c r="AH560" s="687"/>
      <c r="AI560" s="686"/>
      <c r="AJ560" s="686"/>
      <c r="AK560" s="686"/>
      <c r="AL560" s="686"/>
      <c r="AM560" s="686"/>
      <c r="AN560" s="686"/>
      <c r="AO560" s="686"/>
      <c r="AP560" s="686"/>
      <c r="AQ560" s="686"/>
      <c r="AR560" s="686"/>
      <c r="AS560" s="686"/>
      <c r="AT560" s="686"/>
      <c r="AU560" s="686"/>
      <c r="AV560" s="686"/>
      <c r="AW560" s="686"/>
      <c r="AX560" s="686"/>
      <c r="AY560" s="686"/>
      <c r="AZ560" s="686"/>
      <c r="BA560" s="686"/>
      <c r="BB560" s="686"/>
      <c r="BC560" s="686"/>
      <c r="BD560" s="686"/>
      <c r="BE560" s="686"/>
      <c r="BF560" s="686"/>
      <c r="BG560" s="686"/>
      <c r="BH560" s="686"/>
      <c r="BI560" s="686"/>
      <c r="BJ560" s="686"/>
      <c r="BK560" s="686"/>
      <c r="BL560" s="686"/>
      <c r="BM560" s="686"/>
      <c r="BN560" s="686"/>
      <c r="BO560" s="686"/>
      <c r="BP560" s="686"/>
      <c r="BQ560" s="686"/>
      <c r="BR560" s="686"/>
      <c r="BS560" s="686"/>
      <c r="BT560" s="686"/>
    </row>
    <row r="561" spans="1:72" s="688" customFormat="1" ht="16.149999999999999" hidden="1" customHeight="1" outlineLevel="1">
      <c r="A561" s="3184"/>
      <c r="B561" s="3185"/>
      <c r="C561" s="3182" t="s">
        <v>777</v>
      </c>
      <c r="D561" s="3182"/>
      <c r="E561" s="1246"/>
      <c r="F561" s="1016">
        <f>IF(SETUP!$F$32="Upfront",$E$560*'HIV-Other HPs'!AX19,0)</f>
        <v>0</v>
      </c>
      <c r="G561" s="920">
        <f>IF(SETUP!$F$32="Upfront",$E$560*'HIV-Other HPs'!AY19,0)</f>
        <v>0</v>
      </c>
      <c r="H561" s="920">
        <f>IF(SETUP!$F$32="Upfront",$E$560*'HIV-Other HPs'!AZ19,0)</f>
        <v>0</v>
      </c>
      <c r="I561" s="920">
        <f>IF(SETUP!$F$32="Upfront",$E$560*'HIV-Other HPs'!BA19,0)</f>
        <v>0</v>
      </c>
      <c r="J561" s="920">
        <f t="shared" si="87"/>
        <v>0</v>
      </c>
      <c r="K561" s="1016">
        <f>IF(SETUP!$F$32="Upfront",$E$560*'HIV-Other HPs'!BB19,0)</f>
        <v>0</v>
      </c>
      <c r="L561" s="920">
        <f>IF(SETUP!$F$32="Upfront",$E$560*'HIV-Other HPs'!BC19,0)</f>
        <v>0</v>
      </c>
      <c r="M561" s="920">
        <f>IF(SETUP!$F$32="Upfront",$E$560*'HIV-Other HPs'!BD19,0)</f>
        <v>0</v>
      </c>
      <c r="N561" s="920">
        <f>IF(SETUP!$F$32="Upfront",$E$560*'HIV-Other HPs'!BE19,0)</f>
        <v>0</v>
      </c>
      <c r="O561" s="920">
        <f t="shared" si="82"/>
        <v>0</v>
      </c>
      <c r="P561" s="1016">
        <f>IF(SETUP!$F$32="Upfront",$E$560*'HIV-Other HPs'!BF19,0)</f>
        <v>0</v>
      </c>
      <c r="Q561" s="920">
        <f>IF(SETUP!$F$32="Upfront",$E$560*'HIV-Other HPs'!BG19,0)</f>
        <v>0</v>
      </c>
      <c r="R561" s="920">
        <f>IF(SETUP!$F$32="Upfront",$E$560*'HIV-Other HPs'!BH19,0)</f>
        <v>0</v>
      </c>
      <c r="S561" s="920">
        <f>IF(SETUP!$F$32="Upfront",$E$560*'HIV-Other HPs'!BI19,0)</f>
        <v>0</v>
      </c>
      <c r="T561" s="920">
        <f t="shared" ref="T561:T588" si="88">P561+Q561+R561+S561</f>
        <v>0</v>
      </c>
      <c r="U561" s="1016">
        <f t="shared" ref="U561:U588" si="89">J561+O561+T561</f>
        <v>0</v>
      </c>
      <c r="V561" s="1344">
        <v>7.5</v>
      </c>
      <c r="W561" s="2011"/>
      <c r="X561" s="575"/>
      <c r="Y561" s="1350"/>
      <c r="Z561" s="655"/>
      <c r="AA561" s="686"/>
      <c r="AB561" s="686"/>
      <c r="AC561" s="686"/>
      <c r="AD561" s="686"/>
      <c r="AE561" s="686"/>
      <c r="AF561" s="686"/>
      <c r="AG561" s="686"/>
      <c r="AH561" s="687"/>
      <c r="AI561" s="686"/>
      <c r="AJ561" s="686"/>
      <c r="AK561" s="686"/>
      <c r="AL561" s="686"/>
      <c r="AM561" s="686"/>
      <c r="AN561" s="686"/>
      <c r="AO561" s="686"/>
      <c r="AP561" s="686"/>
      <c r="AQ561" s="686"/>
      <c r="AR561" s="686"/>
      <c r="AS561" s="686"/>
      <c r="AT561" s="686"/>
      <c r="AU561" s="686"/>
      <c r="AV561" s="686"/>
      <c r="AW561" s="686"/>
      <c r="AX561" s="686"/>
      <c r="AY561" s="686"/>
      <c r="AZ561" s="686"/>
      <c r="BA561" s="686"/>
      <c r="BB561" s="686"/>
      <c r="BC561" s="686"/>
      <c r="BD561" s="686"/>
      <c r="BE561" s="686"/>
      <c r="BF561" s="686"/>
      <c r="BG561" s="686"/>
      <c r="BH561" s="686"/>
      <c r="BI561" s="686"/>
      <c r="BJ561" s="686"/>
      <c r="BK561" s="686"/>
      <c r="BL561" s="686"/>
      <c r="BM561" s="686"/>
      <c r="BN561" s="686"/>
      <c r="BO561" s="686"/>
      <c r="BP561" s="686"/>
      <c r="BQ561" s="686"/>
      <c r="BR561" s="686"/>
      <c r="BS561" s="686"/>
      <c r="BT561" s="686"/>
    </row>
    <row r="562" spans="1:72" s="688" customFormat="1" ht="16.149999999999999" hidden="1" customHeight="1" outlineLevel="1">
      <c r="A562" s="3184"/>
      <c r="B562" s="3185"/>
      <c r="C562" s="3182" t="s">
        <v>36</v>
      </c>
      <c r="D562" s="3182"/>
      <c r="E562" s="1246"/>
      <c r="F562" s="1016">
        <v>0</v>
      </c>
      <c r="G562" s="920">
        <f>IF(SETUP!$F$32="At delivery",IF(SETUP!$G$32=1,$E$560*'HIV-Other HPs'!AX19,0),0)</f>
        <v>0</v>
      </c>
      <c r="H562" s="920">
        <f>IF(SETUP!$F$32="At delivery",IF(SETUP!$G$32=2,$E$560*'HIV-Other HPs'!AX19,IF(SETUP!$G$32=1,$E$560*'HIV-Other HPs'!AY19,0)),0)</f>
        <v>0</v>
      </c>
      <c r="I562" s="920">
        <f>IF(SETUP!$F$32="At delivery",IF(SETUP!$G$32=3,$E$560*'HIV-Other HPs'!AX19,IF(SETUP!$G$32=2,$E$560*'HIV-Other HPs'!AY19,IF(SETUP!$G$32=1,$E$560*'HIV-Other HPs'!AZ19,0))),0)</f>
        <v>0</v>
      </c>
      <c r="J562" s="920">
        <f t="shared" si="87"/>
        <v>0</v>
      </c>
      <c r="K562" s="1016">
        <f>IF(SETUP!$F$32="At delivery",IF(SETUP!$G$32=4,$E$560*'HIV-Other HPs'!AX19,IF(SETUP!$G$32=3,$E$560*'HIV-Other HPs'!AY19,IF(SETUP!$G$32=2,$E$560*'HIV-Other HPs'!AZ19,IF(SETUP!$G$32=1,$E$560*'HIV-Other HPs'!BA19,0)))),0)</f>
        <v>0</v>
      </c>
      <c r="L562" s="920">
        <f>IF(SETUP!$F$32="At delivery",IF(SETUP!$G$32=4,$E$560*'HIV-Other HPs'!AY19,IF(SETUP!$G$32=3,$E$560*'HIV-Other HPs'!AZ19,IF(SETUP!$G$32=2,$E$560*'HIV-Other HPs'!BA19,IF(SETUP!$G$32=1,$E$560*'HIV-Other HPs'!BB19,0)))),0)</f>
        <v>0</v>
      </c>
      <c r="M562" s="920">
        <f>IF(SETUP!$F$32="At delivery",IF(SETUP!$G$32=4,$E$560*'HIV-Other HPs'!AZ19,IF(SETUP!$G$32=3,$E$560*'HIV-Other HPs'!BA19,IF(SETUP!$G$32=2,$E$560*'HIV-Other HPs'!BB19,IF(SETUP!$G$32=1,$E$560*'HIV-Other HPs'!BC19,0)))),0)</f>
        <v>0</v>
      </c>
      <c r="N562" s="920">
        <f>IF(SETUP!$F$32="At delivery",IF(SETUP!$G$32=4,$E$560*'HIV-Other HPs'!BA19,IF(SETUP!$G$32=3,$E$560*'HIV-Other HPs'!BB19,IF(SETUP!$G$32=2,$E$560*'HIV-Other HPs'!BC19,IF(SETUP!$G$32=1,$E$560*'HIV-Other HPs'!BD19,0)))),0)</f>
        <v>0</v>
      </c>
      <c r="O562" s="920">
        <f t="shared" si="82"/>
        <v>0</v>
      </c>
      <c r="P562" s="1016">
        <f>IF(SETUP!$F$32="At delivery",IF(SETUP!$G$32=4,$E$560*'HIV-Other HPs'!BB19,IF(SETUP!$G$32=3,$E$560*'HIV-Other HPs'!BC19,IF(SETUP!$G$32=2,$E$560*'HIV-Other HPs'!BD19,IF(SETUP!$G$32=1,$E$560*'HIV-Other HPs'!BE19,0)))),0)</f>
        <v>0</v>
      </c>
      <c r="Q562" s="920">
        <f>IF(SETUP!$F$32="At delivery",IF(SETUP!$G$32=4,$E$560*'HIV-Other HPs'!BC19,IF(SETUP!$G$32=3,$E$560*'HIV-Other HPs'!BD19,IF(SETUP!$G$32=2,$E$560*'HIV-Other HPs'!BE19,IF(SETUP!$G$32=1,$E$560*'HIV-Other HPs'!BF19,0)))),0)</f>
        <v>0</v>
      </c>
      <c r="R562" s="920">
        <f>IF(SETUP!$F$32="At delivery",IF(SETUP!$G$32=4,$E$560*'HIV-Other HPs'!BD19,IF(SETUP!$G$32=3,$E$560*'HIV-Other HPs'!BE19,IF(SETUP!$G$32=2,$E$560*'HIV-Other HPs'!BF19,IF(SETUP!$G$32=1,$E$560*'HIV-Other HPs'!BG19,0)))),0)</f>
        <v>0</v>
      </c>
      <c r="S562" s="920">
        <f>IF(SETUP!$F$32="At delivery",IF(SETUP!$G$32=4,$E$560*('HIV-Other HPs'!BE19+'HIV-Other HPs'!BF19+'HIV-Other HPs'!BG19+'HIV-Other HPs'!BH19+'HIV-Other HPs'!BI19),IF(SETUP!$G$32=3,$E$560*('HIV-Other HPs'!BF19+'HIV-Other HPs'!BG19+'HIV-Other HPs'!BH19+'HIV-Other HPs'!BI19),IF(SETUP!$G$32=2,$E$560*('HIV-Other HPs'!BG19+'HIV-Other HPs'!BH19+'HIV-Other HPs'!BI19),IF(SETUP!$G$32=1,$E$560*('HIV-Other HPs'!BH19+'HIV-Other HPs'!BI19),0)))),0)</f>
        <v>0</v>
      </c>
      <c r="T562" s="920">
        <f t="shared" si="88"/>
        <v>0</v>
      </c>
      <c r="U562" s="1016">
        <f t="shared" si="89"/>
        <v>0</v>
      </c>
      <c r="V562" s="1344">
        <v>7.5</v>
      </c>
      <c r="W562" s="2011"/>
      <c r="X562" s="575"/>
      <c r="Y562" s="1350"/>
      <c r="Z562" s="655"/>
      <c r="AA562" s="686"/>
      <c r="AB562" s="686"/>
      <c r="AC562" s="686"/>
      <c r="AD562" s="686"/>
      <c r="AE562" s="686"/>
      <c r="AF562" s="686"/>
      <c r="AG562" s="686"/>
      <c r="AH562" s="687"/>
      <c r="AI562" s="686"/>
      <c r="AJ562" s="686"/>
      <c r="AK562" s="686"/>
      <c r="AL562" s="686"/>
      <c r="AM562" s="686"/>
      <c r="AN562" s="686"/>
      <c r="AO562" s="686"/>
      <c r="AP562" s="686"/>
      <c r="AQ562" s="686"/>
      <c r="AR562" s="686"/>
      <c r="AS562" s="686"/>
      <c r="AT562" s="686"/>
      <c r="AU562" s="686"/>
      <c r="AV562" s="686"/>
      <c r="AW562" s="686"/>
      <c r="AX562" s="686"/>
      <c r="AY562" s="686"/>
      <c r="AZ562" s="686"/>
      <c r="BA562" s="686"/>
      <c r="BB562" s="686"/>
      <c r="BC562" s="686"/>
      <c r="BD562" s="686"/>
      <c r="BE562" s="686"/>
      <c r="BF562" s="686"/>
      <c r="BG562" s="686"/>
      <c r="BH562" s="686"/>
      <c r="BI562" s="686"/>
      <c r="BJ562" s="686"/>
      <c r="BK562" s="686"/>
      <c r="BL562" s="686"/>
      <c r="BM562" s="686"/>
      <c r="BN562" s="686"/>
      <c r="BO562" s="686"/>
      <c r="BP562" s="686"/>
      <c r="BQ562" s="686"/>
      <c r="BR562" s="686"/>
      <c r="BS562" s="686"/>
      <c r="BT562" s="686"/>
    </row>
    <row r="563" spans="1:72" s="688" customFormat="1" ht="13.5" collapsed="1" thickBot="1">
      <c r="A563" s="3184"/>
      <c r="B563" s="3185"/>
      <c r="C563" s="3202" t="s">
        <v>1392</v>
      </c>
      <c r="D563" s="3202"/>
      <c r="E563" s="1245">
        <v>0</v>
      </c>
      <c r="F563" s="1016">
        <f>IF(SETUP!$F$33="Upfront",F564,F565)</f>
        <v>0</v>
      </c>
      <c r="G563" s="920">
        <f>IF(SETUP!$F$33="Upfront",G564,G565)</f>
        <v>0</v>
      </c>
      <c r="H563" s="920">
        <f>IF(SETUP!$F$33="Upfront",H564,H565)</f>
        <v>0</v>
      </c>
      <c r="I563" s="920">
        <f>IF(SETUP!$F$33="Upfront",I564,I565)</f>
        <v>0</v>
      </c>
      <c r="J563" s="920">
        <f t="shared" si="87"/>
        <v>0</v>
      </c>
      <c r="K563" s="1016">
        <f>IF(SETUP!$F$33="Upfront",K564,K565)</f>
        <v>0</v>
      </c>
      <c r="L563" s="920">
        <f>IF(SETUP!$F$33="Upfront",L564,L565)</f>
        <v>0</v>
      </c>
      <c r="M563" s="920">
        <f>IF(SETUP!$F$33="Upfront",M564,M565)</f>
        <v>0</v>
      </c>
      <c r="N563" s="920">
        <f>IF(SETUP!$F$33="Upfront",N564,N565)</f>
        <v>0</v>
      </c>
      <c r="O563" s="920">
        <f t="shared" si="82"/>
        <v>0</v>
      </c>
      <c r="P563" s="1016">
        <f>IF(SETUP!$F$33="Upfront",P564,P565)</f>
        <v>0</v>
      </c>
      <c r="Q563" s="920">
        <f>IF(SETUP!$F$33="Upfront",Q564,Q565)</f>
        <v>0</v>
      </c>
      <c r="R563" s="920">
        <f>IF(SETUP!$F$33="Upfront",R564,R565)</f>
        <v>0</v>
      </c>
      <c r="S563" s="920">
        <f>IF(SETUP!$F$33="Upfront",S564,S565)</f>
        <v>0</v>
      </c>
      <c r="T563" s="920">
        <f t="shared" si="88"/>
        <v>0</v>
      </c>
      <c r="U563" s="1016">
        <f t="shared" si="89"/>
        <v>0</v>
      </c>
      <c r="V563" s="1344">
        <v>7.5</v>
      </c>
      <c r="W563" s="2011"/>
      <c r="X563" s="575"/>
      <c r="Y563" s="1350"/>
      <c r="Z563" s="655"/>
      <c r="AA563" s="686"/>
      <c r="AB563" s="686"/>
      <c r="AC563" s="686"/>
      <c r="AD563" s="686"/>
      <c r="AE563" s="686"/>
      <c r="AF563" s="686"/>
      <c r="AG563" s="686"/>
      <c r="AH563" s="687"/>
      <c r="AI563" s="686"/>
      <c r="AJ563" s="686"/>
      <c r="AK563" s="686"/>
      <c r="AL563" s="686"/>
      <c r="AM563" s="686"/>
      <c r="AN563" s="686"/>
      <c r="AO563" s="686"/>
      <c r="AP563" s="686"/>
      <c r="AQ563" s="686"/>
      <c r="AR563" s="686"/>
      <c r="AS563" s="686"/>
      <c r="AT563" s="686"/>
      <c r="AU563" s="686"/>
      <c r="AV563" s="686"/>
      <c r="AW563" s="686"/>
      <c r="AX563" s="686"/>
      <c r="AY563" s="686"/>
      <c r="AZ563" s="686"/>
      <c r="BA563" s="686"/>
      <c r="BB563" s="686"/>
      <c r="BC563" s="686"/>
      <c r="BD563" s="686"/>
      <c r="BE563" s="686"/>
      <c r="BF563" s="686"/>
      <c r="BG563" s="686"/>
      <c r="BH563" s="686"/>
      <c r="BI563" s="686"/>
      <c r="BJ563" s="686"/>
      <c r="BK563" s="686"/>
      <c r="BL563" s="686"/>
      <c r="BM563" s="686"/>
      <c r="BN563" s="686"/>
      <c r="BO563" s="686"/>
      <c r="BP563" s="686"/>
      <c r="BQ563" s="686"/>
      <c r="BR563" s="686"/>
      <c r="BS563" s="686"/>
      <c r="BT563" s="686"/>
    </row>
    <row r="564" spans="1:72" s="688" customFormat="1" ht="12.75" hidden="1" customHeight="1" outlineLevel="1">
      <c r="A564" s="3184"/>
      <c r="B564" s="3185"/>
      <c r="C564" s="3182" t="s">
        <v>777</v>
      </c>
      <c r="D564" s="3182"/>
      <c r="E564" s="1991"/>
      <c r="F564" s="1016">
        <f>IF(SETUP!$F$33="Upfront",$E$563*'HIV-Other HPs'!AX20,0)</f>
        <v>0</v>
      </c>
      <c r="G564" s="920">
        <f>IF(SETUP!$F$33="Upfront",$E$563*'HIV-Other HPs'!AY20,0)</f>
        <v>0</v>
      </c>
      <c r="H564" s="920">
        <f>IF(SETUP!$F$33="Upfront",$E$563*'HIV-Other HPs'!AZ20,0)</f>
        <v>0</v>
      </c>
      <c r="I564" s="920">
        <f>IF(SETUP!$F$33="Upfront",$E$563*'HIV-Other HPs'!BA20,0)</f>
        <v>0</v>
      </c>
      <c r="J564" s="920">
        <f t="shared" si="87"/>
        <v>0</v>
      </c>
      <c r="K564" s="1016">
        <f>IF(SETUP!$F$33="Upfront",$E$563*'HIV-Other HPs'!BB20,0)</f>
        <v>0</v>
      </c>
      <c r="L564" s="920">
        <f>IF(SETUP!$F$33="Upfront",$E$563*'HIV-Other HPs'!BC20,0)</f>
        <v>0</v>
      </c>
      <c r="M564" s="920">
        <f>IF(SETUP!$F$33="Upfront",$E$563*'HIV-Other HPs'!BD20,0)</f>
        <v>0</v>
      </c>
      <c r="N564" s="920">
        <f>IF(SETUP!$F$33="Upfront",$E$563*'HIV-Other HPs'!BE20,0)</f>
        <v>0</v>
      </c>
      <c r="O564" s="920">
        <f t="shared" ref="O564:O588" si="90">K564+L564+M564+N564</f>
        <v>0</v>
      </c>
      <c r="P564" s="1016">
        <f>IF(SETUP!$F$33="Upfront",$E$563*'HIV-Other HPs'!BF20,0)</f>
        <v>0</v>
      </c>
      <c r="Q564" s="920">
        <f>IF(SETUP!$F$33="Upfront",$E$563*'HIV-Other HPs'!BG20,0)</f>
        <v>0</v>
      </c>
      <c r="R564" s="920">
        <f>IF(SETUP!$F$33="Upfront",$E$563*'HIV-Other HPs'!BH20,0)</f>
        <v>0</v>
      </c>
      <c r="S564" s="920">
        <f>IF(SETUP!$F$33="Upfront",$E$563*'HIV-Other HPs'!BI20,0)</f>
        <v>0</v>
      </c>
      <c r="T564" s="920">
        <f t="shared" si="88"/>
        <v>0</v>
      </c>
      <c r="U564" s="1016">
        <f t="shared" si="89"/>
        <v>0</v>
      </c>
      <c r="V564" s="1344">
        <v>7.5</v>
      </c>
      <c r="W564" s="2011"/>
      <c r="X564" s="575"/>
      <c r="Y564" s="1350"/>
      <c r="Z564" s="655"/>
      <c r="AA564" s="686"/>
      <c r="AB564" s="686"/>
      <c r="AC564" s="686"/>
      <c r="AD564" s="686"/>
      <c r="AE564" s="686"/>
      <c r="AF564" s="686"/>
      <c r="AG564" s="686"/>
      <c r="AH564" s="687"/>
      <c r="AI564" s="686"/>
      <c r="AJ564" s="686"/>
      <c r="AK564" s="686"/>
      <c r="AL564" s="686"/>
      <c r="AM564" s="686"/>
      <c r="AN564" s="686"/>
      <c r="AO564" s="686"/>
      <c r="AP564" s="686"/>
      <c r="AQ564" s="686"/>
      <c r="AR564" s="686"/>
      <c r="AS564" s="686"/>
      <c r="AT564" s="686"/>
      <c r="AU564" s="686"/>
      <c r="AV564" s="686"/>
      <c r="AW564" s="686"/>
      <c r="AX564" s="686"/>
      <c r="AY564" s="686"/>
      <c r="AZ564" s="686"/>
      <c r="BA564" s="686"/>
      <c r="BB564" s="686"/>
      <c r="BC564" s="686"/>
      <c r="BD564" s="686"/>
      <c r="BE564" s="686"/>
      <c r="BF564" s="686"/>
      <c r="BG564" s="686"/>
      <c r="BH564" s="686"/>
      <c r="BI564" s="686"/>
      <c r="BJ564" s="686"/>
      <c r="BK564" s="686"/>
      <c r="BL564" s="686"/>
      <c r="BM564" s="686"/>
      <c r="BN564" s="686"/>
      <c r="BO564" s="686"/>
      <c r="BP564" s="686"/>
      <c r="BQ564" s="686"/>
      <c r="BR564" s="686"/>
      <c r="BS564" s="686"/>
      <c r="BT564" s="686"/>
    </row>
    <row r="565" spans="1:72" s="688" customFormat="1" ht="12.75" hidden="1" customHeight="1" outlineLevel="1">
      <c r="A565" s="3184"/>
      <c r="B565" s="3185"/>
      <c r="C565" s="3182" t="s">
        <v>36</v>
      </c>
      <c r="D565" s="3182"/>
      <c r="E565" s="1990"/>
      <c r="F565" s="1016">
        <v>0</v>
      </c>
      <c r="G565" s="920">
        <f>IF(SETUP!$F$33="At delivery",IF(SETUP!$G$33=1,$E$563*'HIV-Other HPs'!AX20,0),0)</f>
        <v>0</v>
      </c>
      <c r="H565" s="920">
        <f>IF(SETUP!$F$33="At delivery",IF(SETUP!$G$33=2,$E$563*'HIV-Other HPs'!AX20,IF(SETUP!$G$33=1,$E$563*'HIV-Other HPs'!AY20,0)),0)</f>
        <v>0</v>
      </c>
      <c r="I565" s="920">
        <f>IF(SETUP!$F$33="At delivery",IF(SETUP!$G$33=3,$E$563*'HIV-Other HPs'!AX20,IF(SETUP!$G$33=2,$E$563*'HIV-Other HPs'!AY20,IF(SETUP!$G$33=1,$E$563*'HIV-Other HPs'!AZ20,0))),0)</f>
        <v>0</v>
      </c>
      <c r="J565" s="920">
        <f t="shared" si="87"/>
        <v>0</v>
      </c>
      <c r="K565" s="1016">
        <f>IF(SETUP!$F$33="At delivery",IF(SETUP!$G$33=4,$E$563*'HIV-Other HPs'!AX20,IF(SETUP!$G$33=3,$E$563*'HIV-Other HPs'!AY20,IF(SETUP!$G$33=2,$E$563*'HIV-Other HPs'!AZ20,IF(SETUP!$G$33=1,$E$563*'HIV-Other HPs'!BA20,0)))),0)</f>
        <v>0</v>
      </c>
      <c r="L565" s="920">
        <f>IF(SETUP!$F$33="At delivery",IF(SETUP!$G$33=4,$E$563*'HIV-Other HPs'!AY20,IF(SETUP!$G$33=3,$E$563*'HIV-Other HPs'!AZ20,IF(SETUP!$G$33=2,$E$563*'HIV-Other HPs'!BA20,IF(SETUP!$G$33=1,$E$563*'HIV-Other HPs'!BB20,0)))),0)</f>
        <v>0</v>
      </c>
      <c r="M565" s="920">
        <f>IF(SETUP!$F$33="At delivery",IF(SETUP!$G$33=4,$E$563*'HIV-Other HPs'!AZ20,IF(SETUP!$G$33=3,$E$563*'HIV-Other HPs'!BA20,IF(SETUP!$G$33=2,$E$563*'HIV-Other HPs'!BB20,IF(SETUP!$G$33=1,$E$563*'HIV-Other HPs'!BC20,0)))),0)</f>
        <v>0</v>
      </c>
      <c r="N565" s="920">
        <f>IF(SETUP!$F$33="At delivery",IF(SETUP!$G$33=4,$E$563*'HIV-Other HPs'!BA20,IF(SETUP!$G$33=3,$E$563*'HIV-Other HPs'!BB20,IF(SETUP!$G$33=2,$E$563*'HIV-Other HPs'!BC20,IF(SETUP!$G$33=1,$E$563*'HIV-Other HPs'!BD20,0)))),0)</f>
        <v>0</v>
      </c>
      <c r="O565" s="920">
        <f t="shared" si="90"/>
        <v>0</v>
      </c>
      <c r="P565" s="1016">
        <f>IF(SETUP!$F$33="At delivery",IF(SETUP!$G$33=4,$E$563*'HIV-Other HPs'!BB20,IF(SETUP!$G$33=3,$E$563*'HIV-Other HPs'!BC20,IF(SETUP!$G$33=2,$E$563*'HIV-Other HPs'!BD20,IF(SETUP!$G$33=1,$E$563*'HIV-Other HPs'!BE20,0)))),0)</f>
        <v>0</v>
      </c>
      <c r="Q565" s="920">
        <f>IF(SETUP!$F$33="At delivery",IF(SETUP!$G$33=4,$E$563*'HIV-Other HPs'!BC20,IF(SETUP!$G$33=3,$E$563*'HIV-Other HPs'!BD20,IF(SETUP!$G$33=2,$E$563*'HIV-Other HPs'!BE20,IF(SETUP!$G$33=1,$E$563*'HIV-Other HPs'!BF20,0)))),0)</f>
        <v>0</v>
      </c>
      <c r="R565" s="920">
        <f>IF(SETUP!$F$33="At delivery",IF(SETUP!$G$33=4,$E$563*'HIV-Other HPs'!BD20,IF(SETUP!$G$33=3,$E$563*'HIV-Other HPs'!BE20,IF(SETUP!$G$33=2,$E$563*'HIV-Other HPs'!BF20,IF(SETUP!$G$33=1,$E$563*'HIV-Other HPs'!BG20,0)))),0)</f>
        <v>0</v>
      </c>
      <c r="S565" s="920">
        <f>IF(SETUP!$F$33="At delivery",IF(SETUP!$G$33=4,$E$563*('HIV-Other HPs'!BE20+'HIV-Other HPs'!BF20+'HIV-Other HPs'!BG20+'HIV-Other HPs'!BH20+'HIV-Other HPs'!BI20),IF(SETUP!$G$33=3,$E$563*('HIV-Other HPs'!BF20+'HIV-Other HPs'!BG20+'HIV-Other HPs'!BH20+'HIV-Other HPs'!BI20),IF(SETUP!$G$33=2,$E$563*('HIV-Other HPs'!BG20+'HIV-Other HPs'!BH20+'HIV-Other HPs'!BI20),IF(SETUP!$G$33=1,$E$563*('HIV-Other HPs'!BH20+'HIV-Other HPs'!BI20),0)))),0)</f>
        <v>0</v>
      </c>
      <c r="T565" s="920">
        <f t="shared" si="88"/>
        <v>0</v>
      </c>
      <c r="U565" s="1016">
        <f t="shared" si="89"/>
        <v>0</v>
      </c>
      <c r="V565" s="1344">
        <v>7.5</v>
      </c>
      <c r="W565" s="2011"/>
      <c r="X565" s="575"/>
      <c r="Y565" s="1350"/>
      <c r="Z565" s="655"/>
      <c r="AA565" s="686"/>
      <c r="AB565" s="686"/>
      <c r="AC565" s="686"/>
      <c r="AD565" s="686"/>
      <c r="AE565" s="686"/>
      <c r="AF565" s="686"/>
      <c r="AG565" s="686"/>
      <c r="AH565" s="687"/>
      <c r="AI565" s="686"/>
      <c r="AJ565" s="686"/>
      <c r="AK565" s="686"/>
      <c r="AL565" s="686"/>
      <c r="AM565" s="686"/>
      <c r="AN565" s="686"/>
      <c r="AO565" s="686"/>
      <c r="AP565" s="686"/>
      <c r="AQ565" s="686"/>
      <c r="AR565" s="686"/>
      <c r="AS565" s="686"/>
      <c r="AT565" s="686"/>
      <c r="AU565" s="686"/>
      <c r="AV565" s="686"/>
      <c r="AW565" s="686"/>
      <c r="AX565" s="686"/>
      <c r="AY565" s="686"/>
      <c r="AZ565" s="686"/>
      <c r="BA565" s="686"/>
      <c r="BB565" s="686"/>
      <c r="BC565" s="686"/>
      <c r="BD565" s="686"/>
      <c r="BE565" s="686"/>
      <c r="BF565" s="686"/>
      <c r="BG565" s="686"/>
      <c r="BH565" s="686"/>
      <c r="BI565" s="686"/>
      <c r="BJ565" s="686"/>
      <c r="BK565" s="686"/>
      <c r="BL565" s="686"/>
      <c r="BM565" s="686"/>
      <c r="BN565" s="686"/>
      <c r="BO565" s="686"/>
      <c r="BP565" s="686"/>
      <c r="BQ565" s="686"/>
      <c r="BR565" s="686"/>
      <c r="BS565" s="686"/>
      <c r="BT565" s="686"/>
    </row>
    <row r="566" spans="1:72" s="688" customFormat="1" ht="13.5" hidden="1" collapsed="1" thickBot="1">
      <c r="A566" s="3186" t="s">
        <v>444</v>
      </c>
      <c r="B566" s="3187"/>
      <c r="C566" s="3188" t="s">
        <v>445</v>
      </c>
      <c r="D566" s="3188"/>
      <c r="E566" s="1245">
        <v>0</v>
      </c>
      <c r="F566" s="1016">
        <f>IF(SETUP!$F$36="Upfront",F567,F568)</f>
        <v>0</v>
      </c>
      <c r="G566" s="920">
        <f>IF(SETUP!$F$36="Upfront",G567,G568)</f>
        <v>0</v>
      </c>
      <c r="H566" s="920">
        <f>IF(SETUP!$F$36="Upfront",H567,H568)</f>
        <v>0</v>
      </c>
      <c r="I566" s="920">
        <f>IF(SETUP!$F$36="Upfront",I567,I568)</f>
        <v>0</v>
      </c>
      <c r="J566" s="920">
        <f t="shared" si="87"/>
        <v>0</v>
      </c>
      <c r="K566" s="1016">
        <f>IF(SETUP!$F$36="Upfront",K567,K568)</f>
        <v>0</v>
      </c>
      <c r="L566" s="920">
        <f>IF(SETUP!$F$36="Upfront",L567,L568)</f>
        <v>0</v>
      </c>
      <c r="M566" s="920">
        <f>IF(SETUP!$F$36="Upfront",M567,M568)</f>
        <v>0</v>
      </c>
      <c r="N566" s="920">
        <f>IF(SETUP!$F$36="Upfront",N567,N568)</f>
        <v>0</v>
      </c>
      <c r="O566" s="920">
        <f t="shared" si="90"/>
        <v>0</v>
      </c>
      <c r="P566" s="1016">
        <f>IF(SETUP!$F$36="Upfront",P567,P568)</f>
        <v>0</v>
      </c>
      <c r="Q566" s="920">
        <f>IF(SETUP!$F$36="Upfront",Q567,Q568)</f>
        <v>0</v>
      </c>
      <c r="R566" s="920">
        <f>IF(SETUP!$F$36="Upfront",R567,R568)</f>
        <v>0</v>
      </c>
      <c r="S566" s="920">
        <f>IF(SETUP!$F$36="Upfront",S567,S568)</f>
        <v>0</v>
      </c>
      <c r="T566" s="920">
        <f t="shared" si="88"/>
        <v>0</v>
      </c>
      <c r="U566" s="1016">
        <f t="shared" si="89"/>
        <v>0</v>
      </c>
      <c r="V566" s="1344">
        <v>7.5</v>
      </c>
      <c r="W566" s="2011"/>
      <c r="X566" s="575"/>
      <c r="Y566" s="1350"/>
      <c r="Z566" s="655"/>
      <c r="AA566" s="686"/>
      <c r="AB566" s="686"/>
      <c r="AC566" s="686"/>
      <c r="AD566" s="686"/>
      <c r="AE566" s="686"/>
      <c r="AF566" s="686"/>
      <c r="AG566" s="686"/>
      <c r="AH566" s="687"/>
      <c r="AI566" s="686"/>
      <c r="AJ566" s="686"/>
      <c r="AK566" s="686"/>
      <c r="AL566" s="686"/>
      <c r="AM566" s="686"/>
      <c r="AN566" s="686"/>
      <c r="AO566" s="686"/>
      <c r="AP566" s="686"/>
      <c r="AQ566" s="686"/>
      <c r="AR566" s="686"/>
      <c r="AS566" s="686"/>
      <c r="AT566" s="686"/>
      <c r="AU566" s="686"/>
      <c r="AV566" s="686"/>
      <c r="AW566" s="686"/>
      <c r="AX566" s="686"/>
      <c r="AY566" s="686"/>
      <c r="AZ566" s="686"/>
      <c r="BA566" s="686"/>
      <c r="BB566" s="686"/>
      <c r="BC566" s="686"/>
      <c r="BD566" s="686"/>
      <c r="BE566" s="686"/>
      <c r="BF566" s="686"/>
      <c r="BG566" s="686"/>
      <c r="BH566" s="686"/>
      <c r="BI566" s="686"/>
      <c r="BJ566" s="686"/>
      <c r="BK566" s="686"/>
      <c r="BL566" s="686"/>
      <c r="BM566" s="686"/>
      <c r="BN566" s="686"/>
      <c r="BO566" s="686"/>
      <c r="BP566" s="686"/>
      <c r="BQ566" s="686"/>
      <c r="BR566" s="686"/>
      <c r="BS566" s="686"/>
      <c r="BT566" s="686"/>
    </row>
    <row r="567" spans="1:72" s="688" customFormat="1" ht="12.75" hidden="1" customHeight="1" outlineLevel="1">
      <c r="A567" s="3186"/>
      <c r="B567" s="3187"/>
      <c r="C567" s="3182" t="s">
        <v>777</v>
      </c>
      <c r="D567" s="3182"/>
      <c r="E567" s="1246"/>
      <c r="F567" s="1016">
        <f>IF(SETUP!$F$36="Upfront",$E$566*'TB-Pharmaceuticals'!AX14,0)</f>
        <v>0</v>
      </c>
      <c r="G567" s="920">
        <f>IF(SETUP!$F$36="Upfront",$E$566*'TB-Pharmaceuticals'!AY14,0)</f>
        <v>0</v>
      </c>
      <c r="H567" s="920">
        <f>IF(SETUP!$F$36="Upfront",$E$566*'TB-Pharmaceuticals'!AZ14,0)</f>
        <v>0</v>
      </c>
      <c r="I567" s="920">
        <f>IF(SETUP!$F$36="Upfront",$E$566*'TB-Pharmaceuticals'!BA14,0)</f>
        <v>0</v>
      </c>
      <c r="J567" s="920">
        <f t="shared" si="87"/>
        <v>0</v>
      </c>
      <c r="K567" s="1016">
        <f>IF(SETUP!$F$36="Upfront",$E$566*'TB-Pharmaceuticals'!BB14,0)</f>
        <v>0</v>
      </c>
      <c r="L567" s="920">
        <f>IF(SETUP!$F$36="Upfront",$E$566*'TB-Pharmaceuticals'!BC14,0)</f>
        <v>0</v>
      </c>
      <c r="M567" s="920">
        <f>IF(SETUP!$F$36="Upfront",$E$566*'TB-Pharmaceuticals'!BD14,0)</f>
        <v>0</v>
      </c>
      <c r="N567" s="920">
        <f>IF(SETUP!$F$36="Upfront",$E$566*'TB-Pharmaceuticals'!BE14,0)</f>
        <v>0</v>
      </c>
      <c r="O567" s="920">
        <f t="shared" si="90"/>
        <v>0</v>
      </c>
      <c r="P567" s="1016">
        <f>IF(SETUP!$F$36="Upfront",$E$566*'TB-Pharmaceuticals'!BF14,0)</f>
        <v>0</v>
      </c>
      <c r="Q567" s="920">
        <f>IF(SETUP!$F$36="Upfront",$E$566*'TB-Pharmaceuticals'!BG14,0)</f>
        <v>0</v>
      </c>
      <c r="R567" s="920">
        <f>IF(SETUP!$F$36="Upfront",$E$566*'TB-Pharmaceuticals'!BH14,0)</f>
        <v>0</v>
      </c>
      <c r="S567" s="920">
        <f>IF(SETUP!$F$36="Upfront",$E$566*'TB-Pharmaceuticals'!BI14,0)</f>
        <v>0</v>
      </c>
      <c r="T567" s="920">
        <f t="shared" si="88"/>
        <v>0</v>
      </c>
      <c r="U567" s="1016">
        <f t="shared" si="89"/>
        <v>0</v>
      </c>
      <c r="V567" s="1344">
        <v>7.5</v>
      </c>
      <c r="W567" s="2011"/>
      <c r="X567" s="575"/>
      <c r="Y567" s="1350"/>
      <c r="Z567" s="655"/>
      <c r="AA567" s="686"/>
      <c r="AB567" s="686"/>
      <c r="AC567" s="686"/>
      <c r="AD567" s="686"/>
      <c r="AE567" s="686"/>
      <c r="AF567" s="686"/>
      <c r="AG567" s="686"/>
      <c r="AH567" s="687"/>
      <c r="AI567" s="686"/>
      <c r="AJ567" s="686"/>
      <c r="AK567" s="686"/>
      <c r="AL567" s="686"/>
      <c r="AM567" s="686"/>
      <c r="AN567" s="686"/>
      <c r="AO567" s="686"/>
      <c r="AP567" s="686"/>
      <c r="AQ567" s="686"/>
      <c r="AR567" s="686"/>
      <c r="AS567" s="686"/>
      <c r="AT567" s="686"/>
      <c r="AU567" s="686"/>
      <c r="AV567" s="686"/>
      <c r="AW567" s="686"/>
      <c r="AX567" s="686"/>
      <c r="AY567" s="686"/>
      <c r="AZ567" s="686"/>
      <c r="BA567" s="686"/>
      <c r="BB567" s="686"/>
      <c r="BC567" s="686"/>
      <c r="BD567" s="686"/>
      <c r="BE567" s="686"/>
      <c r="BF567" s="686"/>
      <c r="BG567" s="686"/>
      <c r="BH567" s="686"/>
      <c r="BI567" s="686"/>
      <c r="BJ567" s="686"/>
      <c r="BK567" s="686"/>
      <c r="BL567" s="686"/>
      <c r="BM567" s="686"/>
      <c r="BN567" s="686"/>
      <c r="BO567" s="686"/>
      <c r="BP567" s="686"/>
      <c r="BQ567" s="686"/>
      <c r="BR567" s="686"/>
      <c r="BS567" s="686"/>
      <c r="BT567" s="686"/>
    </row>
    <row r="568" spans="1:72" s="688" customFormat="1" ht="12.75" hidden="1" customHeight="1" outlineLevel="1">
      <c r="A568" s="3186"/>
      <c r="B568" s="3187"/>
      <c r="C568" s="3182" t="s">
        <v>36</v>
      </c>
      <c r="D568" s="3182"/>
      <c r="E568" s="1991"/>
      <c r="F568" s="1016">
        <v>0</v>
      </c>
      <c r="G568" s="920">
        <f>IF(SETUP!$F$36="At delivery",IF(SETUP!$G$36=1,$E$566*'TB-Pharmaceuticals'!AX14,0),0)</f>
        <v>0</v>
      </c>
      <c r="H568" s="920">
        <f>IF(SETUP!$F$36="At delivery",IF(SETUP!$G$36=2,$E$566*'TB-Pharmaceuticals'!AX14,IF(SETUP!$G$36=1,$E$566*'TB-Pharmaceuticals'!AY14,0)),0)</f>
        <v>0</v>
      </c>
      <c r="I568" s="920">
        <f>IF(SETUP!$F$36="At delivery",IF(SETUP!$G$36=3,$E$566*'TB-Pharmaceuticals'!AX14,IF(SETUP!$G$36=2,$E$566*'TB-Pharmaceuticals'!AY14,IF(SETUP!$G$36=1,$E$566*'TB-Pharmaceuticals'!AZ14,0))),0)</f>
        <v>0</v>
      </c>
      <c r="J568" s="920">
        <f t="shared" si="87"/>
        <v>0</v>
      </c>
      <c r="K568" s="1016">
        <f>IF(SETUP!$F$36="At delivery",IF(SETUP!$G$36=4,$E$566*'TB-Pharmaceuticals'!AX14,IF(SETUP!$G$36=3,$E$566*'TB-Pharmaceuticals'!AY14,IF(SETUP!$G$36=2,$E$566*'TB-Pharmaceuticals'!AZ14,IF(SETUP!$G$36=1,$E$566*'TB-Pharmaceuticals'!BA14,0)))),0)</f>
        <v>0</v>
      </c>
      <c r="L568" s="920">
        <f>IF(SETUP!$F$36="At delivery",IF(SETUP!$G$36=4,$E$566*'TB-Pharmaceuticals'!AY14,IF(SETUP!$G$36=3,$E$566*'TB-Pharmaceuticals'!AZ14,IF(SETUP!$G$36=2,$E$566*'TB-Pharmaceuticals'!BA14,IF(SETUP!$G$36=1,$E$566*'TB-Pharmaceuticals'!BB14,0)))),0)</f>
        <v>0</v>
      </c>
      <c r="M568" s="920">
        <f>IF(SETUP!$F$36="At delivery",IF(SETUP!$G$36=4,$E$566*'TB-Pharmaceuticals'!AZ14,IF(SETUP!$G$36=3,$E$566*'TB-Pharmaceuticals'!BA14,IF(SETUP!$G$36=2,$E$566*'TB-Pharmaceuticals'!BB14,IF(SETUP!$G$36=1,$E$566*'TB-Pharmaceuticals'!BC14,0)))),0)</f>
        <v>0</v>
      </c>
      <c r="N568" s="920">
        <f>IF(SETUP!$F$36="At delivery",IF(SETUP!$G$36=4,$E$566*'TB-Pharmaceuticals'!BA14,IF(SETUP!$G$36=3,$E$566*'TB-Pharmaceuticals'!BB14,IF(SETUP!$G$36=2,$E$566*'TB-Pharmaceuticals'!BC14,IF(SETUP!$G$36=1,$E$566*'TB-Pharmaceuticals'!BD14,0)))),0)</f>
        <v>0</v>
      </c>
      <c r="O568" s="920">
        <f t="shared" si="90"/>
        <v>0</v>
      </c>
      <c r="P568" s="1016">
        <f>IF(SETUP!$F$36="At delivery",IF(SETUP!$G$36=4,$E$566*'TB-Pharmaceuticals'!BB14,IF(SETUP!$G$36=3,$E$566*'TB-Pharmaceuticals'!BC14,IF(SETUP!$G$36=2,$E$566*'TB-Pharmaceuticals'!BD14,IF(SETUP!$G$36=1,$E$566*'TB-Pharmaceuticals'!BE14,0)))),0)</f>
        <v>0</v>
      </c>
      <c r="Q568" s="920">
        <f>IF(SETUP!$F$36="At delivery",IF(SETUP!$G$36=4,$E$566*'TB-Pharmaceuticals'!BC14,IF(SETUP!$G$36=3,$E$566*'TB-Pharmaceuticals'!BD14,IF(SETUP!$G$36=2,$E$566*'TB-Pharmaceuticals'!BE14,IF(SETUP!$G$36=1,$E$566*'TB-Pharmaceuticals'!BF14,0)))),0)</f>
        <v>0</v>
      </c>
      <c r="R568" s="920">
        <f>IF(SETUP!$F$36="At delivery",IF(SETUP!$G$36=4,$E$566*'TB-Pharmaceuticals'!BD14,IF(SETUP!$G$36=3,$E$566*'TB-Pharmaceuticals'!BE14,IF(SETUP!$G$36=2,$E$566*'TB-Pharmaceuticals'!BF14,IF(SETUP!$G$36=1,$E$566*'TB-Pharmaceuticals'!BG14,0)))),0)</f>
        <v>0</v>
      </c>
      <c r="S568" s="920">
        <f>IF(SETUP!$F$36="At delivery",IF(SETUP!$G$36=4,$E$566*('TB-Pharmaceuticals'!BE14+'TB-Pharmaceuticals'!BF14+'TB-Pharmaceuticals'!BG14+'TB-Pharmaceuticals'!BH14+'TB-Pharmaceuticals'!BI14),IF(SETUP!$G$36=3,$E$566*('TB-Pharmaceuticals'!BF14+'TB-Pharmaceuticals'!BG14+'TB-Pharmaceuticals'!BH14+'TB-Pharmaceuticals'!BI14),IF(SETUP!$G$36=2,$E$566*('TB-Pharmaceuticals'!BG14+'TB-Pharmaceuticals'!BH14+'TB-Pharmaceuticals'!BI14),IF(SETUP!$G$36=1,$E$566*('TB-Pharmaceuticals'!BH14+'TB-Pharmaceuticals'!BI14),0)))),0)</f>
        <v>0</v>
      </c>
      <c r="T568" s="920">
        <f t="shared" si="88"/>
        <v>0</v>
      </c>
      <c r="U568" s="1016">
        <f t="shared" si="89"/>
        <v>0</v>
      </c>
      <c r="V568" s="1344">
        <v>7.5</v>
      </c>
      <c r="W568" s="2011"/>
      <c r="X568" s="575"/>
      <c r="Y568" s="1350"/>
      <c r="Z568" s="655"/>
      <c r="AA568" s="686"/>
      <c r="AB568" s="686"/>
      <c r="AC568" s="686"/>
      <c r="AD568" s="686"/>
      <c r="AE568" s="686"/>
      <c r="AF568" s="686"/>
      <c r="AG568" s="686"/>
      <c r="AH568" s="687"/>
      <c r="AI568" s="686"/>
      <c r="AJ568" s="686"/>
      <c r="AK568" s="686"/>
      <c r="AL568" s="686"/>
      <c r="AM568" s="686"/>
      <c r="AN568" s="686"/>
      <c r="AO568" s="686"/>
      <c r="AP568" s="686"/>
      <c r="AQ568" s="686"/>
      <c r="AR568" s="686"/>
      <c r="AS568" s="686"/>
      <c r="AT568" s="686"/>
      <c r="AU568" s="686"/>
      <c r="AV568" s="686"/>
      <c r="AW568" s="686"/>
      <c r="AX568" s="686"/>
      <c r="AY568" s="686"/>
      <c r="AZ568" s="686"/>
      <c r="BA568" s="686"/>
      <c r="BB568" s="686"/>
      <c r="BC568" s="686"/>
      <c r="BD568" s="686"/>
      <c r="BE568" s="686"/>
      <c r="BF568" s="686"/>
      <c r="BG568" s="686"/>
      <c r="BH568" s="686"/>
      <c r="BI568" s="686"/>
      <c r="BJ568" s="686"/>
      <c r="BK568" s="686"/>
      <c r="BL568" s="686"/>
      <c r="BM568" s="686"/>
      <c r="BN568" s="686"/>
      <c r="BO568" s="686"/>
      <c r="BP568" s="686"/>
      <c r="BQ568" s="686"/>
      <c r="BR568" s="686"/>
      <c r="BS568" s="686"/>
      <c r="BT568" s="686"/>
    </row>
    <row r="569" spans="1:72" s="688" customFormat="1" ht="13.5" hidden="1" collapsed="1" thickBot="1">
      <c r="A569" s="3186"/>
      <c r="B569" s="3187"/>
      <c r="C569" s="3188" t="s">
        <v>446</v>
      </c>
      <c r="D569" s="3188"/>
      <c r="E569" s="1245">
        <v>0</v>
      </c>
      <c r="F569" s="1016">
        <f>IF(SETUP!$F$38="Upfront",F570,F571)</f>
        <v>0</v>
      </c>
      <c r="G569" s="920">
        <f>IF(SETUP!$F$38="Upfront",G570,G571)</f>
        <v>0</v>
      </c>
      <c r="H569" s="920">
        <f>IF(SETUP!$F$38="Upfront",H570,H571)</f>
        <v>0</v>
      </c>
      <c r="I569" s="920">
        <f>IF(SETUP!$F$38="Upfront",I570,I571)</f>
        <v>0</v>
      </c>
      <c r="J569" s="920">
        <f t="shared" si="87"/>
        <v>0</v>
      </c>
      <c r="K569" s="1016">
        <f>IF(SETUP!$F$38="Upfront",K570,K571)</f>
        <v>0</v>
      </c>
      <c r="L569" s="920">
        <f>IF(SETUP!$F$38="Upfront",L570,L571)</f>
        <v>0</v>
      </c>
      <c r="M569" s="920">
        <f>IF(SETUP!$F$38="Upfront",M570,M571)</f>
        <v>0</v>
      </c>
      <c r="N569" s="920">
        <f>IF(SETUP!$F$38="Upfront",N570,N571)</f>
        <v>0</v>
      </c>
      <c r="O569" s="920">
        <f t="shared" si="90"/>
        <v>0</v>
      </c>
      <c r="P569" s="1016">
        <f>IF(SETUP!$F$38="Upfront",P570,P571)</f>
        <v>0</v>
      </c>
      <c r="Q569" s="920">
        <f>IF(SETUP!$F$38="Upfront",Q570,Q571)</f>
        <v>0</v>
      </c>
      <c r="R569" s="920">
        <f>IF(SETUP!$F$38="Upfront",R570,R571)</f>
        <v>0</v>
      </c>
      <c r="S569" s="920">
        <f>IF(SETUP!$F$38="Upfront",S570,S571)</f>
        <v>0</v>
      </c>
      <c r="T569" s="920">
        <f t="shared" si="88"/>
        <v>0</v>
      </c>
      <c r="U569" s="1016">
        <f t="shared" si="89"/>
        <v>0</v>
      </c>
      <c r="V569" s="1344">
        <v>7.5</v>
      </c>
      <c r="W569" s="2011"/>
      <c r="X569" s="575"/>
      <c r="Y569" s="1350"/>
      <c r="Z569" s="655"/>
      <c r="AA569" s="686"/>
      <c r="AB569" s="686"/>
      <c r="AC569" s="686"/>
      <c r="AD569" s="686"/>
      <c r="AE569" s="686"/>
      <c r="AF569" s="686"/>
      <c r="AG569" s="686"/>
      <c r="AH569" s="687"/>
      <c r="AI569" s="686"/>
      <c r="AJ569" s="686"/>
      <c r="AK569" s="686"/>
      <c r="AL569" s="686"/>
      <c r="AM569" s="686"/>
      <c r="AN569" s="686"/>
      <c r="AO569" s="686"/>
      <c r="AP569" s="686"/>
      <c r="AQ569" s="686"/>
      <c r="AR569" s="686"/>
      <c r="AS569" s="686"/>
      <c r="AT569" s="686"/>
      <c r="AU569" s="686"/>
      <c r="AV569" s="686"/>
      <c r="AW569" s="686"/>
      <c r="AX569" s="686"/>
      <c r="AY569" s="686"/>
      <c r="AZ569" s="686"/>
      <c r="BA569" s="686"/>
      <c r="BB569" s="686"/>
      <c r="BC569" s="686"/>
      <c r="BD569" s="686"/>
      <c r="BE569" s="686"/>
      <c r="BF569" s="686"/>
      <c r="BG569" s="686"/>
      <c r="BH569" s="686"/>
      <c r="BI569" s="686"/>
      <c r="BJ569" s="686"/>
      <c r="BK569" s="686"/>
      <c r="BL569" s="686"/>
      <c r="BM569" s="686"/>
      <c r="BN569" s="686"/>
      <c r="BO569" s="686"/>
      <c r="BP569" s="686"/>
      <c r="BQ569" s="686"/>
      <c r="BR569" s="686"/>
      <c r="BS569" s="686"/>
      <c r="BT569" s="686"/>
    </row>
    <row r="570" spans="1:72" s="688" customFormat="1" ht="12.75" hidden="1" customHeight="1" outlineLevel="1">
      <c r="A570" s="3186"/>
      <c r="B570" s="3187"/>
      <c r="C570" s="3182" t="s">
        <v>777</v>
      </c>
      <c r="D570" s="3182"/>
      <c r="E570" s="1991"/>
      <c r="F570" s="1016">
        <f>IF(SETUP!$F$38="Upfront",$E$569*'TB-Pharmaceuticals'!AX15,0)</f>
        <v>0</v>
      </c>
      <c r="G570" s="920">
        <f>IF(SETUP!$F$38="Upfront",$E$569*'TB-Pharmaceuticals'!AY15,0)</f>
        <v>0</v>
      </c>
      <c r="H570" s="920">
        <f>IF(SETUP!$F$38="Upfront",$E$569*'TB-Pharmaceuticals'!AZ15,0)</f>
        <v>0</v>
      </c>
      <c r="I570" s="920">
        <f>IF(SETUP!$F$38="Upfront",$E$569*'TB-Pharmaceuticals'!BA15,0)</f>
        <v>0</v>
      </c>
      <c r="J570" s="920">
        <f t="shared" si="87"/>
        <v>0</v>
      </c>
      <c r="K570" s="1016">
        <f>IF(SETUP!$F$38="Upfront",$E$569*'TB-Pharmaceuticals'!BB15,0)</f>
        <v>0</v>
      </c>
      <c r="L570" s="920">
        <f>IF(SETUP!$F$38="Upfront",$E$569*'TB-Pharmaceuticals'!BC15,0)</f>
        <v>0</v>
      </c>
      <c r="M570" s="920">
        <f>IF(SETUP!$F$38="Upfront",$E$569*'TB-Pharmaceuticals'!BD15,0)</f>
        <v>0</v>
      </c>
      <c r="N570" s="920">
        <f>IF(SETUP!$F$38="Upfront",$E$569*'TB-Pharmaceuticals'!BE15,0)</f>
        <v>0</v>
      </c>
      <c r="O570" s="920">
        <f t="shared" si="90"/>
        <v>0</v>
      </c>
      <c r="P570" s="1016">
        <f>IF(SETUP!$F$38="Upfront",$E$569*'TB-Pharmaceuticals'!BF15,0)</f>
        <v>0</v>
      </c>
      <c r="Q570" s="920">
        <f>IF(SETUP!$F$38="Upfront",$E$569*'TB-Pharmaceuticals'!BG15,0)</f>
        <v>0</v>
      </c>
      <c r="R570" s="920">
        <f>IF(SETUP!$F$38="Upfront",$E$569*'TB-Pharmaceuticals'!BH15,0)</f>
        <v>0</v>
      </c>
      <c r="S570" s="920">
        <f>IF(SETUP!$F$38="Upfront",$E$569*'TB-Pharmaceuticals'!BI15,0)</f>
        <v>0</v>
      </c>
      <c r="T570" s="920">
        <f t="shared" si="88"/>
        <v>0</v>
      </c>
      <c r="U570" s="1016">
        <f t="shared" si="89"/>
        <v>0</v>
      </c>
      <c r="V570" s="1344">
        <v>7.5</v>
      </c>
      <c r="W570" s="2011"/>
      <c r="X570" s="575"/>
      <c r="Y570" s="1350"/>
      <c r="Z570" s="655"/>
      <c r="AA570" s="686"/>
      <c r="AB570" s="686"/>
      <c r="AC570" s="686"/>
      <c r="AD570" s="686"/>
      <c r="AE570" s="686"/>
      <c r="AF570" s="686"/>
      <c r="AG570" s="686"/>
      <c r="AH570" s="687"/>
      <c r="AI570" s="686"/>
      <c r="AJ570" s="686"/>
      <c r="AK570" s="686"/>
      <c r="AL570" s="686"/>
      <c r="AM570" s="686"/>
      <c r="AN570" s="686"/>
      <c r="AO570" s="686"/>
      <c r="AP570" s="686"/>
      <c r="AQ570" s="686"/>
      <c r="AR570" s="686"/>
      <c r="AS570" s="686"/>
      <c r="AT570" s="686"/>
      <c r="AU570" s="686"/>
      <c r="AV570" s="686"/>
      <c r="AW570" s="686"/>
      <c r="AX570" s="686"/>
      <c r="AY570" s="686"/>
      <c r="AZ570" s="686"/>
      <c r="BA570" s="686"/>
      <c r="BB570" s="686"/>
      <c r="BC570" s="686"/>
      <c r="BD570" s="686"/>
      <c r="BE570" s="686"/>
      <c r="BF570" s="686"/>
      <c r="BG570" s="686"/>
      <c r="BH570" s="686"/>
      <c r="BI570" s="686"/>
      <c r="BJ570" s="686"/>
      <c r="BK570" s="686"/>
      <c r="BL570" s="686"/>
      <c r="BM570" s="686"/>
      <c r="BN570" s="686"/>
      <c r="BO570" s="686"/>
      <c r="BP570" s="686"/>
      <c r="BQ570" s="686"/>
      <c r="BR570" s="686"/>
      <c r="BS570" s="686"/>
      <c r="BT570" s="686"/>
    </row>
    <row r="571" spans="1:72" s="688" customFormat="1" ht="12.75" hidden="1" customHeight="1" outlineLevel="1">
      <c r="A571" s="3186"/>
      <c r="B571" s="3187"/>
      <c r="C571" s="3182" t="s">
        <v>36</v>
      </c>
      <c r="D571" s="3182"/>
      <c r="E571" s="1246"/>
      <c r="F571" s="1016">
        <v>0</v>
      </c>
      <c r="G571" s="920">
        <f>IF(SETUP!$F$38="At delivery",IF(SETUP!$G$38=1,$E$569*'TB-Pharmaceuticals'!AX15,0),0)</f>
        <v>0</v>
      </c>
      <c r="H571" s="920">
        <f>IF(SETUP!$F$38="At delivery",IF(SETUP!$G$38=2,$E$569*'TB-Pharmaceuticals'!AX15,IF(SETUP!$G$38=1,$E$569*'TB-Pharmaceuticals'!AY15,0)),0)</f>
        <v>0</v>
      </c>
      <c r="I571" s="920">
        <f>IF(SETUP!$F$38="At delivery",IF(SETUP!$G$38=3,$E$569*'TB-Pharmaceuticals'!AX15,IF(SETUP!$G$38=2,$E$569*'TB-Pharmaceuticals'!AY15,IF(SETUP!$G$38=1,$E$569*'TB-Pharmaceuticals'!AZ15,0))),0)</f>
        <v>0</v>
      </c>
      <c r="J571" s="920">
        <f t="shared" si="87"/>
        <v>0</v>
      </c>
      <c r="K571" s="1016">
        <f>IF(SETUP!$F$38="At delivery",IF(SETUP!$G$38=4,$E$569*'TB-Pharmaceuticals'!AX15,IF(SETUP!$G$38=3,$E$569*'TB-Pharmaceuticals'!AY15,IF(SETUP!$G$38=2,$E$569*'TB-Pharmaceuticals'!AZ15,IF(SETUP!$G$38=1,$E$569*'TB-Pharmaceuticals'!BA15,0)))),0)</f>
        <v>0</v>
      </c>
      <c r="L571" s="920">
        <f>IF(SETUP!$F$38="At delivery",IF(SETUP!$G$38=4,$E$569*'TB-Pharmaceuticals'!AY15,IF(SETUP!$G$38=3,$E$569*'TB-Pharmaceuticals'!AZ15,IF(SETUP!$G$38=2,$E$569*'TB-Pharmaceuticals'!BA15,IF(SETUP!$G$38=1,$E$569*'TB-Pharmaceuticals'!BB15,0)))),0)</f>
        <v>0</v>
      </c>
      <c r="M571" s="920">
        <f>IF(SETUP!$F$38="At delivery",IF(SETUP!$G$38=4,$E$569*'TB-Pharmaceuticals'!AZ15,IF(SETUP!$G$38=3,$E$569*'TB-Pharmaceuticals'!BA15,IF(SETUP!$G$38=2,$E$569*'TB-Pharmaceuticals'!BB15,IF(SETUP!$G$38=1,$E$569*'TB-Pharmaceuticals'!BC15,0)))),0)</f>
        <v>0</v>
      </c>
      <c r="N571" s="920">
        <f>IF(SETUP!$F$38="At delivery",IF(SETUP!$G$38=4,$E$569*'TB-Pharmaceuticals'!BA15,IF(SETUP!$G$38=3,$E$569*'TB-Pharmaceuticals'!BB15,IF(SETUP!$G$38=2,$E$569*'TB-Pharmaceuticals'!BC15,IF(SETUP!$G$38=1,$E$569*'TB-Pharmaceuticals'!BD15,0)))),0)</f>
        <v>0</v>
      </c>
      <c r="O571" s="920">
        <f t="shared" si="90"/>
        <v>0</v>
      </c>
      <c r="P571" s="1016">
        <f>IF(SETUP!$F$38="At delivery",IF(SETUP!$G$38=4,$E$569*'TB-Pharmaceuticals'!BB15,IF(SETUP!$G$38=3,$E$569*'TB-Pharmaceuticals'!BC15,IF(SETUP!$G$38=2,$E$569*'TB-Pharmaceuticals'!BD15,IF(SETUP!$G$38=1,$E$569*'TB-Pharmaceuticals'!BE15,0)))),0)</f>
        <v>0</v>
      </c>
      <c r="Q571" s="920">
        <f>IF(SETUP!$F$38="At delivery",IF(SETUP!$G$38=4,$E$569*'TB-Pharmaceuticals'!BC15,IF(SETUP!$G$38=3,$E$569*'TB-Pharmaceuticals'!BD15,IF(SETUP!$G$38=2,$E$569*'TB-Pharmaceuticals'!BE15,IF(SETUP!$G$38=1,$E$569*'TB-Pharmaceuticals'!BF15,0)))),0)</f>
        <v>0</v>
      </c>
      <c r="R571" s="920">
        <f>IF(SETUP!$F$38="At delivery",IF(SETUP!$G$38=4,$E$569*'TB-Pharmaceuticals'!BD15,IF(SETUP!$G$38=3,$E$569*'TB-Pharmaceuticals'!BE15,IF(SETUP!$G$38=2,$E$569*'TB-Pharmaceuticals'!BF15,IF(SETUP!$G$38=1,$E$569*'TB-Pharmaceuticals'!BG15,0)))),0)</f>
        <v>0</v>
      </c>
      <c r="S571" s="920">
        <f>IF(SETUP!$F$38="At delivery",IF(SETUP!$G$38=4,$E$569*('TB-Pharmaceuticals'!BE15+'TB-Pharmaceuticals'!BF15+'TB-Pharmaceuticals'!BG15+'TB-Pharmaceuticals'!BH15+'TB-Pharmaceuticals'!BI15),IF(SETUP!$G$38=3,$E$569*('TB-Pharmaceuticals'!BF15+'TB-Pharmaceuticals'!BG15+'TB-Pharmaceuticals'!BH15+'TB-Pharmaceuticals'!BI15),IF(SETUP!$G$38=2,$E$569*('TB-Pharmaceuticals'!BG15+'TB-Pharmaceuticals'!BH15+'TB-Pharmaceuticals'!BI15),IF(SETUP!$G$38=1,$E$569*('TB-Pharmaceuticals'!BH15+'TB-Pharmaceuticals'!BI15),0)))),0)</f>
        <v>0</v>
      </c>
      <c r="T571" s="920">
        <f t="shared" si="88"/>
        <v>0</v>
      </c>
      <c r="U571" s="1016">
        <f t="shared" si="89"/>
        <v>0</v>
      </c>
      <c r="V571" s="1344">
        <v>7.5</v>
      </c>
      <c r="W571" s="2011"/>
      <c r="X571" s="575"/>
      <c r="Y571" s="1350"/>
      <c r="Z571" s="655"/>
      <c r="AA571" s="686"/>
      <c r="AB571" s="686"/>
      <c r="AC571" s="686"/>
      <c r="AD571" s="686"/>
      <c r="AE571" s="686"/>
      <c r="AF571" s="686"/>
      <c r="AG571" s="686"/>
      <c r="AH571" s="687"/>
      <c r="AI571" s="686"/>
      <c r="AJ571" s="686"/>
      <c r="AK571" s="686"/>
      <c r="AL571" s="686"/>
      <c r="AM571" s="686"/>
      <c r="AN571" s="686"/>
      <c r="AO571" s="686"/>
      <c r="AP571" s="686"/>
      <c r="AQ571" s="686"/>
      <c r="AR571" s="686"/>
      <c r="AS571" s="686"/>
      <c r="AT571" s="686"/>
      <c r="AU571" s="686"/>
      <c r="AV571" s="686"/>
      <c r="AW571" s="686"/>
      <c r="AX571" s="686"/>
      <c r="AY571" s="686"/>
      <c r="AZ571" s="686"/>
      <c r="BA571" s="686"/>
      <c r="BB571" s="686"/>
      <c r="BC571" s="686"/>
      <c r="BD571" s="686"/>
      <c r="BE571" s="686"/>
      <c r="BF571" s="686"/>
      <c r="BG571" s="686"/>
      <c r="BH571" s="686"/>
      <c r="BI571" s="686"/>
      <c r="BJ571" s="686"/>
      <c r="BK571" s="686"/>
      <c r="BL571" s="686"/>
      <c r="BM571" s="686"/>
      <c r="BN571" s="686"/>
      <c r="BO571" s="686"/>
      <c r="BP571" s="686"/>
      <c r="BQ571" s="686"/>
      <c r="BR571" s="686"/>
      <c r="BS571" s="686"/>
      <c r="BT571" s="686"/>
    </row>
    <row r="572" spans="1:72" s="688" customFormat="1" ht="13.5" hidden="1" collapsed="1" thickBot="1">
      <c r="A572" s="3186"/>
      <c r="B572" s="3187"/>
      <c r="C572" s="3188" t="s">
        <v>1389</v>
      </c>
      <c r="D572" s="3188"/>
      <c r="E572" s="1245">
        <v>0</v>
      </c>
      <c r="F572" s="1016">
        <f>IF(SETUP!$F$39="Upfront",F573,F574)</f>
        <v>0</v>
      </c>
      <c r="G572" s="920">
        <f>IF(SETUP!$F$39="Upfront",G573,G574)</f>
        <v>0</v>
      </c>
      <c r="H572" s="920">
        <f>IF(SETUP!$F$39="Upfront",H573,H574)</f>
        <v>0</v>
      </c>
      <c r="I572" s="920">
        <f>IF(SETUP!$F$39="Upfront",I573,I574)</f>
        <v>0</v>
      </c>
      <c r="J572" s="920">
        <f t="shared" si="87"/>
        <v>0</v>
      </c>
      <c r="K572" s="1016">
        <f>IF(SETUP!$F$39="Upfront",K573,K574)</f>
        <v>0</v>
      </c>
      <c r="L572" s="920">
        <f>IF(SETUP!$F$39="Upfront",L573,L574)</f>
        <v>0</v>
      </c>
      <c r="M572" s="920">
        <f>IF(SETUP!$F$39="Upfront",M573,M574)</f>
        <v>0</v>
      </c>
      <c r="N572" s="920">
        <f>IF(SETUP!$F$39="Upfront",N573,N574)</f>
        <v>0</v>
      </c>
      <c r="O572" s="920">
        <f t="shared" si="90"/>
        <v>0</v>
      </c>
      <c r="P572" s="1016">
        <f>IF(SETUP!$F$39="Upfront",P573,P574)</f>
        <v>0</v>
      </c>
      <c r="Q572" s="920">
        <f>IF(SETUP!$F$39="Upfront",Q573,Q574)</f>
        <v>0</v>
      </c>
      <c r="R572" s="920">
        <f>IF(SETUP!$F$39="Upfront",R573,R574)</f>
        <v>0</v>
      </c>
      <c r="S572" s="920">
        <f>IF(SETUP!$F$39="Upfront",S573,S574)</f>
        <v>0</v>
      </c>
      <c r="T572" s="920">
        <f t="shared" si="88"/>
        <v>0</v>
      </c>
      <c r="U572" s="1016">
        <f t="shared" si="89"/>
        <v>0</v>
      </c>
      <c r="V572" s="1344">
        <v>7.5</v>
      </c>
      <c r="W572" s="2011"/>
      <c r="X572" s="575"/>
      <c r="Y572" s="1350"/>
      <c r="Z572" s="655"/>
      <c r="AA572" s="686"/>
      <c r="AB572" s="686"/>
      <c r="AC572" s="686"/>
      <c r="AD572" s="686"/>
      <c r="AE572" s="686"/>
      <c r="AF572" s="686"/>
      <c r="AG572" s="686"/>
      <c r="AH572" s="687"/>
      <c r="AI572" s="686"/>
      <c r="AJ572" s="686"/>
      <c r="AK572" s="686"/>
      <c r="AL572" s="686"/>
      <c r="AM572" s="686"/>
      <c r="AN572" s="686"/>
      <c r="AO572" s="686"/>
      <c r="AP572" s="686"/>
      <c r="AQ572" s="686"/>
      <c r="AR572" s="686"/>
      <c r="AS572" s="686"/>
      <c r="AT572" s="686"/>
      <c r="AU572" s="686"/>
      <c r="AV572" s="686"/>
      <c r="AW572" s="686"/>
      <c r="AX572" s="686"/>
      <c r="AY572" s="686"/>
      <c r="AZ572" s="686"/>
      <c r="BA572" s="686"/>
      <c r="BB572" s="686"/>
      <c r="BC572" s="686"/>
      <c r="BD572" s="686"/>
      <c r="BE572" s="686"/>
      <c r="BF572" s="686"/>
      <c r="BG572" s="686"/>
      <c r="BH572" s="686"/>
      <c r="BI572" s="686"/>
      <c r="BJ572" s="686"/>
      <c r="BK572" s="686"/>
      <c r="BL572" s="686"/>
      <c r="BM572" s="686"/>
      <c r="BN572" s="686"/>
      <c r="BO572" s="686"/>
      <c r="BP572" s="686"/>
      <c r="BQ572" s="686"/>
      <c r="BR572" s="686"/>
      <c r="BS572" s="686"/>
      <c r="BT572" s="686"/>
    </row>
    <row r="573" spans="1:72" s="688" customFormat="1" ht="12.75" hidden="1" customHeight="1" outlineLevel="1">
      <c r="A573" s="3186"/>
      <c r="B573" s="3187"/>
      <c r="C573" s="3182" t="s">
        <v>777</v>
      </c>
      <c r="D573" s="3182"/>
      <c r="E573" s="1990"/>
      <c r="F573" s="1016">
        <f>IF(SETUP!$F$39="Upfront",$E$572*'TB-Pharmaceuticals'!AX16,0)</f>
        <v>0</v>
      </c>
      <c r="G573" s="920">
        <f>IF(SETUP!$F$39="Upfront",$E$572*'TB-Pharmaceuticals'!AY16,0)</f>
        <v>0</v>
      </c>
      <c r="H573" s="920">
        <f>IF(SETUP!$F$39="Upfront",$E$572*'TB-Pharmaceuticals'!AZ16,0)</f>
        <v>0</v>
      </c>
      <c r="I573" s="920">
        <f>IF(SETUP!$F$39="Upfront",$E$572*'TB-Pharmaceuticals'!BA16,0)</f>
        <v>0</v>
      </c>
      <c r="J573" s="920">
        <f t="shared" si="87"/>
        <v>0</v>
      </c>
      <c r="K573" s="1016">
        <f>IF(SETUP!$F$39="Upfront",$E$572*'TB-Pharmaceuticals'!BB16,0)</f>
        <v>0</v>
      </c>
      <c r="L573" s="920">
        <f>IF(SETUP!$F$39="Upfront",$E$572*'TB-Pharmaceuticals'!BC16,0)</f>
        <v>0</v>
      </c>
      <c r="M573" s="920">
        <f>IF(SETUP!$F$39="Upfront",$E$572*'TB-Pharmaceuticals'!BD16,0)</f>
        <v>0</v>
      </c>
      <c r="N573" s="920">
        <f>IF(SETUP!$F$39="Upfront",$E$572*'TB-Pharmaceuticals'!BE16,0)</f>
        <v>0</v>
      </c>
      <c r="O573" s="920">
        <f t="shared" si="90"/>
        <v>0</v>
      </c>
      <c r="P573" s="1016">
        <f>IF(SETUP!$F$39="Upfront",$E$572*'TB-Pharmaceuticals'!BF16,0)</f>
        <v>0</v>
      </c>
      <c r="Q573" s="920">
        <f>IF(SETUP!$F$39="Upfront",$E$572*'TB-Pharmaceuticals'!BG16,0)</f>
        <v>0</v>
      </c>
      <c r="R573" s="920">
        <f>IF(SETUP!$F$39="Upfront",$E$572*'TB-Pharmaceuticals'!BH16,0)</f>
        <v>0</v>
      </c>
      <c r="S573" s="920">
        <f>IF(SETUP!$F$39="Upfront",$E$572*'TB-Pharmaceuticals'!BI16,0)</f>
        <v>0</v>
      </c>
      <c r="T573" s="920">
        <f t="shared" si="88"/>
        <v>0</v>
      </c>
      <c r="U573" s="1016">
        <f t="shared" si="89"/>
        <v>0</v>
      </c>
      <c r="V573" s="1344">
        <v>7.5</v>
      </c>
      <c r="W573" s="2011"/>
      <c r="X573" s="575"/>
      <c r="Y573" s="1350"/>
      <c r="Z573" s="655"/>
      <c r="AA573" s="686"/>
      <c r="AB573" s="686"/>
      <c r="AC573" s="686"/>
      <c r="AD573" s="686"/>
      <c r="AE573" s="686"/>
      <c r="AF573" s="686"/>
      <c r="AG573" s="686"/>
      <c r="AH573" s="687"/>
      <c r="AI573" s="686"/>
      <c r="AJ573" s="686"/>
      <c r="AK573" s="686"/>
      <c r="AL573" s="686"/>
      <c r="AM573" s="686"/>
      <c r="AN573" s="686"/>
      <c r="AO573" s="686"/>
      <c r="AP573" s="686"/>
      <c r="AQ573" s="686"/>
      <c r="AR573" s="686"/>
      <c r="AS573" s="686"/>
      <c r="AT573" s="686"/>
      <c r="AU573" s="686"/>
      <c r="AV573" s="686"/>
      <c r="AW573" s="686"/>
      <c r="AX573" s="686"/>
      <c r="AY573" s="686"/>
      <c r="AZ573" s="686"/>
      <c r="BA573" s="686"/>
      <c r="BB573" s="686"/>
      <c r="BC573" s="686"/>
      <c r="BD573" s="686"/>
      <c r="BE573" s="686"/>
      <c r="BF573" s="686"/>
      <c r="BG573" s="686"/>
      <c r="BH573" s="686"/>
      <c r="BI573" s="686"/>
      <c r="BJ573" s="686"/>
      <c r="BK573" s="686"/>
      <c r="BL573" s="686"/>
      <c r="BM573" s="686"/>
      <c r="BN573" s="686"/>
      <c r="BO573" s="686"/>
      <c r="BP573" s="686"/>
      <c r="BQ573" s="686"/>
      <c r="BR573" s="686"/>
      <c r="BS573" s="686"/>
      <c r="BT573" s="686"/>
    </row>
    <row r="574" spans="1:72" s="688" customFormat="1" ht="12.75" hidden="1" customHeight="1" outlineLevel="1">
      <c r="A574" s="3186"/>
      <c r="B574" s="3187"/>
      <c r="C574" s="3182" t="s">
        <v>36</v>
      </c>
      <c r="D574" s="3182"/>
      <c r="E574" s="1990"/>
      <c r="F574" s="1016">
        <v>0</v>
      </c>
      <c r="G574" s="920">
        <f>IF(SETUP!$F$39="At delivery",IF(SETUP!$G$39=1,$E$572*'TB-Pharmaceuticals'!AX16,0),0)</f>
        <v>0</v>
      </c>
      <c r="H574" s="920">
        <f>IF(SETUP!$F$39="At delivery",IF(SETUP!$G$39=2,$E$572*'TB-Pharmaceuticals'!AX16,IF(SETUP!$G$39=1,$E$572*'TB-Pharmaceuticals'!AY16,0)),0)</f>
        <v>0</v>
      </c>
      <c r="I574" s="920">
        <f>IF(SETUP!$F$39="At delivery",IF(SETUP!$G$39=3,$E$572*'TB-Pharmaceuticals'!AX16,IF(SETUP!$G$39=2,$E$572*'TB-Pharmaceuticals'!AY16,IF(SETUP!$G$39=1,$E$572*'TB-Pharmaceuticals'!AZ16,0))),0)</f>
        <v>0</v>
      </c>
      <c r="J574" s="920">
        <f t="shared" si="87"/>
        <v>0</v>
      </c>
      <c r="K574" s="1016">
        <f>IF(SETUP!$F$39="At delivery",IF(SETUP!$G$39=4,$E$572*'TB-Pharmaceuticals'!AX16,IF(SETUP!$G$39=3,$E$572*'TB-Pharmaceuticals'!AY16,IF(SETUP!$G$39=2,$E$572*'TB-Pharmaceuticals'!AZ16,IF(SETUP!$G$39=1,$E$572*'TB-Pharmaceuticals'!BA16,0)))),0)</f>
        <v>0</v>
      </c>
      <c r="L574" s="920">
        <f>IF(SETUP!$F$39="At delivery",IF(SETUP!$G$39=4,$E$572*'TB-Pharmaceuticals'!AY16,IF(SETUP!$G$39=3,$E$572*'TB-Pharmaceuticals'!AZ16,IF(SETUP!$G$39=2,$E$572*'TB-Pharmaceuticals'!BA16,IF(SETUP!$G$39=1,$E$572*'TB-Pharmaceuticals'!BB16,0)))),0)</f>
        <v>0</v>
      </c>
      <c r="M574" s="920">
        <f>IF(SETUP!$F$39="At delivery",IF(SETUP!$G$39=4,$E$572*'TB-Pharmaceuticals'!AZ16,IF(SETUP!$G$39=3,$E$572*'TB-Pharmaceuticals'!BA16,IF(SETUP!$G$39=2,$E$572*'TB-Pharmaceuticals'!BB16,IF(SETUP!$G$39=1,$E$572*'TB-Pharmaceuticals'!BC16,0)))),0)</f>
        <v>0</v>
      </c>
      <c r="N574" s="920">
        <f>IF(SETUP!$F$39="At delivery",IF(SETUP!$G$39=4,$E$572*'TB-Pharmaceuticals'!BA16,IF(SETUP!$G$39=3,$E$572*'TB-Pharmaceuticals'!BB16,IF(SETUP!$G$39=2,$E$572*'TB-Pharmaceuticals'!BC16,IF(SETUP!$G$39=1,$E$572*'TB-Pharmaceuticals'!BD16,0)))),0)</f>
        <v>0</v>
      </c>
      <c r="O574" s="920">
        <f t="shared" si="90"/>
        <v>0</v>
      </c>
      <c r="P574" s="1016">
        <f>IF(SETUP!$F$39="At delivery",IF(SETUP!$G$39=4,$E$572*'TB-Pharmaceuticals'!BB16,IF(SETUP!$G$39=3,$E$572*'TB-Pharmaceuticals'!BC16,IF(SETUP!$G$39=2,$E$572*'TB-Pharmaceuticals'!BD16,IF(SETUP!$G$39=1,$E$572*'TB-Pharmaceuticals'!BE16,0)))),0)</f>
        <v>0</v>
      </c>
      <c r="Q574" s="920">
        <f>IF(SETUP!$F$39="At delivery",IF(SETUP!$G$39=4,$E$572*'TB-Pharmaceuticals'!BC16,IF(SETUP!$G$39=3,$E$572*'TB-Pharmaceuticals'!BD16,IF(SETUP!$G$39=2,$E$572*'TB-Pharmaceuticals'!BE16,IF(SETUP!$G$39=1,$E$572*'TB-Pharmaceuticals'!BF16,0)))),0)</f>
        <v>0</v>
      </c>
      <c r="R574" s="920">
        <f>IF(SETUP!$F$39="At delivery",IF(SETUP!$G$39=4,$E$572*'TB-Pharmaceuticals'!BD16,IF(SETUP!$G$39=3,$E$572*'TB-Pharmaceuticals'!BE16,IF(SETUP!$G$39=2,$E$572*'TB-Pharmaceuticals'!BF16,IF(SETUP!$G$39=1,$E$572*'TB-Pharmaceuticals'!BG16,0)))),0)</f>
        <v>0</v>
      </c>
      <c r="S574" s="920">
        <f>IF(SETUP!$F$39="At delivery",IF(SETUP!$G$39=4,$E$572*('TB-Pharmaceuticals'!BE16+'TB-Pharmaceuticals'!BF16+'TB-Pharmaceuticals'!BG16+'TB-Pharmaceuticals'!BH16+'TB-Pharmaceuticals'!BI16),IF(SETUP!$G$39=3,$E$572*('TB-Pharmaceuticals'!BF16+'TB-Pharmaceuticals'!BG16+'TB-Pharmaceuticals'!BH16+'TB-Pharmaceuticals'!BI16),IF(SETUP!$G$39=2,$E$572*('TB-Pharmaceuticals'!BG16+'TB-Pharmaceuticals'!BH16+'TB-Pharmaceuticals'!BI16),IF(SETUP!$G$39=1,$E$572*('TB-Pharmaceuticals'!BH16+'TB-Pharmaceuticals'!BI16),0)))),0)</f>
        <v>0</v>
      </c>
      <c r="T574" s="920">
        <f t="shared" si="88"/>
        <v>0</v>
      </c>
      <c r="U574" s="1016">
        <f t="shared" si="89"/>
        <v>0</v>
      </c>
      <c r="V574" s="1344">
        <v>7.5</v>
      </c>
      <c r="W574" s="2011"/>
      <c r="X574" s="575"/>
      <c r="Y574" s="1350"/>
      <c r="Z574" s="655"/>
      <c r="AA574" s="686"/>
      <c r="AB574" s="686"/>
      <c r="AC574" s="686"/>
      <c r="AD574" s="686"/>
      <c r="AE574" s="686"/>
      <c r="AF574" s="686"/>
      <c r="AG574" s="686"/>
      <c r="AH574" s="687"/>
      <c r="AI574" s="686"/>
      <c r="AJ574" s="686"/>
      <c r="AK574" s="686"/>
      <c r="AL574" s="686"/>
      <c r="AM574" s="686"/>
      <c r="AN574" s="686"/>
      <c r="AO574" s="686"/>
      <c r="AP574" s="686"/>
      <c r="AQ574" s="686"/>
      <c r="AR574" s="686"/>
      <c r="AS574" s="686"/>
      <c r="AT574" s="686"/>
      <c r="AU574" s="686"/>
      <c r="AV574" s="686"/>
      <c r="AW574" s="686"/>
      <c r="AX574" s="686"/>
      <c r="AY574" s="686"/>
      <c r="AZ574" s="686"/>
      <c r="BA574" s="686"/>
      <c r="BB574" s="686"/>
      <c r="BC574" s="686"/>
      <c r="BD574" s="686"/>
      <c r="BE574" s="686"/>
      <c r="BF574" s="686"/>
      <c r="BG574" s="686"/>
      <c r="BH574" s="686"/>
      <c r="BI574" s="686"/>
      <c r="BJ574" s="686"/>
      <c r="BK574" s="686"/>
      <c r="BL574" s="686"/>
      <c r="BM574" s="686"/>
      <c r="BN574" s="686"/>
      <c r="BO574" s="686"/>
      <c r="BP574" s="686"/>
      <c r="BQ574" s="686"/>
      <c r="BR574" s="686"/>
      <c r="BS574" s="686"/>
      <c r="BT574" s="686"/>
    </row>
    <row r="575" spans="1:72" s="688" customFormat="1" ht="13.5" hidden="1" collapsed="1" thickBot="1">
      <c r="A575" s="3186" t="s">
        <v>447</v>
      </c>
      <c r="B575" s="3187"/>
      <c r="C575" s="3188" t="s">
        <v>292</v>
      </c>
      <c r="D575" s="3188"/>
      <c r="E575" s="1245">
        <v>0</v>
      </c>
      <c r="F575" s="1016">
        <f>IF(SETUP!$F$40="Upfront",F576,F577)</f>
        <v>0</v>
      </c>
      <c r="G575" s="920">
        <f>IF(SETUP!$F$40="Upfront",G576,G577)</f>
        <v>0</v>
      </c>
      <c r="H575" s="920">
        <f>IF(SETUP!$F$40="Upfront",H576,H577)</f>
        <v>0</v>
      </c>
      <c r="I575" s="920">
        <f>IF(SETUP!$F$40="Upfront",I576,I577)</f>
        <v>0</v>
      </c>
      <c r="J575" s="920">
        <f t="shared" si="87"/>
        <v>0</v>
      </c>
      <c r="K575" s="1016">
        <f>IF(SETUP!$F$40="Upfront",K576,K577)</f>
        <v>0</v>
      </c>
      <c r="L575" s="920">
        <f>IF(SETUP!$F$40="Upfront",L576,L577)</f>
        <v>0</v>
      </c>
      <c r="M575" s="920">
        <f>IF(SETUP!$F$40="Upfront",M576,M577)</f>
        <v>0</v>
      </c>
      <c r="N575" s="920">
        <f>IF(SETUP!$F$40="Upfront",N576,N577)</f>
        <v>0</v>
      </c>
      <c r="O575" s="920">
        <f t="shared" si="90"/>
        <v>0</v>
      </c>
      <c r="P575" s="1016">
        <f>IF(SETUP!$F$40="Upfront",P576,P577)</f>
        <v>0</v>
      </c>
      <c r="Q575" s="920">
        <f>IF(SETUP!$F$40="Upfront",Q576,Q577)</f>
        <v>0</v>
      </c>
      <c r="R575" s="920">
        <f>IF(SETUP!$F$40="Upfront",R576,R577)</f>
        <v>0</v>
      </c>
      <c r="S575" s="920">
        <f>IF(SETUP!$F$40="Upfront",S576,S577)</f>
        <v>0</v>
      </c>
      <c r="T575" s="920">
        <f t="shared" si="88"/>
        <v>0</v>
      </c>
      <c r="U575" s="1016">
        <f t="shared" si="89"/>
        <v>0</v>
      </c>
      <c r="V575" s="1344">
        <v>7.5</v>
      </c>
      <c r="W575" s="2011"/>
      <c r="X575" s="575"/>
      <c r="Y575" s="1350"/>
      <c r="Z575" s="655"/>
      <c r="AA575" s="686"/>
      <c r="AB575" s="686"/>
      <c r="AC575" s="686"/>
      <c r="AD575" s="686"/>
      <c r="AE575" s="686"/>
      <c r="AF575" s="686"/>
      <c r="AG575" s="686"/>
      <c r="AH575" s="687"/>
      <c r="AI575" s="686"/>
      <c r="AJ575" s="686"/>
      <c r="AK575" s="686"/>
      <c r="AL575" s="686"/>
      <c r="AM575" s="686"/>
      <c r="AN575" s="686"/>
      <c r="AO575" s="686"/>
      <c r="AP575" s="686"/>
      <c r="AQ575" s="686"/>
      <c r="AR575" s="686"/>
      <c r="AS575" s="686"/>
      <c r="AT575" s="686"/>
      <c r="AU575" s="686"/>
      <c r="AV575" s="686"/>
      <c r="AW575" s="686"/>
      <c r="AX575" s="686"/>
      <c r="AY575" s="686"/>
      <c r="AZ575" s="686"/>
      <c r="BA575" s="686"/>
      <c r="BB575" s="686"/>
      <c r="BC575" s="686"/>
      <c r="BD575" s="686"/>
      <c r="BE575" s="686"/>
      <c r="BF575" s="686"/>
      <c r="BG575" s="686"/>
      <c r="BH575" s="686"/>
      <c r="BI575" s="686"/>
      <c r="BJ575" s="686"/>
      <c r="BK575" s="686"/>
      <c r="BL575" s="686"/>
      <c r="BM575" s="686"/>
      <c r="BN575" s="686"/>
      <c r="BO575" s="686"/>
      <c r="BP575" s="686"/>
      <c r="BQ575" s="686"/>
      <c r="BR575" s="686"/>
      <c r="BS575" s="686"/>
      <c r="BT575" s="686"/>
    </row>
    <row r="576" spans="1:72" s="688" customFormat="1" ht="12.75" hidden="1" customHeight="1" outlineLevel="1">
      <c r="A576" s="3186"/>
      <c r="B576" s="3187"/>
      <c r="C576" s="3182" t="s">
        <v>777</v>
      </c>
      <c r="D576" s="3182"/>
      <c r="E576" s="1990"/>
      <c r="F576" s="1016">
        <f>IF(SETUP!$F$40="Upfront",$E$575*'TB-EQUIPMENT &amp; OTHER HPs'!AX14,0)</f>
        <v>0</v>
      </c>
      <c r="G576" s="920">
        <f>IF(SETUP!$F$40="Upfront",$E$575*'TB-EQUIPMENT &amp; OTHER HPs'!AY14,0)</f>
        <v>0</v>
      </c>
      <c r="H576" s="920">
        <f>IF(SETUP!$F$40="Upfront",$E$575*'TB-EQUIPMENT &amp; OTHER HPs'!AZ14,0)</f>
        <v>0</v>
      </c>
      <c r="I576" s="920">
        <f>IF(SETUP!$F$40="Upfront",$E$575*'TB-EQUIPMENT &amp; OTHER HPs'!BA14,0)</f>
        <v>0</v>
      </c>
      <c r="J576" s="920">
        <f t="shared" si="87"/>
        <v>0</v>
      </c>
      <c r="K576" s="1016">
        <f>IF(SETUP!$F$40="Upfront",$E$575*'TB-EQUIPMENT &amp; OTHER HPs'!BB14,0)</f>
        <v>0</v>
      </c>
      <c r="L576" s="920">
        <f>IF(SETUP!$F$40="Upfront",$E$575*'TB-EQUIPMENT &amp; OTHER HPs'!BC14,0)</f>
        <v>0</v>
      </c>
      <c r="M576" s="920">
        <f>IF(SETUP!$F$40="Upfront",$E$575*'TB-EQUIPMENT &amp; OTHER HPs'!BD14,0)</f>
        <v>0</v>
      </c>
      <c r="N576" s="920">
        <f>IF(SETUP!$F$40="Upfront",$E$575*'TB-EQUIPMENT &amp; OTHER HPs'!BE14,0)</f>
        <v>0</v>
      </c>
      <c r="O576" s="920">
        <f t="shared" si="90"/>
        <v>0</v>
      </c>
      <c r="P576" s="1016">
        <f>IF(SETUP!$F$40="Upfront",$E$575*'TB-EQUIPMENT &amp; OTHER HPs'!BF14,0)</f>
        <v>0</v>
      </c>
      <c r="Q576" s="920">
        <f>IF(SETUP!$F$40="Upfront",$E$575*'TB-EQUIPMENT &amp; OTHER HPs'!BG14,0)</f>
        <v>0</v>
      </c>
      <c r="R576" s="920">
        <f>IF(SETUP!$F$40="Upfront",$E$575*'TB-EQUIPMENT &amp; OTHER HPs'!BH14,0)</f>
        <v>0</v>
      </c>
      <c r="S576" s="920">
        <f>IF(SETUP!$F$40="Upfront",$E$575*'TB-EQUIPMENT &amp; OTHER HPs'!BI14,0)</f>
        <v>0</v>
      </c>
      <c r="T576" s="920">
        <f t="shared" si="88"/>
        <v>0</v>
      </c>
      <c r="U576" s="1016">
        <f t="shared" si="89"/>
        <v>0</v>
      </c>
      <c r="V576" s="1344">
        <v>7.5</v>
      </c>
      <c r="W576" s="2011"/>
      <c r="X576" s="575"/>
      <c r="Y576" s="1350"/>
      <c r="Z576" s="655"/>
      <c r="AA576" s="686"/>
      <c r="AB576" s="686"/>
      <c r="AC576" s="686"/>
      <c r="AD576" s="686"/>
      <c r="AE576" s="686"/>
      <c r="AF576" s="686"/>
      <c r="AG576" s="686"/>
      <c r="AH576" s="687"/>
      <c r="AI576" s="686"/>
      <c r="AJ576" s="686"/>
      <c r="AK576" s="686"/>
      <c r="AL576" s="686"/>
      <c r="AM576" s="686"/>
      <c r="AN576" s="686"/>
      <c r="AO576" s="686"/>
      <c r="AP576" s="686"/>
      <c r="AQ576" s="686"/>
      <c r="AR576" s="686"/>
      <c r="AS576" s="686"/>
      <c r="AT576" s="686"/>
      <c r="AU576" s="686"/>
      <c r="AV576" s="686"/>
      <c r="AW576" s="686"/>
      <c r="AX576" s="686"/>
      <c r="AY576" s="686"/>
      <c r="AZ576" s="686"/>
      <c r="BA576" s="686"/>
      <c r="BB576" s="686"/>
      <c r="BC576" s="686"/>
      <c r="BD576" s="686"/>
      <c r="BE576" s="686"/>
      <c r="BF576" s="686"/>
      <c r="BG576" s="686"/>
      <c r="BH576" s="686"/>
      <c r="BI576" s="686"/>
      <c r="BJ576" s="686"/>
      <c r="BK576" s="686"/>
      <c r="BL576" s="686"/>
      <c r="BM576" s="686"/>
      <c r="BN576" s="686"/>
      <c r="BO576" s="686"/>
      <c r="BP576" s="686"/>
      <c r="BQ576" s="686"/>
      <c r="BR576" s="686"/>
      <c r="BS576" s="686"/>
      <c r="BT576" s="686"/>
    </row>
    <row r="577" spans="1:72" s="688" customFormat="1" ht="12.75" hidden="1" customHeight="1" outlineLevel="1">
      <c r="A577" s="3186"/>
      <c r="B577" s="3187"/>
      <c r="C577" s="3182" t="s">
        <v>36</v>
      </c>
      <c r="D577" s="3182"/>
      <c r="E577" s="1990"/>
      <c r="F577" s="1016">
        <v>0</v>
      </c>
      <c r="G577" s="920">
        <f>IF(SETUP!$F$40="At delivery",IF(SETUP!$G$40=1,$E$575*'TB-EQUIPMENT &amp; OTHER HPs'!AX14,0),0)</f>
        <v>0</v>
      </c>
      <c r="H577" s="920">
        <f>IF(SETUP!$F$40="At delivery",IF(SETUP!$G$40=2,$E$575*'TB-EQUIPMENT &amp; OTHER HPs'!AX14,IF(SETUP!$G$40=1,$E$575*'TB-EQUIPMENT &amp; OTHER HPs'!AY14,0)),0)</f>
        <v>0</v>
      </c>
      <c r="I577" s="920">
        <f>IF(SETUP!$F$40="At delivery",IF(SETUP!$G$40=3,$E$575*'TB-EQUIPMENT &amp; OTHER HPs'!AX14,IF(SETUP!$G$40=2,$E$575*'TB-EQUIPMENT &amp; OTHER HPs'!AY14,IF(SETUP!$G$40=1,$E$575*'TB-EQUIPMENT &amp; OTHER HPs'!AZ14,0))),0)</f>
        <v>0</v>
      </c>
      <c r="J577" s="920">
        <f t="shared" si="87"/>
        <v>0</v>
      </c>
      <c r="K577" s="1016">
        <f>IF(SETUP!$F$40="At delivery",IF(SETUP!$G$40=4,$E$575*'TB-EQUIPMENT &amp; OTHER HPs'!AX14,IF(SETUP!$G$40=3,$E$575*'TB-EQUIPMENT &amp; OTHER HPs'!AY14,IF(SETUP!$G$40=2,$E$575*'TB-EQUIPMENT &amp; OTHER HPs'!AZ14,IF(SETUP!$G$40=1,$E$575*'TB-EQUIPMENT &amp; OTHER HPs'!BA14,0)))),0)</f>
        <v>0</v>
      </c>
      <c r="L577" s="920">
        <f>IF(SETUP!$F$40="At delivery",IF(SETUP!$G$40=4,$E$575*'TB-EQUIPMENT &amp; OTHER HPs'!AY14,IF(SETUP!$G$40=3,$E$575*'TB-EQUIPMENT &amp; OTHER HPs'!AZ14,IF(SETUP!$G$40=2,$E$575*'TB-EQUIPMENT &amp; OTHER HPs'!BA14,IF(SETUP!$G$40=1,$E$575*'TB-EQUIPMENT &amp; OTHER HPs'!BB14,0)))),0)</f>
        <v>0</v>
      </c>
      <c r="M577" s="920">
        <f>IF(SETUP!$F$40="At delivery",IF(SETUP!$G$40=4,$E$575*'TB-EQUIPMENT &amp; OTHER HPs'!AZ14,IF(SETUP!$G$40=3,$E$575*'TB-EQUIPMENT &amp; OTHER HPs'!BA14,IF(SETUP!$G$40=2,$E$575*'TB-EQUIPMENT &amp; OTHER HPs'!BB14,IF(SETUP!$G$40=1,$E$575*'TB-EQUIPMENT &amp; OTHER HPs'!BC14,0)))),0)</f>
        <v>0</v>
      </c>
      <c r="N577" s="920">
        <f>IF(SETUP!$F$40="At delivery",IF(SETUP!$G$40=4,$E$575*'TB-EQUIPMENT &amp; OTHER HPs'!BA14,IF(SETUP!$G$40=3,$E$575*'TB-EQUIPMENT &amp; OTHER HPs'!BB14,IF(SETUP!$G$40=2,$E$575*'TB-EQUIPMENT &amp; OTHER HPs'!BC14,IF(SETUP!$G$40=1,$E$575*'TB-EQUIPMENT &amp; OTHER HPs'!BD14,0)))),0)</f>
        <v>0</v>
      </c>
      <c r="O577" s="920">
        <f t="shared" si="90"/>
        <v>0</v>
      </c>
      <c r="P577" s="1016">
        <f>IF(SETUP!$F$40="At delivery",IF(SETUP!$G$40=4,$E$575*'TB-EQUIPMENT &amp; OTHER HPs'!BB14,IF(SETUP!$G$40=3,$E$575*'TB-EQUIPMENT &amp; OTHER HPs'!BC14,IF(SETUP!$G$40=2,$E$575*'TB-EQUIPMENT &amp; OTHER HPs'!BD14,IF(SETUP!$G$40=1,$E$575*'TB-EQUIPMENT &amp; OTHER HPs'!BE14,0)))),0)</f>
        <v>0</v>
      </c>
      <c r="Q577" s="920">
        <f>IF(SETUP!$F$40="At delivery",IF(SETUP!$G$40=4,$E$575*'TB-EQUIPMENT &amp; OTHER HPs'!BC14,IF(SETUP!$G$40=3,$E$575*'TB-EQUIPMENT &amp; OTHER HPs'!BD14,IF(SETUP!$G$40=2,$E$575*'TB-EQUIPMENT &amp; OTHER HPs'!BE14,IF(SETUP!$G$40=1,$E$575*'TB-EQUIPMENT &amp; OTHER HPs'!BF14,0)))),0)</f>
        <v>0</v>
      </c>
      <c r="R577" s="920">
        <f>IF(SETUP!$F$40="At delivery",IF(SETUP!$G$40=4,$E$575*'TB-EQUIPMENT &amp; OTHER HPs'!BD14,IF(SETUP!$G$40=3,$E$575*'TB-EQUIPMENT &amp; OTHER HPs'!BE14,IF(SETUP!$G$40=2,$E$575*'TB-EQUIPMENT &amp; OTHER HPs'!BF14,IF(SETUP!$G$40=1,$E$575*'TB-EQUIPMENT &amp; OTHER HPs'!BG14,0)))),0)</f>
        <v>0</v>
      </c>
      <c r="S577" s="920">
        <f>IF(SETUP!$F$40="At delivery",IF(SETUP!$G$40=4,$E$575*('TB-EQUIPMENT &amp; OTHER HPs'!BE14+'TB-EQUIPMENT &amp; OTHER HPs'!BF14+'TB-EQUIPMENT &amp; OTHER HPs'!BG14+'TB-EQUIPMENT &amp; OTHER HPs'!BH14+'TB-EQUIPMENT &amp; OTHER HPs'!BI14),IF(SETUP!$G$40=3,$E$575*('TB-EQUIPMENT &amp; OTHER HPs'!BF14+'TB-EQUIPMENT &amp; OTHER HPs'!BG14+'TB-EQUIPMENT &amp; OTHER HPs'!BH14+'TB-EQUIPMENT &amp; OTHER HPs'!BI14),IF(SETUP!$G$40=2,$E$575*('TB-EQUIPMENT &amp; OTHER HPs'!BG14+'TB-EQUIPMENT &amp; OTHER HPs'!BH14+'TB-EQUIPMENT &amp; OTHER HPs'!BI14),IF(SETUP!$G$40=1,$E$575*('TB-EQUIPMENT &amp; OTHER HPs'!BH14+'TB-EQUIPMENT &amp; OTHER HPs'!BI14),0)))),0)</f>
        <v>0</v>
      </c>
      <c r="T577" s="920">
        <f t="shared" si="88"/>
        <v>0</v>
      </c>
      <c r="U577" s="1016">
        <f t="shared" si="89"/>
        <v>0</v>
      </c>
      <c r="V577" s="1344">
        <v>7.5</v>
      </c>
      <c r="W577" s="2011"/>
      <c r="X577" s="575"/>
      <c r="Y577" s="1350"/>
      <c r="Z577" s="655"/>
      <c r="AA577" s="686"/>
      <c r="AB577" s="686"/>
      <c r="AC577" s="686"/>
      <c r="AD577" s="686"/>
      <c r="AE577" s="686"/>
      <c r="AF577" s="686"/>
      <c r="AG577" s="686"/>
      <c r="AH577" s="687"/>
      <c r="AI577" s="686"/>
      <c r="AJ577" s="686"/>
      <c r="AK577" s="686"/>
      <c r="AL577" s="686"/>
      <c r="AM577" s="686"/>
      <c r="AN577" s="686"/>
      <c r="AO577" s="686"/>
      <c r="AP577" s="686"/>
      <c r="AQ577" s="686"/>
      <c r="AR577" s="686"/>
      <c r="AS577" s="686"/>
      <c r="AT577" s="686"/>
      <c r="AU577" s="686"/>
      <c r="AV577" s="686"/>
      <c r="AW577" s="686"/>
      <c r="AX577" s="686"/>
      <c r="AY577" s="686"/>
      <c r="AZ577" s="686"/>
      <c r="BA577" s="686"/>
      <c r="BB577" s="686"/>
      <c r="BC577" s="686"/>
      <c r="BD577" s="686"/>
      <c r="BE577" s="686"/>
      <c r="BF577" s="686"/>
      <c r="BG577" s="686"/>
      <c r="BH577" s="686"/>
      <c r="BI577" s="686"/>
      <c r="BJ577" s="686"/>
      <c r="BK577" s="686"/>
      <c r="BL577" s="686"/>
      <c r="BM577" s="686"/>
      <c r="BN577" s="686"/>
      <c r="BO577" s="686"/>
      <c r="BP577" s="686"/>
      <c r="BQ577" s="686"/>
      <c r="BR577" s="686"/>
      <c r="BS577" s="686"/>
      <c r="BT577" s="686"/>
    </row>
    <row r="578" spans="1:72" s="688" customFormat="1" ht="13.5" hidden="1" collapsed="1" thickBot="1">
      <c r="A578" s="3186"/>
      <c r="B578" s="3187"/>
      <c r="C578" s="3188" t="s">
        <v>1348</v>
      </c>
      <c r="D578" s="3188"/>
      <c r="E578" s="1245">
        <v>0</v>
      </c>
      <c r="F578" s="1016">
        <f>IF(SETUP!$F$41="Upfront",F579,F580)</f>
        <v>0</v>
      </c>
      <c r="G578" s="920">
        <f>IF(SETUP!$F$41="Upfront",G579,G580)</f>
        <v>0</v>
      </c>
      <c r="H578" s="920">
        <f>IF(SETUP!$F$41="Upfront",H579,H580)</f>
        <v>0</v>
      </c>
      <c r="I578" s="920">
        <f>IF(SETUP!$F$41="Upfront",I579,I580)</f>
        <v>0</v>
      </c>
      <c r="J578" s="920">
        <f t="shared" si="87"/>
        <v>0</v>
      </c>
      <c r="K578" s="1016">
        <f>IF(SETUP!$F$41="Upfront",K579,K580)</f>
        <v>0</v>
      </c>
      <c r="L578" s="920">
        <f>IF(SETUP!$F$41="Upfront",L579,L580)</f>
        <v>0</v>
      </c>
      <c r="M578" s="920">
        <f>IF(SETUP!$F$41="Upfront",M579,M580)</f>
        <v>0</v>
      </c>
      <c r="N578" s="920">
        <f>IF(SETUP!$F$41="Upfront",N579,N580)</f>
        <v>0</v>
      </c>
      <c r="O578" s="920">
        <f t="shared" si="90"/>
        <v>0</v>
      </c>
      <c r="P578" s="1016">
        <f>IF(SETUP!$F$41="Upfront",P579,P580)</f>
        <v>0</v>
      </c>
      <c r="Q578" s="920">
        <f>IF(SETUP!$F$41="Upfront",Q579,Q580)</f>
        <v>0</v>
      </c>
      <c r="R578" s="920">
        <f>IF(SETUP!$F$41="Upfront",R579,R580)</f>
        <v>0</v>
      </c>
      <c r="S578" s="920">
        <f>IF(SETUP!$F$41="Upfront",S579,S580)</f>
        <v>0</v>
      </c>
      <c r="T578" s="920">
        <f t="shared" si="88"/>
        <v>0</v>
      </c>
      <c r="U578" s="1016">
        <f t="shared" si="89"/>
        <v>0</v>
      </c>
      <c r="V578" s="1344">
        <v>7.5</v>
      </c>
      <c r="W578" s="2011"/>
      <c r="X578" s="575"/>
      <c r="Y578" s="1350"/>
      <c r="Z578" s="655"/>
      <c r="AA578" s="686"/>
      <c r="AB578" s="686"/>
      <c r="AC578" s="686"/>
      <c r="AD578" s="686"/>
      <c r="AE578" s="686"/>
      <c r="AF578" s="686"/>
      <c r="AG578" s="686"/>
      <c r="AH578" s="687"/>
      <c r="AI578" s="686"/>
      <c r="AJ578" s="686"/>
      <c r="AK578" s="686"/>
      <c r="AL578" s="686"/>
      <c r="AM578" s="686"/>
      <c r="AN578" s="686"/>
      <c r="AO578" s="686"/>
      <c r="AP578" s="686"/>
      <c r="AQ578" s="686"/>
      <c r="AR578" s="686"/>
      <c r="AS578" s="686"/>
      <c r="AT578" s="686"/>
      <c r="AU578" s="686"/>
      <c r="AV578" s="686"/>
      <c r="AW578" s="686"/>
      <c r="AX578" s="686"/>
      <c r="AY578" s="686"/>
      <c r="AZ578" s="686"/>
      <c r="BA578" s="686"/>
      <c r="BB578" s="686"/>
      <c r="BC578" s="686"/>
      <c r="BD578" s="686"/>
      <c r="BE578" s="686"/>
      <c r="BF578" s="686"/>
      <c r="BG578" s="686"/>
      <c r="BH578" s="686"/>
      <c r="BI578" s="686"/>
      <c r="BJ578" s="686"/>
      <c r="BK578" s="686"/>
      <c r="BL578" s="686"/>
      <c r="BM578" s="686"/>
      <c r="BN578" s="686"/>
      <c r="BO578" s="686"/>
      <c r="BP578" s="686"/>
      <c r="BQ578" s="686"/>
      <c r="BR578" s="686"/>
      <c r="BS578" s="686"/>
      <c r="BT578" s="686"/>
    </row>
    <row r="579" spans="1:72" s="688" customFormat="1" ht="12.75" hidden="1" customHeight="1" outlineLevel="1">
      <c r="A579" s="3186"/>
      <c r="B579" s="3187"/>
      <c r="C579" s="3182" t="s">
        <v>777</v>
      </c>
      <c r="D579" s="3182"/>
      <c r="E579" s="1990"/>
      <c r="F579" s="1016">
        <f>IF(SETUP!$F$41="Upfront",$E$578*'TB-EQUIPMENT &amp; OTHER HPs'!AX15,0)</f>
        <v>0</v>
      </c>
      <c r="G579" s="920">
        <f>IF(SETUP!$F$41="Upfront",$E$578*'TB-EQUIPMENT &amp; OTHER HPs'!AY15,0)</f>
        <v>0</v>
      </c>
      <c r="H579" s="920">
        <f>IF(SETUP!$F$41="Upfront",$E$578*'TB-EQUIPMENT &amp; OTHER HPs'!AZ15,0)</f>
        <v>0</v>
      </c>
      <c r="I579" s="920">
        <f>IF(SETUP!$F$41="Upfront",$E$578*'TB-EQUIPMENT &amp; OTHER HPs'!BA15,0)</f>
        <v>0</v>
      </c>
      <c r="J579" s="920">
        <f t="shared" si="87"/>
        <v>0</v>
      </c>
      <c r="K579" s="1016">
        <f>IF(SETUP!$F$41="Upfront",$E$578*'TB-EQUIPMENT &amp; OTHER HPs'!BB15,0)</f>
        <v>0</v>
      </c>
      <c r="L579" s="920">
        <f>IF(SETUP!$F$41="Upfront",$E$578*'TB-EQUIPMENT &amp; OTHER HPs'!BC15,0)</f>
        <v>0</v>
      </c>
      <c r="M579" s="920">
        <f>IF(SETUP!$F$41="Upfront",$E$578*'TB-EQUIPMENT &amp; OTHER HPs'!BD15,0)</f>
        <v>0</v>
      </c>
      <c r="N579" s="920">
        <f>IF(SETUP!$F$41="Upfront",$E$578*'TB-EQUIPMENT &amp; OTHER HPs'!BE15,0)</f>
        <v>0</v>
      </c>
      <c r="O579" s="920">
        <f t="shared" si="90"/>
        <v>0</v>
      </c>
      <c r="P579" s="1016">
        <f>IF(SETUP!$F$41="Upfront",$E$578*'TB-EQUIPMENT &amp; OTHER HPs'!BF15,0)</f>
        <v>0</v>
      </c>
      <c r="Q579" s="920">
        <f>IF(SETUP!$F$41="Upfront",$E$578*'TB-EQUIPMENT &amp; OTHER HPs'!BG15,0)</f>
        <v>0</v>
      </c>
      <c r="R579" s="920">
        <f>IF(SETUP!$F$41="Upfront",$E$578*'TB-EQUIPMENT &amp; OTHER HPs'!BH15,0)</f>
        <v>0</v>
      </c>
      <c r="S579" s="920">
        <f>IF(SETUP!$F$41="Upfront",$E$578*'TB-EQUIPMENT &amp; OTHER HPs'!BI15,0)</f>
        <v>0</v>
      </c>
      <c r="T579" s="920">
        <f t="shared" si="88"/>
        <v>0</v>
      </c>
      <c r="U579" s="1016">
        <f t="shared" si="89"/>
        <v>0</v>
      </c>
      <c r="V579" s="1344">
        <v>7.5</v>
      </c>
      <c r="W579" s="2011"/>
      <c r="X579" s="575"/>
      <c r="Y579" s="1350"/>
      <c r="Z579" s="655"/>
      <c r="AA579" s="686"/>
      <c r="AB579" s="686"/>
      <c r="AC579" s="686"/>
      <c r="AD579" s="686"/>
      <c r="AE579" s="686"/>
      <c r="AF579" s="686"/>
      <c r="AG579" s="686"/>
      <c r="AH579" s="687"/>
      <c r="AI579" s="686"/>
      <c r="AJ579" s="686"/>
      <c r="AK579" s="686"/>
      <c r="AL579" s="686"/>
      <c r="AM579" s="686"/>
      <c r="AN579" s="686"/>
      <c r="AO579" s="686"/>
      <c r="AP579" s="686"/>
      <c r="AQ579" s="686"/>
      <c r="AR579" s="686"/>
      <c r="AS579" s="686"/>
      <c r="AT579" s="686"/>
      <c r="AU579" s="686"/>
      <c r="AV579" s="686"/>
      <c r="AW579" s="686"/>
      <c r="AX579" s="686"/>
      <c r="AY579" s="686"/>
      <c r="AZ579" s="686"/>
      <c r="BA579" s="686"/>
      <c r="BB579" s="686"/>
      <c r="BC579" s="686"/>
      <c r="BD579" s="686"/>
      <c r="BE579" s="686"/>
      <c r="BF579" s="686"/>
      <c r="BG579" s="686"/>
      <c r="BH579" s="686"/>
      <c r="BI579" s="686"/>
      <c r="BJ579" s="686"/>
      <c r="BK579" s="686"/>
      <c r="BL579" s="686"/>
      <c r="BM579" s="686"/>
      <c r="BN579" s="686"/>
      <c r="BO579" s="686"/>
      <c r="BP579" s="686"/>
      <c r="BQ579" s="686"/>
      <c r="BR579" s="686"/>
      <c r="BS579" s="686"/>
      <c r="BT579" s="686"/>
    </row>
    <row r="580" spans="1:72" s="688" customFormat="1" ht="12.75" hidden="1" customHeight="1" outlineLevel="1" thickBot="1">
      <c r="A580" s="3186"/>
      <c r="B580" s="3187"/>
      <c r="C580" s="3182" t="s">
        <v>36</v>
      </c>
      <c r="D580" s="3182"/>
      <c r="E580" s="1990"/>
      <c r="F580" s="1016">
        <v>0</v>
      </c>
      <c r="G580" s="920">
        <f>IF(SETUP!$F$41="At delivery",IF(SETUP!$G$41=1,$E$578*'TB-EQUIPMENT &amp; OTHER HPs'!AX15,0),0)</f>
        <v>0</v>
      </c>
      <c r="H580" s="920">
        <f>IF(SETUP!$F$41="At delivery",IF(SETUP!$G$41=2,$E$578*'TB-EQUIPMENT &amp; OTHER HPs'!AX15,IF(SETUP!$G$41=1,$E$578*'TB-EQUIPMENT &amp; OTHER HPs'!AY15,0)),0)</f>
        <v>0</v>
      </c>
      <c r="I580" s="920">
        <f>IF(SETUP!$F$41="At delivery",IF(SETUP!$G$41=3,$E$578*'TB-EQUIPMENT &amp; OTHER HPs'!AX15,IF(SETUP!$G$41=2,$E$578*'TB-EQUIPMENT &amp; OTHER HPs'!AY15,IF(SETUP!$G$41=1,$E$578*'TB-EQUIPMENT &amp; OTHER HPs'!AZ15,0))),0)</f>
        <v>0</v>
      </c>
      <c r="J580" s="920">
        <f t="shared" si="87"/>
        <v>0</v>
      </c>
      <c r="K580" s="1016">
        <f>IF(SETUP!$F$41="At delivery",IF(SETUP!$G$41=4,$E$578*'TB-EQUIPMENT &amp; OTHER HPs'!AX15,IF(SETUP!$G$41=3,$E$578*'TB-EQUIPMENT &amp; OTHER HPs'!AY15,IF(SETUP!$G$41=2,$E$578*'TB-EQUIPMENT &amp; OTHER HPs'!AZ15,IF(SETUP!$G$41=1,$E$578*'TB-EQUIPMENT &amp; OTHER HPs'!BA15,0)))),0)</f>
        <v>0</v>
      </c>
      <c r="L580" s="920">
        <f>IF(SETUP!$F$41="At delivery",IF(SETUP!$G$41=4,$E$578*'TB-EQUIPMENT &amp; OTHER HPs'!AY15,IF(SETUP!$G$41=3,$E$578*'TB-EQUIPMENT &amp; OTHER HPs'!AZ15,IF(SETUP!$G$41=2,$E$578*'TB-EQUIPMENT &amp; OTHER HPs'!BA15,IF(SETUP!$G$41=1,$E$578*'TB-EQUIPMENT &amp; OTHER HPs'!BB15,0)))),0)</f>
        <v>0</v>
      </c>
      <c r="M580" s="920">
        <f>IF(SETUP!$F$41="At delivery",IF(SETUP!$G$41=4,$E$578*'TB-EQUIPMENT &amp; OTHER HPs'!AZ15,IF(SETUP!$G$41=3,$E$578*'TB-EQUIPMENT &amp; OTHER HPs'!BA15,IF(SETUP!$G$41=2,$E$578*'TB-EQUIPMENT &amp; OTHER HPs'!BB15,IF(SETUP!$G$41=1,$E$578*'TB-EQUIPMENT &amp; OTHER HPs'!BC15,0)))),0)</f>
        <v>0</v>
      </c>
      <c r="N580" s="920">
        <f>IF(SETUP!$F$41="At delivery",IF(SETUP!$G$41=4,$E$578*'TB-EQUIPMENT &amp; OTHER HPs'!BA15,IF(SETUP!$G$41=3,$E$578*'TB-EQUIPMENT &amp; OTHER HPs'!BB15,IF(SETUP!$G$41=2,$E$578*'TB-EQUIPMENT &amp; OTHER HPs'!BC15,IF(SETUP!$G$41=1,$E$578*'TB-EQUIPMENT &amp; OTHER HPs'!BD15,0)))),0)</f>
        <v>0</v>
      </c>
      <c r="O580" s="920">
        <f t="shared" si="90"/>
        <v>0</v>
      </c>
      <c r="P580" s="1016">
        <f>IF(SETUP!$F$41="At delivery",IF(SETUP!$G$41=4,$E$578*'TB-EQUIPMENT &amp; OTHER HPs'!BB15,IF(SETUP!$G$41=3,$E$578*'TB-EQUIPMENT &amp; OTHER HPs'!BC15,IF(SETUP!$G$41=2,$E$578*'TB-EQUIPMENT &amp; OTHER HPs'!BD15,IF(SETUP!$G$41=1,$E$578*'TB-EQUIPMENT &amp; OTHER HPs'!BE15,0)))),0)</f>
        <v>0</v>
      </c>
      <c r="Q580" s="920">
        <f>IF(SETUP!$F$41="At delivery",IF(SETUP!$G$41=4,$E$578*'TB-EQUIPMENT &amp; OTHER HPs'!BC15,IF(SETUP!$G$41=3,$E$578*'TB-EQUIPMENT &amp; OTHER HPs'!BD15,IF(SETUP!$G$41=2,$E$578*'TB-EQUIPMENT &amp; OTHER HPs'!BE15,IF(SETUP!$G$41=1,$E$578*'TB-EQUIPMENT &amp; OTHER HPs'!BF15,0)))),0)</f>
        <v>0</v>
      </c>
      <c r="R580" s="920">
        <f>IF(SETUP!$F$41="At delivery",IF(SETUP!$G$41=4,$E$578*'TB-EQUIPMENT &amp; OTHER HPs'!BD15,IF(SETUP!$G$41=3,$E$578*'TB-EQUIPMENT &amp; OTHER HPs'!BE15,IF(SETUP!$G$41=2,$E$578*'TB-EQUIPMENT &amp; OTHER HPs'!BF15,IF(SETUP!$G$41=1,$E$578*'TB-EQUIPMENT &amp; OTHER HPs'!BG15,0)))),0)</f>
        <v>0</v>
      </c>
      <c r="S580" s="920">
        <f>IF(SETUP!$F$41="At delivery",IF(SETUP!$G$41=4,$E$578*('TB-EQUIPMENT &amp; OTHER HPs'!BE15+'TB-EQUIPMENT &amp; OTHER HPs'!BF15+'TB-EQUIPMENT &amp; OTHER HPs'!BG15+'TB-EQUIPMENT &amp; OTHER HPs'!BH15+'TB-EQUIPMENT &amp; OTHER HPs'!BI15),IF(SETUP!$G$41=3,$E$578*('TB-EQUIPMENT &amp; OTHER HPs'!BF15+'TB-EQUIPMENT &amp; OTHER HPs'!BG15+'TB-EQUIPMENT &amp; OTHER HPs'!BH15+'TB-EQUIPMENT &amp; OTHER HPs'!BI15),IF(SETUP!$G$41=2,$E$578*('TB-EQUIPMENT &amp; OTHER HPs'!BG15+'TB-EQUIPMENT &amp; OTHER HPs'!BH15+'TB-EQUIPMENT &amp; OTHER HPs'!BI15),IF(SETUP!$G$41=1,$E$578*('TB-EQUIPMENT &amp; OTHER HPs'!BH15+'TB-EQUIPMENT &amp; OTHER HPs'!BI15),0)))),0)</f>
        <v>0</v>
      </c>
      <c r="T580" s="920">
        <f t="shared" si="88"/>
        <v>0</v>
      </c>
      <c r="U580" s="1016">
        <f t="shared" si="89"/>
        <v>0</v>
      </c>
      <c r="V580" s="1344">
        <v>7.5</v>
      </c>
      <c r="W580" s="2011"/>
      <c r="X580" s="575"/>
      <c r="Y580" s="1350"/>
      <c r="Z580" s="655"/>
      <c r="AA580" s="686"/>
      <c r="AB580" s="686"/>
      <c r="AC580" s="686"/>
      <c r="AD580" s="686"/>
      <c r="AE580" s="686"/>
      <c r="AF580" s="686"/>
      <c r="AG580" s="686"/>
      <c r="AH580" s="687"/>
      <c r="AI580" s="686"/>
      <c r="AJ580" s="686"/>
      <c r="AK580" s="686"/>
      <c r="AL580" s="686"/>
      <c r="AM580" s="686"/>
      <c r="AN580" s="686"/>
      <c r="AO580" s="686"/>
      <c r="AP580" s="686"/>
      <c r="AQ580" s="686"/>
      <c r="AR580" s="686"/>
      <c r="AS580" s="686"/>
      <c r="AT580" s="686"/>
      <c r="AU580" s="686"/>
      <c r="AV580" s="686"/>
      <c r="AW580" s="686"/>
      <c r="AX580" s="686"/>
      <c r="AY580" s="686"/>
      <c r="AZ580" s="686"/>
      <c r="BA580" s="686"/>
      <c r="BB580" s="686"/>
      <c r="BC580" s="686"/>
      <c r="BD580" s="686"/>
      <c r="BE580" s="686"/>
      <c r="BF580" s="686"/>
      <c r="BG580" s="686"/>
      <c r="BH580" s="686"/>
      <c r="BI580" s="686"/>
      <c r="BJ580" s="686"/>
      <c r="BK580" s="686"/>
      <c r="BL580" s="686"/>
      <c r="BM580" s="686"/>
      <c r="BN580" s="686"/>
      <c r="BO580" s="686"/>
      <c r="BP580" s="686"/>
      <c r="BQ580" s="686"/>
      <c r="BR580" s="686"/>
      <c r="BS580" s="686"/>
      <c r="BT580" s="686"/>
    </row>
    <row r="581" spans="1:72" s="688" customFormat="1" ht="13.5" hidden="1" collapsed="1" thickBot="1">
      <c r="A581" s="3186"/>
      <c r="B581" s="3187"/>
      <c r="C581" s="3188" t="s">
        <v>1354</v>
      </c>
      <c r="D581" s="3188"/>
      <c r="E581" s="1245">
        <v>0</v>
      </c>
      <c r="F581" s="1016">
        <f>IF(SETUP!$F$43="Upfront",F582,F583)</f>
        <v>0</v>
      </c>
      <c r="G581" s="920">
        <f>IF(SETUP!$F$43="Upfront",G582,G583)</f>
        <v>0</v>
      </c>
      <c r="H581" s="920">
        <f>IF(SETUP!$F$43="Upfront",H582,H583)</f>
        <v>0</v>
      </c>
      <c r="I581" s="920">
        <f>IF(SETUP!$F$43="Upfront",I582,I583)</f>
        <v>0</v>
      </c>
      <c r="J581" s="920">
        <f t="shared" si="87"/>
        <v>0</v>
      </c>
      <c r="K581" s="1016">
        <f>IF(SETUP!$F$43="Upfront",K582,K583)</f>
        <v>0</v>
      </c>
      <c r="L581" s="920">
        <f>IF(SETUP!$F$43="Upfront",L582,L583)</f>
        <v>0</v>
      </c>
      <c r="M581" s="920">
        <f>IF(SETUP!$F$43="Upfront",M582,M583)</f>
        <v>0</v>
      </c>
      <c r="N581" s="920">
        <f>IF(SETUP!$F$43="Upfront",N582,N583)</f>
        <v>0</v>
      </c>
      <c r="O581" s="920">
        <f t="shared" si="90"/>
        <v>0</v>
      </c>
      <c r="P581" s="1016">
        <f>IF(SETUP!$F$43="Upfront",P582,P583)</f>
        <v>0</v>
      </c>
      <c r="Q581" s="920">
        <f>IF(SETUP!$F$43="Upfront",Q582,Q583)</f>
        <v>0</v>
      </c>
      <c r="R581" s="920">
        <f>IF(SETUP!$F$43="Upfront",R582,R583)</f>
        <v>0</v>
      </c>
      <c r="S581" s="920">
        <f>IF(SETUP!$F$43="Upfront",S582,S583)</f>
        <v>0</v>
      </c>
      <c r="T581" s="920">
        <f t="shared" si="88"/>
        <v>0</v>
      </c>
      <c r="U581" s="1016">
        <f t="shared" si="89"/>
        <v>0</v>
      </c>
      <c r="V581" s="1344">
        <v>7.5</v>
      </c>
      <c r="W581" s="2011"/>
      <c r="X581" s="575"/>
      <c r="Y581" s="1350"/>
      <c r="Z581" s="655"/>
      <c r="AA581" s="686"/>
      <c r="AB581" s="686"/>
      <c r="AC581" s="686"/>
      <c r="AD581" s="686"/>
      <c r="AE581" s="686"/>
      <c r="AF581" s="686"/>
      <c r="AG581" s="686"/>
      <c r="AH581" s="687"/>
      <c r="AI581" s="686"/>
      <c r="AJ581" s="686"/>
      <c r="AK581" s="686"/>
      <c r="AL581" s="686"/>
      <c r="AM581" s="686"/>
      <c r="AN581" s="686"/>
      <c r="AO581" s="686"/>
      <c r="AP581" s="686"/>
      <c r="AQ581" s="686"/>
      <c r="AR581" s="686"/>
      <c r="AS581" s="686"/>
      <c r="AT581" s="686"/>
      <c r="AU581" s="686"/>
      <c r="AV581" s="686"/>
      <c r="AW581" s="686"/>
      <c r="AX581" s="686"/>
      <c r="AY581" s="686"/>
      <c r="AZ581" s="686"/>
      <c r="BA581" s="686"/>
      <c r="BB581" s="686"/>
      <c r="BC581" s="686"/>
      <c r="BD581" s="686"/>
      <c r="BE581" s="686"/>
      <c r="BF581" s="686"/>
      <c r="BG581" s="686"/>
      <c r="BH581" s="686"/>
      <c r="BI581" s="686"/>
      <c r="BJ581" s="686"/>
      <c r="BK581" s="686"/>
      <c r="BL581" s="686"/>
      <c r="BM581" s="686"/>
      <c r="BN581" s="686"/>
      <c r="BO581" s="686"/>
      <c r="BP581" s="686"/>
      <c r="BQ581" s="686"/>
      <c r="BR581" s="686"/>
      <c r="BS581" s="686"/>
      <c r="BT581" s="686"/>
    </row>
    <row r="582" spans="1:72" s="688" customFormat="1" ht="12.75" hidden="1" customHeight="1" outlineLevel="1">
      <c r="A582" s="3186"/>
      <c r="B582" s="3187"/>
      <c r="C582" s="3182" t="s">
        <v>777</v>
      </c>
      <c r="D582" s="3182"/>
      <c r="E582" s="1246"/>
      <c r="F582" s="1016">
        <f>IF(SETUP!$F$43="Upfront",$E$581*'TB-EQUIPMENT &amp; OTHER HPs'!AX16,0)</f>
        <v>0</v>
      </c>
      <c r="G582" s="920">
        <f>IF(SETUP!$F$43="Upfront",$E$581*'TB-EQUIPMENT &amp; OTHER HPs'!AY16,0)</f>
        <v>0</v>
      </c>
      <c r="H582" s="920">
        <f>IF(SETUP!$F$43="Upfront",$E$581*'TB-EQUIPMENT &amp; OTHER HPs'!AZ16,0)</f>
        <v>0</v>
      </c>
      <c r="I582" s="920">
        <f>IF(SETUP!$F$43="Upfront",$E$581*'TB-EQUIPMENT &amp; OTHER HPs'!BA16,0)</f>
        <v>0</v>
      </c>
      <c r="J582" s="920">
        <f t="shared" si="87"/>
        <v>0</v>
      </c>
      <c r="K582" s="1016">
        <f>IF(SETUP!$F$43="Upfront",$E$581*'TB-EQUIPMENT &amp; OTHER HPs'!BB16,0)</f>
        <v>0</v>
      </c>
      <c r="L582" s="920">
        <f>IF(SETUP!$F$43="Upfront",$E$581*'TB-EQUIPMENT &amp; OTHER HPs'!BC16,0)</f>
        <v>0</v>
      </c>
      <c r="M582" s="920">
        <f>IF(SETUP!$F$43="Upfront",$E$581*'TB-EQUIPMENT &amp; OTHER HPs'!BD16,0)</f>
        <v>0</v>
      </c>
      <c r="N582" s="920">
        <f>IF(SETUP!$F$43="Upfront",$E$581*'TB-EQUIPMENT &amp; OTHER HPs'!BE16,0)</f>
        <v>0</v>
      </c>
      <c r="O582" s="920">
        <f t="shared" si="90"/>
        <v>0</v>
      </c>
      <c r="P582" s="1016">
        <f>IF(SETUP!$F$43="Upfront",$E$581*'TB-EQUIPMENT &amp; OTHER HPs'!BF16,0)</f>
        <v>0</v>
      </c>
      <c r="Q582" s="920">
        <f>IF(SETUP!$F$43="Upfront",$E$581*'TB-EQUIPMENT &amp; OTHER HPs'!BG16,0)</f>
        <v>0</v>
      </c>
      <c r="R582" s="920">
        <f>IF(SETUP!$F$43="Upfront",$E$581*'TB-EQUIPMENT &amp; OTHER HPs'!BH16,0)</f>
        <v>0</v>
      </c>
      <c r="S582" s="920">
        <f>IF(SETUP!$F$43="Upfront",$E$581*'TB-EQUIPMENT &amp; OTHER HPs'!BI16,0)</f>
        <v>0</v>
      </c>
      <c r="T582" s="920">
        <f t="shared" si="88"/>
        <v>0</v>
      </c>
      <c r="U582" s="1016">
        <f t="shared" si="89"/>
        <v>0</v>
      </c>
      <c r="V582" s="1344">
        <v>7.5</v>
      </c>
      <c r="W582" s="2011"/>
      <c r="X582" s="575"/>
      <c r="Y582" s="1350"/>
      <c r="Z582" s="655"/>
      <c r="AA582" s="686"/>
      <c r="AB582" s="686"/>
      <c r="AC582" s="686"/>
      <c r="AD582" s="686"/>
      <c r="AE582" s="686"/>
      <c r="AF582" s="686"/>
      <c r="AG582" s="686"/>
      <c r="AH582" s="687"/>
      <c r="AI582" s="686"/>
      <c r="AJ582" s="686"/>
      <c r="AK582" s="686"/>
      <c r="AL582" s="686"/>
      <c r="AM582" s="686"/>
      <c r="AN582" s="686"/>
      <c r="AO582" s="686"/>
      <c r="AP582" s="686"/>
      <c r="AQ582" s="686"/>
      <c r="AR582" s="686"/>
      <c r="AS582" s="686"/>
      <c r="AT582" s="686"/>
      <c r="AU582" s="686"/>
      <c r="AV582" s="686"/>
      <c r="AW582" s="686"/>
      <c r="AX582" s="686"/>
      <c r="AY582" s="686"/>
      <c r="AZ582" s="686"/>
      <c r="BA582" s="686"/>
      <c r="BB582" s="686"/>
      <c r="BC582" s="686"/>
      <c r="BD582" s="686"/>
      <c r="BE582" s="686"/>
      <c r="BF582" s="686"/>
      <c r="BG582" s="686"/>
      <c r="BH582" s="686"/>
      <c r="BI582" s="686"/>
      <c r="BJ582" s="686"/>
      <c r="BK582" s="686"/>
      <c r="BL582" s="686"/>
      <c r="BM582" s="686"/>
      <c r="BN582" s="686"/>
      <c r="BO582" s="686"/>
      <c r="BP582" s="686"/>
      <c r="BQ582" s="686"/>
      <c r="BR582" s="686"/>
      <c r="BS582" s="686"/>
      <c r="BT582" s="686"/>
    </row>
    <row r="583" spans="1:72" s="688" customFormat="1" ht="12.75" hidden="1" customHeight="1" outlineLevel="1">
      <c r="A583" s="3186"/>
      <c r="B583" s="3187"/>
      <c r="C583" s="3182" t="s">
        <v>36</v>
      </c>
      <c r="D583" s="3182"/>
      <c r="E583" s="1246"/>
      <c r="F583" s="1016">
        <v>0</v>
      </c>
      <c r="G583" s="920">
        <f>IF(SETUP!$F$43="At delivery",IF(SETUP!$G$43=1,$E$581*'TB-EQUIPMENT &amp; OTHER HPs'!AX16,0),0)</f>
        <v>0</v>
      </c>
      <c r="H583" s="920">
        <f>IF(SETUP!$F$43="At delivery",IF(SETUP!$G$43=2,$E$581*'TB-EQUIPMENT &amp; OTHER HPs'!AX16,IF(SETUP!$G$43=1,$E$581*'TB-EQUIPMENT &amp; OTHER HPs'!AY16,0)),0)</f>
        <v>0</v>
      </c>
      <c r="I583" s="920">
        <f>IF(SETUP!$F$43="At delivery",IF(SETUP!$G$43=3,$E$581*'TB-EQUIPMENT &amp; OTHER HPs'!AX16,IF(SETUP!$G$43=2,$E$581*'TB-EQUIPMENT &amp; OTHER HPs'!AY16,IF(SETUP!$G$43=1,$E$581*'TB-EQUIPMENT &amp; OTHER HPs'!AZ16,0))),0)</f>
        <v>0</v>
      </c>
      <c r="J583" s="920">
        <f t="shared" si="87"/>
        <v>0</v>
      </c>
      <c r="K583" s="1016">
        <f>IF(SETUP!$F$43="At delivery",IF(SETUP!$G$43=4,$E$581*'TB-EQUIPMENT &amp; OTHER HPs'!AX16,IF(SETUP!$G$43=3,$E$581*'TB-EQUIPMENT &amp; OTHER HPs'!AY16,IF(SETUP!$G$43=2,$E$581*'TB-EQUIPMENT &amp; OTHER HPs'!AZ16,IF(SETUP!$G$43=1,$E$581*'TB-EQUIPMENT &amp; OTHER HPs'!BA16,0)))),0)</f>
        <v>0</v>
      </c>
      <c r="L583" s="920">
        <f>IF(SETUP!$F$43="At delivery",IF(SETUP!$G$43=4,$E$581*'TB-EQUIPMENT &amp; OTHER HPs'!AY16,IF(SETUP!$G$43=3,$E$581*'TB-EQUIPMENT &amp; OTHER HPs'!AZ16,IF(SETUP!$G$43=2,$E$581*'TB-EQUIPMENT &amp; OTHER HPs'!BA16,IF(SETUP!$G$43=1,$E$581*'TB-EQUIPMENT &amp; OTHER HPs'!BB16,0)))),0)</f>
        <v>0</v>
      </c>
      <c r="M583" s="920">
        <f>IF(SETUP!$F$43="At delivery",IF(SETUP!$G$43=4,$E$581*'TB-EQUIPMENT &amp; OTHER HPs'!AZ16,IF(SETUP!$G$43=3,$E$581*'TB-EQUIPMENT &amp; OTHER HPs'!BA16,IF(SETUP!$G$43=2,$E$581*'TB-EQUIPMENT &amp; OTHER HPs'!BB16,IF(SETUP!$G$43=1,$E$581*'TB-EQUIPMENT &amp; OTHER HPs'!BC16,0)))),0)</f>
        <v>0</v>
      </c>
      <c r="N583" s="920">
        <f>IF(SETUP!$F$43="At delivery",IF(SETUP!$G$43=4,$E$581*'TB-EQUIPMENT &amp; OTHER HPs'!BA16,IF(SETUP!$G$43=3,$E$581*'TB-EQUIPMENT &amp; OTHER HPs'!BB16,IF(SETUP!$G$43=2,$E$581*'TB-EQUIPMENT &amp; OTHER HPs'!BC16,IF(SETUP!$G$43=1,$E$581*'TB-EQUIPMENT &amp; OTHER HPs'!BD16,0)))),0)</f>
        <v>0</v>
      </c>
      <c r="O583" s="920">
        <f t="shared" si="90"/>
        <v>0</v>
      </c>
      <c r="P583" s="1016">
        <f>IF(SETUP!$F$43="At delivery",IF(SETUP!$G$43=4,$E$581*'TB-EQUIPMENT &amp; OTHER HPs'!BB16,IF(SETUP!$G$43=3,$E$581*'TB-EQUIPMENT &amp; OTHER HPs'!BC16,IF(SETUP!$G$43=2,$E$581*'TB-EQUIPMENT &amp; OTHER HPs'!BD16,IF(SETUP!$G$43=1,$E$581*'TB-EQUIPMENT &amp; OTHER HPs'!BE16,0)))),0)</f>
        <v>0</v>
      </c>
      <c r="Q583" s="920">
        <f>IF(SETUP!$F$43="At delivery",IF(SETUP!$G$43=4,$E$581*'TB-EQUIPMENT &amp; OTHER HPs'!BC16,IF(SETUP!$G$43=3,$E$581*'TB-EQUIPMENT &amp; OTHER HPs'!BD16,IF(SETUP!$G$43=2,$E$581*'TB-EQUIPMENT &amp; OTHER HPs'!BE16,IF(SETUP!$G$43=1,$E$581*'TB-EQUIPMENT &amp; OTHER HPs'!BF16,0)))),0)</f>
        <v>0</v>
      </c>
      <c r="R583" s="920">
        <f>IF(SETUP!$F$43="At delivery",IF(SETUP!$G$43=4,$E$581*'TB-EQUIPMENT &amp; OTHER HPs'!BD16,IF(SETUP!$G$43=3,$E$581*'TB-EQUIPMENT &amp; OTHER HPs'!BE16,IF(SETUP!$G$43=2,$E$581*'TB-EQUIPMENT &amp; OTHER HPs'!BF16,IF(SETUP!$G$43=1,$E$581*'TB-EQUIPMENT &amp; OTHER HPs'!BG16,0)))),0)</f>
        <v>0</v>
      </c>
      <c r="S583" s="920">
        <f>IF(SETUP!$F$43="At delivery",IF(SETUP!$G$43=4,$E$581*('TB-EQUIPMENT &amp; OTHER HPs'!BE16+'TB-EQUIPMENT &amp; OTHER HPs'!BF16+'TB-EQUIPMENT &amp; OTHER HPs'!BG16+'TB-EQUIPMENT &amp; OTHER HPs'!BH16+'TB-EQUIPMENT &amp; OTHER HPs'!BI16),IF(SETUP!$G$43=3,$E$581*('TB-EQUIPMENT &amp; OTHER HPs'!BF16+'TB-EQUIPMENT &amp; OTHER HPs'!BG16+'TB-EQUIPMENT &amp; OTHER HPs'!BH16+'TB-EQUIPMENT &amp; OTHER HPs'!BI16),IF(SETUP!$G$43=2,$E$581*('TB-EQUIPMENT &amp; OTHER HPs'!BG16+'TB-EQUIPMENT &amp; OTHER HPs'!BH16+'TB-EQUIPMENT &amp; OTHER HPs'!BI16),IF(SETUP!$G$43=1,$E$581*('TB-EQUIPMENT &amp; OTHER HPs'!BH16+'TB-EQUIPMENT &amp; OTHER HPs'!BI16),0)))),0)</f>
        <v>0</v>
      </c>
      <c r="T583" s="920">
        <f t="shared" si="88"/>
        <v>0</v>
      </c>
      <c r="U583" s="1016">
        <f t="shared" si="89"/>
        <v>0</v>
      </c>
      <c r="V583" s="1344">
        <v>7.5</v>
      </c>
      <c r="W583" s="2011"/>
      <c r="X583" s="575"/>
      <c r="Y583" s="1350"/>
      <c r="Z583" s="655"/>
      <c r="AA583" s="686"/>
      <c r="AB583" s="686"/>
      <c r="AC583" s="686"/>
      <c r="AD583" s="686"/>
      <c r="AE583" s="686"/>
      <c r="AF583" s="686"/>
      <c r="AG583" s="686"/>
      <c r="AH583" s="687"/>
      <c r="AI583" s="686"/>
      <c r="AJ583" s="686"/>
      <c r="AK583" s="686"/>
      <c r="AL583" s="686"/>
      <c r="AM583" s="686"/>
      <c r="AN583" s="686"/>
      <c r="AO583" s="686"/>
      <c r="AP583" s="686"/>
      <c r="AQ583" s="686"/>
      <c r="AR583" s="686"/>
      <c r="AS583" s="686"/>
      <c r="AT583" s="686"/>
      <c r="AU583" s="686"/>
      <c r="AV583" s="686"/>
      <c r="AW583" s="686"/>
      <c r="AX583" s="686"/>
      <c r="AY583" s="686"/>
      <c r="AZ583" s="686"/>
      <c r="BA583" s="686"/>
      <c r="BB583" s="686"/>
      <c r="BC583" s="686"/>
      <c r="BD583" s="686"/>
      <c r="BE583" s="686"/>
      <c r="BF583" s="686"/>
      <c r="BG583" s="686"/>
      <c r="BH583" s="686"/>
      <c r="BI583" s="686"/>
      <c r="BJ583" s="686"/>
      <c r="BK583" s="686"/>
      <c r="BL583" s="686"/>
      <c r="BM583" s="686"/>
      <c r="BN583" s="686"/>
      <c r="BO583" s="686"/>
      <c r="BP583" s="686"/>
      <c r="BQ583" s="686"/>
      <c r="BR583" s="686"/>
      <c r="BS583" s="686"/>
      <c r="BT583" s="686"/>
    </row>
    <row r="584" spans="1:72" s="688" customFormat="1" ht="13.5" hidden="1" collapsed="1" thickBot="1">
      <c r="A584" s="3186"/>
      <c r="B584" s="3187"/>
      <c r="C584" s="3188" t="s">
        <v>449</v>
      </c>
      <c r="D584" s="3188"/>
      <c r="E584" s="1245">
        <v>0</v>
      </c>
      <c r="F584" s="1016">
        <f>IF(SETUP!$F$44="Upfront",F585,F586)</f>
        <v>0</v>
      </c>
      <c r="G584" s="920">
        <f>IF(SETUP!$F$44="Upfront",G585,G586)</f>
        <v>0</v>
      </c>
      <c r="H584" s="920">
        <f>IF(SETUP!$F$44="Upfront",H585,H586)</f>
        <v>0</v>
      </c>
      <c r="I584" s="920">
        <f>IF(SETUP!$F$44="Upfront",I585,I586)</f>
        <v>0</v>
      </c>
      <c r="J584" s="920">
        <f t="shared" si="87"/>
        <v>0</v>
      </c>
      <c r="K584" s="1016">
        <f>IF(SETUP!$F$44="Upfront",K585,K586)</f>
        <v>0</v>
      </c>
      <c r="L584" s="920">
        <f>IF(SETUP!$F$44="Upfront",L585,L586)</f>
        <v>0</v>
      </c>
      <c r="M584" s="920">
        <f>IF(SETUP!$F$44="Upfront",M585,M586)</f>
        <v>0</v>
      </c>
      <c r="N584" s="920">
        <f>IF(SETUP!$F$44="Upfront",N585,N586)</f>
        <v>0</v>
      </c>
      <c r="O584" s="920">
        <f t="shared" si="90"/>
        <v>0</v>
      </c>
      <c r="P584" s="1016">
        <f>IF(SETUP!$F$44="Upfront",P585,P586)</f>
        <v>0</v>
      </c>
      <c r="Q584" s="920">
        <f>IF(SETUP!$F$44="Upfront",Q585,Q586)</f>
        <v>0</v>
      </c>
      <c r="R584" s="920">
        <f>IF(SETUP!$F$44="Upfront",R585,R586)</f>
        <v>0</v>
      </c>
      <c r="S584" s="920">
        <f>IF(SETUP!$F$44="Upfront",S585,S586)</f>
        <v>0</v>
      </c>
      <c r="T584" s="920">
        <f t="shared" si="88"/>
        <v>0</v>
      </c>
      <c r="U584" s="1016">
        <f t="shared" si="89"/>
        <v>0</v>
      </c>
      <c r="V584" s="1344">
        <v>7.5</v>
      </c>
      <c r="W584" s="2011"/>
      <c r="X584" s="575"/>
      <c r="Y584" s="1350"/>
      <c r="Z584" s="655"/>
      <c r="AA584" s="686"/>
      <c r="AB584" s="686"/>
      <c r="AC584" s="686"/>
      <c r="AD584" s="686"/>
      <c r="AE584" s="686"/>
      <c r="AF584" s="686"/>
      <c r="AG584" s="686"/>
      <c r="AH584" s="687"/>
      <c r="AI584" s="686"/>
      <c r="AJ584" s="686"/>
      <c r="AK584" s="686"/>
      <c r="AL584" s="686"/>
      <c r="AM584" s="686"/>
      <c r="AN584" s="686"/>
      <c r="AO584" s="686"/>
      <c r="AP584" s="686"/>
      <c r="AQ584" s="686"/>
      <c r="AR584" s="686"/>
      <c r="AS584" s="686"/>
      <c r="AT584" s="686"/>
      <c r="AU584" s="686"/>
      <c r="AV584" s="686"/>
      <c r="AW584" s="686"/>
      <c r="AX584" s="686"/>
      <c r="AY584" s="686"/>
      <c r="AZ584" s="686"/>
      <c r="BA584" s="686"/>
      <c r="BB584" s="686"/>
      <c r="BC584" s="686"/>
      <c r="BD584" s="686"/>
      <c r="BE584" s="686"/>
      <c r="BF584" s="686"/>
      <c r="BG584" s="686"/>
      <c r="BH584" s="686"/>
      <c r="BI584" s="686"/>
      <c r="BJ584" s="686"/>
      <c r="BK584" s="686"/>
      <c r="BL584" s="686"/>
      <c r="BM584" s="686"/>
      <c r="BN584" s="686"/>
      <c r="BO584" s="686"/>
      <c r="BP584" s="686"/>
      <c r="BQ584" s="686"/>
      <c r="BR584" s="686"/>
      <c r="BS584" s="686"/>
      <c r="BT584" s="686"/>
    </row>
    <row r="585" spans="1:72" s="688" customFormat="1" ht="12.75" hidden="1" customHeight="1" outlineLevel="1">
      <c r="A585" s="3186"/>
      <c r="B585" s="3187"/>
      <c r="C585" s="3182" t="s">
        <v>777</v>
      </c>
      <c r="D585" s="3182"/>
      <c r="E585" s="1246"/>
      <c r="F585" s="1016">
        <f>IF(SETUP!$F$44="Upfront",$E$584*'TB-EQUIPMENT &amp; OTHER HPs'!AX17,0)</f>
        <v>0</v>
      </c>
      <c r="G585" s="920">
        <f>IF(SETUP!$F$44="Upfront",$E$584*'TB-EQUIPMENT &amp; OTHER HPs'!AY17,0)</f>
        <v>0</v>
      </c>
      <c r="H585" s="920">
        <f>IF(SETUP!$F$44="Upfront",$E$584*'TB-EQUIPMENT &amp; OTHER HPs'!AZ17,0)</f>
        <v>0</v>
      </c>
      <c r="I585" s="920">
        <f>IF(SETUP!$F$44="Upfront",$E$584*'TB-EQUIPMENT &amp; OTHER HPs'!BA17,0)</f>
        <v>0</v>
      </c>
      <c r="J585" s="920">
        <f t="shared" si="87"/>
        <v>0</v>
      </c>
      <c r="K585" s="1016">
        <f>IF(SETUP!$F$44="Upfront",$E$584*'TB-EQUIPMENT &amp; OTHER HPs'!BB17,0)</f>
        <v>0</v>
      </c>
      <c r="L585" s="920">
        <f>IF(SETUP!$F$44="Upfront",$E$584*'TB-EQUIPMENT &amp; OTHER HPs'!BC17,0)</f>
        <v>0</v>
      </c>
      <c r="M585" s="920">
        <f>IF(SETUP!$F$44="Upfront",$E$584*'TB-EQUIPMENT &amp; OTHER HPs'!BD17,0)</f>
        <v>0</v>
      </c>
      <c r="N585" s="920">
        <f>IF(SETUP!$F$44="Upfront",$E$584*'TB-EQUIPMENT &amp; OTHER HPs'!BE17,0)</f>
        <v>0</v>
      </c>
      <c r="O585" s="920">
        <f t="shared" si="90"/>
        <v>0</v>
      </c>
      <c r="P585" s="1016">
        <f>IF(SETUP!$F$44="Upfront",$E$584*'TB-EQUIPMENT &amp; OTHER HPs'!BF17,0)</f>
        <v>0</v>
      </c>
      <c r="Q585" s="920">
        <f>IF(SETUP!$F$44="Upfront",$E$584*'TB-EQUIPMENT &amp; OTHER HPs'!BG17,0)</f>
        <v>0</v>
      </c>
      <c r="R585" s="920">
        <f>IF(SETUP!$F$44="Upfront",$E$584*'TB-EQUIPMENT &amp; OTHER HPs'!BH17,0)</f>
        <v>0</v>
      </c>
      <c r="S585" s="920">
        <f>IF(SETUP!$F$44="Upfront",$E$584*'TB-EQUIPMENT &amp; OTHER HPs'!BI17,0)</f>
        <v>0</v>
      </c>
      <c r="T585" s="920">
        <f t="shared" si="88"/>
        <v>0</v>
      </c>
      <c r="U585" s="1016">
        <f t="shared" si="89"/>
        <v>0</v>
      </c>
      <c r="V585" s="1344">
        <v>7.5</v>
      </c>
      <c r="W585" s="2011"/>
      <c r="X585" s="575"/>
      <c r="Y585" s="1350"/>
      <c r="Z585" s="655"/>
      <c r="AA585" s="686"/>
      <c r="AB585" s="686"/>
      <c r="AC585" s="686"/>
      <c r="AD585" s="686"/>
      <c r="AE585" s="686"/>
      <c r="AF585" s="686"/>
      <c r="AG585" s="686"/>
      <c r="AH585" s="687"/>
      <c r="AI585" s="686"/>
      <c r="AJ585" s="686"/>
      <c r="AK585" s="686"/>
      <c r="AL585" s="686"/>
      <c r="AM585" s="686"/>
      <c r="AN585" s="686"/>
      <c r="AO585" s="686"/>
      <c r="AP585" s="686"/>
      <c r="AQ585" s="686"/>
      <c r="AR585" s="686"/>
      <c r="AS585" s="686"/>
      <c r="AT585" s="686"/>
      <c r="AU585" s="686"/>
      <c r="AV585" s="686"/>
      <c r="AW585" s="686"/>
      <c r="AX585" s="686"/>
      <c r="AY585" s="686"/>
      <c r="AZ585" s="686"/>
      <c r="BA585" s="686"/>
      <c r="BB585" s="686"/>
      <c r="BC585" s="686"/>
      <c r="BD585" s="686"/>
      <c r="BE585" s="686"/>
      <c r="BF585" s="686"/>
      <c r="BG585" s="686"/>
      <c r="BH585" s="686"/>
      <c r="BI585" s="686"/>
      <c r="BJ585" s="686"/>
      <c r="BK585" s="686"/>
      <c r="BL585" s="686"/>
      <c r="BM585" s="686"/>
      <c r="BN585" s="686"/>
      <c r="BO585" s="686"/>
      <c r="BP585" s="686"/>
      <c r="BQ585" s="686"/>
      <c r="BR585" s="686"/>
      <c r="BS585" s="686"/>
      <c r="BT585" s="686"/>
    </row>
    <row r="586" spans="1:72" s="688" customFormat="1" ht="12.75" hidden="1" customHeight="1" outlineLevel="1">
      <c r="A586" s="3186"/>
      <c r="B586" s="3187"/>
      <c r="C586" s="3182" t="s">
        <v>36</v>
      </c>
      <c r="D586" s="3182"/>
      <c r="E586" s="1246"/>
      <c r="F586" s="1016">
        <v>0</v>
      </c>
      <c r="G586" s="920">
        <f>IF(SETUP!$F$44="At delivery",IF(SETUP!$G$44=1,$E$584*'TB-EQUIPMENT &amp; OTHER HPs'!AX17,0),0)</f>
        <v>0</v>
      </c>
      <c r="H586" s="920">
        <f>IF(SETUP!$F$44="At delivery",IF(SETUP!$G$44=2,$E$584*'TB-EQUIPMENT &amp; OTHER HPs'!AX17,IF(SETUP!$G$44=1,$E$584*'TB-EQUIPMENT &amp; OTHER HPs'!AY17,0)),0)</f>
        <v>0</v>
      </c>
      <c r="I586" s="920">
        <f>IF(SETUP!$F$44="At delivery",IF(SETUP!$G$44=3,$E$584*'TB-EQUIPMENT &amp; OTHER HPs'!AX17,IF(SETUP!$G$44=2,$E$584*'TB-EQUIPMENT &amp; OTHER HPs'!AY17,IF(SETUP!$G$44=1,$E$584*'TB-EQUIPMENT &amp; OTHER HPs'!AZ17,0))),0)</f>
        <v>0</v>
      </c>
      <c r="J586" s="920">
        <f t="shared" si="87"/>
        <v>0</v>
      </c>
      <c r="K586" s="1016">
        <f>IF(SETUP!$F$44="At delivery",IF(SETUP!$G$44=4,$E$584*'TB-EQUIPMENT &amp; OTHER HPs'!AX17,IF(SETUP!$G$44=3,$E$584*'TB-EQUIPMENT &amp; OTHER HPs'!AY17,IF(SETUP!$G$44=2,$E$584*'TB-EQUIPMENT &amp; OTHER HPs'!AZ17,IF(SETUP!$G$44=1,$E$584*'TB-EQUIPMENT &amp; OTHER HPs'!BA17,0)))),0)</f>
        <v>0</v>
      </c>
      <c r="L586" s="920">
        <f>IF(SETUP!$F$44="At delivery",IF(SETUP!$G$44=4,$E$584*'TB-EQUIPMENT &amp; OTHER HPs'!AY17,IF(SETUP!$G$44=3,$E$584*'TB-EQUIPMENT &amp; OTHER HPs'!AZ17,IF(SETUP!$G$44=2,$E$584*'TB-EQUIPMENT &amp; OTHER HPs'!BA17,IF(SETUP!$G$44=1,$E$584*'TB-EQUIPMENT &amp; OTHER HPs'!BB17,0)))),0)</f>
        <v>0</v>
      </c>
      <c r="M586" s="920">
        <f>IF(SETUP!$F$44="At delivery",IF(SETUP!$G$44=4,$E$584*'TB-EQUIPMENT &amp; OTHER HPs'!AZ17,IF(SETUP!$G$44=3,$E$584*'TB-EQUIPMENT &amp; OTHER HPs'!BA17,IF(SETUP!$G$44=2,$E$584*'TB-EQUIPMENT &amp; OTHER HPs'!BB17,IF(SETUP!$G$44=1,$E$584*'TB-EQUIPMENT &amp; OTHER HPs'!BC17,0)))),0)</f>
        <v>0</v>
      </c>
      <c r="N586" s="920">
        <f>IF(SETUP!$F$44="At delivery",IF(SETUP!$G$44=4,$E$584*'TB-EQUIPMENT &amp; OTHER HPs'!BA17,IF(SETUP!$G$44=3,$E$584*'TB-EQUIPMENT &amp; OTHER HPs'!BB17,IF(SETUP!$G$44=2,$E$584*'TB-EQUIPMENT &amp; OTHER HPs'!BC17,IF(SETUP!$G$44=1,$E$584*'TB-EQUIPMENT &amp; OTHER HPs'!BD17,0)))),0)</f>
        <v>0</v>
      </c>
      <c r="O586" s="920">
        <f t="shared" si="90"/>
        <v>0</v>
      </c>
      <c r="P586" s="1016">
        <f>IF(SETUP!$F$44="At delivery",IF(SETUP!$G$44=4,$E$584*'TB-EQUIPMENT &amp; OTHER HPs'!BB17,IF(SETUP!$G$44=3,$E$584*'TB-EQUIPMENT &amp; OTHER HPs'!BC17,IF(SETUP!$G$44=2,$E$584*'TB-EQUIPMENT &amp; OTHER HPs'!BD17,IF(SETUP!$G$44=1,$E$584*'TB-EQUIPMENT &amp; OTHER HPs'!BE17,0)))),0)</f>
        <v>0</v>
      </c>
      <c r="Q586" s="920">
        <f>IF(SETUP!$F$44="At delivery",IF(SETUP!$G$44=4,$E$584*'TB-EQUIPMENT &amp; OTHER HPs'!BC17,IF(SETUP!$G$44=3,$E$584*'TB-EQUIPMENT &amp; OTHER HPs'!BD17,IF(SETUP!$G$44=2,$E$584*'TB-EQUIPMENT &amp; OTHER HPs'!BE17,IF(SETUP!$G$44=1,$E$584*'TB-EQUIPMENT &amp; OTHER HPs'!BF17,0)))),0)</f>
        <v>0</v>
      </c>
      <c r="R586" s="920">
        <f>IF(SETUP!$F$44="At delivery",IF(SETUP!$G$44=4,$E$584*'TB-EQUIPMENT &amp; OTHER HPs'!BD17,IF(SETUP!$G$44=3,$E$584*'TB-EQUIPMENT &amp; OTHER HPs'!BE17,IF(SETUP!$G$44=2,$E$584*'TB-EQUIPMENT &amp; OTHER HPs'!BF17,IF(SETUP!$G$44=1,$E$584*'TB-EQUIPMENT &amp; OTHER HPs'!BG17,0)))),0)</f>
        <v>0</v>
      </c>
      <c r="S586" s="920">
        <f>IF(SETUP!$F$44="At delivery",IF(SETUP!$G$44=4,$E$584*('TB-EQUIPMENT &amp; OTHER HPs'!BE17+'TB-EQUIPMENT &amp; OTHER HPs'!BF17+'TB-EQUIPMENT &amp; OTHER HPs'!BG17+'TB-EQUIPMENT &amp; OTHER HPs'!BH17+'TB-EQUIPMENT &amp; OTHER HPs'!BI17),IF(SETUP!$G$44=3,$E$584*('TB-EQUIPMENT &amp; OTHER HPs'!BF17+'TB-EQUIPMENT &amp; OTHER HPs'!BG17+'TB-EQUIPMENT &amp; OTHER HPs'!BH17+'TB-EQUIPMENT &amp; OTHER HPs'!BI17),IF(SETUP!$G$44=2,$E$584*('TB-EQUIPMENT &amp; OTHER HPs'!BG17+'TB-EQUIPMENT &amp; OTHER HPs'!BH17+'TB-EQUIPMENT &amp; OTHER HPs'!BI17),IF(SETUP!$G$44=1,$E$584*('TB-EQUIPMENT &amp; OTHER HPs'!BH17+'TB-EQUIPMENT &amp; OTHER HPs'!BI17),0)))),0)</f>
        <v>0</v>
      </c>
      <c r="T586" s="920">
        <f t="shared" si="88"/>
        <v>0</v>
      </c>
      <c r="U586" s="1016">
        <f t="shared" si="89"/>
        <v>0</v>
      </c>
      <c r="V586" s="1344">
        <v>7.5</v>
      </c>
      <c r="W586" s="2011"/>
      <c r="X586" s="575"/>
      <c r="Y586" s="1350"/>
      <c r="Z586" s="655"/>
      <c r="AA586" s="686"/>
      <c r="AB586" s="686"/>
      <c r="AC586" s="686"/>
      <c r="AD586" s="686"/>
      <c r="AE586" s="686"/>
      <c r="AF586" s="686"/>
      <c r="AG586" s="686"/>
      <c r="AH586" s="687"/>
      <c r="AI586" s="686"/>
      <c r="AJ586" s="686"/>
      <c r="AK586" s="686"/>
      <c r="AL586" s="686"/>
      <c r="AM586" s="686"/>
      <c r="AN586" s="686"/>
      <c r="AO586" s="686"/>
      <c r="AP586" s="686"/>
      <c r="AQ586" s="686"/>
      <c r="AR586" s="686"/>
      <c r="AS586" s="686"/>
      <c r="AT586" s="686"/>
      <c r="AU586" s="686"/>
      <c r="AV586" s="686"/>
      <c r="AW586" s="686"/>
      <c r="AX586" s="686"/>
      <c r="AY586" s="686"/>
      <c r="AZ586" s="686"/>
      <c r="BA586" s="686"/>
      <c r="BB586" s="686"/>
      <c r="BC586" s="686"/>
      <c r="BD586" s="686"/>
      <c r="BE586" s="686"/>
      <c r="BF586" s="686"/>
      <c r="BG586" s="686"/>
      <c r="BH586" s="686"/>
      <c r="BI586" s="686"/>
      <c r="BJ586" s="686"/>
      <c r="BK586" s="686"/>
      <c r="BL586" s="686"/>
      <c r="BM586" s="686"/>
      <c r="BN586" s="686"/>
      <c r="BO586" s="686"/>
      <c r="BP586" s="686"/>
      <c r="BQ586" s="686"/>
      <c r="BR586" s="686"/>
      <c r="BS586" s="686"/>
      <c r="BT586" s="686"/>
    </row>
    <row r="587" spans="1:72" s="688" customFormat="1" ht="13.5" hidden="1" collapsed="1" thickBot="1">
      <c r="A587" s="3189" t="s">
        <v>450</v>
      </c>
      <c r="B587" s="3190"/>
      <c r="C587" s="3183" t="s">
        <v>451</v>
      </c>
      <c r="D587" s="3183"/>
      <c r="E587" s="1245">
        <v>0</v>
      </c>
      <c r="F587" s="1016">
        <f>IF(SETUP!$F$50="Upfront",F588,F589)</f>
        <v>0</v>
      </c>
      <c r="G587" s="920">
        <f>IF(SETUP!$F$50="Upfront",G588,G589)</f>
        <v>0</v>
      </c>
      <c r="H587" s="920">
        <f>IF(SETUP!$F$50="Upfront",H588,H589)</f>
        <v>0</v>
      </c>
      <c r="I587" s="920">
        <f>IF(SETUP!$F$50="Upfront",I588,I589)</f>
        <v>0</v>
      </c>
      <c r="J587" s="920">
        <f t="shared" si="87"/>
        <v>0</v>
      </c>
      <c r="K587" s="1016">
        <f>IF(SETUP!$F$50="Upfront",K588,K589)</f>
        <v>0</v>
      </c>
      <c r="L587" s="920">
        <f>IF(SETUP!$F$50="Upfront",L588,L589)</f>
        <v>0</v>
      </c>
      <c r="M587" s="920">
        <f>IF(SETUP!$F$50="Upfront",M588,M589)</f>
        <v>0</v>
      </c>
      <c r="N587" s="920">
        <f>IF(SETUP!$F$50="Upfront",N588,N589)</f>
        <v>0</v>
      </c>
      <c r="O587" s="920">
        <f t="shared" si="90"/>
        <v>0</v>
      </c>
      <c r="P587" s="1016">
        <f>IF(SETUP!$F$50="Upfront",P588,P589)</f>
        <v>0</v>
      </c>
      <c r="Q587" s="920">
        <f>IF(SETUP!$F$50="Upfront",Q588,Q589)</f>
        <v>0</v>
      </c>
      <c r="R587" s="920">
        <f>IF(SETUP!$F$50="Upfront",R588,R589)</f>
        <v>0</v>
      </c>
      <c r="S587" s="920">
        <f>IF(SETUP!$F$50="Upfront",S588,S589)</f>
        <v>0</v>
      </c>
      <c r="T587" s="920">
        <f t="shared" si="88"/>
        <v>0</v>
      </c>
      <c r="U587" s="1016">
        <f t="shared" si="89"/>
        <v>0</v>
      </c>
      <c r="V587" s="1344">
        <v>7.5</v>
      </c>
      <c r="W587" s="2011"/>
      <c r="X587" s="575"/>
      <c r="Y587" s="1350"/>
      <c r="Z587" s="655"/>
      <c r="AA587" s="686"/>
      <c r="AB587" s="686"/>
      <c r="AC587" s="686"/>
      <c r="AD587" s="686"/>
      <c r="AE587" s="686"/>
      <c r="AF587" s="686"/>
      <c r="AG587" s="686"/>
      <c r="AH587" s="687"/>
      <c r="AI587" s="686"/>
      <c r="AJ587" s="686"/>
      <c r="AK587" s="686"/>
      <c r="AL587" s="686"/>
      <c r="AM587" s="686"/>
      <c r="AN587" s="686"/>
      <c r="AO587" s="686"/>
      <c r="AP587" s="686"/>
      <c r="AQ587" s="686"/>
      <c r="AR587" s="686"/>
      <c r="AS587" s="686"/>
      <c r="AT587" s="686"/>
      <c r="AU587" s="686"/>
      <c r="AV587" s="686"/>
      <c r="AW587" s="686"/>
      <c r="AX587" s="686"/>
      <c r="AY587" s="686"/>
      <c r="AZ587" s="686"/>
      <c r="BA587" s="686"/>
      <c r="BB587" s="686"/>
      <c r="BC587" s="686"/>
      <c r="BD587" s="686"/>
      <c r="BE587" s="686"/>
      <c r="BF587" s="686"/>
      <c r="BG587" s="686"/>
      <c r="BH587" s="686"/>
      <c r="BI587" s="686"/>
      <c r="BJ587" s="686"/>
      <c r="BK587" s="686"/>
      <c r="BL587" s="686"/>
      <c r="BM587" s="686"/>
      <c r="BN587" s="686"/>
      <c r="BO587" s="686"/>
      <c r="BP587" s="686"/>
      <c r="BQ587" s="686"/>
      <c r="BR587" s="686"/>
      <c r="BS587" s="686"/>
      <c r="BT587" s="686"/>
    </row>
    <row r="588" spans="1:72" s="688" customFormat="1" ht="16.149999999999999" hidden="1" customHeight="1" outlineLevel="1">
      <c r="A588" s="3189"/>
      <c r="B588" s="3190"/>
      <c r="C588" s="3182" t="s">
        <v>777</v>
      </c>
      <c r="D588" s="3182"/>
      <c r="E588" s="1579"/>
      <c r="F588" s="1016">
        <f>IF(SETUP!$F$50="Upfront",$E$587*'Malaria-Pharmaceuticals'!AX14,0)</f>
        <v>0</v>
      </c>
      <c r="G588" s="920">
        <f>IF(SETUP!$F$50="Upfront",$E$587*'Malaria-Pharmaceuticals'!AY14,0)</f>
        <v>0</v>
      </c>
      <c r="H588" s="920">
        <f>IF(SETUP!$F$50="Upfront",$E$587*'Malaria-Pharmaceuticals'!AZ14,0)</f>
        <v>0</v>
      </c>
      <c r="I588" s="920">
        <f>IF(SETUP!$F$50="Upfront",$E$587*'Malaria-Pharmaceuticals'!BA14,0)</f>
        <v>0</v>
      </c>
      <c r="J588" s="920">
        <f t="shared" si="87"/>
        <v>0</v>
      </c>
      <c r="K588" s="1016">
        <f>IF(SETUP!$F$50="Upfront",$E$587*'Malaria-Pharmaceuticals'!BB14,0)</f>
        <v>0</v>
      </c>
      <c r="L588" s="920">
        <f>IF(SETUP!$F$50="Upfront",$E$587*'Malaria-Pharmaceuticals'!BC14,0)</f>
        <v>0</v>
      </c>
      <c r="M588" s="920">
        <f>IF(SETUP!$F$50="Upfront",$E$587*'Malaria-Pharmaceuticals'!BD14,0)</f>
        <v>0</v>
      </c>
      <c r="N588" s="920">
        <f>IF(SETUP!$F$50="Upfront",$E$587*'Malaria-Pharmaceuticals'!BE14,0)</f>
        <v>0</v>
      </c>
      <c r="O588" s="920">
        <f t="shared" si="90"/>
        <v>0</v>
      </c>
      <c r="P588" s="1016">
        <f>IF(SETUP!$F$50="Upfront",$E$587*'Malaria-Pharmaceuticals'!BF14,0)</f>
        <v>0</v>
      </c>
      <c r="Q588" s="920">
        <f>IF(SETUP!$F$50="Upfront",$E$587*'Malaria-Pharmaceuticals'!BG14,0)</f>
        <v>0</v>
      </c>
      <c r="R588" s="920">
        <f>IF(SETUP!$F$50="Upfront",$E$587*'Malaria-Pharmaceuticals'!BH14,0)</f>
        <v>0</v>
      </c>
      <c r="S588" s="920">
        <f>IF(SETUP!$F$50="Upfront",$E$587*'Malaria-Pharmaceuticals'!BI14,0)</f>
        <v>0</v>
      </c>
      <c r="T588" s="920">
        <f t="shared" si="88"/>
        <v>0</v>
      </c>
      <c r="U588" s="1016">
        <f t="shared" si="89"/>
        <v>0</v>
      </c>
      <c r="V588" s="1344">
        <v>7.5</v>
      </c>
      <c r="W588" s="2011"/>
      <c r="X588" s="575"/>
      <c r="Y588" s="1350"/>
      <c r="Z588" s="655"/>
      <c r="AA588" s="686"/>
      <c r="AB588" s="686"/>
      <c r="AC588" s="686"/>
      <c r="AD588" s="686"/>
      <c r="AE588" s="686"/>
      <c r="AF588" s="686"/>
      <c r="AG588" s="686"/>
      <c r="AH588" s="687"/>
      <c r="AI588" s="686"/>
      <c r="AJ588" s="686"/>
      <c r="AK588" s="686"/>
      <c r="AL588" s="686"/>
      <c r="AM588" s="686"/>
      <c r="AN588" s="686"/>
      <c r="AO588" s="686"/>
      <c r="AP588" s="686"/>
      <c r="AQ588" s="686"/>
      <c r="AR588" s="686"/>
      <c r="AS588" s="686"/>
      <c r="AT588" s="686"/>
      <c r="AU588" s="686"/>
      <c r="AV588" s="686"/>
      <c r="AW588" s="686"/>
      <c r="AX588" s="686"/>
      <c r="AY588" s="686"/>
      <c r="AZ588" s="686"/>
      <c r="BA588" s="686"/>
      <c r="BB588" s="686"/>
      <c r="BC588" s="686"/>
      <c r="BD588" s="686"/>
      <c r="BE588" s="686"/>
      <c r="BF588" s="686"/>
      <c r="BG588" s="686"/>
      <c r="BH588" s="686"/>
      <c r="BI588" s="686"/>
      <c r="BJ588" s="686"/>
      <c r="BK588" s="686"/>
      <c r="BL588" s="686"/>
      <c r="BM588" s="686"/>
      <c r="BN588" s="686"/>
      <c r="BO588" s="686"/>
      <c r="BP588" s="686"/>
      <c r="BQ588" s="686"/>
      <c r="BR588" s="686"/>
      <c r="BS588" s="686"/>
      <c r="BT588" s="686"/>
    </row>
    <row r="589" spans="1:72" s="688" customFormat="1" ht="17.25" hidden="1" customHeight="1" outlineLevel="1" thickBot="1">
      <c r="A589" s="3189"/>
      <c r="B589" s="3190"/>
      <c r="C589" s="3182" t="s">
        <v>36</v>
      </c>
      <c r="D589" s="3182"/>
      <c r="E589" s="1579"/>
      <c r="F589" s="1016">
        <v>0</v>
      </c>
      <c r="G589" s="920">
        <f>IF(SETUP!$F$50="At delivery",IF(SETUP!$G$50=1,$E$587*'Malaria-Pharmaceuticals'!AX14,0),0)</f>
        <v>0</v>
      </c>
      <c r="H589" s="920">
        <f>IF(SETUP!$F$50="At delivery",IF(SETUP!$G$50=2,$E$587*'Malaria-Pharmaceuticals'!AX14,IF(SETUP!$G$50=1,$E$587*'Malaria-Pharmaceuticals'!AY14,0)),0)</f>
        <v>0</v>
      </c>
      <c r="I589" s="920">
        <f>IF(SETUP!$F$50="At delivery",IF(SETUP!$G$50=3,$E$587*'Malaria-Pharmaceuticals'!AX14,IF(SETUP!$G$50=2,$E$587*'Malaria-Pharmaceuticals'!AY14,IF(SETUP!$G$50=1,$E$587*'Malaria-Pharmaceuticals'!AZ14,0))),0)</f>
        <v>0</v>
      </c>
      <c r="J589" s="920">
        <f t="shared" ref="J589:J611" si="91">F589+G589+H589+I589</f>
        <v>0</v>
      </c>
      <c r="K589" s="1016">
        <f>IF(SETUP!$F$50="At delivery",IF(SETUP!$G$50=4,$E$587*'Malaria-Pharmaceuticals'!AX14,IF(SETUP!$G$50=3,$E$587*'Malaria-Pharmaceuticals'!AY14,IF(SETUP!$G$50=2,$E$587*'Malaria-Pharmaceuticals'!AZ14,IF(SETUP!$G$50=1,$E$587*'Malaria-Pharmaceuticals'!BA14,0)))),0)</f>
        <v>0</v>
      </c>
      <c r="L589" s="920">
        <f>IF(SETUP!$F$50="At delivery",IF(SETUP!$G$50=4,$E$587*'Malaria-Pharmaceuticals'!AY14,IF(SETUP!$G$50=3,$E$587*'Malaria-Pharmaceuticals'!AZ14,IF(SETUP!$G$50=2,$E$587*'Malaria-Pharmaceuticals'!BA14,IF(SETUP!$G$50=1,$E$587*'Malaria-Pharmaceuticals'!BB14,0)))),0)</f>
        <v>0</v>
      </c>
      <c r="M589" s="920">
        <f>IF(SETUP!$F$50="At delivery",IF(SETUP!$G$50=4,$E$587*'Malaria-Pharmaceuticals'!AZ14,IF(SETUP!$G$50=3,$E$587*'Malaria-Pharmaceuticals'!BA14,IF(SETUP!$G$50=2,$E$587*'Malaria-Pharmaceuticals'!BB14,IF(SETUP!$G$50=1,$E$587*'Malaria-Pharmaceuticals'!BC14,0)))),0)</f>
        <v>0</v>
      </c>
      <c r="N589" s="920">
        <f>IF(SETUP!$F$50="At delivery",IF(SETUP!$G$50=4,$E$587*'Malaria-Pharmaceuticals'!BA14,IF(SETUP!$G$50=3,$E$587*'Malaria-Pharmaceuticals'!BB14,IF(SETUP!$G$50=2,$E$587*'Malaria-Pharmaceuticals'!BC14,IF(SETUP!$G$50=1,$E$587*'Malaria-Pharmaceuticals'!BD14,0)))),0)</f>
        <v>0</v>
      </c>
      <c r="O589" s="920">
        <f t="shared" ref="O589:O611" si="92">K589+L589+M589+N589</f>
        <v>0</v>
      </c>
      <c r="P589" s="1016">
        <f>IF(SETUP!$F$50="At delivery",IF(SETUP!$G$50=4,$E$587*'Malaria-Pharmaceuticals'!BB14,IF(SETUP!$G$50=3,$E$587*'Malaria-Pharmaceuticals'!BC14,IF(SETUP!$G$50=2,$E$587*'Malaria-Pharmaceuticals'!BD14,IF(SETUP!$G$50=1,$E$587*'Malaria-Pharmaceuticals'!BE14,0)))),0)</f>
        <v>0</v>
      </c>
      <c r="Q589" s="920">
        <f>IF(SETUP!$F$50="At delivery",IF(SETUP!$G$50=4,$E$587*'Malaria-Pharmaceuticals'!BC14,IF(SETUP!$G$50=3,$E$587*'Malaria-Pharmaceuticals'!BD14,IF(SETUP!$G$50=2,$E$587*'Malaria-Pharmaceuticals'!BE14,IF(SETUP!$G$50=1,$E$587*'Malaria-Pharmaceuticals'!BF14,0)))),0)</f>
        <v>0</v>
      </c>
      <c r="R589" s="920">
        <f>IF(SETUP!$F$50="At delivery",IF(SETUP!$G$50=4,$E$587*'Malaria-Pharmaceuticals'!BD14,IF(SETUP!$G$50=3,$E$587*'Malaria-Pharmaceuticals'!BE14,IF(SETUP!$G$50=2,$E$587*'Malaria-Pharmaceuticals'!BF14,IF(SETUP!$G$50=1,$E$587*'Malaria-Pharmaceuticals'!BG14,0)))),0)</f>
        <v>0</v>
      </c>
      <c r="S589" s="920">
        <f>IF(SETUP!$F$50="At delivery",IF(SETUP!$G$50=4,$E$587*('Malaria-Pharmaceuticals'!BE14+'Malaria-Pharmaceuticals'!BF14+'Malaria-Pharmaceuticals'!BG14+'Malaria-Pharmaceuticals'!BH14+'Malaria-Pharmaceuticals'!BI14),IF(SETUP!$G$50=3,$E$587*('Malaria-Pharmaceuticals'!BF14+'Malaria-Pharmaceuticals'!BG14+'Malaria-Pharmaceuticals'!BH14+'Malaria-Pharmaceuticals'!BI14),IF(SETUP!$G$50=2,$E$587*('Malaria-Pharmaceuticals'!BG14+'Malaria-Pharmaceuticals'!BH14+'Malaria-Pharmaceuticals'!BI14),IF(SETUP!$G$50=1,$E$587*('Malaria-Pharmaceuticals'!BH14+'Malaria-Pharmaceuticals'!BI14),0)))),0)</f>
        <v>0</v>
      </c>
      <c r="T589" s="920">
        <f t="shared" ref="T589:T611" si="93">P589+Q589+R589+S589</f>
        <v>0</v>
      </c>
      <c r="U589" s="1016">
        <f t="shared" ref="U589:U611" si="94">J589+O589+T589</f>
        <v>0</v>
      </c>
      <c r="V589" s="1344">
        <v>7.5</v>
      </c>
      <c r="W589" s="2011"/>
      <c r="X589" s="575"/>
      <c r="Y589" s="1350"/>
      <c r="Z589" s="655"/>
      <c r="AA589" s="686"/>
      <c r="AB589" s="686"/>
      <c r="AC589" s="686"/>
      <c r="AD589" s="686"/>
      <c r="AE589" s="686"/>
      <c r="AF589" s="686"/>
      <c r="AG589" s="686"/>
      <c r="AH589" s="687"/>
      <c r="AI589" s="686"/>
      <c r="AJ589" s="686"/>
      <c r="AK589" s="686"/>
      <c r="AL589" s="686"/>
      <c r="AM589" s="686"/>
      <c r="AN589" s="686"/>
      <c r="AO589" s="686"/>
      <c r="AP589" s="686"/>
      <c r="AQ589" s="686"/>
      <c r="AR589" s="686"/>
      <c r="AS589" s="686"/>
      <c r="AT589" s="686"/>
      <c r="AU589" s="686"/>
      <c r="AV589" s="686"/>
      <c r="AW589" s="686"/>
      <c r="AX589" s="686"/>
      <c r="AY589" s="686"/>
      <c r="AZ589" s="686"/>
      <c r="BA589" s="686"/>
      <c r="BB589" s="686"/>
      <c r="BC589" s="686"/>
      <c r="BD589" s="686"/>
      <c r="BE589" s="686"/>
      <c r="BF589" s="686"/>
      <c r="BG589" s="686"/>
      <c r="BH589" s="686"/>
      <c r="BI589" s="686"/>
      <c r="BJ589" s="686"/>
      <c r="BK589" s="686"/>
      <c r="BL589" s="686"/>
      <c r="BM589" s="686"/>
      <c r="BN589" s="686"/>
      <c r="BO589" s="686"/>
      <c r="BP589" s="686"/>
      <c r="BQ589" s="686"/>
      <c r="BR589" s="686"/>
      <c r="BS589" s="686"/>
      <c r="BT589" s="686"/>
    </row>
    <row r="590" spans="1:72" s="688" customFormat="1" ht="13.5" hidden="1" collapsed="1" thickBot="1">
      <c r="A590" s="3189"/>
      <c r="B590" s="3190"/>
      <c r="C590" s="3183" t="s">
        <v>453</v>
      </c>
      <c r="D590" s="3183"/>
      <c r="E590" s="1245">
        <v>0</v>
      </c>
      <c r="F590" s="1016">
        <f>IF(SETUP!$F$51="Upfront",F591,F592)</f>
        <v>0</v>
      </c>
      <c r="G590" s="920">
        <f>IF(SETUP!$F$51="Upfront",G591,G592)</f>
        <v>0</v>
      </c>
      <c r="H590" s="920">
        <f>IF(SETUP!$F$51="Upfront",H591,H592)</f>
        <v>0</v>
      </c>
      <c r="I590" s="920">
        <f>IF(SETUP!$F$51="Upfront",I591,I592)</f>
        <v>0</v>
      </c>
      <c r="J590" s="920">
        <f t="shared" si="91"/>
        <v>0</v>
      </c>
      <c r="K590" s="1016">
        <f>IF(SETUP!$F$51="Upfront",K591,K592)</f>
        <v>0</v>
      </c>
      <c r="L590" s="920">
        <f>IF(SETUP!$F$51="Upfront",L591,L592)</f>
        <v>0</v>
      </c>
      <c r="M590" s="920">
        <f>IF(SETUP!$F$51="Upfront",M591,M592)</f>
        <v>0</v>
      </c>
      <c r="N590" s="920">
        <f>IF(SETUP!$F$51="Upfront",N591,N592)</f>
        <v>0</v>
      </c>
      <c r="O590" s="920">
        <f t="shared" si="92"/>
        <v>0</v>
      </c>
      <c r="P590" s="1016">
        <f>IF(SETUP!$F$51="Upfront",P591,P592)</f>
        <v>0</v>
      </c>
      <c r="Q590" s="920">
        <f>IF(SETUP!$F$51="Upfront",Q591,Q592)</f>
        <v>0</v>
      </c>
      <c r="R590" s="920">
        <f>IF(SETUP!$F$51="Upfront",R591,R592)</f>
        <v>0</v>
      </c>
      <c r="S590" s="920">
        <f>IF(SETUP!$F$51="Upfront",S591,S592)</f>
        <v>0</v>
      </c>
      <c r="T590" s="920">
        <f t="shared" si="93"/>
        <v>0</v>
      </c>
      <c r="U590" s="1016">
        <f t="shared" si="94"/>
        <v>0</v>
      </c>
      <c r="V590" s="1344">
        <v>7.5</v>
      </c>
      <c r="W590" s="2011"/>
      <c r="X590" s="575"/>
      <c r="Y590" s="1350"/>
      <c r="Z590" s="655"/>
      <c r="AA590" s="686"/>
      <c r="AB590" s="686"/>
      <c r="AC590" s="686"/>
      <c r="AD590" s="686"/>
      <c r="AE590" s="686"/>
      <c r="AF590" s="686"/>
      <c r="AG590" s="686"/>
      <c r="AH590" s="687"/>
      <c r="AI590" s="686"/>
      <c r="AJ590" s="686"/>
      <c r="AK590" s="686"/>
      <c r="AL590" s="686"/>
      <c r="AM590" s="686"/>
      <c r="AN590" s="686"/>
      <c r="AO590" s="686"/>
      <c r="AP590" s="686"/>
      <c r="AQ590" s="686"/>
      <c r="AR590" s="686"/>
      <c r="AS590" s="686"/>
      <c r="AT590" s="686"/>
      <c r="AU590" s="686"/>
      <c r="AV590" s="686"/>
      <c r="AW590" s="686"/>
      <c r="AX590" s="686"/>
      <c r="AY590" s="686"/>
      <c r="AZ590" s="686"/>
      <c r="BA590" s="686"/>
      <c r="BB590" s="686"/>
      <c r="BC590" s="686"/>
      <c r="BD590" s="686"/>
      <c r="BE590" s="686"/>
      <c r="BF590" s="686"/>
      <c r="BG590" s="686"/>
      <c r="BH590" s="686"/>
      <c r="BI590" s="686"/>
      <c r="BJ590" s="686"/>
      <c r="BK590" s="686"/>
      <c r="BL590" s="686"/>
      <c r="BM590" s="686"/>
      <c r="BN590" s="686"/>
      <c r="BO590" s="686"/>
      <c r="BP590" s="686"/>
      <c r="BQ590" s="686"/>
      <c r="BR590" s="686"/>
      <c r="BS590" s="686"/>
      <c r="BT590" s="686"/>
    </row>
    <row r="591" spans="1:72" s="688" customFormat="1" ht="12.75" hidden="1" customHeight="1" outlineLevel="1">
      <c r="A591" s="3189"/>
      <c r="B591" s="3190"/>
      <c r="C591" s="3182" t="s">
        <v>777</v>
      </c>
      <c r="D591" s="3182"/>
      <c r="E591" s="1579"/>
      <c r="F591" s="1016">
        <f>IF(SETUP!$F$51="Upfront",$E$590*'Malaria-Pharmaceuticals'!AX15,0)</f>
        <v>0</v>
      </c>
      <c r="G591" s="920">
        <f>IF(SETUP!$F$51="Upfront",$E$590*'Malaria-Pharmaceuticals'!AY15,0)</f>
        <v>0</v>
      </c>
      <c r="H591" s="920">
        <f>IF(SETUP!$F$51="Upfront",$E$590*'Malaria-Pharmaceuticals'!AZ15,0)</f>
        <v>0</v>
      </c>
      <c r="I591" s="920">
        <f>IF(SETUP!$F$51="Upfront",$E$590*'Malaria-Pharmaceuticals'!BA15,0)</f>
        <v>0</v>
      </c>
      <c r="J591" s="920">
        <f t="shared" si="91"/>
        <v>0</v>
      </c>
      <c r="K591" s="1016">
        <f>IF(SETUP!$F$51="Upfront",$E$590*'Malaria-Pharmaceuticals'!BB15,0)</f>
        <v>0</v>
      </c>
      <c r="L591" s="920">
        <f>IF(SETUP!$F$51="Upfront",$E$590*'Malaria-Pharmaceuticals'!BC15,0)</f>
        <v>0</v>
      </c>
      <c r="M591" s="920">
        <f>IF(SETUP!$F$51="Upfront",$E$590*'Malaria-Pharmaceuticals'!BD15,0)</f>
        <v>0</v>
      </c>
      <c r="N591" s="920">
        <f>IF(SETUP!$F$51="Upfront",$E$590*'Malaria-Pharmaceuticals'!BE15,0)</f>
        <v>0</v>
      </c>
      <c r="O591" s="920">
        <f t="shared" si="92"/>
        <v>0</v>
      </c>
      <c r="P591" s="1016">
        <f>IF(SETUP!$F$51="Upfront",$E$590*'Malaria-Pharmaceuticals'!BF15,0)</f>
        <v>0</v>
      </c>
      <c r="Q591" s="920">
        <f>IF(SETUP!$F$51="Upfront",$E$590*'Malaria-Pharmaceuticals'!BG15,0)</f>
        <v>0</v>
      </c>
      <c r="R591" s="920">
        <f>IF(SETUP!$F$51="Upfront",$E$590*'Malaria-Pharmaceuticals'!BH15,0)</f>
        <v>0</v>
      </c>
      <c r="S591" s="920">
        <f>IF(SETUP!$F$51="Upfront",$E$590*'Malaria-Pharmaceuticals'!BI15,0)</f>
        <v>0</v>
      </c>
      <c r="T591" s="920">
        <f t="shared" si="93"/>
        <v>0</v>
      </c>
      <c r="U591" s="1016">
        <f t="shared" si="94"/>
        <v>0</v>
      </c>
      <c r="V591" s="1344">
        <v>7.5</v>
      </c>
      <c r="W591" s="2011"/>
      <c r="X591" s="575"/>
      <c r="Y591" s="1350"/>
      <c r="Z591" s="655"/>
      <c r="AA591" s="686"/>
      <c r="AB591" s="686"/>
      <c r="AC591" s="686"/>
      <c r="AD591" s="686"/>
      <c r="AE591" s="686"/>
      <c r="AF591" s="686"/>
      <c r="AG591" s="686"/>
      <c r="AH591" s="687"/>
      <c r="AI591" s="686"/>
      <c r="AJ591" s="686"/>
      <c r="AK591" s="686"/>
      <c r="AL591" s="686"/>
      <c r="AM591" s="686"/>
      <c r="AN591" s="686"/>
      <c r="AO591" s="686"/>
      <c r="AP591" s="686"/>
      <c r="AQ591" s="686"/>
      <c r="AR591" s="686"/>
      <c r="AS591" s="686"/>
      <c r="AT591" s="686"/>
      <c r="AU591" s="686"/>
      <c r="AV591" s="686"/>
      <c r="AW591" s="686"/>
      <c r="AX591" s="686"/>
      <c r="AY591" s="686"/>
      <c r="AZ591" s="686"/>
      <c r="BA591" s="686"/>
      <c r="BB591" s="686"/>
      <c r="BC591" s="686"/>
      <c r="BD591" s="686"/>
      <c r="BE591" s="686"/>
      <c r="BF591" s="686"/>
      <c r="BG591" s="686"/>
      <c r="BH591" s="686"/>
      <c r="BI591" s="686"/>
      <c r="BJ591" s="686"/>
      <c r="BK591" s="686"/>
      <c r="BL591" s="686"/>
      <c r="BM591" s="686"/>
      <c r="BN591" s="686"/>
      <c r="BO591" s="686"/>
      <c r="BP591" s="686"/>
      <c r="BQ591" s="686"/>
      <c r="BR591" s="686"/>
      <c r="BS591" s="686"/>
      <c r="BT591" s="686"/>
    </row>
    <row r="592" spans="1:72" s="688" customFormat="1" ht="13.5" hidden="1" customHeight="1" outlineLevel="1" thickBot="1">
      <c r="A592" s="3189"/>
      <c r="B592" s="3190"/>
      <c r="C592" s="3182" t="s">
        <v>36</v>
      </c>
      <c r="D592" s="3182"/>
      <c r="E592" s="1580"/>
      <c r="F592" s="1016">
        <v>0</v>
      </c>
      <c r="G592" s="920">
        <f>IF(SETUP!$F$51="At delivery",IF(SETUP!$G$51=1,$E$590*'Malaria-Pharmaceuticals'!AX15,0),0)</f>
        <v>0</v>
      </c>
      <c r="H592" s="920">
        <f>IF(SETUP!$F$51="At delivery",IF(SETUP!$G$51=2,$E$590*'Malaria-Pharmaceuticals'!AX15,IF(SETUP!$G$51=1,$E$590*'Malaria-Pharmaceuticals'!AY15,0)),0)</f>
        <v>0</v>
      </c>
      <c r="I592" s="920">
        <f>IF(SETUP!$F$51="At delivery",IF(SETUP!$G$51=3,$E$590*'Malaria-Pharmaceuticals'!AX15,IF(SETUP!$G$51=2,$E$590*'Malaria-Pharmaceuticals'!AY15,IF(SETUP!$G$51=1,$E$590*'Malaria-Pharmaceuticals'!AZ15,0))),0)</f>
        <v>0</v>
      </c>
      <c r="J592" s="920">
        <f t="shared" si="91"/>
        <v>0</v>
      </c>
      <c r="K592" s="1016">
        <f>IF(SETUP!$F$51="At delivery",IF(SETUP!$G$51=4,$E$590*'Malaria-Pharmaceuticals'!AX15,IF(SETUP!$G$51=3,$E$590*'Malaria-Pharmaceuticals'!AY15,IF(SETUP!$G$51=2,$E$590*'Malaria-Pharmaceuticals'!AZ15,IF(SETUP!$G$51=1,$E$590*'Malaria-Pharmaceuticals'!BA15,0)))),0)</f>
        <v>0</v>
      </c>
      <c r="L592" s="920">
        <f>IF(SETUP!$F$51="At delivery",IF(SETUP!$G$51=4,$E$590*'Malaria-Pharmaceuticals'!AY15,IF(SETUP!$G$51=3,$E$590*'Malaria-Pharmaceuticals'!AZ15,IF(SETUP!$G$51=2,$E$590*'Malaria-Pharmaceuticals'!BA15,IF(SETUP!$G$51=1,$E$590*'Malaria-Pharmaceuticals'!BB15,0)))),0)</f>
        <v>0</v>
      </c>
      <c r="M592" s="920">
        <f>IF(SETUP!$F$51="At delivery",IF(SETUP!$G$51=4,$E$590*'Malaria-Pharmaceuticals'!AZ15,IF(SETUP!$G$51=3,$E$590*'Malaria-Pharmaceuticals'!BA15,IF(SETUP!$G$51=2,$E$590*'Malaria-Pharmaceuticals'!BB15,IF(SETUP!$G$51=1,$E$590*'Malaria-Pharmaceuticals'!BC15,0)))),0)</f>
        <v>0</v>
      </c>
      <c r="N592" s="920">
        <f>IF(SETUP!$F$51="At delivery",IF(SETUP!$G$51=4,$E$590*'Malaria-Pharmaceuticals'!BA15,IF(SETUP!$G$51=3,$E$590*'Malaria-Pharmaceuticals'!BB15,IF(SETUP!$G$51=2,$E$590*'Malaria-Pharmaceuticals'!BC15,IF(SETUP!$G$51=1,$E$590*'Malaria-Pharmaceuticals'!BD15,0)))),0)</f>
        <v>0</v>
      </c>
      <c r="O592" s="920">
        <f t="shared" si="92"/>
        <v>0</v>
      </c>
      <c r="P592" s="1016">
        <f>IF(SETUP!$F$51="At delivery",IF(SETUP!$G$51=4,$E$590*'Malaria-Pharmaceuticals'!BB15,IF(SETUP!$G$51=3,$E$590*'Malaria-Pharmaceuticals'!BC15,IF(SETUP!$G$51=2,$E$590*'Malaria-Pharmaceuticals'!BD15,IF(SETUP!$G$51=1,$E$590*'Malaria-Pharmaceuticals'!BE15,0)))),0)</f>
        <v>0</v>
      </c>
      <c r="Q592" s="920">
        <f>IF(SETUP!$F$51="At delivery",IF(SETUP!$G$51=4,$E$590*'Malaria-Pharmaceuticals'!BC15,IF(SETUP!$G$51=3,$E$590*'Malaria-Pharmaceuticals'!BD15,IF(SETUP!$G$51=2,$E$590*'Malaria-Pharmaceuticals'!BE15,IF(SETUP!$G$51=1,$E$590*'Malaria-Pharmaceuticals'!BF15,0)))),0)</f>
        <v>0</v>
      </c>
      <c r="R592" s="920">
        <f>IF(SETUP!$F$51="At delivery",IF(SETUP!$G$51=4,$E$590*'Malaria-Pharmaceuticals'!BD15,IF(SETUP!$G$51=3,$E$590*'Malaria-Pharmaceuticals'!BE15,IF(SETUP!$G$51=2,$E$590*'Malaria-Pharmaceuticals'!BF15,IF(SETUP!$G$51=1,$E$590*'Malaria-Pharmaceuticals'!BG15,0)))),0)</f>
        <v>0</v>
      </c>
      <c r="S592" s="920">
        <f>IF(SETUP!$F$51="At delivery",IF(SETUP!$G$51=4,$E$590*('Malaria-Pharmaceuticals'!BE15+'Malaria-Pharmaceuticals'!BF15+'Malaria-Pharmaceuticals'!BG15+'Malaria-Pharmaceuticals'!BH15+'Malaria-Pharmaceuticals'!BI15),IF(SETUP!$G$51=3,$E$590*('Malaria-Pharmaceuticals'!BF15+'Malaria-Pharmaceuticals'!BG15+'Malaria-Pharmaceuticals'!BH15+'Malaria-Pharmaceuticals'!BI15),IF(SETUP!$G$51=2,$E$590*('Malaria-Pharmaceuticals'!BG15+'Malaria-Pharmaceuticals'!BH15+'Malaria-Pharmaceuticals'!BI15),IF(SETUP!$G$51=1,$E$590*('Malaria-Pharmaceuticals'!BH15+'Malaria-Pharmaceuticals'!BI15),0)))),0)</f>
        <v>0</v>
      </c>
      <c r="T592" s="920">
        <f t="shared" si="93"/>
        <v>0</v>
      </c>
      <c r="U592" s="1016">
        <f t="shared" si="94"/>
        <v>0</v>
      </c>
      <c r="V592" s="1344">
        <v>7.5</v>
      </c>
      <c r="W592" s="2011"/>
      <c r="X592" s="575"/>
      <c r="Y592" s="1350"/>
      <c r="Z592" s="655"/>
      <c r="AA592" s="686"/>
      <c r="AB592" s="686"/>
      <c r="AC592" s="686"/>
      <c r="AD592" s="686"/>
      <c r="AE592" s="686"/>
      <c r="AF592" s="686"/>
      <c r="AG592" s="686"/>
      <c r="AH592" s="687"/>
      <c r="AI592" s="686"/>
      <c r="AJ592" s="686"/>
      <c r="AK592" s="686"/>
      <c r="AL592" s="686"/>
      <c r="AM592" s="686"/>
      <c r="AN592" s="686"/>
      <c r="AO592" s="686"/>
      <c r="AP592" s="686"/>
      <c r="AQ592" s="686"/>
      <c r="AR592" s="686"/>
      <c r="AS592" s="686"/>
      <c r="AT592" s="686"/>
      <c r="AU592" s="686"/>
      <c r="AV592" s="686"/>
      <c r="AW592" s="686"/>
      <c r="AX592" s="686"/>
      <c r="AY592" s="686"/>
      <c r="AZ592" s="686"/>
      <c r="BA592" s="686"/>
      <c r="BB592" s="686"/>
      <c r="BC592" s="686"/>
      <c r="BD592" s="686"/>
      <c r="BE592" s="686"/>
      <c r="BF592" s="686"/>
      <c r="BG592" s="686"/>
      <c r="BH592" s="686"/>
      <c r="BI592" s="686"/>
      <c r="BJ592" s="686"/>
      <c r="BK592" s="686"/>
      <c r="BL592" s="686"/>
      <c r="BM592" s="686"/>
      <c r="BN592" s="686"/>
      <c r="BO592" s="686"/>
      <c r="BP592" s="686"/>
      <c r="BQ592" s="686"/>
      <c r="BR592" s="686"/>
      <c r="BS592" s="686"/>
      <c r="BT592" s="686"/>
    </row>
    <row r="593" spans="1:72" s="688" customFormat="1" ht="16.149999999999999" hidden="1" customHeight="1" collapsed="1" thickBot="1">
      <c r="A593" s="3227" t="s">
        <v>454</v>
      </c>
      <c r="B593" s="3228"/>
      <c r="C593" s="3188" t="s">
        <v>292</v>
      </c>
      <c r="D593" s="3188"/>
      <c r="E593" s="1245">
        <v>0</v>
      </c>
      <c r="F593" s="1016">
        <f>IF(SETUP!$F$52="Upfront",F594,F595)</f>
        <v>0</v>
      </c>
      <c r="G593" s="920">
        <f>IF(SETUP!$F$52="Upfront",G594,G595)</f>
        <v>0</v>
      </c>
      <c r="H593" s="920">
        <f>IF(SETUP!$F$52="Upfront",H594,H595)</f>
        <v>0</v>
      </c>
      <c r="I593" s="920">
        <f>IF(SETUP!$F$52="Upfront",I594,I595)</f>
        <v>0</v>
      </c>
      <c r="J593" s="920">
        <f t="shared" si="91"/>
        <v>0</v>
      </c>
      <c r="K593" s="1016">
        <f>IF(SETUP!$F$52="Upfront",K594,K595)</f>
        <v>0</v>
      </c>
      <c r="L593" s="920">
        <f>IF(SETUP!$F$52="Upfront",L594,L595)</f>
        <v>0</v>
      </c>
      <c r="M593" s="920">
        <f>IF(SETUP!$F$52="Upfront",M594,M595)</f>
        <v>0</v>
      </c>
      <c r="N593" s="920">
        <f>IF(SETUP!$F$52="Upfront",N594,N595)</f>
        <v>0</v>
      </c>
      <c r="O593" s="920">
        <f t="shared" si="92"/>
        <v>0</v>
      </c>
      <c r="P593" s="1016">
        <f>IF(SETUP!$F$52="Upfront",P594,P595)</f>
        <v>0</v>
      </c>
      <c r="Q593" s="920">
        <f>IF(SETUP!$F$52="Upfront",Q594,Q595)</f>
        <v>0</v>
      </c>
      <c r="R593" s="920">
        <f>IF(SETUP!$F$52="Upfront",R594,R595)</f>
        <v>0</v>
      </c>
      <c r="S593" s="920">
        <f>IF(SETUP!$F$52="Upfront",S594,S595)</f>
        <v>0</v>
      </c>
      <c r="T593" s="920">
        <f t="shared" si="93"/>
        <v>0</v>
      </c>
      <c r="U593" s="1016">
        <f t="shared" si="94"/>
        <v>0</v>
      </c>
      <c r="V593" s="1344">
        <v>7.5</v>
      </c>
      <c r="W593" s="2011"/>
      <c r="X593" s="575"/>
      <c r="Y593" s="1350"/>
      <c r="Z593" s="655"/>
      <c r="AA593" s="686"/>
      <c r="AB593" s="686"/>
      <c r="AC593" s="686"/>
      <c r="AD593" s="686"/>
      <c r="AE593" s="686"/>
      <c r="AF593" s="686"/>
      <c r="AG593" s="686"/>
      <c r="AH593" s="687"/>
      <c r="AI593" s="686"/>
      <c r="AJ593" s="686"/>
      <c r="AK593" s="686"/>
      <c r="AL593" s="686"/>
      <c r="AM593" s="686"/>
      <c r="AN593" s="686"/>
      <c r="AO593" s="686"/>
      <c r="AP593" s="686"/>
      <c r="AQ593" s="686"/>
      <c r="AR593" s="686"/>
      <c r="AS593" s="686"/>
      <c r="AT593" s="686"/>
      <c r="AU593" s="686"/>
      <c r="AV593" s="686"/>
      <c r="AW593" s="686"/>
      <c r="AX593" s="686"/>
      <c r="AY593" s="686"/>
      <c r="AZ593" s="686"/>
      <c r="BA593" s="686"/>
      <c r="BB593" s="686"/>
      <c r="BC593" s="686"/>
      <c r="BD593" s="686"/>
      <c r="BE593" s="686"/>
      <c r="BF593" s="686"/>
      <c r="BG593" s="686"/>
      <c r="BH593" s="686"/>
      <c r="BI593" s="686"/>
      <c r="BJ593" s="686"/>
      <c r="BK593" s="686"/>
      <c r="BL593" s="686"/>
      <c r="BM593" s="686"/>
      <c r="BN593" s="686"/>
      <c r="BO593" s="686"/>
      <c r="BP593" s="686"/>
      <c r="BQ593" s="686"/>
      <c r="BR593" s="686"/>
      <c r="BS593" s="686"/>
      <c r="BT593" s="686"/>
    </row>
    <row r="594" spans="1:72" s="688" customFormat="1" ht="16.149999999999999" hidden="1" customHeight="1" outlineLevel="1">
      <c r="A594" s="3227"/>
      <c r="B594" s="3228"/>
      <c r="C594" s="3182" t="s">
        <v>777</v>
      </c>
      <c r="D594" s="3182"/>
      <c r="E594" s="1579"/>
      <c r="F594" s="1016">
        <f>IF(SETUP!$F$52="Upfront",$E$593*'Malaria-Equipment &amp; Other HPs'!AX14,0)</f>
        <v>0</v>
      </c>
      <c r="G594" s="920">
        <f>IF(SETUP!$F$52="Upfront",$E$593*'Malaria-Equipment &amp; Other HPs'!AY14,0)</f>
        <v>0</v>
      </c>
      <c r="H594" s="920">
        <f>IF(SETUP!$F$52="Upfront",$E$593*'Malaria-Equipment &amp; Other HPs'!AZ14,0)</f>
        <v>0</v>
      </c>
      <c r="I594" s="920">
        <f>IF(SETUP!$F$52="Upfront",$E$593*'Malaria-Equipment &amp; Other HPs'!BA14,0)</f>
        <v>0</v>
      </c>
      <c r="J594" s="920">
        <f t="shared" si="91"/>
        <v>0</v>
      </c>
      <c r="K594" s="1016">
        <f>IF(SETUP!$F$52="Upfront",$E$593*'Malaria-Equipment &amp; Other HPs'!BB14,0)</f>
        <v>0</v>
      </c>
      <c r="L594" s="920">
        <f>IF(SETUP!$F$52="Upfront",$E$593*'Malaria-Equipment &amp; Other HPs'!BC14,0)</f>
        <v>0</v>
      </c>
      <c r="M594" s="920">
        <f>IF(SETUP!$F$52="Upfront",$E$593*'Malaria-Equipment &amp; Other HPs'!BD14,0)</f>
        <v>0</v>
      </c>
      <c r="N594" s="920">
        <f>IF(SETUP!$F$52="Upfront",$E$593*'Malaria-Equipment &amp; Other HPs'!BE14,0)</f>
        <v>0</v>
      </c>
      <c r="O594" s="920">
        <f t="shared" si="92"/>
        <v>0</v>
      </c>
      <c r="P594" s="1016">
        <f>IF(SETUP!$F$52="Upfront",$E$593*'Malaria-Equipment &amp; Other HPs'!BF14,0)</f>
        <v>0</v>
      </c>
      <c r="Q594" s="920">
        <f>IF(SETUP!$F$52="Upfront",$E$593*'Malaria-Equipment &amp; Other HPs'!BG14,0)</f>
        <v>0</v>
      </c>
      <c r="R594" s="920">
        <f>IF(SETUP!$F$52="Upfront",$E$593*'Malaria-Equipment &amp; Other HPs'!BH14,0)</f>
        <v>0</v>
      </c>
      <c r="S594" s="920">
        <f>IF(SETUP!$F$52="Upfront",$E$593*'Malaria-Equipment &amp; Other HPs'!BI14,0)</f>
        <v>0</v>
      </c>
      <c r="T594" s="920">
        <f t="shared" si="93"/>
        <v>0</v>
      </c>
      <c r="U594" s="1016">
        <f t="shared" si="94"/>
        <v>0</v>
      </c>
      <c r="V594" s="1344">
        <v>7.5</v>
      </c>
      <c r="W594" s="2011"/>
      <c r="X594" s="575"/>
      <c r="Y594" s="1350"/>
      <c r="Z594" s="655"/>
      <c r="AA594" s="686"/>
      <c r="AB594" s="686"/>
      <c r="AC594" s="686"/>
      <c r="AD594" s="686"/>
      <c r="AE594" s="686"/>
      <c r="AF594" s="686"/>
      <c r="AG594" s="686"/>
      <c r="AH594" s="687"/>
      <c r="AI594" s="686"/>
      <c r="AJ594" s="686"/>
      <c r="AK594" s="686"/>
      <c r="AL594" s="686"/>
      <c r="AM594" s="686"/>
      <c r="AN594" s="686"/>
      <c r="AO594" s="686"/>
      <c r="AP594" s="686"/>
      <c r="AQ594" s="686"/>
      <c r="AR594" s="686"/>
      <c r="AS594" s="686"/>
      <c r="AT594" s="686"/>
      <c r="AU594" s="686"/>
      <c r="AV594" s="686"/>
      <c r="AW594" s="686"/>
      <c r="AX594" s="686"/>
      <c r="AY594" s="686"/>
      <c r="AZ594" s="686"/>
      <c r="BA594" s="686"/>
      <c r="BB594" s="686"/>
      <c r="BC594" s="686"/>
      <c r="BD594" s="686"/>
      <c r="BE594" s="686"/>
      <c r="BF594" s="686"/>
      <c r="BG594" s="686"/>
      <c r="BH594" s="686"/>
      <c r="BI594" s="686"/>
      <c r="BJ594" s="686"/>
      <c r="BK594" s="686"/>
      <c r="BL594" s="686"/>
      <c r="BM594" s="686"/>
      <c r="BN594" s="686"/>
      <c r="BO594" s="686"/>
      <c r="BP594" s="686"/>
      <c r="BQ594" s="686"/>
      <c r="BR594" s="686"/>
      <c r="BS594" s="686"/>
      <c r="BT594" s="686"/>
    </row>
    <row r="595" spans="1:72" s="688" customFormat="1" ht="17.25" hidden="1" customHeight="1" outlineLevel="1">
      <c r="A595" s="3227"/>
      <c r="B595" s="3228"/>
      <c r="C595" s="3182" t="s">
        <v>36</v>
      </c>
      <c r="D595" s="3182"/>
      <c r="E595" s="1579"/>
      <c r="F595" s="1016">
        <v>0</v>
      </c>
      <c r="G595" s="920">
        <f>IF(SETUP!$F$52="At delivery",IF(SETUP!$G$52=1,$E$593*'Malaria-Equipment &amp; Other HPs'!AX14,0),0)</f>
        <v>0</v>
      </c>
      <c r="H595" s="920">
        <f>IF(SETUP!$F$52="At delivery",IF(SETUP!$G$52=2,$E$593*'Malaria-Equipment &amp; Other HPs'!AX14,IF(SETUP!$G$52=1,$E$593*'Malaria-Equipment &amp; Other HPs'!AY14,0)),0)</f>
        <v>0</v>
      </c>
      <c r="I595" s="920">
        <f>IF(SETUP!$F$52="At delivery",IF(SETUP!$G$52=3,$E$593*'Malaria-Equipment &amp; Other HPs'!AX14,IF(SETUP!$G$52=2,$E$593*'Malaria-Equipment &amp; Other HPs'!AY14,IF(SETUP!$G$52=1,$E$593*'Malaria-Equipment &amp; Other HPs'!AZ14,0))),0)</f>
        <v>0</v>
      </c>
      <c r="J595" s="920">
        <f t="shared" si="91"/>
        <v>0</v>
      </c>
      <c r="K595" s="1016">
        <f>IF(SETUP!$F$52="At delivery",IF(SETUP!$G$52=4,$E$593*'Malaria-Equipment &amp; Other HPs'!AX14,IF(SETUP!$G$52=3,$E$593*'Malaria-Equipment &amp; Other HPs'!AY14,IF(SETUP!$G$52=2,$E$593*'Malaria-Equipment &amp; Other HPs'!AZ14,IF(SETUP!$G$52=1,$E$593*'Malaria-Equipment &amp; Other HPs'!BA14,0)))),0)</f>
        <v>0</v>
      </c>
      <c r="L595" s="920">
        <f>IF(SETUP!$F$52="At delivery",IF(SETUP!$G$52=4,$E$593*'Malaria-Equipment &amp; Other HPs'!AY14,IF(SETUP!$G$52=3,$E$593*'Malaria-Equipment &amp; Other HPs'!AZ14,IF(SETUP!$G$52=2,$E$593*'Malaria-Equipment &amp; Other HPs'!BA14,IF(SETUP!$G$52=1,$E$593*'Malaria-Equipment &amp; Other HPs'!BB14,0)))),0)</f>
        <v>0</v>
      </c>
      <c r="M595" s="920">
        <f>IF(SETUP!$F$52="At delivery",IF(SETUP!$G$52=4,$E$593*'Malaria-Equipment &amp; Other HPs'!AZ14,IF(SETUP!$G$52=3,$E$593*'Malaria-Equipment &amp; Other HPs'!BA14,IF(SETUP!$G$52=2,$E$593*'Malaria-Equipment &amp; Other HPs'!BB14,IF(SETUP!$G$52=1,$E$593*'Malaria-Equipment &amp; Other HPs'!BC14,0)))),0)</f>
        <v>0</v>
      </c>
      <c r="N595" s="920">
        <f>IF(SETUP!$F$52="At delivery",IF(SETUP!$G$52=4,$E$593*'Malaria-Equipment &amp; Other HPs'!BA14,IF(SETUP!$G$52=3,$E$593*'Malaria-Equipment &amp; Other HPs'!BB14,IF(SETUP!$G$52=2,$E$593*'Malaria-Equipment &amp; Other HPs'!BC14,IF(SETUP!$G$52=1,$E$593*'Malaria-Equipment &amp; Other HPs'!BD14,0)))),0)</f>
        <v>0</v>
      </c>
      <c r="O595" s="920">
        <f t="shared" si="92"/>
        <v>0</v>
      </c>
      <c r="P595" s="1016">
        <f>IF(SETUP!$F$52="At delivery",IF(SETUP!$G$52=4,$E$593*'Malaria-Equipment &amp; Other HPs'!BB14,IF(SETUP!$G$52=3,$E$593*'Malaria-Equipment &amp; Other HPs'!BC14,IF(SETUP!$G$52=2,$E$593*'Malaria-Equipment &amp; Other HPs'!BD14,IF(SETUP!$G$52=1,$E$593*'Malaria-Equipment &amp; Other HPs'!BE14,0)))),0)</f>
        <v>0</v>
      </c>
      <c r="Q595" s="920">
        <f>IF(SETUP!$F$52="At delivery",IF(SETUP!$G$52=4,$E$593*'Malaria-Equipment &amp; Other HPs'!BC14,IF(SETUP!$G$52=3,$E$593*'Malaria-Equipment &amp; Other HPs'!BD14,IF(SETUP!$G$52=2,$E$593*'Malaria-Equipment &amp; Other HPs'!BE14,IF(SETUP!$G$52=1,$E$593*'Malaria-Equipment &amp; Other HPs'!BF14,0)))),0)</f>
        <v>0</v>
      </c>
      <c r="R595" s="920">
        <f>IF(SETUP!$F$52="At delivery",IF(SETUP!$G$52=4,$E$593*'Malaria-Equipment &amp; Other HPs'!BD14,IF(SETUP!$G$52=3,$E$593*'Malaria-Equipment &amp; Other HPs'!BE14,IF(SETUP!$G$52=2,$E$593*'Malaria-Equipment &amp; Other HPs'!BF14,IF(SETUP!$G$52=1,$E$593*'Malaria-Equipment &amp; Other HPs'!BG14,0)))),0)</f>
        <v>0</v>
      </c>
      <c r="S595" s="920">
        <f>IF(SETUP!$F$52="At delivery",IF(SETUP!$G$52=4,$E$593*('Malaria-Equipment &amp; Other HPs'!BE14+'Malaria-Equipment &amp; Other HPs'!BF14+'Malaria-Equipment &amp; Other HPs'!BG14+'Malaria-Equipment &amp; Other HPs'!BH14+'Malaria-Equipment &amp; Other HPs'!BI14),IF(SETUP!$G$52=3,$E$593*('Malaria-Equipment &amp; Other HPs'!BF14+'Malaria-Equipment &amp; Other HPs'!BG14+'Malaria-Equipment &amp; Other HPs'!BH14+'Malaria-Equipment &amp; Other HPs'!BI14),IF(SETUP!$G$52=2,$E$593*('Malaria-Equipment &amp; Other HPs'!BG14+'Malaria-Equipment &amp; Other HPs'!BH14+'Malaria-Equipment &amp; Other HPs'!BI14),IF(SETUP!$G$52=1,$E$593*('Malaria-Equipment &amp; Other HPs'!BH14+'Malaria-Equipment &amp; Other HPs'!BI14),0)))),0)</f>
        <v>0</v>
      </c>
      <c r="T595" s="920">
        <f t="shared" si="93"/>
        <v>0</v>
      </c>
      <c r="U595" s="1016">
        <f t="shared" si="94"/>
        <v>0</v>
      </c>
      <c r="V595" s="1344">
        <v>7.5</v>
      </c>
      <c r="W595" s="2011"/>
      <c r="X595" s="575"/>
      <c r="Y595" s="1350"/>
      <c r="Z595" s="655"/>
      <c r="AA595" s="686"/>
      <c r="AB595" s="686"/>
      <c r="AC595" s="686"/>
      <c r="AD595" s="686"/>
      <c r="AE595" s="686"/>
      <c r="AF595" s="686"/>
      <c r="AG595" s="686"/>
      <c r="AH595" s="687"/>
      <c r="AI595" s="686"/>
      <c r="AJ595" s="686"/>
      <c r="AK595" s="686"/>
      <c r="AL595" s="686"/>
      <c r="AM595" s="686"/>
      <c r="AN595" s="686"/>
      <c r="AO595" s="686"/>
      <c r="AP595" s="686"/>
      <c r="AQ595" s="686"/>
      <c r="AR595" s="686"/>
      <c r="AS595" s="686"/>
      <c r="AT595" s="686"/>
      <c r="AU595" s="686"/>
      <c r="AV595" s="686"/>
      <c r="AW595" s="686"/>
      <c r="AX595" s="686"/>
      <c r="AY595" s="686"/>
      <c r="AZ595" s="686"/>
      <c r="BA595" s="686"/>
      <c r="BB595" s="686"/>
      <c r="BC595" s="686"/>
      <c r="BD595" s="686"/>
      <c r="BE595" s="686"/>
      <c r="BF595" s="686"/>
      <c r="BG595" s="686"/>
      <c r="BH595" s="686"/>
      <c r="BI595" s="686"/>
      <c r="BJ595" s="686"/>
      <c r="BK595" s="686"/>
      <c r="BL595" s="686"/>
      <c r="BM595" s="686"/>
      <c r="BN595" s="686"/>
      <c r="BO595" s="686"/>
      <c r="BP595" s="686"/>
      <c r="BQ595" s="686"/>
      <c r="BR595" s="686"/>
      <c r="BS595" s="686"/>
      <c r="BT595" s="686"/>
    </row>
    <row r="596" spans="1:72" s="688" customFormat="1" ht="13" hidden="1" collapsed="1">
      <c r="A596" s="3227"/>
      <c r="B596" s="3228"/>
      <c r="C596" s="3188" t="s">
        <v>455</v>
      </c>
      <c r="D596" s="3188"/>
      <c r="E596" s="1245">
        <v>0</v>
      </c>
      <c r="F596" s="1016">
        <f>IF(SETUP!$F$53="Upfront",F597,F598)</f>
        <v>0</v>
      </c>
      <c r="G596" s="920">
        <f>IF(SETUP!$F$53="Upfront",G597,G598)</f>
        <v>0</v>
      </c>
      <c r="H596" s="920">
        <f>IF(SETUP!$F$53="Upfront",H597,H598)</f>
        <v>0</v>
      </c>
      <c r="I596" s="920">
        <f>IF(SETUP!$F$53="Upfront",I597,I598)</f>
        <v>0</v>
      </c>
      <c r="J596" s="920">
        <f t="shared" si="91"/>
        <v>0</v>
      </c>
      <c r="K596" s="1016">
        <f>IF(SETUP!$F$53="Upfront",K597,K598)</f>
        <v>0</v>
      </c>
      <c r="L596" s="920">
        <f>IF(SETUP!$F$53="Upfront",L597,L598)</f>
        <v>0</v>
      </c>
      <c r="M596" s="920">
        <f>IF(SETUP!$F$53="Upfront",M597,M598)</f>
        <v>0</v>
      </c>
      <c r="N596" s="920">
        <f>IF(SETUP!$F$53="Upfront",N597,N598)</f>
        <v>0</v>
      </c>
      <c r="O596" s="920">
        <f t="shared" si="92"/>
        <v>0</v>
      </c>
      <c r="P596" s="1016">
        <f>IF(SETUP!$F$53="Upfront",P597,P598)</f>
        <v>0</v>
      </c>
      <c r="Q596" s="920">
        <f>IF(SETUP!$F$53="Upfront",Q597,Q598)</f>
        <v>0</v>
      </c>
      <c r="R596" s="920">
        <f>IF(SETUP!$F$53="Upfront",R597,R598)</f>
        <v>0</v>
      </c>
      <c r="S596" s="920">
        <f>IF(SETUP!$F$53="Upfront",S597,S598)</f>
        <v>0</v>
      </c>
      <c r="T596" s="920">
        <f t="shared" si="93"/>
        <v>0</v>
      </c>
      <c r="U596" s="1016">
        <f t="shared" si="94"/>
        <v>0</v>
      </c>
      <c r="V596" s="1344">
        <v>7.5</v>
      </c>
      <c r="W596" s="2011"/>
      <c r="X596" s="575"/>
      <c r="Y596" s="1350"/>
      <c r="Z596" s="655"/>
      <c r="AA596" s="686"/>
      <c r="AB596" s="686"/>
      <c r="AC596" s="686"/>
      <c r="AD596" s="686"/>
      <c r="AE596" s="686"/>
      <c r="AF596" s="686"/>
      <c r="AG596" s="686"/>
      <c r="AH596" s="687"/>
      <c r="AI596" s="686"/>
      <c r="AJ596" s="686"/>
      <c r="AK596" s="686"/>
      <c r="AL596" s="686"/>
      <c r="AM596" s="686"/>
      <c r="AN596" s="686"/>
      <c r="AO596" s="686"/>
      <c r="AP596" s="686"/>
      <c r="AQ596" s="686"/>
      <c r="AR596" s="686"/>
      <c r="AS596" s="686"/>
      <c r="AT596" s="686"/>
      <c r="AU596" s="686"/>
      <c r="AV596" s="686"/>
      <c r="AW596" s="686"/>
      <c r="AX596" s="686"/>
      <c r="AY596" s="686"/>
      <c r="AZ596" s="686"/>
      <c r="BA596" s="686"/>
      <c r="BB596" s="686"/>
      <c r="BC596" s="686"/>
      <c r="BD596" s="686"/>
      <c r="BE596" s="686"/>
      <c r="BF596" s="686"/>
      <c r="BG596" s="686"/>
      <c r="BH596" s="686"/>
      <c r="BI596" s="686"/>
      <c r="BJ596" s="686"/>
      <c r="BK596" s="686"/>
      <c r="BL596" s="686"/>
      <c r="BM596" s="686"/>
      <c r="BN596" s="686"/>
      <c r="BO596" s="686"/>
      <c r="BP596" s="686"/>
      <c r="BQ596" s="686"/>
      <c r="BR596" s="686"/>
      <c r="BS596" s="686"/>
      <c r="BT596" s="686"/>
    </row>
    <row r="597" spans="1:72" s="688" customFormat="1" ht="16.149999999999999" hidden="1" customHeight="1" outlineLevel="1">
      <c r="A597" s="3227"/>
      <c r="B597" s="3228"/>
      <c r="C597" s="3182" t="s">
        <v>777</v>
      </c>
      <c r="D597" s="3182"/>
      <c r="E597" s="1579"/>
      <c r="F597" s="1016">
        <f>IF(SETUP!$F$53="Upfront",$E$596*'Malaria-Equipment &amp; Other HPs'!AX15,0)</f>
        <v>0</v>
      </c>
      <c r="G597" s="920">
        <f>IF(SETUP!$F$53="Upfront",$E$596*'Malaria-Equipment &amp; Other HPs'!AY15,0)</f>
        <v>0</v>
      </c>
      <c r="H597" s="920">
        <f>IF(SETUP!$F$53="Upfront",$E$596*'Malaria-Equipment &amp; Other HPs'!AZ15,0)</f>
        <v>0</v>
      </c>
      <c r="I597" s="920">
        <f>IF(SETUP!$F$53="Upfront",$E$596*'Malaria-Equipment &amp; Other HPs'!BA15,0)</f>
        <v>0</v>
      </c>
      <c r="J597" s="920">
        <f t="shared" si="91"/>
        <v>0</v>
      </c>
      <c r="K597" s="1016">
        <f>IF(SETUP!$F$53="Upfront",$E$596*'Malaria-Equipment &amp; Other HPs'!BB15,0)</f>
        <v>0</v>
      </c>
      <c r="L597" s="920">
        <f>IF(SETUP!$F$53="Upfront",$E$596*'Malaria-Equipment &amp; Other HPs'!BC15,0)</f>
        <v>0</v>
      </c>
      <c r="M597" s="920">
        <f>IF(SETUP!$F$53="Upfront",$E$596*'Malaria-Equipment &amp; Other HPs'!BD15,0)</f>
        <v>0</v>
      </c>
      <c r="N597" s="920">
        <f>IF(SETUP!$F$53="Upfront",$E$596*'Malaria-Equipment &amp; Other HPs'!BE15,0)</f>
        <v>0</v>
      </c>
      <c r="O597" s="920">
        <f t="shared" si="92"/>
        <v>0</v>
      </c>
      <c r="P597" s="1016">
        <f>IF(SETUP!$F$53="Upfront",$E$596*'Malaria-Equipment &amp; Other HPs'!BF15,0)</f>
        <v>0</v>
      </c>
      <c r="Q597" s="920">
        <f>IF(SETUP!$F$53="Upfront",$E$596*'Malaria-Equipment &amp; Other HPs'!BG15,0)</f>
        <v>0</v>
      </c>
      <c r="R597" s="920">
        <f>IF(SETUP!$F$53="Upfront",$E$596*'Malaria-Equipment &amp; Other HPs'!BH15,0)</f>
        <v>0</v>
      </c>
      <c r="S597" s="920">
        <f>IF(SETUP!$F$53="Upfront",$E$596*'Malaria-Equipment &amp; Other HPs'!BI15,0)</f>
        <v>0</v>
      </c>
      <c r="T597" s="920">
        <f t="shared" si="93"/>
        <v>0</v>
      </c>
      <c r="U597" s="1016">
        <f t="shared" si="94"/>
        <v>0</v>
      </c>
      <c r="V597" s="1344">
        <v>7.5</v>
      </c>
      <c r="W597" s="2011"/>
      <c r="X597" s="575"/>
      <c r="Y597" s="1350"/>
      <c r="Z597" s="655"/>
      <c r="AA597" s="686"/>
      <c r="AB597" s="686"/>
      <c r="AC597" s="686"/>
      <c r="AD597" s="686"/>
      <c r="AE597" s="686"/>
      <c r="AF597" s="686"/>
      <c r="AG597" s="686"/>
      <c r="AH597" s="687"/>
      <c r="AI597" s="686"/>
      <c r="AJ597" s="686"/>
      <c r="AK597" s="686"/>
      <c r="AL597" s="686"/>
      <c r="AM597" s="686"/>
      <c r="AN597" s="686"/>
      <c r="AO597" s="686"/>
      <c r="AP597" s="686"/>
      <c r="AQ597" s="686"/>
      <c r="AR597" s="686"/>
      <c r="AS597" s="686"/>
      <c r="AT597" s="686"/>
      <c r="AU597" s="686"/>
      <c r="AV597" s="686"/>
      <c r="AW597" s="686"/>
      <c r="AX597" s="686"/>
      <c r="AY597" s="686"/>
      <c r="AZ597" s="686"/>
      <c r="BA597" s="686"/>
      <c r="BB597" s="686"/>
      <c r="BC597" s="686"/>
      <c r="BD597" s="686"/>
      <c r="BE597" s="686"/>
      <c r="BF597" s="686"/>
      <c r="BG597" s="686"/>
      <c r="BH597" s="686"/>
      <c r="BI597" s="686"/>
      <c r="BJ597" s="686"/>
      <c r="BK597" s="686"/>
      <c r="BL597" s="686"/>
      <c r="BM597" s="686"/>
      <c r="BN597" s="686"/>
      <c r="BO597" s="686"/>
      <c r="BP597" s="686"/>
      <c r="BQ597" s="686"/>
      <c r="BR597" s="686"/>
      <c r="BS597" s="686"/>
      <c r="BT597" s="686"/>
    </row>
    <row r="598" spans="1:72" s="688" customFormat="1" ht="17.25" hidden="1" customHeight="1" outlineLevel="1">
      <c r="A598" s="3227"/>
      <c r="B598" s="3228"/>
      <c r="C598" s="3182" t="s">
        <v>36</v>
      </c>
      <c r="D598" s="3182"/>
      <c r="E598" s="1580"/>
      <c r="F598" s="1016">
        <v>0</v>
      </c>
      <c r="G598" s="920">
        <f>IF(SETUP!$F$53="At delivery",IF(SETUP!$G$53=1,$E$596*'Malaria-Equipment &amp; Other HPs'!AX15,0),0)</f>
        <v>0</v>
      </c>
      <c r="H598" s="920">
        <f>IF(SETUP!$F$53="At delivery",IF(SETUP!$G$53=2,$E$596*'Malaria-Equipment &amp; Other HPs'!AX15,IF(SETUP!$G$53=1,$E$596*'Malaria-Equipment &amp; Other HPs'!AY15,0)),0)</f>
        <v>0</v>
      </c>
      <c r="I598" s="920">
        <f>IF(SETUP!$F$53="At delivery",IF(SETUP!$G$53=3,$E$596*'Malaria-Equipment &amp; Other HPs'!AX15,IF(SETUP!$G$53=2,$E$596*'Malaria-Equipment &amp; Other HPs'!AY15,IF(SETUP!$G$53=1,$E$596*'Malaria-Equipment &amp; Other HPs'!AZ15,0))),0)</f>
        <v>0</v>
      </c>
      <c r="J598" s="920">
        <f t="shared" si="91"/>
        <v>0</v>
      </c>
      <c r="K598" s="1016">
        <f>IF(SETUP!$F$53="At delivery",IF(SETUP!$G$53=4,$E$596*'Malaria-Equipment &amp; Other HPs'!AX15,IF(SETUP!$G$53=3,$E$596*'Malaria-Equipment &amp; Other HPs'!AY15,IF(SETUP!$G$53=2,$E$596*'Malaria-Equipment &amp; Other HPs'!AZ15,IF(SETUP!$G$53=1,$E$596*'Malaria-Equipment &amp; Other HPs'!BA15,0)))),0)</f>
        <v>0</v>
      </c>
      <c r="L598" s="920">
        <f>IF(SETUP!$F$53="At delivery",IF(SETUP!$G$53=4,$E$596*'Malaria-Equipment &amp; Other HPs'!AY15,IF(SETUP!$G$53=3,$E$596*'Malaria-Equipment &amp; Other HPs'!AZ15,IF(SETUP!$G$53=2,$E$596*'Malaria-Equipment &amp; Other HPs'!BA15,IF(SETUP!$G$53=1,$E$596*'Malaria-Equipment &amp; Other HPs'!BB15,0)))),0)</f>
        <v>0</v>
      </c>
      <c r="M598" s="920">
        <f>IF(SETUP!$F$53="At delivery",IF(SETUP!$G$53=4,$E$596*'Malaria-Equipment &amp; Other HPs'!AZ15,IF(SETUP!$G$53=3,$E$596*'Malaria-Equipment &amp; Other HPs'!BA15,IF(SETUP!$G$53=2,$E$596*'Malaria-Equipment &amp; Other HPs'!BB15,IF(SETUP!$G$53=1,$E$596*'Malaria-Equipment &amp; Other HPs'!BC15,0)))),0)</f>
        <v>0</v>
      </c>
      <c r="N598" s="920">
        <f>IF(SETUP!$F$53="At delivery",IF(SETUP!$G$53=4,$E$596*'Malaria-Equipment &amp; Other HPs'!BA15,IF(SETUP!$G$53=3,$E$596*'Malaria-Equipment &amp; Other HPs'!BB15,IF(SETUP!$G$53=2,$E$596*'Malaria-Equipment &amp; Other HPs'!BC15,IF(SETUP!$G$53=1,$E$596*'Malaria-Equipment &amp; Other HPs'!BD15,0)))),0)</f>
        <v>0</v>
      </c>
      <c r="O598" s="920">
        <f t="shared" si="92"/>
        <v>0</v>
      </c>
      <c r="P598" s="1016">
        <f>IF(SETUP!$F$53="At delivery",IF(SETUP!$G$53=4,$E$596*'Malaria-Equipment &amp; Other HPs'!BB15,IF(SETUP!$G$53=3,$E$596*'Malaria-Equipment &amp; Other HPs'!BC15,IF(SETUP!$G$53=2,$E$596*'Malaria-Equipment &amp; Other HPs'!BD15,IF(SETUP!$G$53=1,$E$596*'Malaria-Equipment &amp; Other HPs'!BE15,0)))),0)</f>
        <v>0</v>
      </c>
      <c r="Q598" s="920">
        <f>IF(SETUP!$F$53="At delivery",IF(SETUP!$G$53=4,$E$596*'Malaria-Equipment &amp; Other HPs'!BC15,IF(SETUP!$G$53=3,$E$596*'Malaria-Equipment &amp; Other HPs'!BD15,IF(SETUP!$G$53=2,$E$596*'Malaria-Equipment &amp; Other HPs'!BE15,IF(SETUP!$G$53=1,$E$596*'Malaria-Equipment &amp; Other HPs'!BF15,0)))),0)</f>
        <v>0</v>
      </c>
      <c r="R598" s="920">
        <f>IF(SETUP!$F$53="At delivery",IF(SETUP!$G$53=4,$E$596*'Malaria-Equipment &amp; Other HPs'!BD15,IF(SETUP!$G$53=3,$E$596*'Malaria-Equipment &amp; Other HPs'!BE15,IF(SETUP!$G$53=2,$E$596*'Malaria-Equipment &amp; Other HPs'!BF15,IF(SETUP!$G$53=1,$E$596*'Malaria-Equipment &amp; Other HPs'!BG15,0)))),0)</f>
        <v>0</v>
      </c>
      <c r="S598" s="920">
        <f>IF(SETUP!$F$53="At delivery",IF(SETUP!$G$53=4,$E$596*('Malaria-Equipment &amp; Other HPs'!BE15+'Malaria-Equipment &amp; Other HPs'!BF15+'Malaria-Equipment &amp; Other HPs'!BG15+'Malaria-Equipment &amp; Other HPs'!BH15+'Malaria-Equipment &amp; Other HPs'!BI15),IF(SETUP!$G$53=3,$E$596*('Malaria-Equipment &amp; Other HPs'!BF15+'Malaria-Equipment &amp; Other HPs'!BG15+'Malaria-Equipment &amp; Other HPs'!BH15+'Malaria-Equipment &amp; Other HPs'!BI15),IF(SETUP!$G$53=2,$E$596*('Malaria-Equipment &amp; Other HPs'!BG15+'Malaria-Equipment &amp; Other HPs'!BH15+'Malaria-Equipment &amp; Other HPs'!BI15),IF(SETUP!$G$53=1,$E$596*('Malaria-Equipment &amp; Other HPs'!BH15+'Malaria-Equipment &amp; Other HPs'!BI15),0)))),0)</f>
        <v>0</v>
      </c>
      <c r="T598" s="920">
        <f t="shared" si="93"/>
        <v>0</v>
      </c>
      <c r="U598" s="1016">
        <f t="shared" si="94"/>
        <v>0</v>
      </c>
      <c r="V598" s="1344">
        <v>7.5</v>
      </c>
      <c r="W598" s="2011"/>
      <c r="X598" s="575"/>
      <c r="Y598" s="1350"/>
      <c r="Z598" s="655"/>
      <c r="AA598" s="686"/>
      <c r="AB598" s="686"/>
      <c r="AC598" s="686"/>
      <c r="AD598" s="686"/>
      <c r="AE598" s="686"/>
      <c r="AF598" s="686"/>
      <c r="AG598" s="686"/>
      <c r="AH598" s="687"/>
      <c r="AI598" s="686"/>
      <c r="AJ598" s="686"/>
      <c r="AK598" s="686"/>
      <c r="AL598" s="686"/>
      <c r="AM598" s="686"/>
      <c r="AN598" s="686"/>
      <c r="AO598" s="686"/>
      <c r="AP598" s="686"/>
      <c r="AQ598" s="686"/>
      <c r="AR598" s="686"/>
      <c r="AS598" s="686"/>
      <c r="AT598" s="686"/>
      <c r="AU598" s="686"/>
      <c r="AV598" s="686"/>
      <c r="AW598" s="686"/>
      <c r="AX598" s="686"/>
      <c r="AY598" s="686"/>
      <c r="AZ598" s="686"/>
      <c r="BA598" s="686"/>
      <c r="BB598" s="686"/>
      <c r="BC598" s="686"/>
      <c r="BD598" s="686"/>
      <c r="BE598" s="686"/>
      <c r="BF598" s="686"/>
      <c r="BG598" s="686"/>
      <c r="BH598" s="686"/>
      <c r="BI598" s="686"/>
      <c r="BJ598" s="686"/>
      <c r="BK598" s="686"/>
      <c r="BL598" s="686"/>
      <c r="BM598" s="686"/>
      <c r="BN598" s="686"/>
      <c r="BO598" s="686"/>
      <c r="BP598" s="686"/>
      <c r="BQ598" s="686"/>
      <c r="BR598" s="686"/>
      <c r="BS598" s="686"/>
      <c r="BT598" s="686"/>
    </row>
    <row r="599" spans="1:72" s="688" customFormat="1" ht="13" hidden="1" collapsed="1">
      <c r="A599" s="3227"/>
      <c r="B599" s="3228"/>
      <c r="C599" s="3188" t="s">
        <v>456</v>
      </c>
      <c r="D599" s="3188"/>
      <c r="E599" s="3177">
        <v>0</v>
      </c>
      <c r="F599" s="1016">
        <f>IF(SETUP!$F$54="Upfront",F600,F601)</f>
        <v>0</v>
      </c>
      <c r="G599" s="920">
        <f>IF(SETUP!$F$54="Upfront",G600,G601)</f>
        <v>0</v>
      </c>
      <c r="H599" s="920">
        <f>IF(SETUP!$F$54="Upfront",H600,H601)</f>
        <v>0</v>
      </c>
      <c r="I599" s="920">
        <f>IF(SETUP!$F$54="Upfront",I600,I601)</f>
        <v>0</v>
      </c>
      <c r="J599" s="920">
        <f t="shared" si="91"/>
        <v>0</v>
      </c>
      <c r="K599" s="1016">
        <f>IF(SETUP!$F$54="Upfront",K600,K601)</f>
        <v>0</v>
      </c>
      <c r="L599" s="920">
        <f>IF(SETUP!$F$54="Upfront",L600,L601)</f>
        <v>0</v>
      </c>
      <c r="M599" s="920">
        <f>IF(SETUP!$F$54="Upfront",M600,M601)</f>
        <v>0</v>
      </c>
      <c r="N599" s="920">
        <f>IF(SETUP!$F$54="Upfront",N600,N601)</f>
        <v>0</v>
      </c>
      <c r="O599" s="920">
        <f t="shared" si="92"/>
        <v>0</v>
      </c>
      <c r="P599" s="1016">
        <f>IF(SETUP!$F$54="Upfront",P600,P601)</f>
        <v>0</v>
      </c>
      <c r="Q599" s="920">
        <f>IF(SETUP!$F$54="Upfront",Q600,Q601)</f>
        <v>0</v>
      </c>
      <c r="R599" s="920">
        <f>IF(SETUP!$F$54="Upfront",R600,R601)</f>
        <v>0</v>
      </c>
      <c r="S599" s="920">
        <f>IF(SETUP!$F$54="Upfront",S600,S601)</f>
        <v>0</v>
      </c>
      <c r="T599" s="920">
        <f t="shared" si="93"/>
        <v>0</v>
      </c>
      <c r="U599" s="1016">
        <f t="shared" si="94"/>
        <v>0</v>
      </c>
      <c r="V599" s="1344">
        <v>7.5</v>
      </c>
      <c r="W599" s="2011"/>
      <c r="X599" s="575"/>
      <c r="Y599" s="1350"/>
      <c r="Z599" s="655"/>
      <c r="AA599" s="686"/>
      <c r="AB599" s="686"/>
      <c r="AC599" s="686"/>
      <c r="AD599" s="686"/>
      <c r="AE599" s="686"/>
      <c r="AF599" s="686"/>
      <c r="AG599" s="686"/>
      <c r="AH599" s="687"/>
      <c r="AI599" s="686"/>
      <c r="AJ599" s="686"/>
      <c r="AK599" s="686"/>
      <c r="AL599" s="686"/>
      <c r="AM599" s="686"/>
      <c r="AN599" s="686"/>
      <c r="AO599" s="686"/>
      <c r="AP599" s="686"/>
      <c r="AQ599" s="686"/>
      <c r="AR599" s="686"/>
      <c r="AS599" s="686"/>
      <c r="AT599" s="686"/>
      <c r="AU599" s="686"/>
      <c r="AV599" s="686"/>
      <c r="AW599" s="686"/>
      <c r="AX599" s="686"/>
      <c r="AY599" s="686"/>
      <c r="AZ599" s="686"/>
      <c r="BA599" s="686"/>
      <c r="BB599" s="686"/>
      <c r="BC599" s="686"/>
      <c r="BD599" s="686"/>
      <c r="BE599" s="686"/>
      <c r="BF599" s="686"/>
      <c r="BG599" s="686"/>
      <c r="BH599" s="686"/>
      <c r="BI599" s="686"/>
      <c r="BJ599" s="686"/>
      <c r="BK599" s="686"/>
      <c r="BL599" s="686"/>
      <c r="BM599" s="686"/>
      <c r="BN599" s="686"/>
      <c r="BO599" s="686"/>
      <c r="BP599" s="686"/>
      <c r="BQ599" s="686"/>
      <c r="BR599" s="686"/>
      <c r="BS599" s="686"/>
      <c r="BT599" s="686"/>
    </row>
    <row r="600" spans="1:72" s="688" customFormat="1" ht="16.149999999999999" hidden="1" customHeight="1" outlineLevel="1">
      <c r="A600" s="3227"/>
      <c r="B600" s="3228"/>
      <c r="C600" s="3182" t="s">
        <v>777</v>
      </c>
      <c r="D600" s="3182"/>
      <c r="E600" s="3178"/>
      <c r="F600" s="1016">
        <f>IF(SETUP!$F$54="Upfront",$E$599*'Malaria-Equipment &amp; Other HPs'!AX16,0)</f>
        <v>0</v>
      </c>
      <c r="G600" s="920">
        <f>IF(SETUP!$F$54="Upfront",$E$599*'Malaria-Equipment &amp; Other HPs'!AY16,0)</f>
        <v>0</v>
      </c>
      <c r="H600" s="920">
        <f>IF(SETUP!$F$54="Upfront",$E$599*'Malaria-Equipment &amp; Other HPs'!AZ16,0)</f>
        <v>0</v>
      </c>
      <c r="I600" s="920">
        <f>IF(SETUP!$F$54="Upfront",$E$599*'Malaria-Equipment &amp; Other HPs'!BA16,0)</f>
        <v>0</v>
      </c>
      <c r="J600" s="920">
        <f t="shared" si="91"/>
        <v>0</v>
      </c>
      <c r="K600" s="1016">
        <f>IF(SETUP!$F$54="Upfront",$E$599*'Malaria-Equipment &amp; Other HPs'!BB16,0)</f>
        <v>0</v>
      </c>
      <c r="L600" s="920">
        <f>IF(SETUP!$F$54="Upfront",$E$599*'Malaria-Equipment &amp; Other HPs'!BC16,0)</f>
        <v>0</v>
      </c>
      <c r="M600" s="920">
        <f>IF(SETUP!$F$54="Upfront",$E$599*'Malaria-Equipment &amp; Other HPs'!BD16,0)</f>
        <v>0</v>
      </c>
      <c r="N600" s="920">
        <f>IF(SETUP!$F$54="Upfront",$E$599*'Malaria-Equipment &amp; Other HPs'!BE16,0)</f>
        <v>0</v>
      </c>
      <c r="O600" s="920">
        <f t="shared" si="92"/>
        <v>0</v>
      </c>
      <c r="P600" s="1016">
        <f>IF(SETUP!$F$54="Upfront",$E$599*'Malaria-Equipment &amp; Other HPs'!BF16,0)</f>
        <v>0</v>
      </c>
      <c r="Q600" s="920">
        <f>IF(SETUP!$F$54="Upfront",$E$599*'Malaria-Equipment &amp; Other HPs'!BG16,0)</f>
        <v>0</v>
      </c>
      <c r="R600" s="920">
        <f>IF(SETUP!$F$54="Upfront",$E$599*'Malaria-Equipment &amp; Other HPs'!BH16,0)</f>
        <v>0</v>
      </c>
      <c r="S600" s="920">
        <f>IF(SETUP!$F$54="Upfront",$E$599*'Malaria-Equipment &amp; Other HPs'!BI16,0)</f>
        <v>0</v>
      </c>
      <c r="T600" s="920">
        <f t="shared" si="93"/>
        <v>0</v>
      </c>
      <c r="U600" s="1016">
        <f t="shared" si="94"/>
        <v>0</v>
      </c>
      <c r="V600" s="1344">
        <v>7.5</v>
      </c>
      <c r="W600" s="2011"/>
      <c r="X600" s="575"/>
      <c r="Y600" s="1350"/>
      <c r="Z600" s="655"/>
      <c r="AA600" s="686"/>
      <c r="AB600" s="686"/>
      <c r="AC600" s="686"/>
      <c r="AD600" s="686"/>
      <c r="AE600" s="686"/>
      <c r="AF600" s="686"/>
      <c r="AG600" s="686"/>
      <c r="AH600" s="687"/>
      <c r="AI600" s="686"/>
      <c r="AJ600" s="686"/>
      <c r="AK600" s="686"/>
      <c r="AL600" s="686"/>
      <c r="AM600" s="686"/>
      <c r="AN600" s="686"/>
      <c r="AO600" s="686"/>
      <c r="AP600" s="686"/>
      <c r="AQ600" s="686"/>
      <c r="AR600" s="686"/>
      <c r="AS600" s="686"/>
      <c r="AT600" s="686"/>
      <c r="AU600" s="686"/>
      <c r="AV600" s="686"/>
      <c r="AW600" s="686"/>
      <c r="AX600" s="686"/>
      <c r="AY600" s="686"/>
      <c r="AZ600" s="686"/>
      <c r="BA600" s="686"/>
      <c r="BB600" s="686"/>
      <c r="BC600" s="686"/>
      <c r="BD600" s="686"/>
      <c r="BE600" s="686"/>
      <c r="BF600" s="686"/>
      <c r="BG600" s="686"/>
      <c r="BH600" s="686"/>
      <c r="BI600" s="686"/>
      <c r="BJ600" s="686"/>
      <c r="BK600" s="686"/>
      <c r="BL600" s="686"/>
      <c r="BM600" s="686"/>
      <c r="BN600" s="686"/>
      <c r="BO600" s="686"/>
      <c r="BP600" s="686"/>
      <c r="BQ600" s="686"/>
      <c r="BR600" s="686"/>
      <c r="BS600" s="686"/>
      <c r="BT600" s="686"/>
    </row>
    <row r="601" spans="1:72" s="688" customFormat="1" ht="17.25" hidden="1" customHeight="1" outlineLevel="1">
      <c r="A601" s="3227"/>
      <c r="B601" s="3228"/>
      <c r="C601" s="3182" t="s">
        <v>36</v>
      </c>
      <c r="D601" s="3182"/>
      <c r="E601" s="3178"/>
      <c r="F601" s="1016">
        <v>0</v>
      </c>
      <c r="G601" s="920">
        <f>IF(SETUP!$F$54="At delivery",IF(SETUP!$G$54=1,$E$599*'Malaria-Equipment &amp; Other HPs'!AX16,0),0)</f>
        <v>0</v>
      </c>
      <c r="H601" s="920">
        <f>IF(SETUP!$F$54="At delivery",IF(SETUP!$G$54=2,$E$599*'Malaria-Equipment &amp; Other HPs'!AX16,IF(SETUP!$G$54=1,$E$599*'Malaria-Equipment &amp; Other HPs'!AY16,0)),0)</f>
        <v>0</v>
      </c>
      <c r="I601" s="920">
        <f>IF(SETUP!$F$54="At delivery",IF(SETUP!$G$54=3,$E$599*'Malaria-Equipment &amp; Other HPs'!AX16,IF(SETUP!$G$54=2,$E$599*'Malaria-Equipment &amp; Other HPs'!AY16,IF(SETUP!$G$54=1,$E$599*'Malaria-Equipment &amp; Other HPs'!AZ16,0))),0)</f>
        <v>0</v>
      </c>
      <c r="J601" s="920">
        <f t="shared" si="91"/>
        <v>0</v>
      </c>
      <c r="K601" s="1016">
        <f>IF(SETUP!$F$54="At delivery",IF(SETUP!$G$54=4,$E$599*'Malaria-Equipment &amp; Other HPs'!AX16,IF(SETUP!$G$54=3,$E$599*'Malaria-Equipment &amp; Other HPs'!AY16,IF(SETUP!$G$54=2,$E$599*'Malaria-Equipment &amp; Other HPs'!AZ16,IF(SETUP!$G$54=1,$E$599*'Malaria-Equipment &amp; Other HPs'!BA16,0)))),0)</f>
        <v>0</v>
      </c>
      <c r="L601" s="920">
        <f>IF(SETUP!$F$54="At delivery",IF(SETUP!$G$54=4,$E$599*'Malaria-Equipment &amp; Other HPs'!AY16,IF(SETUP!$G$54=3,$E$599*'Malaria-Equipment &amp; Other HPs'!AZ16,IF(SETUP!$G$54=2,$E$599*'Malaria-Equipment &amp; Other HPs'!BA16,IF(SETUP!$G$54=1,$E$599*'Malaria-Equipment &amp; Other HPs'!BB16,0)))),0)</f>
        <v>0</v>
      </c>
      <c r="M601" s="920">
        <f>IF(SETUP!$F$54="At delivery",IF(SETUP!$G$54=4,$E$599*'Malaria-Equipment &amp; Other HPs'!AZ16,IF(SETUP!$G$54=3,$E$599*'Malaria-Equipment &amp; Other HPs'!BA16,IF(SETUP!$G$54=2,$E$599*'Malaria-Equipment &amp; Other HPs'!BB16,IF(SETUP!$G$54=1,$E$599*'Malaria-Equipment &amp; Other HPs'!BC16,0)))),0)</f>
        <v>0</v>
      </c>
      <c r="N601" s="920">
        <f>IF(SETUP!$F$54="At delivery",IF(SETUP!$G$54=4,$E$599*'Malaria-Equipment &amp; Other HPs'!BA16,IF(SETUP!$G$54=3,$E$599*'Malaria-Equipment &amp; Other HPs'!BB16,IF(SETUP!$G$54=2,$E$599*'Malaria-Equipment &amp; Other HPs'!BC16,IF(SETUP!$G$54=1,$E$599*'Malaria-Equipment &amp; Other HPs'!BD16,0)))),0)</f>
        <v>0</v>
      </c>
      <c r="O601" s="920">
        <f t="shared" si="92"/>
        <v>0</v>
      </c>
      <c r="P601" s="1016">
        <f>IF(SETUP!$F$54="At delivery",IF(SETUP!$G$54=4,$E$599*'Malaria-Equipment &amp; Other HPs'!BB16,IF(SETUP!$G$54=3,$E$599*'Malaria-Equipment &amp; Other HPs'!BC16,IF(SETUP!$G$54=2,$E$599*'Malaria-Equipment &amp; Other HPs'!BD16,IF(SETUP!$G$54=1,$E$599*'Malaria-Equipment &amp; Other HPs'!BE16,0)))),0)</f>
        <v>0</v>
      </c>
      <c r="Q601" s="920">
        <f>IF(SETUP!$F$54="At delivery",IF(SETUP!$G$54=4,$E$599*'Malaria-Equipment &amp; Other HPs'!BC16,IF(SETUP!$G$54=3,$E$599*'Malaria-Equipment &amp; Other HPs'!BD16,IF(SETUP!$G$54=2,$E$599*'Malaria-Equipment &amp; Other HPs'!BE16,IF(SETUP!$G$54=1,$E$599*'Malaria-Equipment &amp; Other HPs'!BF16,0)))),0)</f>
        <v>0</v>
      </c>
      <c r="R601" s="920">
        <f>IF(SETUP!$F$54="At delivery",IF(SETUP!$G$54=4,$E$599*'Malaria-Equipment &amp; Other HPs'!BD16,IF(SETUP!$G$54=3,$E$599*'Malaria-Equipment &amp; Other HPs'!BE16,IF(SETUP!$G$54=2,$E$599*'Malaria-Equipment &amp; Other HPs'!BF16,IF(SETUP!$G$54=1,$E$599*'Malaria-Equipment &amp; Other HPs'!BG16,0)))),0)</f>
        <v>0</v>
      </c>
      <c r="S601" s="920">
        <f>IF(SETUP!$F$54="At delivery",IF(SETUP!$G$54=4,$E$599*('Malaria-Equipment &amp; Other HPs'!BE16+'Malaria-Equipment &amp; Other HPs'!BF16+'Malaria-Equipment &amp; Other HPs'!BG16+'Malaria-Equipment &amp; Other HPs'!BH16+'Malaria-Equipment &amp; Other HPs'!BI16),IF(SETUP!$G$54=3,$E$599*('Malaria-Equipment &amp; Other HPs'!BF16+'Malaria-Equipment &amp; Other HPs'!BG16+'Malaria-Equipment &amp; Other HPs'!BH16+'Malaria-Equipment &amp; Other HPs'!BI16),IF(SETUP!$G$54=2,$E$599*('Malaria-Equipment &amp; Other HPs'!BG16+'Malaria-Equipment &amp; Other HPs'!BH16+'Malaria-Equipment &amp; Other HPs'!BI16),IF(SETUP!$G$54=1,$E$599*('Malaria-Equipment &amp; Other HPs'!BH16+'Malaria-Equipment &amp; Other HPs'!BI16),0)))),0)</f>
        <v>0</v>
      </c>
      <c r="T601" s="920">
        <f t="shared" si="93"/>
        <v>0</v>
      </c>
      <c r="U601" s="1016">
        <f t="shared" si="94"/>
        <v>0</v>
      </c>
      <c r="V601" s="1344">
        <v>7.5</v>
      </c>
      <c r="W601" s="2011"/>
      <c r="X601" s="575"/>
      <c r="Y601" s="1350"/>
      <c r="Z601" s="655"/>
      <c r="AA601" s="686"/>
      <c r="AB601" s="686"/>
      <c r="AC601" s="686"/>
      <c r="AD601" s="686"/>
      <c r="AE601" s="686"/>
      <c r="AF601" s="686"/>
      <c r="AG601" s="686"/>
      <c r="AH601" s="687"/>
      <c r="AI601" s="686"/>
      <c r="AJ601" s="686"/>
      <c r="AK601" s="686"/>
      <c r="AL601" s="686"/>
      <c r="AM601" s="686"/>
      <c r="AN601" s="686"/>
      <c r="AO601" s="686"/>
      <c r="AP601" s="686"/>
      <c r="AQ601" s="686"/>
      <c r="AR601" s="686"/>
      <c r="AS601" s="686"/>
      <c r="AT601" s="686"/>
      <c r="AU601" s="686"/>
      <c r="AV601" s="686"/>
      <c r="AW601" s="686"/>
      <c r="AX601" s="686"/>
      <c r="AY601" s="686"/>
      <c r="AZ601" s="686"/>
      <c r="BA601" s="686"/>
      <c r="BB601" s="686"/>
      <c r="BC601" s="686"/>
      <c r="BD601" s="686"/>
      <c r="BE601" s="686"/>
      <c r="BF601" s="686"/>
      <c r="BG601" s="686"/>
      <c r="BH601" s="686"/>
      <c r="BI601" s="686"/>
      <c r="BJ601" s="686"/>
      <c r="BK601" s="686"/>
      <c r="BL601" s="686"/>
      <c r="BM601" s="686"/>
      <c r="BN601" s="686"/>
      <c r="BO601" s="686"/>
      <c r="BP601" s="686"/>
      <c r="BQ601" s="686"/>
      <c r="BR601" s="686"/>
      <c r="BS601" s="686"/>
      <c r="BT601" s="686"/>
    </row>
    <row r="602" spans="1:72" s="688" customFormat="1" ht="13" hidden="1" collapsed="1">
      <c r="A602" s="3227"/>
      <c r="B602" s="3228"/>
      <c r="C602" s="3188" t="s">
        <v>457</v>
      </c>
      <c r="D602" s="3188"/>
      <c r="E602" s="3177">
        <v>0</v>
      </c>
      <c r="F602" s="1016">
        <f>IF(SETUP!$F$55="Upfront",F603,F604)</f>
        <v>0</v>
      </c>
      <c r="G602" s="920">
        <f>IF(SETUP!$F$55="Upfront",G603,G604)</f>
        <v>0</v>
      </c>
      <c r="H602" s="920">
        <f>IF(SETUP!$F$55="Upfront",H603,H604)</f>
        <v>0</v>
      </c>
      <c r="I602" s="920">
        <f>IF(SETUP!$F$55="Upfront",I603,I604)</f>
        <v>0</v>
      </c>
      <c r="J602" s="920">
        <f t="shared" si="91"/>
        <v>0</v>
      </c>
      <c r="K602" s="1016">
        <f>IF(SETUP!$F$55="Upfront",K603,K604)</f>
        <v>0</v>
      </c>
      <c r="L602" s="920">
        <f>IF(SETUP!$F$55="Upfront",L603,L604)</f>
        <v>0</v>
      </c>
      <c r="M602" s="920">
        <f>IF(SETUP!$F$55="Upfront",M603,M604)</f>
        <v>0</v>
      </c>
      <c r="N602" s="920">
        <f>IF(SETUP!$F$55="Upfront",N603,N604)</f>
        <v>0</v>
      </c>
      <c r="O602" s="920">
        <f t="shared" si="92"/>
        <v>0</v>
      </c>
      <c r="P602" s="1016">
        <f>IF(SETUP!$F$55="Upfront",P603,P604)</f>
        <v>0</v>
      </c>
      <c r="Q602" s="920">
        <f>IF(SETUP!$F$55="Upfront",Q603,Q604)</f>
        <v>0</v>
      </c>
      <c r="R602" s="920">
        <f>IF(SETUP!$F$55="Upfront",R603,R604)</f>
        <v>0</v>
      </c>
      <c r="S602" s="920">
        <f>IF(SETUP!$F$55="Upfront",S603,S604)</f>
        <v>0</v>
      </c>
      <c r="T602" s="920">
        <f t="shared" si="93"/>
        <v>0</v>
      </c>
      <c r="U602" s="1016">
        <f t="shared" si="94"/>
        <v>0</v>
      </c>
      <c r="V602" s="1344">
        <v>7.5</v>
      </c>
      <c r="W602" s="2011"/>
      <c r="X602" s="575"/>
      <c r="Y602" s="1350"/>
      <c r="Z602" s="655"/>
      <c r="AA602" s="686"/>
      <c r="AB602" s="686"/>
      <c r="AC602" s="686"/>
      <c r="AD602" s="686"/>
      <c r="AE602" s="686"/>
      <c r="AF602" s="686"/>
      <c r="AG602" s="686"/>
      <c r="AH602" s="687"/>
      <c r="AI602" s="686"/>
      <c r="AJ602" s="686"/>
      <c r="AK602" s="686"/>
      <c r="AL602" s="686"/>
      <c r="AM602" s="686"/>
      <c r="AN602" s="686"/>
      <c r="AO602" s="686"/>
      <c r="AP602" s="686"/>
      <c r="AQ602" s="686"/>
      <c r="AR602" s="686"/>
      <c r="AS602" s="686"/>
      <c r="AT602" s="686"/>
      <c r="AU602" s="686"/>
      <c r="AV602" s="686"/>
      <c r="AW602" s="686"/>
      <c r="AX602" s="686"/>
      <c r="AY602" s="686"/>
      <c r="AZ602" s="686"/>
      <c r="BA602" s="686"/>
      <c r="BB602" s="686"/>
      <c r="BC602" s="686"/>
      <c r="BD602" s="686"/>
      <c r="BE602" s="686"/>
      <c r="BF602" s="686"/>
      <c r="BG602" s="686"/>
      <c r="BH602" s="686"/>
      <c r="BI602" s="686"/>
      <c r="BJ602" s="686"/>
      <c r="BK602" s="686"/>
      <c r="BL602" s="686"/>
      <c r="BM602" s="686"/>
      <c r="BN602" s="686"/>
      <c r="BO602" s="686"/>
      <c r="BP602" s="686"/>
      <c r="BQ602" s="686"/>
      <c r="BR602" s="686"/>
      <c r="BS602" s="686"/>
      <c r="BT602" s="686"/>
    </row>
    <row r="603" spans="1:72" s="688" customFormat="1" ht="16.149999999999999" hidden="1" customHeight="1" outlineLevel="1">
      <c r="A603" s="3227"/>
      <c r="B603" s="3228"/>
      <c r="C603" s="3182" t="s">
        <v>777</v>
      </c>
      <c r="D603" s="3182"/>
      <c r="E603" s="3178"/>
      <c r="F603" s="1016">
        <f>IF(SETUP!$F$55="Upfront",$E$602*'Malaria-Equipment &amp; Other HPs'!AX17,0)</f>
        <v>0</v>
      </c>
      <c r="G603" s="920">
        <f>IF(SETUP!$F$55="Upfront",$E$602*'Malaria-Equipment &amp; Other HPs'!AY17,0)</f>
        <v>0</v>
      </c>
      <c r="H603" s="920">
        <f>IF(SETUP!$F$55="Upfront",$E$602*'Malaria-Equipment &amp; Other HPs'!AZ17,0)</f>
        <v>0</v>
      </c>
      <c r="I603" s="920">
        <f>IF(SETUP!$F$55="Upfront",$E$602*'Malaria-Equipment &amp; Other HPs'!BA17,0)</f>
        <v>0</v>
      </c>
      <c r="J603" s="920">
        <f t="shared" si="91"/>
        <v>0</v>
      </c>
      <c r="K603" s="1016">
        <f>IF(SETUP!$F$55="Upfront",$E$602*'Malaria-Equipment &amp; Other HPs'!BB17,0)</f>
        <v>0</v>
      </c>
      <c r="L603" s="920">
        <f>IF(SETUP!$F$55="Upfront",$E$602*'Malaria-Equipment &amp; Other HPs'!BC17,0)</f>
        <v>0</v>
      </c>
      <c r="M603" s="920">
        <f>IF(SETUP!$F$55="Upfront",$E$602*'Malaria-Equipment &amp; Other HPs'!BD17,0)</f>
        <v>0</v>
      </c>
      <c r="N603" s="920">
        <f>IF(SETUP!$F$55="Upfront",$E$602*'Malaria-Equipment &amp; Other HPs'!BE17,0)</f>
        <v>0</v>
      </c>
      <c r="O603" s="920">
        <f t="shared" si="92"/>
        <v>0</v>
      </c>
      <c r="P603" s="1016">
        <f>IF(SETUP!$F$55="Upfront",$E$602*'Malaria-Equipment &amp; Other HPs'!BF17,0)</f>
        <v>0</v>
      </c>
      <c r="Q603" s="920">
        <f>IF(SETUP!$F$55="Upfront",$E$602*'Malaria-Equipment &amp; Other HPs'!BG17,0)</f>
        <v>0</v>
      </c>
      <c r="R603" s="920">
        <f>IF(SETUP!$F$55="Upfront",$E$602*'Malaria-Equipment &amp; Other HPs'!BH17,0)</f>
        <v>0</v>
      </c>
      <c r="S603" s="920">
        <f>IF(SETUP!$F$55="Upfront",$E$602*'Malaria-Equipment &amp; Other HPs'!BI17,0)</f>
        <v>0</v>
      </c>
      <c r="T603" s="920">
        <f>P603+Q603+R603+S603</f>
        <v>0</v>
      </c>
      <c r="U603" s="1016">
        <f t="shared" si="94"/>
        <v>0</v>
      </c>
      <c r="V603" s="1344">
        <v>7.5</v>
      </c>
      <c r="W603" s="2011"/>
      <c r="X603" s="575"/>
      <c r="Y603" s="1350"/>
      <c r="Z603" s="655"/>
      <c r="AA603" s="686"/>
      <c r="AB603" s="686"/>
      <c r="AC603" s="686"/>
      <c r="AD603" s="686"/>
      <c r="AE603" s="686"/>
      <c r="AF603" s="686"/>
      <c r="AG603" s="686"/>
      <c r="AH603" s="687"/>
      <c r="AI603" s="686"/>
      <c r="AJ603" s="686"/>
      <c r="AK603" s="686"/>
      <c r="AL603" s="686"/>
      <c r="AM603" s="686"/>
      <c r="AN603" s="686"/>
      <c r="AO603" s="686"/>
      <c r="AP603" s="686"/>
      <c r="AQ603" s="686"/>
      <c r="AR603" s="686"/>
      <c r="AS603" s="686"/>
      <c r="AT603" s="686"/>
      <c r="AU603" s="686"/>
      <c r="AV603" s="686"/>
      <c r="AW603" s="686"/>
      <c r="AX603" s="686"/>
      <c r="AY603" s="686"/>
      <c r="AZ603" s="686"/>
      <c r="BA603" s="686"/>
      <c r="BB603" s="686"/>
      <c r="BC603" s="686"/>
      <c r="BD603" s="686"/>
      <c r="BE603" s="686"/>
      <c r="BF603" s="686"/>
      <c r="BG603" s="686"/>
      <c r="BH603" s="686"/>
      <c r="BI603" s="686"/>
      <c r="BJ603" s="686"/>
      <c r="BK603" s="686"/>
      <c r="BL603" s="686"/>
      <c r="BM603" s="686"/>
      <c r="BN603" s="686"/>
      <c r="BO603" s="686"/>
      <c r="BP603" s="686"/>
      <c r="BQ603" s="686"/>
      <c r="BR603" s="686"/>
      <c r="BS603" s="686"/>
      <c r="BT603" s="686"/>
    </row>
    <row r="604" spans="1:72" s="688" customFormat="1" ht="17.25" hidden="1" customHeight="1" outlineLevel="1">
      <c r="A604" s="3227"/>
      <c r="B604" s="3228"/>
      <c r="C604" s="3182" t="s">
        <v>36</v>
      </c>
      <c r="D604" s="3182"/>
      <c r="E604" s="3178"/>
      <c r="F604" s="1016">
        <v>0</v>
      </c>
      <c r="G604" s="920">
        <f>IF(SETUP!$F$55="At delivery",IF(SETUP!$G$55=1,$E$602*'Malaria-Equipment &amp; Other HPs'!AX17,0),0)</f>
        <v>0</v>
      </c>
      <c r="H604" s="920">
        <f>IF(SETUP!$F$55="At delivery",IF(SETUP!$G$55=2,$E$602*'Malaria-Equipment &amp; Other HPs'!AX17,IF(SETUP!$G$55=1,$E$602*'Malaria-Equipment &amp; Other HPs'!AY17,0)),0)</f>
        <v>0</v>
      </c>
      <c r="I604" s="920">
        <f>IF(SETUP!$F$55="At delivery",IF(SETUP!$G$55=3,$E$602*'Malaria-Equipment &amp; Other HPs'!AX17,IF(SETUP!$G$55=2,$E$602*'Malaria-Equipment &amp; Other HPs'!AY17,IF(SETUP!$G$55=1,$E$602*'Malaria-Equipment &amp; Other HPs'!AZ17,0))),0)</f>
        <v>0</v>
      </c>
      <c r="J604" s="920">
        <f t="shared" si="91"/>
        <v>0</v>
      </c>
      <c r="K604" s="1016">
        <f>IF(SETUP!$F$55="At delivery",IF(SETUP!$G$55=4,$E$602*'Malaria-Equipment &amp; Other HPs'!AX17,IF(SETUP!$G$55=3,$E$602*'Malaria-Equipment &amp; Other HPs'!AY17,IF(SETUP!$G$55=2,$E$602*'Malaria-Equipment &amp; Other HPs'!AZ17,IF(SETUP!$G$55=1,$E$602*'Malaria-Equipment &amp; Other HPs'!BA17,0)))),0)</f>
        <v>0</v>
      </c>
      <c r="L604" s="920">
        <f>IF(SETUP!$F$55="At delivery",IF(SETUP!$G$55=4,$E$602*'Malaria-Equipment &amp; Other HPs'!AY17,IF(SETUP!$G$55=3,$E$602*'Malaria-Equipment &amp; Other HPs'!AZ17,IF(SETUP!$G$55=2,$E$602*'Malaria-Equipment &amp; Other HPs'!BA17,IF(SETUP!$G$55=1,$E$602*'Malaria-Equipment &amp; Other HPs'!BB17,0)))),0)</f>
        <v>0</v>
      </c>
      <c r="M604" s="920">
        <f>IF(SETUP!$F$55="At delivery",IF(SETUP!$G$55=4,$E$602*'Malaria-Equipment &amp; Other HPs'!AZ17,IF(SETUP!$G$55=3,$E$602*'Malaria-Equipment &amp; Other HPs'!BA17,IF(SETUP!$G$55=2,$E$602*'Malaria-Equipment &amp; Other HPs'!BB17,IF(SETUP!$G$55=1,$E$602*'Malaria-Equipment &amp; Other HPs'!BC17,0)))),0)</f>
        <v>0</v>
      </c>
      <c r="N604" s="920">
        <f>IF(SETUP!$F$55="At delivery",IF(SETUP!$G$55=4,$E$602*'Malaria-Equipment &amp; Other HPs'!BA17,IF(SETUP!$G$55=3,$E$602*'Malaria-Equipment &amp; Other HPs'!BB17,IF(SETUP!$G$55=2,$E$602*'Malaria-Equipment &amp; Other HPs'!BC17,IF(SETUP!$G$55=1,$E$602*'Malaria-Equipment &amp; Other HPs'!BD17,0)))),0)</f>
        <v>0</v>
      </c>
      <c r="O604" s="920">
        <f t="shared" si="92"/>
        <v>0</v>
      </c>
      <c r="P604" s="1016">
        <f>IF(SETUP!$F$55="At delivery",IF(SETUP!$G$55=4,$E$602*'Malaria-Equipment &amp; Other HPs'!BB17,IF(SETUP!$G$55=3,$E$602*'Malaria-Equipment &amp; Other HPs'!BC17,IF(SETUP!$G$55=2,$E$602*'Malaria-Equipment &amp; Other HPs'!BD17,IF(SETUP!$G$55=1,$E$602*'Malaria-Equipment &amp; Other HPs'!BE17,0)))),0)</f>
        <v>0</v>
      </c>
      <c r="Q604" s="920">
        <f>IF(SETUP!$F$55="At delivery",IF(SETUP!$G$55=4,$E$602*'Malaria-Equipment &amp; Other HPs'!BC17,IF(SETUP!$G$55=3,$E$602*'Malaria-Equipment &amp; Other HPs'!BD17,IF(SETUP!$G$55=2,$E$602*'Malaria-Equipment &amp; Other HPs'!BE17,IF(SETUP!$G$55=1,$E$602*'Malaria-Equipment &amp; Other HPs'!BF17,0)))),0)</f>
        <v>0</v>
      </c>
      <c r="R604" s="920">
        <f>IF(SETUP!$F$55="At delivery",IF(SETUP!$G$55=4,$E$602*'Malaria-Equipment &amp; Other HPs'!BD17,IF(SETUP!$G$55=3,$E$602*'Malaria-Equipment &amp; Other HPs'!BE17,IF(SETUP!$G$55=2,$E$602*'Malaria-Equipment &amp; Other HPs'!BF17,IF(SETUP!$G$55=1,$E$602*'Malaria-Equipment &amp; Other HPs'!BG17,0)))),0)</f>
        <v>0</v>
      </c>
      <c r="S604" s="920">
        <f>IF(SETUP!$F$55="At delivery",IF(SETUP!$G$55=4,$E$602*('Malaria-Equipment &amp; Other HPs'!BE17+'Malaria-Equipment &amp; Other HPs'!BF17+'Malaria-Equipment &amp; Other HPs'!BG17+'Malaria-Equipment &amp; Other HPs'!BH17+'Malaria-Equipment &amp; Other HPs'!BI17),IF(SETUP!$G$55=3,$E$602*('Malaria-Equipment &amp; Other HPs'!BF17+'Malaria-Equipment &amp; Other HPs'!BG17+'Malaria-Equipment &amp; Other HPs'!BH17+'Malaria-Equipment &amp; Other HPs'!BI17),IF(SETUP!$G$55=2,$E$602*('Malaria-Equipment &amp; Other HPs'!BG17+'Malaria-Equipment &amp; Other HPs'!BH17+'Malaria-Equipment &amp; Other HPs'!BI17),IF(SETUP!$G$55=1,$E$602*('Malaria-Equipment &amp; Other HPs'!BH17+'Malaria-Equipment &amp; Other HPs'!BI17),0)))),0)</f>
        <v>0</v>
      </c>
      <c r="T604" s="920">
        <f>P604+Q604+R604+S604</f>
        <v>0</v>
      </c>
      <c r="U604" s="1016">
        <f t="shared" si="94"/>
        <v>0</v>
      </c>
      <c r="V604" s="1344">
        <v>7.5</v>
      </c>
      <c r="W604" s="2011"/>
      <c r="X604" s="575"/>
      <c r="Y604" s="1350"/>
      <c r="Z604" s="655"/>
      <c r="AA604" s="686"/>
      <c r="AB604" s="686"/>
      <c r="AC604" s="686"/>
      <c r="AD604" s="686"/>
      <c r="AE604" s="686"/>
      <c r="AF604" s="686"/>
      <c r="AG604" s="686"/>
      <c r="AH604" s="687"/>
      <c r="AI604" s="686"/>
      <c r="AJ604" s="686"/>
      <c r="AK604" s="686"/>
      <c r="AL604" s="686"/>
      <c r="AM604" s="686"/>
      <c r="AN604" s="686"/>
      <c r="AO604" s="686"/>
      <c r="AP604" s="686"/>
      <c r="AQ604" s="686"/>
      <c r="AR604" s="686"/>
      <c r="AS604" s="686"/>
      <c r="AT604" s="686"/>
      <c r="AU604" s="686"/>
      <c r="AV604" s="686"/>
      <c r="AW604" s="686"/>
      <c r="AX604" s="686"/>
      <c r="AY604" s="686"/>
      <c r="AZ604" s="686"/>
      <c r="BA604" s="686"/>
      <c r="BB604" s="686"/>
      <c r="BC604" s="686"/>
      <c r="BD604" s="686"/>
      <c r="BE604" s="686"/>
      <c r="BF604" s="686"/>
      <c r="BG604" s="686"/>
      <c r="BH604" s="686"/>
      <c r="BI604" s="686"/>
      <c r="BJ604" s="686"/>
      <c r="BK604" s="686"/>
      <c r="BL604" s="686"/>
      <c r="BM604" s="686"/>
      <c r="BN604" s="686"/>
      <c r="BO604" s="686"/>
      <c r="BP604" s="686"/>
      <c r="BQ604" s="686"/>
      <c r="BR604" s="686"/>
      <c r="BS604" s="686"/>
      <c r="BT604" s="686"/>
    </row>
    <row r="605" spans="1:72" s="688" customFormat="1" ht="13.5" hidden="1" collapsed="1" thickBot="1">
      <c r="A605" s="3227"/>
      <c r="B605" s="3228"/>
      <c r="C605" s="3188" t="s">
        <v>458</v>
      </c>
      <c r="D605" s="3188"/>
      <c r="E605" s="3177">
        <v>0</v>
      </c>
      <c r="F605" s="1016">
        <f>IF(SETUP!$F$56="Upfront",F606,F607)</f>
        <v>0</v>
      </c>
      <c r="G605" s="920">
        <f>IF(SETUP!$F$56="Upfront",G606,G607)</f>
        <v>0</v>
      </c>
      <c r="H605" s="920">
        <f>IF(SETUP!$F$56="Upfront",H606,H607)</f>
        <v>0</v>
      </c>
      <c r="I605" s="920">
        <f>IF(SETUP!$F$56="Upfront",I606,I607)</f>
        <v>0</v>
      </c>
      <c r="J605" s="920">
        <f t="shared" si="91"/>
        <v>0</v>
      </c>
      <c r="K605" s="1016">
        <f>IF(SETUP!$F$56="Upfront",K606,K607)</f>
        <v>0</v>
      </c>
      <c r="L605" s="920">
        <f>IF(SETUP!$F$56="Upfront",L606,L607)</f>
        <v>0</v>
      </c>
      <c r="M605" s="920">
        <f>IF(SETUP!$F$56="Upfront",M606,M607)</f>
        <v>0</v>
      </c>
      <c r="N605" s="920">
        <f>IF(SETUP!$F$56="Upfront",N606,N607)</f>
        <v>0</v>
      </c>
      <c r="O605" s="920">
        <f t="shared" si="92"/>
        <v>0</v>
      </c>
      <c r="P605" s="1016">
        <f>IF(SETUP!$F$56="Upfront",P606,P607)</f>
        <v>0</v>
      </c>
      <c r="Q605" s="920">
        <f>IF(SETUP!$F$56="Upfront",Q606,Q607)</f>
        <v>0</v>
      </c>
      <c r="R605" s="920">
        <f>IF(SETUP!$F$56="Upfront",R606,R607)</f>
        <v>0</v>
      </c>
      <c r="S605" s="920">
        <f>IF(SETUP!$F$56="Upfront",S606,S607)</f>
        <v>0</v>
      </c>
      <c r="T605" s="920">
        <f t="shared" si="93"/>
        <v>0</v>
      </c>
      <c r="U605" s="1016">
        <f t="shared" si="94"/>
        <v>0</v>
      </c>
      <c r="V605" s="1344">
        <v>7.5</v>
      </c>
      <c r="W605" s="2011"/>
      <c r="X605" s="575"/>
      <c r="Y605" s="1350"/>
      <c r="Z605" s="655"/>
      <c r="AA605" s="686"/>
      <c r="AB605" s="686"/>
      <c r="AC605" s="686"/>
      <c r="AD605" s="686"/>
      <c r="AE605" s="686"/>
      <c r="AF605" s="686"/>
      <c r="AG605" s="686"/>
      <c r="AH605" s="687"/>
      <c r="AI605" s="686"/>
      <c r="AJ605" s="686"/>
      <c r="AK605" s="686"/>
      <c r="AL605" s="686"/>
      <c r="AM605" s="686"/>
      <c r="AN605" s="686"/>
      <c r="AO605" s="686"/>
      <c r="AP605" s="686"/>
      <c r="AQ605" s="686"/>
      <c r="AR605" s="686"/>
      <c r="AS605" s="686"/>
      <c r="AT605" s="686"/>
      <c r="AU605" s="686"/>
      <c r="AV605" s="686"/>
      <c r="AW605" s="686"/>
      <c r="AX605" s="686"/>
      <c r="AY605" s="686"/>
      <c r="AZ605" s="686"/>
      <c r="BA605" s="686"/>
      <c r="BB605" s="686"/>
      <c r="BC605" s="686"/>
      <c r="BD605" s="686"/>
      <c r="BE605" s="686"/>
      <c r="BF605" s="686"/>
      <c r="BG605" s="686"/>
      <c r="BH605" s="686"/>
      <c r="BI605" s="686"/>
      <c r="BJ605" s="686"/>
      <c r="BK605" s="686"/>
      <c r="BL605" s="686"/>
      <c r="BM605" s="686"/>
      <c r="BN605" s="686"/>
      <c r="BO605" s="686"/>
      <c r="BP605" s="686"/>
      <c r="BQ605" s="686"/>
      <c r="BR605" s="686"/>
      <c r="BS605" s="686"/>
      <c r="BT605" s="686"/>
    </row>
    <row r="606" spans="1:72" s="688" customFormat="1" ht="16.149999999999999" hidden="1" customHeight="1" outlineLevel="1">
      <c r="A606" s="3227"/>
      <c r="B606" s="3228"/>
      <c r="C606" s="3182" t="s">
        <v>777</v>
      </c>
      <c r="D606" s="3182"/>
      <c r="E606" s="3178"/>
      <c r="F606" s="1016">
        <f>IF(SETUP!$F$56="Upfront",$E$605*'Malaria-Equipment &amp; Other HPs'!AX18,0)</f>
        <v>0</v>
      </c>
      <c r="G606" s="920">
        <f>IF(SETUP!$F$56="Upfront",$E$605*'Malaria-Equipment &amp; Other HPs'!AY18,0)</f>
        <v>0</v>
      </c>
      <c r="H606" s="920">
        <f>IF(SETUP!$F$56="Upfront",$E$605*'Malaria-Equipment &amp; Other HPs'!AZ18,0)</f>
        <v>0</v>
      </c>
      <c r="I606" s="920">
        <f>IF(SETUP!$F$56="Upfront",$E$605*'Malaria-Equipment &amp; Other HPs'!BA18,0)</f>
        <v>0</v>
      </c>
      <c r="J606" s="920">
        <f t="shared" si="91"/>
        <v>0</v>
      </c>
      <c r="K606" s="1016">
        <f>IF(SETUP!$F$56="Upfront",$E$605*'Malaria-Equipment &amp; Other HPs'!BB18,0)</f>
        <v>0</v>
      </c>
      <c r="L606" s="920">
        <f>IF(SETUP!$F$56="Upfront",$E$605*'Malaria-Equipment &amp; Other HPs'!BC18,0)</f>
        <v>0</v>
      </c>
      <c r="M606" s="920">
        <f>IF(SETUP!$F$56="Upfront",$E$605*'Malaria-Equipment &amp; Other HPs'!BD18,0)</f>
        <v>0</v>
      </c>
      <c r="N606" s="920">
        <f>IF(SETUP!$F$56="Upfront",$E$605*'Malaria-Equipment &amp; Other HPs'!BE18,0)</f>
        <v>0</v>
      </c>
      <c r="O606" s="920">
        <f t="shared" si="92"/>
        <v>0</v>
      </c>
      <c r="P606" s="1016">
        <f>IF(SETUP!$F$56="Upfront",$E$605*'Malaria-Equipment &amp; Other HPs'!BF18,0)</f>
        <v>0</v>
      </c>
      <c r="Q606" s="920">
        <f>IF(SETUP!$F$56="Upfront",$E$605*'Malaria-Equipment &amp; Other HPs'!BG18,0)</f>
        <v>0</v>
      </c>
      <c r="R606" s="920">
        <f>IF(SETUP!$F$56="Upfront",$E$605*'Malaria-Equipment &amp; Other HPs'!BH18,0)</f>
        <v>0</v>
      </c>
      <c r="S606" s="920">
        <f>IF(SETUP!$F$56="Upfront",$E$605*'Malaria-Equipment &amp; Other HPs'!BI18,0)</f>
        <v>0</v>
      </c>
      <c r="T606" s="920">
        <f t="shared" si="93"/>
        <v>0</v>
      </c>
      <c r="U606" s="1016">
        <f t="shared" si="94"/>
        <v>0</v>
      </c>
      <c r="V606" s="1344">
        <v>7.5</v>
      </c>
      <c r="W606" s="2011"/>
      <c r="X606" s="575"/>
      <c r="Y606" s="1350"/>
      <c r="Z606" s="655"/>
      <c r="AA606" s="686"/>
      <c r="AB606" s="686"/>
      <c r="AC606" s="686"/>
      <c r="AD606" s="686"/>
      <c r="AE606" s="686"/>
      <c r="AF606" s="686"/>
      <c r="AG606" s="686"/>
      <c r="AH606" s="687"/>
      <c r="AI606" s="686"/>
      <c r="AJ606" s="686"/>
      <c r="AK606" s="686"/>
      <c r="AL606" s="686"/>
      <c r="AM606" s="686"/>
      <c r="AN606" s="686"/>
      <c r="AO606" s="686"/>
      <c r="AP606" s="686"/>
      <c r="AQ606" s="686"/>
      <c r="AR606" s="686"/>
      <c r="AS606" s="686"/>
      <c r="AT606" s="686"/>
      <c r="AU606" s="686"/>
      <c r="AV606" s="686"/>
      <c r="AW606" s="686"/>
      <c r="AX606" s="686"/>
      <c r="AY606" s="686"/>
      <c r="AZ606" s="686"/>
      <c r="BA606" s="686"/>
      <c r="BB606" s="686"/>
      <c r="BC606" s="686"/>
      <c r="BD606" s="686"/>
      <c r="BE606" s="686"/>
      <c r="BF606" s="686"/>
      <c r="BG606" s="686"/>
      <c r="BH606" s="686"/>
      <c r="BI606" s="686"/>
      <c r="BJ606" s="686"/>
      <c r="BK606" s="686"/>
      <c r="BL606" s="686"/>
      <c r="BM606" s="686"/>
      <c r="BN606" s="686"/>
      <c r="BO606" s="686"/>
      <c r="BP606" s="686"/>
      <c r="BQ606" s="686"/>
      <c r="BR606" s="686"/>
      <c r="BS606" s="686"/>
      <c r="BT606" s="686"/>
    </row>
    <row r="607" spans="1:72" s="688" customFormat="1" ht="17.25" hidden="1" customHeight="1" outlineLevel="1" thickBot="1">
      <c r="A607" s="3227"/>
      <c r="B607" s="3228"/>
      <c r="C607" s="3182" t="s">
        <v>36</v>
      </c>
      <c r="D607" s="3182"/>
      <c r="E607" s="3179"/>
      <c r="F607" s="1016">
        <v>0</v>
      </c>
      <c r="G607" s="920">
        <f>IF(SETUP!$F$56="At delivery",IF(SETUP!$G$56=1,$E$605*'Malaria-Equipment &amp; Other HPs'!AX18,0),0)</f>
        <v>0</v>
      </c>
      <c r="H607" s="920">
        <f>IF(SETUP!$F$56="At delivery",IF(SETUP!$G$56=2,$E$605*'Malaria-Equipment &amp; Other HPs'!AX18,IF(SETUP!$G$56=1,$E$605*'Malaria-Equipment &amp; Other HPs'!AY18,0)),0)</f>
        <v>0</v>
      </c>
      <c r="I607" s="920">
        <f>IF(SETUP!$F$56="At delivery",IF(SETUP!$G$56=3,$E$605*'Malaria-Equipment &amp; Other HPs'!AX18,IF(SETUP!$G$56=2,$E$605*'Malaria-Equipment &amp; Other HPs'!AY18,IF(SETUP!$G$56=1,$E$605*'Malaria-Equipment &amp; Other HPs'!AZ18,0))),0)</f>
        <v>0</v>
      </c>
      <c r="J607" s="920">
        <f t="shared" si="91"/>
        <v>0</v>
      </c>
      <c r="K607" s="1016">
        <f>IF(SETUP!$F$56="At delivery",IF(SETUP!$G$56=4,$E$605*'Malaria-Equipment &amp; Other HPs'!AX18,IF(SETUP!$G$56=3,$E$605*'Malaria-Equipment &amp; Other HPs'!AY18,IF(SETUP!$G$56=2,$E$605*'Malaria-Equipment &amp; Other HPs'!AZ18,IF(SETUP!$G$56=1,$E$605*'Malaria-Equipment &amp; Other HPs'!BA18,0)))),0)</f>
        <v>0</v>
      </c>
      <c r="L607" s="920">
        <f>IF(SETUP!$F$56="At delivery",IF(SETUP!$G$56=4,$E$605*'Malaria-Equipment &amp; Other HPs'!AY18,IF(SETUP!$G$56=3,$E$605*'Malaria-Equipment &amp; Other HPs'!AZ18,IF(SETUP!$G$56=2,$E$605*'Malaria-Equipment &amp; Other HPs'!BA18,IF(SETUP!$G$56=1,$E$605*'Malaria-Equipment &amp; Other HPs'!BB18,0)))),0)</f>
        <v>0</v>
      </c>
      <c r="M607" s="920">
        <f>IF(SETUP!$F$56="At delivery",IF(SETUP!$G$56=4,$E$605*'Malaria-Equipment &amp; Other HPs'!AZ18,IF(SETUP!$G$56=3,$E$605*'Malaria-Equipment &amp; Other HPs'!BA18,IF(SETUP!$G$56=2,$E$605*'Malaria-Equipment &amp; Other HPs'!BB18,IF(SETUP!$G$56=1,$E$605*'Malaria-Equipment &amp; Other HPs'!BC18,0)))),0)</f>
        <v>0</v>
      </c>
      <c r="N607" s="920">
        <f>IF(SETUP!$F$56="At delivery",IF(SETUP!$G$56=4,$E$605*'Malaria-Equipment &amp; Other HPs'!BA18,IF(SETUP!$G$56=3,$E$605*'Malaria-Equipment &amp; Other HPs'!BB18,IF(SETUP!$G$56=2,$E$605*'Malaria-Equipment &amp; Other HPs'!BC18,IF(SETUP!$G$56=1,$E$605*'Malaria-Equipment &amp; Other HPs'!BD18,0)))),0)</f>
        <v>0</v>
      </c>
      <c r="O607" s="920">
        <f t="shared" si="92"/>
        <v>0</v>
      </c>
      <c r="P607" s="1016">
        <f>IF(SETUP!$F$56="At delivery",IF(SETUP!$G$56=4,$E$605*'Malaria-Equipment &amp; Other HPs'!BB18,IF(SETUP!$G$56=3,$E$605*'Malaria-Equipment &amp; Other HPs'!BC18,IF(SETUP!$G$56=2,$E$605*'Malaria-Equipment &amp; Other HPs'!BD18,IF(SETUP!$G$56=1,$E$605*'Malaria-Equipment &amp; Other HPs'!BE18,0)))),0)</f>
        <v>0</v>
      </c>
      <c r="Q607" s="920">
        <f>IF(SETUP!$F$56="At delivery",IF(SETUP!$G$56=4,$E$605*'Malaria-Equipment &amp; Other HPs'!BC18,IF(SETUP!$G$56=3,$E$605*'Malaria-Equipment &amp; Other HPs'!BD18,IF(SETUP!$G$56=2,$E$605*'Malaria-Equipment &amp; Other HPs'!BE18,IF(SETUP!$G$56=1,$E$605*'Malaria-Equipment &amp; Other HPs'!BF18,0)))),0)</f>
        <v>0</v>
      </c>
      <c r="R607" s="920">
        <f>IF(SETUP!$F$56="At delivery",IF(SETUP!$G$56=4,$E$605*'Malaria-Equipment &amp; Other HPs'!BD18,IF(SETUP!$G$56=3,$E$605*'Malaria-Equipment &amp; Other HPs'!BE18,IF(SETUP!$G$56=2,$E$605*'Malaria-Equipment &amp; Other HPs'!BF18,IF(SETUP!$G$56=1,$E$605*'Malaria-Equipment &amp; Other HPs'!BG18,0)))),0)</f>
        <v>0</v>
      </c>
      <c r="S607" s="920">
        <f>IF(SETUP!$F$56="At delivery",IF(SETUP!$G$56=4,$E$605*('Malaria-Equipment &amp; Other HPs'!BE18+'Malaria-Equipment &amp; Other HPs'!BF18+'Malaria-Equipment &amp; Other HPs'!BG18+'Malaria-Equipment &amp; Other HPs'!BH18+'Malaria-Equipment &amp; Other HPs'!BI18),IF(SETUP!$G$56=3,$E$605*('Malaria-Equipment &amp; Other HPs'!BF18+'Malaria-Equipment &amp; Other HPs'!BG18+'Malaria-Equipment &amp; Other HPs'!BH18+'Malaria-Equipment &amp; Other HPs'!BI18),IF(SETUP!$G$56=2,$E$605*('Malaria-Equipment &amp; Other HPs'!BG18+'Malaria-Equipment &amp; Other HPs'!BH18+'Malaria-Equipment &amp; Other HPs'!BI18),IF(SETUP!$G$56=1,$E$605*('Malaria-Equipment &amp; Other HPs'!BH18+'Malaria-Equipment &amp; Other HPs'!BI18),0)))),0)</f>
        <v>0</v>
      </c>
      <c r="T607" s="920">
        <f t="shared" si="93"/>
        <v>0</v>
      </c>
      <c r="U607" s="1016">
        <f t="shared" si="94"/>
        <v>0</v>
      </c>
      <c r="V607" s="1344">
        <v>7.5</v>
      </c>
      <c r="W607" s="2011"/>
      <c r="X607" s="575"/>
      <c r="Y607" s="1350"/>
      <c r="Z607" s="655"/>
      <c r="AA607" s="686"/>
      <c r="AB607" s="686"/>
      <c r="AC607" s="686"/>
      <c r="AD607" s="686"/>
      <c r="AE607" s="686"/>
      <c r="AF607" s="686"/>
      <c r="AG607" s="686"/>
      <c r="AH607" s="687"/>
      <c r="AI607" s="686"/>
      <c r="AJ607" s="686"/>
      <c r="AK607" s="686"/>
      <c r="AL607" s="686"/>
      <c r="AM607" s="686"/>
      <c r="AN607" s="686"/>
      <c r="AO607" s="686"/>
      <c r="AP607" s="686"/>
      <c r="AQ607" s="686"/>
      <c r="AR607" s="686"/>
      <c r="AS607" s="686"/>
      <c r="AT607" s="686"/>
      <c r="AU607" s="686"/>
      <c r="AV607" s="686"/>
      <c r="AW607" s="686"/>
      <c r="AX607" s="686"/>
      <c r="AY607" s="686"/>
      <c r="AZ607" s="686"/>
      <c r="BA607" s="686"/>
      <c r="BB607" s="686"/>
      <c r="BC607" s="686"/>
      <c r="BD607" s="686"/>
      <c r="BE607" s="686"/>
      <c r="BF607" s="686"/>
      <c r="BG607" s="686"/>
      <c r="BH607" s="686"/>
      <c r="BI607" s="686"/>
      <c r="BJ607" s="686"/>
      <c r="BK607" s="686"/>
      <c r="BL607" s="686"/>
      <c r="BM607" s="686"/>
      <c r="BN607" s="686"/>
      <c r="BO607" s="686"/>
      <c r="BP607" s="686"/>
      <c r="BQ607" s="686"/>
      <c r="BR607" s="686"/>
      <c r="BS607" s="686"/>
      <c r="BT607" s="686"/>
    </row>
    <row r="608" spans="1:72" s="688" customFormat="1" ht="13.5" hidden="1" collapsed="1" thickBot="1">
      <c r="A608" s="3227"/>
      <c r="B608" s="3228"/>
      <c r="C608" s="3188" t="s">
        <v>429</v>
      </c>
      <c r="D608" s="3188"/>
      <c r="E608" s="1245">
        <v>0</v>
      </c>
      <c r="F608" s="1016">
        <f>IF(SETUP!$F$57="Upfront",F609,F610)</f>
        <v>0</v>
      </c>
      <c r="G608" s="920">
        <f>IF(SETUP!$F$57="Upfront",G609,G610)</f>
        <v>0</v>
      </c>
      <c r="H608" s="920">
        <f>IF(SETUP!$F$57="Upfront",H609,H610)</f>
        <v>0</v>
      </c>
      <c r="I608" s="920">
        <f>IF(SETUP!$F$57="Upfront",I609,I610)</f>
        <v>0</v>
      </c>
      <c r="J608" s="920">
        <f t="shared" si="91"/>
        <v>0</v>
      </c>
      <c r="K608" s="1016">
        <f>IF(SETUP!$F$57="Upfront",K609,K610)</f>
        <v>0</v>
      </c>
      <c r="L608" s="920">
        <f>IF(SETUP!$F$57="Upfront",L609,L610)</f>
        <v>0</v>
      </c>
      <c r="M608" s="920">
        <f>IF(SETUP!$F$57="Upfront",M609,M610)</f>
        <v>0</v>
      </c>
      <c r="N608" s="920">
        <f>IF(SETUP!$F$57="Upfront",N609,N610)</f>
        <v>0</v>
      </c>
      <c r="O608" s="920">
        <f t="shared" si="92"/>
        <v>0</v>
      </c>
      <c r="P608" s="1016">
        <f>IF(SETUP!$F$57="Upfront",P609,P610)</f>
        <v>0</v>
      </c>
      <c r="Q608" s="920">
        <f>IF(SETUP!$F$57="Upfront",Q609,Q610)</f>
        <v>0</v>
      </c>
      <c r="R608" s="920">
        <f>IF(SETUP!$F$57="Upfront",R609,R610)</f>
        <v>0</v>
      </c>
      <c r="S608" s="920">
        <f>IF(SETUP!$F$57="Upfront",S609,S610)</f>
        <v>0</v>
      </c>
      <c r="T608" s="920">
        <f t="shared" si="93"/>
        <v>0</v>
      </c>
      <c r="U608" s="1016">
        <f t="shared" si="94"/>
        <v>0</v>
      </c>
      <c r="V608" s="1344">
        <v>7.5</v>
      </c>
      <c r="W608" s="2011"/>
      <c r="X608" s="575"/>
      <c r="Y608" s="1350"/>
      <c r="Z608" s="655"/>
      <c r="AA608" s="686"/>
      <c r="AB608" s="686"/>
      <c r="AC608" s="686"/>
      <c r="AD608" s="686"/>
      <c r="AE608" s="686"/>
      <c r="AF608" s="686"/>
      <c r="AG608" s="686"/>
      <c r="AH608" s="687"/>
      <c r="AI608" s="686"/>
      <c r="AJ608" s="686"/>
      <c r="AK608" s="686"/>
      <c r="AL608" s="686"/>
      <c r="AM608" s="686"/>
      <c r="AN608" s="686"/>
      <c r="AO608" s="686"/>
      <c r="AP608" s="686"/>
      <c r="AQ608" s="686"/>
      <c r="AR608" s="686"/>
      <c r="AS608" s="686"/>
      <c r="AT608" s="686"/>
      <c r="AU608" s="686"/>
      <c r="AV608" s="686"/>
      <c r="AW608" s="686"/>
      <c r="AX608" s="686"/>
      <c r="AY608" s="686"/>
      <c r="AZ608" s="686"/>
      <c r="BA608" s="686"/>
      <c r="BB608" s="686"/>
      <c r="BC608" s="686"/>
      <c r="BD608" s="686"/>
      <c r="BE608" s="686"/>
      <c r="BF608" s="686"/>
      <c r="BG608" s="686"/>
      <c r="BH608" s="686"/>
      <c r="BI608" s="686"/>
      <c r="BJ608" s="686"/>
      <c r="BK608" s="686"/>
      <c r="BL608" s="686"/>
      <c r="BM608" s="686"/>
      <c r="BN608" s="686"/>
      <c r="BO608" s="686"/>
      <c r="BP608" s="686"/>
      <c r="BQ608" s="686"/>
      <c r="BR608" s="686"/>
      <c r="BS608" s="686"/>
      <c r="BT608" s="686"/>
    </row>
    <row r="609" spans="1:72" s="688" customFormat="1" ht="16.149999999999999" hidden="1" customHeight="1" outlineLevel="1">
      <c r="A609" s="3227"/>
      <c r="B609" s="3228"/>
      <c r="C609" s="3182" t="s">
        <v>777</v>
      </c>
      <c r="D609" s="3182"/>
      <c r="E609" s="1579"/>
      <c r="F609" s="1016">
        <f>IF(SETUP!$F$57="Upfront",$E$608*'Malaria-Equipment &amp; Other HPs'!AX19,0)</f>
        <v>0</v>
      </c>
      <c r="G609" s="920">
        <f>IF(SETUP!$F$57="Upfront",$E$608*'Malaria-Equipment &amp; Other HPs'!AY19,0)</f>
        <v>0</v>
      </c>
      <c r="H609" s="920">
        <f>IF(SETUP!$F$57="Upfront",$E$608*'Malaria-Equipment &amp; Other HPs'!AZ19,0)</f>
        <v>0</v>
      </c>
      <c r="I609" s="920">
        <f>IF(SETUP!$F$57="Upfront",$E$608*'Malaria-Equipment &amp; Other HPs'!BA19,0)</f>
        <v>0</v>
      </c>
      <c r="J609" s="920">
        <f t="shared" si="91"/>
        <v>0</v>
      </c>
      <c r="K609" s="1016">
        <f>IF(SETUP!$F$57="Upfront",$E$608*'Malaria-Equipment &amp; Other HPs'!BB19,0)</f>
        <v>0</v>
      </c>
      <c r="L609" s="920">
        <f>IF(SETUP!$F$57="Upfront",$E$608*'Malaria-Equipment &amp; Other HPs'!BC19,0)</f>
        <v>0</v>
      </c>
      <c r="M609" s="920">
        <f>IF(SETUP!$F$57="Upfront",$E$608*'Malaria-Equipment &amp; Other HPs'!BD19,0)</f>
        <v>0</v>
      </c>
      <c r="N609" s="920">
        <f>IF(SETUP!$F$57="Upfront",$E$608*'Malaria-Equipment &amp; Other HPs'!BE19,0)</f>
        <v>0</v>
      </c>
      <c r="O609" s="920">
        <f t="shared" si="92"/>
        <v>0</v>
      </c>
      <c r="P609" s="1016">
        <f>IF(SETUP!$F$57="Upfront",$E$608*'Malaria-Equipment &amp; Other HPs'!BF19,0)</f>
        <v>0</v>
      </c>
      <c r="Q609" s="920">
        <f>IF(SETUP!$F$57="Upfront",$E$608*'Malaria-Equipment &amp; Other HPs'!BG19,0)</f>
        <v>0</v>
      </c>
      <c r="R609" s="920">
        <f>IF(SETUP!$F$57="Upfront",$E$608*'Malaria-Equipment &amp; Other HPs'!BH19,0)</f>
        <v>0</v>
      </c>
      <c r="S609" s="920">
        <f>IF(SETUP!$F$57="Upfront",$E$608*'Malaria-Equipment &amp; Other HPs'!BI19,0)</f>
        <v>0</v>
      </c>
      <c r="T609" s="920">
        <f t="shared" si="93"/>
        <v>0</v>
      </c>
      <c r="U609" s="1016">
        <f t="shared" si="94"/>
        <v>0</v>
      </c>
      <c r="V609" s="1344">
        <v>7.5</v>
      </c>
      <c r="W609" s="2011"/>
      <c r="X609" s="575"/>
      <c r="Y609" s="1350"/>
      <c r="Z609" s="655"/>
      <c r="AA609" s="686"/>
      <c r="AB609" s="686"/>
      <c r="AC609" s="686"/>
      <c r="AD609" s="686"/>
      <c r="AE609" s="686"/>
      <c r="AF609" s="686"/>
      <c r="AG609" s="686"/>
      <c r="AH609" s="687"/>
      <c r="AI609" s="686"/>
      <c r="AJ609" s="686"/>
      <c r="AK609" s="686"/>
      <c r="AL609" s="686"/>
      <c r="AM609" s="686"/>
      <c r="AN609" s="686"/>
      <c r="AO609" s="686"/>
      <c r="AP609" s="686"/>
      <c r="AQ609" s="686"/>
      <c r="AR609" s="686"/>
      <c r="AS609" s="686"/>
      <c r="AT609" s="686"/>
      <c r="AU609" s="686"/>
      <c r="AV609" s="686"/>
      <c r="AW609" s="686"/>
      <c r="AX609" s="686"/>
      <c r="AY609" s="686"/>
      <c r="AZ609" s="686"/>
      <c r="BA609" s="686"/>
      <c r="BB609" s="686"/>
      <c r="BC609" s="686"/>
      <c r="BD609" s="686"/>
      <c r="BE609" s="686"/>
      <c r="BF609" s="686"/>
      <c r="BG609" s="686"/>
      <c r="BH609" s="686"/>
      <c r="BI609" s="686"/>
      <c r="BJ609" s="686"/>
      <c r="BK609" s="686"/>
      <c r="BL609" s="686"/>
      <c r="BM609" s="686"/>
      <c r="BN609" s="686"/>
      <c r="BO609" s="686"/>
      <c r="BP609" s="686"/>
      <c r="BQ609" s="686"/>
      <c r="BR609" s="686"/>
      <c r="BS609" s="686"/>
      <c r="BT609" s="686"/>
    </row>
    <row r="610" spans="1:72" s="688" customFormat="1" ht="17.25" hidden="1" customHeight="1" outlineLevel="1" thickBot="1">
      <c r="A610" s="3227"/>
      <c r="B610" s="3228"/>
      <c r="C610" s="3182" t="s">
        <v>36</v>
      </c>
      <c r="D610" s="3182"/>
      <c r="E610" s="1579"/>
      <c r="F610" s="1016">
        <v>0</v>
      </c>
      <c r="G610" s="920">
        <f>IF(SETUP!$F$57="At delivery",IF(SETUP!$G$57=1,$E$608*'Malaria-Equipment &amp; Other HPs'!AX19,0),0)</f>
        <v>0</v>
      </c>
      <c r="H610" s="920">
        <f>IF(SETUP!$F$57="At delivery",IF(SETUP!$G$57=2,$E$608*'Malaria-Equipment &amp; Other HPs'!AX19,IF(SETUP!$G$57=1,$E$608*'Malaria-Equipment &amp; Other HPs'!AY19,0)),0)</f>
        <v>0</v>
      </c>
      <c r="I610" s="920">
        <f>IF(SETUP!$F$57="At delivery",IF(SETUP!$G$57=3,$E$608*'Malaria-Equipment &amp; Other HPs'!AX19,IF(SETUP!$G$57=2,$E$608*'Malaria-Equipment &amp; Other HPs'!AY19,IF(SETUP!$G$57=1,$E$608*'Malaria-Equipment &amp; Other HPs'!AZ19,0))),0)</f>
        <v>0</v>
      </c>
      <c r="J610" s="920">
        <f t="shared" si="91"/>
        <v>0</v>
      </c>
      <c r="K610" s="1016">
        <f>IF(SETUP!$F$57="At delivery",IF(SETUP!$G$57=4,$E$608*'Malaria-Equipment &amp; Other HPs'!AX19,IF(SETUP!$G$57=3,$E$608*'Malaria-Equipment &amp; Other HPs'!AY19,IF(SETUP!$G$57=2,$E$608*'Malaria-Equipment &amp; Other HPs'!AZ19,IF(SETUP!$G$57=1,$E$608*'Malaria-Equipment &amp; Other HPs'!BA19,0)))),0)</f>
        <v>0</v>
      </c>
      <c r="L610" s="920">
        <f>IF(SETUP!$F$57="At delivery",IF(SETUP!$G$57=4,$E$608*'Malaria-Equipment &amp; Other HPs'!AY19,IF(SETUP!$G$57=3,$E$608*'Malaria-Equipment &amp; Other HPs'!AZ19,IF(SETUP!$G$57=2,$E$608*'Malaria-Equipment &amp; Other HPs'!BA19,IF(SETUP!$G$57=1,$E$608*'Malaria-Equipment &amp; Other HPs'!BB19,0)))),0)</f>
        <v>0</v>
      </c>
      <c r="M610" s="920">
        <f>IF(SETUP!$F$57="At delivery",IF(SETUP!$G$57=4,$E$608*'Malaria-Equipment &amp; Other HPs'!AZ19,IF(SETUP!$G$57=3,$E$608*'Malaria-Equipment &amp; Other HPs'!BA19,IF(SETUP!$G$57=2,$E$608*'Malaria-Equipment &amp; Other HPs'!BB19,IF(SETUP!$G$57=1,$E$608*'Malaria-Equipment &amp; Other HPs'!BC19,0)))),0)</f>
        <v>0</v>
      </c>
      <c r="N610" s="920">
        <f>IF(SETUP!$F$57="At delivery",IF(SETUP!$G$57=4,$E$608*'Malaria-Equipment &amp; Other HPs'!BA19,IF(SETUP!$G$57=3,$E$608*'Malaria-Equipment &amp; Other HPs'!BB19,IF(SETUP!$G$57=2,$E$608*'Malaria-Equipment &amp; Other HPs'!BC19,IF(SETUP!$G$57=1,$E$608*'Malaria-Equipment &amp; Other HPs'!BD19,0)))),0)</f>
        <v>0</v>
      </c>
      <c r="O610" s="920">
        <f t="shared" si="92"/>
        <v>0</v>
      </c>
      <c r="P610" s="1016">
        <f>IF(SETUP!$F$57="At delivery",IF(SETUP!$G$57=4,$E$608*'Malaria-Equipment &amp; Other HPs'!BB19,IF(SETUP!$G$57=3,$E$608*'Malaria-Equipment &amp; Other HPs'!BC19,IF(SETUP!$G$57=2,$E$608*'Malaria-Equipment &amp; Other HPs'!BD19,IF(SETUP!$G$57=1,$E$608*'Malaria-Equipment &amp; Other HPs'!BE19,0)))),0)</f>
        <v>0</v>
      </c>
      <c r="Q610" s="920">
        <f>IF(SETUP!$F$57="At delivery",IF(SETUP!$G$57=4,$E$608*'Malaria-Equipment &amp; Other HPs'!BC19,IF(SETUP!$G$57=3,$E$608*'Malaria-Equipment &amp; Other HPs'!BD19,IF(SETUP!$G$57=2,$E$608*'Malaria-Equipment &amp; Other HPs'!BE19,IF(SETUP!$G$57=1,$E$608*'Malaria-Equipment &amp; Other HPs'!BF19,0)))),0)</f>
        <v>0</v>
      </c>
      <c r="R610" s="920">
        <f>IF(SETUP!$F$57="At delivery",IF(SETUP!$G$57=4,$E$608*'Malaria-Equipment &amp; Other HPs'!BD19,IF(SETUP!$G$57=3,$E$608*'Malaria-Equipment &amp; Other HPs'!BE19,IF(SETUP!$G$57=2,$E$608*'Malaria-Equipment &amp; Other HPs'!BF19,IF(SETUP!$G$57=1,$E$608*'Malaria-Equipment &amp; Other HPs'!BG19,0)))),0)</f>
        <v>0</v>
      </c>
      <c r="S610" s="920">
        <f>IF(SETUP!$F$57="At delivery",IF(SETUP!$G$57=4,$E$608*('Malaria-Equipment &amp; Other HPs'!BE19+'Malaria-Equipment &amp; Other HPs'!BF19+'Malaria-Equipment &amp; Other HPs'!BG19+'Malaria-Equipment &amp; Other HPs'!BH19+'Malaria-Equipment &amp; Other HPs'!BI19),IF(SETUP!$G$57=3,$E$608*('Malaria-Equipment &amp; Other HPs'!BF19+'Malaria-Equipment &amp; Other HPs'!BG19+'Malaria-Equipment &amp; Other HPs'!BH19+'Malaria-Equipment &amp; Other HPs'!BI19),IF(SETUP!$G$57=2,$E$608*('Malaria-Equipment &amp; Other HPs'!BG19+'Malaria-Equipment &amp; Other HPs'!BH19+'Malaria-Equipment &amp; Other HPs'!BI19),IF(SETUP!$G$57=1,$E$608*('Malaria-Equipment &amp; Other HPs'!BH19+'Malaria-Equipment &amp; Other HPs'!BI19),0)))),0)</f>
        <v>0</v>
      </c>
      <c r="T610" s="920">
        <f t="shared" si="93"/>
        <v>0</v>
      </c>
      <c r="U610" s="1016">
        <f t="shared" si="94"/>
        <v>0</v>
      </c>
      <c r="V610" s="1344">
        <v>7.5</v>
      </c>
      <c r="W610" s="2011"/>
      <c r="X610" s="575"/>
      <c r="Y610" s="1350"/>
      <c r="Z610" s="655"/>
      <c r="AA610" s="686"/>
      <c r="AB610" s="686"/>
      <c r="AC610" s="686"/>
      <c r="AD610" s="686"/>
      <c r="AE610" s="686"/>
      <c r="AF610" s="686"/>
      <c r="AG610" s="686"/>
      <c r="AH610" s="687"/>
      <c r="AI610" s="686"/>
      <c r="AJ610" s="686"/>
      <c r="AK610" s="686"/>
      <c r="AL610" s="686"/>
      <c r="AM610" s="686"/>
      <c r="AN610" s="686"/>
      <c r="AO610" s="686"/>
      <c r="AP610" s="686"/>
      <c r="AQ610" s="686"/>
      <c r="AR610" s="686"/>
      <c r="AS610" s="686"/>
      <c r="AT610" s="686"/>
      <c r="AU610" s="686"/>
      <c r="AV610" s="686"/>
      <c r="AW610" s="686"/>
      <c r="AX610" s="686"/>
      <c r="AY610" s="686"/>
      <c r="AZ610" s="686"/>
      <c r="BA610" s="686"/>
      <c r="BB610" s="686"/>
      <c r="BC610" s="686"/>
      <c r="BD610" s="686"/>
      <c r="BE610" s="686"/>
      <c r="BF610" s="686"/>
      <c r="BG610" s="686"/>
      <c r="BH610" s="686"/>
      <c r="BI610" s="686"/>
      <c r="BJ610" s="686"/>
      <c r="BK610" s="686"/>
      <c r="BL610" s="686"/>
      <c r="BM610" s="686"/>
      <c r="BN610" s="686"/>
      <c r="BO610" s="686"/>
      <c r="BP610" s="686"/>
      <c r="BQ610" s="686"/>
      <c r="BR610" s="686"/>
      <c r="BS610" s="686"/>
      <c r="BT610" s="686"/>
    </row>
    <row r="611" spans="1:72" s="688" customFormat="1" ht="13.5" hidden="1" collapsed="1" thickBot="1">
      <c r="A611" s="3229"/>
      <c r="B611" s="3230"/>
      <c r="C611" s="3204" t="s">
        <v>459</v>
      </c>
      <c r="D611" s="3204"/>
      <c r="E611" s="1245">
        <v>0</v>
      </c>
      <c r="F611" s="1035">
        <f>IF(SETUP!$F$58="Upfront",F612,F613)</f>
        <v>0</v>
      </c>
      <c r="G611" s="1036">
        <f>IF(SETUP!$F$58="Upfront",G612,G613)</f>
        <v>0</v>
      </c>
      <c r="H611" s="1036">
        <f>IF(SETUP!$F$58="Upfront",H612,H613)</f>
        <v>0</v>
      </c>
      <c r="I611" s="1036">
        <f>IF(SETUP!$F$58="Upfront",I612,I613)</f>
        <v>0</v>
      </c>
      <c r="J611" s="1036">
        <f t="shared" si="91"/>
        <v>0</v>
      </c>
      <c r="K611" s="1035">
        <f>IF(SETUP!$F$58="Upfront",K612,K613)</f>
        <v>0</v>
      </c>
      <c r="L611" s="1036">
        <f>IF(SETUP!$F$58="Upfront",L612,L613)</f>
        <v>0</v>
      </c>
      <c r="M611" s="1036">
        <f>IF(SETUP!$F$58="Upfront",M612,M613)</f>
        <v>0</v>
      </c>
      <c r="N611" s="1036">
        <f>IF(SETUP!$F$58="Upfront",N612,N613)</f>
        <v>0</v>
      </c>
      <c r="O611" s="1036">
        <f t="shared" si="92"/>
        <v>0</v>
      </c>
      <c r="P611" s="1035">
        <f>IF(SETUP!$F$58="Upfront",P612,P613)</f>
        <v>0</v>
      </c>
      <c r="Q611" s="1036">
        <f>IF(SETUP!$F$58="Upfront",Q612,Q613)</f>
        <v>0</v>
      </c>
      <c r="R611" s="1036">
        <f>IF(SETUP!$F$58="Upfront",R612,R613)</f>
        <v>0</v>
      </c>
      <c r="S611" s="1036">
        <f>IF(SETUP!$F$58="Upfront",S612,S613)</f>
        <v>0</v>
      </c>
      <c r="T611" s="1037">
        <f t="shared" si="93"/>
        <v>0</v>
      </c>
      <c r="U611" s="1019">
        <f t="shared" si="94"/>
        <v>0</v>
      </c>
      <c r="V611" s="1325">
        <v>7.5</v>
      </c>
      <c r="W611" s="2016"/>
      <c r="X611" s="1353"/>
      <c r="Y611" s="1354"/>
      <c r="Z611" s="655"/>
      <c r="AA611" s="686"/>
      <c r="AB611" s="686"/>
      <c r="AC611" s="686"/>
      <c r="AD611" s="686"/>
      <c r="AE611" s="686"/>
      <c r="AF611" s="686"/>
      <c r="AG611" s="686"/>
      <c r="AH611" s="687"/>
      <c r="AI611" s="686"/>
      <c r="AJ611" s="686"/>
      <c r="AK611" s="686"/>
      <c r="AL611" s="686"/>
      <c r="AM611" s="686"/>
      <c r="AN611" s="686"/>
      <c r="AO611" s="686"/>
      <c r="AP611" s="686"/>
      <c r="AQ611" s="686"/>
      <c r="AR611" s="686"/>
      <c r="AS611" s="686"/>
      <c r="AT611" s="686"/>
      <c r="AU611" s="686"/>
      <c r="AV611" s="686"/>
      <c r="AW611" s="686"/>
      <c r="AX611" s="686"/>
      <c r="AY611" s="686"/>
      <c r="AZ611" s="686"/>
      <c r="BA611" s="686"/>
      <c r="BB611" s="686"/>
      <c r="BC611" s="686"/>
      <c r="BD611" s="686"/>
      <c r="BE611" s="686"/>
      <c r="BF611" s="686"/>
      <c r="BG611" s="686"/>
      <c r="BH611" s="686"/>
      <c r="BI611" s="686"/>
      <c r="BJ611" s="686"/>
      <c r="BK611" s="686"/>
      <c r="BL611" s="686"/>
      <c r="BM611" s="686"/>
      <c r="BN611" s="686"/>
      <c r="BO611" s="686"/>
      <c r="BP611" s="686"/>
      <c r="BQ611" s="686"/>
      <c r="BR611" s="686"/>
      <c r="BS611" s="686"/>
      <c r="BT611" s="686"/>
    </row>
    <row r="612" spans="1:72" s="688" customFormat="1" ht="12.75" hidden="1" customHeight="1" outlineLevel="1">
      <c r="A612" s="1027"/>
      <c r="B612" s="1028"/>
      <c r="C612" s="3241" t="s">
        <v>777</v>
      </c>
      <c r="D612" s="3241"/>
      <c r="E612" s="1013"/>
      <c r="F612" s="937">
        <f>IF(SETUP!$F$58="Upfront",$E$611*'Malaria-Equipment &amp; Other HPs'!AX20,0)</f>
        <v>0</v>
      </c>
      <c r="G612" s="938">
        <f>IF(SETUP!$F$58="Upfront",$E$611*'Malaria-Equipment &amp; Other HPs'!AY20,0)</f>
        <v>0</v>
      </c>
      <c r="H612" s="938">
        <f>IF(SETUP!$F$58="Upfront",$E$611*'Malaria-Equipment &amp; Other HPs'!AZ20,0)</f>
        <v>0</v>
      </c>
      <c r="I612" s="938">
        <f>IF(SETUP!$F$58="Upfront",$E$611*'Malaria-Equipment &amp; Other HPs'!BA20,0)</f>
        <v>0</v>
      </c>
      <c r="J612" s="939">
        <f>SUM('HPM costs'!$F612:$I612)</f>
        <v>0</v>
      </c>
      <c r="K612" s="937">
        <f>IF(SETUP!$F$58="Upfront",$E$611*'Malaria-Equipment &amp; Other HPs'!BB20,0)</f>
        <v>0</v>
      </c>
      <c r="L612" s="938">
        <f>IF(SETUP!$F$58="Upfront",$E$611*'Malaria-Equipment &amp; Other HPs'!BC20,0)</f>
        <v>0</v>
      </c>
      <c r="M612" s="938">
        <f>IF(SETUP!$F$58="Upfront",$E$611*'Malaria-Equipment &amp; Other HPs'!BD20,0)</f>
        <v>0</v>
      </c>
      <c r="N612" s="938">
        <f>IF(SETUP!$F$58="Upfront",$E$611*'Malaria-Equipment &amp; Other HPs'!BE20,0)</f>
        <v>0</v>
      </c>
      <c r="O612" s="939">
        <f>SUM('HPM costs'!$K612:$N612)</f>
        <v>0</v>
      </c>
      <c r="P612" s="937">
        <f>IF(SETUP!$F$58="Upfront",$E$611*'Malaria-Equipment &amp; Other HPs'!BF20,0)</f>
        <v>0</v>
      </c>
      <c r="Q612" s="938">
        <f>IF(SETUP!$F$58="Upfront",$E$611*'Malaria-Equipment &amp; Other HPs'!BG20,0)</f>
        <v>0</v>
      </c>
      <c r="R612" s="938">
        <f>IF(SETUP!$F$58="Upfront",$E$611*'Malaria-Equipment &amp; Other HPs'!BH20,0)</f>
        <v>0</v>
      </c>
      <c r="S612" s="938">
        <f>IF(SETUP!$F$58="Upfront",$E$611*'Malaria-Equipment &amp; Other HPs'!BI20,0)</f>
        <v>0</v>
      </c>
      <c r="T612" s="939">
        <f>SUM('HPM costs'!$P612:$S612)</f>
        <v>0</v>
      </c>
      <c r="U612" s="940">
        <f>'HPM costs'!$T612+'HPM costs'!$O612+'HPM costs'!$J612</f>
        <v>0</v>
      </c>
      <c r="V612" s="743"/>
      <c r="W612" s="2009"/>
      <c r="X612" s="575"/>
      <c r="Y612" s="1326"/>
      <c r="Z612" s="655"/>
      <c r="AA612" s="686"/>
      <c r="AB612" s="686"/>
      <c r="AC612" s="686"/>
      <c r="AD612" s="686"/>
      <c r="AE612" s="686"/>
      <c r="AF612" s="686"/>
      <c r="AG612" s="686"/>
      <c r="AH612" s="687"/>
      <c r="AI612" s="686"/>
      <c r="AJ612" s="686"/>
      <c r="AK612" s="686"/>
      <c r="AL612" s="686"/>
      <c r="AM612" s="686"/>
      <c r="AN612" s="686"/>
      <c r="AO612" s="686"/>
      <c r="AP612" s="686"/>
      <c r="AQ612" s="686"/>
      <c r="AR612" s="686"/>
      <c r="AS612" s="686"/>
      <c r="AT612" s="686"/>
      <c r="AU612" s="686"/>
      <c r="AV612" s="686"/>
      <c r="AW612" s="686"/>
      <c r="AX612" s="686"/>
      <c r="AY612" s="686"/>
      <c r="AZ612" s="686"/>
      <c r="BA612" s="686"/>
      <c r="BB612" s="686"/>
      <c r="BC612" s="686"/>
      <c r="BD612" s="686"/>
      <c r="BE612" s="686"/>
      <c r="BF612" s="686"/>
      <c r="BG612" s="686"/>
      <c r="BH612" s="686"/>
      <c r="BI612" s="686"/>
      <c r="BJ612" s="686"/>
      <c r="BK612" s="686"/>
      <c r="BL612" s="686"/>
      <c r="BM612" s="686"/>
      <c r="BN612" s="686"/>
      <c r="BO612" s="686"/>
      <c r="BP612" s="686"/>
      <c r="BQ612" s="686"/>
      <c r="BR612" s="686"/>
      <c r="BS612" s="686"/>
      <c r="BT612" s="686"/>
    </row>
    <row r="613" spans="1:72" s="688" customFormat="1" ht="13.5" hidden="1" customHeight="1" outlineLevel="1" thickBot="1">
      <c r="A613" s="976"/>
      <c r="B613" s="977"/>
      <c r="C613" s="3244" t="s">
        <v>36</v>
      </c>
      <c r="D613" s="3244"/>
      <c r="E613" s="1014"/>
      <c r="F613" s="941">
        <v>0</v>
      </c>
      <c r="G613" s="942">
        <f>IF(SETUP!$F$58="At delivery",IF(SETUP!$G$58=1,$E$611*'Malaria-Equipment &amp; Other HPs'!AX20,0),0)</f>
        <v>0</v>
      </c>
      <c r="H613" s="942">
        <f>IF(SETUP!$F$58="At delivery",IF(SETUP!$G$58=2,$E$611*'Malaria-Equipment &amp; Other HPs'!AX20,IF(SETUP!$G$58=1,$E$611*'Malaria-Equipment &amp; Other HPs'!AY20,0)),0)</f>
        <v>0</v>
      </c>
      <c r="I613" s="942">
        <f>IF(SETUP!$F$58="At delivery",IF(SETUP!$G$58=3,$E$611*'Malaria-Equipment &amp; Other HPs'!AX20,IF(SETUP!$G$58=2,$E$611*'Malaria-Equipment &amp; Other HPs'!AY20,IF(SETUP!$G$58=1,$E$611*'Malaria-Equipment &amp; Other HPs'!AZ20,0))),0)</f>
        <v>0</v>
      </c>
      <c r="J613" s="943">
        <f>SUM('HPM costs'!$F613:$I613)</f>
        <v>0</v>
      </c>
      <c r="K613" s="941">
        <f>IF(SETUP!$F$58="At delivery",IF(SETUP!$G$58=4,$E$611*'Malaria-Equipment &amp; Other HPs'!AX20,IF(SETUP!$G$58=3,$E$611*'Malaria-Equipment &amp; Other HPs'!AY20,IF(SETUP!$G$58=2,$E$611*'Malaria-Equipment &amp; Other HPs'!AZ20,IF(SETUP!$G$58=1,$E$611*'Malaria-Equipment &amp; Other HPs'!BA20,0)))),0)</f>
        <v>0</v>
      </c>
      <c r="L613" s="942">
        <f>IF(SETUP!$F$58="At delivery",IF(SETUP!$G$58=4,$E$611*'Malaria-Equipment &amp; Other HPs'!AY20,IF(SETUP!$G$58=3,$E$611*'Malaria-Equipment &amp; Other HPs'!AZ20,IF(SETUP!$G$58=2,$E$611*'Malaria-Equipment &amp; Other HPs'!BA20,IF(SETUP!$G$58=1,$E$611*'Malaria-Equipment &amp; Other HPs'!BB20,0)))),0)</f>
        <v>0</v>
      </c>
      <c r="M613" s="942">
        <f>IF(SETUP!$F$58="At delivery",IF(SETUP!$G$58=4,$E$611*'Malaria-Equipment &amp; Other HPs'!AZ20,IF(SETUP!$G$58=3,$E$611*'Malaria-Equipment &amp; Other HPs'!BA20,IF(SETUP!$G$58=2,$E$611*'Malaria-Equipment &amp; Other HPs'!BB20,IF(SETUP!$G$58=1,$E$611*'Malaria-Equipment &amp; Other HPs'!BC20,0)))),0)</f>
        <v>0</v>
      </c>
      <c r="N613" s="942">
        <f>IF(SETUP!$F$58="At delivery",IF(SETUP!$G$58=4,$E$611*'Malaria-Equipment &amp; Other HPs'!BA20,IF(SETUP!$G$58=3,$E$611*'Malaria-Equipment &amp; Other HPs'!BB20,IF(SETUP!$G$58=2,$E$611*'Malaria-Equipment &amp; Other HPs'!BC20,IF(SETUP!$G$58=1,$E$611*'Malaria-Equipment &amp; Other HPs'!BD20,0)))),0)</f>
        <v>0</v>
      </c>
      <c r="O613" s="943">
        <f>SUM('HPM costs'!$K613:$N613)</f>
        <v>0</v>
      </c>
      <c r="P613" s="941">
        <f>IF(SETUP!$F$58="At delivery",IF(SETUP!$G$58=4,$E$611*'Malaria-Equipment &amp; Other HPs'!BB20,IF(SETUP!$G$58=3,$E$611*'Malaria-Equipment &amp; Other HPs'!BC20,IF(SETUP!$G$58=2,$E$611*'Malaria-Equipment &amp; Other HPs'!BD20,IF(SETUP!$G$58=1,$E$611*'Malaria-Equipment &amp; Other HPs'!BE20,0)))),0)</f>
        <v>0</v>
      </c>
      <c r="Q613" s="942">
        <f>IF(SETUP!$F$58="At delivery",IF(SETUP!$G$58=4,$E$611*'Malaria-Equipment &amp; Other HPs'!BC20,IF(SETUP!$G$58=3,$E$611*'Malaria-Equipment &amp; Other HPs'!BD20,IF(SETUP!$G$58=2,$E$611*'Malaria-Equipment &amp; Other HPs'!BE20,IF(SETUP!$G$58=1,$E$611*'Malaria-Equipment &amp; Other HPs'!BF20,0)))),0)</f>
        <v>0</v>
      </c>
      <c r="R613" s="942">
        <f>IF(SETUP!$F$58="At delivery",IF(SETUP!$G$58=4,$E$611*'Malaria-Equipment &amp; Other HPs'!BD20,IF(SETUP!$G$58=3,$E$611*'Malaria-Equipment &amp; Other HPs'!BE20,IF(SETUP!$G$58=2,$E$611*'Malaria-Equipment &amp; Other HPs'!BF20,IF(SETUP!$G$58=1,$E$611*'Malaria-Equipment &amp; Other HPs'!BG20,0)))),0)</f>
        <v>0</v>
      </c>
      <c r="S613" s="942">
        <f>IF(SETUP!$F$58="At delivery",IF(SETUP!$G$58=4,$E$611*('Malaria-Equipment &amp; Other HPs'!BE20+'Malaria-Equipment &amp; Other HPs'!BF20+'Malaria-Equipment &amp; Other HPs'!BG20+'Malaria-Equipment &amp; Other HPs'!BH20+'Malaria-Equipment &amp; Other HPs'!BI20),IF(SETUP!$G$58=3,$E$611*('Malaria-Equipment &amp; Other HPs'!BF20+'Malaria-Equipment &amp; Other HPs'!BG20+'Malaria-Equipment &amp; Other HPs'!BH20+'Malaria-Equipment &amp; Other HPs'!BI20),IF(SETUP!$G$58=2,$E$611*('Malaria-Equipment &amp; Other HPs'!BG20+'Malaria-Equipment &amp; Other HPs'!BH20+'Malaria-Equipment &amp; Other HPs'!BI20),IF(SETUP!$G$58=1,$E$611*('Malaria-Equipment &amp; Other HPs'!BH20+'Malaria-Equipment &amp; Other HPs'!BI20),0)))),0)</f>
        <v>0</v>
      </c>
      <c r="T613" s="943">
        <f>SUM('HPM costs'!$P613:$S613)</f>
        <v>0</v>
      </c>
      <c r="U613" s="1041">
        <f>'HPM costs'!$T613+'HPM costs'!$O613+'HPM costs'!$J613</f>
        <v>0</v>
      </c>
      <c r="V613" s="1042"/>
      <c r="W613" s="2009"/>
      <c r="X613" s="575"/>
      <c r="Y613" s="685"/>
      <c r="Z613" s="655"/>
      <c r="AA613" s="686"/>
      <c r="AB613" s="686"/>
      <c r="AC613" s="686"/>
      <c r="AD613" s="686"/>
      <c r="AE613" s="686"/>
      <c r="AF613" s="686"/>
      <c r="AG613" s="686"/>
      <c r="AH613" s="687"/>
      <c r="AI613" s="686"/>
      <c r="AJ613" s="686"/>
      <c r="AK613" s="686"/>
      <c r="AL613" s="686"/>
      <c r="AM613" s="686"/>
      <c r="AN613" s="686"/>
      <c r="AO613" s="686"/>
      <c r="AP613" s="686"/>
      <c r="AQ613" s="686"/>
      <c r="AR613" s="686"/>
      <c r="AS613" s="686"/>
      <c r="AT613" s="686"/>
      <c r="AU613" s="686"/>
      <c r="AV613" s="686"/>
      <c r="AW613" s="686"/>
      <c r="AX613" s="686"/>
      <c r="AY613" s="686"/>
      <c r="AZ613" s="686"/>
      <c r="BA613" s="686"/>
      <c r="BB613" s="686"/>
      <c r="BC613" s="686"/>
      <c r="BD613" s="686"/>
      <c r="BE613" s="686"/>
      <c r="BF613" s="686"/>
      <c r="BG613" s="686"/>
      <c r="BH613" s="686"/>
      <c r="BI613" s="686"/>
      <c r="BJ613" s="686"/>
      <c r="BK613" s="686"/>
      <c r="BL613" s="686"/>
      <c r="BM613" s="686"/>
      <c r="BN613" s="686"/>
      <c r="BO613" s="686"/>
      <c r="BP613" s="686"/>
      <c r="BQ613" s="686"/>
      <c r="BR613" s="686"/>
      <c r="BS613" s="686"/>
      <c r="BT613" s="686"/>
    </row>
    <row r="614" spans="1:72" s="688" customFormat="1" ht="13" collapsed="1">
      <c r="A614" s="681"/>
      <c r="B614" s="681"/>
      <c r="C614" s="682"/>
      <c r="D614" s="683"/>
      <c r="E614" s="724"/>
      <c r="F614" s="683"/>
      <c r="G614" s="683"/>
      <c r="H614" s="684"/>
      <c r="I614" s="684"/>
      <c r="J614" s="684"/>
      <c r="K614" s="684"/>
      <c r="L614" s="574"/>
      <c r="M614" s="684"/>
      <c r="N614" s="684"/>
      <c r="O614" s="684"/>
      <c r="P614" s="684"/>
      <c r="Q614" s="574"/>
      <c r="R614" s="684"/>
      <c r="S614" s="684"/>
      <c r="T614" s="684"/>
      <c r="U614" s="1718"/>
      <c r="V614" s="1045"/>
      <c r="W614" s="2009"/>
      <c r="X614" s="575"/>
      <c r="Y614" s="685"/>
      <c r="Z614" s="655"/>
      <c r="AA614" s="686"/>
      <c r="AB614" s="686"/>
      <c r="AC614" s="686"/>
      <c r="AD614" s="686"/>
      <c r="AE614" s="686"/>
      <c r="AF614" s="686"/>
      <c r="AG614" s="686"/>
      <c r="AH614" s="687"/>
      <c r="AI614" s="686"/>
      <c r="AJ614" s="686"/>
      <c r="AK614" s="686"/>
      <c r="AL614" s="686"/>
      <c r="AM614" s="686"/>
      <c r="AN614" s="686"/>
      <c r="AO614" s="686"/>
      <c r="AP614" s="686"/>
      <c r="AQ614" s="686"/>
      <c r="AR614" s="686"/>
      <c r="AS614" s="686"/>
      <c r="AT614" s="686"/>
      <c r="AU614" s="686"/>
      <c r="AV614" s="686"/>
      <c r="AW614" s="686"/>
      <c r="AX614" s="686"/>
      <c r="AY614" s="686"/>
      <c r="AZ614" s="686"/>
      <c r="BA614" s="686"/>
      <c r="BB614" s="686"/>
      <c r="BC614" s="686"/>
      <c r="BD614" s="686"/>
      <c r="BE614" s="686"/>
      <c r="BF614" s="686"/>
      <c r="BG614" s="686"/>
      <c r="BH614" s="686"/>
      <c r="BI614" s="686"/>
      <c r="BJ614" s="686"/>
      <c r="BK614" s="686"/>
      <c r="BL614" s="686"/>
      <c r="BM614" s="686"/>
      <c r="BN614" s="686"/>
      <c r="BO614" s="686"/>
      <c r="BP614" s="686"/>
      <c r="BQ614" s="686"/>
      <c r="BR614" s="686"/>
      <c r="BS614" s="686"/>
      <c r="BT614" s="686"/>
    </row>
    <row r="615" spans="1:72" s="1057" customFormat="1" ht="22.15" customHeight="1" thickBot="1">
      <c r="A615" s="1067" t="s">
        <v>476</v>
      </c>
      <c r="B615" s="681"/>
      <c r="C615" s="682"/>
      <c r="D615" s="681"/>
      <c r="E615" s="1049"/>
      <c r="F615" s="681"/>
      <c r="G615" s="681"/>
      <c r="H615" s="1050"/>
      <c r="I615" s="1050"/>
      <c r="J615" s="1050"/>
      <c r="K615" s="1050"/>
      <c r="L615" s="1051"/>
      <c r="M615" s="1050"/>
      <c r="N615" s="1050"/>
      <c r="O615" s="1050"/>
      <c r="P615" s="1050"/>
      <c r="Q615" s="1051"/>
      <c r="R615" s="1050"/>
      <c r="S615" s="1050"/>
      <c r="T615" s="1050"/>
      <c r="U615" s="1050"/>
      <c r="V615" s="1052"/>
      <c r="W615" s="2017"/>
      <c r="X615" s="1053"/>
      <c r="Y615" s="1054"/>
      <c r="Z615" s="655"/>
      <c r="AA615" s="1055"/>
      <c r="AB615" s="1055"/>
      <c r="AC615" s="1055"/>
      <c r="AD615" s="1055"/>
      <c r="AE615" s="1055"/>
      <c r="AF615" s="1055"/>
      <c r="AG615" s="1055"/>
      <c r="AH615" s="1056"/>
      <c r="AI615" s="1055"/>
      <c r="AJ615" s="1055"/>
      <c r="AK615" s="1055"/>
      <c r="AL615" s="1055"/>
      <c r="AM615" s="1055"/>
      <c r="AN615" s="1055"/>
      <c r="AO615" s="1055"/>
      <c r="AP615" s="1055"/>
      <c r="AQ615" s="1055"/>
      <c r="AR615" s="1055"/>
      <c r="AS615" s="1055"/>
      <c r="AT615" s="1055"/>
      <c r="AU615" s="1055"/>
      <c r="AV615" s="1055"/>
      <c r="AW615" s="1055"/>
      <c r="AX615" s="1055"/>
      <c r="AY615" s="1055"/>
      <c r="AZ615" s="1055"/>
      <c r="BA615" s="1055"/>
      <c r="BB615" s="1055"/>
      <c r="BC615" s="1055"/>
      <c r="BD615" s="1055"/>
      <c r="BE615" s="1055"/>
      <c r="BF615" s="1055"/>
      <c r="BG615" s="1055"/>
      <c r="BH615" s="1055"/>
      <c r="BI615" s="1055"/>
      <c r="BJ615" s="1055"/>
      <c r="BK615" s="1055"/>
      <c r="BL615" s="1055"/>
      <c r="BM615" s="1055"/>
      <c r="BN615" s="1055"/>
      <c r="BO615" s="1055"/>
      <c r="BP615" s="1055"/>
      <c r="BQ615" s="1055"/>
      <c r="BR615" s="1055"/>
      <c r="BS615" s="1055"/>
      <c r="BT615" s="1055"/>
    </row>
    <row r="616" spans="1:72" s="688" customFormat="1" ht="27.75" customHeight="1" thickBot="1">
      <c r="A616" s="3209" t="str">
        <f>VLOOKUP("Cost description (e.g: service provider,…)",Language!$D$882:$G$969,$L$1,FALSE)</f>
        <v>Descripción del costo (por ejemplo: proveedor de servicios,…)</v>
      </c>
      <c r="B616" s="3210"/>
      <c r="C616" s="3210"/>
      <c r="D616" s="3219"/>
      <c r="E616" s="3180" t="str">
        <f>VLOOKUP("Estimated fees (7.7)",Language!$D$882:$G$969,$L$1,FALSE)</f>
        <v>Honorarios estimados (7.7)</v>
      </c>
      <c r="F616" s="3209">
        <f>IF(ISBLANK(IMP_ST_DATE),SETUP!$A$3,YEAR(IMP_ST_DATE))</f>
        <v>2022</v>
      </c>
      <c r="G616" s="3210"/>
      <c r="H616" s="3210"/>
      <c r="I616" s="3210"/>
      <c r="J616" s="3221"/>
      <c r="K616" s="3209">
        <f>IF(ISBLANK(IMP_ST_DATE),SETUP!$A$3,YEAR(IMP_ST_DATE)+1)</f>
        <v>2023</v>
      </c>
      <c r="L616" s="3210"/>
      <c r="M616" s="3210"/>
      <c r="N616" s="3210"/>
      <c r="O616" s="3221"/>
      <c r="P616" s="3209">
        <f>IF(ISBLANK(IMP_ST_DATE),SETUP!$A$3,YEAR(IMP_ST_DATE)+2)</f>
        <v>2024</v>
      </c>
      <c r="Q616" s="3210"/>
      <c r="R616" s="3210"/>
      <c r="S616" s="3210"/>
      <c r="T616" s="3221"/>
      <c r="U616" s="1927" t="str">
        <f>U531</f>
        <v>Total del período de subvención</v>
      </c>
      <c r="V616" s="1360" t="str">
        <f>V531</f>
        <v>Finanzas</v>
      </c>
      <c r="W616" s="3284" t="str">
        <f>W531</f>
        <v>Comentarios</v>
      </c>
      <c r="X616" s="575"/>
      <c r="Y616" s="685"/>
      <c r="Z616" s="655"/>
      <c r="AA616" s="686"/>
      <c r="AB616" s="686"/>
      <c r="AC616" s="686"/>
      <c r="AD616" s="686"/>
      <c r="AE616" s="686"/>
      <c r="AF616" s="686"/>
      <c r="AG616" s="686"/>
      <c r="AH616" s="687"/>
      <c r="AI616" s="686"/>
      <c r="AJ616" s="686"/>
      <c r="AK616" s="686"/>
      <c r="AL616" s="686"/>
      <c r="AM616" s="686"/>
      <c r="AN616" s="686"/>
      <c r="AO616" s="686"/>
      <c r="AP616" s="686"/>
      <c r="AQ616" s="686"/>
      <c r="AR616" s="686"/>
      <c r="AS616" s="686"/>
      <c r="AT616" s="686"/>
      <c r="AU616" s="686"/>
      <c r="AV616" s="686"/>
      <c r="AW616" s="686"/>
      <c r="AX616" s="686"/>
      <c r="AY616" s="686"/>
      <c r="AZ616" s="686"/>
      <c r="BA616" s="686"/>
      <c r="BB616" s="686"/>
      <c r="BC616" s="686"/>
      <c r="BD616" s="686"/>
      <c r="BE616" s="686"/>
      <c r="BF616" s="686"/>
      <c r="BG616" s="686"/>
      <c r="BH616" s="686"/>
      <c r="BI616" s="686"/>
      <c r="BJ616" s="686"/>
      <c r="BK616" s="686"/>
      <c r="BL616" s="686"/>
      <c r="BM616" s="686"/>
      <c r="BN616" s="686"/>
      <c r="BO616" s="686"/>
      <c r="BP616" s="686"/>
      <c r="BQ616" s="686"/>
      <c r="BR616" s="686"/>
      <c r="BS616" s="686"/>
      <c r="BT616" s="686"/>
    </row>
    <row r="617" spans="1:72" s="688" customFormat="1" ht="20.25" customHeight="1" thickBot="1">
      <c r="A617" s="3212"/>
      <c r="B617" s="3213"/>
      <c r="C617" s="3213"/>
      <c r="D617" s="3220"/>
      <c r="E617" s="3181"/>
      <c r="F617" s="3212"/>
      <c r="G617" s="3213"/>
      <c r="H617" s="3213"/>
      <c r="I617" s="3213"/>
      <c r="J617" s="3222"/>
      <c r="K617" s="3212"/>
      <c r="L617" s="3213"/>
      <c r="M617" s="3213"/>
      <c r="N617" s="3213"/>
      <c r="O617" s="3222"/>
      <c r="P617" s="3212"/>
      <c r="Q617" s="3213"/>
      <c r="R617" s="3213"/>
      <c r="S617" s="3213"/>
      <c r="T617" s="3222"/>
      <c r="U617" s="1335" t="str">
        <f>U532</f>
        <v xml:space="preserve">Costo total </v>
      </c>
      <c r="V617" s="1359" t="str">
        <f>V532</f>
        <v>Categoría de costos</v>
      </c>
      <c r="W617" s="3285"/>
      <c r="X617" s="575"/>
      <c r="Y617" s="685"/>
      <c r="Z617" s="655"/>
      <c r="AA617" s="686"/>
      <c r="AB617" s="686"/>
      <c r="AC617" s="686"/>
      <c r="AD617" s="686"/>
      <c r="AE617" s="686"/>
      <c r="AF617" s="686"/>
      <c r="AG617" s="686"/>
      <c r="AH617" s="687"/>
      <c r="AI617" s="686"/>
      <c r="AJ617" s="686"/>
      <c r="AK617" s="686"/>
      <c r="AL617" s="686"/>
      <c r="AM617" s="686"/>
      <c r="AN617" s="686"/>
      <c r="AO617" s="686"/>
      <c r="AP617" s="686"/>
      <c r="AQ617" s="686"/>
      <c r="AR617" s="686"/>
      <c r="AS617" s="686"/>
      <c r="AT617" s="686"/>
      <c r="AU617" s="686"/>
      <c r="AV617" s="686"/>
      <c r="AW617" s="686"/>
      <c r="AX617" s="686"/>
      <c r="AY617" s="686"/>
      <c r="AZ617" s="686"/>
      <c r="BA617" s="686"/>
      <c r="BB617" s="686"/>
      <c r="BC617" s="686"/>
      <c r="BD617" s="686"/>
      <c r="BE617" s="686"/>
      <c r="BF617" s="686"/>
      <c r="BG617" s="686"/>
      <c r="BH617" s="686"/>
      <c r="BI617" s="686"/>
      <c r="BJ617" s="686"/>
      <c r="BK617" s="686"/>
      <c r="BL617" s="686"/>
      <c r="BM617" s="686"/>
      <c r="BN617" s="686"/>
      <c r="BO617" s="686"/>
      <c r="BP617" s="686"/>
      <c r="BQ617" s="686"/>
      <c r="BR617" s="686"/>
      <c r="BS617" s="686"/>
      <c r="BT617" s="686"/>
    </row>
    <row r="618" spans="1:72" s="688" customFormat="1" ht="13.5" thickBot="1">
      <c r="A618" s="3191" t="s">
        <v>435</v>
      </c>
      <c r="B618" s="3192"/>
      <c r="C618" s="3203" t="s">
        <v>436</v>
      </c>
      <c r="D618" s="3203"/>
      <c r="E618" s="1245">
        <v>0</v>
      </c>
      <c r="F618" s="1015">
        <f>IF(SETUP!$F$20="Upfront",F619,F620)</f>
        <v>0</v>
      </c>
      <c r="G618" s="996">
        <f>IF(SETUP!$F$20="Upfront",G619,G620)</f>
        <v>0</v>
      </c>
      <c r="H618" s="996">
        <f>IF(SETUP!$F$20="Upfront",H619,H620)</f>
        <v>0</v>
      </c>
      <c r="I618" s="996">
        <f>IF(SETUP!$F$20="Upfront",I619,I620)</f>
        <v>0</v>
      </c>
      <c r="J618" s="996">
        <f>F618+G618+H618+I618</f>
        <v>0</v>
      </c>
      <c r="K618" s="1015">
        <f>IF(SETUP!$F$20="Upfront",K619,K620)</f>
        <v>0</v>
      </c>
      <c r="L618" s="996">
        <f>IF(SETUP!$F$20="Upfront",L619,L620)</f>
        <v>0</v>
      </c>
      <c r="M618" s="996">
        <f>IF(SETUP!$F$20="Upfront",M619,M620)</f>
        <v>0</v>
      </c>
      <c r="N618" s="996">
        <f>IF(SETUP!$F$20="Upfront",N619,N620)</f>
        <v>0</v>
      </c>
      <c r="O618" s="996">
        <f>K618+L618+M618+N618</f>
        <v>0</v>
      </c>
      <c r="P618" s="1015">
        <f>IF(SETUP!$F$20="Upfront",P619,P620)</f>
        <v>0</v>
      </c>
      <c r="Q618" s="996">
        <f>IF(SETUP!$F$20="Upfront",Q619,Q620)</f>
        <v>0</v>
      </c>
      <c r="R618" s="996">
        <f>IF(SETUP!$F$20="Upfront",R619,R620)</f>
        <v>0</v>
      </c>
      <c r="S618" s="996">
        <f>IF(SETUP!$F$20="Upfront",S619,S620)</f>
        <v>0</v>
      </c>
      <c r="T618" s="996">
        <f>P618+Q618+R618+S618</f>
        <v>0</v>
      </c>
      <c r="U618" s="1015">
        <f>J618+O618+T618</f>
        <v>0</v>
      </c>
      <c r="V618" s="1344">
        <v>7.7</v>
      </c>
      <c r="W618" s="2011"/>
      <c r="X618" s="575"/>
      <c r="Y618" s="685"/>
      <c r="Z618" s="655"/>
      <c r="AA618" s="686"/>
      <c r="AB618" s="686"/>
      <c r="AC618" s="686"/>
      <c r="AD618" s="686"/>
      <c r="AE618" s="686"/>
      <c r="AF618" s="686"/>
      <c r="AG618" s="686"/>
      <c r="AH618" s="687"/>
      <c r="AI618" s="686"/>
      <c r="AJ618" s="686"/>
      <c r="AK618" s="686"/>
      <c r="AL618" s="686"/>
      <c r="AM618" s="686"/>
      <c r="AN618" s="686"/>
      <c r="AO618" s="686"/>
      <c r="AP618" s="686"/>
      <c r="AQ618" s="686"/>
      <c r="AR618" s="686"/>
      <c r="AS618" s="686"/>
      <c r="AT618" s="686"/>
      <c r="AU618" s="686"/>
      <c r="AV618" s="686"/>
      <c r="AW618" s="686"/>
      <c r="AX618" s="686"/>
      <c r="AY618" s="686"/>
      <c r="AZ618" s="686"/>
      <c r="BA618" s="686"/>
      <c r="BB618" s="686"/>
      <c r="BC618" s="686"/>
      <c r="BD618" s="686"/>
      <c r="BE618" s="686"/>
      <c r="BF618" s="686"/>
      <c r="BG618" s="686"/>
      <c r="BH618" s="686"/>
      <c r="BI618" s="686"/>
      <c r="BJ618" s="686"/>
      <c r="BK618" s="686"/>
      <c r="BL618" s="686"/>
      <c r="BM618" s="686"/>
      <c r="BN618" s="686"/>
      <c r="BO618" s="686"/>
      <c r="BP618" s="686"/>
      <c r="BQ618" s="686"/>
      <c r="BR618" s="686"/>
      <c r="BS618" s="686"/>
      <c r="BT618" s="686"/>
    </row>
    <row r="619" spans="1:72" s="688" customFormat="1" ht="16.149999999999999" hidden="1" customHeight="1" outlineLevel="1">
      <c r="A619" s="3193"/>
      <c r="B619" s="3194"/>
      <c r="C619" s="3182" t="s">
        <v>777</v>
      </c>
      <c r="D619" s="3182"/>
      <c r="E619" s="1246"/>
      <c r="F619" s="1016">
        <f>IF(SETUP!$F$20="Upfront",$E$618*'HIV-Pharmaceuticals'!AX14,0)</f>
        <v>0</v>
      </c>
      <c r="G619" s="920">
        <f>IF(SETUP!$F$20="Upfront",$E$618*'HIV-Pharmaceuticals'!AY14,0)</f>
        <v>0</v>
      </c>
      <c r="H619" s="920">
        <f>IF(SETUP!$F$20="Upfront",$E$618*'HIV-Pharmaceuticals'!AZ14,0)</f>
        <v>0</v>
      </c>
      <c r="I619" s="920">
        <f>IF(SETUP!$F$20="Upfront",$E$618*'HIV-Pharmaceuticals'!BA14,0)</f>
        <v>0</v>
      </c>
      <c r="J619" s="920">
        <f>'HPM costs'!$F619+'HPM costs'!$G619+'HPM costs'!$H619+'HPM costs'!$I619</f>
        <v>0</v>
      </c>
      <c r="K619" s="1016">
        <f>IF(SETUP!$F$20="Upfront",$E$618*'HIV-Pharmaceuticals'!BB14,0)</f>
        <v>0</v>
      </c>
      <c r="L619" s="920">
        <f>IF(SETUP!$F$20="Upfront",$E$618*'HIV-Pharmaceuticals'!BC14,0)</f>
        <v>0</v>
      </c>
      <c r="M619" s="920">
        <f>IF(SETUP!$F$20="Upfront",$E$618*'HIV-Pharmaceuticals'!BD14,0)</f>
        <v>0</v>
      </c>
      <c r="N619" s="920">
        <f>IF(SETUP!$F$20="Upfront",$E$618*'HIV-Pharmaceuticals'!BE14,0)</f>
        <v>0</v>
      </c>
      <c r="O619" s="920">
        <f>'HPM costs'!$F619+'HPM costs'!$G619+'HPM costs'!$H619+'HPM costs'!$I619</f>
        <v>0</v>
      </c>
      <c r="P619" s="1016">
        <f>IF(SETUP!$F$20="Upfront",$E$618*'HIV-Pharmaceuticals'!BF14,0)</f>
        <v>0</v>
      </c>
      <c r="Q619" s="920">
        <f>IF(SETUP!$F$20="Upfront",$E$618*'HIV-Pharmaceuticals'!BG14,0)</f>
        <v>0</v>
      </c>
      <c r="R619" s="920">
        <f>IF(SETUP!$F$20="Upfront",$E$618*'HIV-Pharmaceuticals'!BH14,0)</f>
        <v>0</v>
      </c>
      <c r="S619" s="920">
        <f>IF(SETUP!$F$20="Upfront",$E$618*'HIV-Pharmaceuticals'!BI14,0)</f>
        <v>0</v>
      </c>
      <c r="T619" s="920">
        <f>'HPM costs'!$F619+'HPM costs'!$G619+'HPM costs'!$H619+'HPM costs'!$I619</f>
        <v>0</v>
      </c>
      <c r="U619" s="1016">
        <f>'HPM costs'!$J619+'HPM costs'!$O619+'HPM costs'!$T619</f>
        <v>0</v>
      </c>
      <c r="V619" s="1344"/>
      <c r="W619" s="2011"/>
      <c r="X619" s="575"/>
      <c r="Y619" s="685"/>
      <c r="Z619" s="655"/>
      <c r="AA619" s="686"/>
      <c r="AB619" s="686"/>
      <c r="AC619" s="686"/>
      <c r="AD619" s="686"/>
      <c r="AE619" s="686"/>
      <c r="AF619" s="686"/>
      <c r="AG619" s="686"/>
      <c r="AH619" s="687"/>
      <c r="AI619" s="686"/>
      <c r="AJ619" s="686"/>
      <c r="AK619" s="686"/>
      <c r="AL619" s="686"/>
      <c r="AM619" s="686"/>
      <c r="AN619" s="686"/>
      <c r="AO619" s="686"/>
      <c r="AP619" s="686"/>
      <c r="AQ619" s="686"/>
      <c r="AR619" s="686"/>
      <c r="AS619" s="686"/>
      <c r="AT619" s="686"/>
      <c r="AU619" s="686"/>
      <c r="AV619" s="686"/>
      <c r="AW619" s="686"/>
      <c r="AX619" s="686"/>
      <c r="AY619" s="686"/>
      <c r="AZ619" s="686"/>
      <c r="BA619" s="686"/>
      <c r="BB619" s="686"/>
      <c r="BC619" s="686"/>
      <c r="BD619" s="686"/>
      <c r="BE619" s="686"/>
      <c r="BF619" s="686"/>
      <c r="BG619" s="686"/>
      <c r="BH619" s="686"/>
      <c r="BI619" s="686"/>
      <c r="BJ619" s="686"/>
      <c r="BK619" s="686"/>
      <c r="BL619" s="686"/>
      <c r="BM619" s="686"/>
      <c r="BN619" s="686"/>
      <c r="BO619" s="686"/>
      <c r="BP619" s="686"/>
      <c r="BQ619" s="686"/>
      <c r="BR619" s="686"/>
      <c r="BS619" s="686"/>
      <c r="BT619" s="686"/>
    </row>
    <row r="620" spans="1:72" s="688" customFormat="1" ht="16.149999999999999" hidden="1" customHeight="1" outlineLevel="1">
      <c r="A620" s="3193"/>
      <c r="B620" s="3194"/>
      <c r="C620" s="3182" t="s">
        <v>36</v>
      </c>
      <c r="D620" s="3182"/>
      <c r="E620" s="1246"/>
      <c r="F620" s="1016">
        <v>0</v>
      </c>
      <c r="G620" s="920">
        <f>IF(SETUP!$F$20="At delivery",IF(SETUP!$G$20=1,$E$618*'HIV-Pharmaceuticals'!AX14,0),0)</f>
        <v>0</v>
      </c>
      <c r="H620" s="920">
        <f>IF(SETUP!$F$20="At delivery",IF(SETUP!$G$20=2,$E$618*'HIV-Pharmaceuticals'!AX14,IF(SETUP!$G$20=1,$E$618*'HIV-Pharmaceuticals'!AY14,0)),0)</f>
        <v>0</v>
      </c>
      <c r="I620" s="920">
        <f>IF(SETUP!$F$20="At delivery",IF(SETUP!$G$20=3,$E$618*'HIV-Pharmaceuticals'!AX14,IF(SETUP!$G$20=2,$E$618*'HIV-Pharmaceuticals'!AY14,IF(SETUP!$G$20=1,$E$618*'HIV-Pharmaceuticals'!AZ14,0))),0)</f>
        <v>0</v>
      </c>
      <c r="J620" s="920">
        <f>'HPM costs'!$F620+'HPM costs'!$G620+'HPM costs'!$H620+'HPM costs'!$I620</f>
        <v>0</v>
      </c>
      <c r="K620" s="1016">
        <f>IF(SETUP!$F$20="At delivery",IF(SETUP!$G$20=4,$E$618*'HIV-Pharmaceuticals'!AX14,IF(SETUP!$G$20=3,$E$618*'HIV-Pharmaceuticals'!AY14,IF(SETUP!$G$20=2,$E$618*'HIV-Pharmaceuticals'!AZ14,IF(SETUP!$G$20=1,$E$618*'HIV-Pharmaceuticals'!BA14,0)))),0)</f>
        <v>0</v>
      </c>
      <c r="L620" s="920">
        <f>IF(SETUP!$F$20="At delivery",IF(SETUP!$G$20=4,$E$618*'HIV-Pharmaceuticals'!AY14,IF(SETUP!$G$20=3,$E$618*'HIV-Pharmaceuticals'!AZ14,IF(SETUP!$G$20=2,$E$618*'HIV-Pharmaceuticals'!BA14,IF(SETUP!$G$20=1,$E$618*'HIV-Pharmaceuticals'!BB14,0)))),0)</f>
        <v>0</v>
      </c>
      <c r="M620" s="920">
        <f>IF(SETUP!$F$20="At delivery",IF(SETUP!$G$20=4,$E$618*'HIV-Pharmaceuticals'!AZ14,IF(SETUP!$G$20=3,$E$618*'HIV-Pharmaceuticals'!BA14,IF(SETUP!$G$20=2,$E$618*'HIV-Pharmaceuticals'!BB14,IF(SETUP!$G$20=1,$E$618*'HIV-Pharmaceuticals'!BC14,0)))),0)</f>
        <v>0</v>
      </c>
      <c r="N620" s="920">
        <f>IF(SETUP!$F$20="At delivery",IF(SETUP!$G$20=4,$E$618*'HIV-Pharmaceuticals'!BA14,IF(SETUP!$G$20=3,$E$618*'HIV-Pharmaceuticals'!BB14,IF(SETUP!$G$20=2,$E$618*'HIV-Pharmaceuticals'!BC14,IF(SETUP!$G$20=1,$E$618*'HIV-Pharmaceuticals'!BD14,0)))),0)</f>
        <v>0</v>
      </c>
      <c r="O620" s="920">
        <f>'HPM costs'!$F620+'HPM costs'!$G620+'HPM costs'!$H620+'HPM costs'!$I620</f>
        <v>0</v>
      </c>
      <c r="P620" s="1016">
        <f>IF(SETUP!$F$20="At delivery",IF(SETUP!$G$20=4,$E$618*'HIV-Pharmaceuticals'!BB14,IF(SETUP!$G$20=3,$E$618*'HIV-Pharmaceuticals'!BC14,IF(SETUP!$G$20=2,$E$618*'HIV-Pharmaceuticals'!BD14,IF(SETUP!$G$20=1,$E$618*'HIV-Pharmaceuticals'!BE14,0)))),0)</f>
        <v>0</v>
      </c>
      <c r="Q620" s="920">
        <f>IF(SETUP!$F$20="At delivery",IF(SETUP!$G$20=4,$E$618*'HIV-Pharmaceuticals'!BC14,IF(SETUP!$G$20=3,$E$618*'HIV-Pharmaceuticals'!BD14,IF(SETUP!$G$20=2,$E$618*'HIV-Pharmaceuticals'!BE14,IF(SETUP!$G$20=1,$E$618*'HIV-Pharmaceuticals'!BF14,0)))),0)</f>
        <v>0</v>
      </c>
      <c r="R620" s="920">
        <f>IF(SETUP!$F$20="At delivery",IF(SETUP!$G$20=4,$E$618*'HIV-Pharmaceuticals'!BD14,IF(SETUP!$G$20=3,$E$618*'HIV-Pharmaceuticals'!BE14,IF(SETUP!$G$20=2,$E$618*'HIV-Pharmaceuticals'!BF14,IF(SETUP!$G$20=1,$E$618*'HIV-Pharmaceuticals'!BG14,0)))),0)</f>
        <v>0</v>
      </c>
      <c r="S620" s="920">
        <f>IF(SETUP!$F$20="At delivery",IF(SETUP!$G$20=4,$E$618*('HIV-Pharmaceuticals'!BE14+'HIV-Pharmaceuticals'!BF14+'HIV-Pharmaceuticals'!BG14+'HIV-Pharmaceuticals'!BH14+'HIV-Pharmaceuticals'!BI14),IF(SETUP!$G$20=3,$E$618*('HIV-Pharmaceuticals'!BF14+'HIV-Pharmaceuticals'!BG14+'HIV-Pharmaceuticals'!BH14+'HIV-Pharmaceuticals'!BI14),IF(SETUP!$G$20=2,$E$618*('HIV-Pharmaceuticals'!BG14+'HIV-Pharmaceuticals'!BH14+'HIV-Pharmaceuticals'!BI14),IF(SETUP!$G$20=1,$E$618*('HIV-Pharmaceuticals'!BH14+'HIV-Pharmaceuticals'!BI14),0)))),0)</f>
        <v>0</v>
      </c>
      <c r="T620" s="920">
        <f>'HPM costs'!$F620+'HPM costs'!$G620+'HPM costs'!$H620+'HPM costs'!$I620</f>
        <v>0</v>
      </c>
      <c r="U620" s="1016">
        <f>'HPM costs'!$J620+'HPM costs'!$O620+'HPM costs'!$T620</f>
        <v>0</v>
      </c>
      <c r="V620" s="1344"/>
      <c r="W620" s="2011"/>
      <c r="X620" s="575"/>
      <c r="Y620" s="685"/>
      <c r="Z620" s="655"/>
      <c r="AA620" s="686"/>
      <c r="AB620" s="686"/>
      <c r="AC620" s="686"/>
      <c r="AD620" s="686"/>
      <c r="AE620" s="686"/>
      <c r="AF620" s="686"/>
      <c r="AG620" s="686"/>
      <c r="AH620" s="687"/>
      <c r="AI620" s="686"/>
      <c r="AJ620" s="686"/>
      <c r="AK620" s="686"/>
      <c r="AL620" s="686"/>
      <c r="AM620" s="686"/>
      <c r="AN620" s="686"/>
      <c r="AO620" s="686"/>
      <c r="AP620" s="686"/>
      <c r="AQ620" s="686"/>
      <c r="AR620" s="686"/>
      <c r="AS620" s="686"/>
      <c r="AT620" s="686"/>
      <c r="AU620" s="686"/>
      <c r="AV620" s="686"/>
      <c r="AW620" s="686"/>
      <c r="AX620" s="686"/>
      <c r="AY620" s="686"/>
      <c r="AZ620" s="686"/>
      <c r="BA620" s="686"/>
      <c r="BB620" s="686"/>
      <c r="BC620" s="686"/>
      <c r="BD620" s="686"/>
      <c r="BE620" s="686"/>
      <c r="BF620" s="686"/>
      <c r="BG620" s="686"/>
      <c r="BH620" s="686"/>
      <c r="BI620" s="686"/>
      <c r="BJ620" s="686"/>
      <c r="BK620" s="686"/>
      <c r="BL620" s="686"/>
      <c r="BM620" s="686"/>
      <c r="BN620" s="686"/>
      <c r="BO620" s="686"/>
      <c r="BP620" s="686"/>
      <c r="BQ620" s="686"/>
      <c r="BR620" s="686"/>
      <c r="BS620" s="686"/>
      <c r="BT620" s="686"/>
    </row>
    <row r="621" spans="1:72" s="688" customFormat="1" ht="13.5" collapsed="1" thickBot="1">
      <c r="A621" s="3193"/>
      <c r="B621" s="3194"/>
      <c r="C621" s="3188" t="s">
        <v>139</v>
      </c>
      <c r="D621" s="3188"/>
      <c r="E621" s="1245">
        <v>0</v>
      </c>
      <c r="F621" s="1016">
        <f>IF(SETUP!$F$21="Upfront",F622,F623)</f>
        <v>0</v>
      </c>
      <c r="G621" s="920">
        <f>IF(SETUP!$F$21="Upfront",G622,G623)</f>
        <v>0</v>
      </c>
      <c r="H621" s="920">
        <f>IF(SETUP!$F$21="Upfront",H622,H623)</f>
        <v>0</v>
      </c>
      <c r="I621" s="920">
        <f>IF(SETUP!$F$21="Upfront",I622,I623)</f>
        <v>0</v>
      </c>
      <c r="J621" s="920">
        <f t="shared" ref="J621:J642" si="95">F621+G621+H621+I621</f>
        <v>0</v>
      </c>
      <c r="K621" s="1016">
        <f>IF(SETUP!$F$21="Upfront",K622,K623)</f>
        <v>0</v>
      </c>
      <c r="L621" s="920">
        <f>IF(SETUP!$F$21="Upfront",L622,L623)</f>
        <v>0</v>
      </c>
      <c r="M621" s="920">
        <f>IF(SETUP!$F$21="Upfront",M622,M623)</f>
        <v>0</v>
      </c>
      <c r="N621" s="920">
        <f>IF(SETUP!$F$21="Upfront",N622,N623)</f>
        <v>0</v>
      </c>
      <c r="O621" s="920">
        <f t="shared" ref="O621:O642" si="96">K621+L621+M621+N621</f>
        <v>0</v>
      </c>
      <c r="P621" s="1016">
        <f>IF(SETUP!$F$21="Upfront",P622,P623)</f>
        <v>0</v>
      </c>
      <c r="Q621" s="920">
        <f>IF(SETUP!$F$21="Upfront",Q622,Q623)</f>
        <v>0</v>
      </c>
      <c r="R621" s="920">
        <f>IF(SETUP!$F$21="Upfront",R622,R623)</f>
        <v>0</v>
      </c>
      <c r="S621" s="920">
        <f>IF(SETUP!$F$21="Upfront",S622,S623)</f>
        <v>0</v>
      </c>
      <c r="T621" s="920">
        <f t="shared" ref="T621:T636" si="97">P621+Q621+R621+S621</f>
        <v>0</v>
      </c>
      <c r="U621" s="1016">
        <f t="shared" ref="U621:U636" si="98">J621+O621+T621</f>
        <v>0</v>
      </c>
      <c r="V621" s="1344">
        <v>7.7</v>
      </c>
      <c r="W621" s="2011"/>
      <c r="X621" s="575"/>
      <c r="Y621" s="685"/>
      <c r="Z621" s="655"/>
      <c r="AA621" s="686"/>
      <c r="AB621" s="686"/>
      <c r="AC621" s="686"/>
      <c r="AD621" s="686"/>
      <c r="AE621" s="686"/>
      <c r="AF621" s="686"/>
      <c r="AG621" s="686"/>
      <c r="AH621" s="687"/>
      <c r="AI621" s="686"/>
      <c r="AJ621" s="686"/>
      <c r="AK621" s="686"/>
      <c r="AL621" s="686"/>
      <c r="AM621" s="686"/>
      <c r="AN621" s="686"/>
      <c r="AO621" s="686"/>
      <c r="AP621" s="686"/>
      <c r="AQ621" s="686"/>
      <c r="AR621" s="686"/>
      <c r="AS621" s="686"/>
      <c r="AT621" s="686"/>
      <c r="AU621" s="686"/>
      <c r="AV621" s="686"/>
      <c r="AW621" s="686"/>
      <c r="AX621" s="686"/>
      <c r="AY621" s="686"/>
      <c r="AZ621" s="686"/>
      <c r="BA621" s="686"/>
      <c r="BB621" s="686"/>
      <c r="BC621" s="686"/>
      <c r="BD621" s="686"/>
      <c r="BE621" s="686"/>
      <c r="BF621" s="686"/>
      <c r="BG621" s="686"/>
      <c r="BH621" s="686"/>
      <c r="BI621" s="686"/>
      <c r="BJ621" s="686"/>
      <c r="BK621" s="686"/>
      <c r="BL621" s="686"/>
      <c r="BM621" s="686"/>
      <c r="BN621" s="686"/>
      <c r="BO621" s="686"/>
      <c r="BP621" s="686"/>
      <c r="BQ621" s="686"/>
      <c r="BR621" s="686"/>
      <c r="BS621" s="686"/>
      <c r="BT621" s="686"/>
    </row>
    <row r="622" spans="1:72" s="688" customFormat="1" ht="16.149999999999999" hidden="1" customHeight="1" outlineLevel="1">
      <c r="A622" s="3193"/>
      <c r="B622" s="3194"/>
      <c r="C622" s="3182" t="s">
        <v>777</v>
      </c>
      <c r="D622" s="3182"/>
      <c r="E622" s="1248"/>
      <c r="F622" s="1016">
        <f>IF(SETUP!$F$21="Upfront",$E$621*'HIV-Pharmaceuticals'!AX15,0)</f>
        <v>0</v>
      </c>
      <c r="G622" s="920">
        <f>IF(SETUP!$F$21="Upfront",$E$621*'HIV-Pharmaceuticals'!AY15,0)</f>
        <v>0</v>
      </c>
      <c r="H622" s="920">
        <f>IF(SETUP!$F$21="Upfront",$E$621*'HIV-Pharmaceuticals'!AZ15,0)</f>
        <v>0</v>
      </c>
      <c r="I622" s="920">
        <f>IF(SETUP!$F$21="Upfront",$E$621*'HIV-Pharmaceuticals'!BA15,0)</f>
        <v>0</v>
      </c>
      <c r="J622" s="920">
        <f t="shared" si="95"/>
        <v>0</v>
      </c>
      <c r="K622" s="1016">
        <f>IF(SETUP!$F$21="Upfront",$E$621*'HIV-Pharmaceuticals'!BB15,0)</f>
        <v>0</v>
      </c>
      <c r="L622" s="920">
        <f>IF(SETUP!$F$21="Upfront",$E$621*'HIV-Pharmaceuticals'!BC15,0)</f>
        <v>0</v>
      </c>
      <c r="M622" s="920">
        <f>IF(SETUP!$F$21="Upfront",$E$621*'HIV-Pharmaceuticals'!BD15,0)</f>
        <v>0</v>
      </c>
      <c r="N622" s="920">
        <f>IF(SETUP!$F$21="Upfront",$E$621*'HIV-Pharmaceuticals'!BE15,0)</f>
        <v>0</v>
      </c>
      <c r="O622" s="920">
        <f t="shared" si="96"/>
        <v>0</v>
      </c>
      <c r="P622" s="1016">
        <f>IF(SETUP!$F$21="Upfront",$E$621*'HIV-Pharmaceuticals'!BF15,0)</f>
        <v>0</v>
      </c>
      <c r="Q622" s="920">
        <f>IF(SETUP!$F$21="Upfront",$E$621*'HIV-Pharmaceuticals'!BG15,0)</f>
        <v>0</v>
      </c>
      <c r="R622" s="920">
        <f>IF(SETUP!$F$21="Upfront",$E$621*'HIV-Pharmaceuticals'!BH15,0)</f>
        <v>0</v>
      </c>
      <c r="S622" s="920">
        <f>IF(SETUP!$F$21="Upfront",$E$621*'HIV-Pharmaceuticals'!BI15,0)</f>
        <v>0</v>
      </c>
      <c r="T622" s="920">
        <f t="shared" si="97"/>
        <v>0</v>
      </c>
      <c r="U622" s="1016">
        <f t="shared" si="98"/>
        <v>0</v>
      </c>
      <c r="V622" s="1344">
        <v>7.7</v>
      </c>
      <c r="W622" s="2011"/>
      <c r="X622" s="575"/>
      <c r="Y622" s="685"/>
      <c r="Z622" s="655"/>
      <c r="AA622" s="686"/>
      <c r="AB622" s="686"/>
      <c r="AC622" s="686"/>
      <c r="AD622" s="686"/>
      <c r="AE622" s="686"/>
      <c r="AF622" s="686"/>
      <c r="AG622" s="686"/>
      <c r="AH622" s="687"/>
      <c r="AI622" s="686"/>
      <c r="AJ622" s="686"/>
      <c r="AK622" s="686"/>
      <c r="AL622" s="686"/>
      <c r="AM622" s="686"/>
      <c r="AN622" s="686"/>
      <c r="AO622" s="686"/>
      <c r="AP622" s="686"/>
      <c r="AQ622" s="686"/>
      <c r="AR622" s="686"/>
      <c r="AS622" s="686"/>
      <c r="AT622" s="686"/>
      <c r="AU622" s="686"/>
      <c r="AV622" s="686"/>
      <c r="AW622" s="686"/>
      <c r="AX622" s="686"/>
      <c r="AY622" s="686"/>
      <c r="AZ622" s="686"/>
      <c r="BA622" s="686"/>
      <c r="BB622" s="686"/>
      <c r="BC622" s="686"/>
      <c r="BD622" s="686"/>
      <c r="BE622" s="686"/>
      <c r="BF622" s="686"/>
      <c r="BG622" s="686"/>
      <c r="BH622" s="686"/>
      <c r="BI622" s="686"/>
      <c r="BJ622" s="686"/>
      <c r="BK622" s="686"/>
      <c r="BL622" s="686"/>
      <c r="BM622" s="686"/>
      <c r="BN622" s="686"/>
      <c r="BO622" s="686"/>
      <c r="BP622" s="686"/>
      <c r="BQ622" s="686"/>
      <c r="BR622" s="686"/>
      <c r="BS622" s="686"/>
      <c r="BT622" s="686"/>
    </row>
    <row r="623" spans="1:72" s="688" customFormat="1" ht="16.149999999999999" hidden="1" customHeight="1" outlineLevel="1">
      <c r="A623" s="3193"/>
      <c r="B623" s="3194"/>
      <c r="C623" s="3182" t="s">
        <v>36</v>
      </c>
      <c r="D623" s="3182"/>
      <c r="E623" s="1246"/>
      <c r="F623" s="1016">
        <v>0</v>
      </c>
      <c r="G623" s="920">
        <f>IF(SETUP!$F$21="At delivery",IF(SETUP!$G$21=1,$E$621*'HIV-Pharmaceuticals'!AX15,0),0)</f>
        <v>0</v>
      </c>
      <c r="H623" s="920">
        <f>IF(SETUP!$F$21="At delivery",IF(SETUP!$G$21=2,$E$621*'HIV-Pharmaceuticals'!AX15,IF(SETUP!$G$21=1,$E$621*'HIV-Pharmaceuticals'!AY15,0)),0)</f>
        <v>0</v>
      </c>
      <c r="I623" s="920">
        <f>IF(SETUP!$F$21="At delivery",IF(SETUP!$G$21=3,$E$621*'HIV-Pharmaceuticals'!AX15,IF(SETUP!$G$21=2,$E$621*'HIV-Pharmaceuticals'!AY15,IF(SETUP!$G$21=1,$E$621*'HIV-Pharmaceuticals'!AZ15,0))),0)</f>
        <v>0</v>
      </c>
      <c r="J623" s="920">
        <f t="shared" si="95"/>
        <v>0</v>
      </c>
      <c r="K623" s="1016">
        <f>IF(SETUP!$F$21="At delivery",IF(SETUP!$G$21=4,$E$621*'HIV-Pharmaceuticals'!AX15,IF(SETUP!$G$21=3,$E$621*'HIV-Pharmaceuticals'!AY15,IF(SETUP!$G$21=2,$E$621*'HIV-Pharmaceuticals'!AZ15,IF(SETUP!$G$21=1,$E$621*'HIV-Pharmaceuticals'!BA15,0)))),0)</f>
        <v>0</v>
      </c>
      <c r="L623" s="920">
        <f>IF(SETUP!$F$21="At delivery",IF(SETUP!$G$21=4,$E$621*'HIV-Pharmaceuticals'!AY15,IF(SETUP!$G$21=3,$E$621*'HIV-Pharmaceuticals'!AZ15,IF(SETUP!$G$21=2,$E$621*'HIV-Pharmaceuticals'!BA15,IF(SETUP!$G$21=1,$E$621*'HIV-Pharmaceuticals'!BB15,0)))),0)</f>
        <v>0</v>
      </c>
      <c r="M623" s="920">
        <f>IF(SETUP!$F$21="At delivery",IF(SETUP!$G$21=4,$E$621*'HIV-Pharmaceuticals'!AZ15,IF(SETUP!$G$21=3,$E$621*'HIV-Pharmaceuticals'!BA15,IF(SETUP!$G$21=2,$E$621*'HIV-Pharmaceuticals'!BB15,IF(SETUP!$G$21=1,$E$621*'HIV-Pharmaceuticals'!BC15,0)))),0)</f>
        <v>0</v>
      </c>
      <c r="N623" s="920">
        <f>IF(SETUP!$F$21="At delivery",IF(SETUP!$G$21=4,$E$621*'HIV-Pharmaceuticals'!BA15,IF(SETUP!$G$21=3,$E$621*'HIV-Pharmaceuticals'!BB15,IF(SETUP!$G$21=2,$E$621*'HIV-Pharmaceuticals'!BC15,IF(SETUP!$G$21=1,$E$621*'HIV-Pharmaceuticals'!BD15,0)))),0)</f>
        <v>0</v>
      </c>
      <c r="O623" s="920">
        <f t="shared" si="96"/>
        <v>0</v>
      </c>
      <c r="P623" s="1016">
        <f>IF(SETUP!$F$21="At delivery",IF(SETUP!$G$21=4,$E$621*'HIV-Pharmaceuticals'!BB15,IF(SETUP!$G$21=3,$E$621*'HIV-Pharmaceuticals'!BC15,IF(SETUP!$G$21=2,$E$621*'HIV-Pharmaceuticals'!BD15,IF(SETUP!$G$21=1,$E$621*'HIV-Pharmaceuticals'!BE15,0)))),0)</f>
        <v>0</v>
      </c>
      <c r="Q623" s="920">
        <f>IF(SETUP!$F$21="At delivery",IF(SETUP!$G$21=4,$E$621*'HIV-Pharmaceuticals'!BC15,IF(SETUP!$G$21=3,$E$621*'HIV-Pharmaceuticals'!BD15,IF(SETUP!$G$21=2,$E$621*'HIV-Pharmaceuticals'!BE15,IF(SETUP!$G$21=1,$E$621*'HIV-Pharmaceuticals'!BF15,0)))),0)</f>
        <v>0</v>
      </c>
      <c r="R623" s="920">
        <f>IF(SETUP!$F$21="At delivery",IF(SETUP!$G$21=4,$E$621*'HIV-Pharmaceuticals'!BD15,IF(SETUP!$G$21=3,$E$621*'HIV-Pharmaceuticals'!BE15,IF(SETUP!$G$21=2,$E$621*'HIV-Pharmaceuticals'!BF15,IF(SETUP!$G$21=1,$E$621*'HIV-Pharmaceuticals'!BG15,0)))),0)</f>
        <v>0</v>
      </c>
      <c r="S623" s="920">
        <f>IF(SETUP!$F$21="At delivery",IF(SETUP!$G$21=4,$E$621*('HIV-Pharmaceuticals'!BE15+'HIV-Pharmaceuticals'!BF15+'HIV-Pharmaceuticals'!BG15+'HIV-Pharmaceuticals'!BH15+'HIV-Pharmaceuticals'!BI15),IF(SETUP!$G$21=3,$E$621*('HIV-Pharmaceuticals'!BF15+'HIV-Pharmaceuticals'!BG15+'HIV-Pharmaceuticals'!BH15+'HIV-Pharmaceuticals'!BI15),IF(SETUP!$G$21=2,$E$621*('HIV-Pharmaceuticals'!BG15+'HIV-Pharmaceuticals'!BH15+'HIV-Pharmaceuticals'!BI15),IF(SETUP!$G$21=1,$E$621*('HIV-Pharmaceuticals'!BH15+'HIV-Pharmaceuticals'!BI15),0)))),0)</f>
        <v>0</v>
      </c>
      <c r="T623" s="920">
        <f t="shared" si="97"/>
        <v>0</v>
      </c>
      <c r="U623" s="1016">
        <f t="shared" si="98"/>
        <v>0</v>
      </c>
      <c r="V623" s="1344">
        <v>7.7</v>
      </c>
      <c r="W623" s="2011"/>
      <c r="X623" s="575"/>
      <c r="Y623" s="685"/>
      <c r="Z623" s="655"/>
      <c r="AA623" s="686"/>
      <c r="AB623" s="686"/>
      <c r="AC623" s="686"/>
      <c r="AD623" s="686"/>
      <c r="AE623" s="686"/>
      <c r="AF623" s="686"/>
      <c r="AG623" s="686"/>
      <c r="AH623" s="687"/>
      <c r="AI623" s="686"/>
      <c r="AJ623" s="686"/>
      <c r="AK623" s="686"/>
      <c r="AL623" s="686"/>
      <c r="AM623" s="686"/>
      <c r="AN623" s="686"/>
      <c r="AO623" s="686"/>
      <c r="AP623" s="686"/>
      <c r="AQ623" s="686"/>
      <c r="AR623" s="686"/>
      <c r="AS623" s="686"/>
      <c r="AT623" s="686"/>
      <c r="AU623" s="686"/>
      <c r="AV623" s="686"/>
      <c r="AW623" s="686"/>
      <c r="AX623" s="686"/>
      <c r="AY623" s="686"/>
      <c r="AZ623" s="686"/>
      <c r="BA623" s="686"/>
      <c r="BB623" s="686"/>
      <c r="BC623" s="686"/>
      <c r="BD623" s="686"/>
      <c r="BE623" s="686"/>
      <c r="BF623" s="686"/>
      <c r="BG623" s="686"/>
      <c r="BH623" s="686"/>
      <c r="BI623" s="686"/>
      <c r="BJ623" s="686"/>
      <c r="BK623" s="686"/>
      <c r="BL623" s="686"/>
      <c r="BM623" s="686"/>
      <c r="BN623" s="686"/>
      <c r="BO623" s="686"/>
      <c r="BP623" s="686"/>
      <c r="BQ623" s="686"/>
      <c r="BR623" s="686"/>
      <c r="BS623" s="686"/>
      <c r="BT623" s="686"/>
    </row>
    <row r="624" spans="1:72" s="688" customFormat="1" ht="13.5" collapsed="1" thickBot="1">
      <c r="A624" s="3193"/>
      <c r="B624" s="3194"/>
      <c r="C624" s="3201" t="s">
        <v>1054</v>
      </c>
      <c r="D624" s="3201"/>
      <c r="E624" s="1245">
        <v>0</v>
      </c>
      <c r="F624" s="1016">
        <f>IF(SETUP!$F$22="Upfront",F625,F626)</f>
        <v>0</v>
      </c>
      <c r="G624" s="920">
        <f>IF(SETUP!$F$22="Upfront",G625,G626)</f>
        <v>0</v>
      </c>
      <c r="H624" s="920">
        <f>IF(SETUP!$F$22="Upfront",H625,H626)</f>
        <v>0</v>
      </c>
      <c r="I624" s="920">
        <f>IF(SETUP!$F$22="Upfront",I625,I626)</f>
        <v>0</v>
      </c>
      <c r="J624" s="920">
        <f t="shared" si="95"/>
        <v>0</v>
      </c>
      <c r="K624" s="1016">
        <f>IF(SETUP!$F$22="Upfront",K625,K626)</f>
        <v>0</v>
      </c>
      <c r="L624" s="920">
        <f>IF(SETUP!$F$22="Upfront",L625,L626)</f>
        <v>0</v>
      </c>
      <c r="M624" s="920">
        <f>IF(SETUP!$F$22="Upfront",M625,M626)</f>
        <v>0</v>
      </c>
      <c r="N624" s="920">
        <f>IF(SETUP!$F$22="Upfront",N625,N626)</f>
        <v>0</v>
      </c>
      <c r="O624" s="920">
        <f t="shared" si="96"/>
        <v>0</v>
      </c>
      <c r="P624" s="1016">
        <f>IF(SETUP!$F$22="Upfront",P625,P626)</f>
        <v>0</v>
      </c>
      <c r="Q624" s="920">
        <f>IF(SETUP!$F$22="Upfront",Q625,Q626)</f>
        <v>0</v>
      </c>
      <c r="R624" s="920">
        <f>IF(SETUP!$F$22="Upfront",R625,R626)</f>
        <v>0</v>
      </c>
      <c r="S624" s="920">
        <f>IF(SETUP!$F$22="Upfront",S625,S626)</f>
        <v>0</v>
      </c>
      <c r="T624" s="920">
        <f t="shared" si="97"/>
        <v>0</v>
      </c>
      <c r="U624" s="1016">
        <f t="shared" si="98"/>
        <v>0</v>
      </c>
      <c r="V624" s="1344">
        <v>7.7</v>
      </c>
      <c r="W624" s="2011"/>
      <c r="X624" s="575"/>
      <c r="Y624" s="685"/>
      <c r="Z624" s="655"/>
      <c r="AA624" s="686"/>
      <c r="AB624" s="686"/>
      <c r="AC624" s="686"/>
      <c r="AD624" s="686"/>
      <c r="AE624" s="686"/>
      <c r="AF624" s="686"/>
      <c r="AG624" s="686"/>
      <c r="AH624" s="687"/>
      <c r="AI624" s="686"/>
      <c r="AJ624" s="686"/>
      <c r="AK624" s="686"/>
      <c r="AL624" s="686"/>
      <c r="AM624" s="686"/>
      <c r="AN624" s="686"/>
      <c r="AO624" s="686"/>
      <c r="AP624" s="686"/>
      <c r="AQ624" s="686"/>
      <c r="AR624" s="686"/>
      <c r="AS624" s="686"/>
      <c r="AT624" s="686"/>
      <c r="AU624" s="686"/>
      <c r="AV624" s="686"/>
      <c r="AW624" s="686"/>
      <c r="AX624" s="686"/>
      <c r="AY624" s="686"/>
      <c r="AZ624" s="686"/>
      <c r="BA624" s="686"/>
      <c r="BB624" s="686"/>
      <c r="BC624" s="686"/>
      <c r="BD624" s="686"/>
      <c r="BE624" s="686"/>
      <c r="BF624" s="686"/>
      <c r="BG624" s="686"/>
      <c r="BH624" s="686"/>
      <c r="BI624" s="686"/>
      <c r="BJ624" s="686"/>
      <c r="BK624" s="686"/>
      <c r="BL624" s="686"/>
      <c r="BM624" s="686"/>
      <c r="BN624" s="686"/>
      <c r="BO624" s="686"/>
      <c r="BP624" s="686"/>
      <c r="BQ624" s="686"/>
      <c r="BR624" s="686"/>
      <c r="BS624" s="686"/>
      <c r="BT624" s="686"/>
    </row>
    <row r="625" spans="1:72" s="688" customFormat="1" ht="15" hidden="1" customHeight="1" outlineLevel="1">
      <c r="A625" s="3184" t="s">
        <v>439</v>
      </c>
      <c r="B625" s="3185"/>
      <c r="C625" s="3182" t="s">
        <v>777</v>
      </c>
      <c r="D625" s="3182"/>
      <c r="E625" s="1249"/>
      <c r="F625" s="1016">
        <f>IF(SETUP!$F$22="Upfront",$E$624*'HIV-Pharmaceuticals'!AX16,0)</f>
        <v>0</v>
      </c>
      <c r="G625" s="920">
        <f>IF(SETUP!$F$22="Upfront",$E$624*'HIV-Pharmaceuticals'!AY16,0)</f>
        <v>0</v>
      </c>
      <c r="H625" s="920">
        <f>IF(SETUP!$F$22="Upfront",$E$624*'HIV-Pharmaceuticals'!AZ16,0)</f>
        <v>0</v>
      </c>
      <c r="I625" s="920">
        <f>IF(SETUP!$F$22="Upfront",$E$624*'HIV-Pharmaceuticals'!BA16,0)</f>
        <v>0</v>
      </c>
      <c r="J625" s="920">
        <f t="shared" si="95"/>
        <v>0</v>
      </c>
      <c r="K625" s="1016">
        <f>IF(SETUP!$F$22="Upfront",$E$624*'HIV-Pharmaceuticals'!BB16,0)</f>
        <v>0</v>
      </c>
      <c r="L625" s="920">
        <f>IF(SETUP!$F$22="Upfront",$E$624*'HIV-Pharmaceuticals'!BC16,0)</f>
        <v>0</v>
      </c>
      <c r="M625" s="920">
        <f>IF(SETUP!$F$22="Upfront",$E$624*'HIV-Pharmaceuticals'!BD16,0)</f>
        <v>0</v>
      </c>
      <c r="N625" s="920">
        <f>IF(SETUP!$F$22="Upfront",$E$624*'HIV-Pharmaceuticals'!BE16,0)</f>
        <v>0</v>
      </c>
      <c r="O625" s="920">
        <f t="shared" si="96"/>
        <v>0</v>
      </c>
      <c r="P625" s="1016">
        <f>IF(SETUP!$F$22="Upfront",$E$624*'HIV-Pharmaceuticals'!BF16,0)</f>
        <v>0</v>
      </c>
      <c r="Q625" s="920">
        <f>IF(SETUP!$F$22="Upfront",$E$624*'HIV-Pharmaceuticals'!BG16,0)</f>
        <v>0</v>
      </c>
      <c r="R625" s="920">
        <f>IF(SETUP!$F$22="Upfront",$E$624*'HIV-Pharmaceuticals'!BH16,0)</f>
        <v>0</v>
      </c>
      <c r="S625" s="920">
        <f>IF(SETUP!$F$22="Upfront",$E$624*'HIV-Pharmaceuticals'!BI16,0)</f>
        <v>0</v>
      </c>
      <c r="T625" s="920">
        <f t="shared" si="97"/>
        <v>0</v>
      </c>
      <c r="U625" s="1016">
        <f t="shared" si="98"/>
        <v>0</v>
      </c>
      <c r="V625" s="1344">
        <v>7.7</v>
      </c>
      <c r="W625" s="2011"/>
      <c r="X625" s="575"/>
      <c r="Y625" s="685"/>
      <c r="Z625" s="655"/>
      <c r="AA625" s="686"/>
      <c r="AB625" s="686"/>
      <c r="AC625" s="686"/>
      <c r="AD625" s="686"/>
      <c r="AE625" s="686"/>
      <c r="AF625" s="686"/>
      <c r="AG625" s="686"/>
      <c r="AH625" s="687"/>
      <c r="AI625" s="686"/>
      <c r="AJ625" s="686"/>
      <c r="AK625" s="686"/>
      <c r="AL625" s="686"/>
      <c r="AM625" s="686"/>
      <c r="AN625" s="686"/>
      <c r="AO625" s="686"/>
      <c r="AP625" s="686"/>
      <c r="AQ625" s="686"/>
      <c r="AR625" s="686"/>
      <c r="AS625" s="686"/>
      <c r="AT625" s="686"/>
      <c r="AU625" s="686"/>
      <c r="AV625" s="686"/>
      <c r="AW625" s="686"/>
      <c r="AX625" s="686"/>
      <c r="AY625" s="686"/>
      <c r="AZ625" s="686"/>
      <c r="BA625" s="686"/>
      <c r="BB625" s="686"/>
      <c r="BC625" s="686"/>
      <c r="BD625" s="686"/>
      <c r="BE625" s="686"/>
      <c r="BF625" s="686"/>
      <c r="BG625" s="686"/>
      <c r="BH625" s="686"/>
      <c r="BI625" s="686"/>
      <c r="BJ625" s="686"/>
      <c r="BK625" s="686"/>
      <c r="BL625" s="686"/>
      <c r="BM625" s="686"/>
      <c r="BN625" s="686"/>
      <c r="BO625" s="686"/>
      <c r="BP625" s="686"/>
      <c r="BQ625" s="686"/>
      <c r="BR625" s="686"/>
      <c r="BS625" s="686"/>
      <c r="BT625" s="686"/>
    </row>
    <row r="626" spans="1:72" s="688" customFormat="1" ht="12.75" hidden="1" customHeight="1" outlineLevel="1" thickBot="1">
      <c r="A626" s="3184"/>
      <c r="B626" s="3185"/>
      <c r="C626" s="3182" t="s">
        <v>36</v>
      </c>
      <c r="D626" s="3182"/>
      <c r="E626" s="1249"/>
      <c r="F626" s="1016">
        <v>0</v>
      </c>
      <c r="G626" s="920">
        <f>IF(SETUP!$F$22="At delivery",IF(SETUP!$G$22=1,$E$624*'HIV-Pharmaceuticals'!AX16,0),0)</f>
        <v>0</v>
      </c>
      <c r="H626" s="920">
        <f>IF(SETUP!$F$22="At delivery",IF(SETUP!$G$22=2,$E$624*'HIV-Pharmaceuticals'!AX16,IF(SETUP!$G$22=1,$E$624*'HIV-Pharmaceuticals'!AY16,0)),0)</f>
        <v>0</v>
      </c>
      <c r="I626" s="920">
        <f>IF(SETUP!$F$22="At delivery",IF(SETUP!$G$22=3,$E$624*'HIV-Pharmaceuticals'!AX16,IF(SETUP!$G$22=2,$E$624*'HIV-Pharmaceuticals'!AY16,IF(SETUP!$G$22=1,$E$624*'HIV-Pharmaceuticals'!AZ16,0))),0)</f>
        <v>0</v>
      </c>
      <c r="J626" s="920">
        <f t="shared" si="95"/>
        <v>0</v>
      </c>
      <c r="K626" s="1016">
        <f>IF(SETUP!$F$22="At delivery",IF(SETUP!$G$22=4,$E$624*'HIV-Pharmaceuticals'!AX16,IF(SETUP!$G$22=3,$E$624*'HIV-Pharmaceuticals'!AY16,IF(SETUP!$G$22=2,$E$624*'HIV-Pharmaceuticals'!AZ16,IF(SETUP!$G$22=1,$E$624*'HIV-Pharmaceuticals'!BA16,0)))),0)</f>
        <v>0</v>
      </c>
      <c r="L626" s="920">
        <f>IF(SETUP!$F$22="At delivery",IF(SETUP!$G$22=4,$E$624*'HIV-Pharmaceuticals'!AY16,IF(SETUP!$G$22=3,$E$624*'HIV-Pharmaceuticals'!AZ16,IF(SETUP!$G$22=2,$E$624*'HIV-Pharmaceuticals'!BA16,IF(SETUP!$G$22=1,$E$624*'HIV-Pharmaceuticals'!BB16,0)))),0)</f>
        <v>0</v>
      </c>
      <c r="M626" s="920">
        <f>IF(SETUP!$F$22="At delivery",IF(SETUP!$G$22=4,$E$624*'HIV-Pharmaceuticals'!AZ16,IF(SETUP!$G$22=3,$E$624*'HIV-Pharmaceuticals'!BA16,IF(SETUP!$G$22=2,$E$624*'HIV-Pharmaceuticals'!BB16,IF(SETUP!$G$22=1,$E$624*'HIV-Pharmaceuticals'!BC16,0)))),0)</f>
        <v>0</v>
      </c>
      <c r="N626" s="920">
        <f>IF(SETUP!$F$22="At delivery",IF(SETUP!$G$22=4,$E$624*'HIV-Pharmaceuticals'!BA16,IF(SETUP!$G$22=3,$E$624*'HIV-Pharmaceuticals'!BB16,IF(SETUP!$G$22=2,$E$624*'HIV-Pharmaceuticals'!BC16,IF(SETUP!$G$22=1,$E$624*'HIV-Pharmaceuticals'!BD16,0)))),0)</f>
        <v>0</v>
      </c>
      <c r="O626" s="920">
        <f t="shared" si="96"/>
        <v>0</v>
      </c>
      <c r="P626" s="1016">
        <f>IF(SETUP!$F$22="At delivery",IF(SETUP!$G$22=4,$E$624*'HIV-Pharmaceuticals'!BB16,IF(SETUP!$G$22=3,$E$624*'HIV-Pharmaceuticals'!BC16,IF(SETUP!$G$22=2,$E$624*'HIV-Pharmaceuticals'!BD16,IF(SETUP!$G$22=1,$E$624*'HIV-Pharmaceuticals'!BE16,0)))),0)</f>
        <v>0</v>
      </c>
      <c r="Q626" s="920">
        <f>IF(SETUP!$F$22="At delivery",IF(SETUP!$G$22=4,$E$624*'HIV-Pharmaceuticals'!BC16,IF(SETUP!$G$22=3,$E$624*'HIV-Pharmaceuticals'!BD16,IF(SETUP!$G$22=2,$E$624*'HIV-Pharmaceuticals'!BE16,IF(SETUP!$G$22=1,$E$624*'HIV-Pharmaceuticals'!BF16,0)))),0)</f>
        <v>0</v>
      </c>
      <c r="R626" s="920">
        <f>IF(SETUP!$F$22="At delivery",IF(SETUP!$G$22=4,$E$624*'HIV-Pharmaceuticals'!BD16,IF(SETUP!$G$22=3,$E$624*'HIV-Pharmaceuticals'!BE16,IF(SETUP!$G$22=2,$E$624*'HIV-Pharmaceuticals'!BF16,IF(SETUP!$G$22=1,$E$624*'HIV-Pharmaceuticals'!BG16,0)))),0)</f>
        <v>0</v>
      </c>
      <c r="S626" s="920">
        <f>IF(SETUP!$F$22="At delivery",IF(SETUP!$G$22=4,$E$624*('HIV-Pharmaceuticals'!BE16+'HIV-Pharmaceuticals'!BF16+'HIV-Pharmaceuticals'!BG16+'HIV-Pharmaceuticals'!BH16+'HIV-Pharmaceuticals'!BI16),IF(SETUP!$G$22=3,$E$624*('HIV-Pharmaceuticals'!BF16+'HIV-Pharmaceuticals'!BG16+'HIV-Pharmaceuticals'!BH16+'HIV-Pharmaceuticals'!BI16),IF(SETUP!$G$22=2,$E$624*('HIV-Pharmaceuticals'!BG16+'HIV-Pharmaceuticals'!BH16+'HIV-Pharmaceuticals'!BI16),IF(SETUP!$G$22=1,$E$624*('HIV-Pharmaceuticals'!BH16+'HIV-Pharmaceuticals'!BI16),0)))),0)</f>
        <v>0</v>
      </c>
      <c r="T626" s="920">
        <f t="shared" si="97"/>
        <v>0</v>
      </c>
      <c r="U626" s="1016">
        <f t="shared" si="98"/>
        <v>0</v>
      </c>
      <c r="V626" s="1344">
        <v>7.7</v>
      </c>
      <c r="W626" s="2011"/>
      <c r="X626" s="575"/>
      <c r="Y626" s="685"/>
      <c r="Z626" s="655"/>
      <c r="AA626" s="686"/>
      <c r="AB626" s="686"/>
      <c r="AC626" s="686"/>
      <c r="AD626" s="686"/>
      <c r="AE626" s="686"/>
      <c r="AF626" s="686"/>
      <c r="AG626" s="686"/>
      <c r="AH626" s="687"/>
      <c r="AI626" s="686"/>
      <c r="AJ626" s="686"/>
      <c r="AK626" s="686"/>
      <c r="AL626" s="686"/>
      <c r="AM626" s="686"/>
      <c r="AN626" s="686"/>
      <c r="AO626" s="686"/>
      <c r="AP626" s="686"/>
      <c r="AQ626" s="686"/>
      <c r="AR626" s="686"/>
      <c r="AS626" s="686"/>
      <c r="AT626" s="686"/>
      <c r="AU626" s="686"/>
      <c r="AV626" s="686"/>
      <c r="AW626" s="686"/>
      <c r="AX626" s="686"/>
      <c r="AY626" s="686"/>
      <c r="AZ626" s="686"/>
      <c r="BA626" s="686"/>
      <c r="BB626" s="686"/>
      <c r="BC626" s="686"/>
      <c r="BD626" s="686"/>
      <c r="BE626" s="686"/>
      <c r="BF626" s="686"/>
      <c r="BG626" s="686"/>
      <c r="BH626" s="686"/>
      <c r="BI626" s="686"/>
      <c r="BJ626" s="686"/>
      <c r="BK626" s="686"/>
      <c r="BL626" s="686"/>
      <c r="BM626" s="686"/>
      <c r="BN626" s="686"/>
      <c r="BO626" s="686"/>
      <c r="BP626" s="686"/>
      <c r="BQ626" s="686"/>
      <c r="BR626" s="686"/>
      <c r="BS626" s="686"/>
      <c r="BT626" s="686"/>
    </row>
    <row r="627" spans="1:72" s="688" customFormat="1" ht="13.5" collapsed="1" thickBot="1">
      <c r="A627" s="3184"/>
      <c r="B627" s="3185"/>
      <c r="C627" s="3202" t="s">
        <v>1390</v>
      </c>
      <c r="D627" s="3202"/>
      <c r="E627" s="1245">
        <v>0</v>
      </c>
      <c r="F627" s="1016">
        <f>IF(SETUP!$F$23="Upfront",F628,F629)</f>
        <v>0</v>
      </c>
      <c r="G627" s="920">
        <f>IF(SETUP!$F$23="Upfront",G628,G629)</f>
        <v>0</v>
      </c>
      <c r="H627" s="920">
        <f>IF(SETUP!$F$23="Upfront",H628,H629)</f>
        <v>0</v>
      </c>
      <c r="I627" s="920">
        <f>IF(SETUP!$F$23="Upfront",I628,I629)</f>
        <v>0</v>
      </c>
      <c r="J627" s="920">
        <f t="shared" si="95"/>
        <v>0</v>
      </c>
      <c r="K627" s="1016">
        <f>IF(SETUP!$F$23="Upfront",K628,K629)</f>
        <v>0</v>
      </c>
      <c r="L627" s="920">
        <f>IF(SETUP!$F$23="Upfront",L628,L629)</f>
        <v>0</v>
      </c>
      <c r="M627" s="920">
        <f>IF(SETUP!$F$23="Upfront",M628,M629)</f>
        <v>0</v>
      </c>
      <c r="N627" s="920">
        <f>IF(SETUP!$F$23="Upfront",N628,N629)</f>
        <v>0</v>
      </c>
      <c r="O627" s="920">
        <f t="shared" si="96"/>
        <v>0</v>
      </c>
      <c r="P627" s="1016">
        <f>IF(SETUP!$F$23="Upfront",P628,P629)</f>
        <v>0</v>
      </c>
      <c r="Q627" s="920">
        <f>IF(SETUP!$F$23="Upfront",Q628,Q629)</f>
        <v>0</v>
      </c>
      <c r="R627" s="920">
        <f>IF(SETUP!$F$23="Upfront",R628,R629)</f>
        <v>0</v>
      </c>
      <c r="S627" s="920">
        <f>IF(SETUP!$F$23="Upfront",S628,S629)</f>
        <v>0</v>
      </c>
      <c r="T627" s="920">
        <f t="shared" si="97"/>
        <v>0</v>
      </c>
      <c r="U627" s="1016">
        <f t="shared" si="98"/>
        <v>0</v>
      </c>
      <c r="V627" s="1344">
        <v>7.7</v>
      </c>
      <c r="W627" s="2011"/>
      <c r="X627" s="575"/>
      <c r="Y627" s="685"/>
      <c r="Z627" s="655"/>
      <c r="AA627" s="686"/>
      <c r="AB627" s="686"/>
      <c r="AC627" s="686"/>
      <c r="AD627" s="686"/>
      <c r="AE627" s="686"/>
      <c r="AF627" s="686"/>
      <c r="AG627" s="686"/>
      <c r="AH627" s="687"/>
      <c r="AI627" s="686"/>
      <c r="AJ627" s="686"/>
      <c r="AK627" s="686"/>
      <c r="AL627" s="686"/>
      <c r="AM627" s="686"/>
      <c r="AN627" s="686"/>
      <c r="AO627" s="686"/>
      <c r="AP627" s="686"/>
      <c r="AQ627" s="686"/>
      <c r="AR627" s="686"/>
      <c r="AS627" s="686"/>
      <c r="AT627" s="686"/>
      <c r="AU627" s="686"/>
      <c r="AV627" s="686"/>
      <c r="AW627" s="686"/>
      <c r="AX627" s="686"/>
      <c r="AY627" s="686"/>
      <c r="AZ627" s="686"/>
      <c r="BA627" s="686"/>
      <c r="BB627" s="686"/>
      <c r="BC627" s="686"/>
      <c r="BD627" s="686"/>
      <c r="BE627" s="686"/>
      <c r="BF627" s="686"/>
      <c r="BG627" s="686"/>
      <c r="BH627" s="686"/>
      <c r="BI627" s="686"/>
      <c r="BJ627" s="686"/>
      <c r="BK627" s="686"/>
      <c r="BL627" s="686"/>
      <c r="BM627" s="686"/>
      <c r="BN627" s="686"/>
      <c r="BO627" s="686"/>
      <c r="BP627" s="686"/>
      <c r="BQ627" s="686"/>
      <c r="BR627" s="686"/>
      <c r="BS627" s="686"/>
      <c r="BT627" s="686"/>
    </row>
    <row r="628" spans="1:72" s="688" customFormat="1" ht="12.75" hidden="1" customHeight="1" outlineLevel="1">
      <c r="A628" s="3184"/>
      <c r="B628" s="3185"/>
      <c r="C628" s="3182" t="s">
        <v>777</v>
      </c>
      <c r="D628" s="3182"/>
      <c r="E628" s="1250"/>
      <c r="F628" s="1016">
        <f>IF(SETUP!$F$23="Upfront",$E$627*'HIV-Equipment'!AW14,0)</f>
        <v>0</v>
      </c>
      <c r="G628" s="920">
        <f>IF(SETUP!$F$23="Upfront",$E$627*'HIV-Equipment'!AX14,0)</f>
        <v>0</v>
      </c>
      <c r="H628" s="920">
        <f>IF(SETUP!$F$23="Upfront",$E$627*'HIV-Equipment'!AY14,0)</f>
        <v>0</v>
      </c>
      <c r="I628" s="920">
        <f>IF(SETUP!$F$23="Upfront",$E$627*'HIV-Equipment'!AZ14,0)</f>
        <v>0</v>
      </c>
      <c r="J628" s="920">
        <f t="shared" si="95"/>
        <v>0</v>
      </c>
      <c r="K628" s="1016">
        <f>IF(SETUP!$F$23="Upfront",$E$627*'HIV-Equipment'!BA14,0)</f>
        <v>0</v>
      </c>
      <c r="L628" s="920">
        <f>IF(SETUP!$F$23="Upfront",$E$627*'HIV-Equipment'!BB14,0)</f>
        <v>0</v>
      </c>
      <c r="M628" s="920">
        <f>IF(SETUP!$F$23="Upfront",$E$627*'HIV-Equipment'!BC14,0)</f>
        <v>0</v>
      </c>
      <c r="N628" s="920">
        <f>IF(SETUP!$F$23="Upfront",$E$627*'HIV-Equipment'!BD14,0)</f>
        <v>0</v>
      </c>
      <c r="O628" s="920">
        <f t="shared" si="96"/>
        <v>0</v>
      </c>
      <c r="P628" s="1016">
        <f>IF(SETUP!$F$23="Upfront",$E$627*'HIV-Equipment'!BE14,0)</f>
        <v>0</v>
      </c>
      <c r="Q628" s="920">
        <f>IF(SETUP!$F$23="Upfront",$E$627*'HIV-Equipment'!BF14,0)</f>
        <v>0</v>
      </c>
      <c r="R628" s="920">
        <f>IF(SETUP!$F$23="Upfront",$E$627*'HIV-Equipment'!BG14,0)</f>
        <v>0</v>
      </c>
      <c r="S628" s="920">
        <f>IF(SETUP!$F$23="Upfront",$E$627*'HIV-Equipment'!BH14,0)</f>
        <v>0</v>
      </c>
      <c r="T628" s="920">
        <f t="shared" si="97"/>
        <v>0</v>
      </c>
      <c r="U628" s="1016">
        <f t="shared" si="98"/>
        <v>0</v>
      </c>
      <c r="V628" s="1344">
        <v>7.7</v>
      </c>
      <c r="W628" s="2011"/>
      <c r="X628" s="575"/>
      <c r="Y628" s="685"/>
      <c r="Z628" s="655"/>
      <c r="AA628" s="686"/>
      <c r="AB628" s="686"/>
      <c r="AC628" s="686"/>
      <c r="AD628" s="686"/>
      <c r="AE628" s="686"/>
      <c r="AF628" s="686"/>
      <c r="AG628" s="686"/>
      <c r="AH628" s="687"/>
      <c r="AI628" s="686"/>
      <c r="AJ628" s="686"/>
      <c r="AK628" s="686"/>
      <c r="AL628" s="686"/>
      <c r="AM628" s="686"/>
      <c r="AN628" s="686"/>
      <c r="AO628" s="686"/>
      <c r="AP628" s="686"/>
      <c r="AQ628" s="686"/>
      <c r="AR628" s="686"/>
      <c r="AS628" s="686"/>
      <c r="AT628" s="686"/>
      <c r="AU628" s="686"/>
      <c r="AV628" s="686"/>
      <c r="AW628" s="686"/>
      <c r="AX628" s="686"/>
      <c r="AY628" s="686"/>
      <c r="AZ628" s="686"/>
      <c r="BA628" s="686"/>
      <c r="BB628" s="686"/>
      <c r="BC628" s="686"/>
      <c r="BD628" s="686"/>
      <c r="BE628" s="686"/>
      <c r="BF628" s="686"/>
      <c r="BG628" s="686"/>
      <c r="BH628" s="686"/>
      <c r="BI628" s="686"/>
      <c r="BJ628" s="686"/>
      <c r="BK628" s="686"/>
      <c r="BL628" s="686"/>
      <c r="BM628" s="686"/>
      <c r="BN628" s="686"/>
      <c r="BO628" s="686"/>
      <c r="BP628" s="686"/>
      <c r="BQ628" s="686"/>
      <c r="BR628" s="686"/>
      <c r="BS628" s="686"/>
      <c r="BT628" s="686"/>
    </row>
    <row r="629" spans="1:72" s="688" customFormat="1" ht="12.75" hidden="1" customHeight="1" outlineLevel="1">
      <c r="A629" s="3184"/>
      <c r="B629" s="3185"/>
      <c r="C629" s="3182" t="s">
        <v>36</v>
      </c>
      <c r="D629" s="3182"/>
      <c r="E629" s="1249"/>
      <c r="F629" s="1016">
        <v>0</v>
      </c>
      <c r="G629" s="920">
        <f>IF(SETUP!$F$23="At delivery",IF(SETUP!$G$23=1,$E$627*'HIV-Equipment'!AW14,0),0)</f>
        <v>0</v>
      </c>
      <c r="H629" s="920">
        <f>IF(SETUP!$F$23="At delivery",IF(SETUP!$G$23=2,$E$627*'HIV-Equipment'!AW14,IF(SETUP!$G$23=1,$E$627*'HIV-Equipment'!AX14,0)),0)</f>
        <v>0</v>
      </c>
      <c r="I629" s="920">
        <f>IF(SETUP!$F$23="At delivery",IF(SETUP!$G$23=3,$E$627*'HIV-Equipment'!AW14,IF(SETUP!$G$23=2,$E$627*'HIV-Equipment'!AX14,IF(SETUP!$G$23=1,$E$627*'HIV-Equipment'!AY14,0))),0)</f>
        <v>0</v>
      </c>
      <c r="J629" s="920">
        <f t="shared" si="95"/>
        <v>0</v>
      </c>
      <c r="K629" s="1016">
        <f>IF(SETUP!$F$23="At delivery",IF(SETUP!$G$23=4,$E$627*'HIV-Equipment'!AW14,IF(SETUP!$G$23=3,$E$627*'HIV-Equipment'!AX14,IF(SETUP!$G$23=2,$E$627*'HIV-Equipment'!AY14,IF(SETUP!$G$23=1,$E$627*'HIV-Equipment'!AZ14,0)))),0)</f>
        <v>0</v>
      </c>
      <c r="L629" s="920">
        <f>IF(SETUP!$F$23="At delivery",IF(SETUP!$G$23=4,$E$627*'HIV-Equipment'!AX14,IF(SETUP!$G$23=3,$E$627*'HIV-Equipment'!AY14,IF(SETUP!$G$23=2,$E$627*'HIV-Equipment'!AZ14,IF(SETUP!$G$23=1,$E$627*'HIV-Equipment'!BA14,0)))),0)</f>
        <v>0</v>
      </c>
      <c r="M629" s="920">
        <f>IF(SETUP!$F$23="At delivery",IF(SETUP!$G$23=4,$E$627*'HIV-Equipment'!AY14,IF(SETUP!$G$23=3,$E$627*'HIV-Equipment'!AZ14,IF(SETUP!$G$23=2,$E$627*'HIV-Equipment'!BA14,IF(SETUP!$G$23=1,$E$627*'HIV-Equipment'!BB14,0)))),0)</f>
        <v>0</v>
      </c>
      <c r="N629" s="920">
        <f>IF(SETUP!$F$23="At delivery",IF(SETUP!$G$23=4,$E$627*'HIV-Equipment'!AZ14,IF(SETUP!$G$23=3,$E$627*'HIV-Equipment'!BA14,IF(SETUP!$G$23=2,$E$627*'HIV-Equipment'!BB14,IF(SETUP!$G$23=1,$E$627*'HIV-Equipment'!BC14,0)))),0)</f>
        <v>0</v>
      </c>
      <c r="O629" s="920">
        <f t="shared" si="96"/>
        <v>0</v>
      </c>
      <c r="P629" s="1016">
        <f>IF(SETUP!$F$23="At delivery",IF(SETUP!$G$23=4,$E$627*'HIV-Equipment'!BA14,IF(SETUP!$G$23=3,$E$627*'HIV-Equipment'!BB14,IF(SETUP!$G$23=2,$E$627*'HIV-Equipment'!BC14,IF(SETUP!$G$23=1,$E$627*'HIV-Equipment'!BD14,0)))),0)</f>
        <v>0</v>
      </c>
      <c r="Q629" s="920">
        <f>IF(SETUP!$F$23="At delivery",IF(SETUP!$G$23=4,$E$627*'HIV-Equipment'!BB14,IF(SETUP!$G$23=3,$E$627*'HIV-Equipment'!BC14,IF(SETUP!$G$23=2,$E$627*'HIV-Equipment'!BD14,IF(SETUP!$G$23=1,$E$627*'HIV-Equipment'!BE14,0)))),0)</f>
        <v>0</v>
      </c>
      <c r="R629" s="920">
        <f>IF(SETUP!$F$23="At delivery",IF(SETUP!$G$23=4,$E$627*'HIV-Equipment'!BC14,IF(SETUP!$G$23=3,$E$627*'HIV-Equipment'!BD14,IF(SETUP!$G$23=2,$E$627*'HIV-Equipment'!BE14,IF(SETUP!$G$23=1,$E$627*'HIV-Equipment'!BF14,0)))),0)</f>
        <v>0</v>
      </c>
      <c r="S629" s="920">
        <f>IF(SETUP!$F$23="At delivery",IF(SETUP!$G$23=4,$E$627*('HIV-Equipment'!BD14+'HIV-Equipment'!BE14+'HIV-Equipment'!BF14+'HIV-Equipment'!BG14+'HIV-Equipment'!BH14),IF(SETUP!$G$23=3,$E$627*('HIV-Equipment'!BE14+'HIV-Equipment'!BF14+'HIV-Equipment'!BG14+'HIV-Equipment'!BH14),IF(SETUP!$G$23=2,$E$627*('HIV-Equipment'!BF14+'HIV-Equipment'!BG14+'HIV-Equipment'!BH14),IF(SETUP!$G$23=1,$E$627*('HIV-Equipment'!BG14+'HIV-Equipment'!BH14),0)))),0)</f>
        <v>0</v>
      </c>
      <c r="T629" s="920">
        <f t="shared" si="97"/>
        <v>0</v>
      </c>
      <c r="U629" s="1016">
        <f t="shared" si="98"/>
        <v>0</v>
      </c>
      <c r="V629" s="1344">
        <v>7.7</v>
      </c>
      <c r="W629" s="2011"/>
      <c r="X629" s="575"/>
      <c r="Y629" s="685"/>
      <c r="Z629" s="655"/>
      <c r="AA629" s="686"/>
      <c r="AB629" s="686"/>
      <c r="AC629" s="686"/>
      <c r="AD629" s="686"/>
      <c r="AE629" s="686"/>
      <c r="AF629" s="686"/>
      <c r="AG629" s="686"/>
      <c r="AH629" s="687"/>
      <c r="AI629" s="686"/>
      <c r="AJ629" s="686"/>
      <c r="AK629" s="686"/>
      <c r="AL629" s="686"/>
      <c r="AM629" s="686"/>
      <c r="AN629" s="686"/>
      <c r="AO629" s="686"/>
      <c r="AP629" s="686"/>
      <c r="AQ629" s="686"/>
      <c r="AR629" s="686"/>
      <c r="AS629" s="686"/>
      <c r="AT629" s="686"/>
      <c r="AU629" s="686"/>
      <c r="AV629" s="686"/>
      <c r="AW629" s="686"/>
      <c r="AX629" s="686"/>
      <c r="AY629" s="686"/>
      <c r="AZ629" s="686"/>
      <c r="BA629" s="686"/>
      <c r="BB629" s="686"/>
      <c r="BC629" s="686"/>
      <c r="BD629" s="686"/>
      <c r="BE629" s="686"/>
      <c r="BF629" s="686"/>
      <c r="BG629" s="686"/>
      <c r="BH629" s="686"/>
      <c r="BI629" s="686"/>
      <c r="BJ629" s="686"/>
      <c r="BK629" s="686"/>
      <c r="BL629" s="686"/>
      <c r="BM629" s="686"/>
      <c r="BN629" s="686"/>
      <c r="BO629" s="686"/>
      <c r="BP629" s="686"/>
      <c r="BQ629" s="686"/>
      <c r="BR629" s="686"/>
      <c r="BS629" s="686"/>
      <c r="BT629" s="686"/>
    </row>
    <row r="630" spans="1:72" s="688" customFormat="1" ht="13.5" collapsed="1" thickBot="1">
      <c r="A630" s="3184" t="s">
        <v>440</v>
      </c>
      <c r="B630" s="3185"/>
      <c r="C630" s="3188" t="s">
        <v>213</v>
      </c>
      <c r="D630" s="3188"/>
      <c r="E630" s="1245">
        <v>0</v>
      </c>
      <c r="F630" s="1016">
        <f>IF(SETUP!$F$27="Upfront",F631,F632)</f>
        <v>0</v>
      </c>
      <c r="G630" s="920">
        <f>IF(SETUP!$F$27="Upfront",G631,G632)</f>
        <v>0</v>
      </c>
      <c r="H630" s="920">
        <f>IF(SETUP!$F$27="Upfront",H631,H632)</f>
        <v>0</v>
      </c>
      <c r="I630" s="920">
        <f>IF(SETUP!$F$27="Upfront",I631,I632)</f>
        <v>0</v>
      </c>
      <c r="J630" s="920">
        <f t="shared" si="95"/>
        <v>0</v>
      </c>
      <c r="K630" s="1016">
        <f>IF(SETUP!$F$27="Upfront",K631,K632)</f>
        <v>0</v>
      </c>
      <c r="L630" s="920">
        <f>IF(SETUP!$F$27="Upfront",L631,L632)</f>
        <v>0</v>
      </c>
      <c r="M630" s="920">
        <f>IF(SETUP!$F$27="Upfront",M631,M632)</f>
        <v>0</v>
      </c>
      <c r="N630" s="920">
        <f>IF(SETUP!$F$27="Upfront",N631,N632)</f>
        <v>0</v>
      </c>
      <c r="O630" s="920">
        <f t="shared" si="96"/>
        <v>0</v>
      </c>
      <c r="P630" s="1016">
        <f>IF(SETUP!$F$27="Upfront",P631,P632)</f>
        <v>0</v>
      </c>
      <c r="Q630" s="920">
        <f>IF(SETUP!$F$27="Upfront",Q631,Q632)</f>
        <v>0</v>
      </c>
      <c r="R630" s="920">
        <f>IF(SETUP!$F$27="Upfront",R631,R632)</f>
        <v>0</v>
      </c>
      <c r="S630" s="920">
        <f>IF(SETUP!$F$27="Upfront",S631,S632)</f>
        <v>0</v>
      </c>
      <c r="T630" s="920">
        <f t="shared" si="97"/>
        <v>0</v>
      </c>
      <c r="U630" s="1016">
        <f t="shared" si="98"/>
        <v>0</v>
      </c>
      <c r="V630" s="1344">
        <v>7.7</v>
      </c>
      <c r="W630" s="2011"/>
      <c r="X630" s="575"/>
      <c r="Y630" s="685"/>
      <c r="Z630" s="655"/>
      <c r="AA630" s="686"/>
      <c r="AB630" s="686"/>
      <c r="AC630" s="686"/>
      <c r="AD630" s="686"/>
      <c r="AE630" s="686"/>
      <c r="AF630" s="686"/>
      <c r="AG630" s="686"/>
      <c r="AH630" s="687"/>
      <c r="AI630" s="686"/>
      <c r="AJ630" s="686"/>
      <c r="AK630" s="686"/>
      <c r="AL630" s="686"/>
      <c r="AM630" s="686"/>
      <c r="AN630" s="686"/>
      <c r="AO630" s="686"/>
      <c r="AP630" s="686"/>
      <c r="AQ630" s="686"/>
      <c r="AR630" s="686"/>
      <c r="AS630" s="686"/>
      <c r="AT630" s="686"/>
      <c r="AU630" s="686"/>
      <c r="AV630" s="686"/>
      <c r="AW630" s="686"/>
      <c r="AX630" s="686"/>
      <c r="AY630" s="686"/>
      <c r="AZ630" s="686"/>
      <c r="BA630" s="686"/>
      <c r="BB630" s="686"/>
      <c r="BC630" s="686"/>
      <c r="BD630" s="686"/>
      <c r="BE630" s="686"/>
      <c r="BF630" s="686"/>
      <c r="BG630" s="686"/>
      <c r="BH630" s="686"/>
      <c r="BI630" s="686"/>
      <c r="BJ630" s="686"/>
      <c r="BK630" s="686"/>
      <c r="BL630" s="686"/>
      <c r="BM630" s="686"/>
      <c r="BN630" s="686"/>
      <c r="BO630" s="686"/>
      <c r="BP630" s="686"/>
      <c r="BQ630" s="686"/>
      <c r="BR630" s="686"/>
      <c r="BS630" s="686"/>
      <c r="BT630" s="686"/>
    </row>
    <row r="631" spans="1:72" s="688" customFormat="1" ht="16.149999999999999" hidden="1" customHeight="1" outlineLevel="1">
      <c r="A631" s="3184"/>
      <c r="B631" s="3185"/>
      <c r="C631" s="3182" t="s">
        <v>777</v>
      </c>
      <c r="D631" s="3182"/>
      <c r="E631" s="1250"/>
      <c r="F631" s="1016">
        <f>IF(SETUP!$F$27="Upfront",$E$630*'HIV-Other HPs'!AX14,0)</f>
        <v>0</v>
      </c>
      <c r="G631" s="920">
        <f>IF(SETUP!$F$27="Upfront",$E$630*'HIV-Other HPs'!AY14,0)</f>
        <v>0</v>
      </c>
      <c r="H631" s="920">
        <f>IF(SETUP!$F$27="Upfront",$E$630*'HIV-Other HPs'!AZ14,0)</f>
        <v>0</v>
      </c>
      <c r="I631" s="920">
        <f>IF(SETUP!$F$27="Upfront",$E$630*'HIV-Other HPs'!BA14,0)</f>
        <v>0</v>
      </c>
      <c r="J631" s="920">
        <f t="shared" si="95"/>
        <v>0</v>
      </c>
      <c r="K631" s="1016">
        <f>IF(SETUP!$F$27="Upfront",$E$630*'HIV-Other HPs'!BB14,0)</f>
        <v>0</v>
      </c>
      <c r="L631" s="920">
        <f>IF(SETUP!$F$27="Upfront",$E$630*'HIV-Other HPs'!BC14,0)</f>
        <v>0</v>
      </c>
      <c r="M631" s="920">
        <f>IF(SETUP!$F$27="Upfront",$E$630*'HIV-Other HPs'!BD14,0)</f>
        <v>0</v>
      </c>
      <c r="N631" s="920">
        <f>IF(SETUP!$F$27="Upfront",$E$630*'HIV-Other HPs'!BE14,0)</f>
        <v>0</v>
      </c>
      <c r="O631" s="920">
        <f t="shared" si="96"/>
        <v>0</v>
      </c>
      <c r="P631" s="1016">
        <f>IF(SETUP!$F$27="Upfront",$E$630*'HIV-Other HPs'!BF14,0)</f>
        <v>0</v>
      </c>
      <c r="Q631" s="920">
        <f>IF(SETUP!$F$27="Upfront",$E$630*'HIV-Other HPs'!BG14,0)</f>
        <v>0</v>
      </c>
      <c r="R631" s="920">
        <f>IF(SETUP!$F$27="Upfront",$E$630*'HIV-Other HPs'!BH14,0)</f>
        <v>0</v>
      </c>
      <c r="S631" s="920">
        <f>IF(SETUP!$F$27="Upfront",$E$630*'HIV-Other HPs'!BI14,0)</f>
        <v>0</v>
      </c>
      <c r="T631" s="920">
        <f t="shared" si="97"/>
        <v>0</v>
      </c>
      <c r="U631" s="1016">
        <f t="shared" si="98"/>
        <v>0</v>
      </c>
      <c r="V631" s="1344">
        <v>7.7</v>
      </c>
      <c r="W631" s="2011"/>
      <c r="X631" s="575"/>
      <c r="Y631" s="685"/>
      <c r="Z631" s="655"/>
      <c r="AA631" s="686"/>
      <c r="AB631" s="686"/>
      <c r="AC631" s="686"/>
      <c r="AD631" s="686"/>
      <c r="AE631" s="686"/>
      <c r="AF631" s="686"/>
      <c r="AG631" s="686"/>
      <c r="AH631" s="687"/>
      <c r="AI631" s="686"/>
      <c r="AJ631" s="686"/>
      <c r="AK631" s="686"/>
      <c r="AL631" s="686"/>
      <c r="AM631" s="686"/>
      <c r="AN631" s="686"/>
      <c r="AO631" s="686"/>
      <c r="AP631" s="686"/>
      <c r="AQ631" s="686"/>
      <c r="AR631" s="686"/>
      <c r="AS631" s="686"/>
      <c r="AT631" s="686"/>
      <c r="AU631" s="686"/>
      <c r="AV631" s="686"/>
      <c r="AW631" s="686"/>
      <c r="AX631" s="686"/>
      <c r="AY631" s="686"/>
      <c r="AZ631" s="686"/>
      <c r="BA631" s="686"/>
      <c r="BB631" s="686"/>
      <c r="BC631" s="686"/>
      <c r="BD631" s="686"/>
      <c r="BE631" s="686"/>
      <c r="BF631" s="686"/>
      <c r="BG631" s="686"/>
      <c r="BH631" s="686"/>
      <c r="BI631" s="686"/>
      <c r="BJ631" s="686"/>
      <c r="BK631" s="686"/>
      <c r="BL631" s="686"/>
      <c r="BM631" s="686"/>
      <c r="BN631" s="686"/>
      <c r="BO631" s="686"/>
      <c r="BP631" s="686"/>
      <c r="BQ631" s="686"/>
      <c r="BR631" s="686"/>
      <c r="BS631" s="686"/>
      <c r="BT631" s="686"/>
    </row>
    <row r="632" spans="1:72" s="688" customFormat="1" ht="16.149999999999999" hidden="1" customHeight="1" outlineLevel="1">
      <c r="A632" s="3184"/>
      <c r="B632" s="3185"/>
      <c r="C632" s="3182" t="s">
        <v>36</v>
      </c>
      <c r="D632" s="3182"/>
      <c r="E632" s="1246"/>
      <c r="F632" s="1016">
        <v>0</v>
      </c>
      <c r="G632" s="920">
        <f>IF(SETUP!$F$27="At delivery",IF(SETUP!$G$27=1,$E$630*'HIV-Other HPs'!AX14,0),0)</f>
        <v>0</v>
      </c>
      <c r="H632" s="920">
        <f>IF(SETUP!$F$27="At delivery",IF(SETUP!$G$27=2,$E$630*'HIV-Other HPs'!AX14,IF(SETUP!$G$27=1,$E$630*'HIV-Other HPs'!AY14,0)),0)</f>
        <v>0</v>
      </c>
      <c r="I632" s="920">
        <f>IF(SETUP!$F$27="At delivery",IF(SETUP!$G$27=3,$E$630*'HIV-Other HPs'!AX14,IF(SETUP!$G$27=2,$E$630*'HIV-Other HPs'!AY14,IF(SETUP!$G$27=1,$E$630*'HIV-Other HPs'!AZ14,0))),0)</f>
        <v>0</v>
      </c>
      <c r="J632" s="920">
        <f t="shared" si="95"/>
        <v>0</v>
      </c>
      <c r="K632" s="1016">
        <f>IF(SETUP!$F$27="At delivery",IF(SETUP!$G$27=4,$E$630*'HIV-Other HPs'!AX14,IF(SETUP!$G$27=3,$E$630*'HIV-Other HPs'!AY14,IF(SETUP!$G$27=2,$E$630*'HIV-Other HPs'!AZ14,IF(SETUP!$G$27=1,$E$630*'HIV-Other HPs'!BA14,0)))),0)</f>
        <v>0</v>
      </c>
      <c r="L632" s="920">
        <f>IF(SETUP!$F$27="At delivery",IF(SETUP!$G$27=4,$E$630*'HIV-Other HPs'!AY14,IF(SETUP!$G$27=3,$E$630*'HIV-Other HPs'!AZ14,IF(SETUP!$G$27=2,$E$630*'HIV-Other HPs'!BA14,IF(SETUP!$G$27=1,$E$630*'HIV-Other HPs'!BB14,0)))),0)</f>
        <v>0</v>
      </c>
      <c r="M632" s="920">
        <f>IF(SETUP!$F$27="At delivery",IF(SETUP!$G$27=4,$E$630*'HIV-Other HPs'!AZ14,IF(SETUP!$G$27=3,$E$630*'HIV-Other HPs'!BA14,IF(SETUP!$G$27=2,$E$630*'HIV-Other HPs'!BB14,IF(SETUP!$G$27=1,$E$630*'HIV-Other HPs'!BC14,0)))),0)</f>
        <v>0</v>
      </c>
      <c r="N632" s="920">
        <f>IF(SETUP!$F$27="At delivery",IF(SETUP!$G$27=4,$E$630*'HIV-Other HPs'!BA14,IF(SETUP!$G$27=3,$E$630*'HIV-Other HPs'!BB14,IF(SETUP!$G$27=2,$E$630*'HIV-Other HPs'!BC14,IF(SETUP!$G$27=1,$E$630*'HIV-Other HPs'!BD14,0)))),0)</f>
        <v>0</v>
      </c>
      <c r="O632" s="920">
        <f t="shared" si="96"/>
        <v>0</v>
      </c>
      <c r="P632" s="1016">
        <f>IF(SETUP!$F$27="At delivery",IF(SETUP!$G$27=4,$E$630*'HIV-Other HPs'!BB14,IF(SETUP!$G$27=3,$E$630*'HIV-Other HPs'!BC14,IF(SETUP!$G$27=2,$E$630*'HIV-Other HPs'!BD14,IF(SETUP!$G$27=1,$E$630*'HIV-Other HPs'!BE14,0)))),0)</f>
        <v>0</v>
      </c>
      <c r="Q632" s="920">
        <f>IF(SETUP!$F$27="At delivery",IF(SETUP!$G$27=4,$E$630*'HIV-Other HPs'!BC14,IF(SETUP!$G$27=3,$E$630*'HIV-Other HPs'!BD14,IF(SETUP!$G$27=2,$E$630*'HIV-Other HPs'!BE14,IF(SETUP!$G$27=1,$E$630*'HIV-Other HPs'!BF14,0)))),0)</f>
        <v>0</v>
      </c>
      <c r="R632" s="920">
        <f>IF(SETUP!$F$27="At delivery",IF(SETUP!$G$27=4,$E$630*'HIV-Other HPs'!BD14,IF(SETUP!$G$27=3,$E$630*'HIV-Other HPs'!BE14,IF(SETUP!$G$27=2,$E$630*'HIV-Other HPs'!BF14,IF(SETUP!$G$27=1,$E$630*'HIV-Other HPs'!BG14,0)))),0)</f>
        <v>0</v>
      </c>
      <c r="S632" s="920">
        <f>IF(SETUP!$F$27="At delivery",IF(SETUP!$G$27=4,$E$630*('HIV-Other HPs'!BE14+'HIV-Other HPs'!BF14+'HIV-Other HPs'!BG14+'HIV-Other HPs'!BH14+'HIV-Other HPs'!BI14),IF(SETUP!$G$27=3,$E$630*('HIV-Other HPs'!BF14+'HIV-Other HPs'!BG14+'HIV-Other HPs'!BH14+'HIV-Other HPs'!BI14),IF(SETUP!$G$27=2,$E$630*('HIV-Other HPs'!BG14+'HIV-Other HPs'!BH14+'HIV-Other HPs'!BI14),IF(SETUP!$G$27=1,$E$630*('HIV-Other HPs'!BH14+'HIV-Other HPs'!BI14),0)))),0)</f>
        <v>0</v>
      </c>
      <c r="T632" s="920">
        <f t="shared" si="97"/>
        <v>0</v>
      </c>
      <c r="U632" s="1016">
        <f t="shared" si="98"/>
        <v>0</v>
      </c>
      <c r="V632" s="1344">
        <v>7.7</v>
      </c>
      <c r="W632" s="2011"/>
      <c r="X632" s="575"/>
      <c r="Y632" s="685"/>
      <c r="Z632" s="655"/>
      <c r="AA632" s="686"/>
      <c r="AB632" s="686"/>
      <c r="AC632" s="686"/>
      <c r="AD632" s="686"/>
      <c r="AE632" s="686"/>
      <c r="AF632" s="686"/>
      <c r="AG632" s="686"/>
      <c r="AH632" s="687"/>
      <c r="AI632" s="686"/>
      <c r="AJ632" s="686"/>
      <c r="AK632" s="686"/>
      <c r="AL632" s="686"/>
      <c r="AM632" s="686"/>
      <c r="AN632" s="686"/>
      <c r="AO632" s="686"/>
      <c r="AP632" s="686"/>
      <c r="AQ632" s="686"/>
      <c r="AR632" s="686"/>
      <c r="AS632" s="686"/>
      <c r="AT632" s="686"/>
      <c r="AU632" s="686"/>
      <c r="AV632" s="686"/>
      <c r="AW632" s="686"/>
      <c r="AX632" s="686"/>
      <c r="AY632" s="686"/>
      <c r="AZ632" s="686"/>
      <c r="BA632" s="686"/>
      <c r="BB632" s="686"/>
      <c r="BC632" s="686"/>
      <c r="BD632" s="686"/>
      <c r="BE632" s="686"/>
      <c r="BF632" s="686"/>
      <c r="BG632" s="686"/>
      <c r="BH632" s="686"/>
      <c r="BI632" s="686"/>
      <c r="BJ632" s="686"/>
      <c r="BK632" s="686"/>
      <c r="BL632" s="686"/>
      <c r="BM632" s="686"/>
      <c r="BN632" s="686"/>
      <c r="BO632" s="686"/>
      <c r="BP632" s="686"/>
      <c r="BQ632" s="686"/>
      <c r="BR632" s="686"/>
      <c r="BS632" s="686"/>
      <c r="BT632" s="686"/>
    </row>
    <row r="633" spans="1:72" s="688" customFormat="1" ht="13.5" collapsed="1" thickBot="1">
      <c r="A633" s="3184"/>
      <c r="B633" s="3185"/>
      <c r="C633" s="3188" t="s">
        <v>217</v>
      </c>
      <c r="D633" s="3188"/>
      <c r="E633" s="1245">
        <v>0</v>
      </c>
      <c r="F633" s="1016">
        <f>IF(SETUP!$F$28="Upfront",F634,F635)</f>
        <v>0</v>
      </c>
      <c r="G633" s="920">
        <f>IF(SETUP!$F$28="Upfront",G634,G635)</f>
        <v>0</v>
      </c>
      <c r="H633" s="920">
        <f>IF(SETUP!$F$28="Upfront",H634,H635)</f>
        <v>0</v>
      </c>
      <c r="I633" s="920">
        <f>IF(SETUP!$F$28="Upfront",I634,I635)</f>
        <v>0</v>
      </c>
      <c r="J633" s="920">
        <f t="shared" si="95"/>
        <v>0</v>
      </c>
      <c r="K633" s="1016">
        <f>IF(SETUP!$F$28="Upfront",K634,K635)</f>
        <v>0</v>
      </c>
      <c r="L633" s="920">
        <f>IF(SETUP!$F$28="Upfront",L634,L635)</f>
        <v>0</v>
      </c>
      <c r="M633" s="920">
        <f>IF(SETUP!$F$28="Upfront",M634,M635)</f>
        <v>0</v>
      </c>
      <c r="N633" s="920">
        <f>IF(SETUP!$F$28="Upfront",N634,N635)</f>
        <v>0</v>
      </c>
      <c r="O633" s="920">
        <f t="shared" si="96"/>
        <v>0</v>
      </c>
      <c r="P633" s="1016">
        <f>IF(SETUP!$F$28="Upfront",P634,P635)</f>
        <v>0</v>
      </c>
      <c r="Q633" s="920">
        <f>IF(SETUP!$F$28="Upfront",Q634,Q635)</f>
        <v>0</v>
      </c>
      <c r="R633" s="920">
        <f>IF(SETUP!$F$28="Upfront",R634,R635)</f>
        <v>0</v>
      </c>
      <c r="S633" s="920">
        <f>IF(SETUP!$F$28="Upfront",S634,S635)</f>
        <v>0</v>
      </c>
      <c r="T633" s="920">
        <f t="shared" si="97"/>
        <v>0</v>
      </c>
      <c r="U633" s="1016">
        <f t="shared" si="98"/>
        <v>0</v>
      </c>
      <c r="V633" s="1344">
        <v>7.7</v>
      </c>
      <c r="W633" s="2011"/>
      <c r="X633" s="575"/>
      <c r="Y633" s="685"/>
      <c r="Z633" s="655"/>
      <c r="AA633" s="686"/>
      <c r="AB633" s="686"/>
      <c r="AC633" s="686"/>
      <c r="AD633" s="686"/>
      <c r="AE633" s="686"/>
      <c r="AF633" s="686"/>
      <c r="AG633" s="686"/>
      <c r="AH633" s="687"/>
      <c r="AI633" s="686"/>
      <c r="AJ633" s="686"/>
      <c r="AK633" s="686"/>
      <c r="AL633" s="686"/>
      <c r="AM633" s="686"/>
      <c r="AN633" s="686"/>
      <c r="AO633" s="686"/>
      <c r="AP633" s="686"/>
      <c r="AQ633" s="686"/>
      <c r="AR633" s="686"/>
      <c r="AS633" s="686"/>
      <c r="AT633" s="686"/>
      <c r="AU633" s="686"/>
      <c r="AV633" s="686"/>
      <c r="AW633" s="686"/>
      <c r="AX633" s="686"/>
      <c r="AY633" s="686"/>
      <c r="AZ633" s="686"/>
      <c r="BA633" s="686"/>
      <c r="BB633" s="686"/>
      <c r="BC633" s="686"/>
      <c r="BD633" s="686"/>
      <c r="BE633" s="686"/>
      <c r="BF633" s="686"/>
      <c r="BG633" s="686"/>
      <c r="BH633" s="686"/>
      <c r="BI633" s="686"/>
      <c r="BJ633" s="686"/>
      <c r="BK633" s="686"/>
      <c r="BL633" s="686"/>
      <c r="BM633" s="686"/>
      <c r="BN633" s="686"/>
      <c r="BO633" s="686"/>
      <c r="BP633" s="686"/>
      <c r="BQ633" s="686"/>
      <c r="BR633" s="686"/>
      <c r="BS633" s="686"/>
      <c r="BT633" s="686"/>
    </row>
    <row r="634" spans="1:72" s="688" customFormat="1" ht="16.149999999999999" hidden="1" customHeight="1" outlineLevel="1">
      <c r="A634" s="3184"/>
      <c r="B634" s="3185"/>
      <c r="C634" s="3182" t="s">
        <v>777</v>
      </c>
      <c r="D634" s="3182"/>
      <c r="E634" s="1246"/>
      <c r="F634" s="1016">
        <f>IF(SETUP!$F$28="Upfront",$E$633*'HIV-Other HPs'!AX15,0)</f>
        <v>0</v>
      </c>
      <c r="G634" s="920">
        <f>IF(SETUP!$F$28="Upfront",$E$633*'HIV-Other HPs'!AY15,0)</f>
        <v>0</v>
      </c>
      <c r="H634" s="920">
        <f>IF(SETUP!$F$28="Upfront",$E$633*'HIV-Other HPs'!AZ15,0)</f>
        <v>0</v>
      </c>
      <c r="I634" s="920">
        <f>IF(SETUP!$F$28="Upfront",$E$633*'HIV-Other HPs'!BA15,0)</f>
        <v>0</v>
      </c>
      <c r="J634" s="920">
        <f t="shared" si="95"/>
        <v>0</v>
      </c>
      <c r="K634" s="1016">
        <f>IF(SETUP!$F$28="Upfront",$E$633*'HIV-Other HPs'!BB15,0)</f>
        <v>0</v>
      </c>
      <c r="L634" s="920">
        <f>IF(SETUP!$F$28="Upfront",$E$633*'HIV-Other HPs'!BC15,0)</f>
        <v>0</v>
      </c>
      <c r="M634" s="920">
        <f>IF(SETUP!$F$28="Upfront",$E$633*'HIV-Other HPs'!BD15,0)</f>
        <v>0</v>
      </c>
      <c r="N634" s="920">
        <f>IF(SETUP!$F$28="Upfront",$E$633*'HIV-Other HPs'!BE15,0)</f>
        <v>0</v>
      </c>
      <c r="O634" s="920">
        <f t="shared" si="96"/>
        <v>0</v>
      </c>
      <c r="P634" s="1016">
        <f>IF(SETUP!$F$28="Upfront",$E$633*'HIV-Other HPs'!BF15,0)</f>
        <v>0</v>
      </c>
      <c r="Q634" s="920">
        <f>IF(SETUP!$F$28="Upfront",$E$633*'HIV-Other HPs'!BG15,0)</f>
        <v>0</v>
      </c>
      <c r="R634" s="920">
        <f>IF(SETUP!$F$28="Upfront",$E$633*'HIV-Other HPs'!BH15,0)</f>
        <v>0</v>
      </c>
      <c r="S634" s="920">
        <f>IF(SETUP!$F$28="Upfront",$E$633*'HIV-Other HPs'!BI15,0)</f>
        <v>0</v>
      </c>
      <c r="T634" s="920">
        <f t="shared" si="97"/>
        <v>0</v>
      </c>
      <c r="U634" s="1016">
        <f t="shared" si="98"/>
        <v>0</v>
      </c>
      <c r="V634" s="1344">
        <v>7.7</v>
      </c>
      <c r="W634" s="2011"/>
      <c r="X634" s="575"/>
      <c r="Y634" s="685"/>
      <c r="Z634" s="655"/>
      <c r="AA634" s="686"/>
      <c r="AB634" s="686"/>
      <c r="AC634" s="686"/>
      <c r="AD634" s="686"/>
      <c r="AE634" s="686"/>
      <c r="AF634" s="686"/>
      <c r="AG634" s="686"/>
      <c r="AH634" s="687"/>
      <c r="AI634" s="686"/>
      <c r="AJ634" s="686"/>
      <c r="AK634" s="686"/>
      <c r="AL634" s="686"/>
      <c r="AM634" s="686"/>
      <c r="AN634" s="686"/>
      <c r="AO634" s="686"/>
      <c r="AP634" s="686"/>
      <c r="AQ634" s="686"/>
      <c r="AR634" s="686"/>
      <c r="AS634" s="686"/>
      <c r="AT634" s="686"/>
      <c r="AU634" s="686"/>
      <c r="AV634" s="686"/>
      <c r="AW634" s="686"/>
      <c r="AX634" s="686"/>
      <c r="AY634" s="686"/>
      <c r="AZ634" s="686"/>
      <c r="BA634" s="686"/>
      <c r="BB634" s="686"/>
      <c r="BC634" s="686"/>
      <c r="BD634" s="686"/>
      <c r="BE634" s="686"/>
      <c r="BF634" s="686"/>
      <c r="BG634" s="686"/>
      <c r="BH634" s="686"/>
      <c r="BI634" s="686"/>
      <c r="BJ634" s="686"/>
      <c r="BK634" s="686"/>
      <c r="BL634" s="686"/>
      <c r="BM634" s="686"/>
      <c r="BN634" s="686"/>
      <c r="BO634" s="686"/>
      <c r="BP634" s="686"/>
      <c r="BQ634" s="686"/>
      <c r="BR634" s="686"/>
      <c r="BS634" s="686"/>
      <c r="BT634" s="686"/>
    </row>
    <row r="635" spans="1:72" s="688" customFormat="1" ht="16.149999999999999" hidden="1" customHeight="1" outlineLevel="1">
      <c r="A635" s="3184"/>
      <c r="B635" s="3185"/>
      <c r="C635" s="3182" t="s">
        <v>36</v>
      </c>
      <c r="D635" s="3182"/>
      <c r="E635" s="1246"/>
      <c r="F635" s="1016">
        <v>0</v>
      </c>
      <c r="G635" s="920">
        <f>IF(SETUP!$F$28="At delivery",IF(SETUP!$G$28=1,$E$633*'HIV-Other HPs'!AX15,0),0)</f>
        <v>0</v>
      </c>
      <c r="H635" s="920">
        <f>IF(SETUP!$F$28="At delivery",IF(SETUP!$G$28=2,$E$633*'HIV-Other HPs'!AX15,IF(SETUP!$G$28=1,$E$633*'HIV-Other HPs'!AY15,0)),0)</f>
        <v>0</v>
      </c>
      <c r="I635" s="920">
        <f>IF(SETUP!$F$28="At delivery",IF(SETUP!$G$28=3,$E$633*'HIV-Other HPs'!AX15,IF(SETUP!$G$28=2,$E$633*'HIV-Other HPs'!AY15,IF(SETUP!$G$28=1,$E$633*'HIV-Other HPs'!AZ15,0))),0)</f>
        <v>0</v>
      </c>
      <c r="J635" s="920">
        <f t="shared" si="95"/>
        <v>0</v>
      </c>
      <c r="K635" s="1016">
        <f>IF(SETUP!$F$28="At delivery",IF(SETUP!$G$28=4,$E$633*'HIV-Other HPs'!AX15,IF(SETUP!$G$28=3,$E$633*'HIV-Other HPs'!AY15,IF(SETUP!$G$28=2,$E$633*'HIV-Other HPs'!AZ15,IF(SETUP!$G$28=1,$E$633*'HIV-Other HPs'!BA15,0)))),0)</f>
        <v>0</v>
      </c>
      <c r="L635" s="920">
        <f>IF(SETUP!$F$28="At delivery",IF(SETUP!$G$28=4,$E$633*'HIV-Other HPs'!AY15,IF(SETUP!$G$28=3,$E$633*'HIV-Other HPs'!AZ15,IF(SETUP!$G$28=2,$E$633*'HIV-Other HPs'!BA15,IF(SETUP!$G$28=1,$E$633*'HIV-Other HPs'!BB15,0)))),0)</f>
        <v>0</v>
      </c>
      <c r="M635" s="920">
        <f>IF(SETUP!$F$28="At delivery",IF(SETUP!$G$28=4,$E$633*'HIV-Other HPs'!AZ15,IF(SETUP!$G$28=3,$E$633*'HIV-Other HPs'!BA15,IF(SETUP!$G$28=2,$E$633*'HIV-Other HPs'!BB15,IF(SETUP!$G$28=1,$E$633*'HIV-Other HPs'!BC15,0)))),0)</f>
        <v>0</v>
      </c>
      <c r="N635" s="920">
        <f>IF(SETUP!$F$28="At delivery",IF(SETUP!$G$28=4,$E$633*'HIV-Other HPs'!BA15,IF(SETUP!$G$28=3,$E$633*'HIV-Other HPs'!BB15,IF(SETUP!$G$28=2,$E$633*'HIV-Other HPs'!BC15,IF(SETUP!$G$28=1,$E$633*'HIV-Other HPs'!BD15,0)))),0)</f>
        <v>0</v>
      </c>
      <c r="O635" s="920">
        <f t="shared" si="96"/>
        <v>0</v>
      </c>
      <c r="P635" s="1016">
        <f>IF(SETUP!$F$28="At delivery",IF(SETUP!$G$28=4,$E$633*'HIV-Other HPs'!BB15,IF(SETUP!$G$28=3,$E$633*'HIV-Other HPs'!BC15,IF(SETUP!$G$28=2,$E$633*'HIV-Other HPs'!BD15,IF(SETUP!$G$28=1,$E$633*'HIV-Other HPs'!BE15,0)))),0)</f>
        <v>0</v>
      </c>
      <c r="Q635" s="920">
        <f>IF(SETUP!$F$28="At delivery",IF(SETUP!$G$28=4,$E$633*'HIV-Other HPs'!BC15,IF(SETUP!$G$28=3,$E$633*'HIV-Other HPs'!BD15,IF(SETUP!$G$28=2,$E$633*'HIV-Other HPs'!BE15,IF(SETUP!$G$28=1,$E$633*'HIV-Other HPs'!BF15,0)))),0)</f>
        <v>0</v>
      </c>
      <c r="R635" s="920">
        <f>IF(SETUP!$F$28="At delivery",IF(SETUP!$G$28=4,$E$633*'HIV-Other HPs'!BD15,IF(SETUP!$G$28=3,$E$633*'HIV-Other HPs'!BE15,IF(SETUP!$G$28=2,$E$633*'HIV-Other HPs'!BF15,IF(SETUP!$G$28=1,$E$633*'HIV-Other HPs'!BG15,0)))),0)</f>
        <v>0</v>
      </c>
      <c r="S635" s="920">
        <f>IF(SETUP!$F$28="At delivery",IF(SETUP!$G$28=4,$E$633*('HIV-Other HPs'!BE15+'HIV-Other HPs'!BF15+'HIV-Other HPs'!BG15+'HIV-Other HPs'!BH15+'HIV-Other HPs'!BI15),IF(SETUP!$G$28=3,$E$633*('HIV-Other HPs'!BF15+'HIV-Other HPs'!BG15+'HIV-Other HPs'!BH15+'HIV-Other HPs'!BI15),IF(SETUP!$G$28=2,$E$633*('HIV-Other HPs'!BG15+'HIV-Other HPs'!BH15+'HIV-Other HPs'!BI15),IF(SETUP!$G$28=1,$E$633*('HIV-Other HPs'!BH15+'HIV-Other HPs'!BI15),0)))),0)</f>
        <v>0</v>
      </c>
      <c r="T635" s="920">
        <f t="shared" si="97"/>
        <v>0</v>
      </c>
      <c r="U635" s="1016">
        <f t="shared" si="98"/>
        <v>0</v>
      </c>
      <c r="V635" s="1344">
        <v>7.7</v>
      </c>
      <c r="W635" s="2011"/>
      <c r="X635" s="575"/>
      <c r="Y635" s="685"/>
      <c r="Z635" s="655"/>
      <c r="AA635" s="686"/>
      <c r="AB635" s="686"/>
      <c r="AC635" s="686"/>
      <c r="AD635" s="686"/>
      <c r="AE635" s="686"/>
      <c r="AF635" s="686"/>
      <c r="AG635" s="686"/>
      <c r="AH635" s="687"/>
      <c r="AI635" s="686"/>
      <c r="AJ635" s="686"/>
      <c r="AK635" s="686"/>
      <c r="AL635" s="686"/>
      <c r="AM635" s="686"/>
      <c r="AN635" s="686"/>
      <c r="AO635" s="686"/>
      <c r="AP635" s="686"/>
      <c r="AQ635" s="686"/>
      <c r="AR635" s="686"/>
      <c r="AS635" s="686"/>
      <c r="AT635" s="686"/>
      <c r="AU635" s="686"/>
      <c r="AV635" s="686"/>
      <c r="AW635" s="686"/>
      <c r="AX635" s="686"/>
      <c r="AY635" s="686"/>
      <c r="AZ635" s="686"/>
      <c r="BA635" s="686"/>
      <c r="BB635" s="686"/>
      <c r="BC635" s="686"/>
      <c r="BD635" s="686"/>
      <c r="BE635" s="686"/>
      <c r="BF635" s="686"/>
      <c r="BG635" s="686"/>
      <c r="BH635" s="686"/>
      <c r="BI635" s="686"/>
      <c r="BJ635" s="686"/>
      <c r="BK635" s="686"/>
      <c r="BL635" s="686"/>
      <c r="BM635" s="686"/>
      <c r="BN635" s="686"/>
      <c r="BO635" s="686"/>
      <c r="BP635" s="686"/>
      <c r="BQ635" s="686"/>
      <c r="BR635" s="686"/>
      <c r="BS635" s="686"/>
      <c r="BT635" s="686"/>
    </row>
    <row r="636" spans="1:72" s="688" customFormat="1" ht="13.5" collapsed="1" thickBot="1">
      <c r="A636" s="3184"/>
      <c r="B636" s="3185"/>
      <c r="C636" s="3188" t="s">
        <v>441</v>
      </c>
      <c r="D636" s="3188"/>
      <c r="E636" s="1245">
        <v>0</v>
      </c>
      <c r="F636" s="1016">
        <f>IF(SETUP!$F$29="Upfront",F637,F638)</f>
        <v>0</v>
      </c>
      <c r="G636" s="920">
        <f>IF(SETUP!$F$29="Upfront",G637,G638)</f>
        <v>0</v>
      </c>
      <c r="H636" s="920">
        <f>IF(SETUP!$F$29="Upfront",H637,H638)</f>
        <v>0</v>
      </c>
      <c r="I636" s="920">
        <f>IF(SETUP!$F$29="Upfront",I637,I638)</f>
        <v>0</v>
      </c>
      <c r="J636" s="920">
        <f t="shared" si="95"/>
        <v>0</v>
      </c>
      <c r="K636" s="1016">
        <f>IF(SETUP!$F$29="Upfront",K637,K638)</f>
        <v>0</v>
      </c>
      <c r="L636" s="920">
        <f>IF(SETUP!$F$29="Upfront",L637,L638)</f>
        <v>0</v>
      </c>
      <c r="M636" s="920">
        <f>IF(SETUP!$F$29="Upfront",M637,M638)</f>
        <v>0</v>
      </c>
      <c r="N636" s="920">
        <f>IF(SETUP!$F$29="Upfront",N637,N638)</f>
        <v>0</v>
      </c>
      <c r="O636" s="920">
        <f t="shared" si="96"/>
        <v>0</v>
      </c>
      <c r="P636" s="1016">
        <f>IF(SETUP!$F$29="Upfront",P637,P638)</f>
        <v>0</v>
      </c>
      <c r="Q636" s="920">
        <f>IF(SETUP!$F$29="Upfront",Q637,Q638)</f>
        <v>0</v>
      </c>
      <c r="R636" s="920">
        <f>IF(SETUP!$F$29="Upfront",R637,R638)</f>
        <v>0</v>
      </c>
      <c r="S636" s="920">
        <f>IF(SETUP!$F$29="Upfront",S637,S638)</f>
        <v>0</v>
      </c>
      <c r="T636" s="920">
        <f t="shared" si="97"/>
        <v>0</v>
      </c>
      <c r="U636" s="1016">
        <f t="shared" si="98"/>
        <v>0</v>
      </c>
      <c r="V636" s="1344">
        <v>7.7</v>
      </c>
      <c r="W636" s="2011"/>
      <c r="X636" s="575"/>
      <c r="Y636" s="685"/>
      <c r="Z636" s="655"/>
      <c r="AA636" s="686"/>
      <c r="AB636" s="686"/>
      <c r="AC636" s="686"/>
      <c r="AD636" s="686"/>
      <c r="AE636" s="686"/>
      <c r="AF636" s="686"/>
      <c r="AG636" s="686"/>
      <c r="AH636" s="687"/>
      <c r="AI636" s="686"/>
      <c r="AJ636" s="686"/>
      <c r="AK636" s="686"/>
      <c r="AL636" s="686"/>
      <c r="AM636" s="686"/>
      <c r="AN636" s="686"/>
      <c r="AO636" s="686"/>
      <c r="AP636" s="686"/>
      <c r="AQ636" s="686"/>
      <c r="AR636" s="686"/>
      <c r="AS636" s="686"/>
      <c r="AT636" s="686"/>
      <c r="AU636" s="686"/>
      <c r="AV636" s="686"/>
      <c r="AW636" s="686"/>
      <c r="AX636" s="686"/>
      <c r="AY636" s="686"/>
      <c r="AZ636" s="686"/>
      <c r="BA636" s="686"/>
      <c r="BB636" s="686"/>
      <c r="BC636" s="686"/>
      <c r="BD636" s="686"/>
      <c r="BE636" s="686"/>
      <c r="BF636" s="686"/>
      <c r="BG636" s="686"/>
      <c r="BH636" s="686"/>
      <c r="BI636" s="686"/>
      <c r="BJ636" s="686"/>
      <c r="BK636" s="686"/>
      <c r="BL636" s="686"/>
      <c r="BM636" s="686"/>
      <c r="BN636" s="686"/>
      <c r="BO636" s="686"/>
      <c r="BP636" s="686"/>
      <c r="BQ636" s="686"/>
      <c r="BR636" s="686"/>
      <c r="BS636" s="686"/>
      <c r="BT636" s="686"/>
    </row>
    <row r="637" spans="1:72" s="688" customFormat="1" ht="16.149999999999999" hidden="1" customHeight="1" outlineLevel="1">
      <c r="A637" s="3184"/>
      <c r="B637" s="3185"/>
      <c r="C637" s="3182" t="s">
        <v>777</v>
      </c>
      <c r="D637" s="3182"/>
      <c r="E637" s="1246"/>
      <c r="F637" s="1016">
        <f>IF(SETUP!$F$29="Upfront",$E$636*'HIV-Other HPs'!AX16,0)</f>
        <v>0</v>
      </c>
      <c r="G637" s="920">
        <f>IF(SETUP!$F$29="Upfront",$E$636*'HIV-Other HPs'!AY16,0)</f>
        <v>0</v>
      </c>
      <c r="H637" s="920">
        <f>IF(SETUP!$F$29="Upfront",$E$636*'HIV-Other HPs'!AZ16,0)</f>
        <v>0</v>
      </c>
      <c r="I637" s="920">
        <f>IF(SETUP!$F$29="Upfront",$E$636*'HIV-Other HPs'!BA16,0)</f>
        <v>0</v>
      </c>
      <c r="J637" s="920">
        <f t="shared" si="95"/>
        <v>0</v>
      </c>
      <c r="K637" s="1016">
        <f>IF(SETUP!$F$29="Upfront",$E$636*'HIV-Other HPs'!BB16,0)</f>
        <v>0</v>
      </c>
      <c r="L637" s="920">
        <f>IF(SETUP!$F$29="Upfront",$E$636*'HIV-Other HPs'!BC16,0)</f>
        <v>0</v>
      </c>
      <c r="M637" s="920">
        <f>IF(SETUP!$F$29="Upfront",$E$636*'HIV-Other HPs'!BD16,0)</f>
        <v>0</v>
      </c>
      <c r="N637" s="920">
        <f>IF(SETUP!$F$29="Upfront",$E$636*'HIV-Other HPs'!BE16,0)</f>
        <v>0</v>
      </c>
      <c r="O637" s="920">
        <f t="shared" si="96"/>
        <v>0</v>
      </c>
      <c r="P637" s="1016">
        <f>IF(SETUP!$F$29="Upfront",$E$636*'HIV-Other HPs'!BF16,0)</f>
        <v>0</v>
      </c>
      <c r="Q637" s="920">
        <f>IF(SETUP!$F$29="Upfront",$E$636*'HIV-Other HPs'!BG16,0)</f>
        <v>0</v>
      </c>
      <c r="R637" s="920">
        <f>IF(SETUP!$F$29="Upfront",$E$636*'HIV-Other HPs'!BH16,0)</f>
        <v>0</v>
      </c>
      <c r="S637" s="920">
        <f>IF(SETUP!$F$29="Upfront",$E$636*'HIV-Other HPs'!BI16,0)</f>
        <v>0</v>
      </c>
      <c r="T637" s="920">
        <f t="shared" ref="T637:T648" si="99">P637+Q637+R637+S637</f>
        <v>0</v>
      </c>
      <c r="U637" s="1016">
        <f t="shared" ref="U637:U648" si="100">J637+O637+T637</f>
        <v>0</v>
      </c>
      <c r="V637" s="1344">
        <v>7.7</v>
      </c>
      <c r="W637" s="2011"/>
      <c r="X637" s="575"/>
      <c r="Y637" s="685"/>
      <c r="Z637" s="655"/>
      <c r="AA637" s="686"/>
      <c r="AB637" s="686"/>
      <c r="AC637" s="686"/>
      <c r="AD637" s="686"/>
      <c r="AE637" s="686"/>
      <c r="AF637" s="686"/>
      <c r="AG637" s="686"/>
      <c r="AH637" s="687"/>
      <c r="AI637" s="686"/>
      <c r="AJ637" s="686"/>
      <c r="AK637" s="686"/>
      <c r="AL637" s="686"/>
      <c r="AM637" s="686"/>
      <c r="AN637" s="686"/>
      <c r="AO637" s="686"/>
      <c r="AP637" s="686"/>
      <c r="AQ637" s="686"/>
      <c r="AR637" s="686"/>
      <c r="AS637" s="686"/>
      <c r="AT637" s="686"/>
      <c r="AU637" s="686"/>
      <c r="AV637" s="686"/>
      <c r="AW637" s="686"/>
      <c r="AX637" s="686"/>
      <c r="AY637" s="686"/>
      <c r="AZ637" s="686"/>
      <c r="BA637" s="686"/>
      <c r="BB637" s="686"/>
      <c r="BC637" s="686"/>
      <c r="BD637" s="686"/>
      <c r="BE637" s="686"/>
      <c r="BF637" s="686"/>
      <c r="BG637" s="686"/>
      <c r="BH637" s="686"/>
      <c r="BI637" s="686"/>
      <c r="BJ637" s="686"/>
      <c r="BK637" s="686"/>
      <c r="BL637" s="686"/>
      <c r="BM637" s="686"/>
      <c r="BN637" s="686"/>
      <c r="BO637" s="686"/>
      <c r="BP637" s="686"/>
      <c r="BQ637" s="686"/>
      <c r="BR637" s="686"/>
      <c r="BS637" s="686"/>
      <c r="BT637" s="686"/>
    </row>
    <row r="638" spans="1:72" s="688" customFormat="1" ht="16.149999999999999" hidden="1" customHeight="1" outlineLevel="1">
      <c r="A638" s="3184"/>
      <c r="B638" s="3185"/>
      <c r="C638" s="3182" t="s">
        <v>36</v>
      </c>
      <c r="D638" s="3182"/>
      <c r="E638" s="1250"/>
      <c r="F638" s="1016">
        <v>0</v>
      </c>
      <c r="G638" s="920">
        <f>IF(SETUP!$F$29="At delivery",IF(SETUP!$G$29=1,$E$636*'HIV-Other HPs'!AX16,0),0)</f>
        <v>0</v>
      </c>
      <c r="H638" s="920">
        <f>IF(SETUP!$F$29="At delivery",IF(SETUP!$G$29=2,$E$636*'HIV-Other HPs'!AX16,IF(SETUP!$G$29=1,$E$636*'HIV-Other HPs'!AY16,0)),0)</f>
        <v>0</v>
      </c>
      <c r="I638" s="920">
        <f>IF(SETUP!$F$29="At delivery",IF(SETUP!$G$29=3,$E$636*'HIV-Other HPs'!AX16,IF(SETUP!$G$29=2,$E$636*'HIV-Other HPs'!AY16,IF(SETUP!$G$29=1,$E$636*'HIV-Other HPs'!AZ16,0))),0)</f>
        <v>0</v>
      </c>
      <c r="J638" s="920">
        <f t="shared" si="95"/>
        <v>0</v>
      </c>
      <c r="K638" s="1016">
        <f>IF(SETUP!$F$29="At delivery",IF(SETUP!$G$29=4,$E$636*'HIV-Other HPs'!AX16,IF(SETUP!$G$29=3,$E$636*'HIV-Other HPs'!AY16,IF(SETUP!$G$29=2,$E$636*'HIV-Other HPs'!AZ16,IF(SETUP!$G$29=1,$E$636*'HIV-Other HPs'!BA16,0)))),0)</f>
        <v>0</v>
      </c>
      <c r="L638" s="920">
        <f>IF(SETUP!$F$29="At delivery",IF(SETUP!$G$29=4,$E$636*'HIV-Other HPs'!AY16,IF(SETUP!$G$29=3,$E$636*'HIV-Other HPs'!AZ16,IF(SETUP!$G$29=2,$E$636*'HIV-Other HPs'!BA16,IF(SETUP!$G$29=1,$E$636*'HIV-Other HPs'!BB16,0)))),0)</f>
        <v>0</v>
      </c>
      <c r="M638" s="920">
        <f>IF(SETUP!$F$29="At delivery",IF(SETUP!$G$29=4,$E$636*'HIV-Other HPs'!AZ16,IF(SETUP!$G$29=3,$E$636*'HIV-Other HPs'!BA16,IF(SETUP!$G$29=2,$E$636*'HIV-Other HPs'!BB16,IF(SETUP!$G$29=1,$E$636*'HIV-Other HPs'!BC16,0)))),0)</f>
        <v>0</v>
      </c>
      <c r="N638" s="920">
        <f>IF(SETUP!$F$29="At delivery",IF(SETUP!$G$29=4,$E$636*'HIV-Other HPs'!BA16,IF(SETUP!$G$29=3,$E$636*'HIV-Other HPs'!BB16,IF(SETUP!$G$29=2,$E$636*'HIV-Other HPs'!BC16,IF(SETUP!$G$29=1,$E$636*'HIV-Other HPs'!BD16,0)))),0)</f>
        <v>0</v>
      </c>
      <c r="O638" s="920">
        <f t="shared" si="96"/>
        <v>0</v>
      </c>
      <c r="P638" s="1016">
        <f>IF(SETUP!$F$29="At delivery",IF(SETUP!$G$29=4,$E$636*'HIV-Other HPs'!BB16,IF(SETUP!$G$29=3,$E$636*'HIV-Other HPs'!BC16,IF(SETUP!$G$29=2,$E$636*'HIV-Other HPs'!BD16,IF(SETUP!$G$29=1,$E$636*'HIV-Other HPs'!BE16,0)))),0)</f>
        <v>0</v>
      </c>
      <c r="Q638" s="920">
        <f>IF(SETUP!$F$29="At delivery",IF(SETUP!$G$29=4,$E$636*'HIV-Other HPs'!BC16,IF(SETUP!$G$29=3,$E$636*'HIV-Other HPs'!BD16,IF(SETUP!$G$29=2,$E$636*'HIV-Other HPs'!BE16,IF(SETUP!$G$29=1,$E$636*'HIV-Other HPs'!BF16,0)))),0)</f>
        <v>0</v>
      </c>
      <c r="R638" s="920">
        <f>IF(SETUP!$F$29="At delivery",IF(SETUP!$G$29=4,$E$636*'HIV-Other HPs'!BD16,IF(SETUP!$G$29=3,$E$636*'HIV-Other HPs'!BE16,IF(SETUP!$G$29=2,$E$636*'HIV-Other HPs'!BF16,IF(SETUP!$G$29=1,$E$636*'HIV-Other HPs'!BG16,0)))),0)</f>
        <v>0</v>
      </c>
      <c r="S638" s="920">
        <f>IF(SETUP!$F$29="At delivery",IF(SETUP!$G$29=4,$E$636*('HIV-Other HPs'!BE16+'HIV-Other HPs'!BF16+'HIV-Other HPs'!BG16+'HIV-Other HPs'!BH16+'HIV-Other HPs'!BI16),IF(SETUP!$G$29=3,$E$636*('HIV-Other HPs'!BF16+'HIV-Other HPs'!BG16+'HIV-Other HPs'!BH16+'HIV-Other HPs'!BI16),IF(SETUP!$G$29=2,$E$636*('HIV-Other HPs'!BG16+'HIV-Other HPs'!BH16+'HIV-Other HPs'!BI16),IF(SETUP!$G$29=1,$E$636*('HIV-Other HPs'!BH16+'HIV-Other HPs'!BI16),0)))),0)</f>
        <v>0</v>
      </c>
      <c r="T638" s="920">
        <f t="shared" si="99"/>
        <v>0</v>
      </c>
      <c r="U638" s="1016">
        <f t="shared" si="100"/>
        <v>0</v>
      </c>
      <c r="V638" s="1344">
        <v>7.7</v>
      </c>
      <c r="W638" s="2011"/>
      <c r="X638" s="575"/>
      <c r="Y638" s="685"/>
      <c r="Z638" s="655"/>
      <c r="AA638" s="686"/>
      <c r="AB638" s="686"/>
      <c r="AC638" s="686"/>
      <c r="AD638" s="686"/>
      <c r="AE638" s="686"/>
      <c r="AF638" s="686"/>
      <c r="AG638" s="686"/>
      <c r="AH638" s="687"/>
      <c r="AI638" s="686"/>
      <c r="AJ638" s="686"/>
      <c r="AK638" s="686"/>
      <c r="AL638" s="686"/>
      <c r="AM638" s="686"/>
      <c r="AN638" s="686"/>
      <c r="AO638" s="686"/>
      <c r="AP638" s="686"/>
      <c r="AQ638" s="686"/>
      <c r="AR638" s="686"/>
      <c r="AS638" s="686"/>
      <c r="AT638" s="686"/>
      <c r="AU638" s="686"/>
      <c r="AV638" s="686"/>
      <c r="AW638" s="686"/>
      <c r="AX638" s="686"/>
      <c r="AY638" s="686"/>
      <c r="AZ638" s="686"/>
      <c r="BA638" s="686"/>
      <c r="BB638" s="686"/>
      <c r="BC638" s="686"/>
      <c r="BD638" s="686"/>
      <c r="BE638" s="686"/>
      <c r="BF638" s="686"/>
      <c r="BG638" s="686"/>
      <c r="BH638" s="686"/>
      <c r="BI638" s="686"/>
      <c r="BJ638" s="686"/>
      <c r="BK638" s="686"/>
      <c r="BL638" s="686"/>
      <c r="BM638" s="686"/>
      <c r="BN638" s="686"/>
      <c r="BO638" s="686"/>
      <c r="BP638" s="686"/>
      <c r="BQ638" s="686"/>
      <c r="BR638" s="686"/>
      <c r="BS638" s="686"/>
      <c r="BT638" s="686"/>
    </row>
    <row r="639" spans="1:72" s="688" customFormat="1" ht="13.5" collapsed="1" thickBot="1">
      <c r="A639" s="3184"/>
      <c r="B639" s="3185"/>
      <c r="C639" s="3188" t="s">
        <v>1452</v>
      </c>
      <c r="D639" s="3188"/>
      <c r="E639" s="1245">
        <v>0</v>
      </c>
      <c r="F639" s="1016">
        <f>IF(SETUP!$F$30="Upfront",F640,F641)</f>
        <v>0</v>
      </c>
      <c r="G639" s="920">
        <f>IF(SETUP!$F$30="Upfront",G640,G641)</f>
        <v>0</v>
      </c>
      <c r="H639" s="920">
        <f>IF(SETUP!$F$30="Upfront",H640,H641)</f>
        <v>0</v>
      </c>
      <c r="I639" s="920">
        <f>IF(SETUP!$F$30="Upfront",I640,I641)</f>
        <v>0</v>
      </c>
      <c r="J639" s="920">
        <f t="shared" si="95"/>
        <v>0</v>
      </c>
      <c r="K639" s="1016">
        <f>IF(SETUP!$F$30="Upfront",K640,K641)</f>
        <v>0</v>
      </c>
      <c r="L639" s="920">
        <f>IF(SETUP!$F$30="Upfront",L640,L641)</f>
        <v>0</v>
      </c>
      <c r="M639" s="920">
        <f>IF(SETUP!$F$30="Upfront",M640,M641)</f>
        <v>0</v>
      </c>
      <c r="N639" s="920">
        <f>IF(SETUP!$F$30="Upfront",N640,N641)</f>
        <v>0</v>
      </c>
      <c r="O639" s="920">
        <f t="shared" si="96"/>
        <v>0</v>
      </c>
      <c r="P639" s="1016">
        <f>IF(SETUP!$F$30="Upfront",P640,P641)</f>
        <v>0</v>
      </c>
      <c r="Q639" s="920">
        <f>IF(SETUP!$F$30="Upfront",Q640,Q641)</f>
        <v>0</v>
      </c>
      <c r="R639" s="920">
        <f>IF(SETUP!$F$30="Upfront",R640,R641)</f>
        <v>0</v>
      </c>
      <c r="S639" s="920">
        <f>IF(SETUP!$F$30="Upfront",S640,S641)</f>
        <v>0</v>
      </c>
      <c r="T639" s="920">
        <f t="shared" si="99"/>
        <v>0</v>
      </c>
      <c r="U639" s="1016">
        <f t="shared" si="100"/>
        <v>0</v>
      </c>
      <c r="V639" s="1344">
        <v>7.7</v>
      </c>
      <c r="W639" s="2011"/>
      <c r="X639" s="575"/>
      <c r="Y639" s="685"/>
      <c r="Z639" s="655"/>
      <c r="AA639" s="686"/>
      <c r="AB639" s="686"/>
      <c r="AC639" s="686"/>
      <c r="AD639" s="686"/>
      <c r="AE639" s="686"/>
      <c r="AF639" s="686"/>
      <c r="AG639" s="686"/>
      <c r="AH639" s="687"/>
      <c r="AI639" s="686"/>
      <c r="AJ639" s="686"/>
      <c r="AK639" s="686"/>
      <c r="AL639" s="686"/>
      <c r="AM639" s="686"/>
      <c r="AN639" s="686"/>
      <c r="AO639" s="686"/>
      <c r="AP639" s="686"/>
      <c r="AQ639" s="686"/>
      <c r="AR639" s="686"/>
      <c r="AS639" s="686"/>
      <c r="AT639" s="686"/>
      <c r="AU639" s="686"/>
      <c r="AV639" s="686"/>
      <c r="AW639" s="686"/>
      <c r="AX639" s="686"/>
      <c r="AY639" s="686"/>
      <c r="AZ639" s="686"/>
      <c r="BA639" s="686"/>
      <c r="BB639" s="686"/>
      <c r="BC639" s="686"/>
      <c r="BD639" s="686"/>
      <c r="BE639" s="686"/>
      <c r="BF639" s="686"/>
      <c r="BG639" s="686"/>
      <c r="BH639" s="686"/>
      <c r="BI639" s="686"/>
      <c r="BJ639" s="686"/>
      <c r="BK639" s="686"/>
      <c r="BL639" s="686"/>
      <c r="BM639" s="686"/>
      <c r="BN639" s="686"/>
      <c r="BO639" s="686"/>
      <c r="BP639" s="686"/>
      <c r="BQ639" s="686"/>
      <c r="BR639" s="686"/>
      <c r="BS639" s="686"/>
      <c r="BT639" s="686"/>
    </row>
    <row r="640" spans="1:72" s="688" customFormat="1" ht="16.149999999999999" hidden="1" customHeight="1" outlineLevel="1">
      <c r="A640" s="3184"/>
      <c r="B640" s="3185"/>
      <c r="C640" s="3182" t="s">
        <v>777</v>
      </c>
      <c r="D640" s="3182"/>
      <c r="E640" s="1246"/>
      <c r="F640" s="1016">
        <f>IF(SETUP!$F$30="Upfront",$E$639*'HIV-Other HPs'!AX17,0)</f>
        <v>0</v>
      </c>
      <c r="G640" s="920">
        <f>IF(SETUP!$F$30="Upfront",$E$639*'HIV-Other HPs'!AY17,0)</f>
        <v>0</v>
      </c>
      <c r="H640" s="920">
        <f>IF(SETUP!$F$30="Upfront",$E$639*'HIV-Other HPs'!AZ17,0)</f>
        <v>0</v>
      </c>
      <c r="I640" s="920">
        <f>IF(SETUP!$F$30="Upfront",$E$639*'HIV-Other HPs'!BA17,0)</f>
        <v>0</v>
      </c>
      <c r="J640" s="920">
        <f t="shared" si="95"/>
        <v>0</v>
      </c>
      <c r="K640" s="1016">
        <f>IF(SETUP!$F$30="Upfront",$E$639*'HIV-Other HPs'!BB17,0)</f>
        <v>0</v>
      </c>
      <c r="L640" s="920">
        <f>IF(SETUP!$F$30="Upfront",$E$639*'HIV-Other HPs'!BC17,0)</f>
        <v>0</v>
      </c>
      <c r="M640" s="920">
        <f>IF(SETUP!$F$30="Upfront",$E$639*'HIV-Other HPs'!BD17,0)</f>
        <v>0</v>
      </c>
      <c r="N640" s="920">
        <f>IF(SETUP!$F$30="Upfront",$E$639*'HIV-Other HPs'!BE17,0)</f>
        <v>0</v>
      </c>
      <c r="O640" s="920">
        <f t="shared" si="96"/>
        <v>0</v>
      </c>
      <c r="P640" s="1016">
        <f>IF(SETUP!$F$30="Upfront",$E$639*'HIV-Other HPs'!BF17,0)</f>
        <v>0</v>
      </c>
      <c r="Q640" s="920">
        <f>IF(SETUP!$F$30="Upfront",$E$639*'HIV-Other HPs'!BG17,0)</f>
        <v>0</v>
      </c>
      <c r="R640" s="920">
        <f>IF(SETUP!$F$30="Upfront",$E$639*'HIV-Other HPs'!BH17,0)</f>
        <v>0</v>
      </c>
      <c r="S640" s="920">
        <f>IF(SETUP!$F$30="Upfront",$E$639*'HIV-Other HPs'!BI17,0)</f>
        <v>0</v>
      </c>
      <c r="T640" s="920">
        <f t="shared" si="99"/>
        <v>0</v>
      </c>
      <c r="U640" s="1016">
        <f t="shared" si="100"/>
        <v>0</v>
      </c>
      <c r="V640" s="1344">
        <v>7.7</v>
      </c>
      <c r="W640" s="2011"/>
      <c r="X640" s="575"/>
      <c r="Y640" s="685"/>
      <c r="Z640" s="655"/>
      <c r="AA640" s="686"/>
      <c r="AB640" s="686"/>
      <c r="AC640" s="686"/>
      <c r="AD640" s="686"/>
      <c r="AE640" s="686"/>
      <c r="AF640" s="686"/>
      <c r="AG640" s="686"/>
      <c r="AH640" s="687"/>
      <c r="AI640" s="686"/>
      <c r="AJ640" s="686"/>
      <c r="AK640" s="686"/>
      <c r="AL640" s="686"/>
      <c r="AM640" s="686"/>
      <c r="AN640" s="686"/>
      <c r="AO640" s="686"/>
      <c r="AP640" s="686"/>
      <c r="AQ640" s="686"/>
      <c r="AR640" s="686"/>
      <c r="AS640" s="686"/>
      <c r="AT640" s="686"/>
      <c r="AU640" s="686"/>
      <c r="AV640" s="686"/>
      <c r="AW640" s="686"/>
      <c r="AX640" s="686"/>
      <c r="AY640" s="686"/>
      <c r="AZ640" s="686"/>
      <c r="BA640" s="686"/>
      <c r="BB640" s="686"/>
      <c r="BC640" s="686"/>
      <c r="BD640" s="686"/>
      <c r="BE640" s="686"/>
      <c r="BF640" s="686"/>
      <c r="BG640" s="686"/>
      <c r="BH640" s="686"/>
      <c r="BI640" s="686"/>
      <c r="BJ640" s="686"/>
      <c r="BK640" s="686"/>
      <c r="BL640" s="686"/>
      <c r="BM640" s="686"/>
      <c r="BN640" s="686"/>
      <c r="BO640" s="686"/>
      <c r="BP640" s="686"/>
      <c r="BQ640" s="686"/>
      <c r="BR640" s="686"/>
      <c r="BS640" s="686"/>
      <c r="BT640" s="686"/>
    </row>
    <row r="641" spans="1:72" s="688" customFormat="1" ht="16.149999999999999" hidden="1" customHeight="1" outlineLevel="1">
      <c r="A641" s="3184"/>
      <c r="B641" s="3185"/>
      <c r="C641" s="3182" t="s">
        <v>36</v>
      </c>
      <c r="D641" s="3182"/>
      <c r="E641" s="1246"/>
      <c r="F641" s="1016">
        <v>0</v>
      </c>
      <c r="G641" s="920">
        <f>IF(SETUP!$F$30="At delivery",IF(SETUP!$G$30=1,$E$639*'HIV-Other HPs'!AX17,0),0)</f>
        <v>0</v>
      </c>
      <c r="H641" s="920">
        <f>IF(SETUP!$F$30="At delivery",IF(SETUP!$G$30=2,$E$639*'HIV-Other HPs'!AX17,IF(SETUP!$G$30=1,$E$639*'HIV-Other HPs'!AY17,0)),0)</f>
        <v>0</v>
      </c>
      <c r="I641" s="920">
        <f>IF(SETUP!$F$30="At delivery",IF(SETUP!$G$30=3,$E$639*'HIV-Other HPs'!AX17,IF(SETUP!$G$30=2,$E$639*'HIV-Other HPs'!AY17,IF(SETUP!$G$30=1,$E$639*'HIV-Other HPs'!AZ17,0))),0)</f>
        <v>0</v>
      </c>
      <c r="J641" s="920">
        <f t="shared" si="95"/>
        <v>0</v>
      </c>
      <c r="K641" s="1016">
        <f>IF(SETUP!$F$30="At delivery",IF(SETUP!$G$30=4,$E$639*'HIV-Other HPs'!AX17,IF(SETUP!$G$30=3,$E$639*'HIV-Other HPs'!AY17,IF(SETUP!$G$30=2,$E$639*'HIV-Other HPs'!AZ17,IF(SETUP!$G$30=1,$E$639*'HIV-Other HPs'!BA17,0)))),0)</f>
        <v>0</v>
      </c>
      <c r="L641" s="920">
        <f>IF(SETUP!$F$30="At delivery",IF(SETUP!$G$30=4,$E$639*'HIV-Other HPs'!AY17,IF(SETUP!$G$30=3,$E$639*'HIV-Other HPs'!AZ17,IF(SETUP!$G$30=2,$E$639*'HIV-Other HPs'!BA17,IF(SETUP!$G$30=1,$E$639*'HIV-Other HPs'!BB17,0)))),0)</f>
        <v>0</v>
      </c>
      <c r="M641" s="920">
        <f>IF(SETUP!$F$30="At delivery",IF(SETUP!$G$30=4,$E$639*'HIV-Other HPs'!AZ17,IF(SETUP!$G$30=3,$E$639*'HIV-Other HPs'!BA17,IF(SETUP!$G$30=2,$E$639*'HIV-Other HPs'!BB17,IF(SETUP!$G$30=1,$E$639*'HIV-Other HPs'!BC17,0)))),0)</f>
        <v>0</v>
      </c>
      <c r="N641" s="920">
        <f>IF(SETUP!$F$30="At delivery",IF(SETUP!$G$30=4,$E$639*'HIV-Other HPs'!BA17,IF(SETUP!$G$30=3,$E$639*'HIV-Other HPs'!BB17,IF(SETUP!$G$30=2,$E$639*'HIV-Other HPs'!BC17,IF(SETUP!$G$30=1,$E$639*'HIV-Other HPs'!BD17,0)))),0)</f>
        <v>0</v>
      </c>
      <c r="O641" s="920">
        <f t="shared" si="96"/>
        <v>0</v>
      </c>
      <c r="P641" s="1016">
        <f>IF(SETUP!$F$30="At delivery",IF(SETUP!$G$30=4,$E$639*'HIV-Other HPs'!BB17,IF(SETUP!$G$30=3,$E$639*'HIV-Other HPs'!BC17,IF(SETUP!$G$30=2,$E$639*'HIV-Other HPs'!BD17,IF(SETUP!$G$30=1,$E$639*'HIV-Other HPs'!BE17,0)))),0)</f>
        <v>0</v>
      </c>
      <c r="Q641" s="920">
        <f>IF(SETUP!$F$30="At delivery",IF(SETUP!$G$30=4,$E$639*'HIV-Other HPs'!BC17,IF(SETUP!$G$30=3,$E$639*'HIV-Other HPs'!BD17,IF(SETUP!$G$30=2,$E$639*'HIV-Other HPs'!BE17,IF(SETUP!$G$30=1,$E$639*'HIV-Other HPs'!BF17,0)))),0)</f>
        <v>0</v>
      </c>
      <c r="R641" s="920">
        <f>IF(SETUP!$F$30="At delivery",IF(SETUP!$G$30=4,$E$639*'HIV-Other HPs'!BD17,IF(SETUP!$G$30=3,$E$639*'HIV-Other HPs'!BE17,IF(SETUP!$G$30=2,$E$639*'HIV-Other HPs'!BF17,IF(SETUP!$G$30=1,$E$639*'HIV-Other HPs'!BG17,0)))),0)</f>
        <v>0</v>
      </c>
      <c r="S641" s="920">
        <f>IF(SETUP!$F$30="At delivery",IF(SETUP!$G$30=4,$E$639*('HIV-Other HPs'!BE17+'HIV-Other HPs'!BF17+'HIV-Other HPs'!BG17+'HIV-Other HPs'!BH17+'HIV-Other HPs'!BI17),IF(SETUP!$G$30=3,$E$639*('HIV-Other HPs'!BF17+'HIV-Other HPs'!BG17+'HIV-Other HPs'!BH17+'HIV-Other HPs'!BI17),IF(SETUP!$G$30=2,$E$639*('HIV-Other HPs'!BG17+'HIV-Other HPs'!BH17+'HIV-Other HPs'!BI17),IF(SETUP!$G$30=1,$E$639*('HIV-Other HPs'!BH17+'HIV-Other HPs'!BI17),0)))),0)</f>
        <v>0</v>
      </c>
      <c r="T641" s="920">
        <f t="shared" si="99"/>
        <v>0</v>
      </c>
      <c r="U641" s="1016">
        <f t="shared" si="100"/>
        <v>0</v>
      </c>
      <c r="V641" s="1344">
        <v>7.7</v>
      </c>
      <c r="W641" s="2011"/>
      <c r="X641" s="575"/>
      <c r="Y641" s="685"/>
      <c r="Z641" s="655"/>
      <c r="AA641" s="686"/>
      <c r="AB641" s="686"/>
      <c r="AC641" s="686"/>
      <c r="AD641" s="686"/>
      <c r="AE641" s="686"/>
      <c r="AF641" s="686"/>
      <c r="AG641" s="686"/>
      <c r="AH641" s="687"/>
      <c r="AI641" s="686"/>
      <c r="AJ641" s="686"/>
      <c r="AK641" s="686"/>
      <c r="AL641" s="686"/>
      <c r="AM641" s="686"/>
      <c r="AN641" s="686"/>
      <c r="AO641" s="686"/>
      <c r="AP641" s="686"/>
      <c r="AQ641" s="686"/>
      <c r="AR641" s="686"/>
      <c r="AS641" s="686"/>
      <c r="AT641" s="686"/>
      <c r="AU641" s="686"/>
      <c r="AV641" s="686"/>
      <c r="AW641" s="686"/>
      <c r="AX641" s="686"/>
      <c r="AY641" s="686"/>
      <c r="AZ641" s="686"/>
      <c r="BA641" s="686"/>
      <c r="BB641" s="686"/>
      <c r="BC641" s="686"/>
      <c r="BD641" s="686"/>
      <c r="BE641" s="686"/>
      <c r="BF641" s="686"/>
      <c r="BG641" s="686"/>
      <c r="BH641" s="686"/>
      <c r="BI641" s="686"/>
      <c r="BJ641" s="686"/>
      <c r="BK641" s="686"/>
      <c r="BL641" s="686"/>
      <c r="BM641" s="686"/>
      <c r="BN641" s="686"/>
      <c r="BO641" s="686"/>
      <c r="BP641" s="686"/>
      <c r="BQ641" s="686"/>
      <c r="BR641" s="686"/>
      <c r="BS641" s="686"/>
      <c r="BT641" s="686"/>
    </row>
    <row r="642" spans="1:72" s="688" customFormat="1" ht="13.5" collapsed="1" thickBot="1">
      <c r="A642" s="3184"/>
      <c r="B642" s="3185"/>
      <c r="C642" s="3188" t="s">
        <v>1391</v>
      </c>
      <c r="D642" s="3188"/>
      <c r="E642" s="1245">
        <v>0</v>
      </c>
      <c r="F642" s="1016">
        <f>IF(SETUP!$F$31="Upfront",F643,F644)</f>
        <v>0</v>
      </c>
      <c r="G642" s="920">
        <f>IF(SETUP!$F$31="Upfront",G643,G644)</f>
        <v>0</v>
      </c>
      <c r="H642" s="920">
        <f>IF(SETUP!$F$31="Upfront",H643,H644)</f>
        <v>0</v>
      </c>
      <c r="I642" s="920">
        <f>IF(SETUP!$F$31="Upfront",I643,I644)</f>
        <v>0</v>
      </c>
      <c r="J642" s="920">
        <f t="shared" si="95"/>
        <v>0</v>
      </c>
      <c r="K642" s="1016">
        <f>IF(SETUP!$F$31="Upfront",K643,K644)</f>
        <v>0</v>
      </c>
      <c r="L642" s="920">
        <f>IF(SETUP!$F$31="Upfront",L643,L644)</f>
        <v>0</v>
      </c>
      <c r="M642" s="920">
        <f>IF(SETUP!$F$31="Upfront",M643,M644)</f>
        <v>0</v>
      </c>
      <c r="N642" s="920">
        <f>IF(SETUP!$F$31="Upfront",N643,N644)</f>
        <v>0</v>
      </c>
      <c r="O642" s="920">
        <f t="shared" si="96"/>
        <v>0</v>
      </c>
      <c r="P642" s="1016">
        <f>IF(SETUP!$F$31="Upfront",P643,P644)</f>
        <v>0</v>
      </c>
      <c r="Q642" s="920">
        <f>IF(SETUP!$F$31="Upfront",Q643,Q644)</f>
        <v>0</v>
      </c>
      <c r="R642" s="920">
        <f>IF(SETUP!$F$31="Upfront",R643,R644)</f>
        <v>0</v>
      </c>
      <c r="S642" s="920">
        <f>IF(SETUP!$F$31="Upfront",S643,S644)</f>
        <v>0</v>
      </c>
      <c r="T642" s="920">
        <f t="shared" si="99"/>
        <v>0</v>
      </c>
      <c r="U642" s="1016">
        <f t="shared" si="100"/>
        <v>0</v>
      </c>
      <c r="V642" s="1344">
        <v>7.7</v>
      </c>
      <c r="W642" s="2011"/>
      <c r="X642" s="575"/>
      <c r="Y642" s="685"/>
      <c r="Z642" s="655"/>
      <c r="AA642" s="686"/>
      <c r="AB642" s="686"/>
      <c r="AC642" s="686"/>
      <c r="AD642" s="686"/>
      <c r="AE642" s="686"/>
      <c r="AF642" s="686"/>
      <c r="AG642" s="686"/>
      <c r="AH642" s="687"/>
      <c r="AI642" s="686"/>
      <c r="AJ642" s="686"/>
      <c r="AK642" s="686"/>
      <c r="AL642" s="686"/>
      <c r="AM642" s="686"/>
      <c r="AN642" s="686"/>
      <c r="AO642" s="686"/>
      <c r="AP642" s="686"/>
      <c r="AQ642" s="686"/>
      <c r="AR642" s="686"/>
      <c r="AS642" s="686"/>
      <c r="AT642" s="686"/>
      <c r="AU642" s="686"/>
      <c r="AV642" s="686"/>
      <c r="AW642" s="686"/>
      <c r="AX642" s="686"/>
      <c r="AY642" s="686"/>
      <c r="AZ642" s="686"/>
      <c r="BA642" s="686"/>
      <c r="BB642" s="686"/>
      <c r="BC642" s="686"/>
      <c r="BD642" s="686"/>
      <c r="BE642" s="686"/>
      <c r="BF642" s="686"/>
      <c r="BG642" s="686"/>
      <c r="BH642" s="686"/>
      <c r="BI642" s="686"/>
      <c r="BJ642" s="686"/>
      <c r="BK642" s="686"/>
      <c r="BL642" s="686"/>
      <c r="BM642" s="686"/>
      <c r="BN642" s="686"/>
      <c r="BO642" s="686"/>
      <c r="BP642" s="686"/>
      <c r="BQ642" s="686"/>
      <c r="BR642" s="686"/>
      <c r="BS642" s="686"/>
      <c r="BT642" s="686"/>
    </row>
    <row r="643" spans="1:72" s="688" customFormat="1" ht="16.149999999999999" hidden="1" customHeight="1" outlineLevel="1">
      <c r="A643" s="3184"/>
      <c r="B643" s="3185"/>
      <c r="C643" s="3182" t="s">
        <v>777</v>
      </c>
      <c r="D643" s="3182"/>
      <c r="E643" s="1246"/>
      <c r="F643" s="1016">
        <f>IF(SETUP!$F$31="Upfront",$E$642*'HIV-Other HPs'!AX18,0)</f>
        <v>0</v>
      </c>
      <c r="G643" s="920">
        <f>IF(SETUP!$F$31="Upfront",$E$642*'HIV-Other HPs'!AY18,0)</f>
        <v>0</v>
      </c>
      <c r="H643" s="920">
        <f>IF(SETUP!$F$31="Upfront",$E$642*'HIV-Other HPs'!AZ18,0)</f>
        <v>0</v>
      </c>
      <c r="I643" s="920">
        <f>IF(SETUP!$F$31="Upfront",$E$642*'HIV-Other HPs'!BA18,0)</f>
        <v>0</v>
      </c>
      <c r="J643" s="920">
        <f t="shared" ref="J643:J673" si="101">F643+G643+H643+I643</f>
        <v>0</v>
      </c>
      <c r="K643" s="1016">
        <f>IF(SETUP!$F$31="Upfront",$E$642*'HIV-Other HPs'!BB18,0)</f>
        <v>0</v>
      </c>
      <c r="L643" s="920">
        <f>IF(SETUP!$F$31="Upfront",$E$642*'HIV-Other HPs'!BC18,0)</f>
        <v>0</v>
      </c>
      <c r="M643" s="920">
        <f>IF(SETUP!$F$31="Upfront",$E$642*'HIV-Other HPs'!BD18,0)</f>
        <v>0</v>
      </c>
      <c r="N643" s="920">
        <f>IF(SETUP!$F$31="Upfront",$E$642*'HIV-Other HPs'!BE18,0)</f>
        <v>0</v>
      </c>
      <c r="O643" s="920">
        <f t="shared" ref="O643:O673" si="102">K643+L643+M643+N643</f>
        <v>0</v>
      </c>
      <c r="P643" s="1016">
        <f>IF(SETUP!$F$31="Upfront",$E$642*'HIV-Other HPs'!BF18,0)</f>
        <v>0</v>
      </c>
      <c r="Q643" s="920">
        <f>IF(SETUP!$F$31="Upfront",$E$642*'HIV-Other HPs'!BG18,0)</f>
        <v>0</v>
      </c>
      <c r="R643" s="920">
        <f>IF(SETUP!$F$31="Upfront",$E$642*'HIV-Other HPs'!BH18,0)</f>
        <v>0</v>
      </c>
      <c r="S643" s="920">
        <f>IF(SETUP!$F$31="Upfront",$E$642*'HIV-Other HPs'!BI18,0)</f>
        <v>0</v>
      </c>
      <c r="T643" s="920">
        <f t="shared" si="99"/>
        <v>0</v>
      </c>
      <c r="U643" s="1016">
        <f t="shared" si="100"/>
        <v>0</v>
      </c>
      <c r="V643" s="1344">
        <v>7.7</v>
      </c>
      <c r="W643" s="2011"/>
      <c r="X643" s="575"/>
      <c r="Y643" s="685"/>
      <c r="Z643" s="655"/>
      <c r="AA643" s="686"/>
      <c r="AB643" s="686"/>
      <c r="AC643" s="686"/>
      <c r="AD643" s="686"/>
      <c r="AE643" s="686"/>
      <c r="AF643" s="686"/>
      <c r="AG643" s="686"/>
      <c r="AH643" s="687"/>
      <c r="AI643" s="686"/>
      <c r="AJ643" s="686"/>
      <c r="AK643" s="686"/>
      <c r="AL643" s="686"/>
      <c r="AM643" s="686"/>
      <c r="AN643" s="686"/>
      <c r="AO643" s="686"/>
      <c r="AP643" s="686"/>
      <c r="AQ643" s="686"/>
      <c r="AR643" s="686"/>
      <c r="AS643" s="686"/>
      <c r="AT643" s="686"/>
      <c r="AU643" s="686"/>
      <c r="AV643" s="686"/>
      <c r="AW643" s="686"/>
      <c r="AX643" s="686"/>
      <c r="AY643" s="686"/>
      <c r="AZ643" s="686"/>
      <c r="BA643" s="686"/>
      <c r="BB643" s="686"/>
      <c r="BC643" s="686"/>
      <c r="BD643" s="686"/>
      <c r="BE643" s="686"/>
      <c r="BF643" s="686"/>
      <c r="BG643" s="686"/>
      <c r="BH643" s="686"/>
      <c r="BI643" s="686"/>
      <c r="BJ643" s="686"/>
      <c r="BK643" s="686"/>
      <c r="BL643" s="686"/>
      <c r="BM643" s="686"/>
      <c r="BN643" s="686"/>
      <c r="BO643" s="686"/>
      <c r="BP643" s="686"/>
      <c r="BQ643" s="686"/>
      <c r="BR643" s="686"/>
      <c r="BS643" s="686"/>
      <c r="BT643" s="686"/>
    </row>
    <row r="644" spans="1:72" s="688" customFormat="1" ht="16.149999999999999" hidden="1" customHeight="1" outlineLevel="1">
      <c r="A644" s="3184"/>
      <c r="B644" s="3185"/>
      <c r="C644" s="3182" t="s">
        <v>36</v>
      </c>
      <c r="D644" s="3182"/>
      <c r="E644" s="1250"/>
      <c r="F644" s="1016">
        <v>0</v>
      </c>
      <c r="G644" s="920">
        <f>IF(SETUP!$F$31="At delivery",IF(SETUP!$G$31=1,$E$642*'HIV-Other HPs'!AX18,0),0)</f>
        <v>0</v>
      </c>
      <c r="H644" s="920">
        <f>IF(SETUP!$F$31="At delivery",IF(SETUP!$G$31=2,$E$642*'HIV-Other HPs'!AX18,IF(SETUP!$G$31=1,$E$642*'HIV-Other HPs'!AY18,0)),0)</f>
        <v>0</v>
      </c>
      <c r="I644" s="920">
        <f>IF(SETUP!$F$31="At delivery",IF(SETUP!$G$31=3,$E$642*'HIV-Other HPs'!AX18,IF(SETUP!$G$31=2,$E$642*'HIV-Other HPs'!AY18,IF(SETUP!$G$31=1,$E$642*'HIV-Other HPs'!AZ18,0))),0)</f>
        <v>0</v>
      </c>
      <c r="J644" s="920">
        <f t="shared" si="101"/>
        <v>0</v>
      </c>
      <c r="K644" s="1016">
        <f>IF(SETUP!$F$31="At delivery",IF(SETUP!$G$31=4,$E$642*'HIV-Other HPs'!AX18,IF(SETUP!$G$31=3,$E$642*'HIV-Other HPs'!AY18,IF(SETUP!$G$31=2,$E$642*'HIV-Other HPs'!AZ18,IF(SETUP!$G$31=1,$E$642*'HIV-Other HPs'!BA18,0)))),0)</f>
        <v>0</v>
      </c>
      <c r="L644" s="920">
        <f>IF(SETUP!$F$31="At delivery",IF(SETUP!$G$31=4,$E$642*'HIV-Other HPs'!AY18,IF(SETUP!$G$31=3,$E$642*'HIV-Other HPs'!AZ18,IF(SETUP!$G$31=2,$E$642*'HIV-Other HPs'!BA18,IF(SETUP!$G$31=1,$E$642*'HIV-Other HPs'!BB18,0)))),0)</f>
        <v>0</v>
      </c>
      <c r="M644" s="920">
        <f>IF(SETUP!$F$31="At delivery",IF(SETUP!$G$31=4,$E$642*'HIV-Other HPs'!AZ18,IF(SETUP!$G$31=3,$E$642*'HIV-Other HPs'!BA18,IF(SETUP!$G$31=2,$E$642*'HIV-Other HPs'!BB18,IF(SETUP!$G$31=1,$E$642*'HIV-Other HPs'!BC18,0)))),0)</f>
        <v>0</v>
      </c>
      <c r="N644" s="920">
        <f>IF(SETUP!$F$31="At delivery",IF(SETUP!$G$31=4,$E$642*'HIV-Other HPs'!BA18,IF(SETUP!$G$31=3,$E$642*'HIV-Other HPs'!BB18,IF(SETUP!$G$31=2,$E$642*'HIV-Other HPs'!BC18,IF(SETUP!$G$31=1,$E$642*'HIV-Other HPs'!BD18,0)))),0)</f>
        <v>0</v>
      </c>
      <c r="O644" s="920">
        <f t="shared" si="102"/>
        <v>0</v>
      </c>
      <c r="P644" s="1016">
        <f>IF(SETUP!$F$31="At delivery",IF(SETUP!$G$31=4,$E$642*'HIV-Other HPs'!BB18,IF(SETUP!$G$31=3,$E$642*'HIV-Other HPs'!BC18,IF(SETUP!$G$31=2,$E$642*'HIV-Other HPs'!BD18,IF(SETUP!$G$31=1,$E$642*'HIV-Other HPs'!BE18,0)))),0)</f>
        <v>0</v>
      </c>
      <c r="Q644" s="920">
        <f>IF(SETUP!$F$31="At delivery",IF(SETUP!$G$31=4,$E$642*'HIV-Other HPs'!BC18,IF(SETUP!$G$31=3,$E$642*'HIV-Other HPs'!BD18,IF(SETUP!$G$31=2,$E$642*'HIV-Other HPs'!BE18,IF(SETUP!$G$31=1,$E$642*'HIV-Other HPs'!BF18,0)))),0)</f>
        <v>0</v>
      </c>
      <c r="R644" s="920">
        <f>IF(SETUP!$F$31="At delivery",IF(SETUP!$G$31=4,$E$642*'HIV-Other HPs'!BD18,IF(SETUP!$G$31=3,$E$642*'HIV-Other HPs'!BE18,IF(SETUP!$G$31=2,$E$642*'HIV-Other HPs'!BF18,IF(SETUP!$G$31=1,$E$642*'HIV-Other HPs'!BG18,0)))),0)</f>
        <v>0</v>
      </c>
      <c r="S644" s="920">
        <f>IF(SETUP!$F$31="At delivery",IF(SETUP!$G$31=4,$E$642*('HIV-Other HPs'!BE18+'HIV-Other HPs'!BF18+'HIV-Other HPs'!BG18+'HIV-Other HPs'!BH18+'HIV-Other HPs'!BI18),IF(SETUP!$G$31=3,$E$642*('HIV-Other HPs'!BF18+'HIV-Other HPs'!BG18+'HIV-Other HPs'!BH18+'HIV-Other HPs'!BI18),IF(SETUP!$G$31=2,$E$642*('HIV-Other HPs'!BG18+'HIV-Other HPs'!BH18+'HIV-Other HPs'!BI18),IF(SETUP!$G$31=1,$E$642*('HIV-Other HPs'!BH18+'HIV-Other HPs'!BI18),0)))),0)</f>
        <v>0</v>
      </c>
      <c r="T644" s="920">
        <f t="shared" si="99"/>
        <v>0</v>
      </c>
      <c r="U644" s="1016">
        <f t="shared" si="100"/>
        <v>0</v>
      </c>
      <c r="V644" s="1344">
        <v>7.7</v>
      </c>
      <c r="W644" s="2011"/>
      <c r="X644" s="575"/>
      <c r="Y644" s="685"/>
      <c r="Z644" s="655"/>
      <c r="AA644" s="686"/>
      <c r="AB644" s="686"/>
      <c r="AC644" s="686"/>
      <c r="AD644" s="686"/>
      <c r="AE644" s="686"/>
      <c r="AF644" s="686"/>
      <c r="AG644" s="686"/>
      <c r="AH644" s="687"/>
      <c r="AI644" s="686"/>
      <c r="AJ644" s="686"/>
      <c r="AK644" s="686"/>
      <c r="AL644" s="686"/>
      <c r="AM644" s="686"/>
      <c r="AN644" s="686"/>
      <c r="AO644" s="686"/>
      <c r="AP644" s="686"/>
      <c r="AQ644" s="686"/>
      <c r="AR644" s="686"/>
      <c r="AS644" s="686"/>
      <c r="AT644" s="686"/>
      <c r="AU644" s="686"/>
      <c r="AV644" s="686"/>
      <c r="AW644" s="686"/>
      <c r="AX644" s="686"/>
      <c r="AY644" s="686"/>
      <c r="AZ644" s="686"/>
      <c r="BA644" s="686"/>
      <c r="BB644" s="686"/>
      <c r="BC644" s="686"/>
      <c r="BD644" s="686"/>
      <c r="BE644" s="686"/>
      <c r="BF644" s="686"/>
      <c r="BG644" s="686"/>
      <c r="BH644" s="686"/>
      <c r="BI644" s="686"/>
      <c r="BJ644" s="686"/>
      <c r="BK644" s="686"/>
      <c r="BL644" s="686"/>
      <c r="BM644" s="686"/>
      <c r="BN644" s="686"/>
      <c r="BO644" s="686"/>
      <c r="BP644" s="686"/>
      <c r="BQ644" s="686"/>
      <c r="BR644" s="686"/>
      <c r="BS644" s="686"/>
      <c r="BT644" s="686"/>
    </row>
    <row r="645" spans="1:72" s="688" customFormat="1" ht="13.5" collapsed="1" thickBot="1">
      <c r="A645" s="3184"/>
      <c r="B645" s="3185"/>
      <c r="C645" s="3188" t="s">
        <v>443</v>
      </c>
      <c r="D645" s="3188"/>
      <c r="E645" s="1245">
        <v>0</v>
      </c>
      <c r="F645" s="1016">
        <f>IF(SETUP!$F$32="Upfront",F646,F647)</f>
        <v>0</v>
      </c>
      <c r="G645" s="920">
        <f>IF(SETUP!$F$32="Upfront",G646,G647)</f>
        <v>0</v>
      </c>
      <c r="H645" s="920">
        <f>IF(SETUP!$F$32="Upfront",H646,H647)</f>
        <v>0</v>
      </c>
      <c r="I645" s="920">
        <f>IF(SETUP!$F$32="Upfront",I646,I647)</f>
        <v>0</v>
      </c>
      <c r="J645" s="920">
        <f t="shared" si="101"/>
        <v>0</v>
      </c>
      <c r="K645" s="1016">
        <f>IF(SETUP!$F$32="Upfront",K646,K647)</f>
        <v>0</v>
      </c>
      <c r="L645" s="920">
        <f>IF(SETUP!$F$32="Upfront",L646,L647)</f>
        <v>0</v>
      </c>
      <c r="M645" s="920">
        <f>IF(SETUP!$F$32="Upfront",M646,M647)</f>
        <v>0</v>
      </c>
      <c r="N645" s="920">
        <f>IF(SETUP!$F$32="Upfront",N646,N647)</f>
        <v>0</v>
      </c>
      <c r="O645" s="920">
        <f t="shared" si="102"/>
        <v>0</v>
      </c>
      <c r="P645" s="1016">
        <f>IF(SETUP!$F$32="Upfront",P646,P647)</f>
        <v>0</v>
      </c>
      <c r="Q645" s="920">
        <f>IF(SETUP!$F$32="Upfront",Q646,Q647)</f>
        <v>0</v>
      </c>
      <c r="R645" s="920">
        <f>IF(SETUP!$F$32="Upfront",R646,R647)</f>
        <v>0</v>
      </c>
      <c r="S645" s="920">
        <f>IF(SETUP!$F$32="Upfront",S646,S647)</f>
        <v>0</v>
      </c>
      <c r="T645" s="920">
        <f t="shared" si="99"/>
        <v>0</v>
      </c>
      <c r="U645" s="1016">
        <f t="shared" si="100"/>
        <v>0</v>
      </c>
      <c r="V645" s="1344">
        <v>7.7</v>
      </c>
      <c r="W645" s="2011"/>
      <c r="X645" s="575"/>
      <c r="Y645" s="685"/>
      <c r="Z645" s="655"/>
      <c r="AA645" s="686"/>
      <c r="AB645" s="686"/>
      <c r="AC645" s="686"/>
      <c r="AD645" s="686"/>
      <c r="AE645" s="686"/>
      <c r="AF645" s="686"/>
      <c r="AG645" s="686"/>
      <c r="AH645" s="687"/>
      <c r="AI645" s="686"/>
      <c r="AJ645" s="686"/>
      <c r="AK645" s="686"/>
      <c r="AL645" s="686"/>
      <c r="AM645" s="686"/>
      <c r="AN645" s="686"/>
      <c r="AO645" s="686"/>
      <c r="AP645" s="686"/>
      <c r="AQ645" s="686"/>
      <c r="AR645" s="686"/>
      <c r="AS645" s="686"/>
      <c r="AT645" s="686"/>
      <c r="AU645" s="686"/>
      <c r="AV645" s="686"/>
      <c r="AW645" s="686"/>
      <c r="AX645" s="686"/>
      <c r="AY645" s="686"/>
      <c r="AZ645" s="686"/>
      <c r="BA645" s="686"/>
      <c r="BB645" s="686"/>
      <c r="BC645" s="686"/>
      <c r="BD645" s="686"/>
      <c r="BE645" s="686"/>
      <c r="BF645" s="686"/>
      <c r="BG645" s="686"/>
      <c r="BH645" s="686"/>
      <c r="BI645" s="686"/>
      <c r="BJ645" s="686"/>
      <c r="BK645" s="686"/>
      <c r="BL645" s="686"/>
      <c r="BM645" s="686"/>
      <c r="BN645" s="686"/>
      <c r="BO645" s="686"/>
      <c r="BP645" s="686"/>
      <c r="BQ645" s="686"/>
      <c r="BR645" s="686"/>
      <c r="BS645" s="686"/>
      <c r="BT645" s="686"/>
    </row>
    <row r="646" spans="1:72" s="688" customFormat="1" ht="16.149999999999999" hidden="1" customHeight="1" outlineLevel="1">
      <c r="A646" s="3184"/>
      <c r="B646" s="3185"/>
      <c r="C646" s="3182" t="s">
        <v>777</v>
      </c>
      <c r="D646" s="3182"/>
      <c r="E646" s="1246"/>
      <c r="F646" s="1016">
        <f>IF(SETUP!$F$32="Upfront",$E$645*'HIV-Other HPs'!AX19,0)</f>
        <v>0</v>
      </c>
      <c r="G646" s="920">
        <f>IF(SETUP!$F$32="Upfront",$E$645*'HIV-Other HPs'!AY19,0)</f>
        <v>0</v>
      </c>
      <c r="H646" s="920">
        <f>IF(SETUP!$F$32="Upfront",$E$645*'HIV-Other HPs'!AZ19,0)</f>
        <v>0</v>
      </c>
      <c r="I646" s="920">
        <f>IF(SETUP!$F$32="Upfront",$E$645*'HIV-Other HPs'!BA19,0)</f>
        <v>0</v>
      </c>
      <c r="J646" s="920">
        <f t="shared" si="101"/>
        <v>0</v>
      </c>
      <c r="K646" s="1016">
        <f>IF(SETUP!$F$32="Upfront",$E$645*'HIV-Other HPs'!BB19,0)</f>
        <v>0</v>
      </c>
      <c r="L646" s="920">
        <f>IF(SETUP!$F$32="Upfront",$E$645*'HIV-Other HPs'!BC19,0)</f>
        <v>0</v>
      </c>
      <c r="M646" s="920">
        <f>IF(SETUP!$F$32="Upfront",$E$645*'HIV-Other HPs'!BD19,0)</f>
        <v>0</v>
      </c>
      <c r="N646" s="920">
        <f>IF(SETUP!$F$32="Upfront",$E$645*'HIV-Other HPs'!BE19,0)</f>
        <v>0</v>
      </c>
      <c r="O646" s="920">
        <f t="shared" si="102"/>
        <v>0</v>
      </c>
      <c r="P646" s="1016">
        <f>IF(SETUP!$F$32="Upfront",$E$645*'HIV-Other HPs'!BF19,0)</f>
        <v>0</v>
      </c>
      <c r="Q646" s="920">
        <f>IF(SETUP!$F$32="Upfront",$E$645*'HIV-Other HPs'!BG19,0)</f>
        <v>0</v>
      </c>
      <c r="R646" s="920">
        <f>IF(SETUP!$F$32="Upfront",$E$645*'HIV-Other HPs'!BH19,0)</f>
        <v>0</v>
      </c>
      <c r="S646" s="920">
        <f>IF(SETUP!$F$32="Upfront",$E$645*'HIV-Other HPs'!BI19,0)</f>
        <v>0</v>
      </c>
      <c r="T646" s="920">
        <f t="shared" si="99"/>
        <v>0</v>
      </c>
      <c r="U646" s="1016">
        <f t="shared" si="100"/>
        <v>0</v>
      </c>
      <c r="V646" s="1344">
        <v>7.7</v>
      </c>
      <c r="W646" s="2011"/>
      <c r="X646" s="575"/>
      <c r="Y646" s="685"/>
      <c r="Z646" s="655"/>
      <c r="AA646" s="686"/>
      <c r="AB646" s="686"/>
      <c r="AC646" s="686"/>
      <c r="AD646" s="686"/>
      <c r="AE646" s="686"/>
      <c r="AF646" s="686"/>
      <c r="AG646" s="686"/>
      <c r="AH646" s="687"/>
      <c r="AI646" s="686"/>
      <c r="AJ646" s="686"/>
      <c r="AK646" s="686"/>
      <c r="AL646" s="686"/>
      <c r="AM646" s="686"/>
      <c r="AN646" s="686"/>
      <c r="AO646" s="686"/>
      <c r="AP646" s="686"/>
      <c r="AQ646" s="686"/>
      <c r="AR646" s="686"/>
      <c r="AS646" s="686"/>
      <c r="AT646" s="686"/>
      <c r="AU646" s="686"/>
      <c r="AV646" s="686"/>
      <c r="AW646" s="686"/>
      <c r="AX646" s="686"/>
      <c r="AY646" s="686"/>
      <c r="AZ646" s="686"/>
      <c r="BA646" s="686"/>
      <c r="BB646" s="686"/>
      <c r="BC646" s="686"/>
      <c r="BD646" s="686"/>
      <c r="BE646" s="686"/>
      <c r="BF646" s="686"/>
      <c r="BG646" s="686"/>
      <c r="BH646" s="686"/>
      <c r="BI646" s="686"/>
      <c r="BJ646" s="686"/>
      <c r="BK646" s="686"/>
      <c r="BL646" s="686"/>
      <c r="BM646" s="686"/>
      <c r="BN646" s="686"/>
      <c r="BO646" s="686"/>
      <c r="BP646" s="686"/>
      <c r="BQ646" s="686"/>
      <c r="BR646" s="686"/>
      <c r="BS646" s="686"/>
      <c r="BT646" s="686"/>
    </row>
    <row r="647" spans="1:72" s="688" customFormat="1" ht="16.149999999999999" hidden="1" customHeight="1" outlineLevel="1">
      <c r="A647" s="3184"/>
      <c r="B647" s="3185"/>
      <c r="C647" s="3182" t="s">
        <v>36</v>
      </c>
      <c r="D647" s="3182"/>
      <c r="E647" s="1246"/>
      <c r="F647" s="1016">
        <v>0</v>
      </c>
      <c r="G647" s="920">
        <f>IF(SETUP!$F$32="At delivery",IF(SETUP!$G$32=1,$E$645*'HIV-Other HPs'!AX19,0),0)</f>
        <v>0</v>
      </c>
      <c r="H647" s="920">
        <f>IF(SETUP!$F$32="At delivery",IF(SETUP!$G$32=2,$E$645*'HIV-Other HPs'!AX19,IF(SETUP!$G$32=1,$E$645*'HIV-Other HPs'!AY19,0)),0)</f>
        <v>0</v>
      </c>
      <c r="I647" s="920">
        <f>IF(SETUP!$F$32="At delivery",IF(SETUP!$G$32=3,$E$645*'HIV-Other HPs'!AX19,IF(SETUP!$G$32=2,$E$645*'HIV-Other HPs'!AY19,IF(SETUP!$G$32=1,$E$645*'HIV-Other HPs'!AZ19,0))),0)</f>
        <v>0</v>
      </c>
      <c r="J647" s="920">
        <f t="shared" si="101"/>
        <v>0</v>
      </c>
      <c r="K647" s="1016">
        <f>IF(SETUP!$F$32="At delivery",IF(SETUP!$G$32=4,$E$645*'HIV-Other HPs'!AX19,IF(SETUP!$G$32=3,$E$645*'HIV-Other HPs'!AY19,IF(SETUP!$G$32=2,$E$645*'HIV-Other HPs'!AZ19,IF(SETUP!$G$32=1,$E$645*'HIV-Other HPs'!BA19,0)))),0)</f>
        <v>0</v>
      </c>
      <c r="L647" s="920">
        <f>IF(SETUP!$F$32="At delivery",IF(SETUP!$G$32=4,$E$645*'HIV-Other HPs'!AY19,IF(SETUP!$G$32=3,$E$645*'HIV-Other HPs'!AZ19,IF(SETUP!$G$32=2,$E$645*'HIV-Other HPs'!BA19,IF(SETUP!$G$32=1,$E$645*'HIV-Other HPs'!BB19,0)))),0)</f>
        <v>0</v>
      </c>
      <c r="M647" s="920">
        <f>IF(SETUP!$F$32="At delivery",IF(SETUP!$G$32=4,$E$645*'HIV-Other HPs'!AZ19,IF(SETUP!$G$32=3,$E$645*'HIV-Other HPs'!BA19,IF(SETUP!$G$32=2,$E$645*'HIV-Other HPs'!BB19,IF(SETUP!$G$32=1,$E$645*'HIV-Other HPs'!BC19,0)))),0)</f>
        <v>0</v>
      </c>
      <c r="N647" s="920">
        <f>IF(SETUP!$F$32="At delivery",IF(SETUP!$G$32=4,$E$645*'HIV-Other HPs'!BA19,IF(SETUP!$G$32=3,$E$645*'HIV-Other HPs'!BB19,IF(SETUP!$G$32=2,$E$645*'HIV-Other HPs'!BC19,IF(SETUP!$G$32=1,$E$645*'HIV-Other HPs'!BD19,0)))),0)</f>
        <v>0</v>
      </c>
      <c r="O647" s="920">
        <f t="shared" si="102"/>
        <v>0</v>
      </c>
      <c r="P647" s="1016">
        <f>IF(SETUP!$F$32="At delivery",IF(SETUP!$G$32=4,$E$645*'HIV-Other HPs'!BB19,IF(SETUP!$G$32=3,$E$645*'HIV-Other HPs'!BC19,IF(SETUP!$G$32=2,$E$645*'HIV-Other HPs'!BD19,IF(SETUP!$G$32=1,$E$645*'HIV-Other HPs'!BE19,0)))),0)</f>
        <v>0</v>
      </c>
      <c r="Q647" s="920">
        <f>IF(SETUP!$F$32="At delivery",IF(SETUP!$G$32=4,$E$645*'HIV-Other HPs'!BC19,IF(SETUP!$G$32=3,$E$645*'HIV-Other HPs'!BD19,IF(SETUP!$G$32=2,$E$645*'HIV-Other HPs'!BE19,IF(SETUP!$G$32=1,$E$645*'HIV-Other HPs'!BF19,0)))),0)</f>
        <v>0</v>
      </c>
      <c r="R647" s="920">
        <f>IF(SETUP!$F$32="At delivery",IF(SETUP!$G$32=4,$E$645*'HIV-Other HPs'!BD19,IF(SETUP!$G$32=3,$E$645*'HIV-Other HPs'!BE19,IF(SETUP!$G$32=2,$E$645*'HIV-Other HPs'!BF19,IF(SETUP!$G$32=1,$E$645*'HIV-Other HPs'!BG19,0)))),0)</f>
        <v>0</v>
      </c>
      <c r="S647" s="920">
        <f>IF(SETUP!$F$32="At delivery",IF(SETUP!$G$32=4,$E$645*('HIV-Other HPs'!BE19+'HIV-Other HPs'!BF19+'HIV-Other HPs'!BG19+'HIV-Other HPs'!BH19+'HIV-Other HPs'!BI19),IF(SETUP!$G$32=3,$E$645*('HIV-Other HPs'!BF19+'HIV-Other HPs'!BG19+'HIV-Other HPs'!BH19+'HIV-Other HPs'!BI19),IF(SETUP!$G$32=2,$E$645*('HIV-Other HPs'!BG19+'HIV-Other HPs'!BH19+'HIV-Other HPs'!BI19),IF(SETUP!$G$32=1,$E$645*('HIV-Other HPs'!BH19+'HIV-Other HPs'!BI19),0)))),0)</f>
        <v>0</v>
      </c>
      <c r="T647" s="920">
        <f t="shared" si="99"/>
        <v>0</v>
      </c>
      <c r="U647" s="1016">
        <f t="shared" si="100"/>
        <v>0</v>
      </c>
      <c r="V647" s="1344">
        <v>7.7</v>
      </c>
      <c r="W647" s="2011"/>
      <c r="X647" s="575"/>
      <c r="Y647" s="685"/>
      <c r="Z647" s="655"/>
      <c r="AA647" s="686"/>
      <c r="AB647" s="686"/>
      <c r="AC647" s="686"/>
      <c r="AD647" s="686"/>
      <c r="AE647" s="686"/>
      <c r="AF647" s="686"/>
      <c r="AG647" s="686"/>
      <c r="AH647" s="687"/>
      <c r="AI647" s="686"/>
      <c r="AJ647" s="686"/>
      <c r="AK647" s="686"/>
      <c r="AL647" s="686"/>
      <c r="AM647" s="686"/>
      <c r="AN647" s="686"/>
      <c r="AO647" s="686"/>
      <c r="AP647" s="686"/>
      <c r="AQ647" s="686"/>
      <c r="AR647" s="686"/>
      <c r="AS647" s="686"/>
      <c r="AT647" s="686"/>
      <c r="AU647" s="686"/>
      <c r="AV647" s="686"/>
      <c r="AW647" s="686"/>
      <c r="AX647" s="686"/>
      <c r="AY647" s="686"/>
      <c r="AZ647" s="686"/>
      <c r="BA647" s="686"/>
      <c r="BB647" s="686"/>
      <c r="BC647" s="686"/>
      <c r="BD647" s="686"/>
      <c r="BE647" s="686"/>
      <c r="BF647" s="686"/>
      <c r="BG647" s="686"/>
      <c r="BH647" s="686"/>
      <c r="BI647" s="686"/>
      <c r="BJ647" s="686"/>
      <c r="BK647" s="686"/>
      <c r="BL647" s="686"/>
      <c r="BM647" s="686"/>
      <c r="BN647" s="686"/>
      <c r="BO647" s="686"/>
      <c r="BP647" s="686"/>
      <c r="BQ647" s="686"/>
      <c r="BR647" s="686"/>
      <c r="BS647" s="686"/>
      <c r="BT647" s="686"/>
    </row>
    <row r="648" spans="1:72" s="688" customFormat="1" ht="13.5" collapsed="1" thickBot="1">
      <c r="A648" s="3184"/>
      <c r="B648" s="3185"/>
      <c r="C648" s="3202" t="s">
        <v>1392</v>
      </c>
      <c r="D648" s="3202"/>
      <c r="E648" s="1245">
        <v>0</v>
      </c>
      <c r="F648" s="1016">
        <f>IF(SETUP!$F$33="Upfront",F649,F650)</f>
        <v>0</v>
      </c>
      <c r="G648" s="920">
        <f>IF(SETUP!$F$33="Upfront",G649,G650)</f>
        <v>0</v>
      </c>
      <c r="H648" s="920">
        <f>IF(SETUP!$F$33="Upfront",H649,H650)</f>
        <v>0</v>
      </c>
      <c r="I648" s="920">
        <f>IF(SETUP!$F$33="Upfront",I649,I650)</f>
        <v>0</v>
      </c>
      <c r="J648" s="920">
        <f t="shared" si="101"/>
        <v>0</v>
      </c>
      <c r="K648" s="1016">
        <f>IF(SETUP!$F$33="Upfront",K649,K650)</f>
        <v>0</v>
      </c>
      <c r="L648" s="920">
        <f>IF(SETUP!$F$33="Upfront",L649,L650)</f>
        <v>0</v>
      </c>
      <c r="M648" s="920">
        <f>IF(SETUP!$F$33="Upfront",M649,M650)</f>
        <v>0</v>
      </c>
      <c r="N648" s="920">
        <f>IF(SETUP!$F$33="Upfront",N649,N650)</f>
        <v>0</v>
      </c>
      <c r="O648" s="920">
        <f t="shared" si="102"/>
        <v>0</v>
      </c>
      <c r="P648" s="1016">
        <f>IF(SETUP!$F$33="Upfront",P649,P650)</f>
        <v>0</v>
      </c>
      <c r="Q648" s="920">
        <f>IF(SETUP!$F$33="Upfront",Q649,Q650)</f>
        <v>0</v>
      </c>
      <c r="R648" s="920">
        <f>IF(SETUP!$F$33="Upfront",R649,R650)</f>
        <v>0</v>
      </c>
      <c r="S648" s="920">
        <f>IF(SETUP!$F$33="Upfront",S649,S650)</f>
        <v>0</v>
      </c>
      <c r="T648" s="920">
        <f t="shared" si="99"/>
        <v>0</v>
      </c>
      <c r="U648" s="1016">
        <f t="shared" si="100"/>
        <v>0</v>
      </c>
      <c r="V648" s="1344">
        <v>7.7</v>
      </c>
      <c r="W648" s="2011"/>
      <c r="X648" s="575"/>
      <c r="Y648" s="685"/>
      <c r="Z648" s="655"/>
      <c r="AA648" s="686"/>
      <c r="AB648" s="686"/>
      <c r="AC648" s="686"/>
      <c r="AD648" s="686"/>
      <c r="AE648" s="686"/>
      <c r="AF648" s="686"/>
      <c r="AG648" s="686"/>
      <c r="AH648" s="687"/>
      <c r="AI648" s="686"/>
      <c r="AJ648" s="686"/>
      <c r="AK648" s="686"/>
      <c r="AL648" s="686"/>
      <c r="AM648" s="686"/>
      <c r="AN648" s="686"/>
      <c r="AO648" s="686"/>
      <c r="AP648" s="686"/>
      <c r="AQ648" s="686"/>
      <c r="AR648" s="686"/>
      <c r="AS648" s="686"/>
      <c r="AT648" s="686"/>
      <c r="AU648" s="686"/>
      <c r="AV648" s="686"/>
      <c r="AW648" s="686"/>
      <c r="AX648" s="686"/>
      <c r="AY648" s="686"/>
      <c r="AZ648" s="686"/>
      <c r="BA648" s="686"/>
      <c r="BB648" s="686"/>
      <c r="BC648" s="686"/>
      <c r="BD648" s="686"/>
      <c r="BE648" s="686"/>
      <c r="BF648" s="686"/>
      <c r="BG648" s="686"/>
      <c r="BH648" s="686"/>
      <c r="BI648" s="686"/>
      <c r="BJ648" s="686"/>
      <c r="BK648" s="686"/>
      <c r="BL648" s="686"/>
      <c r="BM648" s="686"/>
      <c r="BN648" s="686"/>
      <c r="BO648" s="686"/>
      <c r="BP648" s="686"/>
      <c r="BQ648" s="686"/>
      <c r="BR648" s="686"/>
      <c r="BS648" s="686"/>
      <c r="BT648" s="686"/>
    </row>
    <row r="649" spans="1:72" s="688" customFormat="1" ht="12.75" hidden="1" customHeight="1" outlineLevel="1">
      <c r="A649" s="3184"/>
      <c r="B649" s="3185"/>
      <c r="C649" s="3182" t="s">
        <v>777</v>
      </c>
      <c r="D649" s="3182"/>
      <c r="E649" s="1250"/>
      <c r="F649" s="1016">
        <f>IF(SETUP!$F$33="Upfront",$E$648*'HIV-Other HPs'!AX20,0)</f>
        <v>0</v>
      </c>
      <c r="G649" s="920">
        <f>IF(SETUP!$F$33="Upfront",$E$648*'HIV-Other HPs'!AY20,0)</f>
        <v>0</v>
      </c>
      <c r="H649" s="920">
        <f>IF(SETUP!$F$33="Upfront",$E$648*'HIV-Other HPs'!AZ20,0)</f>
        <v>0</v>
      </c>
      <c r="I649" s="920">
        <f>IF(SETUP!$F$33="Upfront",$E$648*'HIV-Other HPs'!BA20,0)</f>
        <v>0</v>
      </c>
      <c r="J649" s="920">
        <f t="shared" si="101"/>
        <v>0</v>
      </c>
      <c r="K649" s="1016">
        <f>IF(SETUP!$F$33="Upfront",$E$648*'HIV-Other HPs'!BB20,0)</f>
        <v>0</v>
      </c>
      <c r="L649" s="920">
        <f>IF(SETUP!$F$33="Upfront",$E$648*'HIV-Other HPs'!BC20,0)</f>
        <v>0</v>
      </c>
      <c r="M649" s="920">
        <f>IF(SETUP!$F$33="Upfront",$E$648*'HIV-Other HPs'!BD20,0)</f>
        <v>0</v>
      </c>
      <c r="N649" s="920">
        <f>IF(SETUP!$F$33="Upfront",$E$648*'HIV-Other HPs'!BE20,0)</f>
        <v>0</v>
      </c>
      <c r="O649" s="920">
        <f t="shared" si="102"/>
        <v>0</v>
      </c>
      <c r="P649" s="1016">
        <f>IF(SETUP!$F$33="Upfront",$E$648*'HIV-Other HPs'!BF20,0)</f>
        <v>0</v>
      </c>
      <c r="Q649" s="920">
        <f>IF(SETUP!$F$33="Upfront",$E$648*'HIV-Other HPs'!BG20,0)</f>
        <v>0</v>
      </c>
      <c r="R649" s="920">
        <f>IF(SETUP!$F$33="Upfront",$E$648*'HIV-Other HPs'!BH20,0)</f>
        <v>0</v>
      </c>
      <c r="S649" s="920">
        <f>IF(SETUP!$F$33="Upfront",$E$648*'HIV-Other HPs'!BI20,0)</f>
        <v>0</v>
      </c>
      <c r="T649" s="920">
        <f t="shared" ref="T649:T673" si="103">P649+Q649+R649+S649</f>
        <v>0</v>
      </c>
      <c r="U649" s="1016">
        <f t="shared" ref="U649:U673" si="104">J649+O649+T649</f>
        <v>0</v>
      </c>
      <c r="V649" s="1344">
        <v>7.7</v>
      </c>
      <c r="W649" s="2011"/>
      <c r="X649" s="575"/>
      <c r="Y649" s="685"/>
      <c r="Z649" s="655"/>
      <c r="AA649" s="686"/>
      <c r="AB649" s="686"/>
      <c r="AC649" s="686"/>
      <c r="AD649" s="686"/>
      <c r="AE649" s="686"/>
      <c r="AF649" s="686"/>
      <c r="AG649" s="686"/>
      <c r="AH649" s="687"/>
      <c r="AI649" s="686"/>
      <c r="AJ649" s="686"/>
      <c r="AK649" s="686"/>
      <c r="AL649" s="686"/>
      <c r="AM649" s="686"/>
      <c r="AN649" s="686"/>
      <c r="AO649" s="686"/>
      <c r="AP649" s="686"/>
      <c r="AQ649" s="686"/>
      <c r="AR649" s="686"/>
      <c r="AS649" s="686"/>
      <c r="AT649" s="686"/>
      <c r="AU649" s="686"/>
      <c r="AV649" s="686"/>
      <c r="AW649" s="686"/>
      <c r="AX649" s="686"/>
      <c r="AY649" s="686"/>
      <c r="AZ649" s="686"/>
      <c r="BA649" s="686"/>
      <c r="BB649" s="686"/>
      <c r="BC649" s="686"/>
      <c r="BD649" s="686"/>
      <c r="BE649" s="686"/>
      <c r="BF649" s="686"/>
      <c r="BG649" s="686"/>
      <c r="BH649" s="686"/>
      <c r="BI649" s="686"/>
      <c r="BJ649" s="686"/>
      <c r="BK649" s="686"/>
      <c r="BL649" s="686"/>
      <c r="BM649" s="686"/>
      <c r="BN649" s="686"/>
      <c r="BO649" s="686"/>
      <c r="BP649" s="686"/>
      <c r="BQ649" s="686"/>
      <c r="BR649" s="686"/>
      <c r="BS649" s="686"/>
      <c r="BT649" s="686"/>
    </row>
    <row r="650" spans="1:72" s="688" customFormat="1" ht="12.75" hidden="1" customHeight="1" outlineLevel="1">
      <c r="A650" s="3184"/>
      <c r="B650" s="3185"/>
      <c r="C650" s="3182" t="s">
        <v>36</v>
      </c>
      <c r="D650" s="3182"/>
      <c r="E650" s="1249"/>
      <c r="F650" s="1016">
        <v>0</v>
      </c>
      <c r="G650" s="920">
        <f>IF(SETUP!$F$33="At delivery",IF(SETUP!$G$33=1,$E$648*'HIV-Other HPs'!AX20,0),0)</f>
        <v>0</v>
      </c>
      <c r="H650" s="920">
        <f>IF(SETUP!$F$33="At delivery",IF(SETUP!$G$33=2,$E$648*'HIV-Other HPs'!AX20,IF(SETUP!$G$33=1,$E$648*'HIV-Other HPs'!AY20,0)),0)</f>
        <v>0</v>
      </c>
      <c r="I650" s="920">
        <f>IF(SETUP!$F$33="At delivery",IF(SETUP!$G$33=3,$E$648*'HIV-Other HPs'!AX20,IF(SETUP!$G$33=2,$E$648*'HIV-Other HPs'!AY20,IF(SETUP!$G$33=1,$E$648*'HIV-Other HPs'!AZ20,0))),0)</f>
        <v>0</v>
      </c>
      <c r="J650" s="920">
        <f t="shared" si="101"/>
        <v>0</v>
      </c>
      <c r="K650" s="1016">
        <f>IF(SETUP!$F$33="At delivery",IF(SETUP!$G$33=4,$E$648*'HIV-Other HPs'!AX20,IF(SETUP!$G$33=3,$E$648*'HIV-Other HPs'!AY20,IF(SETUP!$G$33=2,$E$648*'HIV-Other HPs'!AZ20,IF(SETUP!$G$33=1,$E$648*'HIV-Other HPs'!BA20,0)))),0)</f>
        <v>0</v>
      </c>
      <c r="L650" s="920">
        <f>IF(SETUP!$F$33="At delivery",IF(SETUP!$G$33=4,$E$648*'HIV-Other HPs'!AY20,IF(SETUP!$G$33=3,$E$648*'HIV-Other HPs'!AZ20,IF(SETUP!$G$33=2,$E$648*'HIV-Other HPs'!BA20,IF(SETUP!$G$33=1,$E$648*'HIV-Other HPs'!BB20,0)))),0)</f>
        <v>0</v>
      </c>
      <c r="M650" s="920">
        <f>IF(SETUP!$F$33="At delivery",IF(SETUP!$G$33=4,$E$648*'HIV-Other HPs'!AZ20,IF(SETUP!$G$33=3,$E$648*'HIV-Other HPs'!BA20,IF(SETUP!$G$33=2,$E$648*'HIV-Other HPs'!BB20,IF(SETUP!$G$33=1,$E$648*'HIV-Other HPs'!BC20,0)))),0)</f>
        <v>0</v>
      </c>
      <c r="N650" s="920">
        <f>IF(SETUP!$F$33="At delivery",IF(SETUP!$G$33=4,$E$648*'HIV-Other HPs'!BA20,IF(SETUP!$G$33=3,$E$648*'HIV-Other HPs'!BB20,IF(SETUP!$G$33=2,$E$648*'HIV-Other HPs'!BC20,IF(SETUP!$G$33=1,$E$648*'HIV-Other HPs'!BD20,0)))),0)</f>
        <v>0</v>
      </c>
      <c r="O650" s="920">
        <f t="shared" si="102"/>
        <v>0</v>
      </c>
      <c r="P650" s="1016">
        <f>IF(SETUP!$F$33="At delivery",IF(SETUP!$G$33=4,$E$648*'HIV-Other HPs'!BB20,IF(SETUP!$G$33=3,$E$648*'HIV-Other HPs'!BC20,IF(SETUP!$G$33=2,$E$648*'HIV-Other HPs'!BD20,IF(SETUP!$G$33=1,$E$648*'HIV-Other HPs'!BE20,0)))),0)</f>
        <v>0</v>
      </c>
      <c r="Q650" s="920">
        <f>IF(SETUP!$F$33="At delivery",IF(SETUP!$G$33=4,$E$648*'HIV-Other HPs'!BC20,IF(SETUP!$G$33=3,$E$648*'HIV-Other HPs'!BD20,IF(SETUP!$G$33=2,$E$648*'HIV-Other HPs'!BE20,IF(SETUP!$G$33=1,$E$648*'HIV-Other HPs'!BF20,0)))),0)</f>
        <v>0</v>
      </c>
      <c r="R650" s="920">
        <f>IF(SETUP!$F$33="At delivery",IF(SETUP!$G$33=4,$E$648*'HIV-Other HPs'!BD20,IF(SETUP!$G$33=3,$E$648*'HIV-Other HPs'!BE20,IF(SETUP!$G$33=2,$E$648*'HIV-Other HPs'!BF20,IF(SETUP!$G$33=1,$E$648*'HIV-Other HPs'!BG20,0)))),0)</f>
        <v>0</v>
      </c>
      <c r="S650" s="920">
        <f>IF(SETUP!$F$33="At delivery",IF(SETUP!$G$33=4,$E$648*('HIV-Other HPs'!BE20+'HIV-Other HPs'!BF20+'HIV-Other HPs'!BG20+'HIV-Other HPs'!BH20+'HIV-Other HPs'!BI20),IF(SETUP!$G$33=3,$E$648*('HIV-Other HPs'!BF20+'HIV-Other HPs'!BG20+'HIV-Other HPs'!BH20+'HIV-Other HPs'!BI20),IF(SETUP!$G$33=2,$E$648*('HIV-Other HPs'!BG20+'HIV-Other HPs'!BH20+'HIV-Other HPs'!BI20),IF(SETUP!$G$33=1,$E$648*('HIV-Other HPs'!BH20+'HIV-Other HPs'!BI20),0)))),0)</f>
        <v>0</v>
      </c>
      <c r="T650" s="920">
        <f t="shared" si="103"/>
        <v>0</v>
      </c>
      <c r="U650" s="1016">
        <f t="shared" si="104"/>
        <v>0</v>
      </c>
      <c r="V650" s="1344">
        <v>7.7</v>
      </c>
      <c r="W650" s="2011"/>
      <c r="X650" s="575"/>
      <c r="Y650" s="685"/>
      <c r="Z650" s="655"/>
      <c r="AA650" s="686"/>
      <c r="AB650" s="686"/>
      <c r="AC650" s="686"/>
      <c r="AD650" s="686"/>
      <c r="AE650" s="686"/>
      <c r="AF650" s="686"/>
      <c r="AG650" s="686"/>
      <c r="AH650" s="687"/>
      <c r="AI650" s="686"/>
      <c r="AJ650" s="686"/>
      <c r="AK650" s="686"/>
      <c r="AL650" s="686"/>
      <c r="AM650" s="686"/>
      <c r="AN650" s="686"/>
      <c r="AO650" s="686"/>
      <c r="AP650" s="686"/>
      <c r="AQ650" s="686"/>
      <c r="AR650" s="686"/>
      <c r="AS650" s="686"/>
      <c r="AT650" s="686"/>
      <c r="AU650" s="686"/>
      <c r="AV650" s="686"/>
      <c r="AW650" s="686"/>
      <c r="AX650" s="686"/>
      <c r="AY650" s="686"/>
      <c r="AZ650" s="686"/>
      <c r="BA650" s="686"/>
      <c r="BB650" s="686"/>
      <c r="BC650" s="686"/>
      <c r="BD650" s="686"/>
      <c r="BE650" s="686"/>
      <c r="BF650" s="686"/>
      <c r="BG650" s="686"/>
      <c r="BH650" s="686"/>
      <c r="BI650" s="686"/>
      <c r="BJ650" s="686"/>
      <c r="BK650" s="686"/>
      <c r="BL650" s="686"/>
      <c r="BM650" s="686"/>
      <c r="BN650" s="686"/>
      <c r="BO650" s="686"/>
      <c r="BP650" s="686"/>
      <c r="BQ650" s="686"/>
      <c r="BR650" s="686"/>
      <c r="BS650" s="686"/>
      <c r="BT650" s="686"/>
    </row>
    <row r="651" spans="1:72" s="688" customFormat="1" ht="13.5" hidden="1" collapsed="1" thickBot="1">
      <c r="A651" s="3186" t="s">
        <v>444</v>
      </c>
      <c r="B651" s="3187"/>
      <c r="C651" s="3188" t="s">
        <v>445</v>
      </c>
      <c r="D651" s="3188"/>
      <c r="E651" s="1245">
        <v>0</v>
      </c>
      <c r="F651" s="1016">
        <f>IF(SETUP!$F$36="Upfront",F652,F653)</f>
        <v>0</v>
      </c>
      <c r="G651" s="920">
        <f>IF(SETUP!$F$36="Upfront",G652,G653)</f>
        <v>0</v>
      </c>
      <c r="H651" s="920">
        <f>IF(SETUP!$F$36="Upfront",H652,H653)</f>
        <v>0</v>
      </c>
      <c r="I651" s="920">
        <f>IF(SETUP!$F$36="Upfront",I652,I653)</f>
        <v>0</v>
      </c>
      <c r="J651" s="920">
        <f t="shared" si="101"/>
        <v>0</v>
      </c>
      <c r="K651" s="1016">
        <f>IF(SETUP!$F$36="Upfront",K652,K653)</f>
        <v>0</v>
      </c>
      <c r="L651" s="920">
        <f>IF(SETUP!$F$36="Upfront",L652,L653)</f>
        <v>0</v>
      </c>
      <c r="M651" s="920">
        <f>IF(SETUP!$F$36="Upfront",M652,M653)</f>
        <v>0</v>
      </c>
      <c r="N651" s="920">
        <f>IF(SETUP!$F$36="Upfront",N652,N653)</f>
        <v>0</v>
      </c>
      <c r="O651" s="920">
        <f t="shared" si="102"/>
        <v>0</v>
      </c>
      <c r="P651" s="1016">
        <f>IF(SETUP!$F$36="Upfront",P652,P653)</f>
        <v>0</v>
      </c>
      <c r="Q651" s="920">
        <f>IF(SETUP!$F$36="Upfront",Q652,Q653)</f>
        <v>0</v>
      </c>
      <c r="R651" s="920">
        <f>IF(SETUP!$F$36="Upfront",R652,R653)</f>
        <v>0</v>
      </c>
      <c r="S651" s="920">
        <f>IF(SETUP!$F$36="Upfront",S652,S653)</f>
        <v>0</v>
      </c>
      <c r="T651" s="920">
        <f t="shared" si="103"/>
        <v>0</v>
      </c>
      <c r="U651" s="1016">
        <f t="shared" si="104"/>
        <v>0</v>
      </c>
      <c r="V651" s="1344">
        <v>7.7</v>
      </c>
      <c r="W651" s="2011"/>
      <c r="X651" s="575"/>
      <c r="Y651" s="685"/>
      <c r="Z651" s="655"/>
      <c r="AA651" s="686"/>
      <c r="AB651" s="686"/>
      <c r="AC651" s="686"/>
      <c r="AD651" s="686"/>
      <c r="AE651" s="686"/>
      <c r="AF651" s="686"/>
      <c r="AG651" s="686"/>
      <c r="AH651" s="687"/>
      <c r="AI651" s="686"/>
      <c r="AJ651" s="686"/>
      <c r="AK651" s="686"/>
      <c r="AL651" s="686"/>
      <c r="AM651" s="686"/>
      <c r="AN651" s="686"/>
      <c r="AO651" s="686"/>
      <c r="AP651" s="686"/>
      <c r="AQ651" s="686"/>
      <c r="AR651" s="686"/>
      <c r="AS651" s="686"/>
      <c r="AT651" s="686"/>
      <c r="AU651" s="686"/>
      <c r="AV651" s="686"/>
      <c r="AW651" s="686"/>
      <c r="AX651" s="686"/>
      <c r="AY651" s="686"/>
      <c r="AZ651" s="686"/>
      <c r="BA651" s="686"/>
      <c r="BB651" s="686"/>
      <c r="BC651" s="686"/>
      <c r="BD651" s="686"/>
      <c r="BE651" s="686"/>
      <c r="BF651" s="686"/>
      <c r="BG651" s="686"/>
      <c r="BH651" s="686"/>
      <c r="BI651" s="686"/>
      <c r="BJ651" s="686"/>
      <c r="BK651" s="686"/>
      <c r="BL651" s="686"/>
      <c r="BM651" s="686"/>
      <c r="BN651" s="686"/>
      <c r="BO651" s="686"/>
      <c r="BP651" s="686"/>
      <c r="BQ651" s="686"/>
      <c r="BR651" s="686"/>
      <c r="BS651" s="686"/>
      <c r="BT651" s="686"/>
    </row>
    <row r="652" spans="1:72" s="688" customFormat="1" ht="12.75" hidden="1" customHeight="1" outlineLevel="1">
      <c r="A652" s="3186"/>
      <c r="B652" s="3187"/>
      <c r="C652" s="3182" t="s">
        <v>777</v>
      </c>
      <c r="D652" s="3182"/>
      <c r="E652" s="1246"/>
      <c r="F652" s="1016">
        <f>IF(SETUP!$F$36="Upfront",$E$651*'TB-Pharmaceuticals'!AX14,0)</f>
        <v>0</v>
      </c>
      <c r="G652" s="920">
        <f>IF(SETUP!$F$36="Upfront",$E$651*'TB-Pharmaceuticals'!AY14,0)</f>
        <v>0</v>
      </c>
      <c r="H652" s="920">
        <f>IF(SETUP!$F$36="Upfront",$E$651*'TB-Pharmaceuticals'!AZ14,0)</f>
        <v>0</v>
      </c>
      <c r="I652" s="920">
        <f>IF(SETUP!$F$36="Upfront",$E$651*'TB-Pharmaceuticals'!BA14,0)</f>
        <v>0</v>
      </c>
      <c r="J652" s="920">
        <f t="shared" si="101"/>
        <v>0</v>
      </c>
      <c r="K652" s="1016">
        <f>IF(SETUP!$F$36="Upfront",$E$651*'TB-Pharmaceuticals'!BB14,0)</f>
        <v>0</v>
      </c>
      <c r="L652" s="920">
        <f>IF(SETUP!$F$36="Upfront",$E$651*'TB-Pharmaceuticals'!BC14,0)</f>
        <v>0</v>
      </c>
      <c r="M652" s="920">
        <f>IF(SETUP!$F$36="Upfront",$E$651*'TB-Pharmaceuticals'!BD14,0)</f>
        <v>0</v>
      </c>
      <c r="N652" s="920">
        <f>IF(SETUP!$F$36="Upfront",$E$651*'TB-Pharmaceuticals'!BE14,0)</f>
        <v>0</v>
      </c>
      <c r="O652" s="920">
        <f t="shared" si="102"/>
        <v>0</v>
      </c>
      <c r="P652" s="1016">
        <f>IF(SETUP!$F$36="Upfront",$E$651*'TB-Pharmaceuticals'!BF14,0)</f>
        <v>0</v>
      </c>
      <c r="Q652" s="920">
        <f>IF(SETUP!$F$36="Upfront",$E$651*'TB-Pharmaceuticals'!BG14,0)</f>
        <v>0</v>
      </c>
      <c r="R652" s="920">
        <f>IF(SETUP!$F$36="Upfront",$E$651*'TB-Pharmaceuticals'!BH14,0)</f>
        <v>0</v>
      </c>
      <c r="S652" s="920">
        <f>IF(SETUP!$F$36="Upfront",$E$651*'TB-Pharmaceuticals'!BI14,0)</f>
        <v>0</v>
      </c>
      <c r="T652" s="920">
        <f t="shared" si="103"/>
        <v>0</v>
      </c>
      <c r="U652" s="1016">
        <f t="shared" si="104"/>
        <v>0</v>
      </c>
      <c r="V652" s="1344">
        <v>7.7</v>
      </c>
      <c r="W652" s="2011"/>
      <c r="X652" s="575"/>
      <c r="Y652" s="685"/>
      <c r="Z652" s="655"/>
      <c r="AA652" s="686"/>
      <c r="AB652" s="686"/>
      <c r="AC652" s="686"/>
      <c r="AD652" s="686"/>
      <c r="AE652" s="686"/>
      <c r="AF652" s="686"/>
      <c r="AG652" s="686"/>
      <c r="AH652" s="687"/>
      <c r="AI652" s="686"/>
      <c r="AJ652" s="686"/>
      <c r="AK652" s="686"/>
      <c r="AL652" s="686"/>
      <c r="AM652" s="686"/>
      <c r="AN652" s="686"/>
      <c r="AO652" s="686"/>
      <c r="AP652" s="686"/>
      <c r="AQ652" s="686"/>
      <c r="AR652" s="686"/>
      <c r="AS652" s="686"/>
      <c r="AT652" s="686"/>
      <c r="AU652" s="686"/>
      <c r="AV652" s="686"/>
      <c r="AW652" s="686"/>
      <c r="AX652" s="686"/>
      <c r="AY652" s="686"/>
      <c r="AZ652" s="686"/>
      <c r="BA652" s="686"/>
      <c r="BB652" s="686"/>
      <c r="BC652" s="686"/>
      <c r="BD652" s="686"/>
      <c r="BE652" s="686"/>
      <c r="BF652" s="686"/>
      <c r="BG652" s="686"/>
      <c r="BH652" s="686"/>
      <c r="BI652" s="686"/>
      <c r="BJ652" s="686"/>
      <c r="BK652" s="686"/>
      <c r="BL652" s="686"/>
      <c r="BM652" s="686"/>
      <c r="BN652" s="686"/>
      <c r="BO652" s="686"/>
      <c r="BP652" s="686"/>
      <c r="BQ652" s="686"/>
      <c r="BR652" s="686"/>
      <c r="BS652" s="686"/>
      <c r="BT652" s="686"/>
    </row>
    <row r="653" spans="1:72" s="688" customFormat="1" ht="12.75" hidden="1" customHeight="1" outlineLevel="1">
      <c r="A653" s="3186"/>
      <c r="B653" s="3187"/>
      <c r="C653" s="3182" t="s">
        <v>36</v>
      </c>
      <c r="D653" s="3182"/>
      <c r="E653" s="1250"/>
      <c r="F653" s="1016">
        <v>0</v>
      </c>
      <c r="G653" s="920">
        <f>IF(SETUP!$F$36="At delivery",IF(SETUP!$G$36=1,$E$651*'TB-Pharmaceuticals'!AX14,0),0)</f>
        <v>0</v>
      </c>
      <c r="H653" s="920">
        <f>IF(SETUP!$F$36="At delivery",IF(SETUP!$G$36=2,$E$651*'TB-Pharmaceuticals'!AX14,IF(SETUP!$G$36=1,$E$651*'TB-Pharmaceuticals'!AY14,0)),0)</f>
        <v>0</v>
      </c>
      <c r="I653" s="920">
        <f>IF(SETUP!$F$36="At delivery",IF(SETUP!$G$36=3,$E$651*'TB-Pharmaceuticals'!AX14,IF(SETUP!$G$36=2,$E$651*'TB-Pharmaceuticals'!AY14,IF(SETUP!$G$36=1,$E$651*'TB-Pharmaceuticals'!AZ14,0))),0)</f>
        <v>0</v>
      </c>
      <c r="J653" s="920">
        <f t="shared" si="101"/>
        <v>0</v>
      </c>
      <c r="K653" s="1016">
        <f>IF(SETUP!$F$36="At delivery",IF(SETUP!$G$36=4,$E$651*'TB-Pharmaceuticals'!AX14,IF(SETUP!$G$36=3,$E$651*'TB-Pharmaceuticals'!AY14,IF(SETUP!$G$36=2,$E$651*'TB-Pharmaceuticals'!AZ14,IF(SETUP!$G$36=1,$E$651*'TB-Pharmaceuticals'!BA14,0)))),0)</f>
        <v>0</v>
      </c>
      <c r="L653" s="920">
        <f>IF(SETUP!$F$36="At delivery",IF(SETUP!$G$36=4,$E$651*'TB-Pharmaceuticals'!AY14,IF(SETUP!$G$36=3,$E$651*'TB-Pharmaceuticals'!AZ14,IF(SETUP!$G$36=2,$E$651*'TB-Pharmaceuticals'!BA14,IF(SETUP!$G$36=1,$E$651*'TB-Pharmaceuticals'!BB14,0)))),0)</f>
        <v>0</v>
      </c>
      <c r="M653" s="920">
        <f>IF(SETUP!$F$36="At delivery",IF(SETUP!$G$36=4,$E$651*'TB-Pharmaceuticals'!AZ14,IF(SETUP!$G$36=3,$E$651*'TB-Pharmaceuticals'!BA14,IF(SETUP!$G$36=2,$E$651*'TB-Pharmaceuticals'!BB14,IF(SETUP!$G$36=1,$E$651*'TB-Pharmaceuticals'!BC14,0)))),0)</f>
        <v>0</v>
      </c>
      <c r="N653" s="920">
        <f>IF(SETUP!$F$36="At delivery",IF(SETUP!$G$36=4,$E$651*'TB-Pharmaceuticals'!BA14,IF(SETUP!$G$36=3,$E$651*'TB-Pharmaceuticals'!BB14,IF(SETUP!$G$36=2,$E$651*'TB-Pharmaceuticals'!BC14,IF(SETUP!$G$36=1,$E$651*'TB-Pharmaceuticals'!BD14,0)))),0)</f>
        <v>0</v>
      </c>
      <c r="O653" s="920">
        <f t="shared" si="102"/>
        <v>0</v>
      </c>
      <c r="P653" s="1016">
        <f>IF(SETUP!$F$36="At delivery",IF(SETUP!$G$36=4,$E$651*'TB-Pharmaceuticals'!BB14,IF(SETUP!$G$36=3,$E$651*'TB-Pharmaceuticals'!BC14,IF(SETUP!$G$36=2,$E$651*'TB-Pharmaceuticals'!BD14,IF(SETUP!$G$36=1,$E$651*'TB-Pharmaceuticals'!BE14,0)))),0)</f>
        <v>0</v>
      </c>
      <c r="Q653" s="920">
        <f>IF(SETUP!$F$36="At delivery",IF(SETUP!$G$36=4,$E$651*'TB-Pharmaceuticals'!BC14,IF(SETUP!$G$36=3,$E$651*'TB-Pharmaceuticals'!BD14,IF(SETUP!$G$36=2,$E$651*'TB-Pharmaceuticals'!BE14,IF(SETUP!$G$36=1,$E$651*'TB-Pharmaceuticals'!BF14,0)))),0)</f>
        <v>0</v>
      </c>
      <c r="R653" s="920">
        <f>IF(SETUP!$F$36="At delivery",IF(SETUP!$G$36=4,$E$651*'TB-Pharmaceuticals'!BD14,IF(SETUP!$G$36=3,$E$651*'TB-Pharmaceuticals'!BE14,IF(SETUP!$G$36=2,$E$651*'TB-Pharmaceuticals'!BF14,IF(SETUP!$G$36=1,$E$651*'TB-Pharmaceuticals'!BG14,0)))),0)</f>
        <v>0</v>
      </c>
      <c r="S653" s="920">
        <f>IF(SETUP!$F$36="At delivery",IF(SETUP!$G$36=4,$E$651*('TB-Pharmaceuticals'!BE14+'TB-Pharmaceuticals'!BF14+'TB-Pharmaceuticals'!BG14+'TB-Pharmaceuticals'!BH14+'TB-Pharmaceuticals'!BI14),IF(SETUP!$G$36=3,$E$651*('TB-Pharmaceuticals'!BF14+'TB-Pharmaceuticals'!BG14+'TB-Pharmaceuticals'!BH14+'TB-Pharmaceuticals'!BI14),IF(SETUP!$G$36=2,$E$651*('TB-Pharmaceuticals'!BG14+'TB-Pharmaceuticals'!BH14+'TB-Pharmaceuticals'!BI14),IF(SETUP!$G$36=1,$E$651*('TB-Pharmaceuticals'!BH14+'TB-Pharmaceuticals'!BI14),0)))),0)</f>
        <v>0</v>
      </c>
      <c r="T653" s="920">
        <f t="shared" si="103"/>
        <v>0</v>
      </c>
      <c r="U653" s="1016">
        <f t="shared" si="104"/>
        <v>0</v>
      </c>
      <c r="V653" s="1344">
        <v>7.7</v>
      </c>
      <c r="W653" s="2011"/>
      <c r="X653" s="575"/>
      <c r="Y653" s="685"/>
      <c r="Z653" s="655"/>
      <c r="AA653" s="686"/>
      <c r="AB653" s="686"/>
      <c r="AC653" s="686"/>
      <c r="AD653" s="686"/>
      <c r="AE653" s="686"/>
      <c r="AF653" s="686"/>
      <c r="AG653" s="686"/>
      <c r="AH653" s="687"/>
      <c r="AI653" s="686"/>
      <c r="AJ653" s="686"/>
      <c r="AK653" s="686"/>
      <c r="AL653" s="686"/>
      <c r="AM653" s="686"/>
      <c r="AN653" s="686"/>
      <c r="AO653" s="686"/>
      <c r="AP653" s="686"/>
      <c r="AQ653" s="686"/>
      <c r="AR653" s="686"/>
      <c r="AS653" s="686"/>
      <c r="AT653" s="686"/>
      <c r="AU653" s="686"/>
      <c r="AV653" s="686"/>
      <c r="AW653" s="686"/>
      <c r="AX653" s="686"/>
      <c r="AY653" s="686"/>
      <c r="AZ653" s="686"/>
      <c r="BA653" s="686"/>
      <c r="BB653" s="686"/>
      <c r="BC653" s="686"/>
      <c r="BD653" s="686"/>
      <c r="BE653" s="686"/>
      <c r="BF653" s="686"/>
      <c r="BG653" s="686"/>
      <c r="BH653" s="686"/>
      <c r="BI653" s="686"/>
      <c r="BJ653" s="686"/>
      <c r="BK653" s="686"/>
      <c r="BL653" s="686"/>
      <c r="BM653" s="686"/>
      <c r="BN653" s="686"/>
      <c r="BO653" s="686"/>
      <c r="BP653" s="686"/>
      <c r="BQ653" s="686"/>
      <c r="BR653" s="686"/>
      <c r="BS653" s="686"/>
      <c r="BT653" s="686"/>
    </row>
    <row r="654" spans="1:72" s="688" customFormat="1" ht="13.5" hidden="1" collapsed="1" thickBot="1">
      <c r="A654" s="3186"/>
      <c r="B654" s="3187"/>
      <c r="C654" s="3188" t="s">
        <v>446</v>
      </c>
      <c r="D654" s="3188"/>
      <c r="E654" s="1245">
        <v>0</v>
      </c>
      <c r="F654" s="1016">
        <f>IF(SETUP!$F$38="Upfront",F655,F656)</f>
        <v>0</v>
      </c>
      <c r="G654" s="920">
        <f>IF(SETUP!$F$38="Upfront",G655,G656)</f>
        <v>0</v>
      </c>
      <c r="H654" s="920">
        <f>IF(SETUP!$F$38="Upfront",H655,H656)</f>
        <v>0</v>
      </c>
      <c r="I654" s="920">
        <f>IF(SETUP!$F$38="Upfront",I655,I656)</f>
        <v>0</v>
      </c>
      <c r="J654" s="920">
        <f t="shared" si="101"/>
        <v>0</v>
      </c>
      <c r="K654" s="1016">
        <f>IF(SETUP!$F$38="Upfront",K655,K656)</f>
        <v>0</v>
      </c>
      <c r="L654" s="920">
        <f>IF(SETUP!$F$38="Upfront",L655,L656)</f>
        <v>0</v>
      </c>
      <c r="M654" s="920">
        <f>IF(SETUP!$F$38="Upfront",M655,M656)</f>
        <v>0</v>
      </c>
      <c r="N654" s="920">
        <f>IF(SETUP!$F$38="Upfront",N655,N656)</f>
        <v>0</v>
      </c>
      <c r="O654" s="920">
        <f t="shared" si="102"/>
        <v>0</v>
      </c>
      <c r="P654" s="1016">
        <f>IF(SETUP!$F$38="Upfront",P655,P656)</f>
        <v>0</v>
      </c>
      <c r="Q654" s="920">
        <f>IF(SETUP!$F$38="Upfront",Q655,Q656)</f>
        <v>0</v>
      </c>
      <c r="R654" s="920">
        <f>IF(SETUP!$F$38="Upfront",R655,R656)</f>
        <v>0</v>
      </c>
      <c r="S654" s="920">
        <f>IF(SETUP!$F$38="Upfront",S655,S656)</f>
        <v>0</v>
      </c>
      <c r="T654" s="920">
        <f t="shared" si="103"/>
        <v>0</v>
      </c>
      <c r="U654" s="1016">
        <f t="shared" si="104"/>
        <v>0</v>
      </c>
      <c r="V654" s="1344">
        <v>7.7</v>
      </c>
      <c r="W654" s="2011"/>
      <c r="X654" s="575"/>
      <c r="Y654" s="685"/>
      <c r="Z654" s="655"/>
      <c r="AA654" s="686"/>
      <c r="AB654" s="686"/>
      <c r="AC654" s="686"/>
      <c r="AD654" s="686"/>
      <c r="AE654" s="686"/>
      <c r="AF654" s="686"/>
      <c r="AG654" s="686"/>
      <c r="AH654" s="687"/>
      <c r="AI654" s="686"/>
      <c r="AJ654" s="686"/>
      <c r="AK654" s="686"/>
      <c r="AL654" s="686"/>
      <c r="AM654" s="686"/>
      <c r="AN654" s="686"/>
      <c r="AO654" s="686"/>
      <c r="AP654" s="686"/>
      <c r="AQ654" s="686"/>
      <c r="AR654" s="686"/>
      <c r="AS654" s="686"/>
      <c r="AT654" s="686"/>
      <c r="AU654" s="686"/>
      <c r="AV654" s="686"/>
      <c r="AW654" s="686"/>
      <c r="AX654" s="686"/>
      <c r="AY654" s="686"/>
      <c r="AZ654" s="686"/>
      <c r="BA654" s="686"/>
      <c r="BB654" s="686"/>
      <c r="BC654" s="686"/>
      <c r="BD654" s="686"/>
      <c r="BE654" s="686"/>
      <c r="BF654" s="686"/>
      <c r="BG654" s="686"/>
      <c r="BH654" s="686"/>
      <c r="BI654" s="686"/>
      <c r="BJ654" s="686"/>
      <c r="BK654" s="686"/>
      <c r="BL654" s="686"/>
      <c r="BM654" s="686"/>
      <c r="BN654" s="686"/>
      <c r="BO654" s="686"/>
      <c r="BP654" s="686"/>
      <c r="BQ654" s="686"/>
      <c r="BR654" s="686"/>
      <c r="BS654" s="686"/>
      <c r="BT654" s="686"/>
    </row>
    <row r="655" spans="1:72" s="688" customFormat="1" ht="12.75" hidden="1" customHeight="1" outlineLevel="1">
      <c r="A655" s="3186"/>
      <c r="B655" s="3187"/>
      <c r="C655" s="3182" t="s">
        <v>777</v>
      </c>
      <c r="D655" s="3182"/>
      <c r="E655" s="1250"/>
      <c r="F655" s="1016">
        <f>IF(SETUP!$F$38="Upfront",$E$654*'TB-Pharmaceuticals'!AX15,0)</f>
        <v>0</v>
      </c>
      <c r="G655" s="920">
        <f>IF(SETUP!$F$38="Upfront",$E$654*'TB-Pharmaceuticals'!AY15,0)</f>
        <v>0</v>
      </c>
      <c r="H655" s="920">
        <f>IF(SETUP!$F$38="Upfront",$E$654*'TB-Pharmaceuticals'!AZ15,0)</f>
        <v>0</v>
      </c>
      <c r="I655" s="920">
        <f>IF(SETUP!$F$38="Upfront",$E$654*'TB-Pharmaceuticals'!BA15,0)</f>
        <v>0</v>
      </c>
      <c r="J655" s="920">
        <f t="shared" si="101"/>
        <v>0</v>
      </c>
      <c r="K655" s="1016">
        <f>IF(SETUP!$F$38="Upfront",$E$654*'TB-Pharmaceuticals'!BB15,0)</f>
        <v>0</v>
      </c>
      <c r="L655" s="920">
        <f>IF(SETUP!$F$38="Upfront",$E$654*'TB-Pharmaceuticals'!BC15,0)</f>
        <v>0</v>
      </c>
      <c r="M655" s="920">
        <f>IF(SETUP!$F$38="Upfront",$E$654*'TB-Pharmaceuticals'!BD15,0)</f>
        <v>0</v>
      </c>
      <c r="N655" s="920">
        <f>IF(SETUP!$F$38="Upfront",$E$654*'TB-Pharmaceuticals'!BE15,0)</f>
        <v>0</v>
      </c>
      <c r="O655" s="920">
        <f t="shared" si="102"/>
        <v>0</v>
      </c>
      <c r="P655" s="1016">
        <f>IF(SETUP!$F$38="Upfront",$E$654*'TB-Pharmaceuticals'!BF15,0)</f>
        <v>0</v>
      </c>
      <c r="Q655" s="920">
        <f>IF(SETUP!$F$38="Upfront",$E$654*'TB-Pharmaceuticals'!BG15,0)</f>
        <v>0</v>
      </c>
      <c r="R655" s="920">
        <f>IF(SETUP!$F$38="Upfront",$E$654*'TB-Pharmaceuticals'!BH15,0)</f>
        <v>0</v>
      </c>
      <c r="S655" s="920">
        <f>IF(SETUP!$F$38="Upfront",$E$654*'TB-Pharmaceuticals'!BI15,0)</f>
        <v>0</v>
      </c>
      <c r="T655" s="920">
        <f t="shared" si="103"/>
        <v>0</v>
      </c>
      <c r="U655" s="1016">
        <f t="shared" si="104"/>
        <v>0</v>
      </c>
      <c r="V655" s="1344">
        <v>7.7</v>
      </c>
      <c r="W655" s="2011"/>
      <c r="X655" s="575"/>
      <c r="Y655" s="685"/>
      <c r="Z655" s="655"/>
      <c r="AA655" s="686"/>
      <c r="AB655" s="686"/>
      <c r="AC655" s="686"/>
      <c r="AD655" s="686"/>
      <c r="AE655" s="686"/>
      <c r="AF655" s="686"/>
      <c r="AG655" s="686"/>
      <c r="AH655" s="687"/>
      <c r="AI655" s="686"/>
      <c r="AJ655" s="686"/>
      <c r="AK655" s="686"/>
      <c r="AL655" s="686"/>
      <c r="AM655" s="686"/>
      <c r="AN655" s="686"/>
      <c r="AO655" s="686"/>
      <c r="AP655" s="686"/>
      <c r="AQ655" s="686"/>
      <c r="AR655" s="686"/>
      <c r="AS655" s="686"/>
      <c r="AT655" s="686"/>
      <c r="AU655" s="686"/>
      <c r="AV655" s="686"/>
      <c r="AW655" s="686"/>
      <c r="AX655" s="686"/>
      <c r="AY655" s="686"/>
      <c r="AZ655" s="686"/>
      <c r="BA655" s="686"/>
      <c r="BB655" s="686"/>
      <c r="BC655" s="686"/>
      <c r="BD655" s="686"/>
      <c r="BE655" s="686"/>
      <c r="BF655" s="686"/>
      <c r="BG655" s="686"/>
      <c r="BH655" s="686"/>
      <c r="BI655" s="686"/>
      <c r="BJ655" s="686"/>
      <c r="BK655" s="686"/>
      <c r="BL655" s="686"/>
      <c r="BM655" s="686"/>
      <c r="BN655" s="686"/>
      <c r="BO655" s="686"/>
      <c r="BP655" s="686"/>
      <c r="BQ655" s="686"/>
      <c r="BR655" s="686"/>
      <c r="BS655" s="686"/>
      <c r="BT655" s="686"/>
    </row>
    <row r="656" spans="1:72" s="688" customFormat="1" ht="12.75" hidden="1" customHeight="1" outlineLevel="1">
      <c r="A656" s="3186"/>
      <c r="B656" s="3187"/>
      <c r="C656" s="3182" t="s">
        <v>36</v>
      </c>
      <c r="D656" s="3182"/>
      <c r="E656" s="1246"/>
      <c r="F656" s="1016">
        <v>0</v>
      </c>
      <c r="G656" s="920">
        <f>IF(SETUP!$F$38="At delivery",IF(SETUP!$G$38=1,$E$654*'TB-Pharmaceuticals'!AX15,0),0)</f>
        <v>0</v>
      </c>
      <c r="H656" s="920">
        <f>IF(SETUP!$F$38="At delivery",IF(SETUP!$G$38=2,$E$654*'TB-Pharmaceuticals'!AX15,IF(SETUP!$G$38=1,$E$654*'TB-Pharmaceuticals'!AY15,0)),0)</f>
        <v>0</v>
      </c>
      <c r="I656" s="920">
        <f>IF(SETUP!$F$38="At delivery",IF(SETUP!$G$38=3,$E$654*'TB-Pharmaceuticals'!AX15,IF(SETUP!$G$38=2,$E$654*'TB-Pharmaceuticals'!AY15,IF(SETUP!$G$38=1,$E$654*'TB-Pharmaceuticals'!AZ15,0))),0)</f>
        <v>0</v>
      </c>
      <c r="J656" s="920">
        <f t="shared" si="101"/>
        <v>0</v>
      </c>
      <c r="K656" s="1016">
        <f>IF(SETUP!$F$38="At delivery",IF(SETUP!$G$38=4,$E$654*'TB-Pharmaceuticals'!AX15,IF(SETUP!$G$38=3,$E$654*'TB-Pharmaceuticals'!AY15,IF(SETUP!$G$38=2,$E$654*'TB-Pharmaceuticals'!AZ15,IF(SETUP!$G$38=1,$E$654*'TB-Pharmaceuticals'!BA15,0)))),0)</f>
        <v>0</v>
      </c>
      <c r="L656" s="920">
        <f>IF(SETUP!$F$38="At delivery",IF(SETUP!$G$38=4,$E$654*'TB-Pharmaceuticals'!AY15,IF(SETUP!$G$38=3,$E$654*'TB-Pharmaceuticals'!AZ15,IF(SETUP!$G$38=2,$E$654*'TB-Pharmaceuticals'!BA15,IF(SETUP!$G$38=1,$E$654*'TB-Pharmaceuticals'!BB15,0)))),0)</f>
        <v>0</v>
      </c>
      <c r="M656" s="920">
        <f>IF(SETUP!$F$38="At delivery",IF(SETUP!$G$38=4,$E$654*'TB-Pharmaceuticals'!AZ15,IF(SETUP!$G$38=3,$E$654*'TB-Pharmaceuticals'!BA15,IF(SETUP!$G$38=2,$E$654*'TB-Pharmaceuticals'!BB15,IF(SETUP!$G$38=1,$E$654*'TB-Pharmaceuticals'!BC15,0)))),0)</f>
        <v>0</v>
      </c>
      <c r="N656" s="920">
        <f>IF(SETUP!$F$38="At delivery",IF(SETUP!$G$38=4,$E$654*'TB-Pharmaceuticals'!BA15,IF(SETUP!$G$38=3,$E$654*'TB-Pharmaceuticals'!BB15,IF(SETUP!$G$38=2,$E$654*'TB-Pharmaceuticals'!BC15,IF(SETUP!$G$38=1,$E$654*'TB-Pharmaceuticals'!BD15,0)))),0)</f>
        <v>0</v>
      </c>
      <c r="O656" s="920">
        <f t="shared" si="102"/>
        <v>0</v>
      </c>
      <c r="P656" s="1016">
        <f>IF(SETUP!$F$38="At delivery",IF(SETUP!$G$38=4,$E$654*'TB-Pharmaceuticals'!BB15,IF(SETUP!$G$38=3,$E$654*'TB-Pharmaceuticals'!BC15,IF(SETUP!$G$38=2,$E$654*'TB-Pharmaceuticals'!BD15,IF(SETUP!$G$38=1,$E$654*'TB-Pharmaceuticals'!BE15,0)))),0)</f>
        <v>0</v>
      </c>
      <c r="Q656" s="920">
        <f>IF(SETUP!$F$38="At delivery",IF(SETUP!$G$38=4,$E$654*'TB-Pharmaceuticals'!BC15,IF(SETUP!$G$38=3,$E$654*'TB-Pharmaceuticals'!BD15,IF(SETUP!$G$38=2,$E$654*'TB-Pharmaceuticals'!BE15,IF(SETUP!$G$38=1,$E$654*'TB-Pharmaceuticals'!BF15,0)))),0)</f>
        <v>0</v>
      </c>
      <c r="R656" s="920">
        <f>IF(SETUP!$F$38="At delivery",IF(SETUP!$G$38=4,$E$654*'TB-Pharmaceuticals'!BD15,IF(SETUP!$G$38=3,$E$654*'TB-Pharmaceuticals'!BE15,IF(SETUP!$G$38=2,$E$654*'TB-Pharmaceuticals'!BF15,IF(SETUP!$G$38=1,$E$654*'TB-Pharmaceuticals'!BG15,0)))),0)</f>
        <v>0</v>
      </c>
      <c r="S656" s="920">
        <f>IF(SETUP!$F$38="At delivery",IF(SETUP!$G$38=4,$E$654*('TB-Pharmaceuticals'!BE15+'TB-Pharmaceuticals'!BF15+'TB-Pharmaceuticals'!BG15+'TB-Pharmaceuticals'!BH15+'TB-Pharmaceuticals'!BI15),IF(SETUP!$G$38=3,$E$654*('TB-Pharmaceuticals'!BF15+'TB-Pharmaceuticals'!BG15+'TB-Pharmaceuticals'!BH15+'TB-Pharmaceuticals'!BI15),IF(SETUP!$G$38=2,$E$654*('TB-Pharmaceuticals'!BG15+'TB-Pharmaceuticals'!BH15+'TB-Pharmaceuticals'!BI15),IF(SETUP!$G$38=1,$E$654*('TB-Pharmaceuticals'!BH15+'TB-Pharmaceuticals'!BI15),0)))),0)</f>
        <v>0</v>
      </c>
      <c r="T656" s="920">
        <f t="shared" si="103"/>
        <v>0</v>
      </c>
      <c r="U656" s="1016">
        <f t="shared" si="104"/>
        <v>0</v>
      </c>
      <c r="V656" s="1344">
        <v>7.7</v>
      </c>
      <c r="W656" s="2011"/>
      <c r="X656" s="575"/>
      <c r="Y656" s="685"/>
      <c r="Z656" s="655"/>
      <c r="AA656" s="686"/>
      <c r="AB656" s="686"/>
      <c r="AC656" s="686"/>
      <c r="AD656" s="686"/>
      <c r="AE656" s="686"/>
      <c r="AF656" s="686"/>
      <c r="AG656" s="686"/>
      <c r="AH656" s="687"/>
      <c r="AI656" s="686"/>
      <c r="AJ656" s="686"/>
      <c r="AK656" s="686"/>
      <c r="AL656" s="686"/>
      <c r="AM656" s="686"/>
      <c r="AN656" s="686"/>
      <c r="AO656" s="686"/>
      <c r="AP656" s="686"/>
      <c r="AQ656" s="686"/>
      <c r="AR656" s="686"/>
      <c r="AS656" s="686"/>
      <c r="AT656" s="686"/>
      <c r="AU656" s="686"/>
      <c r="AV656" s="686"/>
      <c r="AW656" s="686"/>
      <c r="AX656" s="686"/>
      <c r="AY656" s="686"/>
      <c r="AZ656" s="686"/>
      <c r="BA656" s="686"/>
      <c r="BB656" s="686"/>
      <c r="BC656" s="686"/>
      <c r="BD656" s="686"/>
      <c r="BE656" s="686"/>
      <c r="BF656" s="686"/>
      <c r="BG656" s="686"/>
      <c r="BH656" s="686"/>
      <c r="BI656" s="686"/>
      <c r="BJ656" s="686"/>
      <c r="BK656" s="686"/>
      <c r="BL656" s="686"/>
      <c r="BM656" s="686"/>
      <c r="BN656" s="686"/>
      <c r="BO656" s="686"/>
      <c r="BP656" s="686"/>
      <c r="BQ656" s="686"/>
      <c r="BR656" s="686"/>
      <c r="BS656" s="686"/>
      <c r="BT656" s="686"/>
    </row>
    <row r="657" spans="1:72" s="688" customFormat="1" ht="13.5" hidden="1" collapsed="1" thickBot="1">
      <c r="A657" s="3186"/>
      <c r="B657" s="3187"/>
      <c r="C657" s="3188" t="s">
        <v>1389</v>
      </c>
      <c r="D657" s="3188"/>
      <c r="E657" s="1245">
        <v>0</v>
      </c>
      <c r="F657" s="1016">
        <f>IF(SETUP!$F$39="Upfront",F658,F659)</f>
        <v>0</v>
      </c>
      <c r="G657" s="920">
        <f>IF(SETUP!$F$39="Upfront",G658,G659)</f>
        <v>0</v>
      </c>
      <c r="H657" s="920">
        <f>IF(SETUP!$F$39="Upfront",H658,H659)</f>
        <v>0</v>
      </c>
      <c r="I657" s="920">
        <f>IF(SETUP!$F$39="Upfront",I658,I659)</f>
        <v>0</v>
      </c>
      <c r="J657" s="920">
        <f t="shared" si="101"/>
        <v>0</v>
      </c>
      <c r="K657" s="1016">
        <f>IF(SETUP!$F$39="Upfront",K658,K659)</f>
        <v>0</v>
      </c>
      <c r="L657" s="920">
        <f>IF(SETUP!$F$39="Upfront",L658,L659)</f>
        <v>0</v>
      </c>
      <c r="M657" s="920">
        <f>IF(SETUP!$F$39="Upfront",M658,M659)</f>
        <v>0</v>
      </c>
      <c r="N657" s="920">
        <f>IF(SETUP!$F$39="Upfront",N658,N659)</f>
        <v>0</v>
      </c>
      <c r="O657" s="920">
        <f t="shared" si="102"/>
        <v>0</v>
      </c>
      <c r="P657" s="1016">
        <f>IF(SETUP!$F$39="Upfront",P658,P659)</f>
        <v>0</v>
      </c>
      <c r="Q657" s="920">
        <f>IF(SETUP!$F$39="Upfront",Q658,Q659)</f>
        <v>0</v>
      </c>
      <c r="R657" s="920">
        <f>IF(SETUP!$F$39="Upfront",R658,R659)</f>
        <v>0</v>
      </c>
      <c r="S657" s="920">
        <f>IF(SETUP!$F$39="Upfront",S658,S659)</f>
        <v>0</v>
      </c>
      <c r="T657" s="920">
        <f t="shared" si="103"/>
        <v>0</v>
      </c>
      <c r="U657" s="1016">
        <f t="shared" si="104"/>
        <v>0</v>
      </c>
      <c r="V657" s="1344">
        <v>7.7</v>
      </c>
      <c r="W657" s="2011"/>
      <c r="X657" s="575"/>
      <c r="Y657" s="685"/>
      <c r="Z657" s="655"/>
      <c r="AA657" s="686"/>
      <c r="AB657" s="686"/>
      <c r="AC657" s="686"/>
      <c r="AD657" s="686"/>
      <c r="AE657" s="686"/>
      <c r="AF657" s="686"/>
      <c r="AG657" s="686"/>
      <c r="AH657" s="687"/>
      <c r="AI657" s="686"/>
      <c r="AJ657" s="686"/>
      <c r="AK657" s="686"/>
      <c r="AL657" s="686"/>
      <c r="AM657" s="686"/>
      <c r="AN657" s="686"/>
      <c r="AO657" s="686"/>
      <c r="AP657" s="686"/>
      <c r="AQ657" s="686"/>
      <c r="AR657" s="686"/>
      <c r="AS657" s="686"/>
      <c r="AT657" s="686"/>
      <c r="AU657" s="686"/>
      <c r="AV657" s="686"/>
      <c r="AW657" s="686"/>
      <c r="AX657" s="686"/>
      <c r="AY657" s="686"/>
      <c r="AZ657" s="686"/>
      <c r="BA657" s="686"/>
      <c r="BB657" s="686"/>
      <c r="BC657" s="686"/>
      <c r="BD657" s="686"/>
      <c r="BE657" s="686"/>
      <c r="BF657" s="686"/>
      <c r="BG657" s="686"/>
      <c r="BH657" s="686"/>
      <c r="BI657" s="686"/>
      <c r="BJ657" s="686"/>
      <c r="BK657" s="686"/>
      <c r="BL657" s="686"/>
      <c r="BM657" s="686"/>
      <c r="BN657" s="686"/>
      <c r="BO657" s="686"/>
      <c r="BP657" s="686"/>
      <c r="BQ657" s="686"/>
      <c r="BR657" s="686"/>
      <c r="BS657" s="686"/>
      <c r="BT657" s="686"/>
    </row>
    <row r="658" spans="1:72" s="688" customFormat="1" ht="12.75" hidden="1" customHeight="1" outlineLevel="1">
      <c r="A658" s="3186"/>
      <c r="B658" s="3187"/>
      <c r="C658" s="3182" t="s">
        <v>777</v>
      </c>
      <c r="D658" s="3182"/>
      <c r="E658" s="1249"/>
      <c r="F658" s="1016">
        <f>IF(SETUP!$F$39="Upfront",$E$657*'TB-Pharmaceuticals'!AX16,0)</f>
        <v>0</v>
      </c>
      <c r="G658" s="920">
        <f>IF(SETUP!$F$39="Upfront",$E$657*'TB-Pharmaceuticals'!AY16,0)</f>
        <v>0</v>
      </c>
      <c r="H658" s="920">
        <f>IF(SETUP!$F$39="Upfront",$E$657*'TB-Pharmaceuticals'!AZ16,0)</f>
        <v>0</v>
      </c>
      <c r="I658" s="920">
        <f>IF(SETUP!$F$39="Upfront",$E$657*'TB-Pharmaceuticals'!BA16,0)</f>
        <v>0</v>
      </c>
      <c r="J658" s="920">
        <f t="shared" si="101"/>
        <v>0</v>
      </c>
      <c r="K658" s="1016">
        <f>IF(SETUP!$F$39="Upfront",$E$657*'TB-Pharmaceuticals'!BB16,0)</f>
        <v>0</v>
      </c>
      <c r="L658" s="920">
        <f>IF(SETUP!$F$39="Upfront",$E$657*'TB-Pharmaceuticals'!BC16,0)</f>
        <v>0</v>
      </c>
      <c r="M658" s="920">
        <f>IF(SETUP!$F$39="Upfront",$E$657*'TB-Pharmaceuticals'!BD16,0)</f>
        <v>0</v>
      </c>
      <c r="N658" s="920">
        <f>IF(SETUP!$F$39="Upfront",$E$657*'TB-Pharmaceuticals'!BE16,0)</f>
        <v>0</v>
      </c>
      <c r="O658" s="920">
        <f t="shared" si="102"/>
        <v>0</v>
      </c>
      <c r="P658" s="1016">
        <f>IF(SETUP!$F$39="Upfront",$E$657*'TB-Pharmaceuticals'!BF16,0)</f>
        <v>0</v>
      </c>
      <c r="Q658" s="920">
        <f>IF(SETUP!$F$39="Upfront",$E$657*'TB-Pharmaceuticals'!BG16,0)</f>
        <v>0</v>
      </c>
      <c r="R658" s="920">
        <f>IF(SETUP!$F$39="Upfront",$E$657*'TB-Pharmaceuticals'!BH16,0)</f>
        <v>0</v>
      </c>
      <c r="S658" s="920">
        <f>IF(SETUP!$F$39="Upfront",$E$657*'TB-Pharmaceuticals'!BI16,0)</f>
        <v>0</v>
      </c>
      <c r="T658" s="920">
        <f t="shared" si="103"/>
        <v>0</v>
      </c>
      <c r="U658" s="1016">
        <f t="shared" si="104"/>
        <v>0</v>
      </c>
      <c r="V658" s="1344">
        <v>7.7</v>
      </c>
      <c r="W658" s="2011"/>
      <c r="X658" s="575"/>
      <c r="Y658" s="685"/>
      <c r="Z658" s="655"/>
      <c r="AA658" s="686"/>
      <c r="AB658" s="686"/>
      <c r="AC658" s="686"/>
      <c r="AD658" s="686"/>
      <c r="AE658" s="686"/>
      <c r="AF658" s="686"/>
      <c r="AG658" s="686"/>
      <c r="AH658" s="687"/>
      <c r="AI658" s="686"/>
      <c r="AJ658" s="686"/>
      <c r="AK658" s="686"/>
      <c r="AL658" s="686"/>
      <c r="AM658" s="686"/>
      <c r="AN658" s="686"/>
      <c r="AO658" s="686"/>
      <c r="AP658" s="686"/>
      <c r="AQ658" s="686"/>
      <c r="AR658" s="686"/>
      <c r="AS658" s="686"/>
      <c r="AT658" s="686"/>
      <c r="AU658" s="686"/>
      <c r="AV658" s="686"/>
      <c r="AW658" s="686"/>
      <c r="AX658" s="686"/>
      <c r="AY658" s="686"/>
      <c r="AZ658" s="686"/>
      <c r="BA658" s="686"/>
      <c r="BB658" s="686"/>
      <c r="BC658" s="686"/>
      <c r="BD658" s="686"/>
      <c r="BE658" s="686"/>
      <c r="BF658" s="686"/>
      <c r="BG658" s="686"/>
      <c r="BH658" s="686"/>
      <c r="BI658" s="686"/>
      <c r="BJ658" s="686"/>
      <c r="BK658" s="686"/>
      <c r="BL658" s="686"/>
      <c r="BM658" s="686"/>
      <c r="BN658" s="686"/>
      <c r="BO658" s="686"/>
      <c r="BP658" s="686"/>
      <c r="BQ658" s="686"/>
      <c r="BR658" s="686"/>
      <c r="BS658" s="686"/>
      <c r="BT658" s="686"/>
    </row>
    <row r="659" spans="1:72" s="688" customFormat="1" ht="12.75" hidden="1" customHeight="1" outlineLevel="1">
      <c r="A659" s="3186"/>
      <c r="B659" s="3187"/>
      <c r="C659" s="3182" t="s">
        <v>36</v>
      </c>
      <c r="D659" s="3182"/>
      <c r="E659" s="1249"/>
      <c r="F659" s="1016">
        <v>0</v>
      </c>
      <c r="G659" s="920">
        <f>IF(SETUP!$F$39="At delivery",IF(SETUP!$G$39=1,$E$657*'TB-Pharmaceuticals'!AX16,0),0)</f>
        <v>0</v>
      </c>
      <c r="H659" s="920">
        <f>IF(SETUP!$F$39="At delivery",IF(SETUP!$G$39=2,$E$657*'TB-Pharmaceuticals'!AX16,IF(SETUP!$G$39=1,$E$657*'TB-Pharmaceuticals'!AY16,0)),0)</f>
        <v>0</v>
      </c>
      <c r="I659" s="920">
        <f>IF(SETUP!$F$39="At delivery",IF(SETUP!$G$39=3,$E$657*'TB-Pharmaceuticals'!AX16,IF(SETUP!$G$39=2,$E$657*'TB-Pharmaceuticals'!AY16,IF(SETUP!$G$39=1,$E$657*'TB-Pharmaceuticals'!AZ16,0))),0)</f>
        <v>0</v>
      </c>
      <c r="J659" s="920">
        <f t="shared" si="101"/>
        <v>0</v>
      </c>
      <c r="K659" s="1016">
        <f>IF(SETUP!$F$39="At delivery",IF(SETUP!$G$39=4,$E$657*'TB-Pharmaceuticals'!AX16,IF(SETUP!$G$39=3,$E$657*'TB-Pharmaceuticals'!AY16,IF(SETUP!$G$39=2,$E$657*'TB-Pharmaceuticals'!AZ16,IF(SETUP!$G$39=1,$E$657*'TB-Pharmaceuticals'!BA16,0)))),0)</f>
        <v>0</v>
      </c>
      <c r="L659" s="920">
        <f>IF(SETUP!$F$39="At delivery",IF(SETUP!$G$39=4,$E$657*'TB-Pharmaceuticals'!AY16,IF(SETUP!$G$39=3,$E$657*'TB-Pharmaceuticals'!AZ16,IF(SETUP!$G$39=2,$E$657*'TB-Pharmaceuticals'!BA16,IF(SETUP!$G$39=1,$E$657*'TB-Pharmaceuticals'!BB16,0)))),0)</f>
        <v>0</v>
      </c>
      <c r="M659" s="920">
        <f>IF(SETUP!$F$39="At delivery",IF(SETUP!$G$39=4,$E$657*'TB-Pharmaceuticals'!AZ16,IF(SETUP!$G$39=3,$E$657*'TB-Pharmaceuticals'!BA16,IF(SETUP!$G$39=2,$E$657*'TB-Pharmaceuticals'!BB16,IF(SETUP!$G$39=1,$E$657*'TB-Pharmaceuticals'!BC16,0)))),0)</f>
        <v>0</v>
      </c>
      <c r="N659" s="920">
        <f>IF(SETUP!$F$39="At delivery",IF(SETUP!$G$39=4,$E$657*'TB-Pharmaceuticals'!BA16,IF(SETUP!$G$39=3,$E$657*'TB-Pharmaceuticals'!BB16,IF(SETUP!$G$39=2,$E$657*'TB-Pharmaceuticals'!BC16,IF(SETUP!$G$39=1,$E$657*'TB-Pharmaceuticals'!BD16,0)))),0)</f>
        <v>0</v>
      </c>
      <c r="O659" s="920">
        <f t="shared" si="102"/>
        <v>0</v>
      </c>
      <c r="P659" s="1016">
        <f>IF(SETUP!$F$39="At delivery",IF(SETUP!$G$39=4,$E$657*'TB-Pharmaceuticals'!BB16,IF(SETUP!$G$39=3,$E$657*'TB-Pharmaceuticals'!BC16,IF(SETUP!$G$39=2,$E$657*'TB-Pharmaceuticals'!BD16,IF(SETUP!$G$39=1,$E$657*'TB-Pharmaceuticals'!BE16,0)))),0)</f>
        <v>0</v>
      </c>
      <c r="Q659" s="920">
        <f>IF(SETUP!$F$39="At delivery",IF(SETUP!$G$39=4,$E$657*'TB-Pharmaceuticals'!BC16,IF(SETUP!$G$39=3,$E$657*'TB-Pharmaceuticals'!BD16,IF(SETUP!$G$39=2,$E$657*'TB-Pharmaceuticals'!BE16,IF(SETUP!$G$39=1,$E$657*'TB-Pharmaceuticals'!BF16,0)))),0)</f>
        <v>0</v>
      </c>
      <c r="R659" s="920">
        <f>IF(SETUP!$F$39="At delivery",IF(SETUP!$G$39=4,$E$657*'TB-Pharmaceuticals'!BD16,IF(SETUP!$G$39=3,$E$657*'TB-Pharmaceuticals'!BE16,IF(SETUP!$G$39=2,$E$657*'TB-Pharmaceuticals'!BF16,IF(SETUP!$G$39=1,$E$657*'TB-Pharmaceuticals'!BG16,0)))),0)</f>
        <v>0</v>
      </c>
      <c r="S659" s="920">
        <f>IF(SETUP!$F$39="At delivery",IF(SETUP!$G$39=4,$E$657*('TB-Pharmaceuticals'!BE16+'TB-Pharmaceuticals'!BF16+'TB-Pharmaceuticals'!BG16+'TB-Pharmaceuticals'!BH16+'TB-Pharmaceuticals'!BI16),IF(SETUP!$G$39=3,$E$657*('TB-Pharmaceuticals'!BF16+'TB-Pharmaceuticals'!BG16+'TB-Pharmaceuticals'!BH16+'TB-Pharmaceuticals'!BI16),IF(SETUP!$G$39=2,$E$657*('TB-Pharmaceuticals'!BG16+'TB-Pharmaceuticals'!BH16+'TB-Pharmaceuticals'!BI16),IF(SETUP!$G$39=1,$E$657*('TB-Pharmaceuticals'!BH16+'TB-Pharmaceuticals'!BI16),0)))),0)</f>
        <v>0</v>
      </c>
      <c r="T659" s="920">
        <f t="shared" si="103"/>
        <v>0</v>
      </c>
      <c r="U659" s="1016">
        <f t="shared" si="104"/>
        <v>0</v>
      </c>
      <c r="V659" s="1344">
        <v>7.7</v>
      </c>
      <c r="W659" s="2011"/>
      <c r="X659" s="575"/>
      <c r="Y659" s="685"/>
      <c r="Z659" s="655"/>
      <c r="AA659" s="686"/>
      <c r="AB659" s="686"/>
      <c r="AC659" s="686"/>
      <c r="AD659" s="686"/>
      <c r="AE659" s="686"/>
      <c r="AF659" s="686"/>
      <c r="AG659" s="686"/>
      <c r="AH659" s="687"/>
      <c r="AI659" s="686"/>
      <c r="AJ659" s="686"/>
      <c r="AK659" s="686"/>
      <c r="AL659" s="686"/>
      <c r="AM659" s="686"/>
      <c r="AN659" s="686"/>
      <c r="AO659" s="686"/>
      <c r="AP659" s="686"/>
      <c r="AQ659" s="686"/>
      <c r="AR659" s="686"/>
      <c r="AS659" s="686"/>
      <c r="AT659" s="686"/>
      <c r="AU659" s="686"/>
      <c r="AV659" s="686"/>
      <c r="AW659" s="686"/>
      <c r="AX659" s="686"/>
      <c r="AY659" s="686"/>
      <c r="AZ659" s="686"/>
      <c r="BA659" s="686"/>
      <c r="BB659" s="686"/>
      <c r="BC659" s="686"/>
      <c r="BD659" s="686"/>
      <c r="BE659" s="686"/>
      <c r="BF659" s="686"/>
      <c r="BG659" s="686"/>
      <c r="BH659" s="686"/>
      <c r="BI659" s="686"/>
      <c r="BJ659" s="686"/>
      <c r="BK659" s="686"/>
      <c r="BL659" s="686"/>
      <c r="BM659" s="686"/>
      <c r="BN659" s="686"/>
      <c r="BO659" s="686"/>
      <c r="BP659" s="686"/>
      <c r="BQ659" s="686"/>
      <c r="BR659" s="686"/>
      <c r="BS659" s="686"/>
      <c r="BT659" s="686"/>
    </row>
    <row r="660" spans="1:72" s="688" customFormat="1" ht="13.5" hidden="1" collapsed="1" thickBot="1">
      <c r="A660" s="3186" t="s">
        <v>447</v>
      </c>
      <c r="B660" s="3187"/>
      <c r="C660" s="3188" t="s">
        <v>292</v>
      </c>
      <c r="D660" s="3188"/>
      <c r="E660" s="1245">
        <v>0</v>
      </c>
      <c r="F660" s="1016">
        <f>IF(SETUP!$F$40="Upfront",F661,F662)</f>
        <v>0</v>
      </c>
      <c r="G660" s="920">
        <f>IF(SETUP!$F$40="Upfront",G661,G662)</f>
        <v>0</v>
      </c>
      <c r="H660" s="920">
        <f>IF(SETUP!$F$40="Upfront",H661,H662)</f>
        <v>0</v>
      </c>
      <c r="I660" s="920">
        <f>IF(SETUP!$F$40="Upfront",I661,I662)</f>
        <v>0</v>
      </c>
      <c r="J660" s="920">
        <f t="shared" si="101"/>
        <v>0</v>
      </c>
      <c r="K660" s="1016">
        <f>IF(SETUP!$F$40="Upfront",K661,K662)</f>
        <v>0</v>
      </c>
      <c r="L660" s="920">
        <f>IF(SETUP!$F$40="Upfront",L661,L662)</f>
        <v>0</v>
      </c>
      <c r="M660" s="920">
        <f>IF(SETUP!$F$40="Upfront",M661,M662)</f>
        <v>0</v>
      </c>
      <c r="N660" s="920">
        <f>IF(SETUP!$F$40="Upfront",N661,N662)</f>
        <v>0</v>
      </c>
      <c r="O660" s="920">
        <f t="shared" si="102"/>
        <v>0</v>
      </c>
      <c r="P660" s="1016">
        <f>IF(SETUP!$F$40="Upfront",P661,P662)</f>
        <v>0</v>
      </c>
      <c r="Q660" s="920">
        <f>IF(SETUP!$F$40="Upfront",Q661,Q662)</f>
        <v>0</v>
      </c>
      <c r="R660" s="920">
        <f>IF(SETUP!$F$40="Upfront",R661,R662)</f>
        <v>0</v>
      </c>
      <c r="S660" s="920">
        <f>IF(SETUP!$F$40="Upfront",S661,S662)</f>
        <v>0</v>
      </c>
      <c r="T660" s="920">
        <f t="shared" si="103"/>
        <v>0</v>
      </c>
      <c r="U660" s="1016">
        <f t="shared" si="104"/>
        <v>0</v>
      </c>
      <c r="V660" s="1344">
        <v>7.7</v>
      </c>
      <c r="W660" s="2011"/>
      <c r="X660" s="575"/>
      <c r="Y660" s="685"/>
      <c r="Z660" s="655"/>
      <c r="AA660" s="686"/>
      <c r="AB660" s="686"/>
      <c r="AC660" s="686"/>
      <c r="AD660" s="686"/>
      <c r="AE660" s="686"/>
      <c r="AF660" s="686"/>
      <c r="AG660" s="686"/>
      <c r="AH660" s="687"/>
      <c r="AI660" s="686"/>
      <c r="AJ660" s="686"/>
      <c r="AK660" s="686"/>
      <c r="AL660" s="686"/>
      <c r="AM660" s="686"/>
      <c r="AN660" s="686"/>
      <c r="AO660" s="686"/>
      <c r="AP660" s="686"/>
      <c r="AQ660" s="686"/>
      <c r="AR660" s="686"/>
      <c r="AS660" s="686"/>
      <c r="AT660" s="686"/>
      <c r="AU660" s="686"/>
      <c r="AV660" s="686"/>
      <c r="AW660" s="686"/>
      <c r="AX660" s="686"/>
      <c r="AY660" s="686"/>
      <c r="AZ660" s="686"/>
      <c r="BA660" s="686"/>
      <c r="BB660" s="686"/>
      <c r="BC660" s="686"/>
      <c r="BD660" s="686"/>
      <c r="BE660" s="686"/>
      <c r="BF660" s="686"/>
      <c r="BG660" s="686"/>
      <c r="BH660" s="686"/>
      <c r="BI660" s="686"/>
      <c r="BJ660" s="686"/>
      <c r="BK660" s="686"/>
      <c r="BL660" s="686"/>
      <c r="BM660" s="686"/>
      <c r="BN660" s="686"/>
      <c r="BO660" s="686"/>
      <c r="BP660" s="686"/>
      <c r="BQ660" s="686"/>
      <c r="BR660" s="686"/>
      <c r="BS660" s="686"/>
      <c r="BT660" s="686"/>
    </row>
    <row r="661" spans="1:72" s="688" customFormat="1" ht="12.75" hidden="1" customHeight="1" outlineLevel="1">
      <c r="A661" s="3186"/>
      <c r="B661" s="3187"/>
      <c r="C661" s="3182" t="s">
        <v>777</v>
      </c>
      <c r="D661" s="3182"/>
      <c r="E661" s="1249"/>
      <c r="F661" s="1016">
        <f>IF(SETUP!$F$40="Upfront",$E$660*'TB-EQUIPMENT &amp; OTHER HPs'!AX14,0)</f>
        <v>0</v>
      </c>
      <c r="G661" s="920">
        <f>IF(SETUP!$F$40="Upfront",$E$660*'TB-EQUIPMENT &amp; OTHER HPs'!AY14,0)</f>
        <v>0</v>
      </c>
      <c r="H661" s="920">
        <f>IF(SETUP!$F$40="Upfront",$E$660*'TB-EQUIPMENT &amp; OTHER HPs'!AZ14,0)</f>
        <v>0</v>
      </c>
      <c r="I661" s="920">
        <f>IF(SETUP!$F$40="Upfront",$E$660*'TB-EQUIPMENT &amp; OTHER HPs'!BA14,0)</f>
        <v>0</v>
      </c>
      <c r="J661" s="920">
        <f t="shared" si="101"/>
        <v>0</v>
      </c>
      <c r="K661" s="1016">
        <f>IF(SETUP!$F$40="Upfront",$E$660*'TB-EQUIPMENT &amp; OTHER HPs'!BB14,0)</f>
        <v>0</v>
      </c>
      <c r="L661" s="920">
        <f>IF(SETUP!$F$40="Upfront",$E$660*'TB-EQUIPMENT &amp; OTHER HPs'!BC14,0)</f>
        <v>0</v>
      </c>
      <c r="M661" s="920">
        <f>IF(SETUP!$F$40="Upfront",$E$660*'TB-EQUIPMENT &amp; OTHER HPs'!BD14,0)</f>
        <v>0</v>
      </c>
      <c r="N661" s="920">
        <f>IF(SETUP!$F$40="Upfront",$E$660*'TB-EQUIPMENT &amp; OTHER HPs'!BE14,0)</f>
        <v>0</v>
      </c>
      <c r="O661" s="920">
        <f t="shared" si="102"/>
        <v>0</v>
      </c>
      <c r="P661" s="1016">
        <f>IF(SETUP!$F$40="Upfront",$E$660*'TB-EQUIPMENT &amp; OTHER HPs'!BF14,0)</f>
        <v>0</v>
      </c>
      <c r="Q661" s="920">
        <f>IF(SETUP!$F$40="Upfront",$E$660*'TB-EQUIPMENT &amp; OTHER HPs'!BG14,0)</f>
        <v>0</v>
      </c>
      <c r="R661" s="920">
        <f>IF(SETUP!$F$40="Upfront",$E$660*'TB-EQUIPMENT &amp; OTHER HPs'!BH14,0)</f>
        <v>0</v>
      </c>
      <c r="S661" s="920">
        <f>IF(SETUP!$F$40="Upfront",$E$660*'TB-EQUIPMENT &amp; OTHER HPs'!BI14,0)</f>
        <v>0</v>
      </c>
      <c r="T661" s="920">
        <f t="shared" si="103"/>
        <v>0</v>
      </c>
      <c r="U661" s="1016">
        <f t="shared" si="104"/>
        <v>0</v>
      </c>
      <c r="V661" s="1344">
        <v>7.7</v>
      </c>
      <c r="W661" s="2011"/>
      <c r="X661" s="575"/>
      <c r="Y661" s="685"/>
      <c r="Z661" s="655"/>
      <c r="AA661" s="686"/>
      <c r="AB661" s="686"/>
      <c r="AC661" s="686"/>
      <c r="AD661" s="686"/>
      <c r="AE661" s="686"/>
      <c r="AF661" s="686"/>
      <c r="AG661" s="686"/>
      <c r="AH661" s="687"/>
      <c r="AI661" s="686"/>
      <c r="AJ661" s="686"/>
      <c r="AK661" s="686"/>
      <c r="AL661" s="686"/>
      <c r="AM661" s="686"/>
      <c r="AN661" s="686"/>
      <c r="AO661" s="686"/>
      <c r="AP661" s="686"/>
      <c r="AQ661" s="686"/>
      <c r="AR661" s="686"/>
      <c r="AS661" s="686"/>
      <c r="AT661" s="686"/>
      <c r="AU661" s="686"/>
      <c r="AV661" s="686"/>
      <c r="AW661" s="686"/>
      <c r="AX661" s="686"/>
      <c r="AY661" s="686"/>
      <c r="AZ661" s="686"/>
      <c r="BA661" s="686"/>
      <c r="BB661" s="686"/>
      <c r="BC661" s="686"/>
      <c r="BD661" s="686"/>
      <c r="BE661" s="686"/>
      <c r="BF661" s="686"/>
      <c r="BG661" s="686"/>
      <c r="BH661" s="686"/>
      <c r="BI661" s="686"/>
      <c r="BJ661" s="686"/>
      <c r="BK661" s="686"/>
      <c r="BL661" s="686"/>
      <c r="BM661" s="686"/>
      <c r="BN661" s="686"/>
      <c r="BO661" s="686"/>
      <c r="BP661" s="686"/>
      <c r="BQ661" s="686"/>
      <c r="BR661" s="686"/>
      <c r="BS661" s="686"/>
      <c r="BT661" s="686"/>
    </row>
    <row r="662" spans="1:72" s="688" customFormat="1" ht="12.75" hidden="1" customHeight="1" outlineLevel="1">
      <c r="A662" s="3186"/>
      <c r="B662" s="3187"/>
      <c r="C662" s="3182" t="s">
        <v>36</v>
      </c>
      <c r="D662" s="3182"/>
      <c r="E662" s="1249"/>
      <c r="F662" s="1016">
        <v>0</v>
      </c>
      <c r="G662" s="920">
        <f>IF(SETUP!$F$40="At delivery",IF(SETUP!$G$40=1,$E$660*'TB-EQUIPMENT &amp; OTHER HPs'!AX14,0),0)</f>
        <v>0</v>
      </c>
      <c r="H662" s="920">
        <f>IF(SETUP!$F$40="At delivery",IF(SETUP!$G$40=2,$E$660*'TB-EQUIPMENT &amp; OTHER HPs'!AX14,IF(SETUP!$G$40=1,$E$660*'TB-EQUIPMENT &amp; OTHER HPs'!AY14,0)),0)</f>
        <v>0</v>
      </c>
      <c r="I662" s="920">
        <f>IF(SETUP!$F$40="At delivery",IF(SETUP!$G$40=3,$E$660*'TB-EQUIPMENT &amp; OTHER HPs'!AX14,IF(SETUP!$G$40=2,$E$660*'TB-EQUIPMENT &amp; OTHER HPs'!AY14,IF(SETUP!$G$40=1,$E$660*'TB-EQUIPMENT &amp; OTHER HPs'!AZ14,0))),0)</f>
        <v>0</v>
      </c>
      <c r="J662" s="920">
        <f t="shared" si="101"/>
        <v>0</v>
      </c>
      <c r="K662" s="1016">
        <f>IF(SETUP!$F$40="At delivery",IF(SETUP!$G$40=4,$E$660*'TB-EQUIPMENT &amp; OTHER HPs'!AX14,IF(SETUP!$G$40=3,$E$660*'TB-EQUIPMENT &amp; OTHER HPs'!AY14,IF(SETUP!$G$40=2,$E$660*'TB-EQUIPMENT &amp; OTHER HPs'!AZ14,IF(SETUP!$G$40=1,$E$660*'TB-EQUIPMENT &amp; OTHER HPs'!BA14,0)))),0)</f>
        <v>0</v>
      </c>
      <c r="L662" s="920">
        <f>IF(SETUP!$F$40="At delivery",IF(SETUP!$G$40=4,$E$660*'TB-EQUIPMENT &amp; OTHER HPs'!AY14,IF(SETUP!$G$40=3,$E$660*'TB-EQUIPMENT &amp; OTHER HPs'!AZ14,IF(SETUP!$G$40=2,$E$660*'TB-EQUIPMENT &amp; OTHER HPs'!BA14,IF(SETUP!$G$40=1,$E$660*'TB-EQUIPMENT &amp; OTHER HPs'!BB14,0)))),0)</f>
        <v>0</v>
      </c>
      <c r="M662" s="920">
        <f>IF(SETUP!$F$40="At delivery",IF(SETUP!$G$40=4,$E$660*'TB-EQUIPMENT &amp; OTHER HPs'!AZ14,IF(SETUP!$G$40=3,$E$660*'TB-EQUIPMENT &amp; OTHER HPs'!BA14,IF(SETUP!$G$40=2,$E$660*'TB-EQUIPMENT &amp; OTHER HPs'!BB14,IF(SETUP!$G$40=1,$E$660*'TB-EQUIPMENT &amp; OTHER HPs'!BC14,0)))),0)</f>
        <v>0</v>
      </c>
      <c r="N662" s="920">
        <f>IF(SETUP!$F$40="At delivery",IF(SETUP!$G$40=4,$E$660*'TB-EQUIPMENT &amp; OTHER HPs'!BA14,IF(SETUP!$G$40=3,$E$660*'TB-EQUIPMENT &amp; OTHER HPs'!BB14,IF(SETUP!$G$40=2,$E$660*'TB-EQUIPMENT &amp; OTHER HPs'!BC14,IF(SETUP!$G$40=1,$E$660*'TB-EQUIPMENT &amp; OTHER HPs'!BD14,0)))),0)</f>
        <v>0</v>
      </c>
      <c r="O662" s="920">
        <f t="shared" si="102"/>
        <v>0</v>
      </c>
      <c r="P662" s="1016">
        <f>IF(SETUP!$F$40="At delivery",IF(SETUP!$G$40=4,$E$660*'TB-EQUIPMENT &amp; OTHER HPs'!BB14,IF(SETUP!$G$40=3,$E$660*'TB-EQUIPMENT &amp; OTHER HPs'!BC14,IF(SETUP!$G$40=2,$E$660*'TB-EQUIPMENT &amp; OTHER HPs'!BD14,IF(SETUP!$G$40=1,$E$660*'TB-EQUIPMENT &amp; OTHER HPs'!BE14,0)))),0)</f>
        <v>0</v>
      </c>
      <c r="Q662" s="920">
        <f>IF(SETUP!$F$40="At delivery",IF(SETUP!$G$40=4,$E$660*'TB-EQUIPMENT &amp; OTHER HPs'!BC14,IF(SETUP!$G$40=3,$E$660*'TB-EQUIPMENT &amp; OTHER HPs'!BD14,IF(SETUP!$G$40=2,$E$660*'TB-EQUIPMENT &amp; OTHER HPs'!BE14,IF(SETUP!$G$40=1,$E$660*'TB-EQUIPMENT &amp; OTHER HPs'!BF14,0)))),0)</f>
        <v>0</v>
      </c>
      <c r="R662" s="920">
        <f>IF(SETUP!$F$40="At delivery",IF(SETUP!$G$40=4,$E$660*'TB-EQUIPMENT &amp; OTHER HPs'!BD14,IF(SETUP!$G$40=3,$E$660*'TB-EQUIPMENT &amp; OTHER HPs'!BE14,IF(SETUP!$G$40=2,$E$660*'TB-EQUIPMENT &amp; OTHER HPs'!BF14,IF(SETUP!$G$40=1,$E$660*'TB-EQUIPMENT &amp; OTHER HPs'!BG14,0)))),0)</f>
        <v>0</v>
      </c>
      <c r="S662" s="920">
        <f>IF(SETUP!$F$40="At delivery",IF(SETUP!$G$40=4,$E$660*('TB-EQUIPMENT &amp; OTHER HPs'!BE14+'TB-EQUIPMENT &amp; OTHER HPs'!BF14+'TB-EQUIPMENT &amp; OTHER HPs'!BG14+'TB-EQUIPMENT &amp; OTHER HPs'!BH14+'TB-EQUIPMENT &amp; OTHER HPs'!BI14),IF(SETUP!$G$40=3,$E$660*('TB-EQUIPMENT &amp; OTHER HPs'!BF14+'TB-EQUIPMENT &amp; OTHER HPs'!BG14+'TB-EQUIPMENT &amp; OTHER HPs'!BH14+'TB-EQUIPMENT &amp; OTHER HPs'!BI14),IF(SETUP!$G$40=2,$E$660*('TB-EQUIPMENT &amp; OTHER HPs'!BG14+'TB-EQUIPMENT &amp; OTHER HPs'!BH14+'TB-EQUIPMENT &amp; OTHER HPs'!BI14),IF(SETUP!$G$40=1,$E$660*('TB-EQUIPMENT &amp; OTHER HPs'!BH14+'TB-EQUIPMENT &amp; OTHER HPs'!BI14),0)))),0)</f>
        <v>0</v>
      </c>
      <c r="T662" s="920">
        <f t="shared" si="103"/>
        <v>0</v>
      </c>
      <c r="U662" s="1016">
        <f t="shared" si="104"/>
        <v>0</v>
      </c>
      <c r="V662" s="1344">
        <v>7.7</v>
      </c>
      <c r="W662" s="2011"/>
      <c r="X662" s="575"/>
      <c r="Y662" s="685"/>
      <c r="Z662" s="655"/>
      <c r="AA662" s="686"/>
      <c r="AB662" s="686"/>
      <c r="AC662" s="686"/>
      <c r="AD662" s="686"/>
      <c r="AE662" s="686"/>
      <c r="AF662" s="686"/>
      <c r="AG662" s="686"/>
      <c r="AH662" s="687"/>
      <c r="AI662" s="686"/>
      <c r="AJ662" s="686"/>
      <c r="AK662" s="686"/>
      <c r="AL662" s="686"/>
      <c r="AM662" s="686"/>
      <c r="AN662" s="686"/>
      <c r="AO662" s="686"/>
      <c r="AP662" s="686"/>
      <c r="AQ662" s="686"/>
      <c r="AR662" s="686"/>
      <c r="AS662" s="686"/>
      <c r="AT662" s="686"/>
      <c r="AU662" s="686"/>
      <c r="AV662" s="686"/>
      <c r="AW662" s="686"/>
      <c r="AX662" s="686"/>
      <c r="AY662" s="686"/>
      <c r="AZ662" s="686"/>
      <c r="BA662" s="686"/>
      <c r="BB662" s="686"/>
      <c r="BC662" s="686"/>
      <c r="BD662" s="686"/>
      <c r="BE662" s="686"/>
      <c r="BF662" s="686"/>
      <c r="BG662" s="686"/>
      <c r="BH662" s="686"/>
      <c r="BI662" s="686"/>
      <c r="BJ662" s="686"/>
      <c r="BK662" s="686"/>
      <c r="BL662" s="686"/>
      <c r="BM662" s="686"/>
      <c r="BN662" s="686"/>
      <c r="BO662" s="686"/>
      <c r="BP662" s="686"/>
      <c r="BQ662" s="686"/>
      <c r="BR662" s="686"/>
      <c r="BS662" s="686"/>
      <c r="BT662" s="686"/>
    </row>
    <row r="663" spans="1:72" s="688" customFormat="1" ht="13.5" hidden="1" collapsed="1" thickBot="1">
      <c r="A663" s="3186"/>
      <c r="B663" s="3187"/>
      <c r="C663" s="3188" t="s">
        <v>1348</v>
      </c>
      <c r="D663" s="3188"/>
      <c r="E663" s="1245">
        <v>0</v>
      </c>
      <c r="F663" s="1016">
        <f>IF(SETUP!$F$41="Upfront",F664,F665)</f>
        <v>0</v>
      </c>
      <c r="G663" s="920">
        <f>IF(SETUP!$F$41="Upfront",G664,G665)</f>
        <v>0</v>
      </c>
      <c r="H663" s="920">
        <f>IF(SETUP!$F$41="Upfront",H664,H665)</f>
        <v>0</v>
      </c>
      <c r="I663" s="920">
        <f>IF(SETUP!$F$41="Upfront",I664,I665)</f>
        <v>0</v>
      </c>
      <c r="J663" s="920">
        <f t="shared" si="101"/>
        <v>0</v>
      </c>
      <c r="K663" s="1016">
        <f>IF(SETUP!$F$41="Upfront",K664,K665)</f>
        <v>0</v>
      </c>
      <c r="L663" s="920">
        <f>IF(SETUP!$F$41="Upfront",L664,L665)</f>
        <v>0</v>
      </c>
      <c r="M663" s="920">
        <f>IF(SETUP!$F$41="Upfront",M664,M665)</f>
        <v>0</v>
      </c>
      <c r="N663" s="920">
        <f>IF(SETUP!$F$41="Upfront",N664,N665)</f>
        <v>0</v>
      </c>
      <c r="O663" s="920">
        <f t="shared" si="102"/>
        <v>0</v>
      </c>
      <c r="P663" s="1016">
        <f>IF(SETUP!$F$41="Upfront",P664,P665)</f>
        <v>0</v>
      </c>
      <c r="Q663" s="920">
        <f>IF(SETUP!$F$41="Upfront",Q664,Q665)</f>
        <v>0</v>
      </c>
      <c r="R663" s="920">
        <f>IF(SETUP!$F$41="Upfront",R664,R665)</f>
        <v>0</v>
      </c>
      <c r="S663" s="920">
        <f>IF(SETUP!$F$41="Upfront",S664,S665)</f>
        <v>0</v>
      </c>
      <c r="T663" s="920">
        <f t="shared" si="103"/>
        <v>0</v>
      </c>
      <c r="U663" s="1016">
        <f t="shared" si="104"/>
        <v>0</v>
      </c>
      <c r="V663" s="1344">
        <v>7.7</v>
      </c>
      <c r="W663" s="2011"/>
      <c r="X663" s="575"/>
      <c r="Y663" s="685"/>
      <c r="Z663" s="655"/>
      <c r="AA663" s="686"/>
      <c r="AB663" s="686"/>
      <c r="AC663" s="686"/>
      <c r="AD663" s="686"/>
      <c r="AE663" s="686"/>
      <c r="AF663" s="686"/>
      <c r="AG663" s="686"/>
      <c r="AH663" s="687"/>
      <c r="AI663" s="686"/>
      <c r="AJ663" s="686"/>
      <c r="AK663" s="686"/>
      <c r="AL663" s="686"/>
      <c r="AM663" s="686"/>
      <c r="AN663" s="686"/>
      <c r="AO663" s="686"/>
      <c r="AP663" s="686"/>
      <c r="AQ663" s="686"/>
      <c r="AR663" s="686"/>
      <c r="AS663" s="686"/>
      <c r="AT663" s="686"/>
      <c r="AU663" s="686"/>
      <c r="AV663" s="686"/>
      <c r="AW663" s="686"/>
      <c r="AX663" s="686"/>
      <c r="AY663" s="686"/>
      <c r="AZ663" s="686"/>
      <c r="BA663" s="686"/>
      <c r="BB663" s="686"/>
      <c r="BC663" s="686"/>
      <c r="BD663" s="686"/>
      <c r="BE663" s="686"/>
      <c r="BF663" s="686"/>
      <c r="BG663" s="686"/>
      <c r="BH663" s="686"/>
      <c r="BI663" s="686"/>
      <c r="BJ663" s="686"/>
      <c r="BK663" s="686"/>
      <c r="BL663" s="686"/>
      <c r="BM663" s="686"/>
      <c r="BN663" s="686"/>
      <c r="BO663" s="686"/>
      <c r="BP663" s="686"/>
      <c r="BQ663" s="686"/>
      <c r="BR663" s="686"/>
      <c r="BS663" s="686"/>
      <c r="BT663" s="686"/>
    </row>
    <row r="664" spans="1:72" s="688" customFormat="1" ht="12.75" hidden="1" customHeight="1" outlineLevel="1">
      <c r="A664" s="3186"/>
      <c r="B664" s="3187"/>
      <c r="C664" s="3182" t="s">
        <v>777</v>
      </c>
      <c r="D664" s="3182"/>
      <c r="E664" s="1249"/>
      <c r="F664" s="1016">
        <f>IF(SETUP!$F$41="Upfront",$E$663*'TB-EQUIPMENT &amp; OTHER HPs'!AX15,0)</f>
        <v>0</v>
      </c>
      <c r="G664" s="920">
        <f>IF(SETUP!$F$41="Upfront",$E$663*'TB-EQUIPMENT &amp; OTHER HPs'!AY15,0)</f>
        <v>0</v>
      </c>
      <c r="H664" s="920">
        <f>IF(SETUP!$F$41="Upfront",$E$663*'TB-EQUIPMENT &amp; OTHER HPs'!AZ15,0)</f>
        <v>0</v>
      </c>
      <c r="I664" s="920">
        <f>IF(SETUP!$F$41="Upfront",$E$663*'TB-EQUIPMENT &amp; OTHER HPs'!BA15,0)</f>
        <v>0</v>
      </c>
      <c r="J664" s="920">
        <f t="shared" si="101"/>
        <v>0</v>
      </c>
      <c r="K664" s="1016">
        <f>IF(SETUP!$F$41="Upfront",$E$663*'TB-EQUIPMENT &amp; OTHER HPs'!BB15,0)</f>
        <v>0</v>
      </c>
      <c r="L664" s="920">
        <f>IF(SETUP!$F$41="Upfront",$E$663*'TB-EQUIPMENT &amp; OTHER HPs'!BC15,0)</f>
        <v>0</v>
      </c>
      <c r="M664" s="920">
        <f>IF(SETUP!$F$41="Upfront",$E$663*'TB-EQUIPMENT &amp; OTHER HPs'!BD15,0)</f>
        <v>0</v>
      </c>
      <c r="N664" s="920">
        <f>IF(SETUP!$F$41="Upfront",$E$663*'TB-EQUIPMENT &amp; OTHER HPs'!BE15,0)</f>
        <v>0</v>
      </c>
      <c r="O664" s="920">
        <f t="shared" si="102"/>
        <v>0</v>
      </c>
      <c r="P664" s="1016">
        <f>IF(SETUP!$F$41="Upfront",$E$663*'TB-EQUIPMENT &amp; OTHER HPs'!BF15,0)</f>
        <v>0</v>
      </c>
      <c r="Q664" s="920">
        <f>IF(SETUP!$F$41="Upfront",$E$663*'TB-EQUIPMENT &amp; OTHER HPs'!BG15,0)</f>
        <v>0</v>
      </c>
      <c r="R664" s="920">
        <f>IF(SETUP!$F$41="Upfront",$E$663*'TB-EQUIPMENT &amp; OTHER HPs'!BH15,0)</f>
        <v>0</v>
      </c>
      <c r="S664" s="920">
        <f>IF(SETUP!$F$41="Upfront",$E$663*'TB-EQUIPMENT &amp; OTHER HPs'!BI15,0)</f>
        <v>0</v>
      </c>
      <c r="T664" s="920">
        <f t="shared" si="103"/>
        <v>0</v>
      </c>
      <c r="U664" s="1016">
        <f t="shared" si="104"/>
        <v>0</v>
      </c>
      <c r="V664" s="1344">
        <v>7.7</v>
      </c>
      <c r="W664" s="2011"/>
      <c r="X664" s="575"/>
      <c r="Y664" s="685"/>
      <c r="Z664" s="655"/>
      <c r="AA664" s="686"/>
      <c r="AB664" s="686"/>
      <c r="AC664" s="686"/>
      <c r="AD664" s="686"/>
      <c r="AE664" s="686"/>
      <c r="AF664" s="686"/>
      <c r="AG664" s="686"/>
      <c r="AH664" s="687"/>
      <c r="AI664" s="686"/>
      <c r="AJ664" s="686"/>
      <c r="AK664" s="686"/>
      <c r="AL664" s="686"/>
      <c r="AM664" s="686"/>
      <c r="AN664" s="686"/>
      <c r="AO664" s="686"/>
      <c r="AP664" s="686"/>
      <c r="AQ664" s="686"/>
      <c r="AR664" s="686"/>
      <c r="AS664" s="686"/>
      <c r="AT664" s="686"/>
      <c r="AU664" s="686"/>
      <c r="AV664" s="686"/>
      <c r="AW664" s="686"/>
      <c r="AX664" s="686"/>
      <c r="AY664" s="686"/>
      <c r="AZ664" s="686"/>
      <c r="BA664" s="686"/>
      <c r="BB664" s="686"/>
      <c r="BC664" s="686"/>
      <c r="BD664" s="686"/>
      <c r="BE664" s="686"/>
      <c r="BF664" s="686"/>
      <c r="BG664" s="686"/>
      <c r="BH664" s="686"/>
      <c r="BI664" s="686"/>
      <c r="BJ664" s="686"/>
      <c r="BK664" s="686"/>
      <c r="BL664" s="686"/>
      <c r="BM664" s="686"/>
      <c r="BN664" s="686"/>
      <c r="BO664" s="686"/>
      <c r="BP664" s="686"/>
      <c r="BQ664" s="686"/>
      <c r="BR664" s="686"/>
      <c r="BS664" s="686"/>
      <c r="BT664" s="686"/>
    </row>
    <row r="665" spans="1:72" s="688" customFormat="1" ht="12.75" hidden="1" customHeight="1" outlineLevel="1" thickBot="1">
      <c r="A665" s="3186"/>
      <c r="B665" s="3187"/>
      <c r="C665" s="3182" t="s">
        <v>36</v>
      </c>
      <c r="D665" s="3182"/>
      <c r="E665" s="1249"/>
      <c r="F665" s="1016">
        <v>0</v>
      </c>
      <c r="G665" s="920">
        <f>IF(SETUP!$F$41="At delivery",IF(SETUP!$G$41=1,$E$663*'TB-EQUIPMENT &amp; OTHER HPs'!AX15,0),0)</f>
        <v>0</v>
      </c>
      <c r="H665" s="920">
        <f>IF(SETUP!$F$41="At delivery",IF(SETUP!$G$41=2,$E$663*'TB-EQUIPMENT &amp; OTHER HPs'!AX15,IF(SETUP!$G$41=1,$E$663*'TB-EQUIPMENT &amp; OTHER HPs'!AY15,0)),0)</f>
        <v>0</v>
      </c>
      <c r="I665" s="920">
        <f>IF(SETUP!$F$41="At delivery",IF(SETUP!$G$41=3,$E$663*'TB-EQUIPMENT &amp; OTHER HPs'!AX15,IF(SETUP!$G$41=2,$E$663*'TB-EQUIPMENT &amp; OTHER HPs'!AY15,IF(SETUP!$G$41=1,$E$663*'TB-EQUIPMENT &amp; OTHER HPs'!AZ15,0))),0)</f>
        <v>0</v>
      </c>
      <c r="J665" s="920">
        <f t="shared" si="101"/>
        <v>0</v>
      </c>
      <c r="K665" s="1016">
        <f>IF(SETUP!$F$41="At delivery",IF(SETUP!$G$41=4,$E$663*'TB-EQUIPMENT &amp; OTHER HPs'!AX15,IF(SETUP!$G$41=3,$E$663*'TB-EQUIPMENT &amp; OTHER HPs'!AY15,IF(SETUP!$G$41=2,$E$663*'TB-EQUIPMENT &amp; OTHER HPs'!AZ15,IF(SETUP!$G$41=1,$E$663*'TB-EQUIPMENT &amp; OTHER HPs'!BA15,0)))),0)</f>
        <v>0</v>
      </c>
      <c r="L665" s="920">
        <f>IF(SETUP!$F$41="At delivery",IF(SETUP!$G$41=4,$E$663*'TB-EQUIPMENT &amp; OTHER HPs'!AY15,IF(SETUP!$G$41=3,$E$663*'TB-EQUIPMENT &amp; OTHER HPs'!AZ15,IF(SETUP!$G$41=2,$E$663*'TB-EQUIPMENT &amp; OTHER HPs'!BA15,IF(SETUP!$G$41=1,$E$663*'TB-EQUIPMENT &amp; OTHER HPs'!BB15,0)))),0)</f>
        <v>0</v>
      </c>
      <c r="M665" s="920">
        <f>IF(SETUP!$F$41="At delivery",IF(SETUP!$G$41=4,$E$663*'TB-EQUIPMENT &amp; OTHER HPs'!AZ15,IF(SETUP!$G$41=3,$E$663*'TB-EQUIPMENT &amp; OTHER HPs'!BA15,IF(SETUP!$G$41=2,$E$663*'TB-EQUIPMENT &amp; OTHER HPs'!BB15,IF(SETUP!$G$41=1,$E$663*'TB-EQUIPMENT &amp; OTHER HPs'!BC15,0)))),0)</f>
        <v>0</v>
      </c>
      <c r="N665" s="920">
        <f>IF(SETUP!$F$41="At delivery",IF(SETUP!$G$41=4,$E$663*'TB-EQUIPMENT &amp; OTHER HPs'!BA15,IF(SETUP!$G$41=3,$E$663*'TB-EQUIPMENT &amp; OTHER HPs'!BB15,IF(SETUP!$G$41=2,$E$663*'TB-EQUIPMENT &amp; OTHER HPs'!BC15,IF(SETUP!$G$41=1,$E$663*'TB-EQUIPMENT &amp; OTHER HPs'!BD15,0)))),0)</f>
        <v>0</v>
      </c>
      <c r="O665" s="920">
        <f t="shared" si="102"/>
        <v>0</v>
      </c>
      <c r="P665" s="1016">
        <f>IF(SETUP!$F$41="At delivery",IF(SETUP!$G$41=4,$E$663*'TB-EQUIPMENT &amp; OTHER HPs'!BB15,IF(SETUP!$G$41=3,$E$663*'TB-EQUIPMENT &amp; OTHER HPs'!BC15,IF(SETUP!$G$41=2,$E$663*'TB-EQUIPMENT &amp; OTHER HPs'!BD15,IF(SETUP!$G$41=1,$E$663*'TB-EQUIPMENT &amp; OTHER HPs'!BE15,0)))),0)</f>
        <v>0</v>
      </c>
      <c r="Q665" s="920">
        <f>IF(SETUP!$F$41="At delivery",IF(SETUP!$G$41=4,$E$663*'TB-EQUIPMENT &amp; OTHER HPs'!BC15,IF(SETUP!$G$41=3,$E$663*'TB-EQUIPMENT &amp; OTHER HPs'!BD15,IF(SETUP!$G$41=2,$E$663*'TB-EQUIPMENT &amp; OTHER HPs'!BE15,IF(SETUP!$G$41=1,$E$663*'TB-EQUIPMENT &amp; OTHER HPs'!BF15,0)))),0)</f>
        <v>0</v>
      </c>
      <c r="R665" s="920">
        <f>IF(SETUP!$F$41="At delivery",IF(SETUP!$G$41=4,$E$663*'TB-EQUIPMENT &amp; OTHER HPs'!BD15,IF(SETUP!$G$41=3,$E$663*'TB-EQUIPMENT &amp; OTHER HPs'!BE15,IF(SETUP!$G$41=2,$E$663*'TB-EQUIPMENT &amp; OTHER HPs'!BF15,IF(SETUP!$G$41=1,$E$663*'TB-EQUIPMENT &amp; OTHER HPs'!BG15,0)))),0)</f>
        <v>0</v>
      </c>
      <c r="S665" s="920">
        <f>IF(SETUP!$F$41="At delivery",IF(SETUP!$G$41=4,$E$663*('TB-EQUIPMENT &amp; OTHER HPs'!BE15+'TB-EQUIPMENT &amp; OTHER HPs'!BF15+'TB-EQUIPMENT &amp; OTHER HPs'!BG15+'TB-EQUIPMENT &amp; OTHER HPs'!BH15+'TB-EQUIPMENT &amp; OTHER HPs'!BI15),IF(SETUP!$G$41=3,$E$663*('TB-EQUIPMENT &amp; OTHER HPs'!BF15+'TB-EQUIPMENT &amp; OTHER HPs'!BG15+'TB-EQUIPMENT &amp; OTHER HPs'!BH15+'TB-EQUIPMENT &amp; OTHER HPs'!BI15),IF(SETUP!$G$41=2,$E$663*('TB-EQUIPMENT &amp; OTHER HPs'!BG15+'TB-EQUIPMENT &amp; OTHER HPs'!BH15+'TB-EQUIPMENT &amp; OTHER HPs'!BI15),IF(SETUP!$G$41=1,$E$663*('TB-EQUIPMENT &amp; OTHER HPs'!BH15+'TB-EQUIPMENT &amp; OTHER HPs'!BI15),0)))),0)</f>
        <v>0</v>
      </c>
      <c r="T665" s="920">
        <f t="shared" si="103"/>
        <v>0</v>
      </c>
      <c r="U665" s="1016">
        <f t="shared" si="104"/>
        <v>0</v>
      </c>
      <c r="V665" s="1344">
        <v>7.7</v>
      </c>
      <c r="W665" s="2011"/>
      <c r="X665" s="575"/>
      <c r="Y665" s="685"/>
      <c r="Z665" s="655"/>
      <c r="AA665" s="686"/>
      <c r="AB665" s="686"/>
      <c r="AC665" s="686"/>
      <c r="AD665" s="686"/>
      <c r="AE665" s="686"/>
      <c r="AF665" s="686"/>
      <c r="AG665" s="686"/>
      <c r="AH665" s="687"/>
      <c r="AI665" s="686"/>
      <c r="AJ665" s="686"/>
      <c r="AK665" s="686"/>
      <c r="AL665" s="686"/>
      <c r="AM665" s="686"/>
      <c r="AN665" s="686"/>
      <c r="AO665" s="686"/>
      <c r="AP665" s="686"/>
      <c r="AQ665" s="686"/>
      <c r="AR665" s="686"/>
      <c r="AS665" s="686"/>
      <c r="AT665" s="686"/>
      <c r="AU665" s="686"/>
      <c r="AV665" s="686"/>
      <c r="AW665" s="686"/>
      <c r="AX665" s="686"/>
      <c r="AY665" s="686"/>
      <c r="AZ665" s="686"/>
      <c r="BA665" s="686"/>
      <c r="BB665" s="686"/>
      <c r="BC665" s="686"/>
      <c r="BD665" s="686"/>
      <c r="BE665" s="686"/>
      <c r="BF665" s="686"/>
      <c r="BG665" s="686"/>
      <c r="BH665" s="686"/>
      <c r="BI665" s="686"/>
      <c r="BJ665" s="686"/>
      <c r="BK665" s="686"/>
      <c r="BL665" s="686"/>
      <c r="BM665" s="686"/>
      <c r="BN665" s="686"/>
      <c r="BO665" s="686"/>
      <c r="BP665" s="686"/>
      <c r="BQ665" s="686"/>
      <c r="BR665" s="686"/>
      <c r="BS665" s="686"/>
      <c r="BT665" s="686"/>
    </row>
    <row r="666" spans="1:72" s="688" customFormat="1" ht="13.5" hidden="1" collapsed="1" thickBot="1">
      <c r="A666" s="3186"/>
      <c r="B666" s="3187"/>
      <c r="C666" s="3188" t="s">
        <v>1354</v>
      </c>
      <c r="D666" s="3188"/>
      <c r="E666" s="1245">
        <v>0</v>
      </c>
      <c r="F666" s="1016">
        <f>IF(SETUP!$F$43="Upfront",F667,F668)</f>
        <v>0</v>
      </c>
      <c r="G666" s="920">
        <f>IF(SETUP!$F$43="Upfront",G667,G668)</f>
        <v>0</v>
      </c>
      <c r="H666" s="920">
        <f>IF(SETUP!$F$43="Upfront",H667,H668)</f>
        <v>0</v>
      </c>
      <c r="I666" s="920">
        <f>IF(SETUP!$F$43="Upfront",I667,I668)</f>
        <v>0</v>
      </c>
      <c r="J666" s="920">
        <f t="shared" si="101"/>
        <v>0</v>
      </c>
      <c r="K666" s="1016">
        <f>IF(SETUP!$F$43="Upfront",K667,K668)</f>
        <v>0</v>
      </c>
      <c r="L666" s="920">
        <f>IF(SETUP!$F$43="Upfront",L667,L668)</f>
        <v>0</v>
      </c>
      <c r="M666" s="920">
        <f>IF(SETUP!$F$43="Upfront",M667,M668)</f>
        <v>0</v>
      </c>
      <c r="N666" s="920">
        <f>IF(SETUP!$F$43="Upfront",N667,N668)</f>
        <v>0</v>
      </c>
      <c r="O666" s="920">
        <f t="shared" si="102"/>
        <v>0</v>
      </c>
      <c r="P666" s="1016">
        <f>IF(SETUP!$F$43="Upfront",P667,P668)</f>
        <v>0</v>
      </c>
      <c r="Q666" s="920">
        <f>IF(SETUP!$F$43="Upfront",Q667,Q668)</f>
        <v>0</v>
      </c>
      <c r="R666" s="920">
        <f>IF(SETUP!$F$43="Upfront",R667,R668)</f>
        <v>0</v>
      </c>
      <c r="S666" s="920">
        <f>IF(SETUP!$F$43="Upfront",S667,S668)</f>
        <v>0</v>
      </c>
      <c r="T666" s="920">
        <f t="shared" si="103"/>
        <v>0</v>
      </c>
      <c r="U666" s="1016">
        <f t="shared" si="104"/>
        <v>0</v>
      </c>
      <c r="V666" s="1344">
        <v>7.7</v>
      </c>
      <c r="W666" s="2011"/>
      <c r="X666" s="575"/>
      <c r="Y666" s="685"/>
      <c r="Z666" s="655"/>
      <c r="AA666" s="686"/>
      <c r="AB666" s="686"/>
      <c r="AC666" s="686"/>
      <c r="AD666" s="686"/>
      <c r="AE666" s="686"/>
      <c r="AF666" s="686"/>
      <c r="AG666" s="686"/>
      <c r="AH666" s="687"/>
      <c r="AI666" s="686"/>
      <c r="AJ666" s="686"/>
      <c r="AK666" s="686"/>
      <c r="AL666" s="686"/>
      <c r="AM666" s="686"/>
      <c r="AN666" s="686"/>
      <c r="AO666" s="686"/>
      <c r="AP666" s="686"/>
      <c r="AQ666" s="686"/>
      <c r="AR666" s="686"/>
      <c r="AS666" s="686"/>
      <c r="AT666" s="686"/>
      <c r="AU666" s="686"/>
      <c r="AV666" s="686"/>
      <c r="AW666" s="686"/>
      <c r="AX666" s="686"/>
      <c r="AY666" s="686"/>
      <c r="AZ666" s="686"/>
      <c r="BA666" s="686"/>
      <c r="BB666" s="686"/>
      <c r="BC666" s="686"/>
      <c r="BD666" s="686"/>
      <c r="BE666" s="686"/>
      <c r="BF666" s="686"/>
      <c r="BG666" s="686"/>
      <c r="BH666" s="686"/>
      <c r="BI666" s="686"/>
      <c r="BJ666" s="686"/>
      <c r="BK666" s="686"/>
      <c r="BL666" s="686"/>
      <c r="BM666" s="686"/>
      <c r="BN666" s="686"/>
      <c r="BO666" s="686"/>
      <c r="BP666" s="686"/>
      <c r="BQ666" s="686"/>
      <c r="BR666" s="686"/>
      <c r="BS666" s="686"/>
      <c r="BT666" s="686"/>
    </row>
    <row r="667" spans="1:72" s="688" customFormat="1" ht="12.75" hidden="1" customHeight="1" outlineLevel="1">
      <c r="A667" s="3186"/>
      <c r="B667" s="3187"/>
      <c r="C667" s="3182" t="s">
        <v>777</v>
      </c>
      <c r="D667" s="3182"/>
      <c r="E667" s="1246"/>
      <c r="F667" s="1016">
        <f>IF(SETUP!$F$43="Upfront",$E$666*'TB-EQUIPMENT &amp; OTHER HPs'!AX16,0)</f>
        <v>0</v>
      </c>
      <c r="G667" s="920">
        <f>IF(SETUP!$F$43="Upfront",$E$666*'TB-EQUIPMENT &amp; OTHER HPs'!AY16,0)</f>
        <v>0</v>
      </c>
      <c r="H667" s="920">
        <f>IF(SETUP!$F$43="Upfront",$E$666*'TB-EQUIPMENT &amp; OTHER HPs'!AZ16,0)</f>
        <v>0</v>
      </c>
      <c r="I667" s="920">
        <f>IF(SETUP!$F$43="Upfront",$E$666*'TB-EQUIPMENT &amp; OTHER HPs'!BA16,0)</f>
        <v>0</v>
      </c>
      <c r="J667" s="920">
        <f t="shared" si="101"/>
        <v>0</v>
      </c>
      <c r="K667" s="1016">
        <f>IF(SETUP!$F$43="Upfront",$E$666*'TB-EQUIPMENT &amp; OTHER HPs'!BB16,0)</f>
        <v>0</v>
      </c>
      <c r="L667" s="920">
        <f>IF(SETUP!$F$43="Upfront",$E$666*'TB-EQUIPMENT &amp; OTHER HPs'!BC16,0)</f>
        <v>0</v>
      </c>
      <c r="M667" s="920">
        <f>IF(SETUP!$F$43="Upfront",$E$666*'TB-EQUIPMENT &amp; OTHER HPs'!BD16,0)</f>
        <v>0</v>
      </c>
      <c r="N667" s="920">
        <f>IF(SETUP!$F$43="Upfront",$E$666*'TB-EQUIPMENT &amp; OTHER HPs'!BE16,0)</f>
        <v>0</v>
      </c>
      <c r="O667" s="920">
        <f t="shared" si="102"/>
        <v>0</v>
      </c>
      <c r="P667" s="1016">
        <f>IF(SETUP!$F$43="Upfront",$E$666*'TB-EQUIPMENT &amp; OTHER HPs'!BF16,0)</f>
        <v>0</v>
      </c>
      <c r="Q667" s="920">
        <f>IF(SETUP!$F$43="Upfront",$E$666*'TB-EQUIPMENT &amp; OTHER HPs'!BG16,0)</f>
        <v>0</v>
      </c>
      <c r="R667" s="920">
        <f>IF(SETUP!$F$43="Upfront",$E$666*'TB-EQUIPMENT &amp; OTHER HPs'!BH16,0)</f>
        <v>0</v>
      </c>
      <c r="S667" s="920">
        <f>IF(SETUP!$F$43="Upfront",$E$666*'TB-EQUIPMENT &amp; OTHER HPs'!BI16,0)</f>
        <v>0</v>
      </c>
      <c r="T667" s="920">
        <f t="shared" si="103"/>
        <v>0</v>
      </c>
      <c r="U667" s="1016">
        <f t="shared" si="104"/>
        <v>0</v>
      </c>
      <c r="V667" s="1344">
        <v>7.7</v>
      </c>
      <c r="W667" s="2011"/>
      <c r="X667" s="575"/>
      <c r="Y667" s="685"/>
      <c r="Z667" s="655"/>
      <c r="AA667" s="686"/>
      <c r="AB667" s="686"/>
      <c r="AC667" s="686"/>
      <c r="AD667" s="686"/>
      <c r="AE667" s="686"/>
      <c r="AF667" s="686"/>
      <c r="AG667" s="686"/>
      <c r="AH667" s="687"/>
      <c r="AI667" s="686"/>
      <c r="AJ667" s="686"/>
      <c r="AK667" s="686"/>
      <c r="AL667" s="686"/>
      <c r="AM667" s="686"/>
      <c r="AN667" s="686"/>
      <c r="AO667" s="686"/>
      <c r="AP667" s="686"/>
      <c r="AQ667" s="686"/>
      <c r="AR667" s="686"/>
      <c r="AS667" s="686"/>
      <c r="AT667" s="686"/>
      <c r="AU667" s="686"/>
      <c r="AV667" s="686"/>
      <c r="AW667" s="686"/>
      <c r="AX667" s="686"/>
      <c r="AY667" s="686"/>
      <c r="AZ667" s="686"/>
      <c r="BA667" s="686"/>
      <c r="BB667" s="686"/>
      <c r="BC667" s="686"/>
      <c r="BD667" s="686"/>
      <c r="BE667" s="686"/>
      <c r="BF667" s="686"/>
      <c r="BG667" s="686"/>
      <c r="BH667" s="686"/>
      <c r="BI667" s="686"/>
      <c r="BJ667" s="686"/>
      <c r="BK667" s="686"/>
      <c r="BL667" s="686"/>
      <c r="BM667" s="686"/>
      <c r="BN667" s="686"/>
      <c r="BO667" s="686"/>
      <c r="BP667" s="686"/>
      <c r="BQ667" s="686"/>
      <c r="BR667" s="686"/>
      <c r="BS667" s="686"/>
      <c r="BT667" s="686"/>
    </row>
    <row r="668" spans="1:72" s="688" customFormat="1" ht="12.75" hidden="1" customHeight="1" outlineLevel="1">
      <c r="A668" s="3186"/>
      <c r="B668" s="3187"/>
      <c r="C668" s="3182" t="s">
        <v>36</v>
      </c>
      <c r="D668" s="3182"/>
      <c r="E668" s="1246"/>
      <c r="F668" s="1016">
        <v>0</v>
      </c>
      <c r="G668" s="920">
        <f>IF(SETUP!$F$43="At delivery",IF(SETUP!$G$43=1,$E$666*'TB-EQUIPMENT &amp; OTHER HPs'!AX16,0),0)</f>
        <v>0</v>
      </c>
      <c r="H668" s="920">
        <f>IF(SETUP!$F$43="At delivery",IF(SETUP!$G$43=2,$E$666*'TB-EQUIPMENT &amp; OTHER HPs'!AX16,IF(SETUP!$G$43=1,$E$666*'TB-EQUIPMENT &amp; OTHER HPs'!AY16,0)),0)</f>
        <v>0</v>
      </c>
      <c r="I668" s="920">
        <f>IF(SETUP!$F$43="At delivery",IF(SETUP!$G$43=3,$E$666*'TB-EQUIPMENT &amp; OTHER HPs'!AX16,IF(SETUP!$G$43=2,$E$666*'TB-EQUIPMENT &amp; OTHER HPs'!AY16,IF(SETUP!$G$43=1,$E$666*'TB-EQUIPMENT &amp; OTHER HPs'!AZ16,0))),0)</f>
        <v>0</v>
      </c>
      <c r="J668" s="920">
        <f t="shared" si="101"/>
        <v>0</v>
      </c>
      <c r="K668" s="1016">
        <f>IF(SETUP!$F$43="At delivery",IF(SETUP!$G$43=4,$E$666*'TB-EQUIPMENT &amp; OTHER HPs'!AX16,IF(SETUP!$G$43=3,$E$666*'TB-EQUIPMENT &amp; OTHER HPs'!AY16,IF(SETUP!$G$43=2,$E$666*'TB-EQUIPMENT &amp; OTHER HPs'!AZ16,IF(SETUP!$G$43=1,$E$666*'TB-EQUIPMENT &amp; OTHER HPs'!BA16,0)))),0)</f>
        <v>0</v>
      </c>
      <c r="L668" s="920">
        <f>IF(SETUP!$F$43="At delivery",IF(SETUP!$G$43=4,$E$666*'TB-EQUIPMENT &amp; OTHER HPs'!AY16,IF(SETUP!$G$43=3,$E$666*'TB-EQUIPMENT &amp; OTHER HPs'!AZ16,IF(SETUP!$G$43=2,$E$666*'TB-EQUIPMENT &amp; OTHER HPs'!BA16,IF(SETUP!$G$43=1,$E$666*'TB-EQUIPMENT &amp; OTHER HPs'!BB16,0)))),0)</f>
        <v>0</v>
      </c>
      <c r="M668" s="920">
        <f>IF(SETUP!$F$43="At delivery",IF(SETUP!$G$43=4,$E$666*'TB-EQUIPMENT &amp; OTHER HPs'!AZ16,IF(SETUP!$G$43=3,$E$666*'TB-EQUIPMENT &amp; OTHER HPs'!BA16,IF(SETUP!$G$43=2,$E$666*'TB-EQUIPMENT &amp; OTHER HPs'!BB16,IF(SETUP!$G$43=1,$E$666*'TB-EQUIPMENT &amp; OTHER HPs'!BC16,0)))),0)</f>
        <v>0</v>
      </c>
      <c r="N668" s="920">
        <f>IF(SETUP!$F$43="At delivery",IF(SETUP!$G$43=4,$E$666*'TB-EQUIPMENT &amp; OTHER HPs'!BA16,IF(SETUP!$G$43=3,$E$666*'TB-EQUIPMENT &amp; OTHER HPs'!BB16,IF(SETUP!$G$43=2,$E$666*'TB-EQUIPMENT &amp; OTHER HPs'!BC16,IF(SETUP!$G$43=1,$E$666*'TB-EQUIPMENT &amp; OTHER HPs'!BD16,0)))),0)</f>
        <v>0</v>
      </c>
      <c r="O668" s="920">
        <f t="shared" si="102"/>
        <v>0</v>
      </c>
      <c r="P668" s="1016">
        <f>IF(SETUP!$F$43="At delivery",IF(SETUP!$G$43=4,$E$666*'TB-EQUIPMENT &amp; OTHER HPs'!BB16,IF(SETUP!$G$43=3,$E$666*'TB-EQUIPMENT &amp; OTHER HPs'!BC16,IF(SETUP!$G$43=2,$E$666*'TB-EQUIPMENT &amp; OTHER HPs'!BD16,IF(SETUP!$G$43=1,$E$666*'TB-EQUIPMENT &amp; OTHER HPs'!BE16,0)))),0)</f>
        <v>0</v>
      </c>
      <c r="Q668" s="920">
        <f>IF(SETUP!$F$43="At delivery",IF(SETUP!$G$43=4,$E$666*'TB-EQUIPMENT &amp; OTHER HPs'!BC16,IF(SETUP!$G$43=3,$E$666*'TB-EQUIPMENT &amp; OTHER HPs'!BD16,IF(SETUP!$G$43=2,$E$666*'TB-EQUIPMENT &amp; OTHER HPs'!BE16,IF(SETUP!$G$43=1,$E$666*'TB-EQUIPMENT &amp; OTHER HPs'!BF16,0)))),0)</f>
        <v>0</v>
      </c>
      <c r="R668" s="920">
        <f>IF(SETUP!$F$43="At delivery",IF(SETUP!$G$43=4,$E$666*'TB-EQUIPMENT &amp; OTHER HPs'!BD16,IF(SETUP!$G$43=3,$E$666*'TB-EQUIPMENT &amp; OTHER HPs'!BE16,IF(SETUP!$G$43=2,$E$666*'TB-EQUIPMENT &amp; OTHER HPs'!BF16,IF(SETUP!$G$43=1,$E$666*'TB-EQUIPMENT &amp; OTHER HPs'!BG16,0)))),0)</f>
        <v>0</v>
      </c>
      <c r="S668" s="920">
        <f>IF(SETUP!$F$43="At delivery",IF(SETUP!$G$43=4,$E$666*('TB-EQUIPMENT &amp; OTHER HPs'!BE16+'TB-EQUIPMENT &amp; OTHER HPs'!BF16+'TB-EQUIPMENT &amp; OTHER HPs'!BG16+'TB-EQUIPMENT &amp; OTHER HPs'!BH16+'TB-EQUIPMENT &amp; OTHER HPs'!BI16),IF(SETUP!$G$43=3,$E$666*('TB-EQUIPMENT &amp; OTHER HPs'!BF16+'TB-EQUIPMENT &amp; OTHER HPs'!BG16+'TB-EQUIPMENT &amp; OTHER HPs'!BH16+'TB-EQUIPMENT &amp; OTHER HPs'!BI16),IF(SETUP!$G$43=2,$E$666*('TB-EQUIPMENT &amp; OTHER HPs'!BG16+'TB-EQUIPMENT &amp; OTHER HPs'!BH16+'TB-EQUIPMENT &amp; OTHER HPs'!BI16),IF(SETUP!$G$43=1,$E$666*('TB-EQUIPMENT &amp; OTHER HPs'!BH16+'TB-EQUIPMENT &amp; OTHER HPs'!BI16),0)))),0)</f>
        <v>0</v>
      </c>
      <c r="T668" s="920">
        <f t="shared" si="103"/>
        <v>0</v>
      </c>
      <c r="U668" s="1016">
        <f t="shared" si="104"/>
        <v>0</v>
      </c>
      <c r="V668" s="1344">
        <v>7.7</v>
      </c>
      <c r="W668" s="2011"/>
      <c r="X668" s="575"/>
      <c r="Y668" s="685"/>
      <c r="Z668" s="655"/>
      <c r="AA668" s="686"/>
      <c r="AB668" s="686"/>
      <c r="AC668" s="686"/>
      <c r="AD668" s="686"/>
      <c r="AE668" s="686"/>
      <c r="AF668" s="686"/>
      <c r="AG668" s="686"/>
      <c r="AH668" s="687"/>
      <c r="AI668" s="686"/>
      <c r="AJ668" s="686"/>
      <c r="AK668" s="686"/>
      <c r="AL668" s="686"/>
      <c r="AM668" s="686"/>
      <c r="AN668" s="686"/>
      <c r="AO668" s="686"/>
      <c r="AP668" s="686"/>
      <c r="AQ668" s="686"/>
      <c r="AR668" s="686"/>
      <c r="AS668" s="686"/>
      <c r="AT668" s="686"/>
      <c r="AU668" s="686"/>
      <c r="AV668" s="686"/>
      <c r="AW668" s="686"/>
      <c r="AX668" s="686"/>
      <c r="AY668" s="686"/>
      <c r="AZ668" s="686"/>
      <c r="BA668" s="686"/>
      <c r="BB668" s="686"/>
      <c r="BC668" s="686"/>
      <c r="BD668" s="686"/>
      <c r="BE668" s="686"/>
      <c r="BF668" s="686"/>
      <c r="BG668" s="686"/>
      <c r="BH668" s="686"/>
      <c r="BI668" s="686"/>
      <c r="BJ668" s="686"/>
      <c r="BK668" s="686"/>
      <c r="BL668" s="686"/>
      <c r="BM668" s="686"/>
      <c r="BN668" s="686"/>
      <c r="BO668" s="686"/>
      <c r="BP668" s="686"/>
      <c r="BQ668" s="686"/>
      <c r="BR668" s="686"/>
      <c r="BS668" s="686"/>
      <c r="BT668" s="686"/>
    </row>
    <row r="669" spans="1:72" s="688" customFormat="1" ht="13.5" hidden="1" collapsed="1" thickBot="1">
      <c r="A669" s="3186"/>
      <c r="B669" s="3187"/>
      <c r="C669" s="3188" t="s">
        <v>449</v>
      </c>
      <c r="D669" s="3188"/>
      <c r="E669" s="1245">
        <v>0</v>
      </c>
      <c r="F669" s="1016">
        <f>IF(SETUP!$F$44="Upfront",F670,F671)</f>
        <v>0</v>
      </c>
      <c r="G669" s="920">
        <f>IF(SETUP!$F$44="Upfront",G670,G671)</f>
        <v>0</v>
      </c>
      <c r="H669" s="920">
        <f>IF(SETUP!$F$44="Upfront",H670,H671)</f>
        <v>0</v>
      </c>
      <c r="I669" s="920">
        <f>IF(SETUP!$F$44="Upfront",I670,I671)</f>
        <v>0</v>
      </c>
      <c r="J669" s="920">
        <f t="shared" si="101"/>
        <v>0</v>
      </c>
      <c r="K669" s="1016">
        <f>IF(SETUP!$F$44="Upfront",K670,K671)</f>
        <v>0</v>
      </c>
      <c r="L669" s="920">
        <f>IF(SETUP!$F$44="Upfront",L670,L671)</f>
        <v>0</v>
      </c>
      <c r="M669" s="920">
        <f>IF(SETUP!$F$44="Upfront",M670,M671)</f>
        <v>0</v>
      </c>
      <c r="N669" s="920">
        <f>IF(SETUP!$F$44="Upfront",N670,N671)</f>
        <v>0</v>
      </c>
      <c r="O669" s="920">
        <f t="shared" si="102"/>
        <v>0</v>
      </c>
      <c r="P669" s="1016">
        <f>IF(SETUP!$F$44="Upfront",P670,P671)</f>
        <v>0</v>
      </c>
      <c r="Q669" s="920">
        <f>IF(SETUP!$F$44="Upfront",Q670,Q671)</f>
        <v>0</v>
      </c>
      <c r="R669" s="920">
        <f>IF(SETUP!$F$44="Upfront",R670,R671)</f>
        <v>0</v>
      </c>
      <c r="S669" s="920">
        <f>IF(SETUP!$F$44="Upfront",S670,S671)</f>
        <v>0</v>
      </c>
      <c r="T669" s="920">
        <f t="shared" si="103"/>
        <v>0</v>
      </c>
      <c r="U669" s="1016">
        <f t="shared" si="104"/>
        <v>0</v>
      </c>
      <c r="V669" s="1344">
        <v>7.7</v>
      </c>
      <c r="W669" s="2011"/>
      <c r="X669" s="575"/>
      <c r="Y669" s="685"/>
      <c r="Z669" s="655"/>
      <c r="AA669" s="686"/>
      <c r="AB669" s="686"/>
      <c r="AC669" s="686"/>
      <c r="AD669" s="686"/>
      <c r="AE669" s="686"/>
      <c r="AF669" s="686"/>
      <c r="AG669" s="686"/>
      <c r="AH669" s="687"/>
      <c r="AI669" s="686"/>
      <c r="AJ669" s="686"/>
      <c r="AK669" s="686"/>
      <c r="AL669" s="686"/>
      <c r="AM669" s="686"/>
      <c r="AN669" s="686"/>
      <c r="AO669" s="686"/>
      <c r="AP669" s="686"/>
      <c r="AQ669" s="686"/>
      <c r="AR669" s="686"/>
      <c r="AS669" s="686"/>
      <c r="AT669" s="686"/>
      <c r="AU669" s="686"/>
      <c r="AV669" s="686"/>
      <c r="AW669" s="686"/>
      <c r="AX669" s="686"/>
      <c r="AY669" s="686"/>
      <c r="AZ669" s="686"/>
      <c r="BA669" s="686"/>
      <c r="BB669" s="686"/>
      <c r="BC669" s="686"/>
      <c r="BD669" s="686"/>
      <c r="BE669" s="686"/>
      <c r="BF669" s="686"/>
      <c r="BG669" s="686"/>
      <c r="BH669" s="686"/>
      <c r="BI669" s="686"/>
      <c r="BJ669" s="686"/>
      <c r="BK669" s="686"/>
      <c r="BL669" s="686"/>
      <c r="BM669" s="686"/>
      <c r="BN669" s="686"/>
      <c r="BO669" s="686"/>
      <c r="BP669" s="686"/>
      <c r="BQ669" s="686"/>
      <c r="BR669" s="686"/>
      <c r="BS669" s="686"/>
      <c r="BT669" s="686"/>
    </row>
    <row r="670" spans="1:72" s="688" customFormat="1" ht="12.75" hidden="1" customHeight="1" outlineLevel="1">
      <c r="A670" s="3186"/>
      <c r="B670" s="3187"/>
      <c r="C670" s="3182" t="s">
        <v>777</v>
      </c>
      <c r="D670" s="3182"/>
      <c r="E670" s="1246"/>
      <c r="F670" s="1016">
        <f>IF(SETUP!$F$44="Upfront",$E$669*'TB-EQUIPMENT &amp; OTHER HPs'!AX17,0)</f>
        <v>0</v>
      </c>
      <c r="G670" s="920">
        <f>IF(SETUP!$F$44="Upfront",$E$669*'TB-EQUIPMENT &amp; OTHER HPs'!AY17,0)</f>
        <v>0</v>
      </c>
      <c r="H670" s="920">
        <f>IF(SETUP!$F$44="Upfront",$E$669*'TB-EQUIPMENT &amp; OTHER HPs'!AZ17,0)</f>
        <v>0</v>
      </c>
      <c r="I670" s="920">
        <f>IF(SETUP!$F$44="Upfront",$E$669*'TB-EQUIPMENT &amp; OTHER HPs'!BA17,0)</f>
        <v>0</v>
      </c>
      <c r="J670" s="920">
        <f t="shared" si="101"/>
        <v>0</v>
      </c>
      <c r="K670" s="1016">
        <f>IF(SETUP!$F$44="Upfront",$E$669*'TB-EQUIPMENT &amp; OTHER HPs'!BB17,0)</f>
        <v>0</v>
      </c>
      <c r="L670" s="920">
        <f>IF(SETUP!$F$44="Upfront",$E$669*'TB-EQUIPMENT &amp; OTHER HPs'!BC17,0)</f>
        <v>0</v>
      </c>
      <c r="M670" s="920">
        <f>IF(SETUP!$F$44="Upfront",$E$669*'TB-EQUIPMENT &amp; OTHER HPs'!BD17,0)</f>
        <v>0</v>
      </c>
      <c r="N670" s="920">
        <f>IF(SETUP!$F$44="Upfront",$E$669*'TB-EQUIPMENT &amp; OTHER HPs'!BE17,0)</f>
        <v>0</v>
      </c>
      <c r="O670" s="920">
        <f t="shared" si="102"/>
        <v>0</v>
      </c>
      <c r="P670" s="1016">
        <f>IF(SETUP!$F$44="Upfront",$E$669*'TB-EQUIPMENT &amp; OTHER HPs'!BF17,0)</f>
        <v>0</v>
      </c>
      <c r="Q670" s="920">
        <f>IF(SETUP!$F$44="Upfront",$E$669*'TB-EQUIPMENT &amp; OTHER HPs'!BG17,0)</f>
        <v>0</v>
      </c>
      <c r="R670" s="920">
        <f>IF(SETUP!$F$44="Upfront",$E$669*'TB-EQUIPMENT &amp; OTHER HPs'!BH17,0)</f>
        <v>0</v>
      </c>
      <c r="S670" s="920">
        <f>IF(SETUP!$F$44="Upfront",$E$669*'TB-EQUIPMENT &amp; OTHER HPs'!BI17,0)</f>
        <v>0</v>
      </c>
      <c r="T670" s="920">
        <f t="shared" si="103"/>
        <v>0</v>
      </c>
      <c r="U670" s="1016">
        <f t="shared" si="104"/>
        <v>0</v>
      </c>
      <c r="V670" s="1344">
        <v>7.7</v>
      </c>
      <c r="W670" s="2011"/>
      <c r="X670" s="575"/>
      <c r="Y670" s="685"/>
      <c r="Z670" s="655"/>
      <c r="AA670" s="686"/>
      <c r="AB670" s="686"/>
      <c r="AC670" s="686"/>
      <c r="AD670" s="686"/>
      <c r="AE670" s="686"/>
      <c r="AF670" s="686"/>
      <c r="AG670" s="686"/>
      <c r="AH670" s="687"/>
      <c r="AI670" s="686"/>
      <c r="AJ670" s="686"/>
      <c r="AK670" s="686"/>
      <c r="AL670" s="686"/>
      <c r="AM670" s="686"/>
      <c r="AN670" s="686"/>
      <c r="AO670" s="686"/>
      <c r="AP670" s="686"/>
      <c r="AQ670" s="686"/>
      <c r="AR670" s="686"/>
      <c r="AS670" s="686"/>
      <c r="AT670" s="686"/>
      <c r="AU670" s="686"/>
      <c r="AV670" s="686"/>
      <c r="AW670" s="686"/>
      <c r="AX670" s="686"/>
      <c r="AY670" s="686"/>
      <c r="AZ670" s="686"/>
      <c r="BA670" s="686"/>
      <c r="BB670" s="686"/>
      <c r="BC670" s="686"/>
      <c r="BD670" s="686"/>
      <c r="BE670" s="686"/>
      <c r="BF670" s="686"/>
      <c r="BG670" s="686"/>
      <c r="BH670" s="686"/>
      <c r="BI670" s="686"/>
      <c r="BJ670" s="686"/>
      <c r="BK670" s="686"/>
      <c r="BL670" s="686"/>
      <c r="BM670" s="686"/>
      <c r="BN670" s="686"/>
      <c r="BO670" s="686"/>
      <c r="BP670" s="686"/>
      <c r="BQ670" s="686"/>
      <c r="BR670" s="686"/>
      <c r="BS670" s="686"/>
      <c r="BT670" s="686"/>
    </row>
    <row r="671" spans="1:72" s="688" customFormat="1" ht="12.75" hidden="1" customHeight="1" outlineLevel="1">
      <c r="A671" s="3186"/>
      <c r="B671" s="3187"/>
      <c r="C671" s="3182" t="s">
        <v>36</v>
      </c>
      <c r="D671" s="3182"/>
      <c r="E671" s="1246"/>
      <c r="F671" s="1016">
        <v>0</v>
      </c>
      <c r="G671" s="920">
        <f>IF(SETUP!$F$44="At delivery",IF(SETUP!$G$44=1,$E$669*'TB-EQUIPMENT &amp; OTHER HPs'!AX17,0),0)</f>
        <v>0</v>
      </c>
      <c r="H671" s="920">
        <f>IF(SETUP!$F$44="At delivery",IF(SETUP!$G$44=2,$E$669*'TB-EQUIPMENT &amp; OTHER HPs'!AX17,IF(SETUP!$G$44=1,$E$669*'TB-EQUIPMENT &amp; OTHER HPs'!AY17,0)),0)</f>
        <v>0</v>
      </c>
      <c r="I671" s="920">
        <f>IF(SETUP!$F$44="At delivery",IF(SETUP!$G$44=3,$E$669*'TB-EQUIPMENT &amp; OTHER HPs'!AX17,IF(SETUP!$G$44=2,$E$669*'TB-EQUIPMENT &amp; OTHER HPs'!AY17,IF(SETUP!$G$44=1,$E$669*'TB-EQUIPMENT &amp; OTHER HPs'!AZ17,0))),0)</f>
        <v>0</v>
      </c>
      <c r="J671" s="920">
        <f t="shared" si="101"/>
        <v>0</v>
      </c>
      <c r="K671" s="1016">
        <f>IF(SETUP!$F$44="At delivery",IF(SETUP!$G$44=4,$E$669*'TB-EQUIPMENT &amp; OTHER HPs'!AX17,IF(SETUP!$G$44=3,$E$669*'TB-EQUIPMENT &amp; OTHER HPs'!AY17,IF(SETUP!$G$44=2,$E$669*'TB-EQUIPMENT &amp; OTHER HPs'!AZ17,IF(SETUP!$G$44=1,$E$669*'TB-EQUIPMENT &amp; OTHER HPs'!BA17,0)))),0)</f>
        <v>0</v>
      </c>
      <c r="L671" s="920">
        <f>IF(SETUP!$F$44="At delivery",IF(SETUP!$G$44=4,$E$669*'TB-EQUIPMENT &amp; OTHER HPs'!AY17,IF(SETUP!$G$44=3,$E$669*'TB-EQUIPMENT &amp; OTHER HPs'!AZ17,IF(SETUP!$G$44=2,$E$669*'TB-EQUIPMENT &amp; OTHER HPs'!BA17,IF(SETUP!$G$44=1,$E$669*'TB-EQUIPMENT &amp; OTHER HPs'!BB17,0)))),0)</f>
        <v>0</v>
      </c>
      <c r="M671" s="920">
        <f>IF(SETUP!$F$44="At delivery",IF(SETUP!$G$44=4,$E$669*'TB-EQUIPMENT &amp; OTHER HPs'!AZ17,IF(SETUP!$G$44=3,$E$669*'TB-EQUIPMENT &amp; OTHER HPs'!BA17,IF(SETUP!$G$44=2,$E$669*'TB-EQUIPMENT &amp; OTHER HPs'!BB17,IF(SETUP!$G$44=1,$E$669*'TB-EQUIPMENT &amp; OTHER HPs'!BC17,0)))),0)</f>
        <v>0</v>
      </c>
      <c r="N671" s="920">
        <f>IF(SETUP!$F$44="At delivery",IF(SETUP!$G$44=4,$E$669*'TB-EQUIPMENT &amp; OTHER HPs'!BA17,IF(SETUP!$G$44=3,$E$669*'TB-EQUIPMENT &amp; OTHER HPs'!BB17,IF(SETUP!$G$44=2,$E$669*'TB-EQUIPMENT &amp; OTHER HPs'!BC17,IF(SETUP!$G$44=1,$E$669*'TB-EQUIPMENT &amp; OTHER HPs'!BD17,0)))),0)</f>
        <v>0</v>
      </c>
      <c r="O671" s="920">
        <f t="shared" si="102"/>
        <v>0</v>
      </c>
      <c r="P671" s="1016">
        <f>IF(SETUP!$F$44="At delivery",IF(SETUP!$G$44=4,$E$669*'TB-EQUIPMENT &amp; OTHER HPs'!BB17,IF(SETUP!$G$44=3,$E$669*'TB-EQUIPMENT &amp; OTHER HPs'!BC17,IF(SETUP!$G$44=2,$E$669*'TB-EQUIPMENT &amp; OTHER HPs'!BD17,IF(SETUP!$G$44=1,$E$669*'TB-EQUIPMENT &amp; OTHER HPs'!BE17,0)))),0)</f>
        <v>0</v>
      </c>
      <c r="Q671" s="920">
        <f>IF(SETUP!$F$44="At delivery",IF(SETUP!$G$44=4,$E$669*'TB-EQUIPMENT &amp; OTHER HPs'!BC17,IF(SETUP!$G$44=3,$E$669*'TB-EQUIPMENT &amp; OTHER HPs'!BD17,IF(SETUP!$G$44=2,$E$669*'TB-EQUIPMENT &amp; OTHER HPs'!BE17,IF(SETUP!$G$44=1,$E$669*'TB-EQUIPMENT &amp; OTHER HPs'!BF17,0)))),0)</f>
        <v>0</v>
      </c>
      <c r="R671" s="920">
        <f>IF(SETUP!$F$44="At delivery",IF(SETUP!$G$44=4,$E$669*'TB-EQUIPMENT &amp; OTHER HPs'!BD17,IF(SETUP!$G$44=3,$E$669*'TB-EQUIPMENT &amp; OTHER HPs'!BE17,IF(SETUP!$G$44=2,$E$669*'TB-EQUIPMENT &amp; OTHER HPs'!BF17,IF(SETUP!$G$44=1,$E$669*'TB-EQUIPMENT &amp; OTHER HPs'!BG17,0)))),0)</f>
        <v>0</v>
      </c>
      <c r="S671" s="920">
        <f>IF(SETUP!$F$44="At delivery",IF(SETUP!$G$44=4,$E$669*('TB-EQUIPMENT &amp; OTHER HPs'!BE17+'TB-EQUIPMENT &amp; OTHER HPs'!BF17+'TB-EQUIPMENT &amp; OTHER HPs'!BG17+'TB-EQUIPMENT &amp; OTHER HPs'!BH17+'TB-EQUIPMENT &amp; OTHER HPs'!BI17),IF(SETUP!$G$44=3,$E$669*('TB-EQUIPMENT &amp; OTHER HPs'!BF17+'TB-EQUIPMENT &amp; OTHER HPs'!BG17+'TB-EQUIPMENT &amp; OTHER HPs'!BH17+'TB-EQUIPMENT &amp; OTHER HPs'!BI17),IF(SETUP!$G$44=2,$E$669*('TB-EQUIPMENT &amp; OTHER HPs'!BG17+'TB-EQUIPMENT &amp; OTHER HPs'!BH17+'TB-EQUIPMENT &amp; OTHER HPs'!BI17),IF(SETUP!$G$44=1,$E$669*('TB-EQUIPMENT &amp; OTHER HPs'!BH17+'TB-EQUIPMENT &amp; OTHER HPs'!BI17),0)))),0)</f>
        <v>0</v>
      </c>
      <c r="T671" s="920">
        <f t="shared" si="103"/>
        <v>0</v>
      </c>
      <c r="U671" s="1016">
        <f t="shared" si="104"/>
        <v>0</v>
      </c>
      <c r="V671" s="1344">
        <v>7.7</v>
      </c>
      <c r="W671" s="2011"/>
      <c r="X671" s="575"/>
      <c r="Y671" s="685"/>
      <c r="Z671" s="655"/>
      <c r="AA671" s="686"/>
      <c r="AB671" s="686"/>
      <c r="AC671" s="686"/>
      <c r="AD671" s="686"/>
      <c r="AE671" s="686"/>
      <c r="AF671" s="686"/>
      <c r="AG671" s="686"/>
      <c r="AH671" s="687"/>
      <c r="AI671" s="686"/>
      <c r="AJ671" s="686"/>
      <c r="AK671" s="686"/>
      <c r="AL671" s="686"/>
      <c r="AM671" s="686"/>
      <c r="AN671" s="686"/>
      <c r="AO671" s="686"/>
      <c r="AP671" s="686"/>
      <c r="AQ671" s="686"/>
      <c r="AR671" s="686"/>
      <c r="AS671" s="686"/>
      <c r="AT671" s="686"/>
      <c r="AU671" s="686"/>
      <c r="AV671" s="686"/>
      <c r="AW671" s="686"/>
      <c r="AX671" s="686"/>
      <c r="AY671" s="686"/>
      <c r="AZ671" s="686"/>
      <c r="BA671" s="686"/>
      <c r="BB671" s="686"/>
      <c r="BC671" s="686"/>
      <c r="BD671" s="686"/>
      <c r="BE671" s="686"/>
      <c r="BF671" s="686"/>
      <c r="BG671" s="686"/>
      <c r="BH671" s="686"/>
      <c r="BI671" s="686"/>
      <c r="BJ671" s="686"/>
      <c r="BK671" s="686"/>
      <c r="BL671" s="686"/>
      <c r="BM671" s="686"/>
      <c r="BN671" s="686"/>
      <c r="BO671" s="686"/>
      <c r="BP671" s="686"/>
      <c r="BQ671" s="686"/>
      <c r="BR671" s="686"/>
      <c r="BS671" s="686"/>
      <c r="BT671" s="686"/>
    </row>
    <row r="672" spans="1:72" s="688" customFormat="1" ht="13.5" hidden="1" collapsed="1" thickBot="1">
      <c r="A672" s="3189" t="s">
        <v>450</v>
      </c>
      <c r="B672" s="3190"/>
      <c r="C672" s="3183" t="s">
        <v>451</v>
      </c>
      <c r="D672" s="3183"/>
      <c r="E672" s="1245">
        <v>0</v>
      </c>
      <c r="F672" s="1016">
        <f>IF(SETUP!$F$50="Upfront",F673,F674)</f>
        <v>0</v>
      </c>
      <c r="G672" s="920">
        <f>IF(SETUP!$F$50="Upfront",G673,G674)</f>
        <v>0</v>
      </c>
      <c r="H672" s="920">
        <f>IF(SETUP!$F$50="Upfront",H673,H674)</f>
        <v>0</v>
      </c>
      <c r="I672" s="920">
        <f>IF(SETUP!$F$50="Upfront",I673,I674)</f>
        <v>0</v>
      </c>
      <c r="J672" s="920">
        <f t="shared" si="101"/>
        <v>0</v>
      </c>
      <c r="K672" s="1016">
        <f>IF(SETUP!$F$50="Upfront",K673,K674)</f>
        <v>0</v>
      </c>
      <c r="L672" s="920">
        <f>IF(SETUP!$F$50="Upfront",L673,L674)</f>
        <v>0</v>
      </c>
      <c r="M672" s="920">
        <f>IF(SETUP!$F$50="Upfront",M673,M674)</f>
        <v>0</v>
      </c>
      <c r="N672" s="920">
        <f>IF(SETUP!$F$50="Upfront",N673,N674)</f>
        <v>0</v>
      </c>
      <c r="O672" s="920">
        <f t="shared" si="102"/>
        <v>0</v>
      </c>
      <c r="P672" s="1016">
        <f>IF(SETUP!$F$50="Upfront",P673,P674)</f>
        <v>0</v>
      </c>
      <c r="Q672" s="920">
        <f>IF(SETUP!$F$50="Upfront",Q673,Q674)</f>
        <v>0</v>
      </c>
      <c r="R672" s="920">
        <f>IF(SETUP!$F$50="Upfront",R673,R674)</f>
        <v>0</v>
      </c>
      <c r="S672" s="920">
        <f>IF(SETUP!$F$50="Upfront",S673,S674)</f>
        <v>0</v>
      </c>
      <c r="T672" s="920">
        <f t="shared" si="103"/>
        <v>0</v>
      </c>
      <c r="U672" s="1016">
        <f t="shared" si="104"/>
        <v>0</v>
      </c>
      <c r="V672" s="1344">
        <v>7.7</v>
      </c>
      <c r="W672" s="2011"/>
      <c r="X672" s="575"/>
      <c r="Y672" s="685"/>
      <c r="Z672" s="655"/>
      <c r="AA672" s="686"/>
      <c r="AB672" s="686"/>
      <c r="AC672" s="686"/>
      <c r="AD672" s="686"/>
      <c r="AE672" s="686"/>
      <c r="AF672" s="686"/>
      <c r="AG672" s="686"/>
      <c r="AH672" s="687"/>
      <c r="AI672" s="686"/>
      <c r="AJ672" s="686"/>
      <c r="AK672" s="686"/>
      <c r="AL672" s="686"/>
      <c r="AM672" s="686"/>
      <c r="AN672" s="686"/>
      <c r="AO672" s="686"/>
      <c r="AP672" s="686"/>
      <c r="AQ672" s="686"/>
      <c r="AR672" s="686"/>
      <c r="AS672" s="686"/>
      <c r="AT672" s="686"/>
      <c r="AU672" s="686"/>
      <c r="AV672" s="686"/>
      <c r="AW672" s="686"/>
      <c r="AX672" s="686"/>
      <c r="AY672" s="686"/>
      <c r="AZ672" s="686"/>
      <c r="BA672" s="686"/>
      <c r="BB672" s="686"/>
      <c r="BC672" s="686"/>
      <c r="BD672" s="686"/>
      <c r="BE672" s="686"/>
      <c r="BF672" s="686"/>
      <c r="BG672" s="686"/>
      <c r="BH672" s="686"/>
      <c r="BI672" s="686"/>
      <c r="BJ672" s="686"/>
      <c r="BK672" s="686"/>
      <c r="BL672" s="686"/>
      <c r="BM672" s="686"/>
      <c r="BN672" s="686"/>
      <c r="BO672" s="686"/>
      <c r="BP672" s="686"/>
      <c r="BQ672" s="686"/>
      <c r="BR672" s="686"/>
      <c r="BS672" s="686"/>
      <c r="BT672" s="686"/>
    </row>
    <row r="673" spans="1:72" s="688" customFormat="1" ht="16.149999999999999" hidden="1" customHeight="1" outlineLevel="1">
      <c r="A673" s="3189"/>
      <c r="B673" s="3190"/>
      <c r="C673" s="3182" t="s">
        <v>777</v>
      </c>
      <c r="D673" s="3182"/>
      <c r="E673" s="1579"/>
      <c r="F673" s="1016">
        <f>IF(SETUP!$F$50="Upfront",$E$672*'Malaria-Pharmaceuticals'!AX14,0)</f>
        <v>0</v>
      </c>
      <c r="G673" s="920">
        <f>IF(SETUP!$F$50="Upfront",$E$672*'Malaria-Pharmaceuticals'!AY14,0)</f>
        <v>0</v>
      </c>
      <c r="H673" s="920">
        <f>IF(SETUP!$F$50="Upfront",$E$672*'Malaria-Pharmaceuticals'!AZ14,0)</f>
        <v>0</v>
      </c>
      <c r="I673" s="920">
        <f>IF(SETUP!$F$50="Upfront",$E$672*'Malaria-Pharmaceuticals'!BA14,0)</f>
        <v>0</v>
      </c>
      <c r="J673" s="920">
        <f t="shared" si="101"/>
        <v>0</v>
      </c>
      <c r="K673" s="1016">
        <f>IF(SETUP!$F$50="Upfront",$E$672*'Malaria-Pharmaceuticals'!BB14,0)</f>
        <v>0</v>
      </c>
      <c r="L673" s="920">
        <f>IF(SETUP!$F$50="Upfront",$E$672*'Malaria-Pharmaceuticals'!BC14,0)</f>
        <v>0</v>
      </c>
      <c r="M673" s="920">
        <f>IF(SETUP!$F$50="Upfront",$E$672*'Malaria-Pharmaceuticals'!BD14,0)</f>
        <v>0</v>
      </c>
      <c r="N673" s="920">
        <f>IF(SETUP!$F$50="Upfront",$E$672*'Malaria-Pharmaceuticals'!BE14,0)</f>
        <v>0</v>
      </c>
      <c r="O673" s="920">
        <f t="shared" si="102"/>
        <v>0</v>
      </c>
      <c r="P673" s="1016">
        <f>IF(SETUP!$F$50="Upfront",$E$672*'Malaria-Pharmaceuticals'!BF14,0)</f>
        <v>0</v>
      </c>
      <c r="Q673" s="920">
        <f>IF(SETUP!$F$50="Upfront",$E$672*'Malaria-Pharmaceuticals'!BG14,0)</f>
        <v>0</v>
      </c>
      <c r="R673" s="920">
        <f>IF(SETUP!$F$50="Upfront",$E$672*'Malaria-Pharmaceuticals'!BH14,0)</f>
        <v>0</v>
      </c>
      <c r="S673" s="920">
        <f>IF(SETUP!$F$50="Upfront",$E$672*'Malaria-Pharmaceuticals'!BI14,0)</f>
        <v>0</v>
      </c>
      <c r="T673" s="920">
        <f t="shared" si="103"/>
        <v>0</v>
      </c>
      <c r="U673" s="1016">
        <f t="shared" si="104"/>
        <v>0</v>
      </c>
      <c r="V673" s="1344">
        <v>7.7</v>
      </c>
      <c r="W673" s="2011"/>
      <c r="X673" s="575"/>
      <c r="Y673" s="685"/>
      <c r="Z673" s="655"/>
      <c r="AA673" s="686"/>
      <c r="AB673" s="686"/>
      <c r="AC673" s="686"/>
      <c r="AD673" s="686"/>
      <c r="AE673" s="686"/>
      <c r="AF673" s="686"/>
      <c r="AG673" s="686"/>
      <c r="AH673" s="687"/>
      <c r="AI673" s="686"/>
      <c r="AJ673" s="686"/>
      <c r="AK673" s="686"/>
      <c r="AL673" s="686"/>
      <c r="AM673" s="686"/>
      <c r="AN673" s="686"/>
      <c r="AO673" s="686"/>
      <c r="AP673" s="686"/>
      <c r="AQ673" s="686"/>
      <c r="AR673" s="686"/>
      <c r="AS673" s="686"/>
      <c r="AT673" s="686"/>
      <c r="AU673" s="686"/>
      <c r="AV673" s="686"/>
      <c r="AW673" s="686"/>
      <c r="AX673" s="686"/>
      <c r="AY673" s="686"/>
      <c r="AZ673" s="686"/>
      <c r="BA673" s="686"/>
      <c r="BB673" s="686"/>
      <c r="BC673" s="686"/>
      <c r="BD673" s="686"/>
      <c r="BE673" s="686"/>
      <c r="BF673" s="686"/>
      <c r="BG673" s="686"/>
      <c r="BH673" s="686"/>
      <c r="BI673" s="686"/>
      <c r="BJ673" s="686"/>
      <c r="BK673" s="686"/>
      <c r="BL673" s="686"/>
      <c r="BM673" s="686"/>
      <c r="BN673" s="686"/>
      <c r="BO673" s="686"/>
      <c r="BP673" s="686"/>
      <c r="BQ673" s="686"/>
      <c r="BR673" s="686"/>
      <c r="BS673" s="686"/>
      <c r="BT673" s="686"/>
    </row>
    <row r="674" spans="1:72" s="688" customFormat="1" ht="17.25" hidden="1" customHeight="1" outlineLevel="1">
      <c r="A674" s="3189"/>
      <c r="B674" s="3190"/>
      <c r="C674" s="3182" t="s">
        <v>36</v>
      </c>
      <c r="D674" s="3182"/>
      <c r="E674" s="1579"/>
      <c r="F674" s="1016">
        <v>0</v>
      </c>
      <c r="G674" s="920">
        <f>IF(SETUP!$F$50="At delivery",IF(SETUP!$G$50=1,$E$672*'Malaria-Pharmaceuticals'!AX14,0),0)</f>
        <v>0</v>
      </c>
      <c r="H674" s="920">
        <f>IF(SETUP!$F$50="At delivery",IF(SETUP!$G$50=2,$E$672*'Malaria-Pharmaceuticals'!AX14,IF(SETUP!$G$50=1,$E$672*'Malaria-Pharmaceuticals'!AY14,0)),0)</f>
        <v>0</v>
      </c>
      <c r="I674" s="920">
        <f>IF(SETUP!$F$50="At delivery",IF(SETUP!$G$50=3,$E$672*'Malaria-Pharmaceuticals'!AX14,IF(SETUP!$G$50=2,$E$672*'Malaria-Pharmaceuticals'!AY14,IF(SETUP!$G$50=1,$E$672*'Malaria-Pharmaceuticals'!AZ14,0))),0)</f>
        <v>0</v>
      </c>
      <c r="J674" s="920">
        <f t="shared" ref="J674:J696" si="105">F674+G674+H674+I674</f>
        <v>0</v>
      </c>
      <c r="K674" s="1016">
        <f>IF(SETUP!$F$50="At delivery",IF(SETUP!$G$50=4,$E$672*'Malaria-Pharmaceuticals'!AX14,IF(SETUP!$G$50=3,$E$672*'Malaria-Pharmaceuticals'!AY14,IF(SETUP!$G$50=2,$E$672*'Malaria-Pharmaceuticals'!AZ14,IF(SETUP!$G$50=1,$E$672*'Malaria-Pharmaceuticals'!BA14,0)))),0)</f>
        <v>0</v>
      </c>
      <c r="L674" s="920">
        <f>IF(SETUP!$F$50="At delivery",IF(SETUP!$G$50=4,$E$672*'Malaria-Pharmaceuticals'!AY14,IF(SETUP!$G$50=3,$E$672*'Malaria-Pharmaceuticals'!AZ14,IF(SETUP!$G$50=2,$E$672*'Malaria-Pharmaceuticals'!BA14,IF(SETUP!$G$50=1,$E$672*'Malaria-Pharmaceuticals'!BB14,0)))),0)</f>
        <v>0</v>
      </c>
      <c r="M674" s="920">
        <f>IF(SETUP!$F$50="At delivery",IF(SETUP!$G$50=4,$E$672*'Malaria-Pharmaceuticals'!AZ14,IF(SETUP!$G$50=3,$E$672*'Malaria-Pharmaceuticals'!BA14,IF(SETUP!$G$50=2,$E$672*'Malaria-Pharmaceuticals'!BB14,IF(SETUP!$G$50=1,$E$672*'Malaria-Pharmaceuticals'!BC14,0)))),0)</f>
        <v>0</v>
      </c>
      <c r="N674" s="920">
        <f>IF(SETUP!$F$50="At delivery",IF(SETUP!$G$50=4,$E$672*'Malaria-Pharmaceuticals'!BA14,IF(SETUP!$G$50=3,$E$672*'Malaria-Pharmaceuticals'!BB14,IF(SETUP!$G$50=2,$E$672*'Malaria-Pharmaceuticals'!BC14,IF(SETUP!$G$50=1,$E$672*'Malaria-Pharmaceuticals'!BD14,0)))),0)</f>
        <v>0</v>
      </c>
      <c r="O674" s="920">
        <f t="shared" ref="O674:O696" si="106">K674+L674+M674+N674</f>
        <v>0</v>
      </c>
      <c r="P674" s="1016">
        <f>IF(SETUP!$F$50="At delivery",IF(SETUP!$G$50=4,$E$672*'Malaria-Pharmaceuticals'!BB14,IF(SETUP!$G$50=3,$E$672*'Malaria-Pharmaceuticals'!BC14,IF(SETUP!$G$50=2,$E$672*'Malaria-Pharmaceuticals'!BD14,IF(SETUP!$G$50=1,$E$672*'Malaria-Pharmaceuticals'!BE14,0)))),0)</f>
        <v>0</v>
      </c>
      <c r="Q674" s="920">
        <f>IF(SETUP!$F$50="At delivery",IF(SETUP!$G$50=4,$E$672*'Malaria-Pharmaceuticals'!BC14,IF(SETUP!$G$50=3,$E$672*'Malaria-Pharmaceuticals'!BD14,IF(SETUP!$G$50=2,$E$672*'Malaria-Pharmaceuticals'!BE14,IF(SETUP!$G$50=1,$E$672*'Malaria-Pharmaceuticals'!BF14,0)))),0)</f>
        <v>0</v>
      </c>
      <c r="R674" s="920">
        <f>IF(SETUP!$F$50="At delivery",IF(SETUP!$G$50=4,$E$672*'Malaria-Pharmaceuticals'!BD14,IF(SETUP!$G$50=3,$E$672*'Malaria-Pharmaceuticals'!BE14,IF(SETUP!$G$50=2,$E$672*'Malaria-Pharmaceuticals'!BF14,IF(SETUP!$G$50=1,$E$672*'Malaria-Pharmaceuticals'!BG14,0)))),0)</f>
        <v>0</v>
      </c>
      <c r="S674" s="920">
        <f>IF(SETUP!$F$50="At delivery",IF(SETUP!$G$50=4,$E$672*('Malaria-Pharmaceuticals'!BE14+'Malaria-Pharmaceuticals'!BF14+'Malaria-Pharmaceuticals'!BG14+'Malaria-Pharmaceuticals'!BH14+'Malaria-Pharmaceuticals'!BI14),IF(SETUP!$G$50=3,$E$672*('Malaria-Pharmaceuticals'!BF14+'Malaria-Pharmaceuticals'!BG14+'Malaria-Pharmaceuticals'!BH14+'Malaria-Pharmaceuticals'!BI14),IF(SETUP!$G$50=2,$E$672*('Malaria-Pharmaceuticals'!BG14+'Malaria-Pharmaceuticals'!BH14+'Malaria-Pharmaceuticals'!BI14),IF(SETUP!$G$50=1,$E$672*('Malaria-Pharmaceuticals'!BH14+'Malaria-Pharmaceuticals'!BI14),0)))),0)</f>
        <v>0</v>
      </c>
      <c r="T674" s="920">
        <f t="shared" ref="T674:T696" si="107">P674+Q674+R674+S674</f>
        <v>0</v>
      </c>
      <c r="U674" s="1016">
        <f t="shared" ref="U674:U696" si="108">J674+O674+T674</f>
        <v>0</v>
      </c>
      <c r="V674" s="1344">
        <v>7.7</v>
      </c>
      <c r="W674" s="2011"/>
      <c r="X674" s="575"/>
      <c r="Y674" s="685"/>
      <c r="Z674" s="655"/>
      <c r="AA674" s="686"/>
      <c r="AB674" s="686"/>
      <c r="AC674" s="686"/>
      <c r="AD674" s="686"/>
      <c r="AE674" s="686"/>
      <c r="AF674" s="686"/>
      <c r="AG674" s="686"/>
      <c r="AH674" s="687"/>
      <c r="AI674" s="686"/>
      <c r="AJ674" s="686"/>
      <c r="AK674" s="686"/>
      <c r="AL674" s="686"/>
      <c r="AM674" s="686"/>
      <c r="AN674" s="686"/>
      <c r="AO674" s="686"/>
      <c r="AP674" s="686"/>
      <c r="AQ674" s="686"/>
      <c r="AR674" s="686"/>
      <c r="AS674" s="686"/>
      <c r="AT674" s="686"/>
      <c r="AU674" s="686"/>
      <c r="AV674" s="686"/>
      <c r="AW674" s="686"/>
      <c r="AX674" s="686"/>
      <c r="AY674" s="686"/>
      <c r="AZ674" s="686"/>
      <c r="BA674" s="686"/>
      <c r="BB674" s="686"/>
      <c r="BC674" s="686"/>
      <c r="BD674" s="686"/>
      <c r="BE674" s="686"/>
      <c r="BF674" s="686"/>
      <c r="BG674" s="686"/>
      <c r="BH674" s="686"/>
      <c r="BI674" s="686"/>
      <c r="BJ674" s="686"/>
      <c r="BK674" s="686"/>
      <c r="BL674" s="686"/>
      <c r="BM674" s="686"/>
      <c r="BN674" s="686"/>
      <c r="BO674" s="686"/>
      <c r="BP674" s="686"/>
      <c r="BQ674" s="686"/>
      <c r="BR674" s="686"/>
      <c r="BS674" s="686"/>
      <c r="BT674" s="686"/>
    </row>
    <row r="675" spans="1:72" s="688" customFormat="1" ht="13.5" hidden="1" collapsed="1" thickBot="1">
      <c r="A675" s="3189"/>
      <c r="B675" s="3190"/>
      <c r="C675" s="3183" t="s">
        <v>453</v>
      </c>
      <c r="D675" s="3183"/>
      <c r="E675" s="1245">
        <v>0</v>
      </c>
      <c r="F675" s="1016">
        <f>IF(SETUP!$F$51="Upfront",F676,F677)</f>
        <v>0</v>
      </c>
      <c r="G675" s="920">
        <f>IF(SETUP!$F$51="Upfront",G676,G677)</f>
        <v>0</v>
      </c>
      <c r="H675" s="920">
        <f>IF(SETUP!$F$51="Upfront",H676,H677)</f>
        <v>0</v>
      </c>
      <c r="I675" s="920">
        <f>IF(SETUP!$F$51="Upfront",I676,I677)</f>
        <v>0</v>
      </c>
      <c r="J675" s="920">
        <f t="shared" si="105"/>
        <v>0</v>
      </c>
      <c r="K675" s="1016">
        <f>IF(SETUP!$F$51="Upfront",K676,K677)</f>
        <v>0</v>
      </c>
      <c r="L675" s="920">
        <f>IF(SETUP!$F$51="Upfront",L676,L677)</f>
        <v>0</v>
      </c>
      <c r="M675" s="920">
        <f>IF(SETUP!$F$51="Upfront",M676,M677)</f>
        <v>0</v>
      </c>
      <c r="N675" s="920">
        <f>IF(SETUP!$F$51="Upfront",N676,N677)</f>
        <v>0</v>
      </c>
      <c r="O675" s="920">
        <f t="shared" si="106"/>
        <v>0</v>
      </c>
      <c r="P675" s="1016">
        <f>IF(SETUP!$F$51="Upfront",P676,P677)</f>
        <v>0</v>
      </c>
      <c r="Q675" s="920">
        <f>IF(SETUP!$F$51="Upfront",Q676,Q677)</f>
        <v>0</v>
      </c>
      <c r="R675" s="920">
        <f>IF(SETUP!$F$51="Upfront",R676,R677)</f>
        <v>0</v>
      </c>
      <c r="S675" s="920">
        <f>IF(SETUP!$F$51="Upfront",S676,S677)</f>
        <v>0</v>
      </c>
      <c r="T675" s="920">
        <f t="shared" si="107"/>
        <v>0</v>
      </c>
      <c r="U675" s="1016">
        <f t="shared" si="108"/>
        <v>0</v>
      </c>
      <c r="V675" s="1344">
        <v>7.7</v>
      </c>
      <c r="W675" s="2011"/>
      <c r="X675" s="575"/>
      <c r="Y675" s="685"/>
      <c r="Z675" s="655"/>
      <c r="AA675" s="686"/>
      <c r="AB675" s="686"/>
      <c r="AC675" s="686"/>
      <c r="AD675" s="686"/>
      <c r="AE675" s="686"/>
      <c r="AF675" s="686"/>
      <c r="AG675" s="686"/>
      <c r="AH675" s="687"/>
      <c r="AI675" s="686"/>
      <c r="AJ675" s="686"/>
      <c r="AK675" s="686"/>
      <c r="AL675" s="686"/>
      <c r="AM675" s="686"/>
      <c r="AN675" s="686"/>
      <c r="AO675" s="686"/>
      <c r="AP675" s="686"/>
      <c r="AQ675" s="686"/>
      <c r="AR675" s="686"/>
      <c r="AS675" s="686"/>
      <c r="AT675" s="686"/>
      <c r="AU675" s="686"/>
      <c r="AV675" s="686"/>
      <c r="AW675" s="686"/>
      <c r="AX675" s="686"/>
      <c r="AY675" s="686"/>
      <c r="AZ675" s="686"/>
      <c r="BA675" s="686"/>
      <c r="BB675" s="686"/>
      <c r="BC675" s="686"/>
      <c r="BD675" s="686"/>
      <c r="BE675" s="686"/>
      <c r="BF675" s="686"/>
      <c r="BG675" s="686"/>
      <c r="BH675" s="686"/>
      <c r="BI675" s="686"/>
      <c r="BJ675" s="686"/>
      <c r="BK675" s="686"/>
      <c r="BL675" s="686"/>
      <c r="BM675" s="686"/>
      <c r="BN675" s="686"/>
      <c r="BO675" s="686"/>
      <c r="BP675" s="686"/>
      <c r="BQ675" s="686"/>
      <c r="BR675" s="686"/>
      <c r="BS675" s="686"/>
      <c r="BT675" s="686"/>
    </row>
    <row r="676" spans="1:72" s="688" customFormat="1" ht="12.75" hidden="1" customHeight="1" outlineLevel="1">
      <c r="A676" s="3189"/>
      <c r="B676" s="3190"/>
      <c r="C676" s="3182" t="s">
        <v>777</v>
      </c>
      <c r="D676" s="3182"/>
      <c r="E676" s="1579"/>
      <c r="F676" s="1016">
        <f>IF(SETUP!$F$51="Upfront",$E$675*'Malaria-Pharmaceuticals'!AX15,0)</f>
        <v>0</v>
      </c>
      <c r="G676" s="920">
        <f>IF(SETUP!$F$51="Upfront",$E$675*'Malaria-Pharmaceuticals'!AY15,0)</f>
        <v>0</v>
      </c>
      <c r="H676" s="920">
        <f>IF(SETUP!$F$51="Upfront",$E$675*'Malaria-Pharmaceuticals'!AZ15,0)</f>
        <v>0</v>
      </c>
      <c r="I676" s="920">
        <f>IF(SETUP!$F$51="Upfront",$E$675*'Malaria-Pharmaceuticals'!BA15,0)</f>
        <v>0</v>
      </c>
      <c r="J676" s="920">
        <f t="shared" si="105"/>
        <v>0</v>
      </c>
      <c r="K676" s="1016">
        <f>IF(SETUP!$F$51="Upfront",$E$675*'Malaria-Pharmaceuticals'!BB15,0)</f>
        <v>0</v>
      </c>
      <c r="L676" s="920">
        <f>IF(SETUP!$F$51="Upfront",$E$675*'Malaria-Pharmaceuticals'!BC15,0)</f>
        <v>0</v>
      </c>
      <c r="M676" s="920">
        <f>IF(SETUP!$F$51="Upfront",$E$675*'Malaria-Pharmaceuticals'!BD15,0)</f>
        <v>0</v>
      </c>
      <c r="N676" s="920">
        <f>IF(SETUP!$F$51="Upfront",$E$675*'Malaria-Pharmaceuticals'!BE15,0)</f>
        <v>0</v>
      </c>
      <c r="O676" s="920">
        <f t="shared" si="106"/>
        <v>0</v>
      </c>
      <c r="P676" s="1016">
        <f>IF(SETUP!$F$51="Upfront",$E$675*'Malaria-Pharmaceuticals'!BF15,0)</f>
        <v>0</v>
      </c>
      <c r="Q676" s="920">
        <f>IF(SETUP!$F$51="Upfront",$E$675*'Malaria-Pharmaceuticals'!BG15,0)</f>
        <v>0</v>
      </c>
      <c r="R676" s="920">
        <f>IF(SETUP!$F$51="Upfront",$E$675*'Malaria-Pharmaceuticals'!BH15,0)</f>
        <v>0</v>
      </c>
      <c r="S676" s="920">
        <f>IF(SETUP!$F$51="Upfront",$E$675*'Malaria-Pharmaceuticals'!BI15,0)</f>
        <v>0</v>
      </c>
      <c r="T676" s="920">
        <f t="shared" si="107"/>
        <v>0</v>
      </c>
      <c r="U676" s="1016">
        <f t="shared" si="108"/>
        <v>0</v>
      </c>
      <c r="V676" s="1344">
        <v>7.7</v>
      </c>
      <c r="W676" s="2011"/>
      <c r="X676" s="575"/>
      <c r="Y676" s="685"/>
      <c r="Z676" s="655"/>
      <c r="AA676" s="686"/>
      <c r="AB676" s="686"/>
      <c r="AC676" s="686"/>
      <c r="AD676" s="686"/>
      <c r="AE676" s="686"/>
      <c r="AF676" s="686"/>
      <c r="AG676" s="686"/>
      <c r="AH676" s="687"/>
      <c r="AI676" s="686"/>
      <c r="AJ676" s="686"/>
      <c r="AK676" s="686"/>
      <c r="AL676" s="686"/>
      <c r="AM676" s="686"/>
      <c r="AN676" s="686"/>
      <c r="AO676" s="686"/>
      <c r="AP676" s="686"/>
      <c r="AQ676" s="686"/>
      <c r="AR676" s="686"/>
      <c r="AS676" s="686"/>
      <c r="AT676" s="686"/>
      <c r="AU676" s="686"/>
      <c r="AV676" s="686"/>
      <c r="AW676" s="686"/>
      <c r="AX676" s="686"/>
      <c r="AY676" s="686"/>
      <c r="AZ676" s="686"/>
      <c r="BA676" s="686"/>
      <c r="BB676" s="686"/>
      <c r="BC676" s="686"/>
      <c r="BD676" s="686"/>
      <c r="BE676" s="686"/>
      <c r="BF676" s="686"/>
      <c r="BG676" s="686"/>
      <c r="BH676" s="686"/>
      <c r="BI676" s="686"/>
      <c r="BJ676" s="686"/>
      <c r="BK676" s="686"/>
      <c r="BL676" s="686"/>
      <c r="BM676" s="686"/>
      <c r="BN676" s="686"/>
      <c r="BO676" s="686"/>
      <c r="BP676" s="686"/>
      <c r="BQ676" s="686"/>
      <c r="BR676" s="686"/>
      <c r="BS676" s="686"/>
      <c r="BT676" s="686"/>
    </row>
    <row r="677" spans="1:72" s="688" customFormat="1" ht="13.5" hidden="1" customHeight="1" outlineLevel="1" thickBot="1">
      <c r="A677" s="3189"/>
      <c r="B677" s="3190"/>
      <c r="C677" s="3182" t="s">
        <v>36</v>
      </c>
      <c r="D677" s="3182"/>
      <c r="E677" s="1580"/>
      <c r="F677" s="1016">
        <v>0</v>
      </c>
      <c r="G677" s="920">
        <f>IF(SETUP!$F$51="At delivery",IF(SETUP!$G$51=1,$E$675*'Malaria-Pharmaceuticals'!AX15,0),0)</f>
        <v>0</v>
      </c>
      <c r="H677" s="920">
        <f>IF(SETUP!$F$51="At delivery",IF(SETUP!$G$51=2,$E$675*'Malaria-Pharmaceuticals'!AX15,IF(SETUP!$G$51=1,$E$675*'Malaria-Pharmaceuticals'!AY15,0)),0)</f>
        <v>0</v>
      </c>
      <c r="I677" s="920">
        <f>IF(SETUP!$F$51="At delivery",IF(SETUP!$G$51=3,$E$675*'Malaria-Pharmaceuticals'!AX15,IF(SETUP!$G$51=2,$E$675*'Malaria-Pharmaceuticals'!AY15,IF(SETUP!$G$51=1,$E$675*'Malaria-Pharmaceuticals'!AZ15,0))),0)</f>
        <v>0</v>
      </c>
      <c r="J677" s="920">
        <f t="shared" si="105"/>
        <v>0</v>
      </c>
      <c r="K677" s="1016">
        <f>IF(SETUP!$F$51="At delivery",IF(SETUP!$G$51=4,$E$675*'Malaria-Pharmaceuticals'!AX15,IF(SETUP!$G$51=3,$E$675*'Malaria-Pharmaceuticals'!AY15,IF(SETUP!$G$51=2,$E$675*'Malaria-Pharmaceuticals'!AZ15,IF(SETUP!$G$51=1,$E$675*'Malaria-Pharmaceuticals'!BA15,0)))),0)</f>
        <v>0</v>
      </c>
      <c r="L677" s="920">
        <f>IF(SETUP!$F$51="At delivery",IF(SETUP!$G$51=4,$E$675*'Malaria-Pharmaceuticals'!AY15,IF(SETUP!$G$51=3,$E$675*'Malaria-Pharmaceuticals'!AZ15,IF(SETUP!$G$51=2,$E$675*'Malaria-Pharmaceuticals'!BA15,IF(SETUP!$G$51=1,$E$675*'Malaria-Pharmaceuticals'!BB15,0)))),0)</f>
        <v>0</v>
      </c>
      <c r="M677" s="920">
        <f>IF(SETUP!$F$51="At delivery",IF(SETUP!$G$51=4,$E$675*'Malaria-Pharmaceuticals'!AZ15,IF(SETUP!$G$51=3,$E$675*'Malaria-Pharmaceuticals'!BA15,IF(SETUP!$G$51=2,$E$675*'Malaria-Pharmaceuticals'!BB15,IF(SETUP!$G$51=1,$E$675*'Malaria-Pharmaceuticals'!BC15,0)))),0)</f>
        <v>0</v>
      </c>
      <c r="N677" s="920">
        <f>IF(SETUP!$F$51="At delivery",IF(SETUP!$G$51=4,$E$675*'Malaria-Pharmaceuticals'!BA15,IF(SETUP!$G$51=3,$E$675*'Malaria-Pharmaceuticals'!BB15,IF(SETUP!$G$51=2,$E$675*'Malaria-Pharmaceuticals'!BC15,IF(SETUP!$G$51=1,$E$675*'Malaria-Pharmaceuticals'!BD15,0)))),0)</f>
        <v>0</v>
      </c>
      <c r="O677" s="920">
        <f t="shared" si="106"/>
        <v>0</v>
      </c>
      <c r="P677" s="1016">
        <f>IF(SETUP!$F$51="At delivery",IF(SETUP!$G$51=4,$E$675*'Malaria-Pharmaceuticals'!BB15,IF(SETUP!$G$51=3,$E$675*'Malaria-Pharmaceuticals'!BC15,IF(SETUP!$G$51=2,$E$675*'Malaria-Pharmaceuticals'!BD15,IF(SETUP!$G$51=1,$E$675*'Malaria-Pharmaceuticals'!BE15,0)))),0)</f>
        <v>0</v>
      </c>
      <c r="Q677" s="920">
        <f>IF(SETUP!$F$51="At delivery",IF(SETUP!$G$51=4,$E$675*'Malaria-Pharmaceuticals'!BC15,IF(SETUP!$G$51=3,$E$675*'Malaria-Pharmaceuticals'!BD15,IF(SETUP!$G$51=2,$E$675*'Malaria-Pharmaceuticals'!BE15,IF(SETUP!$G$51=1,$E$675*'Malaria-Pharmaceuticals'!BF15,0)))),0)</f>
        <v>0</v>
      </c>
      <c r="R677" s="920">
        <f>IF(SETUP!$F$51="At delivery",IF(SETUP!$G$51=4,$E$675*'Malaria-Pharmaceuticals'!BD15,IF(SETUP!$G$51=3,$E$675*'Malaria-Pharmaceuticals'!BE15,IF(SETUP!$G$51=2,$E$675*'Malaria-Pharmaceuticals'!BF15,IF(SETUP!$G$51=1,$E$675*'Malaria-Pharmaceuticals'!BG15,0)))),0)</f>
        <v>0</v>
      </c>
      <c r="S677" s="920">
        <f>IF(SETUP!$F$51="At delivery",IF(SETUP!$G$51=4,$E$675*('Malaria-Pharmaceuticals'!BE15+'Malaria-Pharmaceuticals'!BF15+'Malaria-Pharmaceuticals'!BG15+'Malaria-Pharmaceuticals'!BH15+'Malaria-Pharmaceuticals'!BI15),IF(SETUP!$G$51=3,$E$675*('Malaria-Pharmaceuticals'!BF15+'Malaria-Pharmaceuticals'!BG15+'Malaria-Pharmaceuticals'!BH15+'Malaria-Pharmaceuticals'!BI15),IF(SETUP!$G$51=2,$E$675*('Malaria-Pharmaceuticals'!BG15+'Malaria-Pharmaceuticals'!BH15+'Malaria-Pharmaceuticals'!BI15),IF(SETUP!$G$51=1,$E$675*('Malaria-Pharmaceuticals'!BH15+'Malaria-Pharmaceuticals'!BI15),0)))),0)</f>
        <v>0</v>
      </c>
      <c r="T677" s="920">
        <f t="shared" si="107"/>
        <v>0</v>
      </c>
      <c r="U677" s="1016">
        <f t="shared" si="108"/>
        <v>0</v>
      </c>
      <c r="V677" s="1344">
        <v>7.7</v>
      </c>
      <c r="W677" s="2011"/>
      <c r="X677" s="575"/>
      <c r="Y677" s="685"/>
      <c r="Z677" s="655"/>
      <c r="AA677" s="686"/>
      <c r="AB677" s="686"/>
      <c r="AC677" s="686"/>
      <c r="AD677" s="686"/>
      <c r="AE677" s="686"/>
      <c r="AF677" s="686"/>
      <c r="AG677" s="686"/>
      <c r="AH677" s="687"/>
      <c r="AI677" s="686"/>
      <c r="AJ677" s="686"/>
      <c r="AK677" s="686"/>
      <c r="AL677" s="686"/>
      <c r="AM677" s="686"/>
      <c r="AN677" s="686"/>
      <c r="AO677" s="686"/>
      <c r="AP677" s="686"/>
      <c r="AQ677" s="686"/>
      <c r="AR677" s="686"/>
      <c r="AS677" s="686"/>
      <c r="AT677" s="686"/>
      <c r="AU677" s="686"/>
      <c r="AV677" s="686"/>
      <c r="AW677" s="686"/>
      <c r="AX677" s="686"/>
      <c r="AY677" s="686"/>
      <c r="AZ677" s="686"/>
      <c r="BA677" s="686"/>
      <c r="BB677" s="686"/>
      <c r="BC677" s="686"/>
      <c r="BD677" s="686"/>
      <c r="BE677" s="686"/>
      <c r="BF677" s="686"/>
      <c r="BG677" s="686"/>
      <c r="BH677" s="686"/>
      <c r="BI677" s="686"/>
      <c r="BJ677" s="686"/>
      <c r="BK677" s="686"/>
      <c r="BL677" s="686"/>
      <c r="BM677" s="686"/>
      <c r="BN677" s="686"/>
      <c r="BO677" s="686"/>
      <c r="BP677" s="686"/>
      <c r="BQ677" s="686"/>
      <c r="BR677" s="686"/>
      <c r="BS677" s="686"/>
      <c r="BT677" s="686"/>
    </row>
    <row r="678" spans="1:72" s="688" customFormat="1" ht="16.149999999999999" hidden="1" customHeight="1" collapsed="1" thickBot="1">
      <c r="A678" s="3227" t="s">
        <v>454</v>
      </c>
      <c r="B678" s="3228"/>
      <c r="C678" s="3188" t="s">
        <v>292</v>
      </c>
      <c r="D678" s="3188"/>
      <c r="E678" s="1245">
        <v>0</v>
      </c>
      <c r="F678" s="1016">
        <f>IF(SETUP!$F$52="Upfront",F679,F680)</f>
        <v>0</v>
      </c>
      <c r="G678" s="920">
        <f>IF(SETUP!$F$52="Upfront",G679,G680)</f>
        <v>0</v>
      </c>
      <c r="H678" s="920">
        <f>IF(SETUP!$F$52="Upfront",H679,H680)</f>
        <v>0</v>
      </c>
      <c r="I678" s="920">
        <f>IF(SETUP!$F$52="Upfront",I679,I680)</f>
        <v>0</v>
      </c>
      <c r="J678" s="920">
        <f t="shared" si="105"/>
        <v>0</v>
      </c>
      <c r="K678" s="1016">
        <f>IF(SETUP!$F$52="Upfront",K679,K680)</f>
        <v>0</v>
      </c>
      <c r="L678" s="920">
        <f>IF(SETUP!$F$52="Upfront",L679,L680)</f>
        <v>0</v>
      </c>
      <c r="M678" s="920">
        <f>IF(SETUP!$F$52="Upfront",M679,M680)</f>
        <v>0</v>
      </c>
      <c r="N678" s="920">
        <f>IF(SETUP!$F$52="Upfront",N679,N680)</f>
        <v>0</v>
      </c>
      <c r="O678" s="920">
        <f t="shared" si="106"/>
        <v>0</v>
      </c>
      <c r="P678" s="1016">
        <f>IF(SETUP!$F$52="Upfront",P679,P680)</f>
        <v>0</v>
      </c>
      <c r="Q678" s="920">
        <f>IF(SETUP!$F$52="Upfront",Q679,Q680)</f>
        <v>0</v>
      </c>
      <c r="R678" s="920">
        <f>IF(SETUP!$F$52="Upfront",R679,R680)</f>
        <v>0</v>
      </c>
      <c r="S678" s="920">
        <f>IF(SETUP!$F$52="Upfront",S679,S680)</f>
        <v>0</v>
      </c>
      <c r="T678" s="920">
        <f t="shared" si="107"/>
        <v>0</v>
      </c>
      <c r="U678" s="1016">
        <f t="shared" si="108"/>
        <v>0</v>
      </c>
      <c r="V678" s="1344">
        <v>7.7</v>
      </c>
      <c r="W678" s="2011"/>
      <c r="X678" s="575"/>
      <c r="Y678" s="685"/>
      <c r="Z678" s="655"/>
      <c r="AA678" s="686"/>
      <c r="AB678" s="686"/>
      <c r="AC678" s="686"/>
      <c r="AD678" s="686"/>
      <c r="AE678" s="686"/>
      <c r="AF678" s="686"/>
      <c r="AG678" s="686"/>
      <c r="AH678" s="687"/>
      <c r="AI678" s="686"/>
      <c r="AJ678" s="686"/>
      <c r="AK678" s="686"/>
      <c r="AL678" s="686"/>
      <c r="AM678" s="686"/>
      <c r="AN678" s="686"/>
      <c r="AO678" s="686"/>
      <c r="AP678" s="686"/>
      <c r="AQ678" s="686"/>
      <c r="AR678" s="686"/>
      <c r="AS678" s="686"/>
      <c r="AT678" s="686"/>
      <c r="AU678" s="686"/>
      <c r="AV678" s="686"/>
      <c r="AW678" s="686"/>
      <c r="AX678" s="686"/>
      <c r="AY678" s="686"/>
      <c r="AZ678" s="686"/>
      <c r="BA678" s="686"/>
      <c r="BB678" s="686"/>
      <c r="BC678" s="686"/>
      <c r="BD678" s="686"/>
      <c r="BE678" s="686"/>
      <c r="BF678" s="686"/>
      <c r="BG678" s="686"/>
      <c r="BH678" s="686"/>
      <c r="BI678" s="686"/>
      <c r="BJ678" s="686"/>
      <c r="BK678" s="686"/>
      <c r="BL678" s="686"/>
      <c r="BM678" s="686"/>
      <c r="BN678" s="686"/>
      <c r="BO678" s="686"/>
      <c r="BP678" s="686"/>
      <c r="BQ678" s="686"/>
      <c r="BR678" s="686"/>
      <c r="BS678" s="686"/>
      <c r="BT678" s="686"/>
    </row>
    <row r="679" spans="1:72" s="688" customFormat="1" ht="16.149999999999999" hidden="1" customHeight="1" outlineLevel="1">
      <c r="A679" s="3227"/>
      <c r="B679" s="3228"/>
      <c r="C679" s="3182" t="s">
        <v>777</v>
      </c>
      <c r="D679" s="3182"/>
      <c r="E679" s="1579"/>
      <c r="F679" s="1016">
        <f>IF(SETUP!$F$52="Upfront",$E$678*'Malaria-Equipment &amp; Other HPs'!AX14,0)</f>
        <v>0</v>
      </c>
      <c r="G679" s="920">
        <f>IF(SETUP!$F$52="Upfront",$E$678*'Malaria-Equipment &amp; Other HPs'!AY14,0)</f>
        <v>0</v>
      </c>
      <c r="H679" s="920">
        <f>IF(SETUP!$F$52="Upfront",$E$678*'Malaria-Equipment &amp; Other HPs'!AZ14,0)</f>
        <v>0</v>
      </c>
      <c r="I679" s="920">
        <f>IF(SETUP!$F$52="Upfront",$E$678*'Malaria-Equipment &amp; Other HPs'!BA14,0)</f>
        <v>0</v>
      </c>
      <c r="J679" s="920">
        <f t="shared" si="105"/>
        <v>0</v>
      </c>
      <c r="K679" s="1016">
        <f>IF(SETUP!$F$52="Upfront",$E$678*'Malaria-Equipment &amp; Other HPs'!BB14,0)</f>
        <v>0</v>
      </c>
      <c r="L679" s="920">
        <f>IF(SETUP!$F$52="Upfront",$E$678*'Malaria-Equipment &amp; Other HPs'!BC14,0)</f>
        <v>0</v>
      </c>
      <c r="M679" s="920">
        <f>IF(SETUP!$F$52="Upfront",$E$678*'Malaria-Equipment &amp; Other HPs'!BD14,0)</f>
        <v>0</v>
      </c>
      <c r="N679" s="920">
        <f>IF(SETUP!$F$52="Upfront",$E$678*'Malaria-Equipment &amp; Other HPs'!BE14,0)</f>
        <v>0</v>
      </c>
      <c r="O679" s="920">
        <f t="shared" si="106"/>
        <v>0</v>
      </c>
      <c r="P679" s="1016">
        <f>IF(SETUP!$F$52="Upfront",$E$678*'Malaria-Equipment &amp; Other HPs'!BF14,0)</f>
        <v>0</v>
      </c>
      <c r="Q679" s="920">
        <f>IF(SETUP!$F$52="Upfront",$E$678*'Malaria-Equipment &amp; Other HPs'!BG14,0)</f>
        <v>0</v>
      </c>
      <c r="R679" s="920">
        <f>IF(SETUP!$F$52="Upfront",$E$678*'Malaria-Equipment &amp; Other HPs'!BH14,0)</f>
        <v>0</v>
      </c>
      <c r="S679" s="920">
        <f>IF(SETUP!$F$52="Upfront",$E$678*'Malaria-Equipment &amp; Other HPs'!BI14,0)</f>
        <v>0</v>
      </c>
      <c r="T679" s="920">
        <f t="shared" si="107"/>
        <v>0</v>
      </c>
      <c r="U679" s="1016">
        <f t="shared" si="108"/>
        <v>0</v>
      </c>
      <c r="V679" s="1344">
        <v>7.7</v>
      </c>
      <c r="W679" s="2011"/>
      <c r="X679" s="575"/>
      <c r="Y679" s="685"/>
      <c r="Z679" s="655"/>
      <c r="AA679" s="686"/>
      <c r="AB679" s="686"/>
      <c r="AC679" s="686"/>
      <c r="AD679" s="686"/>
      <c r="AE679" s="686"/>
      <c r="AF679" s="686"/>
      <c r="AG679" s="686"/>
      <c r="AH679" s="687"/>
      <c r="AI679" s="686"/>
      <c r="AJ679" s="686"/>
      <c r="AK679" s="686"/>
      <c r="AL679" s="686"/>
      <c r="AM679" s="686"/>
      <c r="AN679" s="686"/>
      <c r="AO679" s="686"/>
      <c r="AP679" s="686"/>
      <c r="AQ679" s="686"/>
      <c r="AR679" s="686"/>
      <c r="AS679" s="686"/>
      <c r="AT679" s="686"/>
      <c r="AU679" s="686"/>
      <c r="AV679" s="686"/>
      <c r="AW679" s="686"/>
      <c r="AX679" s="686"/>
      <c r="AY679" s="686"/>
      <c r="AZ679" s="686"/>
      <c r="BA679" s="686"/>
      <c r="BB679" s="686"/>
      <c r="BC679" s="686"/>
      <c r="BD679" s="686"/>
      <c r="BE679" s="686"/>
      <c r="BF679" s="686"/>
      <c r="BG679" s="686"/>
      <c r="BH679" s="686"/>
      <c r="BI679" s="686"/>
      <c r="BJ679" s="686"/>
      <c r="BK679" s="686"/>
      <c r="BL679" s="686"/>
      <c r="BM679" s="686"/>
      <c r="BN679" s="686"/>
      <c r="BO679" s="686"/>
      <c r="BP679" s="686"/>
      <c r="BQ679" s="686"/>
      <c r="BR679" s="686"/>
      <c r="BS679" s="686"/>
      <c r="BT679" s="686"/>
    </row>
    <row r="680" spans="1:72" s="688" customFormat="1" ht="17.25" hidden="1" customHeight="1" outlineLevel="1" thickBot="1">
      <c r="A680" s="3227"/>
      <c r="B680" s="3228"/>
      <c r="C680" s="3182" t="s">
        <v>36</v>
      </c>
      <c r="D680" s="3182"/>
      <c r="E680" s="1579"/>
      <c r="F680" s="1016">
        <v>0</v>
      </c>
      <c r="G680" s="920">
        <f>IF(SETUP!$F$52="At delivery",IF(SETUP!$G$52=1,$E$678*'Malaria-Equipment &amp; Other HPs'!AX14,0),0)</f>
        <v>0</v>
      </c>
      <c r="H680" s="920">
        <f>IF(SETUP!$F$52="At delivery",IF(SETUP!$G$52=2,$E$678*'Malaria-Equipment &amp; Other HPs'!AX14,IF(SETUP!$G$52=1,$E$678*'Malaria-Equipment &amp; Other HPs'!AY14,0)),0)</f>
        <v>0</v>
      </c>
      <c r="I680" s="920">
        <f>IF(SETUP!$F$52="At delivery",IF(SETUP!$G$52=3,$E$678*'Malaria-Equipment &amp; Other HPs'!AX14,IF(SETUP!$G$52=2,$E$678*'Malaria-Equipment &amp; Other HPs'!AY14,IF(SETUP!$G$52=1,$E$678*'Malaria-Equipment &amp; Other HPs'!AZ14,0))),0)</f>
        <v>0</v>
      </c>
      <c r="J680" s="920">
        <f t="shared" si="105"/>
        <v>0</v>
      </c>
      <c r="K680" s="1016">
        <f>IF(SETUP!$F$52="At delivery",IF(SETUP!$G$52=4,$E$678*'Malaria-Equipment &amp; Other HPs'!AX14,IF(SETUP!$G$52=3,$E$678*'Malaria-Equipment &amp; Other HPs'!AY14,IF(SETUP!$G$52=2,$E$678*'Malaria-Equipment &amp; Other HPs'!AZ14,IF(SETUP!$G$52=1,$E$678*'Malaria-Equipment &amp; Other HPs'!BA14,0)))),0)</f>
        <v>0</v>
      </c>
      <c r="L680" s="920">
        <f>IF(SETUP!$F$52="At delivery",IF(SETUP!$G$52=4,$E$678*'Malaria-Equipment &amp; Other HPs'!AY14,IF(SETUP!$G$52=3,$E$678*'Malaria-Equipment &amp; Other HPs'!AZ14,IF(SETUP!$G$52=2,$E$678*'Malaria-Equipment &amp; Other HPs'!BA14,IF(SETUP!$G$52=1,$E$678*'Malaria-Equipment &amp; Other HPs'!BB14,0)))),0)</f>
        <v>0</v>
      </c>
      <c r="M680" s="920">
        <f>IF(SETUP!$F$52="At delivery",IF(SETUP!$G$52=4,$E$678*'Malaria-Equipment &amp; Other HPs'!AZ14,IF(SETUP!$G$52=3,$E$678*'Malaria-Equipment &amp; Other HPs'!BA14,IF(SETUP!$G$52=2,$E$678*'Malaria-Equipment &amp; Other HPs'!BB14,IF(SETUP!$G$52=1,$E$678*'Malaria-Equipment &amp; Other HPs'!BC14,0)))),0)</f>
        <v>0</v>
      </c>
      <c r="N680" s="920">
        <f>IF(SETUP!$F$52="At delivery",IF(SETUP!$G$52=4,$E$678*'Malaria-Equipment &amp; Other HPs'!BA14,IF(SETUP!$G$52=3,$E$678*'Malaria-Equipment &amp; Other HPs'!BB14,IF(SETUP!$G$52=2,$E$678*'Malaria-Equipment &amp; Other HPs'!BC14,IF(SETUP!$G$52=1,$E$678*'Malaria-Equipment &amp; Other HPs'!BD14,0)))),0)</f>
        <v>0</v>
      </c>
      <c r="O680" s="920">
        <f t="shared" si="106"/>
        <v>0</v>
      </c>
      <c r="P680" s="1016">
        <f>IF(SETUP!$F$52="At delivery",IF(SETUP!$G$52=4,$E$678*'Malaria-Equipment &amp; Other HPs'!BB14,IF(SETUP!$G$52=3,$E$678*'Malaria-Equipment &amp; Other HPs'!BC14,IF(SETUP!$G$52=2,$E$678*'Malaria-Equipment &amp; Other HPs'!BD14,IF(SETUP!$G$52=1,$E$678*'Malaria-Equipment &amp; Other HPs'!BE14,0)))),0)</f>
        <v>0</v>
      </c>
      <c r="Q680" s="920">
        <f>IF(SETUP!$F$52="At delivery",IF(SETUP!$G$52=4,$E$678*'Malaria-Equipment &amp; Other HPs'!BC14,IF(SETUP!$G$52=3,$E$678*'Malaria-Equipment &amp; Other HPs'!BD14,IF(SETUP!$G$52=2,$E$678*'Malaria-Equipment &amp; Other HPs'!BE14,IF(SETUP!$G$52=1,$E$678*'Malaria-Equipment &amp; Other HPs'!BF14,0)))),0)</f>
        <v>0</v>
      </c>
      <c r="R680" s="920">
        <f>IF(SETUP!$F$52="At delivery",IF(SETUP!$G$52=4,$E$678*'Malaria-Equipment &amp; Other HPs'!BD14,IF(SETUP!$G$52=3,$E$678*'Malaria-Equipment &amp; Other HPs'!BE14,IF(SETUP!$G$52=2,$E$678*'Malaria-Equipment &amp; Other HPs'!BF14,IF(SETUP!$G$52=1,$E$678*'Malaria-Equipment &amp; Other HPs'!BG14,0)))),0)</f>
        <v>0</v>
      </c>
      <c r="S680" s="920">
        <f>IF(SETUP!$F$52="At delivery",IF(SETUP!$G$52=4,$E$678*('Malaria-Equipment &amp; Other HPs'!BE14+'Malaria-Equipment &amp; Other HPs'!BF14+'Malaria-Equipment &amp; Other HPs'!BG14+'Malaria-Equipment &amp; Other HPs'!BH14+'Malaria-Equipment &amp; Other HPs'!BI14),IF(SETUP!$G$52=3,$E$678*('Malaria-Equipment &amp; Other HPs'!BF14+'Malaria-Equipment &amp; Other HPs'!BG14+'Malaria-Equipment &amp; Other HPs'!BH14+'Malaria-Equipment &amp; Other HPs'!BI14),IF(SETUP!$G$52=2,$E$678*('Malaria-Equipment &amp; Other HPs'!BG14+'Malaria-Equipment &amp; Other HPs'!BH14+'Malaria-Equipment &amp; Other HPs'!BI14),IF(SETUP!$G$52=1,$E$678*('Malaria-Equipment &amp; Other HPs'!BH14+'Malaria-Equipment &amp; Other HPs'!BI14),0)))),0)</f>
        <v>0</v>
      </c>
      <c r="T680" s="920">
        <f t="shared" si="107"/>
        <v>0</v>
      </c>
      <c r="U680" s="1016">
        <f t="shared" si="108"/>
        <v>0</v>
      </c>
      <c r="V680" s="1344">
        <v>7.7</v>
      </c>
      <c r="W680" s="2011"/>
      <c r="X680" s="575"/>
      <c r="Y680" s="685"/>
      <c r="Z680" s="655"/>
      <c r="AA680" s="686"/>
      <c r="AB680" s="686"/>
      <c r="AC680" s="686"/>
      <c r="AD680" s="686"/>
      <c r="AE680" s="686"/>
      <c r="AF680" s="686"/>
      <c r="AG680" s="686"/>
      <c r="AH680" s="687"/>
      <c r="AI680" s="686"/>
      <c r="AJ680" s="686"/>
      <c r="AK680" s="686"/>
      <c r="AL680" s="686"/>
      <c r="AM680" s="686"/>
      <c r="AN680" s="686"/>
      <c r="AO680" s="686"/>
      <c r="AP680" s="686"/>
      <c r="AQ680" s="686"/>
      <c r="AR680" s="686"/>
      <c r="AS680" s="686"/>
      <c r="AT680" s="686"/>
      <c r="AU680" s="686"/>
      <c r="AV680" s="686"/>
      <c r="AW680" s="686"/>
      <c r="AX680" s="686"/>
      <c r="AY680" s="686"/>
      <c r="AZ680" s="686"/>
      <c r="BA680" s="686"/>
      <c r="BB680" s="686"/>
      <c r="BC680" s="686"/>
      <c r="BD680" s="686"/>
      <c r="BE680" s="686"/>
      <c r="BF680" s="686"/>
      <c r="BG680" s="686"/>
      <c r="BH680" s="686"/>
      <c r="BI680" s="686"/>
      <c r="BJ680" s="686"/>
      <c r="BK680" s="686"/>
      <c r="BL680" s="686"/>
      <c r="BM680" s="686"/>
      <c r="BN680" s="686"/>
      <c r="BO680" s="686"/>
      <c r="BP680" s="686"/>
      <c r="BQ680" s="686"/>
      <c r="BR680" s="686"/>
      <c r="BS680" s="686"/>
      <c r="BT680" s="686"/>
    </row>
    <row r="681" spans="1:72" s="688" customFormat="1" ht="13" hidden="1" collapsed="1">
      <c r="A681" s="3227"/>
      <c r="B681" s="3228"/>
      <c r="C681" s="3188" t="s">
        <v>455</v>
      </c>
      <c r="D681" s="3188"/>
      <c r="E681" s="1245">
        <v>0</v>
      </c>
      <c r="F681" s="1016">
        <f>IF(SETUP!$F$53="Upfront",F682,F683)</f>
        <v>0</v>
      </c>
      <c r="G681" s="920">
        <f>IF(SETUP!$F$53="Upfront",G682,G683)</f>
        <v>0</v>
      </c>
      <c r="H681" s="920">
        <f>IF(SETUP!$F$53="Upfront",H682,H683)</f>
        <v>0</v>
      </c>
      <c r="I681" s="920">
        <f>IF(SETUP!$F$53="Upfront",I682,I683)</f>
        <v>0</v>
      </c>
      <c r="J681" s="920">
        <f t="shared" si="105"/>
        <v>0</v>
      </c>
      <c r="K681" s="1016">
        <f>IF(SETUP!$F$53="Upfront",K682,K683)</f>
        <v>0</v>
      </c>
      <c r="L681" s="920">
        <f>IF(SETUP!$F$53="Upfront",L682,L683)</f>
        <v>0</v>
      </c>
      <c r="M681" s="920">
        <f>IF(SETUP!$F$53="Upfront",M682,M683)</f>
        <v>0</v>
      </c>
      <c r="N681" s="920">
        <f>IF(SETUP!$F$53="Upfront",N682,N683)</f>
        <v>0</v>
      </c>
      <c r="O681" s="920">
        <f t="shared" si="106"/>
        <v>0</v>
      </c>
      <c r="P681" s="1016">
        <f>IF(SETUP!$F$53="Upfront",P682,P683)</f>
        <v>0</v>
      </c>
      <c r="Q681" s="920">
        <f>IF(SETUP!$F$53="Upfront",Q682,Q683)</f>
        <v>0</v>
      </c>
      <c r="R681" s="920">
        <f>IF(SETUP!$F$53="Upfront",R682,R683)</f>
        <v>0</v>
      </c>
      <c r="S681" s="920">
        <f>IF(SETUP!$F$53="Upfront",S682,S683)</f>
        <v>0</v>
      </c>
      <c r="T681" s="920">
        <f t="shared" si="107"/>
        <v>0</v>
      </c>
      <c r="U681" s="1016">
        <f t="shared" si="108"/>
        <v>0</v>
      </c>
      <c r="V681" s="1344">
        <v>7.7</v>
      </c>
      <c r="W681" s="2011"/>
      <c r="X681" s="575"/>
      <c r="Y681" s="685"/>
      <c r="Z681" s="655"/>
      <c r="AA681" s="686"/>
      <c r="AB681" s="686"/>
      <c r="AC681" s="686"/>
      <c r="AD681" s="686"/>
      <c r="AE681" s="686"/>
      <c r="AF681" s="686"/>
      <c r="AG681" s="686"/>
      <c r="AH681" s="687"/>
      <c r="AI681" s="686"/>
      <c r="AJ681" s="686"/>
      <c r="AK681" s="686"/>
      <c r="AL681" s="686"/>
      <c r="AM681" s="686"/>
      <c r="AN681" s="686"/>
      <c r="AO681" s="686"/>
      <c r="AP681" s="686"/>
      <c r="AQ681" s="686"/>
      <c r="AR681" s="686"/>
      <c r="AS681" s="686"/>
      <c r="AT681" s="686"/>
      <c r="AU681" s="686"/>
      <c r="AV681" s="686"/>
      <c r="AW681" s="686"/>
      <c r="AX681" s="686"/>
      <c r="AY681" s="686"/>
      <c r="AZ681" s="686"/>
      <c r="BA681" s="686"/>
      <c r="BB681" s="686"/>
      <c r="BC681" s="686"/>
      <c r="BD681" s="686"/>
      <c r="BE681" s="686"/>
      <c r="BF681" s="686"/>
      <c r="BG681" s="686"/>
      <c r="BH681" s="686"/>
      <c r="BI681" s="686"/>
      <c r="BJ681" s="686"/>
      <c r="BK681" s="686"/>
      <c r="BL681" s="686"/>
      <c r="BM681" s="686"/>
      <c r="BN681" s="686"/>
      <c r="BO681" s="686"/>
      <c r="BP681" s="686"/>
      <c r="BQ681" s="686"/>
      <c r="BR681" s="686"/>
      <c r="BS681" s="686"/>
      <c r="BT681" s="686"/>
    </row>
    <row r="682" spans="1:72" s="688" customFormat="1" ht="16.149999999999999" hidden="1" customHeight="1" outlineLevel="1">
      <c r="A682" s="3227"/>
      <c r="B682" s="3228"/>
      <c r="C682" s="3182" t="s">
        <v>777</v>
      </c>
      <c r="D682" s="3182"/>
      <c r="E682" s="1579"/>
      <c r="F682" s="1016">
        <f>IF(SETUP!$F$53="Upfront",$E$681*'Malaria-Equipment &amp; Other HPs'!AX15,0)</f>
        <v>0</v>
      </c>
      <c r="G682" s="920">
        <f>IF(SETUP!$F$53="Upfront",$E$681*'Malaria-Equipment &amp; Other HPs'!AY15,0)</f>
        <v>0</v>
      </c>
      <c r="H682" s="920">
        <f>IF(SETUP!$F$53="Upfront",$E$681*'Malaria-Equipment &amp; Other HPs'!AZ15,0)</f>
        <v>0</v>
      </c>
      <c r="I682" s="920">
        <f>IF(SETUP!$F$53="Upfront",$E$681*'Malaria-Equipment &amp; Other HPs'!BA15,0)</f>
        <v>0</v>
      </c>
      <c r="J682" s="920">
        <f t="shared" si="105"/>
        <v>0</v>
      </c>
      <c r="K682" s="1016">
        <f>IF(SETUP!$F$53="Upfront",$E$681*'Malaria-Equipment &amp; Other HPs'!BB15,0)</f>
        <v>0</v>
      </c>
      <c r="L682" s="920">
        <f>IF(SETUP!$F$53="Upfront",$E$681*'Malaria-Equipment &amp; Other HPs'!BC15,0)</f>
        <v>0</v>
      </c>
      <c r="M682" s="920">
        <f>IF(SETUP!$F$53="Upfront",$E$681*'Malaria-Equipment &amp; Other HPs'!BD15,0)</f>
        <v>0</v>
      </c>
      <c r="N682" s="920">
        <f>IF(SETUP!$F$53="Upfront",$E$681*'Malaria-Equipment &amp; Other HPs'!BE15,0)</f>
        <v>0</v>
      </c>
      <c r="O682" s="920">
        <f t="shared" si="106"/>
        <v>0</v>
      </c>
      <c r="P682" s="1016">
        <f>IF(SETUP!$F$53="Upfront",$E$681*'Malaria-Equipment &amp; Other HPs'!BF15,0)</f>
        <v>0</v>
      </c>
      <c r="Q682" s="920">
        <f>IF(SETUP!$F$53="Upfront",$E$681*'Malaria-Equipment &amp; Other HPs'!BG15,0)</f>
        <v>0</v>
      </c>
      <c r="R682" s="920">
        <f>IF(SETUP!$F$53="Upfront",$E$681*'Malaria-Equipment &amp; Other HPs'!BH15,0)</f>
        <v>0</v>
      </c>
      <c r="S682" s="920">
        <f>IF(SETUP!$F$53="Upfront",$E$681*'Malaria-Equipment &amp; Other HPs'!BI15,0)</f>
        <v>0</v>
      </c>
      <c r="T682" s="920">
        <f t="shared" si="107"/>
        <v>0</v>
      </c>
      <c r="U682" s="1016">
        <f t="shared" si="108"/>
        <v>0</v>
      </c>
      <c r="V682" s="1344">
        <v>7.7</v>
      </c>
      <c r="W682" s="2011"/>
      <c r="X682" s="575"/>
      <c r="Y682" s="685"/>
      <c r="Z682" s="655"/>
      <c r="AA682" s="686"/>
      <c r="AB682" s="686"/>
      <c r="AC682" s="686"/>
      <c r="AD682" s="686"/>
      <c r="AE682" s="686"/>
      <c r="AF682" s="686"/>
      <c r="AG682" s="686"/>
      <c r="AH682" s="687"/>
      <c r="AI682" s="686"/>
      <c r="AJ682" s="686"/>
      <c r="AK682" s="686"/>
      <c r="AL682" s="686"/>
      <c r="AM682" s="686"/>
      <c r="AN682" s="686"/>
      <c r="AO682" s="686"/>
      <c r="AP682" s="686"/>
      <c r="AQ682" s="686"/>
      <c r="AR682" s="686"/>
      <c r="AS682" s="686"/>
      <c r="AT682" s="686"/>
      <c r="AU682" s="686"/>
      <c r="AV682" s="686"/>
      <c r="AW682" s="686"/>
      <c r="AX682" s="686"/>
      <c r="AY682" s="686"/>
      <c r="AZ682" s="686"/>
      <c r="BA682" s="686"/>
      <c r="BB682" s="686"/>
      <c r="BC682" s="686"/>
      <c r="BD682" s="686"/>
      <c r="BE682" s="686"/>
      <c r="BF682" s="686"/>
      <c r="BG682" s="686"/>
      <c r="BH682" s="686"/>
      <c r="BI682" s="686"/>
      <c r="BJ682" s="686"/>
      <c r="BK682" s="686"/>
      <c r="BL682" s="686"/>
      <c r="BM682" s="686"/>
      <c r="BN682" s="686"/>
      <c r="BO682" s="686"/>
      <c r="BP682" s="686"/>
      <c r="BQ682" s="686"/>
      <c r="BR682" s="686"/>
      <c r="BS682" s="686"/>
      <c r="BT682" s="686"/>
    </row>
    <row r="683" spans="1:72" s="688" customFormat="1" ht="17.25" hidden="1" customHeight="1" outlineLevel="1">
      <c r="A683" s="3227"/>
      <c r="B683" s="3228"/>
      <c r="C683" s="3182" t="s">
        <v>36</v>
      </c>
      <c r="D683" s="3182"/>
      <c r="E683" s="1580"/>
      <c r="F683" s="1016">
        <v>0</v>
      </c>
      <c r="G683" s="920">
        <f>IF(SETUP!$F$53="At delivery",IF(SETUP!$G$53=1,$E$681*'Malaria-Equipment &amp; Other HPs'!AX15,0),0)</f>
        <v>0</v>
      </c>
      <c r="H683" s="920">
        <f>IF(SETUP!$F$53="At delivery",IF(SETUP!$G$53=2,$E$681*'Malaria-Equipment &amp; Other HPs'!AX15,IF(SETUP!$G$53=1,$E$681*'Malaria-Equipment &amp; Other HPs'!AY15,0)),0)</f>
        <v>0</v>
      </c>
      <c r="I683" s="920">
        <f>IF(SETUP!$F$53="At delivery",IF(SETUP!$G$53=3,$E$681*'Malaria-Equipment &amp; Other HPs'!AX15,IF(SETUP!$G$53=2,$E$681*'Malaria-Equipment &amp; Other HPs'!AY15,IF(SETUP!$G$53=1,$E$681*'Malaria-Equipment &amp; Other HPs'!AZ15,0))),0)</f>
        <v>0</v>
      </c>
      <c r="J683" s="920">
        <f t="shared" si="105"/>
        <v>0</v>
      </c>
      <c r="K683" s="1016">
        <f>IF(SETUP!$F$53="At delivery",IF(SETUP!$G$53=4,$E$681*'Malaria-Equipment &amp; Other HPs'!AX15,IF(SETUP!$G$53=3,$E$681*'Malaria-Equipment &amp; Other HPs'!AY15,IF(SETUP!$G$53=2,$E$681*'Malaria-Equipment &amp; Other HPs'!AZ15,IF(SETUP!$G$53=1,$E$681*'Malaria-Equipment &amp; Other HPs'!BA15,0)))),0)</f>
        <v>0</v>
      </c>
      <c r="L683" s="920">
        <f>IF(SETUP!$F$53="At delivery",IF(SETUP!$G$53=4,$E$681*'Malaria-Equipment &amp; Other HPs'!AY15,IF(SETUP!$G$53=3,$E$681*'Malaria-Equipment &amp; Other HPs'!AZ15,IF(SETUP!$G$53=2,$E$681*'Malaria-Equipment &amp; Other HPs'!BA15,IF(SETUP!$G$53=1,$E$681*'Malaria-Equipment &amp; Other HPs'!BB15,0)))),0)</f>
        <v>0</v>
      </c>
      <c r="M683" s="920">
        <f>IF(SETUP!$F$53="At delivery",IF(SETUP!$G$53=4,$E$681*'Malaria-Equipment &amp; Other HPs'!AZ15,IF(SETUP!$G$53=3,$E$681*'Malaria-Equipment &amp; Other HPs'!BA15,IF(SETUP!$G$53=2,$E$681*'Malaria-Equipment &amp; Other HPs'!BB15,IF(SETUP!$G$53=1,$E$681*'Malaria-Equipment &amp; Other HPs'!BC15,0)))),0)</f>
        <v>0</v>
      </c>
      <c r="N683" s="920">
        <f>IF(SETUP!$F$53="At delivery",IF(SETUP!$G$53=4,$E$681*'Malaria-Equipment &amp; Other HPs'!BA15,IF(SETUP!$G$53=3,$E$681*'Malaria-Equipment &amp; Other HPs'!BB15,IF(SETUP!$G$53=2,$E$681*'Malaria-Equipment &amp; Other HPs'!BC15,IF(SETUP!$G$53=1,$E$681*'Malaria-Equipment &amp; Other HPs'!BD15,0)))),0)</f>
        <v>0</v>
      </c>
      <c r="O683" s="920">
        <f t="shared" si="106"/>
        <v>0</v>
      </c>
      <c r="P683" s="1016">
        <f>IF(SETUP!$F$53="At delivery",IF(SETUP!$G$53=4,$E$681*'Malaria-Equipment &amp; Other HPs'!BB15,IF(SETUP!$G$53=3,$E$681*'Malaria-Equipment &amp; Other HPs'!BC15,IF(SETUP!$G$53=2,$E$681*'Malaria-Equipment &amp; Other HPs'!BD15,IF(SETUP!$G$53=1,$E$681*'Malaria-Equipment &amp; Other HPs'!BE15,0)))),0)</f>
        <v>0</v>
      </c>
      <c r="Q683" s="920">
        <f>IF(SETUP!$F$53="At delivery",IF(SETUP!$G$53=4,$E$681*'Malaria-Equipment &amp; Other HPs'!BC15,IF(SETUP!$G$53=3,$E$681*'Malaria-Equipment &amp; Other HPs'!BD15,IF(SETUP!$G$53=2,$E$681*'Malaria-Equipment &amp; Other HPs'!BE15,IF(SETUP!$G$53=1,$E$681*'Malaria-Equipment &amp; Other HPs'!BF15,0)))),0)</f>
        <v>0</v>
      </c>
      <c r="R683" s="920">
        <f>IF(SETUP!$F$53="At delivery",IF(SETUP!$G$53=4,$E$681*'Malaria-Equipment &amp; Other HPs'!BD15,IF(SETUP!$G$53=3,$E$681*'Malaria-Equipment &amp; Other HPs'!BE15,IF(SETUP!$G$53=2,$E$681*'Malaria-Equipment &amp; Other HPs'!BF15,IF(SETUP!$G$53=1,$E$681*'Malaria-Equipment &amp; Other HPs'!BG15,0)))),0)</f>
        <v>0</v>
      </c>
      <c r="S683" s="920">
        <f>IF(SETUP!$F$53="At delivery",IF(SETUP!$G$53=4,$E$681*('Malaria-Equipment &amp; Other HPs'!BE15+'Malaria-Equipment &amp; Other HPs'!BF15+'Malaria-Equipment &amp; Other HPs'!BG15+'Malaria-Equipment &amp; Other HPs'!BH15+'Malaria-Equipment &amp; Other HPs'!BI15),IF(SETUP!$G$53=3,$E$681*('Malaria-Equipment &amp; Other HPs'!BF15+'Malaria-Equipment &amp; Other HPs'!BG15+'Malaria-Equipment &amp; Other HPs'!BH15+'Malaria-Equipment &amp; Other HPs'!BI15),IF(SETUP!$G$53=2,$E$681*('Malaria-Equipment &amp; Other HPs'!BG15+'Malaria-Equipment &amp; Other HPs'!BH15+'Malaria-Equipment &amp; Other HPs'!BI15),IF(SETUP!$G$53=1,$E$681*('Malaria-Equipment &amp; Other HPs'!BH15+'Malaria-Equipment &amp; Other HPs'!BI15),0)))),0)</f>
        <v>0</v>
      </c>
      <c r="T683" s="920">
        <f t="shared" si="107"/>
        <v>0</v>
      </c>
      <c r="U683" s="1016">
        <f t="shared" si="108"/>
        <v>0</v>
      </c>
      <c r="V683" s="1344">
        <v>7.7</v>
      </c>
      <c r="W683" s="2011"/>
      <c r="X683" s="575"/>
      <c r="Y683" s="685"/>
      <c r="Z683" s="655"/>
      <c r="AA683" s="686"/>
      <c r="AB683" s="686"/>
      <c r="AC683" s="686"/>
      <c r="AD683" s="686"/>
      <c r="AE683" s="686"/>
      <c r="AF683" s="686"/>
      <c r="AG683" s="686"/>
      <c r="AH683" s="687"/>
      <c r="AI683" s="686"/>
      <c r="AJ683" s="686"/>
      <c r="AK683" s="686"/>
      <c r="AL683" s="686"/>
      <c r="AM683" s="686"/>
      <c r="AN683" s="686"/>
      <c r="AO683" s="686"/>
      <c r="AP683" s="686"/>
      <c r="AQ683" s="686"/>
      <c r="AR683" s="686"/>
      <c r="AS683" s="686"/>
      <c r="AT683" s="686"/>
      <c r="AU683" s="686"/>
      <c r="AV683" s="686"/>
      <c r="AW683" s="686"/>
      <c r="AX683" s="686"/>
      <c r="AY683" s="686"/>
      <c r="AZ683" s="686"/>
      <c r="BA683" s="686"/>
      <c r="BB683" s="686"/>
      <c r="BC683" s="686"/>
      <c r="BD683" s="686"/>
      <c r="BE683" s="686"/>
      <c r="BF683" s="686"/>
      <c r="BG683" s="686"/>
      <c r="BH683" s="686"/>
      <c r="BI683" s="686"/>
      <c r="BJ683" s="686"/>
      <c r="BK683" s="686"/>
      <c r="BL683" s="686"/>
      <c r="BM683" s="686"/>
      <c r="BN683" s="686"/>
      <c r="BO683" s="686"/>
      <c r="BP683" s="686"/>
      <c r="BQ683" s="686"/>
      <c r="BR683" s="686"/>
      <c r="BS683" s="686"/>
      <c r="BT683" s="686"/>
    </row>
    <row r="684" spans="1:72" s="688" customFormat="1" ht="13" hidden="1" collapsed="1">
      <c r="A684" s="3227"/>
      <c r="B684" s="3228"/>
      <c r="C684" s="3188" t="s">
        <v>456</v>
      </c>
      <c r="D684" s="3188"/>
      <c r="E684" s="3177">
        <v>0</v>
      </c>
      <c r="F684" s="1016">
        <f>IF(SETUP!$F$54="Upfront",F685,F686)</f>
        <v>0</v>
      </c>
      <c r="G684" s="920">
        <f>IF(SETUP!$F$54="Upfront",G685,G686)</f>
        <v>0</v>
      </c>
      <c r="H684" s="920">
        <f>IF(SETUP!$F$54="Upfront",H685,H686)</f>
        <v>0</v>
      </c>
      <c r="I684" s="920">
        <f>IF(SETUP!$F$54="Upfront",I685,I686)</f>
        <v>0</v>
      </c>
      <c r="J684" s="920">
        <f t="shared" si="105"/>
        <v>0</v>
      </c>
      <c r="K684" s="1016">
        <f>IF(SETUP!$F$54="Upfront",K685,K686)</f>
        <v>0</v>
      </c>
      <c r="L684" s="920">
        <f>IF(SETUP!$F$54="Upfront",L685,L686)</f>
        <v>0</v>
      </c>
      <c r="M684" s="920">
        <f>IF(SETUP!$F$54="Upfront",M685,M686)</f>
        <v>0</v>
      </c>
      <c r="N684" s="920">
        <f>IF(SETUP!$F$54="Upfront",N685,N686)</f>
        <v>0</v>
      </c>
      <c r="O684" s="920">
        <f t="shared" si="106"/>
        <v>0</v>
      </c>
      <c r="P684" s="1016">
        <f>IF(SETUP!$F$54="Upfront",P685,P686)</f>
        <v>0</v>
      </c>
      <c r="Q684" s="920">
        <f>IF(SETUP!$F$54="Upfront",Q685,Q686)</f>
        <v>0</v>
      </c>
      <c r="R684" s="920">
        <f>IF(SETUP!$F$54="Upfront",R685,R686)</f>
        <v>0</v>
      </c>
      <c r="S684" s="920">
        <f>IF(SETUP!$F$54="Upfront",S685,S686)</f>
        <v>0</v>
      </c>
      <c r="T684" s="920">
        <f t="shared" si="107"/>
        <v>0</v>
      </c>
      <c r="U684" s="1016">
        <f t="shared" si="108"/>
        <v>0</v>
      </c>
      <c r="V684" s="1344">
        <v>7.7</v>
      </c>
      <c r="W684" s="2011"/>
      <c r="X684" s="575"/>
      <c r="Y684" s="685"/>
      <c r="Z684" s="655"/>
      <c r="AA684" s="686"/>
      <c r="AB684" s="686"/>
      <c r="AC684" s="686"/>
      <c r="AD684" s="686"/>
      <c r="AE684" s="686"/>
      <c r="AF684" s="686"/>
      <c r="AG684" s="686"/>
      <c r="AH684" s="687"/>
      <c r="AI684" s="686"/>
      <c r="AJ684" s="686"/>
      <c r="AK684" s="686"/>
      <c r="AL684" s="686"/>
      <c r="AM684" s="686"/>
      <c r="AN684" s="686"/>
      <c r="AO684" s="686"/>
      <c r="AP684" s="686"/>
      <c r="AQ684" s="686"/>
      <c r="AR684" s="686"/>
      <c r="AS684" s="686"/>
      <c r="AT684" s="686"/>
      <c r="AU684" s="686"/>
      <c r="AV684" s="686"/>
      <c r="AW684" s="686"/>
      <c r="AX684" s="686"/>
      <c r="AY684" s="686"/>
      <c r="AZ684" s="686"/>
      <c r="BA684" s="686"/>
      <c r="BB684" s="686"/>
      <c r="BC684" s="686"/>
      <c r="BD684" s="686"/>
      <c r="BE684" s="686"/>
      <c r="BF684" s="686"/>
      <c r="BG684" s="686"/>
      <c r="BH684" s="686"/>
      <c r="BI684" s="686"/>
      <c r="BJ684" s="686"/>
      <c r="BK684" s="686"/>
      <c r="BL684" s="686"/>
      <c r="BM684" s="686"/>
      <c r="BN684" s="686"/>
      <c r="BO684" s="686"/>
      <c r="BP684" s="686"/>
      <c r="BQ684" s="686"/>
      <c r="BR684" s="686"/>
      <c r="BS684" s="686"/>
      <c r="BT684" s="686"/>
    </row>
    <row r="685" spans="1:72" s="688" customFormat="1" ht="16.149999999999999" hidden="1" customHeight="1" outlineLevel="1">
      <c r="A685" s="3227"/>
      <c r="B685" s="3228"/>
      <c r="C685" s="3182" t="s">
        <v>777</v>
      </c>
      <c r="D685" s="3182"/>
      <c r="E685" s="3178"/>
      <c r="F685" s="1016">
        <f>IF(SETUP!$F$54="Upfront",$E$684*'Malaria-Equipment &amp; Other HPs'!AX16,0)</f>
        <v>0</v>
      </c>
      <c r="G685" s="920">
        <f>IF(SETUP!$F$54="Upfront",$E$684*'Malaria-Equipment &amp; Other HPs'!AY16,0)</f>
        <v>0</v>
      </c>
      <c r="H685" s="920">
        <f>IF(SETUP!$F$54="Upfront",$E$684*'Malaria-Equipment &amp; Other HPs'!AZ16,0)</f>
        <v>0</v>
      </c>
      <c r="I685" s="920">
        <f>IF(SETUP!$F$54="Upfront",$E$684*'Malaria-Equipment &amp; Other HPs'!BA16,0)</f>
        <v>0</v>
      </c>
      <c r="J685" s="920">
        <f t="shared" si="105"/>
        <v>0</v>
      </c>
      <c r="K685" s="1016">
        <f>IF(SETUP!$F$54="Upfront",$E$684*'Malaria-Equipment &amp; Other HPs'!BB16,0)</f>
        <v>0</v>
      </c>
      <c r="L685" s="920">
        <f>IF(SETUP!$F$54="Upfront",$E$684*'Malaria-Equipment &amp; Other HPs'!BC16,0)</f>
        <v>0</v>
      </c>
      <c r="M685" s="920">
        <f>IF(SETUP!$F$54="Upfront",$E$684*'Malaria-Equipment &amp; Other HPs'!BD16,0)</f>
        <v>0</v>
      </c>
      <c r="N685" s="920">
        <f>IF(SETUP!$F$54="Upfront",$E$684*'Malaria-Equipment &amp; Other HPs'!BE16,0)</f>
        <v>0</v>
      </c>
      <c r="O685" s="920">
        <f t="shared" si="106"/>
        <v>0</v>
      </c>
      <c r="P685" s="1016">
        <f>IF(SETUP!$F$54="Upfront",$E$684*'Malaria-Equipment &amp; Other HPs'!BF16,0)</f>
        <v>0</v>
      </c>
      <c r="Q685" s="920">
        <f>IF(SETUP!$F$54="Upfront",$E$684*'Malaria-Equipment &amp; Other HPs'!BG16,0)</f>
        <v>0</v>
      </c>
      <c r="R685" s="920">
        <f>IF(SETUP!$F$54="Upfront",$E$684*'Malaria-Equipment &amp; Other HPs'!BH16,0)</f>
        <v>0</v>
      </c>
      <c r="S685" s="920">
        <f>IF(SETUP!$F$54="Upfront",$E$684*'Malaria-Equipment &amp; Other HPs'!BI16,0)</f>
        <v>0</v>
      </c>
      <c r="T685" s="920">
        <f t="shared" si="107"/>
        <v>0</v>
      </c>
      <c r="U685" s="1016">
        <f t="shared" si="108"/>
        <v>0</v>
      </c>
      <c r="V685" s="1344">
        <v>7.7</v>
      </c>
      <c r="W685" s="2011"/>
      <c r="X685" s="575"/>
      <c r="Y685" s="685"/>
      <c r="Z685" s="655"/>
      <c r="AA685" s="686"/>
      <c r="AB685" s="686"/>
      <c r="AC685" s="686"/>
      <c r="AD685" s="686"/>
      <c r="AE685" s="686"/>
      <c r="AF685" s="686"/>
      <c r="AG685" s="686"/>
      <c r="AH685" s="687"/>
      <c r="AI685" s="686"/>
      <c r="AJ685" s="686"/>
      <c r="AK685" s="686"/>
      <c r="AL685" s="686"/>
      <c r="AM685" s="686"/>
      <c r="AN685" s="686"/>
      <c r="AO685" s="686"/>
      <c r="AP685" s="686"/>
      <c r="AQ685" s="686"/>
      <c r="AR685" s="686"/>
      <c r="AS685" s="686"/>
      <c r="AT685" s="686"/>
      <c r="AU685" s="686"/>
      <c r="AV685" s="686"/>
      <c r="AW685" s="686"/>
      <c r="AX685" s="686"/>
      <c r="AY685" s="686"/>
      <c r="AZ685" s="686"/>
      <c r="BA685" s="686"/>
      <c r="BB685" s="686"/>
      <c r="BC685" s="686"/>
      <c r="BD685" s="686"/>
      <c r="BE685" s="686"/>
      <c r="BF685" s="686"/>
      <c r="BG685" s="686"/>
      <c r="BH685" s="686"/>
      <c r="BI685" s="686"/>
      <c r="BJ685" s="686"/>
      <c r="BK685" s="686"/>
      <c r="BL685" s="686"/>
      <c r="BM685" s="686"/>
      <c r="BN685" s="686"/>
      <c r="BO685" s="686"/>
      <c r="BP685" s="686"/>
      <c r="BQ685" s="686"/>
      <c r="BR685" s="686"/>
      <c r="BS685" s="686"/>
      <c r="BT685" s="686"/>
    </row>
    <row r="686" spans="1:72" s="688" customFormat="1" ht="17.25" hidden="1" customHeight="1" outlineLevel="1">
      <c r="A686" s="3227"/>
      <c r="B686" s="3228"/>
      <c r="C686" s="3182" t="s">
        <v>36</v>
      </c>
      <c r="D686" s="3182"/>
      <c r="E686" s="3178"/>
      <c r="F686" s="1016">
        <v>0</v>
      </c>
      <c r="G686" s="920">
        <f>IF(SETUP!$F$54="At delivery",IF(SETUP!$G$54=1,$E$684*'Malaria-Equipment &amp; Other HPs'!AX16,0),0)</f>
        <v>0</v>
      </c>
      <c r="H686" s="920">
        <f>IF(SETUP!$F$54="At delivery",IF(SETUP!$G$54=2,$E$684*'Malaria-Equipment &amp; Other HPs'!AX16,IF(SETUP!$G$54=1,$E$684*'Malaria-Equipment &amp; Other HPs'!AY16,0)),0)</f>
        <v>0</v>
      </c>
      <c r="I686" s="920">
        <f>IF(SETUP!$F$54="At delivery",IF(SETUP!$G$54=3,$E$684*'Malaria-Equipment &amp; Other HPs'!AX16,IF(SETUP!$G$54=2,$E$684*'Malaria-Equipment &amp; Other HPs'!AY16,IF(SETUP!$G$54=1,$E$684*'Malaria-Equipment &amp; Other HPs'!AZ16,0))),0)</f>
        <v>0</v>
      </c>
      <c r="J686" s="920">
        <f t="shared" si="105"/>
        <v>0</v>
      </c>
      <c r="K686" s="1016">
        <f>IF(SETUP!$F$54="At delivery",IF(SETUP!$G$54=4,$E$684*'Malaria-Equipment &amp; Other HPs'!AX16,IF(SETUP!$G$54=3,$E$684*'Malaria-Equipment &amp; Other HPs'!AY16,IF(SETUP!$G$54=2,$E$684*'Malaria-Equipment &amp; Other HPs'!AZ16,IF(SETUP!$G$54=1,$E$684*'Malaria-Equipment &amp; Other HPs'!BA16,0)))),0)</f>
        <v>0</v>
      </c>
      <c r="L686" s="920">
        <f>IF(SETUP!$F$54="At delivery",IF(SETUP!$G$54=4,$E$684*'Malaria-Equipment &amp; Other HPs'!AY16,IF(SETUP!$G$54=3,$E$684*'Malaria-Equipment &amp; Other HPs'!AZ16,IF(SETUP!$G$54=2,$E$684*'Malaria-Equipment &amp; Other HPs'!BA16,IF(SETUP!$G$54=1,$E$684*'Malaria-Equipment &amp; Other HPs'!BB16,0)))),0)</f>
        <v>0</v>
      </c>
      <c r="M686" s="920">
        <f>IF(SETUP!$F$54="At delivery",IF(SETUP!$G$54=4,$E$684*'Malaria-Equipment &amp; Other HPs'!AZ16,IF(SETUP!$G$54=3,$E$684*'Malaria-Equipment &amp; Other HPs'!BA16,IF(SETUP!$G$54=2,$E$684*'Malaria-Equipment &amp; Other HPs'!BB16,IF(SETUP!$G$54=1,$E$684*'Malaria-Equipment &amp; Other HPs'!BC16,0)))),0)</f>
        <v>0</v>
      </c>
      <c r="N686" s="920">
        <f>IF(SETUP!$F$54="At delivery",IF(SETUP!$G$54=4,$E$684*'Malaria-Equipment &amp; Other HPs'!BA16,IF(SETUP!$G$54=3,$E$684*'Malaria-Equipment &amp; Other HPs'!BB16,IF(SETUP!$G$54=2,$E$684*'Malaria-Equipment &amp; Other HPs'!BC16,IF(SETUP!$G$54=1,$E$684*'Malaria-Equipment &amp; Other HPs'!BD16,0)))),0)</f>
        <v>0</v>
      </c>
      <c r="O686" s="920">
        <f t="shared" si="106"/>
        <v>0</v>
      </c>
      <c r="P686" s="1016">
        <f>IF(SETUP!$F$54="At delivery",IF(SETUP!$G$54=4,$E$684*'Malaria-Equipment &amp; Other HPs'!BB16,IF(SETUP!$G$54=3,$E$684*'Malaria-Equipment &amp; Other HPs'!BC16,IF(SETUP!$G$54=2,$E$684*'Malaria-Equipment &amp; Other HPs'!BD16,IF(SETUP!$G$54=1,$E$684*'Malaria-Equipment &amp; Other HPs'!BE16,0)))),0)</f>
        <v>0</v>
      </c>
      <c r="Q686" s="920">
        <f>IF(SETUP!$F$54="At delivery",IF(SETUP!$G$54=4,$E$684*'Malaria-Equipment &amp; Other HPs'!BC16,IF(SETUP!$G$54=3,$E$684*'Malaria-Equipment &amp; Other HPs'!BD16,IF(SETUP!$G$54=2,$E$684*'Malaria-Equipment &amp; Other HPs'!BE16,IF(SETUP!$G$54=1,$E$684*'Malaria-Equipment &amp; Other HPs'!BF16,0)))),0)</f>
        <v>0</v>
      </c>
      <c r="R686" s="920">
        <f>IF(SETUP!$F$54="At delivery",IF(SETUP!$G$54=4,$E$684*'Malaria-Equipment &amp; Other HPs'!BD16,IF(SETUP!$G$54=3,$E$684*'Malaria-Equipment &amp; Other HPs'!BE16,IF(SETUP!$G$54=2,$E$684*'Malaria-Equipment &amp; Other HPs'!BF16,IF(SETUP!$G$54=1,$E$684*'Malaria-Equipment &amp; Other HPs'!BG16,0)))),0)</f>
        <v>0</v>
      </c>
      <c r="S686" s="920">
        <f>IF(SETUP!$F$54="At delivery",IF(SETUP!$G$54=4,$E$684*('Malaria-Equipment &amp; Other HPs'!BE16+'Malaria-Equipment &amp; Other HPs'!BF16+'Malaria-Equipment &amp; Other HPs'!BG16+'Malaria-Equipment &amp; Other HPs'!BH16+'Malaria-Equipment &amp; Other HPs'!BI16),IF(SETUP!$G$54=3,$E$684*('Malaria-Equipment &amp; Other HPs'!BF16+'Malaria-Equipment &amp; Other HPs'!BG16+'Malaria-Equipment &amp; Other HPs'!BH16+'Malaria-Equipment &amp; Other HPs'!BI16),IF(SETUP!$G$54=2,$E$684*('Malaria-Equipment &amp; Other HPs'!BG16+'Malaria-Equipment &amp; Other HPs'!BH16+'Malaria-Equipment &amp; Other HPs'!BI16),IF(SETUP!$G$54=1,$E$684*('Malaria-Equipment &amp; Other HPs'!BH16+'Malaria-Equipment &amp; Other HPs'!BI16),0)))),0)</f>
        <v>0</v>
      </c>
      <c r="T686" s="920">
        <f t="shared" si="107"/>
        <v>0</v>
      </c>
      <c r="U686" s="1016">
        <f t="shared" si="108"/>
        <v>0</v>
      </c>
      <c r="V686" s="1344">
        <v>7.7</v>
      </c>
      <c r="W686" s="2011"/>
      <c r="X686" s="575"/>
      <c r="Y686" s="685"/>
      <c r="Z686" s="655"/>
      <c r="AA686" s="686"/>
      <c r="AB686" s="686"/>
      <c r="AC686" s="686"/>
      <c r="AD686" s="686"/>
      <c r="AE686" s="686"/>
      <c r="AF686" s="686"/>
      <c r="AG686" s="686"/>
      <c r="AH686" s="687"/>
      <c r="AI686" s="686"/>
      <c r="AJ686" s="686"/>
      <c r="AK686" s="686"/>
      <c r="AL686" s="686"/>
      <c r="AM686" s="686"/>
      <c r="AN686" s="686"/>
      <c r="AO686" s="686"/>
      <c r="AP686" s="686"/>
      <c r="AQ686" s="686"/>
      <c r="AR686" s="686"/>
      <c r="AS686" s="686"/>
      <c r="AT686" s="686"/>
      <c r="AU686" s="686"/>
      <c r="AV686" s="686"/>
      <c r="AW686" s="686"/>
      <c r="AX686" s="686"/>
      <c r="AY686" s="686"/>
      <c r="AZ686" s="686"/>
      <c r="BA686" s="686"/>
      <c r="BB686" s="686"/>
      <c r="BC686" s="686"/>
      <c r="BD686" s="686"/>
      <c r="BE686" s="686"/>
      <c r="BF686" s="686"/>
      <c r="BG686" s="686"/>
      <c r="BH686" s="686"/>
      <c r="BI686" s="686"/>
      <c r="BJ686" s="686"/>
      <c r="BK686" s="686"/>
      <c r="BL686" s="686"/>
      <c r="BM686" s="686"/>
      <c r="BN686" s="686"/>
      <c r="BO686" s="686"/>
      <c r="BP686" s="686"/>
      <c r="BQ686" s="686"/>
      <c r="BR686" s="686"/>
      <c r="BS686" s="686"/>
      <c r="BT686" s="686"/>
    </row>
    <row r="687" spans="1:72" s="688" customFormat="1" ht="13" hidden="1" collapsed="1">
      <c r="A687" s="3227"/>
      <c r="B687" s="3228"/>
      <c r="C687" s="3188" t="s">
        <v>457</v>
      </c>
      <c r="D687" s="3188"/>
      <c r="E687" s="3177">
        <v>0</v>
      </c>
      <c r="F687" s="1016">
        <f>IF(SETUP!$F$55="Upfront",F688,F689)</f>
        <v>0</v>
      </c>
      <c r="G687" s="920">
        <f>IF(SETUP!$F$55="Upfront",G688,G689)</f>
        <v>0</v>
      </c>
      <c r="H687" s="920">
        <f>IF(SETUP!$F$55="Upfront",H688,H689)</f>
        <v>0</v>
      </c>
      <c r="I687" s="920">
        <f>IF(SETUP!$F$55="Upfront",I688,I689)</f>
        <v>0</v>
      </c>
      <c r="J687" s="920">
        <f t="shared" si="105"/>
        <v>0</v>
      </c>
      <c r="K687" s="1016">
        <f>IF(SETUP!$F$55="Upfront",K688,K689)</f>
        <v>0</v>
      </c>
      <c r="L687" s="920">
        <f>IF(SETUP!$F$55="Upfront",L688,L689)</f>
        <v>0</v>
      </c>
      <c r="M687" s="920">
        <f>IF(SETUP!$F$55="Upfront",M688,M689)</f>
        <v>0</v>
      </c>
      <c r="N687" s="920">
        <f>IF(SETUP!$F$55="Upfront",N688,N689)</f>
        <v>0</v>
      </c>
      <c r="O687" s="920">
        <f t="shared" si="106"/>
        <v>0</v>
      </c>
      <c r="P687" s="1016">
        <f>IF(SETUP!$F$55="Upfront",P688,P689)</f>
        <v>0</v>
      </c>
      <c r="Q687" s="920">
        <f>IF(SETUP!$F$55="Upfront",Q688,Q689)</f>
        <v>0</v>
      </c>
      <c r="R687" s="920">
        <f>IF(SETUP!$F$55="Upfront",R688,R689)</f>
        <v>0</v>
      </c>
      <c r="S687" s="920">
        <f>IF(SETUP!$F$55="Upfront",S688,S689)</f>
        <v>0</v>
      </c>
      <c r="T687" s="920">
        <f t="shared" si="107"/>
        <v>0</v>
      </c>
      <c r="U687" s="1016">
        <f t="shared" si="108"/>
        <v>0</v>
      </c>
      <c r="V687" s="1344">
        <v>7.7</v>
      </c>
      <c r="W687" s="2011"/>
      <c r="X687" s="575"/>
      <c r="Y687" s="685"/>
      <c r="Z687" s="655"/>
      <c r="AA687" s="686"/>
      <c r="AB687" s="686"/>
      <c r="AC687" s="686"/>
      <c r="AD687" s="686"/>
      <c r="AE687" s="686"/>
      <c r="AF687" s="686"/>
      <c r="AG687" s="686"/>
      <c r="AH687" s="687"/>
      <c r="AI687" s="686"/>
      <c r="AJ687" s="686"/>
      <c r="AK687" s="686"/>
      <c r="AL687" s="686"/>
      <c r="AM687" s="686"/>
      <c r="AN687" s="686"/>
      <c r="AO687" s="686"/>
      <c r="AP687" s="686"/>
      <c r="AQ687" s="686"/>
      <c r="AR687" s="686"/>
      <c r="AS687" s="686"/>
      <c r="AT687" s="686"/>
      <c r="AU687" s="686"/>
      <c r="AV687" s="686"/>
      <c r="AW687" s="686"/>
      <c r="AX687" s="686"/>
      <c r="AY687" s="686"/>
      <c r="AZ687" s="686"/>
      <c r="BA687" s="686"/>
      <c r="BB687" s="686"/>
      <c r="BC687" s="686"/>
      <c r="BD687" s="686"/>
      <c r="BE687" s="686"/>
      <c r="BF687" s="686"/>
      <c r="BG687" s="686"/>
      <c r="BH687" s="686"/>
      <c r="BI687" s="686"/>
      <c r="BJ687" s="686"/>
      <c r="BK687" s="686"/>
      <c r="BL687" s="686"/>
      <c r="BM687" s="686"/>
      <c r="BN687" s="686"/>
      <c r="BO687" s="686"/>
      <c r="BP687" s="686"/>
      <c r="BQ687" s="686"/>
      <c r="BR687" s="686"/>
      <c r="BS687" s="686"/>
      <c r="BT687" s="686"/>
    </row>
    <row r="688" spans="1:72" s="688" customFormat="1" ht="16.149999999999999" hidden="1" customHeight="1" outlineLevel="1">
      <c r="A688" s="3227"/>
      <c r="B688" s="3228"/>
      <c r="C688" s="3182" t="s">
        <v>777</v>
      </c>
      <c r="D688" s="3182"/>
      <c r="E688" s="3178"/>
      <c r="F688" s="1016">
        <f>IF(SETUP!$F$55="Upfront",$E$687*'Malaria-Equipment &amp; Other HPs'!AX17,0)</f>
        <v>0</v>
      </c>
      <c r="G688" s="920">
        <f>IF(SETUP!$F$55="Upfront",$E$687*'Malaria-Equipment &amp; Other HPs'!AY17,0)</f>
        <v>0</v>
      </c>
      <c r="H688" s="920">
        <f>IF(SETUP!$F$55="Upfront",$E$687*'Malaria-Equipment &amp; Other HPs'!AZ17,0)</f>
        <v>0</v>
      </c>
      <c r="I688" s="920">
        <f>IF(SETUP!$F$55="Upfront",$E$687*'Malaria-Equipment &amp; Other HPs'!BA17,0)</f>
        <v>0</v>
      </c>
      <c r="J688" s="920">
        <f t="shared" si="105"/>
        <v>0</v>
      </c>
      <c r="K688" s="1016">
        <f>IF(SETUP!$F$55="Upfront",$E$687*'Malaria-Equipment &amp; Other HPs'!BB17,0)</f>
        <v>0</v>
      </c>
      <c r="L688" s="920">
        <f>IF(SETUP!$F$55="Upfront",$E$687*'Malaria-Equipment &amp; Other HPs'!BC17,0)</f>
        <v>0</v>
      </c>
      <c r="M688" s="920">
        <f>IF(SETUP!$F$55="Upfront",$E$687*'Malaria-Equipment &amp; Other HPs'!BD17,0)</f>
        <v>0</v>
      </c>
      <c r="N688" s="920">
        <f>IF(SETUP!$F$55="Upfront",$E$687*'Malaria-Equipment &amp; Other HPs'!BE17,0)</f>
        <v>0</v>
      </c>
      <c r="O688" s="920">
        <f t="shared" si="106"/>
        <v>0</v>
      </c>
      <c r="P688" s="1016">
        <f>IF(SETUP!$F$55="Upfront",$E$687*'Malaria-Equipment &amp; Other HPs'!BF17,0)</f>
        <v>0</v>
      </c>
      <c r="Q688" s="920">
        <f>IF(SETUP!$F$55="Upfront",$E$687*'Malaria-Equipment &amp; Other HPs'!BG17,0)</f>
        <v>0</v>
      </c>
      <c r="R688" s="920">
        <f>IF(SETUP!$F$55="Upfront",$E$687*'Malaria-Equipment &amp; Other HPs'!BH17,0)</f>
        <v>0</v>
      </c>
      <c r="S688" s="920">
        <f>IF(SETUP!$F$55="Upfront",$E$687*'Malaria-Equipment &amp; Other HPs'!BI17,0)</f>
        <v>0</v>
      </c>
      <c r="T688" s="920">
        <f>P688+Q688+R688+S688</f>
        <v>0</v>
      </c>
      <c r="U688" s="1016">
        <f t="shared" si="108"/>
        <v>0</v>
      </c>
      <c r="V688" s="1344">
        <v>7.7</v>
      </c>
      <c r="W688" s="2011"/>
      <c r="X688" s="575"/>
      <c r="Y688" s="685"/>
      <c r="Z688" s="655"/>
      <c r="AA688" s="686"/>
      <c r="AB688" s="686"/>
      <c r="AC688" s="686"/>
      <c r="AD688" s="686"/>
      <c r="AE688" s="686"/>
      <c r="AF688" s="686"/>
      <c r="AG688" s="686"/>
      <c r="AH688" s="687"/>
      <c r="AI688" s="686"/>
      <c r="AJ688" s="686"/>
      <c r="AK688" s="686"/>
      <c r="AL688" s="686"/>
      <c r="AM688" s="686"/>
      <c r="AN688" s="686"/>
      <c r="AO688" s="686"/>
      <c r="AP688" s="686"/>
      <c r="AQ688" s="686"/>
      <c r="AR688" s="686"/>
      <c r="AS688" s="686"/>
      <c r="AT688" s="686"/>
      <c r="AU688" s="686"/>
      <c r="AV688" s="686"/>
      <c r="AW688" s="686"/>
      <c r="AX688" s="686"/>
      <c r="AY688" s="686"/>
      <c r="AZ688" s="686"/>
      <c r="BA688" s="686"/>
      <c r="BB688" s="686"/>
      <c r="BC688" s="686"/>
      <c r="BD688" s="686"/>
      <c r="BE688" s="686"/>
      <c r="BF688" s="686"/>
      <c r="BG688" s="686"/>
      <c r="BH688" s="686"/>
      <c r="BI688" s="686"/>
      <c r="BJ688" s="686"/>
      <c r="BK688" s="686"/>
      <c r="BL688" s="686"/>
      <c r="BM688" s="686"/>
      <c r="BN688" s="686"/>
      <c r="BO688" s="686"/>
      <c r="BP688" s="686"/>
      <c r="BQ688" s="686"/>
      <c r="BR688" s="686"/>
      <c r="BS688" s="686"/>
      <c r="BT688" s="686"/>
    </row>
    <row r="689" spans="1:72" s="688" customFormat="1" ht="17.25" hidden="1" customHeight="1" outlineLevel="1">
      <c r="A689" s="3227"/>
      <c r="B689" s="3228"/>
      <c r="C689" s="3182" t="s">
        <v>36</v>
      </c>
      <c r="D689" s="3182"/>
      <c r="E689" s="3178"/>
      <c r="F689" s="1016">
        <v>0</v>
      </c>
      <c r="G689" s="920">
        <f>IF(SETUP!$F$55="At delivery",IF(SETUP!$G$55=1,$E$687*'Malaria-Equipment &amp; Other HPs'!AX17,0),0)</f>
        <v>0</v>
      </c>
      <c r="H689" s="920">
        <f>IF(SETUP!$F$55="At delivery",IF(SETUP!$G$55=2,$E$687*'Malaria-Equipment &amp; Other HPs'!AX17,IF(SETUP!$G$55=1,$E$687*'Malaria-Equipment &amp; Other HPs'!AY17,0)),0)</f>
        <v>0</v>
      </c>
      <c r="I689" s="920">
        <f>IF(SETUP!$F$55="At delivery",IF(SETUP!$G$55=3,$E$687*'Malaria-Equipment &amp; Other HPs'!AX17,IF(SETUP!$G$55=2,$E$687*'Malaria-Equipment &amp; Other HPs'!AY17,IF(SETUP!$G$55=1,$E$687*'Malaria-Equipment &amp; Other HPs'!AZ17,0))),0)</f>
        <v>0</v>
      </c>
      <c r="J689" s="920">
        <f t="shared" si="105"/>
        <v>0</v>
      </c>
      <c r="K689" s="1016">
        <f>IF(SETUP!$F$55="At delivery",IF(SETUP!$G$55=4,$E$687*'Malaria-Equipment &amp; Other HPs'!AX17,IF(SETUP!$G$55=3,$E$687*'Malaria-Equipment &amp; Other HPs'!AY17,IF(SETUP!$G$55=2,$E$687*'Malaria-Equipment &amp; Other HPs'!AZ17,IF(SETUP!$G$55=1,$E$687*'Malaria-Equipment &amp; Other HPs'!BA17,0)))),0)</f>
        <v>0</v>
      </c>
      <c r="L689" s="920">
        <f>IF(SETUP!$F$55="At delivery",IF(SETUP!$G$55=4,$E$687*'Malaria-Equipment &amp; Other HPs'!AY17,IF(SETUP!$G$55=3,$E$687*'Malaria-Equipment &amp; Other HPs'!AZ17,IF(SETUP!$G$55=2,$E$687*'Malaria-Equipment &amp; Other HPs'!BA17,IF(SETUP!$G$55=1,$E$687*'Malaria-Equipment &amp; Other HPs'!BB17,0)))),0)</f>
        <v>0</v>
      </c>
      <c r="M689" s="920">
        <f>IF(SETUP!$F$55="At delivery",IF(SETUP!$G$55=4,$E$687*'Malaria-Equipment &amp; Other HPs'!AZ17,IF(SETUP!$G$55=3,$E$687*'Malaria-Equipment &amp; Other HPs'!BA17,IF(SETUP!$G$55=2,$E$687*'Malaria-Equipment &amp; Other HPs'!BB17,IF(SETUP!$G$55=1,$E$687*'Malaria-Equipment &amp; Other HPs'!BC17,0)))),0)</f>
        <v>0</v>
      </c>
      <c r="N689" s="920">
        <f>IF(SETUP!$F$55="At delivery",IF(SETUP!$G$55=4,$E$687*'Malaria-Equipment &amp; Other HPs'!BA17,IF(SETUP!$G$55=3,$E$687*'Malaria-Equipment &amp; Other HPs'!BB17,IF(SETUP!$G$55=2,$E$687*'Malaria-Equipment &amp; Other HPs'!BC17,IF(SETUP!$G$55=1,$E$687*'Malaria-Equipment &amp; Other HPs'!BD17,0)))),0)</f>
        <v>0</v>
      </c>
      <c r="O689" s="920">
        <f t="shared" si="106"/>
        <v>0</v>
      </c>
      <c r="P689" s="1016">
        <f>IF(SETUP!$F$55="At delivery",IF(SETUP!$G$55=4,$E$687*'Malaria-Equipment &amp; Other HPs'!BB17,IF(SETUP!$G$55=3,$E$687*'Malaria-Equipment &amp; Other HPs'!BC17,IF(SETUP!$G$55=2,$E$687*'Malaria-Equipment &amp; Other HPs'!BD17,IF(SETUP!$G$55=1,$E$687*'Malaria-Equipment &amp; Other HPs'!BE17,0)))),0)</f>
        <v>0</v>
      </c>
      <c r="Q689" s="920">
        <f>IF(SETUP!$F$55="At delivery",IF(SETUP!$G$55=4,$E$687*'Malaria-Equipment &amp; Other HPs'!BC17,IF(SETUP!$G$55=3,$E$687*'Malaria-Equipment &amp; Other HPs'!BD17,IF(SETUP!$G$55=2,$E$687*'Malaria-Equipment &amp; Other HPs'!BE17,IF(SETUP!$G$55=1,$E$687*'Malaria-Equipment &amp; Other HPs'!BF17,0)))),0)</f>
        <v>0</v>
      </c>
      <c r="R689" s="920">
        <f>IF(SETUP!$F$55="At delivery",IF(SETUP!$G$55=4,$E$687*'Malaria-Equipment &amp; Other HPs'!BD17,IF(SETUP!$G$55=3,$E$687*'Malaria-Equipment &amp; Other HPs'!BE17,IF(SETUP!$G$55=2,$E$687*'Malaria-Equipment &amp; Other HPs'!BF17,IF(SETUP!$G$55=1,$E$687*'Malaria-Equipment &amp; Other HPs'!BG17,0)))),0)</f>
        <v>0</v>
      </c>
      <c r="S689" s="920">
        <f>IF(SETUP!$F$55="At delivery",IF(SETUP!$G$55=4,$E$687*('Malaria-Equipment &amp; Other HPs'!BE17+'Malaria-Equipment &amp; Other HPs'!BF17+'Malaria-Equipment &amp; Other HPs'!BG17+'Malaria-Equipment &amp; Other HPs'!BH17+'Malaria-Equipment &amp; Other HPs'!BI17),IF(SETUP!$G$55=3,$E$687*('Malaria-Equipment &amp; Other HPs'!BF17+'Malaria-Equipment &amp; Other HPs'!BG17+'Malaria-Equipment &amp; Other HPs'!BH17+'Malaria-Equipment &amp; Other HPs'!BI17),IF(SETUP!$G$55=2,$E$687*('Malaria-Equipment &amp; Other HPs'!BG17+'Malaria-Equipment &amp; Other HPs'!BH17+'Malaria-Equipment &amp; Other HPs'!BI17),IF(SETUP!$G$55=1,$E$687*('Malaria-Equipment &amp; Other HPs'!BH17+'Malaria-Equipment &amp; Other HPs'!BI17),0)))),0)</f>
        <v>0</v>
      </c>
      <c r="T689" s="920">
        <f t="shared" si="107"/>
        <v>0</v>
      </c>
      <c r="U689" s="1016">
        <f t="shared" si="108"/>
        <v>0</v>
      </c>
      <c r="V689" s="1344">
        <v>7.7</v>
      </c>
      <c r="W689" s="2011"/>
      <c r="X689" s="575"/>
      <c r="Y689" s="685"/>
      <c r="Z689" s="655"/>
      <c r="AA689" s="686"/>
      <c r="AB689" s="686"/>
      <c r="AC689" s="686"/>
      <c r="AD689" s="686"/>
      <c r="AE689" s="686"/>
      <c r="AF689" s="686"/>
      <c r="AG689" s="686"/>
      <c r="AH689" s="687"/>
      <c r="AI689" s="686"/>
      <c r="AJ689" s="686"/>
      <c r="AK689" s="686"/>
      <c r="AL689" s="686"/>
      <c r="AM689" s="686"/>
      <c r="AN689" s="686"/>
      <c r="AO689" s="686"/>
      <c r="AP689" s="686"/>
      <c r="AQ689" s="686"/>
      <c r="AR689" s="686"/>
      <c r="AS689" s="686"/>
      <c r="AT689" s="686"/>
      <c r="AU689" s="686"/>
      <c r="AV689" s="686"/>
      <c r="AW689" s="686"/>
      <c r="AX689" s="686"/>
      <c r="AY689" s="686"/>
      <c r="AZ689" s="686"/>
      <c r="BA689" s="686"/>
      <c r="BB689" s="686"/>
      <c r="BC689" s="686"/>
      <c r="BD689" s="686"/>
      <c r="BE689" s="686"/>
      <c r="BF689" s="686"/>
      <c r="BG689" s="686"/>
      <c r="BH689" s="686"/>
      <c r="BI689" s="686"/>
      <c r="BJ689" s="686"/>
      <c r="BK689" s="686"/>
      <c r="BL689" s="686"/>
      <c r="BM689" s="686"/>
      <c r="BN689" s="686"/>
      <c r="BO689" s="686"/>
      <c r="BP689" s="686"/>
      <c r="BQ689" s="686"/>
      <c r="BR689" s="686"/>
      <c r="BS689" s="686"/>
      <c r="BT689" s="686"/>
    </row>
    <row r="690" spans="1:72" s="688" customFormat="1" ht="13.5" hidden="1" collapsed="1" thickBot="1">
      <c r="A690" s="3227"/>
      <c r="B690" s="3228"/>
      <c r="C690" s="3188" t="s">
        <v>458</v>
      </c>
      <c r="D690" s="3188"/>
      <c r="E690" s="3177">
        <v>0</v>
      </c>
      <c r="F690" s="1016">
        <f>IF(SETUP!$F$56="Upfront",F691,F692)</f>
        <v>0</v>
      </c>
      <c r="G690" s="920">
        <f>IF(SETUP!$F$56="Upfront",G691,G692)</f>
        <v>0</v>
      </c>
      <c r="H690" s="920">
        <f>IF(SETUP!$F$56="Upfront",H691,H692)</f>
        <v>0</v>
      </c>
      <c r="I690" s="920">
        <f>IF(SETUP!$F$56="Upfront",I691,I692)</f>
        <v>0</v>
      </c>
      <c r="J690" s="920">
        <f t="shared" si="105"/>
        <v>0</v>
      </c>
      <c r="K690" s="1016">
        <f>IF(SETUP!$F$56="Upfront",K691,K692)</f>
        <v>0</v>
      </c>
      <c r="L690" s="920">
        <f>IF(SETUP!$F$56="Upfront",L691,L692)</f>
        <v>0</v>
      </c>
      <c r="M690" s="920">
        <f>IF(SETUP!$F$56="Upfront",M691,M692)</f>
        <v>0</v>
      </c>
      <c r="N690" s="920">
        <f>IF(SETUP!$F$56="Upfront",N691,N692)</f>
        <v>0</v>
      </c>
      <c r="O690" s="920">
        <f t="shared" si="106"/>
        <v>0</v>
      </c>
      <c r="P690" s="1016">
        <f>IF(SETUP!$F$56="Upfront",P691,P692)</f>
        <v>0</v>
      </c>
      <c r="Q690" s="920">
        <f>IF(SETUP!$F$56="Upfront",Q691,Q692)</f>
        <v>0</v>
      </c>
      <c r="R690" s="920">
        <f>IF(SETUP!$F$56="Upfront",R691,R692)</f>
        <v>0</v>
      </c>
      <c r="S690" s="920">
        <f>IF(SETUP!$F$56="Upfront",S691,S692)</f>
        <v>0</v>
      </c>
      <c r="T690" s="920">
        <f t="shared" si="107"/>
        <v>0</v>
      </c>
      <c r="U690" s="1016">
        <f t="shared" si="108"/>
        <v>0</v>
      </c>
      <c r="V690" s="1344">
        <v>7.7</v>
      </c>
      <c r="W690" s="2011"/>
      <c r="X690" s="575"/>
      <c r="Y690" s="685"/>
      <c r="Z690" s="655"/>
      <c r="AA690" s="686"/>
      <c r="AB690" s="686"/>
      <c r="AC690" s="686"/>
      <c r="AD690" s="686"/>
      <c r="AE690" s="686"/>
      <c r="AF690" s="686"/>
      <c r="AG690" s="686"/>
      <c r="AH690" s="687"/>
      <c r="AI690" s="686"/>
      <c r="AJ690" s="686"/>
      <c r="AK690" s="686"/>
      <c r="AL690" s="686"/>
      <c r="AM690" s="686"/>
      <c r="AN690" s="686"/>
      <c r="AO690" s="686"/>
      <c r="AP690" s="686"/>
      <c r="AQ690" s="686"/>
      <c r="AR690" s="686"/>
      <c r="AS690" s="686"/>
      <c r="AT690" s="686"/>
      <c r="AU690" s="686"/>
      <c r="AV690" s="686"/>
      <c r="AW690" s="686"/>
      <c r="AX690" s="686"/>
      <c r="AY690" s="686"/>
      <c r="AZ690" s="686"/>
      <c r="BA690" s="686"/>
      <c r="BB690" s="686"/>
      <c r="BC690" s="686"/>
      <c r="BD690" s="686"/>
      <c r="BE690" s="686"/>
      <c r="BF690" s="686"/>
      <c r="BG690" s="686"/>
      <c r="BH690" s="686"/>
      <c r="BI690" s="686"/>
      <c r="BJ690" s="686"/>
      <c r="BK690" s="686"/>
      <c r="BL690" s="686"/>
      <c r="BM690" s="686"/>
      <c r="BN690" s="686"/>
      <c r="BO690" s="686"/>
      <c r="BP690" s="686"/>
      <c r="BQ690" s="686"/>
      <c r="BR690" s="686"/>
      <c r="BS690" s="686"/>
      <c r="BT690" s="686"/>
    </row>
    <row r="691" spans="1:72" s="688" customFormat="1" ht="16.149999999999999" hidden="1" customHeight="1" outlineLevel="1">
      <c r="A691" s="3227"/>
      <c r="B691" s="3228"/>
      <c r="C691" s="3182" t="s">
        <v>777</v>
      </c>
      <c r="D691" s="3182"/>
      <c r="E691" s="3178"/>
      <c r="F691" s="1016">
        <f>IF(SETUP!$F$56="Upfront",$E$690*'Malaria-Equipment &amp; Other HPs'!AX18,0)</f>
        <v>0</v>
      </c>
      <c r="G691" s="920">
        <f>IF(SETUP!$F$56="Upfront",$E$690*'Malaria-Equipment &amp; Other HPs'!AY18,0)</f>
        <v>0</v>
      </c>
      <c r="H691" s="920">
        <f>IF(SETUP!$F$56="Upfront",$E$690*'Malaria-Equipment &amp; Other HPs'!AZ18,0)</f>
        <v>0</v>
      </c>
      <c r="I691" s="920">
        <f>IF(SETUP!$F$56="Upfront",$E$690*'Malaria-Equipment &amp; Other HPs'!BA18,0)</f>
        <v>0</v>
      </c>
      <c r="J691" s="920">
        <f t="shared" si="105"/>
        <v>0</v>
      </c>
      <c r="K691" s="1016">
        <f>IF(SETUP!$F$56="Upfront",$E$690*'Malaria-Equipment &amp; Other HPs'!BB18,0)</f>
        <v>0</v>
      </c>
      <c r="L691" s="920">
        <f>IF(SETUP!$F$56="Upfront",$E$690*'Malaria-Equipment &amp; Other HPs'!BC18,0)</f>
        <v>0</v>
      </c>
      <c r="M691" s="920">
        <f>IF(SETUP!$F$56="Upfront",$E$690*'Malaria-Equipment &amp; Other HPs'!BD18,0)</f>
        <v>0</v>
      </c>
      <c r="N691" s="920">
        <f>IF(SETUP!$F$56="Upfront",$E$690*'Malaria-Equipment &amp; Other HPs'!BE18,0)</f>
        <v>0</v>
      </c>
      <c r="O691" s="920">
        <f t="shared" si="106"/>
        <v>0</v>
      </c>
      <c r="P691" s="1016">
        <f>IF(SETUP!$F$56="Upfront",$E$690*'Malaria-Equipment &amp; Other HPs'!BF18,0)</f>
        <v>0</v>
      </c>
      <c r="Q691" s="920">
        <f>IF(SETUP!$F$56="Upfront",$E$690*'Malaria-Equipment &amp; Other HPs'!BG18,0)</f>
        <v>0</v>
      </c>
      <c r="R691" s="920">
        <f>IF(SETUP!$F$56="Upfront",$E$690*'Malaria-Equipment &amp; Other HPs'!BH18,0)</f>
        <v>0</v>
      </c>
      <c r="S691" s="920">
        <f>IF(SETUP!$F$56="Upfront",$E$690*'Malaria-Equipment &amp; Other HPs'!BI18,0)</f>
        <v>0</v>
      </c>
      <c r="T691" s="920">
        <f t="shared" si="107"/>
        <v>0</v>
      </c>
      <c r="U691" s="1016">
        <f t="shared" si="108"/>
        <v>0</v>
      </c>
      <c r="V691" s="1344">
        <v>7.7</v>
      </c>
      <c r="W691" s="2011"/>
      <c r="X691" s="575"/>
      <c r="Y691" s="685"/>
      <c r="Z691" s="655"/>
      <c r="AA691" s="686"/>
      <c r="AB691" s="686"/>
      <c r="AC691" s="686"/>
      <c r="AD691" s="686"/>
      <c r="AE691" s="686"/>
      <c r="AF691" s="686"/>
      <c r="AG691" s="686"/>
      <c r="AH691" s="687"/>
      <c r="AI691" s="686"/>
      <c r="AJ691" s="686"/>
      <c r="AK691" s="686"/>
      <c r="AL691" s="686"/>
      <c r="AM691" s="686"/>
      <c r="AN691" s="686"/>
      <c r="AO691" s="686"/>
      <c r="AP691" s="686"/>
      <c r="AQ691" s="686"/>
      <c r="AR691" s="686"/>
      <c r="AS691" s="686"/>
      <c r="AT691" s="686"/>
      <c r="AU691" s="686"/>
      <c r="AV691" s="686"/>
      <c r="AW691" s="686"/>
      <c r="AX691" s="686"/>
      <c r="AY691" s="686"/>
      <c r="AZ691" s="686"/>
      <c r="BA691" s="686"/>
      <c r="BB691" s="686"/>
      <c r="BC691" s="686"/>
      <c r="BD691" s="686"/>
      <c r="BE691" s="686"/>
      <c r="BF691" s="686"/>
      <c r="BG691" s="686"/>
      <c r="BH691" s="686"/>
      <c r="BI691" s="686"/>
      <c r="BJ691" s="686"/>
      <c r="BK691" s="686"/>
      <c r="BL691" s="686"/>
      <c r="BM691" s="686"/>
      <c r="BN691" s="686"/>
      <c r="BO691" s="686"/>
      <c r="BP691" s="686"/>
      <c r="BQ691" s="686"/>
      <c r="BR691" s="686"/>
      <c r="BS691" s="686"/>
      <c r="BT691" s="686"/>
    </row>
    <row r="692" spans="1:72" s="688" customFormat="1" ht="17.25" hidden="1" customHeight="1" outlineLevel="1">
      <c r="A692" s="3227"/>
      <c r="B692" s="3228"/>
      <c r="C692" s="3182" t="s">
        <v>36</v>
      </c>
      <c r="D692" s="3182"/>
      <c r="E692" s="3179"/>
      <c r="F692" s="1016">
        <v>0</v>
      </c>
      <c r="G692" s="920">
        <f>IF(SETUP!$F$56="At delivery",IF(SETUP!$G$56=1,$E$690*'Malaria-Equipment &amp; Other HPs'!AX18,0),0)</f>
        <v>0</v>
      </c>
      <c r="H692" s="920">
        <f>IF(SETUP!$F$56="At delivery",IF(SETUP!$G$56=2,$E$690*'Malaria-Equipment &amp; Other HPs'!AX18,IF(SETUP!$G$56=1,$E$690*'Malaria-Equipment &amp; Other HPs'!AY18,0)),0)</f>
        <v>0</v>
      </c>
      <c r="I692" s="920">
        <f>IF(SETUP!$F$56="At delivery",IF(SETUP!$G$56=3,$E$690*'Malaria-Equipment &amp; Other HPs'!AX18,IF(SETUP!$G$56=2,$E$690*'Malaria-Equipment &amp; Other HPs'!AY18,IF(SETUP!$G$56=1,$E$690*'Malaria-Equipment &amp; Other HPs'!AZ18,0))),0)</f>
        <v>0</v>
      </c>
      <c r="J692" s="920">
        <f t="shared" si="105"/>
        <v>0</v>
      </c>
      <c r="K692" s="1016">
        <f>IF(SETUP!$F$56="At delivery",IF(SETUP!$G$56=4,$E$690*'Malaria-Equipment &amp; Other HPs'!AX18,IF(SETUP!$G$56=3,$E$690*'Malaria-Equipment &amp; Other HPs'!AY18,IF(SETUP!$G$56=2,$E$690*'Malaria-Equipment &amp; Other HPs'!AZ18,IF(SETUP!$G$56=1,$E$690*'Malaria-Equipment &amp; Other HPs'!BA18,0)))),0)</f>
        <v>0</v>
      </c>
      <c r="L692" s="920">
        <f>IF(SETUP!$F$56="At delivery",IF(SETUP!$G$56=4,$E$690*'Malaria-Equipment &amp; Other HPs'!AY18,IF(SETUP!$G$56=3,$E$690*'Malaria-Equipment &amp; Other HPs'!AZ18,IF(SETUP!$G$56=2,$E$690*'Malaria-Equipment &amp; Other HPs'!BA18,IF(SETUP!$G$56=1,$E$690*'Malaria-Equipment &amp; Other HPs'!BB18,0)))),0)</f>
        <v>0</v>
      </c>
      <c r="M692" s="920">
        <f>IF(SETUP!$F$56="At delivery",IF(SETUP!$G$56=4,$E$690*'Malaria-Equipment &amp; Other HPs'!AZ18,IF(SETUP!$G$56=3,$E$690*'Malaria-Equipment &amp; Other HPs'!BA18,IF(SETUP!$G$56=2,$E$690*'Malaria-Equipment &amp; Other HPs'!BB18,IF(SETUP!$G$56=1,$E$690*'Malaria-Equipment &amp; Other HPs'!BC18,0)))),0)</f>
        <v>0</v>
      </c>
      <c r="N692" s="920">
        <f>IF(SETUP!$F$56="At delivery",IF(SETUP!$G$56=4,$E$690*'Malaria-Equipment &amp; Other HPs'!BA18,IF(SETUP!$G$56=3,$E$690*'Malaria-Equipment &amp; Other HPs'!BB18,IF(SETUP!$G$56=2,$E$690*'Malaria-Equipment &amp; Other HPs'!BC18,IF(SETUP!$G$56=1,$E$690*'Malaria-Equipment &amp; Other HPs'!BD18,0)))),0)</f>
        <v>0</v>
      </c>
      <c r="O692" s="920">
        <f t="shared" si="106"/>
        <v>0</v>
      </c>
      <c r="P692" s="1016">
        <f>IF(SETUP!$F$56="At delivery",IF(SETUP!$G$56=4,$E$690*'Malaria-Equipment &amp; Other HPs'!BB18,IF(SETUP!$G$56=3,$E$690*'Malaria-Equipment &amp; Other HPs'!BC18,IF(SETUP!$G$56=2,$E$690*'Malaria-Equipment &amp; Other HPs'!BD18,IF(SETUP!$G$56=1,$E$690*'Malaria-Equipment &amp; Other HPs'!BE18,0)))),0)</f>
        <v>0</v>
      </c>
      <c r="Q692" s="920">
        <f>IF(SETUP!$F$56="At delivery",IF(SETUP!$G$56=4,$E$690*'Malaria-Equipment &amp; Other HPs'!BC18,IF(SETUP!$G$56=3,$E$690*'Malaria-Equipment &amp; Other HPs'!BD18,IF(SETUP!$G$56=2,$E$690*'Malaria-Equipment &amp; Other HPs'!BE18,IF(SETUP!$G$56=1,$E$690*'Malaria-Equipment &amp; Other HPs'!BF18,0)))),0)</f>
        <v>0</v>
      </c>
      <c r="R692" s="920">
        <f>IF(SETUP!$F$56="At delivery",IF(SETUP!$G$56=4,$E$690*'Malaria-Equipment &amp; Other HPs'!BD18,IF(SETUP!$G$56=3,$E$690*'Malaria-Equipment &amp; Other HPs'!BE18,IF(SETUP!$G$56=2,$E$690*'Malaria-Equipment &amp; Other HPs'!BF18,IF(SETUP!$G$56=1,$E$690*'Malaria-Equipment &amp; Other HPs'!BG18,0)))),0)</f>
        <v>0</v>
      </c>
      <c r="S692" s="920">
        <f>IF(SETUP!$F$56="At delivery",IF(SETUP!$G$56=4,$E$690*('Malaria-Equipment &amp; Other HPs'!BE18+'Malaria-Equipment &amp; Other HPs'!BF18+'Malaria-Equipment &amp; Other HPs'!BG18+'Malaria-Equipment &amp; Other HPs'!BH18+'Malaria-Equipment &amp; Other HPs'!BI18),IF(SETUP!$G$56=3,$E$690*('Malaria-Equipment &amp; Other HPs'!BF18+'Malaria-Equipment &amp; Other HPs'!BG18+'Malaria-Equipment &amp; Other HPs'!BH18+'Malaria-Equipment &amp; Other HPs'!BI18),IF(SETUP!$G$56=2,$E$690*('Malaria-Equipment &amp; Other HPs'!BG18+'Malaria-Equipment &amp; Other HPs'!BH18+'Malaria-Equipment &amp; Other HPs'!BI18),IF(SETUP!$G$56=1,$E$690*('Malaria-Equipment &amp; Other HPs'!BH18+'Malaria-Equipment &amp; Other HPs'!BI18),0)))),0)</f>
        <v>0</v>
      </c>
      <c r="T692" s="920">
        <f t="shared" si="107"/>
        <v>0</v>
      </c>
      <c r="U692" s="1016">
        <f t="shared" si="108"/>
        <v>0</v>
      </c>
      <c r="V692" s="1344">
        <v>7.7</v>
      </c>
      <c r="W692" s="2011"/>
      <c r="X692" s="575"/>
      <c r="Y692" s="685"/>
      <c r="Z692" s="655"/>
      <c r="AA692" s="686"/>
      <c r="AB692" s="686"/>
      <c r="AC692" s="686"/>
      <c r="AD692" s="686"/>
      <c r="AE692" s="686"/>
      <c r="AF692" s="686"/>
      <c r="AG692" s="686"/>
      <c r="AH692" s="687"/>
      <c r="AI692" s="686"/>
      <c r="AJ692" s="686"/>
      <c r="AK692" s="686"/>
      <c r="AL692" s="686"/>
      <c r="AM692" s="686"/>
      <c r="AN692" s="686"/>
      <c r="AO692" s="686"/>
      <c r="AP692" s="686"/>
      <c r="AQ692" s="686"/>
      <c r="AR692" s="686"/>
      <c r="AS692" s="686"/>
      <c r="AT692" s="686"/>
      <c r="AU692" s="686"/>
      <c r="AV692" s="686"/>
      <c r="AW692" s="686"/>
      <c r="AX692" s="686"/>
      <c r="AY692" s="686"/>
      <c r="AZ692" s="686"/>
      <c r="BA692" s="686"/>
      <c r="BB692" s="686"/>
      <c r="BC692" s="686"/>
      <c r="BD692" s="686"/>
      <c r="BE692" s="686"/>
      <c r="BF692" s="686"/>
      <c r="BG692" s="686"/>
      <c r="BH692" s="686"/>
      <c r="BI692" s="686"/>
      <c r="BJ692" s="686"/>
      <c r="BK692" s="686"/>
      <c r="BL692" s="686"/>
      <c r="BM692" s="686"/>
      <c r="BN692" s="686"/>
      <c r="BO692" s="686"/>
      <c r="BP692" s="686"/>
      <c r="BQ692" s="686"/>
      <c r="BR692" s="686"/>
      <c r="BS692" s="686"/>
      <c r="BT692" s="686"/>
    </row>
    <row r="693" spans="1:72" s="688" customFormat="1" ht="13.5" hidden="1" collapsed="1" thickBot="1">
      <c r="A693" s="3227"/>
      <c r="B693" s="3228"/>
      <c r="C693" s="3188" t="s">
        <v>429</v>
      </c>
      <c r="D693" s="3188"/>
      <c r="E693" s="1245">
        <v>0</v>
      </c>
      <c r="F693" s="1016">
        <f>IF(SETUP!$F$57="Upfront",F694,F695)</f>
        <v>0</v>
      </c>
      <c r="G693" s="920">
        <f>IF(SETUP!$F$57="Upfront",G694,G695)</f>
        <v>0</v>
      </c>
      <c r="H693" s="920">
        <f>IF(SETUP!$F$57="Upfront",H694,H695)</f>
        <v>0</v>
      </c>
      <c r="I693" s="920">
        <f>IF(SETUP!$F$57="Upfront",I694,I695)</f>
        <v>0</v>
      </c>
      <c r="J693" s="920">
        <f t="shared" si="105"/>
        <v>0</v>
      </c>
      <c r="K693" s="1016">
        <f>IF(SETUP!$F$57="Upfront",K694,K695)</f>
        <v>0</v>
      </c>
      <c r="L693" s="920">
        <f>IF(SETUP!$F$57="Upfront",L694,L695)</f>
        <v>0</v>
      </c>
      <c r="M693" s="920">
        <f>IF(SETUP!$F$57="Upfront",M694,M695)</f>
        <v>0</v>
      </c>
      <c r="N693" s="920">
        <f>IF(SETUP!$F$57="Upfront",N694,N695)</f>
        <v>0</v>
      </c>
      <c r="O693" s="920">
        <f t="shared" si="106"/>
        <v>0</v>
      </c>
      <c r="P693" s="1016">
        <f>IF(SETUP!$F$57="Upfront",P694,P695)</f>
        <v>0</v>
      </c>
      <c r="Q693" s="920">
        <f>IF(SETUP!$F$57="Upfront",Q694,Q695)</f>
        <v>0</v>
      </c>
      <c r="R693" s="920">
        <f>IF(SETUP!$F$57="Upfront",R694,R695)</f>
        <v>0</v>
      </c>
      <c r="S693" s="920">
        <f>IF(SETUP!$F$57="Upfront",S694,S695)</f>
        <v>0</v>
      </c>
      <c r="T693" s="920">
        <f t="shared" si="107"/>
        <v>0</v>
      </c>
      <c r="U693" s="1016">
        <f t="shared" si="108"/>
        <v>0</v>
      </c>
      <c r="V693" s="1344">
        <v>7.7</v>
      </c>
      <c r="W693" s="2011"/>
      <c r="X693" s="575"/>
      <c r="Y693" s="685"/>
      <c r="Z693" s="655"/>
      <c r="AA693" s="686"/>
      <c r="AB693" s="686"/>
      <c r="AC693" s="686"/>
      <c r="AD693" s="686"/>
      <c r="AE693" s="686"/>
      <c r="AF693" s="686"/>
      <c r="AG693" s="686"/>
      <c r="AH693" s="687"/>
      <c r="AI693" s="686"/>
      <c r="AJ693" s="686"/>
      <c r="AK693" s="686"/>
      <c r="AL693" s="686"/>
      <c r="AM693" s="686"/>
      <c r="AN693" s="686"/>
      <c r="AO693" s="686"/>
      <c r="AP693" s="686"/>
      <c r="AQ693" s="686"/>
      <c r="AR693" s="686"/>
      <c r="AS693" s="686"/>
      <c r="AT693" s="686"/>
      <c r="AU693" s="686"/>
      <c r="AV693" s="686"/>
      <c r="AW693" s="686"/>
      <c r="AX693" s="686"/>
      <c r="AY693" s="686"/>
      <c r="AZ693" s="686"/>
      <c r="BA693" s="686"/>
      <c r="BB693" s="686"/>
      <c r="BC693" s="686"/>
      <c r="BD693" s="686"/>
      <c r="BE693" s="686"/>
      <c r="BF693" s="686"/>
      <c r="BG693" s="686"/>
      <c r="BH693" s="686"/>
      <c r="BI693" s="686"/>
      <c r="BJ693" s="686"/>
      <c r="BK693" s="686"/>
      <c r="BL693" s="686"/>
      <c r="BM693" s="686"/>
      <c r="BN693" s="686"/>
      <c r="BO693" s="686"/>
      <c r="BP693" s="686"/>
      <c r="BQ693" s="686"/>
      <c r="BR693" s="686"/>
      <c r="BS693" s="686"/>
      <c r="BT693" s="686"/>
    </row>
    <row r="694" spans="1:72" s="688" customFormat="1" ht="16.149999999999999" hidden="1" customHeight="1" outlineLevel="1">
      <c r="A694" s="3227"/>
      <c r="B694" s="3228"/>
      <c r="C694" s="3182" t="s">
        <v>777</v>
      </c>
      <c r="D694" s="3182"/>
      <c r="E694" s="1579"/>
      <c r="F694" s="1016">
        <f>IF(SETUP!$F$57="Upfront",$E$693*'Malaria-Equipment &amp; Other HPs'!AX19,0)</f>
        <v>0</v>
      </c>
      <c r="G694" s="920">
        <f>IF(SETUP!$F$57="Upfront",$E$693*'Malaria-Equipment &amp; Other HPs'!AY19,0)</f>
        <v>0</v>
      </c>
      <c r="H694" s="920">
        <f>IF(SETUP!$F$57="Upfront",$E$693*'Malaria-Equipment &amp; Other HPs'!AZ19,0)</f>
        <v>0</v>
      </c>
      <c r="I694" s="920">
        <f>IF(SETUP!$F$57="Upfront",$E$693*'Malaria-Equipment &amp; Other HPs'!BA19,0)</f>
        <v>0</v>
      </c>
      <c r="J694" s="920">
        <f t="shared" si="105"/>
        <v>0</v>
      </c>
      <c r="K694" s="1016">
        <f>IF(SETUP!$F$57="Upfront",$E$693*'Malaria-Equipment &amp; Other HPs'!BB19,0)</f>
        <v>0</v>
      </c>
      <c r="L694" s="920">
        <f>IF(SETUP!$F$57="Upfront",$E$693*'Malaria-Equipment &amp; Other HPs'!BC19,0)</f>
        <v>0</v>
      </c>
      <c r="M694" s="920">
        <f>IF(SETUP!$F$57="Upfront",$E$693*'Malaria-Equipment &amp; Other HPs'!BD19,0)</f>
        <v>0</v>
      </c>
      <c r="N694" s="920">
        <f>IF(SETUP!$F$57="Upfront",$E$693*'Malaria-Equipment &amp; Other HPs'!BE19,0)</f>
        <v>0</v>
      </c>
      <c r="O694" s="920">
        <f t="shared" si="106"/>
        <v>0</v>
      </c>
      <c r="P694" s="1016">
        <f>IF(SETUP!$F$57="Upfront",$E$693*'Malaria-Equipment &amp; Other HPs'!BF19,0)</f>
        <v>0</v>
      </c>
      <c r="Q694" s="920">
        <f>IF(SETUP!$F$57="Upfront",$E$693*'Malaria-Equipment &amp; Other HPs'!BG19,0)</f>
        <v>0</v>
      </c>
      <c r="R694" s="920">
        <f>IF(SETUP!$F$57="Upfront",$E$693*'Malaria-Equipment &amp; Other HPs'!BH19,0)</f>
        <v>0</v>
      </c>
      <c r="S694" s="920">
        <f>IF(SETUP!$F$57="Upfront",$E$693*'Malaria-Equipment &amp; Other HPs'!BI19,0)</f>
        <v>0</v>
      </c>
      <c r="T694" s="920">
        <f t="shared" si="107"/>
        <v>0</v>
      </c>
      <c r="U694" s="1016">
        <f t="shared" si="108"/>
        <v>0</v>
      </c>
      <c r="V694" s="1344">
        <v>7.7</v>
      </c>
      <c r="W694" s="2011"/>
      <c r="X694" s="575"/>
      <c r="Y694" s="685"/>
      <c r="Z694" s="655"/>
      <c r="AA694" s="686"/>
      <c r="AB694" s="686"/>
      <c r="AC694" s="686"/>
      <c r="AD694" s="686"/>
      <c r="AE694" s="686"/>
      <c r="AF694" s="686"/>
      <c r="AG694" s="686"/>
      <c r="AH694" s="687"/>
      <c r="AI694" s="686"/>
      <c r="AJ694" s="686"/>
      <c r="AK694" s="686"/>
      <c r="AL694" s="686"/>
      <c r="AM694" s="686"/>
      <c r="AN694" s="686"/>
      <c r="AO694" s="686"/>
      <c r="AP694" s="686"/>
      <c r="AQ694" s="686"/>
      <c r="AR694" s="686"/>
      <c r="AS694" s="686"/>
      <c r="AT694" s="686"/>
      <c r="AU694" s="686"/>
      <c r="AV694" s="686"/>
      <c r="AW694" s="686"/>
      <c r="AX694" s="686"/>
      <c r="AY694" s="686"/>
      <c r="AZ694" s="686"/>
      <c r="BA694" s="686"/>
      <c r="BB694" s="686"/>
      <c r="BC694" s="686"/>
      <c r="BD694" s="686"/>
      <c r="BE694" s="686"/>
      <c r="BF694" s="686"/>
      <c r="BG694" s="686"/>
      <c r="BH694" s="686"/>
      <c r="BI694" s="686"/>
      <c r="BJ694" s="686"/>
      <c r="BK694" s="686"/>
      <c r="BL694" s="686"/>
      <c r="BM694" s="686"/>
      <c r="BN694" s="686"/>
      <c r="BO694" s="686"/>
      <c r="BP694" s="686"/>
      <c r="BQ694" s="686"/>
      <c r="BR694" s="686"/>
      <c r="BS694" s="686"/>
      <c r="BT694" s="686"/>
    </row>
    <row r="695" spans="1:72" s="688" customFormat="1" ht="17.25" hidden="1" customHeight="1" outlineLevel="1">
      <c r="A695" s="3227"/>
      <c r="B695" s="3228"/>
      <c r="C695" s="3182" t="s">
        <v>36</v>
      </c>
      <c r="D695" s="3182"/>
      <c r="E695" s="1579"/>
      <c r="F695" s="1016">
        <v>0</v>
      </c>
      <c r="G695" s="920">
        <f>IF(SETUP!$F$57="At delivery",IF(SETUP!$G$57=1,$E$693*'Malaria-Equipment &amp; Other HPs'!AX19,0),0)</f>
        <v>0</v>
      </c>
      <c r="H695" s="920">
        <f>IF(SETUP!$F$57="At delivery",IF(SETUP!$G$57=2,$E$693*'Malaria-Equipment &amp; Other HPs'!AX19,IF(SETUP!$G$57=1,$E$693*'Malaria-Equipment &amp; Other HPs'!AY19,0)),0)</f>
        <v>0</v>
      </c>
      <c r="I695" s="920">
        <f>IF(SETUP!$F$57="At delivery",IF(SETUP!$G$57=3,$E$693*'Malaria-Equipment &amp; Other HPs'!AX19,IF(SETUP!$G$57=2,$E$693*'Malaria-Equipment &amp; Other HPs'!AY19,IF(SETUP!$G$57=1,$E$693*'Malaria-Equipment &amp; Other HPs'!AZ19,0))),0)</f>
        <v>0</v>
      </c>
      <c r="J695" s="920">
        <f t="shared" si="105"/>
        <v>0</v>
      </c>
      <c r="K695" s="1016">
        <f>IF(SETUP!$F$57="At delivery",IF(SETUP!$G$57=4,$E$693*'Malaria-Equipment &amp; Other HPs'!AX19,IF(SETUP!$G$57=3,$E$693*'Malaria-Equipment &amp; Other HPs'!AY19,IF(SETUP!$G$57=2,$E$693*'Malaria-Equipment &amp; Other HPs'!AZ19,IF(SETUP!$G$57=1,$E$693*'Malaria-Equipment &amp; Other HPs'!BA19,0)))),0)</f>
        <v>0</v>
      </c>
      <c r="L695" s="920">
        <f>IF(SETUP!$F$57="At delivery",IF(SETUP!$G$57=4,$E$693*'Malaria-Equipment &amp; Other HPs'!AY19,IF(SETUP!$G$57=3,$E$693*'Malaria-Equipment &amp; Other HPs'!AZ19,IF(SETUP!$G$57=2,$E$693*'Malaria-Equipment &amp; Other HPs'!BA19,IF(SETUP!$G$57=1,$E$693*'Malaria-Equipment &amp; Other HPs'!BB19,0)))),0)</f>
        <v>0</v>
      </c>
      <c r="M695" s="920">
        <f>IF(SETUP!$F$57="At delivery",IF(SETUP!$G$57=4,$E$693*'Malaria-Equipment &amp; Other HPs'!AZ19,IF(SETUP!$G$57=3,$E$693*'Malaria-Equipment &amp; Other HPs'!BA19,IF(SETUP!$G$57=2,$E$693*'Malaria-Equipment &amp; Other HPs'!BB19,IF(SETUP!$G$57=1,$E$693*'Malaria-Equipment &amp; Other HPs'!BC19,0)))),0)</f>
        <v>0</v>
      </c>
      <c r="N695" s="920">
        <f>IF(SETUP!$F$57="At delivery",IF(SETUP!$G$57=4,$E$693*'Malaria-Equipment &amp; Other HPs'!BA19,IF(SETUP!$G$57=3,$E$693*'Malaria-Equipment &amp; Other HPs'!BB19,IF(SETUP!$G$57=2,$E$693*'Malaria-Equipment &amp; Other HPs'!BC19,IF(SETUP!$G$57=1,$E$693*'Malaria-Equipment &amp; Other HPs'!BD19,0)))),0)</f>
        <v>0</v>
      </c>
      <c r="O695" s="920">
        <f t="shared" si="106"/>
        <v>0</v>
      </c>
      <c r="P695" s="1016">
        <f>IF(SETUP!$F$57="At delivery",IF(SETUP!$G$57=4,$E$693*'Malaria-Equipment &amp; Other HPs'!BB19,IF(SETUP!$G$57=3,$E$693*'Malaria-Equipment &amp; Other HPs'!BC19,IF(SETUP!$G$57=2,$E$693*'Malaria-Equipment &amp; Other HPs'!BD19,IF(SETUP!$G$57=1,$E$693*'Malaria-Equipment &amp; Other HPs'!BE19,0)))),0)</f>
        <v>0</v>
      </c>
      <c r="Q695" s="920">
        <f>IF(SETUP!$F$57="At delivery",IF(SETUP!$G$57=4,$E$693*'Malaria-Equipment &amp; Other HPs'!BC19,IF(SETUP!$G$57=3,$E$693*'Malaria-Equipment &amp; Other HPs'!BD19,IF(SETUP!$G$57=2,$E$693*'Malaria-Equipment &amp; Other HPs'!BE19,IF(SETUP!$G$57=1,$E$693*'Malaria-Equipment &amp; Other HPs'!BF19,0)))),0)</f>
        <v>0</v>
      </c>
      <c r="R695" s="920">
        <f>IF(SETUP!$F$57="At delivery",IF(SETUP!$G$57=4,$E$693*'Malaria-Equipment &amp; Other HPs'!BD19,IF(SETUP!$G$57=3,$E$693*'Malaria-Equipment &amp; Other HPs'!BE19,IF(SETUP!$G$57=2,$E$693*'Malaria-Equipment &amp; Other HPs'!BF19,IF(SETUP!$G$57=1,$E$693*'Malaria-Equipment &amp; Other HPs'!BG19,0)))),0)</f>
        <v>0</v>
      </c>
      <c r="S695" s="920">
        <f>IF(SETUP!$F$57="At delivery",IF(SETUP!$G$57=4,$E$693*('Malaria-Equipment &amp; Other HPs'!BE19+'Malaria-Equipment &amp; Other HPs'!BF19+'Malaria-Equipment &amp; Other HPs'!BG19+'Malaria-Equipment &amp; Other HPs'!BH19+'Malaria-Equipment &amp; Other HPs'!BI19),IF(SETUP!$G$57=3,$E$693*('Malaria-Equipment &amp; Other HPs'!BF19+'Malaria-Equipment &amp; Other HPs'!BG19+'Malaria-Equipment &amp; Other HPs'!BH19+'Malaria-Equipment &amp; Other HPs'!BI19),IF(SETUP!$G$57=2,$E$693*('Malaria-Equipment &amp; Other HPs'!BG19+'Malaria-Equipment &amp; Other HPs'!BH19+'Malaria-Equipment &amp; Other HPs'!BI19),IF(SETUP!$G$57=1,$E$693*('Malaria-Equipment &amp; Other HPs'!BH19+'Malaria-Equipment &amp; Other HPs'!BI19),0)))),0)</f>
        <v>0</v>
      </c>
      <c r="T695" s="920">
        <f t="shared" si="107"/>
        <v>0</v>
      </c>
      <c r="U695" s="1016">
        <f t="shared" si="108"/>
        <v>0</v>
      </c>
      <c r="V695" s="1344">
        <v>7.7</v>
      </c>
      <c r="W695" s="2011"/>
      <c r="X695" s="575"/>
      <c r="Y695" s="685"/>
      <c r="Z695" s="655"/>
      <c r="AA695" s="686"/>
      <c r="AB695" s="686"/>
      <c r="AC695" s="686"/>
      <c r="AD695" s="686"/>
      <c r="AE695" s="686"/>
      <c r="AF695" s="686"/>
      <c r="AG695" s="686"/>
      <c r="AH695" s="687"/>
      <c r="AI695" s="686"/>
      <c r="AJ695" s="686"/>
      <c r="AK695" s="686"/>
      <c r="AL695" s="686"/>
      <c r="AM695" s="686"/>
      <c r="AN695" s="686"/>
      <c r="AO695" s="686"/>
      <c r="AP695" s="686"/>
      <c r="AQ695" s="686"/>
      <c r="AR695" s="686"/>
      <c r="AS695" s="686"/>
      <c r="AT695" s="686"/>
      <c r="AU695" s="686"/>
      <c r="AV695" s="686"/>
      <c r="AW695" s="686"/>
      <c r="AX695" s="686"/>
      <c r="AY695" s="686"/>
      <c r="AZ695" s="686"/>
      <c r="BA695" s="686"/>
      <c r="BB695" s="686"/>
      <c r="BC695" s="686"/>
      <c r="BD695" s="686"/>
      <c r="BE695" s="686"/>
      <c r="BF695" s="686"/>
      <c r="BG695" s="686"/>
      <c r="BH695" s="686"/>
      <c r="BI695" s="686"/>
      <c r="BJ695" s="686"/>
      <c r="BK695" s="686"/>
      <c r="BL695" s="686"/>
      <c r="BM695" s="686"/>
      <c r="BN695" s="686"/>
      <c r="BO695" s="686"/>
      <c r="BP695" s="686"/>
      <c r="BQ695" s="686"/>
      <c r="BR695" s="686"/>
      <c r="BS695" s="686"/>
      <c r="BT695" s="686"/>
    </row>
    <row r="696" spans="1:72" s="688" customFormat="1" ht="13.5" hidden="1" collapsed="1" thickBot="1">
      <c r="A696" s="3229"/>
      <c r="B696" s="3230"/>
      <c r="C696" s="3204" t="s">
        <v>459</v>
      </c>
      <c r="D696" s="3204"/>
      <c r="E696" s="1245">
        <v>0</v>
      </c>
      <c r="F696" s="1019">
        <f>IF(SETUP!$F$58="Upfront",F697,F698)</f>
        <v>0</v>
      </c>
      <c r="G696" s="1020">
        <f>IF(SETUP!$F$58="Upfront",G697,G698)</f>
        <v>0</v>
      </c>
      <c r="H696" s="1020">
        <f>IF(SETUP!$F$58="Upfront",H697,H698)</f>
        <v>0</v>
      </c>
      <c r="I696" s="1020">
        <f>IF(SETUP!$F$58="Upfront",I697,I698)</f>
        <v>0</v>
      </c>
      <c r="J696" s="1020">
        <f t="shared" si="105"/>
        <v>0</v>
      </c>
      <c r="K696" s="1368">
        <f>IF(SETUP!$F$58="Upfront",K697,K698)</f>
        <v>0</v>
      </c>
      <c r="L696" s="1020">
        <f>IF(SETUP!$F$58="Upfront",L697,L698)</f>
        <v>0</v>
      </c>
      <c r="M696" s="1020">
        <f>IF(SETUP!$F$58="Upfront",M697,M698)</f>
        <v>0</v>
      </c>
      <c r="N696" s="1020">
        <f>IF(SETUP!$F$58="Upfront",N697,N698)</f>
        <v>0</v>
      </c>
      <c r="O696" s="1020">
        <f t="shared" si="106"/>
        <v>0</v>
      </c>
      <c r="P696" s="1019">
        <f>IF(SETUP!$F$58="Upfront",P697,P698)</f>
        <v>0</v>
      </c>
      <c r="Q696" s="1020">
        <f>IF(SETUP!$F$58="Upfront",Q697,Q698)</f>
        <v>0</v>
      </c>
      <c r="R696" s="1020">
        <f>IF(SETUP!$F$58="Upfront",R697,R698)</f>
        <v>0</v>
      </c>
      <c r="S696" s="1020">
        <f>IF(SETUP!$F$58="Upfront",S697,S698)</f>
        <v>0</v>
      </c>
      <c r="T696" s="1020">
        <f t="shared" si="107"/>
        <v>0</v>
      </c>
      <c r="U696" s="1019">
        <f t="shared" si="108"/>
        <v>0</v>
      </c>
      <c r="V696" s="1325">
        <v>7.7</v>
      </c>
      <c r="W696" s="2016"/>
      <c r="X696" s="575"/>
      <c r="Y696" s="685"/>
      <c r="Z696" s="655"/>
      <c r="AA696" s="686"/>
      <c r="AB696" s="686"/>
      <c r="AC696" s="686"/>
      <c r="AD696" s="686"/>
      <c r="AE696" s="686"/>
      <c r="AF696" s="686"/>
      <c r="AG696" s="686"/>
      <c r="AH696" s="687"/>
      <c r="AI696" s="686"/>
      <c r="AJ696" s="686"/>
      <c r="AK696" s="686"/>
      <c r="AL696" s="686"/>
      <c r="AM696" s="686"/>
      <c r="AN696" s="686"/>
      <c r="AO696" s="686"/>
      <c r="AP696" s="686"/>
      <c r="AQ696" s="686"/>
      <c r="AR696" s="686"/>
      <c r="AS696" s="686"/>
      <c r="AT696" s="686"/>
      <c r="AU696" s="686"/>
      <c r="AV696" s="686"/>
      <c r="AW696" s="686"/>
      <c r="AX696" s="686"/>
      <c r="AY696" s="686"/>
      <c r="AZ696" s="686"/>
      <c r="BA696" s="686"/>
      <c r="BB696" s="686"/>
      <c r="BC696" s="686"/>
      <c r="BD696" s="686"/>
      <c r="BE696" s="686"/>
      <c r="BF696" s="686"/>
      <c r="BG696" s="686"/>
      <c r="BH696" s="686"/>
      <c r="BI696" s="686"/>
      <c r="BJ696" s="686"/>
      <c r="BK696" s="686"/>
      <c r="BL696" s="686"/>
      <c r="BM696" s="686"/>
      <c r="BN696" s="686"/>
      <c r="BO696" s="686"/>
      <c r="BP696" s="686"/>
      <c r="BQ696" s="686"/>
      <c r="BR696" s="686"/>
      <c r="BS696" s="686"/>
      <c r="BT696" s="686"/>
    </row>
    <row r="697" spans="1:72" s="688" customFormat="1" ht="12.75" hidden="1" customHeight="1" outlineLevel="1">
      <c r="A697" s="1027"/>
      <c r="B697" s="1028"/>
      <c r="C697" s="3241" t="s">
        <v>777</v>
      </c>
      <c r="D697" s="3241"/>
      <c r="E697" s="1013"/>
      <c r="F697" s="984">
        <f>IF(SETUP!$F$58="Upfront",$E$696*'Malaria-Equipment &amp; Other HPs'!AX20,0)</f>
        <v>0</v>
      </c>
      <c r="G697" s="985">
        <f>IF(SETUP!$F$58="Upfront",$E$696*'Malaria-Equipment &amp; Other HPs'!AY20,0)</f>
        <v>0</v>
      </c>
      <c r="H697" s="985">
        <f>IF(SETUP!$F$58="Upfront",$E$696*'Malaria-Equipment &amp; Other HPs'!AZ20,0)</f>
        <v>0</v>
      </c>
      <c r="I697" s="985">
        <f>IF(SETUP!$F$58="Upfront",$E$696*'Malaria-Equipment &amp; Other HPs'!BA20,0)</f>
        <v>0</v>
      </c>
      <c r="J697" s="986">
        <f>SUM('HPM costs'!$F697:$I697)</f>
        <v>0</v>
      </c>
      <c r="K697" s="984">
        <f>IF(SETUP!$F$58="Upfront",$E$696*'Malaria-Equipment &amp; Other HPs'!BB20,0)</f>
        <v>0</v>
      </c>
      <c r="L697" s="985">
        <f>IF(SETUP!$F$58="Upfront",$E$696*'Malaria-Equipment &amp; Other HPs'!BC20,0)</f>
        <v>0</v>
      </c>
      <c r="M697" s="985">
        <f>IF(SETUP!$F$58="Upfront",$E$696*'Malaria-Equipment &amp; Other HPs'!BD20,0)</f>
        <v>0</v>
      </c>
      <c r="N697" s="985">
        <f>IF(SETUP!$F$58="Upfront",$E$696*'Malaria-Equipment &amp; Other HPs'!BE20,0)</f>
        <v>0</v>
      </c>
      <c r="O697" s="986">
        <f>SUM('HPM costs'!$K697:$N697)</f>
        <v>0</v>
      </c>
      <c r="P697" s="984">
        <f>IF(SETUP!$F$58="Upfront",$E$696*'Malaria-Equipment &amp; Other HPs'!BF20,0)</f>
        <v>0</v>
      </c>
      <c r="Q697" s="985">
        <f>IF(SETUP!$F$58="Upfront",$E$696*'Malaria-Equipment &amp; Other HPs'!BG20,0)</f>
        <v>0</v>
      </c>
      <c r="R697" s="985">
        <f>IF(SETUP!$F$58="Upfront",$E$696*'Malaria-Equipment &amp; Other HPs'!BH20,0)</f>
        <v>0</v>
      </c>
      <c r="S697" s="985">
        <f>IF(SETUP!$F$58="Upfront",$E$696*'Malaria-Equipment &amp; Other HPs'!BI20,0)</f>
        <v>0</v>
      </c>
      <c r="T697" s="986">
        <f>SUM('HPM costs'!$P697:$S697)</f>
        <v>0</v>
      </c>
      <c r="U697" s="987">
        <f>'HPM costs'!$T697+'HPM costs'!$O697+'HPM costs'!$J697</f>
        <v>0</v>
      </c>
      <c r="V697" s="1333"/>
      <c r="W697" s="2009"/>
      <c r="X697" s="575"/>
      <c r="Y697" s="1046"/>
      <c r="Z697" s="655"/>
      <c r="AA697" s="1047"/>
      <c r="AB697" s="1047"/>
      <c r="AC697" s="1047"/>
      <c r="AD697" s="1047"/>
      <c r="AE697" s="1047"/>
      <c r="AF697" s="1047"/>
      <c r="AG697" s="1047"/>
      <c r="AH697" s="1048"/>
      <c r="AI697" s="1047"/>
      <c r="AJ697" s="1047"/>
      <c r="AK697" s="1047"/>
      <c r="AL697" s="1047"/>
      <c r="AM697" s="1047"/>
      <c r="AN697" s="1047"/>
      <c r="AO697" s="1047"/>
      <c r="AP697" s="1047"/>
      <c r="AQ697" s="1047"/>
      <c r="AR697" s="1047"/>
      <c r="AS697" s="1047"/>
      <c r="AT697" s="1047"/>
      <c r="AU697" s="1047"/>
      <c r="AV697" s="1047"/>
      <c r="AW697" s="1047"/>
      <c r="AX697" s="1047"/>
      <c r="AY697" s="1047"/>
      <c r="AZ697" s="1047"/>
      <c r="BA697" s="1047"/>
      <c r="BB697" s="1047"/>
      <c r="BC697" s="1047"/>
      <c r="BD697" s="1047"/>
      <c r="BE697" s="1047"/>
      <c r="BF697" s="1047"/>
      <c r="BG697" s="1047"/>
      <c r="BH697" s="1047"/>
      <c r="BI697" s="1047"/>
      <c r="BJ697" s="1047"/>
      <c r="BK697" s="1047"/>
      <c r="BL697" s="1047"/>
      <c r="BM697" s="1047"/>
      <c r="BN697" s="1047"/>
      <c r="BO697" s="1047"/>
      <c r="BP697" s="1047"/>
      <c r="BQ697" s="1047"/>
      <c r="BR697" s="1047"/>
      <c r="BS697" s="1047"/>
      <c r="BT697" s="1047"/>
    </row>
    <row r="698" spans="1:72" s="1329" customFormat="1" ht="13.5" hidden="1" customHeight="1" outlineLevel="1" thickBot="1">
      <c r="A698" s="976"/>
      <c r="B698" s="977"/>
      <c r="C698" s="3244" t="s">
        <v>36</v>
      </c>
      <c r="D698" s="3244"/>
      <c r="E698" s="1014"/>
      <c r="F698" s="1038">
        <v>0</v>
      </c>
      <c r="G698" s="1039">
        <f>IF(SETUP!$F$58="At delivery",IF(SETUP!$G$58=1,$E$696*'Malaria-Equipment &amp; Other HPs'!AX20,0),0)</f>
        <v>0</v>
      </c>
      <c r="H698" s="1039">
        <f>IF(SETUP!$F$58="At delivery",IF(SETUP!$G$58=2,$E$696*'Malaria-Equipment &amp; Other HPs'!AX20,IF(SETUP!$G$58=1,$E$696*'Malaria-Equipment &amp; Other HPs'!AY20,0)),0)</f>
        <v>0</v>
      </c>
      <c r="I698" s="1039">
        <f>IF(SETUP!$F$58="At delivery",IF(SETUP!$G$58=3,$E$696*'Malaria-Equipment &amp; Other HPs'!AX20,IF(SETUP!$G$58=2,$E$696*'Malaria-Equipment &amp; Other HPs'!AY20,IF(SETUP!$G$58=1,$E$696*'Malaria-Equipment &amp; Other HPs'!AZ20,0))),0)</f>
        <v>0</v>
      </c>
      <c r="J698" s="1040">
        <f>SUM('HPM costs'!$F698:$I698)</f>
        <v>0</v>
      </c>
      <c r="K698" s="1038">
        <f>IF(SETUP!$F$58="At delivery",IF(SETUP!$G$58=4,$E$696*'Malaria-Equipment &amp; Other HPs'!AX20,IF(SETUP!$G$58=3,$E$696*'Malaria-Equipment &amp; Other HPs'!AY20,IF(SETUP!$G$58=2,$E$696*'Malaria-Equipment &amp; Other HPs'!AZ20,IF(SETUP!$G$58=1,$E$696*'Malaria-Equipment &amp; Other HPs'!BA20,0)))),0)</f>
        <v>0</v>
      </c>
      <c r="L698" s="1039">
        <f>IF(SETUP!$F$58="At delivery",IF(SETUP!$G$58=4,$E$696*'Malaria-Equipment &amp; Other HPs'!AY20,IF(SETUP!$G$58=3,$E$696*'Malaria-Equipment &amp; Other HPs'!AZ20,IF(SETUP!$G$58=2,$E$696*'Malaria-Equipment &amp; Other HPs'!BA20,IF(SETUP!$G$58=1,$E$696*'Malaria-Equipment &amp; Other HPs'!BB20,0)))),0)</f>
        <v>0</v>
      </c>
      <c r="M698" s="1039">
        <f>IF(SETUP!$F$58="At delivery",IF(SETUP!$G$58=4,$E$696*'Malaria-Equipment &amp; Other HPs'!AZ20,IF(SETUP!$G$58=3,$E$696*'Malaria-Equipment &amp; Other HPs'!BA20,IF(SETUP!$G$58=2,$E$696*'Malaria-Equipment &amp; Other HPs'!BB20,IF(SETUP!$G$58=1,$E$696*'Malaria-Equipment &amp; Other HPs'!BC20,0)))),0)</f>
        <v>0</v>
      </c>
      <c r="N698" s="1039">
        <f>IF(SETUP!$F$58="At delivery",IF(SETUP!$G$58=4,$E$696*'Malaria-Equipment &amp; Other HPs'!BA20,IF(SETUP!$G$58=3,$E$696*'Malaria-Equipment &amp; Other HPs'!BB20,IF(SETUP!$G$58=2,$E$696*'Malaria-Equipment &amp; Other HPs'!BC20,IF(SETUP!$G$58=1,$E$696*'Malaria-Equipment &amp; Other HPs'!BD20,0)))),0)</f>
        <v>0</v>
      </c>
      <c r="O698" s="1040">
        <f>SUM('HPM costs'!$K698:$N698)</f>
        <v>0</v>
      </c>
      <c r="P698" s="1038">
        <f>IF(SETUP!$F$58="At delivery",IF(SETUP!$G$58=4,$E$696*'Malaria-Equipment &amp; Other HPs'!BB20,IF(SETUP!$G$58=3,$E$696*'Malaria-Equipment &amp; Other HPs'!BC20,IF(SETUP!$G$58=2,$E$696*'Malaria-Equipment &amp; Other HPs'!BD20,IF(SETUP!$G$58=1,$E$696*'Malaria-Equipment &amp; Other HPs'!BE20,0)))),0)</f>
        <v>0</v>
      </c>
      <c r="Q698" s="1039">
        <f>IF(SETUP!$F$58="At delivery",IF(SETUP!$G$58=4,$E$696*'Malaria-Equipment &amp; Other HPs'!BC20,IF(SETUP!$G$58=3,$E$696*'Malaria-Equipment &amp; Other HPs'!BD20,IF(SETUP!$G$58=2,$E$696*'Malaria-Equipment &amp; Other HPs'!BE20,IF(SETUP!$G$58=1,$E$696*'Malaria-Equipment &amp; Other HPs'!BF20,0)))),0)</f>
        <v>0</v>
      </c>
      <c r="R698" s="1039">
        <f>IF(SETUP!$F$58="At delivery",IF(SETUP!$G$58=4,$E$696*'Malaria-Equipment &amp; Other HPs'!BD20,IF(SETUP!$G$58=3,$E$696*'Malaria-Equipment &amp; Other HPs'!BE20,IF(SETUP!$G$58=2,$E$696*'Malaria-Equipment &amp; Other HPs'!BF20,IF(SETUP!$G$58=1,$E$696*'Malaria-Equipment &amp; Other HPs'!BG20,0)))),0)</f>
        <v>0</v>
      </c>
      <c r="S698" s="1039">
        <f>IF(SETUP!$F$58="At delivery",IF(SETUP!$G$58=4,$E$696*('Malaria-Equipment &amp; Other HPs'!BE20+'Malaria-Equipment &amp; Other HPs'!BF20+'Malaria-Equipment &amp; Other HPs'!BG20+'Malaria-Equipment &amp; Other HPs'!BH20+'Malaria-Equipment &amp; Other HPs'!BI20),IF(SETUP!$G$58=3,$E$696*('Malaria-Equipment &amp; Other HPs'!BF20+'Malaria-Equipment &amp; Other HPs'!BG20+'Malaria-Equipment &amp; Other HPs'!BH20+'Malaria-Equipment &amp; Other HPs'!BI20),IF(SETUP!$G$58=2,$E$696*('Malaria-Equipment &amp; Other HPs'!BG20+'Malaria-Equipment &amp; Other HPs'!BH20+'Malaria-Equipment &amp; Other HPs'!BI20),IF(SETUP!$G$58=1,$E$696*('Malaria-Equipment &amp; Other HPs'!BH20+'Malaria-Equipment &amp; Other HPs'!BI20),0)))),0)</f>
        <v>0</v>
      </c>
      <c r="T698" s="1040">
        <f>SUM('HPM costs'!$P698:$S698)</f>
        <v>0</v>
      </c>
      <c r="U698" s="1041">
        <f>'HPM costs'!$T698+'HPM costs'!$O698+'HPM costs'!$J698</f>
        <v>0</v>
      </c>
      <c r="V698" s="1332"/>
      <c r="W698" s="2014"/>
      <c r="X698" s="575"/>
      <c r="Z698" s="655"/>
      <c r="AH698" s="1330"/>
    </row>
    <row r="699" spans="1:72" s="688" customFormat="1" ht="13" collapsed="1">
      <c r="A699" s="681"/>
      <c r="B699" s="681"/>
      <c r="C699" s="682"/>
      <c r="D699" s="683"/>
      <c r="E699" s="724"/>
      <c r="F699" s="1034"/>
      <c r="G699" s="1034"/>
      <c r="H699" s="1043"/>
      <c r="I699" s="1043"/>
      <c r="J699" s="1043"/>
      <c r="K699" s="1043"/>
      <c r="L699" s="1044"/>
      <c r="M699" s="1043"/>
      <c r="N699" s="1043"/>
      <c r="O699" s="1043"/>
      <c r="P699" s="1043"/>
      <c r="Q699" s="1044"/>
      <c r="R699" s="1043"/>
      <c r="S699" s="1043"/>
      <c r="T699" s="1043"/>
      <c r="U699" s="1718"/>
      <c r="V699" s="745"/>
      <c r="W699" s="2014"/>
      <c r="X699" s="575"/>
      <c r="Y699" s="1326"/>
      <c r="Z699" s="655"/>
      <c r="AA699" s="1327"/>
      <c r="AB699" s="1327"/>
      <c r="AC699" s="1327"/>
      <c r="AD699" s="1327"/>
      <c r="AE699" s="1327"/>
      <c r="AF699" s="1327"/>
      <c r="AG699" s="1327"/>
      <c r="AH699" s="1328"/>
      <c r="AI699" s="1327"/>
      <c r="AJ699" s="1327"/>
      <c r="AK699" s="1327"/>
      <c r="AL699" s="1327"/>
      <c r="AM699" s="1327"/>
      <c r="AN699" s="1327"/>
      <c r="AO699" s="1327"/>
      <c r="AP699" s="1327"/>
      <c r="AQ699" s="1327"/>
      <c r="AR699" s="1327"/>
      <c r="AS699" s="1327"/>
      <c r="AT699" s="1327"/>
      <c r="AU699" s="1327"/>
      <c r="AV699" s="1327"/>
      <c r="AW699" s="1327"/>
      <c r="AX699" s="1327"/>
      <c r="AY699" s="1327"/>
      <c r="AZ699" s="1327"/>
      <c r="BA699" s="1327"/>
      <c r="BB699" s="1327"/>
      <c r="BC699" s="1327"/>
      <c r="BD699" s="1327"/>
      <c r="BE699" s="1327"/>
      <c r="BF699" s="1327"/>
      <c r="BG699" s="1327"/>
      <c r="BH699" s="1327"/>
      <c r="BI699" s="1327"/>
      <c r="BJ699" s="1327"/>
      <c r="BK699" s="1327"/>
      <c r="BL699" s="1327"/>
      <c r="BM699" s="1327"/>
      <c r="BN699" s="1327"/>
      <c r="BO699" s="1327"/>
      <c r="BP699" s="1327"/>
      <c r="BQ699" s="1327"/>
      <c r="BR699" s="1327"/>
      <c r="BS699" s="1327"/>
      <c r="BT699" s="1327"/>
    </row>
    <row r="700" spans="1:72" s="571" customFormat="1" ht="13">
      <c r="A700" s="564"/>
      <c r="B700" s="576"/>
      <c r="C700" s="576"/>
      <c r="D700" s="576"/>
      <c r="E700" s="725"/>
      <c r="F700" s="577"/>
      <c r="G700" s="577"/>
      <c r="H700" s="572"/>
      <c r="I700" s="572"/>
      <c r="J700" s="572"/>
      <c r="K700" s="572"/>
      <c r="L700" s="572"/>
      <c r="M700" s="572"/>
      <c r="N700" s="572"/>
      <c r="O700" s="572"/>
      <c r="P700" s="572"/>
      <c r="Q700" s="572"/>
      <c r="R700" s="572"/>
      <c r="S700" s="572"/>
      <c r="T700" s="572"/>
      <c r="U700" s="572"/>
      <c r="V700" s="742"/>
      <c r="W700" s="2018"/>
      <c r="X700" s="572"/>
      <c r="Y700" s="579"/>
      <c r="Z700" s="579"/>
      <c r="AA700" s="579"/>
      <c r="AB700" s="579"/>
      <c r="AC700" s="579"/>
      <c r="AD700" s="579"/>
      <c r="AE700" s="579"/>
      <c r="AF700" s="579"/>
      <c r="AG700" s="579"/>
      <c r="AH700" s="674"/>
      <c r="AI700" s="579"/>
      <c r="AJ700" s="579"/>
      <c r="AK700" s="579"/>
      <c r="AL700" s="579"/>
      <c r="AM700" s="579"/>
      <c r="AN700" s="579"/>
      <c r="AO700" s="579"/>
      <c r="AP700" s="579"/>
      <c r="AQ700" s="579"/>
      <c r="AR700" s="579"/>
      <c r="AS700" s="579"/>
      <c r="AT700" s="579"/>
      <c r="AU700" s="579"/>
      <c r="AV700" s="579"/>
      <c r="AW700" s="579"/>
      <c r="AX700" s="579"/>
      <c r="AY700" s="579"/>
      <c r="AZ700" s="579"/>
      <c r="BA700" s="579"/>
      <c r="BB700" s="579"/>
      <c r="BC700" s="579"/>
      <c r="BD700" s="579"/>
      <c r="BE700" s="579"/>
      <c r="BF700" s="579"/>
      <c r="BG700" s="579"/>
      <c r="BH700" s="579"/>
      <c r="BI700" s="579"/>
      <c r="BJ700" s="579"/>
      <c r="BK700" s="579"/>
      <c r="BL700" s="579"/>
      <c r="BM700" s="579"/>
      <c r="BN700" s="579"/>
      <c r="BO700" s="579"/>
      <c r="BP700" s="579"/>
      <c r="BQ700" s="579"/>
      <c r="BR700" s="579"/>
      <c r="BS700" s="579"/>
      <c r="BT700" s="579"/>
    </row>
    <row r="701" spans="1:72" s="571" customFormat="1" ht="13">
      <c r="A701" s="572"/>
      <c r="B701" s="572"/>
      <c r="C701" s="572"/>
      <c r="D701" s="572"/>
      <c r="E701" s="726"/>
      <c r="F701" s="572"/>
      <c r="G701" s="572"/>
      <c r="H701" s="572"/>
      <c r="I701" s="572"/>
      <c r="J701" s="572"/>
      <c r="K701" s="572"/>
      <c r="L701" s="572"/>
      <c r="M701" s="572"/>
      <c r="N701" s="572"/>
      <c r="O701" s="572"/>
      <c r="P701" s="572"/>
      <c r="Q701" s="572"/>
      <c r="R701" s="572"/>
      <c r="S701" s="572"/>
      <c r="T701" s="572"/>
      <c r="U701" s="572"/>
      <c r="V701" s="742"/>
      <c r="W701" s="2018"/>
      <c r="X701" s="572"/>
      <c r="Y701" s="689"/>
      <c r="Z701" s="579"/>
      <c r="AA701" s="579"/>
      <c r="AB701" s="579"/>
      <c r="AC701" s="579"/>
      <c r="AD701" s="579"/>
      <c r="AE701" s="579"/>
      <c r="AF701" s="579"/>
      <c r="AG701" s="579"/>
      <c r="AH701" s="674"/>
      <c r="AI701" s="579"/>
      <c r="AJ701" s="579"/>
      <c r="AK701" s="579"/>
      <c r="AL701" s="579"/>
      <c r="AM701" s="579"/>
      <c r="AN701" s="579"/>
      <c r="AO701" s="579"/>
      <c r="AP701" s="579"/>
      <c r="AQ701" s="579"/>
      <c r="AR701" s="579"/>
      <c r="AS701" s="579"/>
      <c r="AT701" s="579"/>
      <c r="AU701" s="579"/>
      <c r="AV701" s="579"/>
      <c r="AW701" s="579"/>
      <c r="AX701" s="579"/>
      <c r="AY701" s="579"/>
      <c r="AZ701" s="579"/>
      <c r="BA701" s="579"/>
      <c r="BB701" s="579"/>
      <c r="BC701" s="579"/>
      <c r="BD701" s="579"/>
      <c r="BE701" s="579"/>
      <c r="BF701" s="579"/>
      <c r="BG701" s="579"/>
      <c r="BH701" s="579"/>
      <c r="BI701" s="579"/>
      <c r="BJ701" s="579"/>
      <c r="BK701" s="579"/>
      <c r="BL701" s="579"/>
      <c r="BM701" s="579"/>
      <c r="BN701" s="579"/>
      <c r="BO701" s="579"/>
      <c r="BP701" s="579"/>
      <c r="BQ701" s="579"/>
      <c r="BR701" s="579"/>
      <c r="BS701" s="579"/>
      <c r="BT701" s="579"/>
    </row>
  </sheetData>
  <sheetProtection algorithmName="SHA-512" hashValue="ec6Fds1ErMTfKTqJn+iqE0GIrxolop70tJqfXxd+05mg596k2MfBHMyOJLhEiI7BAwrXgLsYGWdWU4cmc2mpzA==" saltValue="0v1f5jvV90EcsqwwAxl4uA==" spinCount="100000" sheet="1" autoFilter="0"/>
  <mergeCells count="803">
    <mergeCell ref="C188:D188"/>
    <mergeCell ref="E98:E100"/>
    <mergeCell ref="C101:D101"/>
    <mergeCell ref="C145:D145"/>
    <mergeCell ref="U12:U13"/>
    <mergeCell ref="V12:V13"/>
    <mergeCell ref="U98:U99"/>
    <mergeCell ref="V98:V99"/>
    <mergeCell ref="W531:W532"/>
    <mergeCell ref="W12:W14"/>
    <mergeCell ref="W98:W100"/>
    <mergeCell ref="C405:D405"/>
    <mergeCell ref="C406:D406"/>
    <mergeCell ref="O355:P356"/>
    <mergeCell ref="C385:D385"/>
    <mergeCell ref="C386:D386"/>
    <mergeCell ref="M355:N356"/>
    <mergeCell ref="K355:L356"/>
    <mergeCell ref="C318:D318"/>
    <mergeCell ref="C320:D320"/>
    <mergeCell ref="C321:D321"/>
    <mergeCell ref="C374:D374"/>
    <mergeCell ref="C380:D380"/>
    <mergeCell ref="C381:D381"/>
    <mergeCell ref="W616:W617"/>
    <mergeCell ref="W184:W186"/>
    <mergeCell ref="X184:X186"/>
    <mergeCell ref="W270:W272"/>
    <mergeCell ref="X270:X272"/>
    <mergeCell ref="U270:U271"/>
    <mergeCell ref="V270:V271"/>
    <mergeCell ref="U184:U185"/>
    <mergeCell ref="V184:V185"/>
    <mergeCell ref="X98:X100"/>
    <mergeCell ref="W359:W360"/>
    <mergeCell ref="W445:W446"/>
    <mergeCell ref="C146:D146"/>
    <mergeCell ref="C141:D141"/>
    <mergeCell ref="C142:D142"/>
    <mergeCell ref="C143:D143"/>
    <mergeCell ref="C144:D144"/>
    <mergeCell ref="C127:D127"/>
    <mergeCell ref="C128:D128"/>
    <mergeCell ref="C129:D129"/>
    <mergeCell ref="C130:D130"/>
    <mergeCell ref="C131:D131"/>
    <mergeCell ref="C105:D105"/>
    <mergeCell ref="C106:D106"/>
    <mergeCell ref="C138:D138"/>
    <mergeCell ref="C139:D139"/>
    <mergeCell ref="C140:D140"/>
    <mergeCell ref="C102:D102"/>
    <mergeCell ref="C103:D103"/>
    <mergeCell ref="A98:D100"/>
    <mergeCell ref="A108:B112"/>
    <mergeCell ref="A113:B133"/>
    <mergeCell ref="A134:B142"/>
    <mergeCell ref="C379:D379"/>
    <mergeCell ref="C372:D372"/>
    <mergeCell ref="C373:D373"/>
    <mergeCell ref="C338:D338"/>
    <mergeCell ref="C340:D340"/>
    <mergeCell ref="C341:D341"/>
    <mergeCell ref="C339:D339"/>
    <mergeCell ref="C378:D378"/>
    <mergeCell ref="C361:D361"/>
    <mergeCell ref="C362:D362"/>
    <mergeCell ref="C371:D371"/>
    <mergeCell ref="C368:D368"/>
    <mergeCell ref="C377:D377"/>
    <mergeCell ref="C369:D369"/>
    <mergeCell ref="C364:D364"/>
    <mergeCell ref="C375:D375"/>
    <mergeCell ref="C366:D366"/>
    <mergeCell ref="C365:D365"/>
    <mergeCell ref="C342:D342"/>
    <mergeCell ref="C345:D345"/>
    <mergeCell ref="C348:D348"/>
    <mergeCell ref="C353:D353"/>
    <mergeCell ref="C344:D344"/>
    <mergeCell ref="C351:D351"/>
    <mergeCell ref="Y98:Y99"/>
    <mergeCell ref="C56:D56"/>
    <mergeCell ref="C95:D95"/>
    <mergeCell ref="A97:E97"/>
    <mergeCell ref="C81:D81"/>
    <mergeCell ref="C89:D89"/>
    <mergeCell ref="C91:D91"/>
    <mergeCell ref="C92:D92"/>
    <mergeCell ref="C62:D62"/>
    <mergeCell ref="A69:B74"/>
    <mergeCell ref="C58:D58"/>
    <mergeCell ref="C59:D59"/>
    <mergeCell ref="C94:D94"/>
    <mergeCell ref="C72:D72"/>
    <mergeCell ref="C73:D73"/>
    <mergeCell ref="C93:D93"/>
    <mergeCell ref="C82:D82"/>
    <mergeCell ref="A75:B93"/>
    <mergeCell ref="C86:D86"/>
    <mergeCell ref="C88:D88"/>
    <mergeCell ref="C69:D69"/>
    <mergeCell ref="C70:D70"/>
    <mergeCell ref="C63:D63"/>
    <mergeCell ref="C77:D77"/>
    <mergeCell ref="C15:D15"/>
    <mergeCell ref="C18:D18"/>
    <mergeCell ref="C66:D66"/>
    <mergeCell ref="C67:D67"/>
    <mergeCell ref="C64:D64"/>
    <mergeCell ref="C65:D65"/>
    <mergeCell ref="C61:D61"/>
    <mergeCell ref="C51:D51"/>
    <mergeCell ref="C55:D55"/>
    <mergeCell ref="C25:D25"/>
    <mergeCell ref="C50:D50"/>
    <mergeCell ref="C43:D43"/>
    <mergeCell ref="C44:D44"/>
    <mergeCell ref="C22:D22"/>
    <mergeCell ref="C23:D23"/>
    <mergeCell ref="C39:D39"/>
    <mergeCell ref="C33:D33"/>
    <mergeCell ref="C24:D24"/>
    <mergeCell ref="C34:D34"/>
    <mergeCell ref="C41:D41"/>
    <mergeCell ref="C52:D52"/>
    <mergeCell ref="C53:D53"/>
    <mergeCell ref="C49:D49"/>
    <mergeCell ref="C46:D46"/>
    <mergeCell ref="C83:D83"/>
    <mergeCell ref="C242:D242"/>
    <mergeCell ref="C150:D150"/>
    <mergeCell ref="C154:D154"/>
    <mergeCell ref="C158:D158"/>
    <mergeCell ref="C85:D85"/>
    <mergeCell ref="C157:D157"/>
    <mergeCell ref="C191:D191"/>
    <mergeCell ref="C192:D192"/>
    <mergeCell ref="C224:D224"/>
    <mergeCell ref="C225:D225"/>
    <mergeCell ref="C226:D226"/>
    <mergeCell ref="C199:D199"/>
    <mergeCell ref="C200:D200"/>
    <mergeCell ref="C216:D216"/>
    <mergeCell ref="C217:D217"/>
    <mergeCell ref="C211:D211"/>
    <mergeCell ref="C212:D212"/>
    <mergeCell ref="C213:D213"/>
    <mergeCell ref="C214:D214"/>
    <mergeCell ref="C215:D215"/>
    <mergeCell ref="C196:D196"/>
    <mergeCell ref="C176:D176"/>
    <mergeCell ref="C181:D181"/>
    <mergeCell ref="C36:D36"/>
    <mergeCell ref="C37:D37"/>
    <mergeCell ref="C38:D38"/>
    <mergeCell ref="C57:D57"/>
    <mergeCell ref="C54:D54"/>
    <mergeCell ref="C68:D68"/>
    <mergeCell ref="C26:D26"/>
    <mergeCell ref="C149:D149"/>
    <mergeCell ref="C114:D114"/>
    <mergeCell ref="C115:D115"/>
    <mergeCell ref="C75:D75"/>
    <mergeCell ref="C30:D30"/>
    <mergeCell ref="C27:D27"/>
    <mergeCell ref="C31:D31"/>
    <mergeCell ref="C48:D48"/>
    <mergeCell ref="C118:D118"/>
    <mergeCell ref="C104:D104"/>
    <mergeCell ref="C60:D60"/>
    <mergeCell ref="C40:D40"/>
    <mergeCell ref="C45:D45"/>
    <mergeCell ref="C107:D107"/>
    <mergeCell ref="C42:D42"/>
    <mergeCell ref="C71:D71"/>
    <mergeCell ref="C74:D74"/>
    <mergeCell ref="C17:D17"/>
    <mergeCell ref="A22:B26"/>
    <mergeCell ref="A27:B47"/>
    <mergeCell ref="A57:B68"/>
    <mergeCell ref="A48:B56"/>
    <mergeCell ref="C35:D35"/>
    <mergeCell ref="C159:D159"/>
    <mergeCell ref="A155:B160"/>
    <mergeCell ref="C28:D28"/>
    <mergeCell ref="C29:D29"/>
    <mergeCell ref="C123:D123"/>
    <mergeCell ref="C124:D124"/>
    <mergeCell ref="C108:D108"/>
    <mergeCell ref="C109:D109"/>
    <mergeCell ref="C111:D111"/>
    <mergeCell ref="C112:D112"/>
    <mergeCell ref="C113:D113"/>
    <mergeCell ref="C78:D78"/>
    <mergeCell ref="C84:D84"/>
    <mergeCell ref="C87:D87"/>
    <mergeCell ref="C90:D90"/>
    <mergeCell ref="C116:D116"/>
    <mergeCell ref="C117:D117"/>
    <mergeCell ref="C32:D32"/>
    <mergeCell ref="I5:K6"/>
    <mergeCell ref="G5:H6"/>
    <mergeCell ref="A1:K1"/>
    <mergeCell ref="K8:L9"/>
    <mergeCell ref="M8:N9"/>
    <mergeCell ref="I3:K4"/>
    <mergeCell ref="B5:B6"/>
    <mergeCell ref="C5:E6"/>
    <mergeCell ref="B8:J9"/>
    <mergeCell ref="M1:M2"/>
    <mergeCell ref="B3:B4"/>
    <mergeCell ref="C3:E4"/>
    <mergeCell ref="G3:H4"/>
    <mergeCell ref="A7:J7"/>
    <mergeCell ref="A8:A9"/>
    <mergeCell ref="C471:D471"/>
    <mergeCell ref="C482:D482"/>
    <mergeCell ref="C483:D483"/>
    <mergeCell ref="C415:D415"/>
    <mergeCell ref="C416:D416"/>
    <mergeCell ref="C417:D417"/>
    <mergeCell ref="C421:D421"/>
    <mergeCell ref="C427:D427"/>
    <mergeCell ref="C428:D428"/>
    <mergeCell ref="C429:D429"/>
    <mergeCell ref="C430:D430"/>
    <mergeCell ref="C431:D431"/>
    <mergeCell ref="C432:D432"/>
    <mergeCell ref="C433:D433"/>
    <mergeCell ref="C466:D466"/>
    <mergeCell ref="C426:D426"/>
    <mergeCell ref="C479:D479"/>
    <mergeCell ref="C480:D480"/>
    <mergeCell ref="C455:D455"/>
    <mergeCell ref="C469:D469"/>
    <mergeCell ref="C470:D470"/>
    <mergeCell ref="C476:D476"/>
    <mergeCell ref="C454:D454"/>
    <mergeCell ref="C439:D439"/>
    <mergeCell ref="C437:D437"/>
    <mergeCell ref="C452:D452"/>
    <mergeCell ref="C418:D418"/>
    <mergeCell ref="C448:D448"/>
    <mergeCell ref="C259:D259"/>
    <mergeCell ref="C255:D255"/>
    <mergeCell ref="C257:D257"/>
    <mergeCell ref="C258:D258"/>
    <mergeCell ref="C327:D327"/>
    <mergeCell ref="C308:D308"/>
    <mergeCell ref="C333:D333"/>
    <mergeCell ref="C263:D263"/>
    <mergeCell ref="C264:D264"/>
    <mergeCell ref="C292:D292"/>
    <mergeCell ref="C262:D262"/>
    <mergeCell ref="C328:D328"/>
    <mergeCell ref="C329:D329"/>
    <mergeCell ref="C313:D313"/>
    <mergeCell ref="C331:D331"/>
    <mergeCell ref="C332:D332"/>
    <mergeCell ref="C266:D266"/>
    <mergeCell ref="A269:E269"/>
    <mergeCell ref="C322:D322"/>
    <mergeCell ref="C376:D376"/>
    <mergeCell ref="C164:D164"/>
    <mergeCell ref="C180:D180"/>
    <mergeCell ref="Y270:Y271"/>
    <mergeCell ref="C229:D229"/>
    <mergeCell ref="C230:D230"/>
    <mergeCell ref="C248:D248"/>
    <mergeCell ref="C250:D250"/>
    <mergeCell ref="C256:D256"/>
    <mergeCell ref="C218:D218"/>
    <mergeCell ref="C244:D244"/>
    <mergeCell ref="C231:D231"/>
    <mergeCell ref="F270:J271"/>
    <mergeCell ref="C267:D267"/>
    <mergeCell ref="C253:D253"/>
    <mergeCell ref="C261:D261"/>
    <mergeCell ref="C243:D243"/>
    <mergeCell ref="C245:D245"/>
    <mergeCell ref="C246:D246"/>
    <mergeCell ref="C234:D234"/>
    <mergeCell ref="C241:D241"/>
    <mergeCell ref="Y184:Y185"/>
    <mergeCell ref="A184:D186"/>
    <mergeCell ref="C251:D251"/>
    <mergeCell ref="C254:D254"/>
    <mergeCell ref="C249:D249"/>
    <mergeCell ref="K270:O271"/>
    <mergeCell ref="P270:T271"/>
    <mergeCell ref="C165:D165"/>
    <mergeCell ref="C166:D166"/>
    <mergeCell ref="C168:D168"/>
    <mergeCell ref="C169:D169"/>
    <mergeCell ref="C171:D171"/>
    <mergeCell ref="C167:D167"/>
    <mergeCell ref="C190:D190"/>
    <mergeCell ref="C172:D172"/>
    <mergeCell ref="C174:D174"/>
    <mergeCell ref="C238:D238"/>
    <mergeCell ref="C239:D239"/>
    <mergeCell ref="C240:D240"/>
    <mergeCell ref="C187:D187"/>
    <mergeCell ref="C170:D170"/>
    <mergeCell ref="C173:D173"/>
    <mergeCell ref="C179:D179"/>
    <mergeCell ref="C207:D207"/>
    <mergeCell ref="C197:D197"/>
    <mergeCell ref="C208:D208"/>
    <mergeCell ref="C209:D209"/>
    <mergeCell ref="C201:D201"/>
    <mergeCell ref="C210:D210"/>
    <mergeCell ref="C198:D198"/>
    <mergeCell ref="C236:D236"/>
    <mergeCell ref="C237:D237"/>
    <mergeCell ref="C220:D220"/>
    <mergeCell ref="C221:D221"/>
    <mergeCell ref="C222:D222"/>
    <mergeCell ref="C235:D235"/>
    <mergeCell ref="C223:D223"/>
    <mergeCell ref="C233:D233"/>
    <mergeCell ref="C203:D203"/>
    <mergeCell ref="C227:D227"/>
    <mergeCell ref="C228:D228"/>
    <mergeCell ref="C219:D219"/>
    <mergeCell ref="C202:D202"/>
    <mergeCell ref="C204:D204"/>
    <mergeCell ref="C206:D206"/>
    <mergeCell ref="O8:P9"/>
    <mergeCell ref="C76:D76"/>
    <mergeCell ref="A11:E11"/>
    <mergeCell ref="C152:D152"/>
    <mergeCell ref="C162:D162"/>
    <mergeCell ref="C21:D21"/>
    <mergeCell ref="A12:D14"/>
    <mergeCell ref="E12:E14"/>
    <mergeCell ref="C47:D47"/>
    <mergeCell ref="C132:D132"/>
    <mergeCell ref="C133:D133"/>
    <mergeCell ref="C134:D134"/>
    <mergeCell ref="C135:D135"/>
    <mergeCell ref="C136:D136"/>
    <mergeCell ref="C137:D137"/>
    <mergeCell ref="A15:B21"/>
    <mergeCell ref="A101:B107"/>
    <mergeCell ref="C110:D110"/>
    <mergeCell ref="A143:B154"/>
    <mergeCell ref="C156:D156"/>
    <mergeCell ref="C160:D160"/>
    <mergeCell ref="C19:D19"/>
    <mergeCell ref="C20:D20"/>
    <mergeCell ref="C16:D16"/>
    <mergeCell ref="C496:D496"/>
    <mergeCell ref="C491:D491"/>
    <mergeCell ref="C499:D499"/>
    <mergeCell ref="C79:D79"/>
    <mergeCell ref="C80:D80"/>
    <mergeCell ref="C122:D122"/>
    <mergeCell ref="C502:D502"/>
    <mergeCell ref="C503:D503"/>
    <mergeCell ref="C504:D504"/>
    <mergeCell ref="C401:D401"/>
    <mergeCell ref="C402:D402"/>
    <mergeCell ref="C403:D403"/>
    <mergeCell ref="C420:D420"/>
    <mergeCell ref="C434:D434"/>
    <mergeCell ref="C435:D435"/>
    <mergeCell ref="C414:D414"/>
    <mergeCell ref="C440:D440"/>
    <mergeCell ref="C330:D330"/>
    <mergeCell ref="C438:D438"/>
    <mergeCell ref="C441:D441"/>
    <mergeCell ref="C436:D436"/>
    <mergeCell ref="C473:D473"/>
    <mergeCell ref="C474:D474"/>
    <mergeCell ref="C475:D475"/>
    <mergeCell ref="C505:D505"/>
    <mergeCell ref="C506:D506"/>
    <mergeCell ref="A445:D446"/>
    <mergeCell ref="E445:E446"/>
    <mergeCell ref="C501:D501"/>
    <mergeCell ref="C449:D449"/>
    <mergeCell ref="C450:D450"/>
    <mergeCell ref="C457:D457"/>
    <mergeCell ref="C458:D458"/>
    <mergeCell ref="C459:D459"/>
    <mergeCell ref="C460:D460"/>
    <mergeCell ref="C488:D488"/>
    <mergeCell ref="C489:D489"/>
    <mergeCell ref="C447:D447"/>
    <mergeCell ref="C467:D467"/>
    <mergeCell ref="C461:D461"/>
    <mergeCell ref="C462:D462"/>
    <mergeCell ref="C463:D463"/>
    <mergeCell ref="C464:D464"/>
    <mergeCell ref="C465:D465"/>
    <mergeCell ref="C451:D451"/>
    <mergeCell ref="C484:D484"/>
    <mergeCell ref="C485:D485"/>
    <mergeCell ref="C472:D472"/>
    <mergeCell ref="C507:D507"/>
    <mergeCell ref="C508:D508"/>
    <mergeCell ref="C509:D509"/>
    <mergeCell ref="C510:D510"/>
    <mergeCell ref="C511:D511"/>
    <mergeCell ref="C512:D512"/>
    <mergeCell ref="C520:D520"/>
    <mergeCell ref="C521:D521"/>
    <mergeCell ref="C513:D513"/>
    <mergeCell ref="C516:D516"/>
    <mergeCell ref="C517:D517"/>
    <mergeCell ref="C558:D558"/>
    <mergeCell ref="C559:D559"/>
    <mergeCell ref="C560:D560"/>
    <mergeCell ref="C561:D561"/>
    <mergeCell ref="C533:D533"/>
    <mergeCell ref="C536:D536"/>
    <mergeCell ref="C537:D537"/>
    <mergeCell ref="C538:D538"/>
    <mergeCell ref="C539:D539"/>
    <mergeCell ref="C540:D540"/>
    <mergeCell ref="C541:D541"/>
    <mergeCell ref="C543:D543"/>
    <mergeCell ref="C544:D544"/>
    <mergeCell ref="C545:D545"/>
    <mergeCell ref="C546:D546"/>
    <mergeCell ref="C535:D535"/>
    <mergeCell ref="C547:D547"/>
    <mergeCell ref="C548:D548"/>
    <mergeCell ref="C549:D549"/>
    <mergeCell ref="C555:D555"/>
    <mergeCell ref="C591:D591"/>
    <mergeCell ref="C592:D592"/>
    <mergeCell ref="C587:D587"/>
    <mergeCell ref="C577:D577"/>
    <mergeCell ref="C578:D578"/>
    <mergeCell ref="C582:D582"/>
    <mergeCell ref="C583:D583"/>
    <mergeCell ref="C584:D584"/>
    <mergeCell ref="C585:D585"/>
    <mergeCell ref="C586:D586"/>
    <mergeCell ref="C579:D579"/>
    <mergeCell ref="C580:D580"/>
    <mergeCell ref="C581:D581"/>
    <mergeCell ref="C698:D698"/>
    <mergeCell ref="E690:E692"/>
    <mergeCell ref="C678:D678"/>
    <mergeCell ref="C679:D679"/>
    <mergeCell ref="C680:D680"/>
    <mergeCell ref="C681:D681"/>
    <mergeCell ref="C682:D682"/>
    <mergeCell ref="C683:D683"/>
    <mergeCell ref="C684:D684"/>
    <mergeCell ref="C685:D685"/>
    <mergeCell ref="C686:D686"/>
    <mergeCell ref="C687:D687"/>
    <mergeCell ref="C688:D688"/>
    <mergeCell ref="C689:D689"/>
    <mergeCell ref="C690:D690"/>
    <mergeCell ref="C694:D694"/>
    <mergeCell ref="C695:D695"/>
    <mergeCell ref="C696:D696"/>
    <mergeCell ref="C697:D697"/>
    <mergeCell ref="C522:D522"/>
    <mergeCell ref="C523:D523"/>
    <mergeCell ref="C524:D524"/>
    <mergeCell ref="C525:D525"/>
    <mergeCell ref="C526:D526"/>
    <mergeCell ref="C527:D527"/>
    <mergeCell ref="C490:D490"/>
    <mergeCell ref="C573:D573"/>
    <mergeCell ref="A531:D532"/>
    <mergeCell ref="C562:D562"/>
    <mergeCell ref="C563:D563"/>
    <mergeCell ref="C564:D564"/>
    <mergeCell ref="C565:D565"/>
    <mergeCell ref="C566:D566"/>
    <mergeCell ref="A507:B525"/>
    <mergeCell ref="C497:D497"/>
    <mergeCell ref="C498:D498"/>
    <mergeCell ref="C571:D571"/>
    <mergeCell ref="C572:D572"/>
    <mergeCell ref="C492:D492"/>
    <mergeCell ref="C551:D551"/>
    <mergeCell ref="C552:D552"/>
    <mergeCell ref="C553:D553"/>
    <mergeCell ref="C557:D557"/>
    <mergeCell ref="C663:D663"/>
    <mergeCell ref="C658:D658"/>
    <mergeCell ref="C659:D659"/>
    <mergeCell ref="C645:D645"/>
    <mergeCell ref="C619:D619"/>
    <mergeCell ref="C620:D620"/>
    <mergeCell ref="C625:D625"/>
    <mergeCell ref="C640:D640"/>
    <mergeCell ref="C641:D641"/>
    <mergeCell ref="C627:D627"/>
    <mergeCell ref="C622:D622"/>
    <mergeCell ref="C623:D623"/>
    <mergeCell ref="C624:D624"/>
    <mergeCell ref="C621:D621"/>
    <mergeCell ref="C626:D626"/>
    <mergeCell ref="C628:D628"/>
    <mergeCell ref="C629:D629"/>
    <mergeCell ref="C630:D630"/>
    <mergeCell ref="C631:D631"/>
    <mergeCell ref="C632:D632"/>
    <mergeCell ref="A678:B696"/>
    <mergeCell ref="C693:D693"/>
    <mergeCell ref="C670:D670"/>
    <mergeCell ref="C671:D671"/>
    <mergeCell ref="C633:D633"/>
    <mergeCell ref="C634:D634"/>
    <mergeCell ref="C635:D635"/>
    <mergeCell ref="C636:D636"/>
    <mergeCell ref="C637:D637"/>
    <mergeCell ref="C638:D638"/>
    <mergeCell ref="C642:D642"/>
    <mergeCell ref="C643:D643"/>
    <mergeCell ref="C644:D644"/>
    <mergeCell ref="C691:D691"/>
    <mergeCell ref="C692:D692"/>
    <mergeCell ref="C666:D666"/>
    <mergeCell ref="C653:D653"/>
    <mergeCell ref="C648:D648"/>
    <mergeCell ref="C639:D639"/>
    <mergeCell ref="C650:D650"/>
    <mergeCell ref="C661:D661"/>
    <mergeCell ref="C664:D664"/>
    <mergeCell ref="C665:D665"/>
    <mergeCell ref="C660:D660"/>
    <mergeCell ref="C612:D612"/>
    <mergeCell ref="C613:D613"/>
    <mergeCell ref="C576:D576"/>
    <mergeCell ref="C609:D609"/>
    <mergeCell ref="C500:D500"/>
    <mergeCell ref="C514:D514"/>
    <mergeCell ref="C515:D515"/>
    <mergeCell ref="C550:D550"/>
    <mergeCell ref="C542:D542"/>
    <mergeCell ref="C534:D534"/>
    <mergeCell ref="C518:D518"/>
    <mergeCell ref="C519:D519"/>
    <mergeCell ref="C574:D574"/>
    <mergeCell ref="C567:D567"/>
    <mergeCell ref="C575:D575"/>
    <mergeCell ref="C601:D601"/>
    <mergeCell ref="C602:D602"/>
    <mergeCell ref="C608:D608"/>
    <mergeCell ref="C603:D603"/>
    <mergeCell ref="C604:D604"/>
    <mergeCell ref="C605:D605"/>
    <mergeCell ref="C588:D588"/>
    <mergeCell ref="C589:D589"/>
    <mergeCell ref="C590:D590"/>
    <mergeCell ref="C419:D419"/>
    <mergeCell ref="C232:D232"/>
    <mergeCell ref="C367:D367"/>
    <mergeCell ref="C287:D287"/>
    <mergeCell ref="C288:D288"/>
    <mergeCell ref="C294:D294"/>
    <mergeCell ref="C295:D295"/>
    <mergeCell ref="C296:D296"/>
    <mergeCell ref="C316:D316"/>
    <mergeCell ref="C317:D317"/>
    <mergeCell ref="C293:D293"/>
    <mergeCell ref="C297:D297"/>
    <mergeCell ref="C298:D298"/>
    <mergeCell ref="C319:D319"/>
    <mergeCell ref="C350:D350"/>
    <mergeCell ref="C352:D352"/>
    <mergeCell ref="B355:J356"/>
    <mergeCell ref="C302:D302"/>
    <mergeCell ref="C323:D323"/>
    <mergeCell ref="C324:D324"/>
    <mergeCell ref="C325:D325"/>
    <mergeCell ref="C326:D326"/>
    <mergeCell ref="C343:D343"/>
    <mergeCell ref="C275:D275"/>
    <mergeCell ref="A199:B219"/>
    <mergeCell ref="C391:D391"/>
    <mergeCell ref="C392:D392"/>
    <mergeCell ref="C393:D393"/>
    <mergeCell ref="C394:D394"/>
    <mergeCell ref="C303:D303"/>
    <mergeCell ref="C304:D304"/>
    <mergeCell ref="C305:D305"/>
    <mergeCell ref="C306:D306"/>
    <mergeCell ref="C307:D307"/>
    <mergeCell ref="C314:D314"/>
    <mergeCell ref="C315:D315"/>
    <mergeCell ref="A368:B372"/>
    <mergeCell ref="A373:B393"/>
    <mergeCell ref="A361:B367"/>
    <mergeCell ref="C387:D387"/>
    <mergeCell ref="C388:D388"/>
    <mergeCell ref="C389:D389"/>
    <mergeCell ref="C390:D390"/>
    <mergeCell ref="C370:D370"/>
    <mergeCell ref="C382:D382"/>
    <mergeCell ref="C383:D383"/>
    <mergeCell ref="C363:D363"/>
    <mergeCell ref="C205:D205"/>
    <mergeCell ref="F359:J360"/>
    <mergeCell ref="K359:O360"/>
    <mergeCell ref="P359:T360"/>
    <mergeCell ref="C277:D277"/>
    <mergeCell ref="C278:D278"/>
    <mergeCell ref="C279:D279"/>
    <mergeCell ref="C280:D280"/>
    <mergeCell ref="C281:D281"/>
    <mergeCell ref="C283:D283"/>
    <mergeCell ref="C284:D284"/>
    <mergeCell ref="C285:D285"/>
    <mergeCell ref="C286:D286"/>
    <mergeCell ref="E359:E360"/>
    <mergeCell ref="C300:D300"/>
    <mergeCell ref="C301:D301"/>
    <mergeCell ref="C336:D336"/>
    <mergeCell ref="C309:D309"/>
    <mergeCell ref="C310:D310"/>
    <mergeCell ref="C311:D311"/>
    <mergeCell ref="C312:D312"/>
    <mergeCell ref="C273:D273"/>
    <mergeCell ref="C282:D282"/>
    <mergeCell ref="A359:D360"/>
    <mergeCell ref="E270:E272"/>
    <mergeCell ref="C335:D335"/>
    <mergeCell ref="C337:D337"/>
    <mergeCell ref="C346:D346"/>
    <mergeCell ref="C347:D347"/>
    <mergeCell ref="C299:D299"/>
    <mergeCell ref="A270:D272"/>
    <mergeCell ref="A315:B326"/>
    <mergeCell ref="C276:D276"/>
    <mergeCell ref="C274:D274"/>
    <mergeCell ref="A587:B592"/>
    <mergeCell ref="A575:B586"/>
    <mergeCell ref="A220:B228"/>
    <mergeCell ref="A229:B240"/>
    <mergeCell ref="A241:B246"/>
    <mergeCell ref="A280:B284"/>
    <mergeCell ref="C396:D396"/>
    <mergeCell ref="C400:D400"/>
    <mergeCell ref="C407:D407"/>
    <mergeCell ref="C289:D289"/>
    <mergeCell ref="C290:D290"/>
    <mergeCell ref="C291:D291"/>
    <mergeCell ref="C399:D399"/>
    <mergeCell ref="C265:D265"/>
    <mergeCell ref="C260:D260"/>
    <mergeCell ref="C247:D247"/>
    <mergeCell ref="C252:D252"/>
    <mergeCell ref="C556:D556"/>
    <mergeCell ref="C494:D494"/>
    <mergeCell ref="A273:B279"/>
    <mergeCell ref="A355:A356"/>
    <mergeCell ref="A247:B265"/>
    <mergeCell ref="A333:B351"/>
    <mergeCell ref="C334:D334"/>
    <mergeCell ref="F531:J532"/>
    <mergeCell ref="A285:B305"/>
    <mergeCell ref="A306:B314"/>
    <mergeCell ref="A327:B332"/>
    <mergeCell ref="K531:O532"/>
    <mergeCell ref="P531:T532"/>
    <mergeCell ref="F616:J617"/>
    <mergeCell ref="K616:O617"/>
    <mergeCell ref="P616:T617"/>
    <mergeCell ref="C481:D481"/>
    <mergeCell ref="F445:J446"/>
    <mergeCell ref="K445:O446"/>
    <mergeCell ref="P445:T446"/>
    <mergeCell ref="A616:D617"/>
    <mergeCell ref="E616:E617"/>
    <mergeCell ref="A593:B611"/>
    <mergeCell ref="C593:D593"/>
    <mergeCell ref="C594:D594"/>
    <mergeCell ref="C595:D595"/>
    <mergeCell ref="C596:D596"/>
    <mergeCell ref="C597:D597"/>
    <mergeCell ref="C598:D598"/>
    <mergeCell ref="C606:D606"/>
    <mergeCell ref="C384:D384"/>
    <mergeCell ref="C607:D607"/>
    <mergeCell ref="C493:D493"/>
    <mergeCell ref="F12:J13"/>
    <mergeCell ref="K12:O13"/>
    <mergeCell ref="P12:T13"/>
    <mergeCell ref="F98:J99"/>
    <mergeCell ref="K98:O99"/>
    <mergeCell ref="P98:T99"/>
    <mergeCell ref="F184:J185"/>
    <mergeCell ref="K184:O185"/>
    <mergeCell ref="P184:T185"/>
    <mergeCell ref="C486:D486"/>
    <mergeCell ref="C487:D487"/>
    <mergeCell ref="C412:D412"/>
    <mergeCell ref="C413:D413"/>
    <mergeCell ref="C397:D397"/>
    <mergeCell ref="C398:D398"/>
    <mergeCell ref="C395:D395"/>
    <mergeCell ref="C404:D404"/>
    <mergeCell ref="C456:D456"/>
    <mergeCell ref="C408:D408"/>
    <mergeCell ref="C409:D409"/>
    <mergeCell ref="C468:D468"/>
    <mergeCell ref="C349:D349"/>
    <mergeCell ref="A194:B198"/>
    <mergeCell ref="A187:B193"/>
    <mergeCell ref="A183:E183"/>
    <mergeCell ref="E184:E186"/>
    <mergeCell ref="C193:D193"/>
    <mergeCell ref="C189:D189"/>
    <mergeCell ref="C119:D119"/>
    <mergeCell ref="C120:D120"/>
    <mergeCell ref="C121:D121"/>
    <mergeCell ref="C125:D125"/>
    <mergeCell ref="C175:D175"/>
    <mergeCell ref="C177:D177"/>
    <mergeCell ref="C178:D178"/>
    <mergeCell ref="C161:D161"/>
    <mergeCell ref="C126:D126"/>
    <mergeCell ref="C148:D148"/>
    <mergeCell ref="C155:D155"/>
    <mergeCell ref="C151:D151"/>
    <mergeCell ref="C147:D147"/>
    <mergeCell ref="C194:D194"/>
    <mergeCell ref="C195:D195"/>
    <mergeCell ref="A161:B179"/>
    <mergeCell ref="C153:D153"/>
    <mergeCell ref="C163:D163"/>
    <mergeCell ref="C422:D422"/>
    <mergeCell ref="C423:D423"/>
    <mergeCell ref="C424:D424"/>
    <mergeCell ref="C425:D425"/>
    <mergeCell ref="C453:D453"/>
    <mergeCell ref="C410:D410"/>
    <mergeCell ref="C411:D411"/>
    <mergeCell ref="A618:B624"/>
    <mergeCell ref="C568:D568"/>
    <mergeCell ref="C569:D569"/>
    <mergeCell ref="C570:D570"/>
    <mergeCell ref="A533:B539"/>
    <mergeCell ref="C477:D477"/>
    <mergeCell ref="C478:D478"/>
    <mergeCell ref="C554:D554"/>
    <mergeCell ref="A540:B544"/>
    <mergeCell ref="A545:B565"/>
    <mergeCell ref="A566:B574"/>
    <mergeCell ref="C495:D495"/>
    <mergeCell ref="C618:D618"/>
    <mergeCell ref="C610:D610"/>
    <mergeCell ref="C611:D611"/>
    <mergeCell ref="C599:D599"/>
    <mergeCell ref="C600:D600"/>
    <mergeCell ref="A394:B402"/>
    <mergeCell ref="A403:B414"/>
    <mergeCell ref="A454:B458"/>
    <mergeCell ref="A459:B479"/>
    <mergeCell ref="A480:B488"/>
    <mergeCell ref="A501:B506"/>
    <mergeCell ref="A489:B500"/>
    <mergeCell ref="A415:B420"/>
    <mergeCell ref="A447:B453"/>
    <mergeCell ref="A421:B439"/>
    <mergeCell ref="C673:D673"/>
    <mergeCell ref="C674:D674"/>
    <mergeCell ref="C675:D675"/>
    <mergeCell ref="C676:D676"/>
    <mergeCell ref="C677:D677"/>
    <mergeCell ref="A625:B629"/>
    <mergeCell ref="A630:B650"/>
    <mergeCell ref="A651:B659"/>
    <mergeCell ref="A660:B671"/>
    <mergeCell ref="C654:D654"/>
    <mergeCell ref="C655:D655"/>
    <mergeCell ref="C656:D656"/>
    <mergeCell ref="C657:D657"/>
    <mergeCell ref="C667:D667"/>
    <mergeCell ref="A672:B677"/>
    <mergeCell ref="C672:D672"/>
    <mergeCell ref="C668:D668"/>
    <mergeCell ref="C669:D669"/>
    <mergeCell ref="C646:D646"/>
    <mergeCell ref="C647:D647"/>
    <mergeCell ref="C649:D649"/>
    <mergeCell ref="C651:D651"/>
    <mergeCell ref="C652:D652"/>
    <mergeCell ref="C662:D662"/>
    <mergeCell ref="E427:E429"/>
    <mergeCell ref="E430:E432"/>
    <mergeCell ref="E513:E515"/>
    <mergeCell ref="E516:E518"/>
    <mergeCell ref="E599:E601"/>
    <mergeCell ref="E602:E604"/>
    <mergeCell ref="E684:E686"/>
    <mergeCell ref="E687:E689"/>
    <mergeCell ref="E605:E607"/>
    <mergeCell ref="E531:E532"/>
    <mergeCell ref="E519:E521"/>
    <mergeCell ref="E433:E435"/>
  </mergeCells>
  <conditionalFormatting sqref="F15:V93">
    <cfRule type="expression" dxfId="632" priority="16">
      <formula>MOD(ROW(),2)</formula>
    </cfRule>
  </conditionalFormatting>
  <conditionalFormatting sqref="F101:V179">
    <cfRule type="expression" dxfId="631" priority="15">
      <formula>MOD(ROW(),2)</formula>
    </cfRule>
  </conditionalFormatting>
  <conditionalFormatting sqref="F187:V265">
    <cfRule type="expression" dxfId="630" priority="14">
      <formula>MOD(ROW(),2)</formula>
    </cfRule>
  </conditionalFormatting>
  <conditionalFormatting sqref="F273:V351">
    <cfRule type="expression" dxfId="629" priority="13">
      <formula>MOD(ROW(),2)</formula>
    </cfRule>
  </conditionalFormatting>
  <conditionalFormatting sqref="F361:V439">
    <cfRule type="expression" dxfId="628" priority="12">
      <formula>MOD(ROW(),2)</formula>
    </cfRule>
  </conditionalFormatting>
  <conditionalFormatting sqref="F447:V525">
    <cfRule type="expression" dxfId="627" priority="11">
      <formula>MOD(ROW(),2)</formula>
    </cfRule>
  </conditionalFormatting>
  <conditionalFormatting sqref="F533:V611">
    <cfRule type="expression" dxfId="626" priority="10">
      <formula>MOD(ROW(),2)</formula>
    </cfRule>
  </conditionalFormatting>
  <conditionalFormatting sqref="F618:V696">
    <cfRule type="expression" dxfId="625" priority="9">
      <formula>MOD(ROW(),2)</formula>
    </cfRule>
  </conditionalFormatting>
  <conditionalFormatting sqref="W15:W93">
    <cfRule type="expression" dxfId="624" priority="8">
      <formula>MOD(ROW(),2)</formula>
    </cfRule>
  </conditionalFormatting>
  <conditionalFormatting sqref="W101:X179">
    <cfRule type="expression" dxfId="623" priority="7">
      <formula>MOD(ROW(),2)</formula>
    </cfRule>
  </conditionalFormatting>
  <conditionalFormatting sqref="W187:X265">
    <cfRule type="expression" dxfId="622" priority="6">
      <formula>MOD(ROW(),2)</formula>
    </cfRule>
  </conditionalFormatting>
  <conditionalFormatting sqref="W273:X351">
    <cfRule type="expression" dxfId="621" priority="5">
      <formula>MOD(ROW(),2)</formula>
    </cfRule>
  </conditionalFormatting>
  <conditionalFormatting sqref="W361:W439">
    <cfRule type="expression" dxfId="620" priority="4">
      <formula>MOD(ROW(),2)</formula>
    </cfRule>
  </conditionalFormatting>
  <conditionalFormatting sqref="W447:W525">
    <cfRule type="expression" dxfId="619" priority="3">
      <formula>MOD(ROW(),2)</formula>
    </cfRule>
  </conditionalFormatting>
  <conditionalFormatting sqref="W533:W611">
    <cfRule type="expression" dxfId="618" priority="2">
      <formula>MOD(ROW(),2)</formula>
    </cfRule>
  </conditionalFormatting>
  <conditionalFormatting sqref="W618:W696">
    <cfRule type="expression" dxfId="617" priority="1">
      <formula>MOD(ROW(),2)</formula>
    </cfRule>
  </conditionalFormatting>
  <dataValidations count="1">
    <dataValidation type="decimal" allowBlank="1" showInputMessage="1" showErrorMessage="1" sqref="E15:E93 E101:E179 E187:E265 E602 E430 E516 E687 E618:E684 E273:E351 E361:E427 E433:E439 E447:E513 E519:E525 E533:E599 E605:E611 E690:E696" xr:uid="{00000000-0002-0000-1000-000000000000}">
      <formula1>0</formula1>
      <formula2>10</formula2>
    </dataValidation>
  </dataValidations>
  <hyperlinks>
    <hyperlink ref="K8:L9" location="'HPM costs'!A355" display="Go to In-Country SC Management (Section 2) " xr:uid="{00000000-0004-0000-1000-000000000000}"/>
    <hyperlink ref="M8:N9" location="'RSSH- HPM &amp;Lab System'!A8" display="'RSSH- HPM &amp;Lab System'!A8" xr:uid="{00000000-0004-0000-1000-000001000000}"/>
    <hyperlink ref="K355:L356" location="'HPM costs'!A1" display="'HPM costs'!A1" xr:uid="{00000000-0004-0000-1000-000002000000}"/>
    <hyperlink ref="O8:P9" location="'RSSH- HPM &amp;Lab System'!A50" display="'RSSH- HPM &amp;Lab System'!A50" xr:uid="{00000000-0004-0000-1000-000003000000}"/>
    <hyperlink ref="O355:P356" location="'RSSH- HPM &amp;Lab System'!A50" display="'RSSH- HPM &amp;Lab System'!A50" xr:uid="{00000000-0004-0000-1000-000004000000}"/>
  </hyperlinks>
  <pageMargins left="0.7" right="0.7"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2">
    <tabColor theme="0" tint="-0.499984740745262"/>
  </sheetPr>
  <dimension ref="A1:BS90"/>
  <sheetViews>
    <sheetView showGridLines="0" topLeftCell="A10" zoomScale="85" zoomScaleNormal="85" workbookViewId="0">
      <selection activeCell="A15" sqref="A15:D15"/>
    </sheetView>
  </sheetViews>
  <sheetFormatPr baseColWidth="10" defaultColWidth="8.7265625" defaultRowHeight="14.5"/>
  <cols>
    <col min="1" max="11" width="12.7265625" customWidth="1"/>
    <col min="13" max="13" width="9.26953125" customWidth="1"/>
    <col min="25" max="25" width="14.26953125" bestFit="1" customWidth="1"/>
    <col min="30" max="30" width="13.26953125" bestFit="1" customWidth="1"/>
  </cols>
  <sheetData>
    <row r="1" spans="1:71" s="546" customFormat="1" ht="24" customHeight="1" thickBot="1">
      <c r="A1" s="3258" t="s">
        <v>2669</v>
      </c>
      <c r="B1" s="3259"/>
      <c r="C1" s="3259"/>
      <c r="D1" s="3259"/>
      <c r="E1" s="3259"/>
      <c r="F1" s="3259"/>
      <c r="G1" s="3259"/>
      <c r="H1" s="3259"/>
      <c r="I1" s="3259"/>
      <c r="J1" s="3259"/>
      <c r="K1" s="3260"/>
      <c r="L1" s="1290"/>
      <c r="M1" s="3349"/>
      <c r="N1" s="3349"/>
      <c r="O1" s="988"/>
      <c r="P1" s="544"/>
      <c r="Q1" s="544"/>
      <c r="R1" s="544"/>
      <c r="S1" s="544"/>
      <c r="T1" s="544"/>
      <c r="U1" s="544"/>
      <c r="V1" s="544"/>
      <c r="W1" s="544"/>
      <c r="X1" s="544"/>
      <c r="Y1" s="544"/>
      <c r="Z1" s="544"/>
      <c r="AA1" s="544"/>
      <c r="AB1" s="544"/>
      <c r="AC1" s="544"/>
      <c r="AD1" s="544"/>
      <c r="AE1" s="544"/>
      <c r="AF1" s="544"/>
      <c r="AG1" s="545"/>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row>
    <row r="2" spans="1:71" s="546" customFormat="1" ht="15" thickBot="1">
      <c r="A2" s="125"/>
      <c r="B2" s="125"/>
      <c r="C2" s="125"/>
      <c r="D2" s="125"/>
      <c r="E2" s="125"/>
      <c r="F2" s="125"/>
      <c r="G2" s="125"/>
      <c r="H2" s="125"/>
      <c r="I2" s="216"/>
      <c r="J2" s="547"/>
      <c r="K2" s="548"/>
      <c r="L2" s="543"/>
      <c r="M2" s="2238"/>
      <c r="N2" s="2238"/>
      <c r="O2" s="988"/>
      <c r="P2" s="544"/>
      <c r="Q2" s="544"/>
      <c r="R2" s="544"/>
      <c r="S2" s="544"/>
      <c r="T2" s="544"/>
      <c r="U2" s="544"/>
      <c r="V2" s="544"/>
      <c r="W2" s="544"/>
      <c r="X2" s="544"/>
      <c r="Y2" s="544"/>
      <c r="Z2" s="544"/>
      <c r="AA2" s="544"/>
      <c r="AB2" s="544"/>
      <c r="AC2" s="544"/>
      <c r="AD2" s="544"/>
      <c r="AE2" s="544"/>
      <c r="AF2" s="544"/>
      <c r="AG2" s="545"/>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row>
    <row r="3" spans="1:71" s="546" customFormat="1" ht="15" customHeight="1" thickBot="1">
      <c r="A3" s="275"/>
      <c r="B3" s="3271" t="s">
        <v>1</v>
      </c>
      <c r="C3" s="3273" t="str">
        <f>SETUP!$E$3</f>
        <v>El Salvador</v>
      </c>
      <c r="D3" s="3273"/>
      <c r="E3" s="3273"/>
      <c r="F3" s="549"/>
      <c r="G3" s="3275" t="s">
        <v>2</v>
      </c>
      <c r="H3" s="3276"/>
      <c r="I3" s="3262" t="str">
        <f>SETUP!$G$13</f>
        <v>SLV-H-MOH</v>
      </c>
      <c r="J3" s="3262"/>
      <c r="K3" s="3263"/>
      <c r="L3" s="550"/>
      <c r="M3" s="551"/>
      <c r="N3" s="989"/>
      <c r="O3" s="544"/>
      <c r="P3" s="544"/>
      <c r="Q3" s="544"/>
      <c r="R3" s="544"/>
      <c r="S3" s="544"/>
      <c r="T3" s="544"/>
      <c r="U3" s="544"/>
      <c r="V3" s="544"/>
      <c r="W3" s="544"/>
      <c r="X3" s="544"/>
      <c r="Y3" s="544"/>
      <c r="Z3" s="544"/>
      <c r="AA3" s="544"/>
      <c r="AB3" s="544"/>
      <c r="AC3" s="544"/>
      <c r="AD3" s="544"/>
      <c r="AE3" s="544"/>
      <c r="AF3" s="544"/>
      <c r="AG3" s="545"/>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row>
    <row r="4" spans="1:71" s="546" customFormat="1" ht="15.75" customHeight="1" thickTop="1" thickBot="1">
      <c r="A4" s="276"/>
      <c r="B4" s="3272"/>
      <c r="C4" s="3274"/>
      <c r="D4" s="3274"/>
      <c r="E4" s="3274"/>
      <c r="F4" s="553"/>
      <c r="G4" s="3277"/>
      <c r="H4" s="3266"/>
      <c r="I4" s="3264"/>
      <c r="J4" s="3264"/>
      <c r="K4" s="3265"/>
      <c r="L4" s="550"/>
      <c r="M4" s="554"/>
      <c r="N4" s="552"/>
      <c r="O4" s="544"/>
      <c r="P4" s="544"/>
      <c r="Q4" s="544"/>
      <c r="R4" s="544"/>
      <c r="S4" s="544"/>
      <c r="T4" s="544"/>
      <c r="U4" s="544"/>
      <c r="V4" s="544"/>
      <c r="W4" s="544"/>
      <c r="X4" s="544"/>
      <c r="Y4" s="544"/>
      <c r="Z4" s="544"/>
      <c r="AA4" s="544"/>
      <c r="AB4" s="544"/>
      <c r="AC4" s="544"/>
      <c r="AD4" s="544"/>
      <c r="AE4" s="544"/>
      <c r="AF4" s="544"/>
      <c r="AG4" s="545"/>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71" s="546" customFormat="1" ht="15.5" thickTop="1" thickBot="1">
      <c r="A5" s="276"/>
      <c r="B5" s="3266" t="s">
        <v>3</v>
      </c>
      <c r="C5" s="3268" t="str">
        <f>SETUP!$E$6</f>
        <v>HIV</v>
      </c>
      <c r="D5" s="3268"/>
      <c r="E5" s="3268"/>
      <c r="F5" s="277"/>
      <c r="G5" s="3256" t="s">
        <v>4</v>
      </c>
      <c r="H5" s="3256"/>
      <c r="I5" s="3252" t="str">
        <f>SETUP!E7</f>
        <v>Ministry of Health of the Republic of El Salvador</v>
      </c>
      <c r="J5" s="3252"/>
      <c r="K5" s="3253"/>
      <c r="L5" s="550"/>
      <c r="M5" s="554"/>
      <c r="N5" s="552"/>
      <c r="O5" s="544"/>
      <c r="P5" s="544"/>
      <c r="Q5" s="544"/>
      <c r="R5" s="544"/>
      <c r="S5" s="544"/>
      <c r="T5" s="544"/>
      <c r="U5" s="544"/>
      <c r="V5" s="544"/>
      <c r="W5" s="544"/>
      <c r="X5" s="544"/>
      <c r="Y5" s="544"/>
      <c r="Z5" s="544"/>
      <c r="AA5" s="544"/>
      <c r="AB5" s="544"/>
      <c r="AC5" s="544"/>
      <c r="AD5" s="544"/>
      <c r="AE5" s="544"/>
      <c r="AF5" s="544"/>
      <c r="AG5" s="545"/>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71" s="546" customFormat="1" ht="15.5" thickTop="1" thickBot="1">
      <c r="A6" s="278"/>
      <c r="B6" s="3267"/>
      <c r="C6" s="3269"/>
      <c r="D6" s="3269"/>
      <c r="E6" s="3269"/>
      <c r="F6" s="279"/>
      <c r="G6" s="3257"/>
      <c r="H6" s="3257"/>
      <c r="I6" s="3254"/>
      <c r="J6" s="3254"/>
      <c r="K6" s="3255"/>
      <c r="L6" s="550"/>
      <c r="M6" s="554"/>
      <c r="N6" s="552"/>
      <c r="O6" s="544"/>
      <c r="P6" s="544"/>
      <c r="Q6" s="544"/>
      <c r="R6" s="544"/>
      <c r="S6" s="544"/>
      <c r="T6" s="544"/>
      <c r="U6" s="544"/>
      <c r="V6" s="544"/>
      <c r="W6" s="544"/>
      <c r="X6" s="544"/>
      <c r="Y6" s="544"/>
      <c r="Z6" s="544"/>
      <c r="AA6" s="544"/>
      <c r="AB6" s="544"/>
      <c r="AC6" s="544"/>
      <c r="AD6" s="544"/>
      <c r="AE6" s="544"/>
      <c r="AF6" s="544"/>
      <c r="AG6" s="545"/>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71" s="546" customFormat="1" ht="15" thickBot="1">
      <c r="A7" s="555"/>
      <c r="B7" s="555"/>
      <c r="C7" s="555"/>
      <c r="D7" s="555"/>
      <c r="E7" s="555"/>
      <c r="F7" s="555"/>
      <c r="G7" s="555"/>
      <c r="H7" s="555"/>
      <c r="I7" s="556"/>
      <c r="J7" s="555"/>
      <c r="K7" s="557"/>
      <c r="L7" s="558"/>
      <c r="M7" s="558"/>
      <c r="N7" s="559"/>
      <c r="O7" s="560"/>
      <c r="P7" s="560"/>
      <c r="Q7" s="560"/>
      <c r="R7" s="560"/>
      <c r="S7" s="544"/>
      <c r="T7" s="544"/>
      <c r="U7" s="544"/>
      <c r="V7" s="544"/>
      <c r="W7" s="544"/>
      <c r="X7" s="544"/>
      <c r="Y7" s="544"/>
      <c r="Z7" s="544"/>
      <c r="AA7" s="544"/>
      <c r="AB7" s="544"/>
      <c r="AC7" s="544"/>
      <c r="AD7" s="544"/>
      <c r="AE7" s="544"/>
      <c r="AF7" s="544"/>
      <c r="AG7" s="545"/>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row>
    <row r="8" spans="1:71" s="569" customFormat="1" ht="29.25" customHeight="1">
      <c r="A8" s="3334">
        <v>1</v>
      </c>
      <c r="B8" s="3330" t="s">
        <v>477</v>
      </c>
      <c r="C8" s="3330"/>
      <c r="D8" s="3330"/>
      <c r="E8" s="3330"/>
      <c r="F8" s="3330"/>
      <c r="G8" s="3330"/>
      <c r="H8" s="3330"/>
      <c r="I8" s="3330"/>
      <c r="J8" s="3331"/>
      <c r="K8" s="3338" t="s">
        <v>463</v>
      </c>
      <c r="L8" s="3339"/>
      <c r="M8" s="3336" t="s">
        <v>431</v>
      </c>
      <c r="N8" s="3336"/>
      <c r="O8" s="3336" t="s">
        <v>2530</v>
      </c>
      <c r="P8" s="3350"/>
      <c r="Q8" s="578"/>
      <c r="R8" s="579"/>
      <c r="S8" s="579"/>
      <c r="T8" s="579"/>
      <c r="U8" s="579"/>
      <c r="V8" s="579"/>
      <c r="W8" s="580"/>
      <c r="X8" s="579"/>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c r="BB8" s="568"/>
      <c r="BC8" s="568"/>
      <c r="BD8" s="568"/>
      <c r="BE8" s="568"/>
      <c r="BF8" s="568"/>
      <c r="BG8" s="568"/>
      <c r="BH8" s="568"/>
      <c r="BI8" s="568"/>
      <c r="BJ8" s="568"/>
      <c r="BK8" s="568"/>
      <c r="BL8" s="568"/>
      <c r="BM8" s="568"/>
      <c r="BN8" s="568"/>
      <c r="BO8" s="568"/>
      <c r="BP8" s="568"/>
      <c r="BQ8" s="568"/>
    </row>
    <row r="9" spans="1:71" s="569" customFormat="1" ht="29.25" customHeight="1" thickBot="1">
      <c r="A9" s="3335"/>
      <c r="B9" s="3332"/>
      <c r="C9" s="3332"/>
      <c r="D9" s="3332"/>
      <c r="E9" s="3332"/>
      <c r="F9" s="3332"/>
      <c r="G9" s="3332"/>
      <c r="H9" s="3332"/>
      <c r="I9" s="3332"/>
      <c r="J9" s="3333"/>
      <c r="K9" s="3340"/>
      <c r="L9" s="3341"/>
      <c r="M9" s="3337"/>
      <c r="N9" s="3337"/>
      <c r="O9" s="3351"/>
      <c r="P9" s="3351"/>
      <c r="Q9" s="578"/>
      <c r="R9" s="579"/>
      <c r="S9" s="579"/>
      <c r="T9" s="579"/>
      <c r="U9" s="579"/>
      <c r="V9" s="579"/>
      <c r="W9" s="580"/>
      <c r="X9" s="579"/>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c r="BE9" s="568"/>
      <c r="BF9" s="568"/>
      <c r="BG9" s="568"/>
      <c r="BH9" s="568"/>
      <c r="BI9" s="568"/>
      <c r="BJ9" s="568"/>
      <c r="BK9" s="568"/>
      <c r="BL9" s="568"/>
      <c r="BM9" s="568"/>
      <c r="BN9" s="568"/>
      <c r="BO9" s="568"/>
      <c r="BP9" s="568"/>
      <c r="BQ9" s="568"/>
    </row>
    <row r="10" spans="1:71" s="569" customFormat="1" ht="13">
      <c r="A10" s="581"/>
      <c r="B10" s="581"/>
      <c r="C10" s="581"/>
      <c r="D10" s="581"/>
      <c r="E10" s="581"/>
      <c r="F10" s="581"/>
      <c r="G10" s="581"/>
      <c r="H10" s="581"/>
      <c r="I10" s="581"/>
      <c r="J10" s="581"/>
      <c r="K10" s="582"/>
      <c r="L10" s="579"/>
      <c r="M10" s="579"/>
      <c r="N10" s="579"/>
      <c r="O10" s="579"/>
      <c r="P10" s="579"/>
      <c r="Q10" s="579"/>
      <c r="R10" s="579"/>
      <c r="S10" s="579"/>
      <c r="T10" s="579"/>
      <c r="U10" s="579"/>
      <c r="V10" s="579"/>
      <c r="W10" s="579"/>
      <c r="X10" s="579"/>
      <c r="Y10" s="580"/>
      <c r="Z10" s="579"/>
      <c r="AA10" s="568"/>
      <c r="AB10" s="568"/>
      <c r="AC10" s="568"/>
      <c r="AD10" s="568"/>
      <c r="AE10" s="568"/>
      <c r="AF10" s="568"/>
      <c r="AG10" s="570"/>
      <c r="AH10" s="568"/>
      <c r="AI10" s="568"/>
      <c r="AJ10" s="568"/>
      <c r="AK10" s="568"/>
      <c r="AL10" s="568"/>
      <c r="AM10" s="568"/>
      <c r="AN10" s="568"/>
      <c r="AO10" s="568"/>
      <c r="AP10" s="568"/>
      <c r="AQ10" s="568"/>
      <c r="AR10" s="568"/>
      <c r="AS10" s="568"/>
      <c r="AT10" s="568"/>
      <c r="AU10" s="568"/>
      <c r="AV10" s="568"/>
      <c r="AW10" s="568"/>
      <c r="AX10" s="568"/>
      <c r="AY10" s="568"/>
      <c r="AZ10" s="568"/>
      <c r="BA10" s="568"/>
      <c r="BB10" s="568"/>
      <c r="BC10" s="568"/>
      <c r="BD10" s="568"/>
      <c r="BE10" s="568"/>
      <c r="BF10" s="568"/>
      <c r="BG10" s="568"/>
      <c r="BH10" s="568"/>
      <c r="BI10" s="568"/>
      <c r="BJ10" s="568"/>
      <c r="BK10" s="568"/>
      <c r="BL10" s="568"/>
      <c r="BM10" s="568"/>
      <c r="BN10" s="568"/>
      <c r="BO10" s="568"/>
      <c r="BP10" s="568"/>
      <c r="BQ10" s="568"/>
      <c r="BR10" s="568"/>
      <c r="BS10" s="568"/>
    </row>
    <row r="11" spans="1:71" s="569" customFormat="1" ht="103.15" customHeight="1">
      <c r="A11" s="3342" t="s">
        <v>2642</v>
      </c>
      <c r="B11" s="3343"/>
      <c r="C11" s="3343"/>
      <c r="D11" s="3343"/>
      <c r="E11" s="3343"/>
      <c r="F11" s="3343"/>
      <c r="G11" s="3343"/>
      <c r="H11" s="3343"/>
      <c r="I11" s="3343"/>
      <c r="J11" s="3343"/>
      <c r="K11" s="3343"/>
      <c r="L11" s="3343"/>
      <c r="M11" s="3343"/>
      <c r="N11" s="3344"/>
      <c r="O11" s="579"/>
      <c r="P11" s="579"/>
      <c r="Q11" s="579"/>
      <c r="R11" s="579"/>
      <c r="S11" s="579"/>
      <c r="T11" s="579"/>
      <c r="U11" s="579"/>
      <c r="V11" s="579"/>
      <c r="W11" s="579"/>
      <c r="X11" s="579"/>
      <c r="Y11" s="580"/>
      <c r="Z11" s="579"/>
      <c r="AA11" s="568"/>
      <c r="AB11" s="568"/>
      <c r="AC11" s="568"/>
      <c r="AD11" s="568"/>
      <c r="AE11" s="568"/>
      <c r="AF11" s="568"/>
      <c r="AG11" s="570"/>
      <c r="AH11" s="568"/>
      <c r="AI11" s="568"/>
      <c r="AJ11" s="568"/>
      <c r="AK11" s="568"/>
      <c r="AL11" s="568"/>
      <c r="AM11" s="568"/>
      <c r="AN11" s="568"/>
      <c r="AO11" s="568"/>
      <c r="AP11" s="568"/>
      <c r="AQ11" s="568"/>
      <c r="AR11" s="568"/>
      <c r="AS11" s="568"/>
      <c r="AT11" s="568"/>
      <c r="AU11" s="568"/>
      <c r="AV11" s="568"/>
      <c r="AW11" s="568"/>
      <c r="AX11" s="568"/>
      <c r="AY11" s="568"/>
      <c r="AZ11" s="568"/>
      <c r="BA11" s="568"/>
      <c r="BB11" s="568"/>
      <c r="BC11" s="568"/>
      <c r="BD11" s="568"/>
      <c r="BE11" s="568"/>
      <c r="BF11" s="568"/>
      <c r="BG11" s="568"/>
      <c r="BH11" s="568"/>
      <c r="BI11" s="568"/>
      <c r="BJ11" s="568"/>
      <c r="BK11" s="568"/>
      <c r="BL11" s="568"/>
      <c r="BM11" s="568"/>
      <c r="BN11" s="568"/>
      <c r="BO11" s="568"/>
      <c r="BP11" s="568"/>
      <c r="BQ11" s="568"/>
      <c r="BR11" s="568"/>
      <c r="BS11" s="568"/>
    </row>
    <row r="12" spans="1:71" s="569" customFormat="1" ht="13.5" thickBot="1">
      <c r="A12" s="584"/>
      <c r="B12" s="584"/>
      <c r="C12" s="584"/>
      <c r="D12" s="584"/>
      <c r="E12" s="584"/>
      <c r="F12" s="585"/>
      <c r="G12" s="586"/>
      <c r="H12" s="586"/>
      <c r="I12" s="586"/>
      <c r="J12" s="586"/>
      <c r="K12" s="585"/>
      <c r="L12" s="587"/>
      <c r="M12" s="587"/>
      <c r="N12" s="587"/>
      <c r="O12" s="587"/>
      <c r="P12" s="587"/>
      <c r="Q12" s="587"/>
      <c r="R12" s="587"/>
      <c r="S12" s="587"/>
      <c r="T12" s="587"/>
      <c r="U12" s="587"/>
      <c r="V12" s="587"/>
      <c r="W12" s="587"/>
      <c r="X12" s="587"/>
      <c r="Y12" s="587"/>
      <c r="Z12" s="587"/>
      <c r="AA12" s="588"/>
      <c r="AB12" s="568"/>
      <c r="AC12" s="568"/>
      <c r="AD12" s="568"/>
      <c r="AE12" s="568"/>
      <c r="AF12" s="568"/>
      <c r="AG12" s="570"/>
      <c r="AH12" s="568"/>
      <c r="AI12" s="568"/>
      <c r="AJ12" s="568"/>
      <c r="AK12" s="568"/>
      <c r="AL12" s="568"/>
      <c r="AM12" s="568"/>
      <c r="AN12" s="568"/>
      <c r="AO12" s="568"/>
      <c r="AP12" s="568"/>
      <c r="AQ12" s="568"/>
      <c r="AR12" s="568"/>
      <c r="AS12" s="568"/>
      <c r="AT12" s="568"/>
      <c r="AU12" s="568"/>
      <c r="AV12" s="568"/>
      <c r="AW12" s="568"/>
      <c r="AX12" s="568"/>
      <c r="AY12" s="568"/>
      <c r="AZ12" s="568"/>
      <c r="BA12" s="568"/>
      <c r="BB12" s="568"/>
      <c r="BC12" s="568"/>
      <c r="BD12" s="568"/>
      <c r="BE12" s="568"/>
      <c r="BF12" s="568"/>
      <c r="BG12" s="568"/>
      <c r="BH12" s="568"/>
      <c r="BI12" s="568"/>
      <c r="BJ12" s="568"/>
      <c r="BK12" s="568"/>
      <c r="BL12" s="568"/>
      <c r="BM12" s="568"/>
      <c r="BN12" s="568"/>
      <c r="BO12" s="568"/>
      <c r="BP12" s="568"/>
      <c r="BQ12" s="568"/>
      <c r="BR12" s="568"/>
      <c r="BS12" s="568"/>
    </row>
    <row r="13" spans="1:71" s="567" customFormat="1" ht="21" customHeight="1">
      <c r="A13" s="3317" t="s">
        <v>478</v>
      </c>
      <c r="B13" s="3318"/>
      <c r="C13" s="3318"/>
      <c r="D13" s="3319"/>
      <c r="E13" s="3323" t="s">
        <v>479</v>
      </c>
      <c r="F13" s="3323"/>
      <c r="G13" s="3323"/>
      <c r="H13" s="3323"/>
      <c r="I13" s="3324"/>
      <c r="J13" s="3209">
        <f>'HPM costs'!F12</f>
        <v>2022</v>
      </c>
      <c r="K13" s="3210"/>
      <c r="L13" s="3210"/>
      <c r="M13" s="3210"/>
      <c r="N13" s="3221"/>
      <c r="O13" s="3210">
        <f>'HPM costs'!K12</f>
        <v>2023</v>
      </c>
      <c r="P13" s="3210"/>
      <c r="Q13" s="3210"/>
      <c r="R13" s="3210"/>
      <c r="S13" s="3210"/>
      <c r="T13" s="3209">
        <f>'HPM costs'!P12</f>
        <v>2024</v>
      </c>
      <c r="U13" s="3210"/>
      <c r="V13" s="3210"/>
      <c r="W13" s="3210"/>
      <c r="X13" s="3221"/>
      <c r="Y13" s="1023" t="s">
        <v>465</v>
      </c>
      <c r="Z13" s="1024"/>
      <c r="AA13" s="565"/>
      <c r="AB13" s="565"/>
      <c r="AC13" s="565"/>
      <c r="AD13" s="565"/>
      <c r="AE13" s="565"/>
      <c r="AF13" s="565"/>
      <c r="AG13" s="565"/>
      <c r="AH13" s="565"/>
      <c r="AI13" s="566"/>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row>
    <row r="14" spans="1:71" s="27" customFormat="1" ht="21.75" customHeight="1" thickBot="1">
      <c r="A14" s="3320"/>
      <c r="B14" s="3321"/>
      <c r="C14" s="3321"/>
      <c r="D14" s="3322"/>
      <c r="E14" s="3325"/>
      <c r="F14" s="3325"/>
      <c r="G14" s="3325"/>
      <c r="H14" s="3325"/>
      <c r="I14" s="3326"/>
      <c r="J14" s="271" t="s">
        <v>173</v>
      </c>
      <c r="K14" s="491" t="s">
        <v>290</v>
      </c>
      <c r="L14" s="491" t="s">
        <v>174</v>
      </c>
      <c r="M14" s="491" t="s">
        <v>175</v>
      </c>
      <c r="N14" s="492" t="s">
        <v>466</v>
      </c>
      <c r="O14" s="491" t="s">
        <v>176</v>
      </c>
      <c r="P14" s="491" t="s">
        <v>177</v>
      </c>
      <c r="Q14" s="491" t="s">
        <v>178</v>
      </c>
      <c r="R14" s="491" t="s">
        <v>179</v>
      </c>
      <c r="S14" s="491" t="s">
        <v>467</v>
      </c>
      <c r="T14" s="271" t="s">
        <v>180</v>
      </c>
      <c r="U14" s="491" t="s">
        <v>181</v>
      </c>
      <c r="V14" s="491" t="s">
        <v>182</v>
      </c>
      <c r="W14" s="491" t="s">
        <v>183</v>
      </c>
      <c r="X14" s="492" t="s">
        <v>468</v>
      </c>
      <c r="Y14" s="272" t="s">
        <v>167</v>
      </c>
      <c r="Z14" s="284"/>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row>
    <row r="15" spans="1:71" s="569" customFormat="1" ht="13">
      <c r="A15" s="3312"/>
      <c r="B15" s="3313"/>
      <c r="C15" s="3313"/>
      <c r="D15" s="3314"/>
      <c r="E15" s="3315"/>
      <c r="F15" s="3315"/>
      <c r="G15" s="3315"/>
      <c r="H15" s="3315"/>
      <c r="I15" s="3316"/>
      <c r="J15" s="589"/>
      <c r="K15" s="590"/>
      <c r="L15" s="590"/>
      <c r="M15" s="590"/>
      <c r="N15" s="591">
        <f>SUM(Table45464849[[#This Row],[Y1 Q1 cost]:[Y1 Q4 cost]])</f>
        <v>0</v>
      </c>
      <c r="O15" s="590"/>
      <c r="P15" s="590"/>
      <c r="Q15" s="590"/>
      <c r="R15" s="590"/>
      <c r="S15" s="592">
        <f>SUM(Table45464849[[#This Row],[Y2 Q1 cost]:[Y2 Q4 cost]])</f>
        <v>0</v>
      </c>
      <c r="T15" s="589"/>
      <c r="U15" s="590"/>
      <c r="V15" s="590"/>
      <c r="W15" s="590"/>
      <c r="X15" s="591">
        <f>SUM(Table45464849[[#This Row],[Y3 Q1 cost]:[Y3 Q4 cost]])</f>
        <v>0</v>
      </c>
      <c r="Y15" s="593">
        <f>Table45464849[[#This Row],[Y1 total cost]]+Table45464849[[#This Row],[Y2 total cost]]+Table45464849[[#This Row],[Y3 total cost]]</f>
        <v>0</v>
      </c>
      <c r="Z15" s="573"/>
      <c r="AA15" s="568"/>
      <c r="AB15" s="568"/>
      <c r="AC15" s="568"/>
      <c r="AD15" s="568"/>
      <c r="AE15" s="568"/>
      <c r="AF15" s="568"/>
      <c r="AG15" s="568"/>
      <c r="AH15" s="568"/>
      <c r="AI15" s="570"/>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c r="BM15" s="568"/>
      <c r="BN15" s="568"/>
      <c r="BO15" s="568"/>
      <c r="BP15" s="568"/>
      <c r="BQ15" s="568"/>
      <c r="BR15" s="568"/>
      <c r="BS15" s="568"/>
    </row>
    <row r="16" spans="1:71" s="569" customFormat="1" ht="13">
      <c r="A16" s="3327"/>
      <c r="B16" s="3328"/>
      <c r="C16" s="3328"/>
      <c r="D16" s="3329"/>
      <c r="E16" s="3310"/>
      <c r="F16" s="3310"/>
      <c r="G16" s="3310"/>
      <c r="H16" s="3310"/>
      <c r="I16" s="3311"/>
      <c r="J16" s="589"/>
      <c r="K16" s="590"/>
      <c r="L16" s="590"/>
      <c r="M16" s="590"/>
      <c r="N16" s="591">
        <f>SUM(Table45464849[[#This Row],[Y1 Q1 cost]:[Y1 Q4 cost]])</f>
        <v>0</v>
      </c>
      <c r="O16" s="590"/>
      <c r="P16" s="590"/>
      <c r="Q16" s="590"/>
      <c r="R16" s="590"/>
      <c r="S16" s="592">
        <f>SUM(Table45464849[[#This Row],[Y2 Q1 cost]:[Y2 Q4 cost]])</f>
        <v>0</v>
      </c>
      <c r="T16" s="589"/>
      <c r="U16" s="590"/>
      <c r="V16" s="590"/>
      <c r="W16" s="590"/>
      <c r="X16" s="591">
        <f>SUM(Table45464849[[#This Row],[Y3 Q1 cost]:[Y3 Q4 cost]])</f>
        <v>0</v>
      </c>
      <c r="Y16" s="593">
        <f>Table45464849[[#This Row],[Y1 total cost]]+Table45464849[[#This Row],[Y2 total cost]]+Table45464849[[#This Row],[Y3 total cost]]</f>
        <v>0</v>
      </c>
      <c r="Z16" s="573"/>
      <c r="AA16" s="568"/>
      <c r="AB16" s="568"/>
      <c r="AC16" s="568"/>
      <c r="AD16" s="568"/>
      <c r="AE16" s="568"/>
      <c r="AF16" s="568"/>
      <c r="AG16" s="568"/>
      <c r="AH16" s="568"/>
      <c r="AI16" s="570"/>
      <c r="AJ16" s="568"/>
      <c r="AK16" s="568"/>
      <c r="AL16" s="568"/>
      <c r="AM16" s="568"/>
      <c r="AN16" s="568"/>
      <c r="AO16" s="568"/>
      <c r="AP16" s="568"/>
      <c r="AQ16" s="568"/>
      <c r="AR16" s="568"/>
      <c r="AS16" s="568"/>
      <c r="AT16" s="568"/>
      <c r="AU16" s="568"/>
      <c r="AV16" s="568"/>
      <c r="AW16" s="568"/>
      <c r="AX16" s="568"/>
      <c r="AY16" s="568"/>
      <c r="AZ16" s="568"/>
      <c r="BA16" s="568"/>
      <c r="BB16" s="568"/>
      <c r="BC16" s="568"/>
      <c r="BD16" s="568"/>
      <c r="BE16" s="568"/>
      <c r="BF16" s="568"/>
      <c r="BG16" s="568"/>
      <c r="BH16" s="568"/>
      <c r="BI16" s="568"/>
      <c r="BJ16" s="568"/>
      <c r="BK16" s="568"/>
      <c r="BL16" s="568"/>
      <c r="BM16" s="568"/>
      <c r="BN16" s="568"/>
      <c r="BO16" s="568"/>
      <c r="BP16" s="568"/>
      <c r="BQ16" s="568"/>
      <c r="BR16" s="568"/>
      <c r="BS16" s="568"/>
    </row>
    <row r="17" spans="1:71" s="569" customFormat="1" ht="13">
      <c r="A17" s="3312"/>
      <c r="B17" s="3313"/>
      <c r="C17" s="3313"/>
      <c r="D17" s="3314"/>
      <c r="E17" s="3315"/>
      <c r="F17" s="3315"/>
      <c r="G17" s="3315"/>
      <c r="H17" s="3315"/>
      <c r="I17" s="3316"/>
      <c r="J17" s="589"/>
      <c r="K17" s="590"/>
      <c r="L17" s="590"/>
      <c r="M17" s="590"/>
      <c r="N17" s="591">
        <f>SUM(Table45464849[[#This Row],[Y1 Q1 cost]:[Y1 Q4 cost]])</f>
        <v>0</v>
      </c>
      <c r="O17" s="590"/>
      <c r="P17" s="590"/>
      <c r="Q17" s="590"/>
      <c r="R17" s="590"/>
      <c r="S17" s="592">
        <f>SUM(Table45464849[[#This Row],[Y2 Q1 cost]:[Y2 Q4 cost]])</f>
        <v>0</v>
      </c>
      <c r="T17" s="589"/>
      <c r="U17" s="590"/>
      <c r="V17" s="590"/>
      <c r="W17" s="590"/>
      <c r="X17" s="591">
        <f>SUM(Table45464849[[#This Row],[Y3 Q1 cost]:[Y3 Q4 cost]])</f>
        <v>0</v>
      </c>
      <c r="Y17" s="592">
        <f>Table45464849[[#This Row],[Y1 total cost]]+Table45464849[[#This Row],[Y2 total cost]]+Table45464849[[#This Row],[Y3 total cost]]</f>
        <v>0</v>
      </c>
      <c r="Z17" s="573"/>
      <c r="AA17" s="568"/>
      <c r="AB17" s="568"/>
      <c r="AC17" s="568"/>
      <c r="AD17" s="568"/>
      <c r="AE17" s="568"/>
      <c r="AF17" s="568"/>
      <c r="AG17" s="568"/>
      <c r="AH17" s="568"/>
      <c r="AI17" s="570"/>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row>
    <row r="18" spans="1:71" s="569" customFormat="1" ht="13">
      <c r="A18" s="3327"/>
      <c r="B18" s="3328"/>
      <c r="C18" s="3328"/>
      <c r="D18" s="3329"/>
      <c r="E18" s="3310"/>
      <c r="F18" s="3310"/>
      <c r="G18" s="3310"/>
      <c r="H18" s="3310"/>
      <c r="I18" s="3311"/>
      <c r="J18" s="589"/>
      <c r="K18" s="594"/>
      <c r="L18" s="594"/>
      <c r="M18" s="594"/>
      <c r="N18" s="591">
        <f>SUM(Table45464849[[#This Row],[Y1 Q1 cost]:[Y1 Q4 cost]])</f>
        <v>0</v>
      </c>
      <c r="O18" s="594"/>
      <c r="P18" s="594"/>
      <c r="Q18" s="594"/>
      <c r="R18" s="594"/>
      <c r="S18" s="593">
        <f>SUM(Table45464849[[#This Row],[Y2 Q1 cost]:[Y2 Q4 cost]])</f>
        <v>0</v>
      </c>
      <c r="T18" s="589"/>
      <c r="U18" s="594"/>
      <c r="V18" s="594"/>
      <c r="W18" s="594"/>
      <c r="X18" s="591">
        <f>SUM(Table45464849[[#This Row],[Y3 Q1 cost]:[Y3 Q4 cost]])</f>
        <v>0</v>
      </c>
      <c r="Y18" s="593">
        <f>Table45464849[[#This Row],[Y1 total cost]]+Table45464849[[#This Row],[Y2 total cost]]+Table45464849[[#This Row],[Y3 total cost]]</f>
        <v>0</v>
      </c>
      <c r="Z18" s="573"/>
      <c r="AA18" s="568"/>
      <c r="AB18" s="568"/>
      <c r="AC18" s="568"/>
      <c r="AD18" s="568"/>
      <c r="AE18" s="568"/>
      <c r="AF18" s="568"/>
      <c r="AG18" s="568"/>
      <c r="AH18" s="568"/>
      <c r="AI18" s="570"/>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row>
    <row r="19" spans="1:71" s="569" customFormat="1" ht="13">
      <c r="A19" s="3312"/>
      <c r="B19" s="3313"/>
      <c r="C19" s="3313"/>
      <c r="D19" s="3314"/>
      <c r="E19" s="3315"/>
      <c r="F19" s="3315"/>
      <c r="G19" s="3315"/>
      <c r="H19" s="3315"/>
      <c r="I19" s="3316"/>
      <c r="J19" s="589"/>
      <c r="K19" s="594"/>
      <c r="L19" s="594"/>
      <c r="M19" s="594"/>
      <c r="N19" s="591">
        <f>SUM(Table45464849[[#This Row],[Y1 Q1 cost]:[Y1 Q4 cost]])</f>
        <v>0</v>
      </c>
      <c r="O19" s="594"/>
      <c r="P19" s="594"/>
      <c r="Q19" s="594"/>
      <c r="R19" s="594"/>
      <c r="S19" s="593">
        <f>SUM(Table45464849[[#This Row],[Y2 Q1 cost]:[Y2 Q4 cost]])</f>
        <v>0</v>
      </c>
      <c r="T19" s="589"/>
      <c r="U19" s="594"/>
      <c r="V19" s="594"/>
      <c r="W19" s="594"/>
      <c r="X19" s="591">
        <f>SUM(Table45464849[[#This Row],[Y3 Q1 cost]:[Y3 Q4 cost]])</f>
        <v>0</v>
      </c>
      <c r="Y19" s="591">
        <f>Table45464849[[#This Row],[Y1 total cost]]+Table45464849[[#This Row],[Y2 total cost]]+Table45464849[[#This Row],[Y3 total cost]]</f>
        <v>0</v>
      </c>
      <c r="Z19" s="573"/>
      <c r="AA19" s="568"/>
      <c r="AB19" s="568"/>
      <c r="AC19" s="568"/>
      <c r="AD19" s="568"/>
      <c r="AE19" s="568"/>
      <c r="AF19" s="568"/>
      <c r="AG19" s="568"/>
      <c r="AH19" s="568"/>
      <c r="AI19" s="570"/>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row>
    <row r="20" spans="1:71" s="569" customFormat="1" ht="13">
      <c r="A20" s="3327"/>
      <c r="B20" s="3328"/>
      <c r="C20" s="3328"/>
      <c r="D20" s="3329"/>
      <c r="E20" s="3310"/>
      <c r="F20" s="3310"/>
      <c r="G20" s="3310"/>
      <c r="H20" s="3310"/>
      <c r="I20" s="3311"/>
      <c r="J20" s="589"/>
      <c r="K20" s="594"/>
      <c r="L20" s="594"/>
      <c r="M20" s="594"/>
      <c r="N20" s="591">
        <f>SUM(Table45464849[[#This Row],[Y1 Q1 cost]:[Y1 Q4 cost]])</f>
        <v>0</v>
      </c>
      <c r="O20" s="594"/>
      <c r="P20" s="594"/>
      <c r="Q20" s="594"/>
      <c r="R20" s="594"/>
      <c r="S20" s="593">
        <f>SUM(Table45464849[[#This Row],[Y2 Q1 cost]:[Y2 Q4 cost]])</f>
        <v>0</v>
      </c>
      <c r="T20" s="589"/>
      <c r="U20" s="594"/>
      <c r="V20" s="594"/>
      <c r="W20" s="594"/>
      <c r="X20" s="591">
        <f>SUM(Table45464849[[#This Row],[Y3 Q1 cost]:[Y3 Q4 cost]])</f>
        <v>0</v>
      </c>
      <c r="Y20" s="591">
        <f>Table45464849[[#This Row],[Y1 total cost]]+Table45464849[[#This Row],[Y2 total cost]]+Table45464849[[#This Row],[Y3 total cost]]</f>
        <v>0</v>
      </c>
      <c r="Z20" s="573"/>
      <c r="AA20" s="568"/>
      <c r="AB20" s="568"/>
      <c r="AC20" s="568"/>
      <c r="AD20" s="568"/>
      <c r="AE20" s="568"/>
      <c r="AF20" s="568"/>
      <c r="AG20" s="568"/>
      <c r="AH20" s="568"/>
      <c r="AI20" s="570"/>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row>
    <row r="21" spans="1:71" s="569" customFormat="1" ht="13">
      <c r="A21" s="3312"/>
      <c r="B21" s="3313"/>
      <c r="C21" s="3313"/>
      <c r="D21" s="3314"/>
      <c r="E21" s="3315"/>
      <c r="F21" s="3315"/>
      <c r="G21" s="3315"/>
      <c r="H21" s="3315"/>
      <c r="I21" s="3316"/>
      <c r="J21" s="589"/>
      <c r="K21" s="594"/>
      <c r="L21" s="594"/>
      <c r="M21" s="594"/>
      <c r="N21" s="591">
        <f>SUM(Table45464849[[#This Row],[Y1 Q1 cost]:[Y1 Q4 cost]])</f>
        <v>0</v>
      </c>
      <c r="O21" s="594"/>
      <c r="P21" s="594"/>
      <c r="Q21" s="594"/>
      <c r="R21" s="594"/>
      <c r="S21" s="593">
        <f>SUM(Table45464849[[#This Row],[Y2 Q1 cost]:[Y2 Q4 cost]])</f>
        <v>0</v>
      </c>
      <c r="T21" s="589"/>
      <c r="U21" s="594"/>
      <c r="V21" s="594"/>
      <c r="W21" s="594"/>
      <c r="X21" s="591">
        <f>SUM(Table45464849[[#This Row],[Y3 Q1 cost]:[Y3 Q4 cost]])</f>
        <v>0</v>
      </c>
      <c r="Y21" s="591">
        <f>Table45464849[[#This Row],[Y1 total cost]]+Table45464849[[#This Row],[Y2 total cost]]+Table45464849[[#This Row],[Y3 total cost]]</f>
        <v>0</v>
      </c>
      <c r="Z21" s="573"/>
      <c r="AA21" s="568"/>
      <c r="AB21" s="568"/>
      <c r="AC21" s="568"/>
      <c r="AD21" s="568"/>
      <c r="AE21" s="568"/>
      <c r="AF21" s="568"/>
      <c r="AG21" s="568"/>
      <c r="AH21" s="568"/>
      <c r="AI21" s="570"/>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row>
    <row r="22" spans="1:71" s="569" customFormat="1" ht="13">
      <c r="A22" s="3327"/>
      <c r="B22" s="3328"/>
      <c r="C22" s="3328"/>
      <c r="D22" s="3329"/>
      <c r="E22" s="3310"/>
      <c r="F22" s="3310"/>
      <c r="G22" s="3310"/>
      <c r="H22" s="3310"/>
      <c r="I22" s="3311"/>
      <c r="J22" s="589"/>
      <c r="K22" s="594"/>
      <c r="L22" s="594"/>
      <c r="M22" s="594"/>
      <c r="N22" s="591">
        <f>SUM(Table45464849[[#This Row],[Y1 Q1 cost]:[Y1 Q4 cost]])</f>
        <v>0</v>
      </c>
      <c r="O22" s="594"/>
      <c r="P22" s="594"/>
      <c r="Q22" s="594"/>
      <c r="R22" s="594"/>
      <c r="S22" s="593">
        <f>SUM(Table45464849[[#This Row],[Y2 Q1 cost]:[Y2 Q4 cost]])</f>
        <v>0</v>
      </c>
      <c r="T22" s="589"/>
      <c r="U22" s="594"/>
      <c r="V22" s="594"/>
      <c r="W22" s="594"/>
      <c r="X22" s="591">
        <f>SUM(Table45464849[[#This Row],[Y3 Q1 cost]:[Y3 Q4 cost]])</f>
        <v>0</v>
      </c>
      <c r="Y22" s="591">
        <f>Table45464849[[#This Row],[Y1 total cost]]+Table45464849[[#This Row],[Y2 total cost]]+Table45464849[[#This Row],[Y3 total cost]]</f>
        <v>0</v>
      </c>
      <c r="Z22" s="573"/>
      <c r="AA22" s="568"/>
      <c r="AB22" s="568"/>
      <c r="AC22" s="568"/>
      <c r="AD22" s="568"/>
      <c r="AE22" s="568"/>
      <c r="AF22" s="568"/>
      <c r="AG22" s="568"/>
      <c r="AH22" s="568"/>
      <c r="AI22" s="570"/>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row>
    <row r="23" spans="1:71" s="569" customFormat="1" ht="13">
      <c r="A23" s="3312"/>
      <c r="B23" s="3313"/>
      <c r="C23" s="3313"/>
      <c r="D23" s="3314"/>
      <c r="E23" s="3315"/>
      <c r="F23" s="3315"/>
      <c r="G23" s="3315"/>
      <c r="H23" s="3315"/>
      <c r="I23" s="3316"/>
      <c r="J23" s="589"/>
      <c r="K23" s="594"/>
      <c r="L23" s="594"/>
      <c r="M23" s="594"/>
      <c r="N23" s="591">
        <f>SUM(Table45464849[[#This Row],[Y1 Q1 cost]:[Y1 Q4 cost]])</f>
        <v>0</v>
      </c>
      <c r="O23" s="594"/>
      <c r="P23" s="594"/>
      <c r="Q23" s="594"/>
      <c r="R23" s="594"/>
      <c r="S23" s="593">
        <f>SUM(Table45464849[[#This Row],[Y2 Q1 cost]:[Y2 Q4 cost]])</f>
        <v>0</v>
      </c>
      <c r="T23" s="589"/>
      <c r="U23" s="594"/>
      <c r="V23" s="594"/>
      <c r="W23" s="594"/>
      <c r="X23" s="591">
        <f>SUM(Table45464849[[#This Row],[Y3 Q1 cost]:[Y3 Q4 cost]])</f>
        <v>0</v>
      </c>
      <c r="Y23" s="591">
        <f>Table45464849[[#This Row],[Y1 total cost]]+Table45464849[[#This Row],[Y2 total cost]]+Table45464849[[#This Row],[Y3 total cost]]</f>
        <v>0</v>
      </c>
      <c r="Z23" s="573"/>
      <c r="AA23" s="568"/>
      <c r="AB23" s="568"/>
      <c r="AC23" s="568"/>
      <c r="AD23" s="568"/>
      <c r="AE23" s="568"/>
      <c r="AF23" s="568"/>
      <c r="AG23" s="568"/>
      <c r="AH23" s="568"/>
      <c r="AI23" s="570"/>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row>
    <row r="24" spans="1:71" s="569" customFormat="1" ht="13">
      <c r="A24" s="3327"/>
      <c r="B24" s="3328"/>
      <c r="C24" s="3328"/>
      <c r="D24" s="3329"/>
      <c r="E24" s="3310"/>
      <c r="F24" s="3310"/>
      <c r="G24" s="3310"/>
      <c r="H24" s="3310"/>
      <c r="I24" s="3311"/>
      <c r="J24" s="589"/>
      <c r="K24" s="594"/>
      <c r="L24" s="594"/>
      <c r="M24" s="594"/>
      <c r="N24" s="591">
        <f>SUM(Table45464849[[#This Row],[Y1 Q1 cost]:[Y1 Q4 cost]])</f>
        <v>0</v>
      </c>
      <c r="O24" s="594"/>
      <c r="P24" s="594"/>
      <c r="Q24" s="594"/>
      <c r="R24" s="594"/>
      <c r="S24" s="593">
        <f>SUM(Table45464849[[#This Row],[Y2 Q1 cost]:[Y2 Q4 cost]])</f>
        <v>0</v>
      </c>
      <c r="T24" s="589"/>
      <c r="U24" s="594"/>
      <c r="V24" s="594"/>
      <c r="W24" s="594"/>
      <c r="X24" s="591">
        <f>SUM(Table45464849[[#This Row],[Y3 Q1 cost]:[Y3 Q4 cost]])</f>
        <v>0</v>
      </c>
      <c r="Y24" s="591">
        <f>Table45464849[[#This Row],[Y1 total cost]]+Table45464849[[#This Row],[Y2 total cost]]+Table45464849[[#This Row],[Y3 total cost]]</f>
        <v>0</v>
      </c>
      <c r="Z24" s="573"/>
      <c r="AA24" s="568"/>
      <c r="AB24" s="568"/>
      <c r="AC24" s="568"/>
      <c r="AD24" s="568"/>
      <c r="AE24" s="568"/>
      <c r="AF24" s="568"/>
      <c r="AG24" s="568"/>
      <c r="AH24" s="568"/>
      <c r="AI24" s="570"/>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row>
    <row r="25" spans="1:71" s="569" customFormat="1" ht="13">
      <c r="A25" s="3312"/>
      <c r="B25" s="3313"/>
      <c r="C25" s="3313"/>
      <c r="D25" s="3314"/>
      <c r="E25" s="3315"/>
      <c r="F25" s="3315"/>
      <c r="G25" s="3315"/>
      <c r="H25" s="3315"/>
      <c r="I25" s="3316"/>
      <c r="J25" s="589"/>
      <c r="K25" s="594"/>
      <c r="L25" s="594"/>
      <c r="M25" s="594"/>
      <c r="N25" s="591">
        <f>SUM(Table45464849[[#This Row],[Y1 Q1 cost]:[Y1 Q4 cost]])</f>
        <v>0</v>
      </c>
      <c r="O25" s="594"/>
      <c r="P25" s="594"/>
      <c r="Q25" s="594"/>
      <c r="R25" s="594"/>
      <c r="S25" s="593">
        <f>SUM(Table45464849[[#This Row],[Y2 Q1 cost]:[Y2 Q4 cost]])</f>
        <v>0</v>
      </c>
      <c r="T25" s="589"/>
      <c r="U25" s="594"/>
      <c r="V25" s="594"/>
      <c r="W25" s="594"/>
      <c r="X25" s="591">
        <f>SUM(Table45464849[[#This Row],[Y3 Q1 cost]:[Y3 Q4 cost]])</f>
        <v>0</v>
      </c>
      <c r="Y25" s="591">
        <f>Table45464849[[#This Row],[Y1 total cost]]+Table45464849[[#This Row],[Y2 total cost]]+Table45464849[[#This Row],[Y3 total cost]]</f>
        <v>0</v>
      </c>
      <c r="Z25" s="573"/>
      <c r="AA25" s="568"/>
      <c r="AB25" s="568"/>
      <c r="AC25" s="568"/>
      <c r="AD25" s="568"/>
      <c r="AE25" s="568"/>
      <c r="AF25" s="568"/>
      <c r="AG25" s="568"/>
      <c r="AH25" s="568"/>
      <c r="AI25" s="570"/>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row>
    <row r="26" spans="1:71" s="569" customFormat="1" ht="13">
      <c r="A26" s="3327"/>
      <c r="B26" s="3328"/>
      <c r="C26" s="3328"/>
      <c r="D26" s="3329"/>
      <c r="E26" s="3310"/>
      <c r="F26" s="3310"/>
      <c r="G26" s="3310"/>
      <c r="H26" s="3310"/>
      <c r="I26" s="3311"/>
      <c r="J26" s="589"/>
      <c r="K26" s="594"/>
      <c r="L26" s="594"/>
      <c r="M26" s="594"/>
      <c r="N26" s="591">
        <f>SUM(Table45464849[[#This Row],[Y1 Q1 cost]:[Y1 Q4 cost]])</f>
        <v>0</v>
      </c>
      <c r="O26" s="594"/>
      <c r="P26" s="594"/>
      <c r="Q26" s="594"/>
      <c r="R26" s="594"/>
      <c r="S26" s="593">
        <f>SUM(Table45464849[[#This Row],[Y2 Q1 cost]:[Y2 Q4 cost]])</f>
        <v>0</v>
      </c>
      <c r="T26" s="589"/>
      <c r="U26" s="594"/>
      <c r="V26" s="594"/>
      <c r="W26" s="594"/>
      <c r="X26" s="591">
        <f>SUM(Table45464849[[#This Row],[Y3 Q1 cost]:[Y3 Q4 cost]])</f>
        <v>0</v>
      </c>
      <c r="Y26" s="591">
        <f>Table45464849[[#This Row],[Y1 total cost]]+Table45464849[[#This Row],[Y2 total cost]]+Table45464849[[#This Row],[Y3 total cost]]</f>
        <v>0</v>
      </c>
      <c r="Z26" s="573"/>
      <c r="AA26" s="568"/>
      <c r="AB26" s="568"/>
      <c r="AC26" s="568"/>
      <c r="AD26" s="568"/>
      <c r="AE26" s="568"/>
      <c r="AF26" s="568"/>
      <c r="AG26" s="568"/>
      <c r="AH26" s="568"/>
      <c r="AI26" s="570"/>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row>
    <row r="27" spans="1:71" s="569" customFormat="1" ht="13">
      <c r="A27" s="3312"/>
      <c r="B27" s="3313"/>
      <c r="C27" s="3313"/>
      <c r="D27" s="3314"/>
      <c r="E27" s="3315"/>
      <c r="F27" s="3315"/>
      <c r="G27" s="3315"/>
      <c r="H27" s="3315"/>
      <c r="I27" s="3316"/>
      <c r="J27" s="589"/>
      <c r="K27" s="594"/>
      <c r="L27" s="594"/>
      <c r="M27" s="594"/>
      <c r="N27" s="591">
        <f>SUM(Table45464849[[#This Row],[Y1 Q1 cost]:[Y1 Q4 cost]])</f>
        <v>0</v>
      </c>
      <c r="O27" s="594"/>
      <c r="P27" s="594"/>
      <c r="Q27" s="594"/>
      <c r="R27" s="594"/>
      <c r="S27" s="593">
        <f>SUM(Table45464849[[#This Row],[Y2 Q1 cost]:[Y2 Q4 cost]])</f>
        <v>0</v>
      </c>
      <c r="T27" s="589"/>
      <c r="U27" s="594"/>
      <c r="V27" s="594"/>
      <c r="W27" s="594"/>
      <c r="X27" s="591">
        <f>SUM(Table45464849[[#This Row],[Y3 Q1 cost]:[Y3 Q4 cost]])</f>
        <v>0</v>
      </c>
      <c r="Y27" s="591">
        <f>Table45464849[[#This Row],[Y1 total cost]]+Table45464849[[#This Row],[Y2 total cost]]+Table45464849[[#This Row],[Y3 total cost]]</f>
        <v>0</v>
      </c>
      <c r="Z27" s="573"/>
      <c r="AA27" s="568"/>
      <c r="AB27" s="568"/>
      <c r="AC27" s="568"/>
      <c r="AD27" s="568"/>
      <c r="AE27" s="568"/>
      <c r="AF27" s="568"/>
      <c r="AG27" s="568"/>
      <c r="AH27" s="568"/>
      <c r="AI27" s="570"/>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row>
    <row r="28" spans="1:71" s="569" customFormat="1" ht="13">
      <c r="A28" s="3327"/>
      <c r="B28" s="3328"/>
      <c r="C28" s="3328"/>
      <c r="D28" s="3329"/>
      <c r="E28" s="3310"/>
      <c r="F28" s="3310"/>
      <c r="G28" s="3310"/>
      <c r="H28" s="3310"/>
      <c r="I28" s="3311"/>
      <c r="J28" s="589"/>
      <c r="K28" s="594"/>
      <c r="L28" s="594"/>
      <c r="M28" s="594"/>
      <c r="N28" s="591">
        <f>SUM(Table45464849[[#This Row],[Y1 Q1 cost]:[Y1 Q4 cost]])</f>
        <v>0</v>
      </c>
      <c r="O28" s="594"/>
      <c r="P28" s="594"/>
      <c r="Q28" s="594"/>
      <c r="R28" s="594"/>
      <c r="S28" s="593">
        <f>SUM(Table45464849[[#This Row],[Y2 Q1 cost]:[Y2 Q4 cost]])</f>
        <v>0</v>
      </c>
      <c r="T28" s="589"/>
      <c r="U28" s="594"/>
      <c r="V28" s="594"/>
      <c r="W28" s="594"/>
      <c r="X28" s="591">
        <f>SUM(Table45464849[[#This Row],[Y3 Q1 cost]:[Y3 Q4 cost]])</f>
        <v>0</v>
      </c>
      <c r="Y28" s="591">
        <f>Table45464849[[#This Row],[Y1 total cost]]+Table45464849[[#This Row],[Y2 total cost]]+Table45464849[[#This Row],[Y3 total cost]]</f>
        <v>0</v>
      </c>
      <c r="Z28" s="573"/>
      <c r="AA28" s="568"/>
      <c r="AB28" s="568"/>
      <c r="AC28" s="568"/>
      <c r="AD28" s="568"/>
      <c r="AE28" s="568"/>
      <c r="AF28" s="568"/>
      <c r="AG28" s="568"/>
      <c r="AH28" s="568"/>
      <c r="AI28" s="570"/>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row>
    <row r="29" spans="1:71" s="569" customFormat="1" ht="13">
      <c r="A29" s="3312"/>
      <c r="B29" s="3313"/>
      <c r="C29" s="3313"/>
      <c r="D29" s="3314"/>
      <c r="E29" s="3315"/>
      <c r="F29" s="3315"/>
      <c r="G29" s="3315"/>
      <c r="H29" s="3315"/>
      <c r="I29" s="3316"/>
      <c r="J29" s="589"/>
      <c r="K29" s="594"/>
      <c r="L29" s="594"/>
      <c r="M29" s="594"/>
      <c r="N29" s="591">
        <f>SUM(Table45464849[[#This Row],[Y1 Q1 cost]:[Y1 Q4 cost]])</f>
        <v>0</v>
      </c>
      <c r="O29" s="594"/>
      <c r="P29" s="594"/>
      <c r="Q29" s="594"/>
      <c r="R29" s="594"/>
      <c r="S29" s="593">
        <f>SUM(Table45464849[[#This Row],[Y2 Q1 cost]:[Y2 Q4 cost]])</f>
        <v>0</v>
      </c>
      <c r="T29" s="589"/>
      <c r="U29" s="594"/>
      <c r="V29" s="594"/>
      <c r="W29" s="594"/>
      <c r="X29" s="591">
        <f>SUM(Table45464849[[#This Row],[Y3 Q1 cost]:[Y3 Q4 cost]])</f>
        <v>0</v>
      </c>
      <c r="Y29" s="591">
        <f>Table45464849[[#This Row],[Y1 total cost]]+Table45464849[[#This Row],[Y2 total cost]]+Table45464849[[#This Row],[Y3 total cost]]</f>
        <v>0</v>
      </c>
      <c r="Z29" s="573"/>
      <c r="AA29" s="568"/>
      <c r="AB29" s="568"/>
      <c r="AC29" s="568"/>
      <c r="AD29" s="568"/>
      <c r="AE29" s="568"/>
      <c r="AF29" s="568"/>
      <c r="AG29" s="568"/>
      <c r="AH29" s="568"/>
      <c r="AI29" s="570"/>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8"/>
      <c r="BO29" s="568"/>
      <c r="BP29" s="568"/>
      <c r="BQ29" s="568"/>
      <c r="BR29" s="568"/>
      <c r="BS29" s="568"/>
    </row>
    <row r="30" spans="1:71" s="569" customFormat="1" ht="13">
      <c r="A30" s="3327"/>
      <c r="B30" s="3328"/>
      <c r="C30" s="3328"/>
      <c r="D30" s="3329"/>
      <c r="E30" s="3310"/>
      <c r="F30" s="3310"/>
      <c r="G30" s="3310"/>
      <c r="H30" s="3310"/>
      <c r="I30" s="3311"/>
      <c r="J30" s="589"/>
      <c r="K30" s="594"/>
      <c r="L30" s="594"/>
      <c r="M30" s="594"/>
      <c r="N30" s="591">
        <f>SUM(Table45464849[[#This Row],[Y1 Q1 cost]:[Y1 Q4 cost]])</f>
        <v>0</v>
      </c>
      <c r="O30" s="594"/>
      <c r="P30" s="594"/>
      <c r="Q30" s="594"/>
      <c r="R30" s="594"/>
      <c r="S30" s="593">
        <f>SUM(Table45464849[[#This Row],[Y2 Q1 cost]:[Y2 Q4 cost]])</f>
        <v>0</v>
      </c>
      <c r="T30" s="589"/>
      <c r="U30" s="594"/>
      <c r="V30" s="594"/>
      <c r="W30" s="594"/>
      <c r="X30" s="591">
        <f>SUM(Table45464849[[#This Row],[Y3 Q1 cost]:[Y3 Q4 cost]])</f>
        <v>0</v>
      </c>
      <c r="Y30" s="591">
        <f>Table45464849[[#This Row],[Y1 total cost]]+Table45464849[[#This Row],[Y2 total cost]]+Table45464849[[#This Row],[Y3 total cost]]</f>
        <v>0</v>
      </c>
      <c r="Z30" s="573"/>
      <c r="AA30" s="568"/>
      <c r="AB30" s="568"/>
      <c r="AC30" s="568"/>
      <c r="AD30" s="568"/>
      <c r="AE30" s="568"/>
      <c r="AF30" s="568"/>
      <c r="AG30" s="568"/>
      <c r="AH30" s="568"/>
      <c r="AI30" s="570"/>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8"/>
      <c r="BO30" s="568"/>
      <c r="BP30" s="568"/>
      <c r="BQ30" s="568"/>
      <c r="BR30" s="568"/>
      <c r="BS30" s="568"/>
    </row>
    <row r="31" spans="1:71" s="569" customFormat="1" ht="13">
      <c r="A31" s="3312"/>
      <c r="B31" s="3313"/>
      <c r="C31" s="3313"/>
      <c r="D31" s="3314"/>
      <c r="E31" s="3315"/>
      <c r="F31" s="3315"/>
      <c r="G31" s="3315"/>
      <c r="H31" s="3315"/>
      <c r="I31" s="3316"/>
      <c r="J31" s="589"/>
      <c r="K31" s="594"/>
      <c r="L31" s="594"/>
      <c r="M31" s="594"/>
      <c r="N31" s="591">
        <f>SUM(Table45464849[[#This Row],[Y1 Q1 cost]:[Y1 Q4 cost]])</f>
        <v>0</v>
      </c>
      <c r="O31" s="594"/>
      <c r="P31" s="594"/>
      <c r="Q31" s="594"/>
      <c r="R31" s="594"/>
      <c r="S31" s="593">
        <f>SUM(Table45464849[[#This Row],[Y2 Q1 cost]:[Y2 Q4 cost]])</f>
        <v>0</v>
      </c>
      <c r="T31" s="589"/>
      <c r="U31" s="594"/>
      <c r="V31" s="594"/>
      <c r="W31" s="594"/>
      <c r="X31" s="591">
        <f>SUM(Table45464849[[#This Row],[Y3 Q1 cost]:[Y3 Q4 cost]])</f>
        <v>0</v>
      </c>
      <c r="Y31" s="591">
        <f>Table45464849[[#This Row],[Y1 total cost]]+Table45464849[[#This Row],[Y2 total cost]]+Table45464849[[#This Row],[Y3 total cost]]</f>
        <v>0</v>
      </c>
      <c r="Z31" s="573"/>
      <c r="AA31" s="568"/>
      <c r="AB31" s="568"/>
      <c r="AC31" s="568"/>
      <c r="AD31" s="568"/>
      <c r="AE31" s="568"/>
      <c r="AF31" s="568"/>
      <c r="AG31" s="568"/>
      <c r="AH31" s="568"/>
      <c r="AI31" s="570"/>
      <c r="AJ31" s="568"/>
      <c r="AK31" s="568"/>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8"/>
      <c r="BO31" s="568"/>
      <c r="BP31" s="568"/>
      <c r="BQ31" s="568"/>
      <c r="BR31" s="568"/>
      <c r="BS31" s="568"/>
    </row>
    <row r="32" spans="1:71" s="569" customFormat="1" ht="13">
      <c r="A32" s="3327"/>
      <c r="B32" s="3328"/>
      <c r="C32" s="3328"/>
      <c r="D32" s="3329"/>
      <c r="E32" s="3310"/>
      <c r="F32" s="3310"/>
      <c r="G32" s="3310"/>
      <c r="H32" s="3310"/>
      <c r="I32" s="3311"/>
      <c r="J32" s="589"/>
      <c r="K32" s="594"/>
      <c r="L32" s="594"/>
      <c r="M32" s="594"/>
      <c r="N32" s="591">
        <f>SUM(Table45464849[[#This Row],[Y1 Q1 cost]:[Y1 Q4 cost]])</f>
        <v>0</v>
      </c>
      <c r="O32" s="594"/>
      <c r="P32" s="594"/>
      <c r="Q32" s="594"/>
      <c r="R32" s="594"/>
      <c r="S32" s="593">
        <f>SUM(Table45464849[[#This Row],[Y2 Q1 cost]:[Y2 Q4 cost]])</f>
        <v>0</v>
      </c>
      <c r="T32" s="589"/>
      <c r="U32" s="594"/>
      <c r="V32" s="594"/>
      <c r="W32" s="594"/>
      <c r="X32" s="591">
        <f>SUM(Table45464849[[#This Row],[Y3 Q1 cost]:[Y3 Q4 cost]])</f>
        <v>0</v>
      </c>
      <c r="Y32" s="593">
        <f>Table45464849[[#This Row],[Y1 total cost]]+Table45464849[[#This Row],[Y2 total cost]]+Table45464849[[#This Row],[Y3 total cost]]</f>
        <v>0</v>
      </c>
      <c r="Z32" s="573"/>
      <c r="AA32" s="568"/>
      <c r="AB32" s="568"/>
      <c r="AC32" s="568"/>
      <c r="AD32" s="568"/>
      <c r="AE32" s="568"/>
      <c r="AF32" s="568"/>
      <c r="AG32" s="568"/>
      <c r="AH32" s="568"/>
      <c r="AI32" s="570"/>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8"/>
      <c r="BO32" s="568"/>
      <c r="BP32" s="568"/>
      <c r="BQ32" s="568"/>
      <c r="BR32" s="568"/>
      <c r="BS32" s="568"/>
    </row>
    <row r="33" spans="1:71" s="569" customFormat="1" ht="13">
      <c r="A33" s="3312"/>
      <c r="B33" s="3313"/>
      <c r="C33" s="3313"/>
      <c r="D33" s="3314"/>
      <c r="E33" s="3315"/>
      <c r="F33" s="3315"/>
      <c r="G33" s="3315"/>
      <c r="H33" s="3315"/>
      <c r="I33" s="3316"/>
      <c r="J33" s="589"/>
      <c r="K33" s="594"/>
      <c r="L33" s="594"/>
      <c r="M33" s="594"/>
      <c r="N33" s="591">
        <f>SUM(Table45464849[[#This Row],[Y1 Q1 cost]:[Y1 Q4 cost]])</f>
        <v>0</v>
      </c>
      <c r="O33" s="594"/>
      <c r="P33" s="594"/>
      <c r="Q33" s="594"/>
      <c r="R33" s="594"/>
      <c r="S33" s="593">
        <f>SUM(Table45464849[[#This Row],[Y2 Q1 cost]:[Y2 Q4 cost]])</f>
        <v>0</v>
      </c>
      <c r="T33" s="589"/>
      <c r="U33" s="594"/>
      <c r="V33" s="594"/>
      <c r="W33" s="594"/>
      <c r="X33" s="591">
        <f>SUM(Table45464849[[#This Row],[Y3 Q1 cost]:[Y3 Q4 cost]])</f>
        <v>0</v>
      </c>
      <c r="Y33" s="593">
        <f>Table45464849[[#This Row],[Y1 total cost]]+Table45464849[[#This Row],[Y2 total cost]]+Table45464849[[#This Row],[Y3 total cost]]</f>
        <v>0</v>
      </c>
      <c r="Z33" s="573"/>
      <c r="AA33" s="568"/>
      <c r="AB33" s="568"/>
      <c r="AC33" s="568"/>
      <c r="AD33" s="568"/>
      <c r="AE33" s="568"/>
      <c r="AF33" s="568"/>
      <c r="AG33" s="568"/>
      <c r="AH33" s="568"/>
      <c r="AI33" s="570"/>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row>
    <row r="34" spans="1:71" s="569" customFormat="1" ht="13">
      <c r="A34" s="3327"/>
      <c r="B34" s="3328"/>
      <c r="C34" s="3328"/>
      <c r="D34" s="3329"/>
      <c r="E34" s="3310"/>
      <c r="F34" s="3310"/>
      <c r="G34" s="3310"/>
      <c r="H34" s="3310"/>
      <c r="I34" s="3311"/>
      <c r="J34" s="589"/>
      <c r="K34" s="594"/>
      <c r="L34" s="594"/>
      <c r="M34" s="594"/>
      <c r="N34" s="591">
        <f>SUM(Table45464849[[#This Row],[Y1 Q1 cost]:[Y1 Q4 cost]])</f>
        <v>0</v>
      </c>
      <c r="O34" s="594"/>
      <c r="P34" s="594"/>
      <c r="Q34" s="594"/>
      <c r="R34" s="594"/>
      <c r="S34" s="593">
        <f>SUM(Table45464849[[#This Row],[Y2 Q1 cost]:[Y2 Q4 cost]])</f>
        <v>0</v>
      </c>
      <c r="T34" s="589"/>
      <c r="U34" s="594"/>
      <c r="V34" s="594"/>
      <c r="W34" s="594"/>
      <c r="X34" s="591">
        <f>SUM(Table45464849[[#This Row],[Y3 Q1 cost]:[Y3 Q4 cost]])</f>
        <v>0</v>
      </c>
      <c r="Y34" s="593">
        <f>Table45464849[[#This Row],[Y1 total cost]]+Table45464849[[#This Row],[Y2 total cost]]+Table45464849[[#This Row],[Y3 total cost]]</f>
        <v>0</v>
      </c>
      <c r="Z34" s="573"/>
      <c r="AA34" s="568"/>
      <c r="AB34" s="568"/>
      <c r="AC34" s="568"/>
      <c r="AD34" s="568"/>
      <c r="AE34" s="568"/>
      <c r="AF34" s="568"/>
      <c r="AG34" s="568"/>
      <c r="AH34" s="568"/>
      <c r="AI34" s="570"/>
      <c r="AJ34" s="568"/>
      <c r="AK34" s="568"/>
      <c r="AL34" s="568"/>
      <c r="AM34" s="568"/>
      <c r="AN34" s="568"/>
      <c r="AO34" s="568"/>
      <c r="AP34" s="568"/>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row>
    <row r="35" spans="1:71" s="569" customFormat="1" ht="13">
      <c r="A35" s="3312"/>
      <c r="B35" s="3313"/>
      <c r="C35" s="3313"/>
      <c r="D35" s="3314"/>
      <c r="E35" s="3315"/>
      <c r="F35" s="3315"/>
      <c r="G35" s="3315"/>
      <c r="H35" s="3315"/>
      <c r="I35" s="3316"/>
      <c r="J35" s="589"/>
      <c r="K35" s="594"/>
      <c r="L35" s="594"/>
      <c r="M35" s="594"/>
      <c r="N35" s="591">
        <f>SUM(Table45464849[[#This Row],[Y1 Q1 cost]:[Y1 Q4 cost]])</f>
        <v>0</v>
      </c>
      <c r="O35" s="594"/>
      <c r="P35" s="594"/>
      <c r="Q35" s="594"/>
      <c r="R35" s="594"/>
      <c r="S35" s="593">
        <f>SUM(Table45464849[[#This Row],[Y2 Q1 cost]:[Y2 Q4 cost]])</f>
        <v>0</v>
      </c>
      <c r="T35" s="589"/>
      <c r="U35" s="594"/>
      <c r="V35" s="594"/>
      <c r="W35" s="594"/>
      <c r="X35" s="591">
        <f>SUM(Table45464849[[#This Row],[Y3 Q1 cost]:[Y3 Q4 cost]])</f>
        <v>0</v>
      </c>
      <c r="Y35" s="593">
        <f>Table45464849[[#This Row],[Y1 total cost]]+Table45464849[[#This Row],[Y2 total cost]]+Table45464849[[#This Row],[Y3 total cost]]</f>
        <v>0</v>
      </c>
      <c r="Z35" s="573"/>
      <c r="AA35" s="568"/>
      <c r="AB35" s="568"/>
      <c r="AC35" s="568"/>
      <c r="AD35" s="568"/>
      <c r="AE35" s="568"/>
      <c r="AF35" s="568"/>
      <c r="AG35" s="568"/>
      <c r="AH35" s="568"/>
      <c r="AI35" s="570"/>
      <c r="AJ35" s="568"/>
      <c r="AK35" s="568"/>
      <c r="AL35" s="568"/>
      <c r="AM35" s="568"/>
      <c r="AN35" s="568"/>
      <c r="AO35" s="568"/>
      <c r="AP35" s="568"/>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row>
    <row r="36" spans="1:71" s="569" customFormat="1" ht="13">
      <c r="A36" s="3327"/>
      <c r="B36" s="3328"/>
      <c r="C36" s="3328"/>
      <c r="D36" s="3329"/>
      <c r="E36" s="3310"/>
      <c r="F36" s="3310"/>
      <c r="G36" s="3310"/>
      <c r="H36" s="3310"/>
      <c r="I36" s="3311"/>
      <c r="J36" s="589"/>
      <c r="K36" s="594"/>
      <c r="L36" s="594"/>
      <c r="M36" s="594"/>
      <c r="N36" s="591">
        <f>SUM(Table45464849[[#This Row],[Y1 Q1 cost]:[Y1 Q4 cost]])</f>
        <v>0</v>
      </c>
      <c r="O36" s="594"/>
      <c r="P36" s="594"/>
      <c r="Q36" s="594"/>
      <c r="R36" s="594"/>
      <c r="S36" s="593">
        <f>SUM(Table45464849[[#This Row],[Y2 Q1 cost]:[Y2 Q4 cost]])</f>
        <v>0</v>
      </c>
      <c r="T36" s="589"/>
      <c r="U36" s="594"/>
      <c r="V36" s="594"/>
      <c r="W36" s="594"/>
      <c r="X36" s="591">
        <f>SUM(Table45464849[[#This Row],[Y3 Q1 cost]:[Y3 Q4 cost]])</f>
        <v>0</v>
      </c>
      <c r="Y36" s="593">
        <f>Table45464849[[#This Row],[Y1 total cost]]+Table45464849[[#This Row],[Y2 total cost]]+Table45464849[[#This Row],[Y3 total cost]]</f>
        <v>0</v>
      </c>
      <c r="Z36" s="573"/>
      <c r="AA36" s="568"/>
      <c r="AB36" s="568"/>
      <c r="AC36" s="568"/>
      <c r="AD36" s="568"/>
      <c r="AE36" s="568"/>
      <c r="AF36" s="568"/>
      <c r="AG36" s="568"/>
      <c r="AH36" s="568"/>
      <c r="AI36" s="570"/>
      <c r="AJ36" s="568"/>
      <c r="AK36" s="568"/>
      <c r="AL36" s="568"/>
      <c r="AM36" s="568"/>
      <c r="AN36" s="568"/>
      <c r="AO36" s="568"/>
      <c r="AP36" s="568"/>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8"/>
      <c r="BO36" s="568"/>
      <c r="BP36" s="568"/>
      <c r="BQ36" s="568"/>
      <c r="BR36" s="568"/>
      <c r="BS36" s="568"/>
    </row>
    <row r="37" spans="1:71" s="569" customFormat="1" ht="13">
      <c r="A37" s="3312"/>
      <c r="B37" s="3313"/>
      <c r="C37" s="3313"/>
      <c r="D37" s="3314"/>
      <c r="E37" s="3315"/>
      <c r="F37" s="3315"/>
      <c r="G37" s="3315"/>
      <c r="H37" s="3315"/>
      <c r="I37" s="3316"/>
      <c r="J37" s="589"/>
      <c r="K37" s="594"/>
      <c r="L37" s="594"/>
      <c r="M37" s="594"/>
      <c r="N37" s="591">
        <f>SUM(Table45464849[[#This Row],[Y1 Q1 cost]:[Y1 Q4 cost]])</f>
        <v>0</v>
      </c>
      <c r="O37" s="594"/>
      <c r="P37" s="594"/>
      <c r="Q37" s="594"/>
      <c r="R37" s="594"/>
      <c r="S37" s="593">
        <f>SUM(Table45464849[[#This Row],[Y2 Q1 cost]:[Y2 Q4 cost]])</f>
        <v>0</v>
      </c>
      <c r="T37" s="589"/>
      <c r="U37" s="594"/>
      <c r="V37" s="594"/>
      <c r="W37" s="594"/>
      <c r="X37" s="591">
        <f>SUM(Table45464849[[#This Row],[Y3 Q1 cost]:[Y3 Q4 cost]])</f>
        <v>0</v>
      </c>
      <c r="Y37" s="593">
        <f>Table45464849[[#This Row],[Y1 total cost]]+Table45464849[[#This Row],[Y2 total cost]]+Table45464849[[#This Row],[Y3 total cost]]</f>
        <v>0</v>
      </c>
      <c r="Z37" s="573"/>
      <c r="AA37" s="568"/>
      <c r="AB37" s="568"/>
      <c r="AC37" s="568"/>
      <c r="AD37" s="568"/>
      <c r="AE37" s="568"/>
      <c r="AF37" s="568"/>
      <c r="AG37" s="568"/>
      <c r="AH37" s="568"/>
      <c r="AI37" s="570"/>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8"/>
      <c r="BO37" s="568"/>
      <c r="BP37" s="568"/>
      <c r="BQ37" s="568"/>
      <c r="BR37" s="568"/>
      <c r="BS37" s="568"/>
    </row>
    <row r="38" spans="1:71" s="569" customFormat="1" ht="13">
      <c r="A38" s="3327"/>
      <c r="B38" s="3328"/>
      <c r="C38" s="3328"/>
      <c r="D38" s="3329"/>
      <c r="E38" s="3310"/>
      <c r="F38" s="3310"/>
      <c r="G38" s="3310"/>
      <c r="H38" s="3310"/>
      <c r="I38" s="3311"/>
      <c r="J38" s="589"/>
      <c r="K38" s="594"/>
      <c r="L38" s="594"/>
      <c r="M38" s="594"/>
      <c r="N38" s="591">
        <f>SUM(Table45464849[[#This Row],[Y1 Q1 cost]:[Y1 Q4 cost]])</f>
        <v>0</v>
      </c>
      <c r="O38" s="594"/>
      <c r="P38" s="594"/>
      <c r="Q38" s="594"/>
      <c r="R38" s="594"/>
      <c r="S38" s="593">
        <f>SUM(Table45464849[[#This Row],[Y2 Q1 cost]:[Y2 Q4 cost]])</f>
        <v>0</v>
      </c>
      <c r="T38" s="589"/>
      <c r="U38" s="594"/>
      <c r="V38" s="594"/>
      <c r="W38" s="594"/>
      <c r="X38" s="591">
        <f>SUM(Table45464849[[#This Row],[Y3 Q1 cost]:[Y3 Q4 cost]])</f>
        <v>0</v>
      </c>
      <c r="Y38" s="593">
        <f>Table45464849[[#This Row],[Y1 total cost]]+Table45464849[[#This Row],[Y2 total cost]]+Table45464849[[#This Row],[Y3 total cost]]</f>
        <v>0</v>
      </c>
      <c r="Z38" s="573"/>
      <c r="AA38" s="568"/>
      <c r="AB38" s="568"/>
      <c r="AC38" s="568"/>
      <c r="AD38" s="568"/>
      <c r="AE38" s="568"/>
      <c r="AF38" s="568"/>
      <c r="AG38" s="568"/>
      <c r="AH38" s="568"/>
      <c r="AI38" s="570"/>
      <c r="AJ38" s="568"/>
      <c r="AK38" s="568"/>
      <c r="AL38" s="568"/>
      <c r="AM38" s="568"/>
      <c r="AN38" s="568"/>
      <c r="AO38" s="568"/>
      <c r="AP38" s="568"/>
      <c r="AQ38" s="568"/>
      <c r="AR38" s="568"/>
      <c r="AS38" s="568"/>
      <c r="AT38" s="568"/>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row>
    <row r="39" spans="1:71" s="569" customFormat="1" ht="13">
      <c r="A39" s="3312"/>
      <c r="B39" s="3313"/>
      <c r="C39" s="3313"/>
      <c r="D39" s="3314"/>
      <c r="E39" s="3315"/>
      <c r="F39" s="3315"/>
      <c r="G39" s="3315"/>
      <c r="H39" s="3315"/>
      <c r="I39" s="3316"/>
      <c r="J39" s="589"/>
      <c r="K39" s="594"/>
      <c r="L39" s="594"/>
      <c r="M39" s="594"/>
      <c r="N39" s="591">
        <f>SUM(Table45464849[[#This Row],[Y1 Q1 cost]:[Y1 Q4 cost]])</f>
        <v>0</v>
      </c>
      <c r="O39" s="594"/>
      <c r="P39" s="594"/>
      <c r="Q39" s="594"/>
      <c r="R39" s="594"/>
      <c r="S39" s="593">
        <f>SUM(Table45464849[[#This Row],[Y2 Q1 cost]:[Y2 Q4 cost]])</f>
        <v>0</v>
      </c>
      <c r="T39" s="589"/>
      <c r="U39" s="594"/>
      <c r="V39" s="594"/>
      <c r="W39" s="594"/>
      <c r="X39" s="591">
        <f>SUM(Table45464849[[#This Row],[Y3 Q1 cost]:[Y3 Q4 cost]])</f>
        <v>0</v>
      </c>
      <c r="Y39" s="593">
        <f>Table45464849[[#This Row],[Y1 total cost]]+Table45464849[[#This Row],[Y2 total cost]]+Table45464849[[#This Row],[Y3 total cost]]</f>
        <v>0</v>
      </c>
      <c r="Z39" s="573"/>
      <c r="AA39" s="568"/>
      <c r="AB39" s="568"/>
      <c r="AC39" s="568"/>
      <c r="AD39" s="568"/>
      <c r="AE39" s="568"/>
      <c r="AF39" s="568"/>
      <c r="AG39" s="568"/>
      <c r="AH39" s="568"/>
      <c r="AI39" s="570"/>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row>
    <row r="40" spans="1:71" s="569" customFormat="1" ht="13">
      <c r="A40" s="3327"/>
      <c r="B40" s="3328"/>
      <c r="C40" s="3328"/>
      <c r="D40" s="3329"/>
      <c r="E40" s="3310"/>
      <c r="F40" s="3310"/>
      <c r="G40" s="3310"/>
      <c r="H40" s="3310"/>
      <c r="I40" s="3311"/>
      <c r="J40" s="589"/>
      <c r="K40" s="594"/>
      <c r="L40" s="594"/>
      <c r="M40" s="594"/>
      <c r="N40" s="591">
        <f>SUM(Table45464849[[#This Row],[Y1 Q1 cost]:[Y1 Q4 cost]])</f>
        <v>0</v>
      </c>
      <c r="O40" s="594"/>
      <c r="P40" s="594"/>
      <c r="Q40" s="594"/>
      <c r="R40" s="594"/>
      <c r="S40" s="593">
        <f>SUM(Table45464849[[#This Row],[Y2 Q1 cost]:[Y2 Q4 cost]])</f>
        <v>0</v>
      </c>
      <c r="T40" s="589"/>
      <c r="U40" s="594"/>
      <c r="V40" s="594"/>
      <c r="W40" s="594"/>
      <c r="X40" s="591">
        <f>SUM(Table45464849[[#This Row],[Y3 Q1 cost]:[Y3 Q4 cost]])</f>
        <v>0</v>
      </c>
      <c r="Y40" s="593">
        <f>Table45464849[[#This Row],[Y1 total cost]]+Table45464849[[#This Row],[Y2 total cost]]+Table45464849[[#This Row],[Y3 total cost]]</f>
        <v>0</v>
      </c>
      <c r="Z40" s="573"/>
      <c r="AA40" s="568"/>
      <c r="AB40" s="568"/>
      <c r="AC40" s="568"/>
      <c r="AD40" s="568"/>
      <c r="AE40" s="568"/>
      <c r="AF40" s="568"/>
      <c r="AG40" s="568"/>
      <c r="AH40" s="568"/>
      <c r="AI40" s="570"/>
      <c r="AJ40" s="568"/>
      <c r="AK40" s="568"/>
      <c r="AL40" s="568"/>
      <c r="AM40" s="568"/>
      <c r="AN40" s="568"/>
      <c r="AO40" s="568"/>
      <c r="AP40" s="568"/>
      <c r="AQ40" s="568"/>
      <c r="AR40" s="568"/>
      <c r="AS40" s="568"/>
      <c r="AT40" s="568"/>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row>
    <row r="41" spans="1:71" s="569" customFormat="1" ht="13">
      <c r="A41" s="3312"/>
      <c r="B41" s="3313"/>
      <c r="C41" s="3313"/>
      <c r="D41" s="3314"/>
      <c r="E41" s="3315"/>
      <c r="F41" s="3315"/>
      <c r="G41" s="3315"/>
      <c r="H41" s="3315"/>
      <c r="I41" s="3316"/>
      <c r="J41" s="589"/>
      <c r="K41" s="594"/>
      <c r="L41" s="594"/>
      <c r="M41" s="594"/>
      <c r="N41" s="591">
        <f>SUM(Table45464849[[#This Row],[Y1 Q1 cost]:[Y1 Q4 cost]])</f>
        <v>0</v>
      </c>
      <c r="O41" s="594"/>
      <c r="P41" s="594"/>
      <c r="Q41" s="594"/>
      <c r="R41" s="594"/>
      <c r="S41" s="593">
        <f>SUM(Table45464849[[#This Row],[Y2 Q1 cost]:[Y2 Q4 cost]])</f>
        <v>0</v>
      </c>
      <c r="T41" s="589"/>
      <c r="U41" s="594"/>
      <c r="V41" s="594"/>
      <c r="W41" s="594"/>
      <c r="X41" s="591">
        <f>SUM(Table45464849[[#This Row],[Y3 Q1 cost]:[Y3 Q4 cost]])</f>
        <v>0</v>
      </c>
      <c r="Y41" s="593">
        <f>Table45464849[[#This Row],[Y1 total cost]]+Table45464849[[#This Row],[Y2 total cost]]+Table45464849[[#This Row],[Y3 total cost]]</f>
        <v>0</v>
      </c>
      <c r="Z41" s="573"/>
      <c r="AA41" s="568"/>
      <c r="AB41" s="568"/>
      <c r="AC41" s="568"/>
      <c r="AD41" s="568"/>
      <c r="AE41" s="568"/>
      <c r="AF41" s="568"/>
      <c r="AG41" s="568"/>
      <c r="AH41" s="568"/>
      <c r="AI41" s="570"/>
      <c r="AJ41" s="568"/>
      <c r="AK41" s="568"/>
      <c r="AL41" s="568"/>
      <c r="AM41" s="568"/>
      <c r="AN41" s="568"/>
      <c r="AO41" s="568"/>
      <c r="AP41" s="568"/>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row>
    <row r="42" spans="1:71" s="569" customFormat="1" ht="13">
      <c r="A42" s="3327"/>
      <c r="B42" s="3328"/>
      <c r="C42" s="3328"/>
      <c r="D42" s="3329"/>
      <c r="E42" s="3310"/>
      <c r="F42" s="3310"/>
      <c r="G42" s="3310"/>
      <c r="H42" s="3310"/>
      <c r="I42" s="3311"/>
      <c r="J42" s="589"/>
      <c r="K42" s="594"/>
      <c r="L42" s="594"/>
      <c r="M42" s="594"/>
      <c r="N42" s="591">
        <f>SUM(Table45464849[[#This Row],[Y1 Q1 cost]:[Y1 Q4 cost]])</f>
        <v>0</v>
      </c>
      <c r="O42" s="594"/>
      <c r="P42" s="594"/>
      <c r="Q42" s="594"/>
      <c r="R42" s="594"/>
      <c r="S42" s="593">
        <f>SUM(Table45464849[[#This Row],[Y2 Q1 cost]:[Y2 Q4 cost]])</f>
        <v>0</v>
      </c>
      <c r="T42" s="589"/>
      <c r="U42" s="594"/>
      <c r="V42" s="594"/>
      <c r="W42" s="594"/>
      <c r="X42" s="591">
        <f>SUM(Table45464849[[#This Row],[Y3 Q1 cost]:[Y3 Q4 cost]])</f>
        <v>0</v>
      </c>
      <c r="Y42" s="593">
        <f>Table45464849[[#This Row],[Y1 total cost]]+Table45464849[[#This Row],[Y2 total cost]]+Table45464849[[#This Row],[Y3 total cost]]</f>
        <v>0</v>
      </c>
      <c r="Z42" s="573"/>
      <c r="AA42" s="568"/>
      <c r="AB42" s="568"/>
      <c r="AC42" s="568"/>
      <c r="AD42" s="568"/>
      <c r="AE42" s="568"/>
      <c r="AF42" s="568"/>
      <c r="AG42" s="568"/>
      <c r="AH42" s="568"/>
      <c r="AI42" s="570"/>
      <c r="AJ42" s="568"/>
      <c r="AK42" s="568"/>
      <c r="AL42" s="568"/>
      <c r="AM42" s="568"/>
      <c r="AN42" s="568"/>
      <c r="AO42" s="568"/>
      <c r="AP42" s="568"/>
      <c r="AQ42" s="568"/>
      <c r="AR42" s="568"/>
      <c r="AS42" s="568"/>
      <c r="AT42" s="568"/>
      <c r="AU42" s="568"/>
      <c r="AV42" s="568"/>
      <c r="AW42" s="568"/>
      <c r="AX42" s="568"/>
      <c r="AY42" s="568"/>
      <c r="AZ42" s="568"/>
      <c r="BA42" s="568"/>
      <c r="BB42" s="568"/>
      <c r="BC42" s="568"/>
      <c r="BD42" s="568"/>
      <c r="BE42" s="568"/>
      <c r="BF42" s="568"/>
      <c r="BG42" s="568"/>
      <c r="BH42" s="568"/>
      <c r="BI42" s="568"/>
      <c r="BJ42" s="568"/>
      <c r="BK42" s="568"/>
      <c r="BL42" s="568"/>
      <c r="BM42" s="568"/>
      <c r="BN42" s="568"/>
      <c r="BO42" s="568"/>
      <c r="BP42" s="568"/>
      <c r="BQ42" s="568"/>
      <c r="BR42" s="568"/>
      <c r="BS42" s="568"/>
    </row>
    <row r="43" spans="1:71" s="569" customFormat="1" ht="13">
      <c r="A43" s="3312"/>
      <c r="B43" s="3313"/>
      <c r="C43" s="3313"/>
      <c r="D43" s="3314"/>
      <c r="E43" s="3315"/>
      <c r="F43" s="3315"/>
      <c r="G43" s="3315"/>
      <c r="H43" s="3315"/>
      <c r="I43" s="3316"/>
      <c r="J43" s="589"/>
      <c r="K43" s="594"/>
      <c r="L43" s="594"/>
      <c r="M43" s="594"/>
      <c r="N43" s="591">
        <f>SUM(Table45464849[[#This Row],[Y1 Q1 cost]:[Y1 Q4 cost]])</f>
        <v>0</v>
      </c>
      <c r="O43" s="594"/>
      <c r="P43" s="594"/>
      <c r="Q43" s="594"/>
      <c r="R43" s="594"/>
      <c r="S43" s="593">
        <f>SUM(Table45464849[[#This Row],[Y2 Q1 cost]:[Y2 Q4 cost]])</f>
        <v>0</v>
      </c>
      <c r="T43" s="589"/>
      <c r="U43" s="594"/>
      <c r="V43" s="594"/>
      <c r="W43" s="594"/>
      <c r="X43" s="591">
        <f>SUM(Table45464849[[#This Row],[Y3 Q1 cost]:[Y3 Q4 cost]])</f>
        <v>0</v>
      </c>
      <c r="Y43" s="593">
        <f>Table45464849[[#This Row],[Y1 total cost]]+Table45464849[[#This Row],[Y2 total cost]]+Table45464849[[#This Row],[Y3 total cost]]</f>
        <v>0</v>
      </c>
      <c r="Z43" s="573"/>
      <c r="AA43" s="568"/>
      <c r="AB43" s="568"/>
      <c r="AC43" s="568"/>
      <c r="AD43" s="568"/>
      <c r="AE43" s="568"/>
      <c r="AF43" s="568"/>
      <c r="AG43" s="568"/>
      <c r="AH43" s="568"/>
      <c r="AI43" s="570"/>
      <c r="AJ43" s="568"/>
      <c r="AK43" s="568"/>
      <c r="AL43" s="568"/>
      <c r="AM43" s="568"/>
      <c r="AN43" s="568"/>
      <c r="AO43" s="568"/>
      <c r="AP43" s="568"/>
      <c r="AQ43" s="568"/>
      <c r="AR43" s="568"/>
      <c r="AS43" s="568"/>
      <c r="AT43" s="56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row>
    <row r="44" spans="1:71" s="569" customFormat="1" ht="13">
      <c r="A44" s="3327"/>
      <c r="B44" s="3328"/>
      <c r="C44" s="3328"/>
      <c r="D44" s="3329"/>
      <c r="E44" s="3310"/>
      <c r="F44" s="3310"/>
      <c r="G44" s="3310"/>
      <c r="H44" s="3310"/>
      <c r="I44" s="3311"/>
      <c r="J44" s="589"/>
      <c r="K44" s="594"/>
      <c r="L44" s="594"/>
      <c r="M44" s="594"/>
      <c r="N44" s="591">
        <f>SUM(Table45464849[[#This Row],[Y1 Q1 cost]:[Y1 Q4 cost]])</f>
        <v>0</v>
      </c>
      <c r="O44" s="594"/>
      <c r="P44" s="594"/>
      <c r="Q44" s="594"/>
      <c r="R44" s="594"/>
      <c r="S44" s="593">
        <f>SUM(Table45464849[[#This Row],[Y2 Q1 cost]:[Y2 Q4 cost]])</f>
        <v>0</v>
      </c>
      <c r="T44" s="589"/>
      <c r="U44" s="594"/>
      <c r="V44" s="594"/>
      <c r="W44" s="594"/>
      <c r="X44" s="591">
        <f>SUM(Table45464849[[#This Row],[Y3 Q1 cost]:[Y3 Q4 cost]])</f>
        <v>0</v>
      </c>
      <c r="Y44" s="593">
        <f>Table45464849[[#This Row],[Y1 total cost]]+Table45464849[[#This Row],[Y2 total cost]]+Table45464849[[#This Row],[Y3 total cost]]</f>
        <v>0</v>
      </c>
      <c r="Z44" s="573"/>
      <c r="AA44" s="568"/>
      <c r="AB44" s="568"/>
      <c r="AC44" s="568"/>
      <c r="AD44" s="568"/>
      <c r="AE44" s="568"/>
      <c r="AF44" s="568"/>
      <c r="AG44" s="568"/>
      <c r="AH44" s="568"/>
      <c r="AI44" s="570"/>
      <c r="AJ44" s="568"/>
      <c r="AK44" s="568"/>
      <c r="AL44" s="568"/>
      <c r="AM44" s="568"/>
      <c r="AN44" s="568"/>
      <c r="AO44" s="568"/>
      <c r="AP44" s="568"/>
      <c r="AQ44" s="568"/>
      <c r="AR44" s="568"/>
      <c r="AS44" s="568"/>
      <c r="AT44" s="56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row>
    <row r="45" spans="1:71" s="569" customFormat="1" ht="13">
      <c r="A45" s="3312"/>
      <c r="B45" s="3313"/>
      <c r="C45" s="3313"/>
      <c r="D45" s="3314"/>
      <c r="E45" s="3315"/>
      <c r="F45" s="3315"/>
      <c r="G45" s="3315"/>
      <c r="H45" s="3315"/>
      <c r="I45" s="3316"/>
      <c r="J45" s="589"/>
      <c r="K45" s="594"/>
      <c r="L45" s="594"/>
      <c r="M45" s="594"/>
      <c r="N45" s="591">
        <f>SUM(Table45464849[[#This Row],[Y1 Q1 cost]:[Y1 Q4 cost]])</f>
        <v>0</v>
      </c>
      <c r="O45" s="594"/>
      <c r="P45" s="594"/>
      <c r="Q45" s="594"/>
      <c r="R45" s="594"/>
      <c r="S45" s="593">
        <f>SUM(Table45464849[[#This Row],[Y2 Q1 cost]:[Y2 Q4 cost]])</f>
        <v>0</v>
      </c>
      <c r="T45" s="589"/>
      <c r="U45" s="594"/>
      <c r="V45" s="594"/>
      <c r="W45" s="594"/>
      <c r="X45" s="591">
        <f>SUM(Table45464849[[#This Row],[Y3 Q1 cost]:[Y3 Q4 cost]])</f>
        <v>0</v>
      </c>
      <c r="Y45" s="593">
        <f>Table45464849[[#This Row],[Y1 total cost]]+Table45464849[[#This Row],[Y2 total cost]]+Table45464849[[#This Row],[Y3 total cost]]</f>
        <v>0</v>
      </c>
      <c r="Z45" s="573"/>
      <c r="AA45" s="568"/>
      <c r="AB45" s="568"/>
      <c r="AC45" s="568"/>
      <c r="AD45" s="568"/>
      <c r="AE45" s="568"/>
      <c r="AF45" s="568"/>
      <c r="AG45" s="568"/>
      <c r="AH45" s="568"/>
      <c r="AI45" s="570"/>
      <c r="AJ45" s="568"/>
      <c r="AK45" s="568"/>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row>
    <row r="46" spans="1:71" s="569" customFormat="1" ht="13">
      <c r="A46" s="3327"/>
      <c r="B46" s="3328"/>
      <c r="C46" s="3328"/>
      <c r="D46" s="3329"/>
      <c r="E46" s="3310"/>
      <c r="F46" s="3310"/>
      <c r="G46" s="3310"/>
      <c r="H46" s="3310"/>
      <c r="I46" s="3311"/>
      <c r="J46" s="589"/>
      <c r="K46" s="594"/>
      <c r="L46" s="594"/>
      <c r="M46" s="594"/>
      <c r="N46" s="591">
        <f>SUM(Table45464849[[#This Row],[Y1 Q1 cost]:[Y1 Q4 cost]])</f>
        <v>0</v>
      </c>
      <c r="O46" s="594"/>
      <c r="P46" s="594"/>
      <c r="Q46" s="594"/>
      <c r="R46" s="594"/>
      <c r="S46" s="593">
        <f>SUM(Table45464849[[#This Row],[Y2 Q1 cost]:[Y2 Q4 cost]])</f>
        <v>0</v>
      </c>
      <c r="T46" s="589"/>
      <c r="U46" s="594"/>
      <c r="V46" s="594"/>
      <c r="W46" s="594"/>
      <c r="X46" s="591">
        <f>SUM(Table45464849[[#This Row],[Y3 Q1 cost]:[Y3 Q4 cost]])</f>
        <v>0</v>
      </c>
      <c r="Y46" s="593">
        <f>Table45464849[[#This Row],[Y1 total cost]]+Table45464849[[#This Row],[Y2 total cost]]+Table45464849[[#This Row],[Y3 total cost]]</f>
        <v>0</v>
      </c>
      <c r="Z46" s="573"/>
      <c r="AA46" s="568"/>
      <c r="AB46" s="568"/>
      <c r="AC46" s="568"/>
      <c r="AD46" s="568"/>
      <c r="AE46" s="568"/>
      <c r="AF46" s="568"/>
      <c r="AG46" s="568"/>
      <c r="AH46" s="568"/>
      <c r="AI46" s="570"/>
      <c r="AJ46" s="568"/>
      <c r="AK46" s="568"/>
      <c r="AL46" s="568"/>
      <c r="AM46" s="568"/>
      <c r="AN46" s="568"/>
      <c r="AO46" s="568"/>
      <c r="AP46" s="568"/>
      <c r="AQ46" s="568"/>
      <c r="AR46" s="568"/>
      <c r="AS46" s="568"/>
      <c r="AT46" s="56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row>
    <row r="47" spans="1:71" s="569" customFormat="1" ht="13.5" thickBot="1">
      <c r="A47" s="3302"/>
      <c r="B47" s="3303"/>
      <c r="C47" s="3303"/>
      <c r="D47" s="3304"/>
      <c r="E47" s="3305"/>
      <c r="F47" s="3305"/>
      <c r="G47" s="3305"/>
      <c r="H47" s="3305"/>
      <c r="I47" s="3306"/>
      <c r="J47" s="589"/>
      <c r="K47" s="594"/>
      <c r="L47" s="594"/>
      <c r="M47" s="594"/>
      <c r="N47" s="591">
        <f>SUM(Table45464849[[#This Row],[Y1 Q1 cost]:[Y1 Q4 cost]])</f>
        <v>0</v>
      </c>
      <c r="O47" s="594"/>
      <c r="P47" s="594"/>
      <c r="Q47" s="594"/>
      <c r="R47" s="594"/>
      <c r="S47" s="593">
        <f>SUM(Table45464849[[#This Row],[Y2 Q1 cost]:[Y2 Q4 cost]])</f>
        <v>0</v>
      </c>
      <c r="T47" s="589"/>
      <c r="U47" s="594"/>
      <c r="V47" s="594"/>
      <c r="W47" s="594"/>
      <c r="X47" s="591">
        <f>SUM(Table45464849[[#This Row],[Y3 Q1 cost]:[Y3 Q4 cost]])</f>
        <v>0</v>
      </c>
      <c r="Y47" s="593">
        <f>Table45464849[[#This Row],[Y1 total cost]]+Table45464849[[#This Row],[Y2 total cost]]+Table45464849[[#This Row],[Y3 total cost]]</f>
        <v>0</v>
      </c>
      <c r="Z47" s="573"/>
      <c r="AA47" s="568"/>
      <c r="AB47" s="568"/>
      <c r="AC47" s="568"/>
      <c r="AD47" s="568"/>
      <c r="AE47" s="568"/>
      <c r="AF47" s="568"/>
      <c r="AG47" s="568"/>
      <c r="AH47" s="568"/>
      <c r="AI47" s="570"/>
      <c r="AJ47" s="568"/>
      <c r="AK47" s="568"/>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c r="BQ47" s="568"/>
      <c r="BR47" s="568"/>
      <c r="BS47" s="568"/>
    </row>
    <row r="48" spans="1:71" s="569" customFormat="1" ht="13.5" thickBot="1">
      <c r="A48" s="572"/>
      <c r="B48" s="572"/>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68"/>
      <c r="AB48" s="568"/>
      <c r="AC48" s="568"/>
      <c r="AD48" s="568"/>
      <c r="AE48" s="568"/>
      <c r="AF48" s="568"/>
      <c r="AG48" s="570"/>
      <c r="AH48" s="568"/>
      <c r="AI48" s="568"/>
      <c r="AJ48" s="568"/>
      <c r="AK48" s="568"/>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row>
    <row r="49" spans="1:71" s="569" customFormat="1" ht="30" customHeight="1">
      <c r="A49" s="3231">
        <v>2</v>
      </c>
      <c r="B49" s="3345" t="s">
        <v>482</v>
      </c>
      <c r="C49" s="3345"/>
      <c r="D49" s="3345"/>
      <c r="E49" s="3345"/>
      <c r="F49" s="3345"/>
      <c r="G49" s="3345"/>
      <c r="H49" s="3345"/>
      <c r="I49" s="3345"/>
      <c r="J49" s="3346"/>
      <c r="K49" s="3338" t="s">
        <v>463</v>
      </c>
      <c r="L49" s="3339"/>
      <c r="M49" s="3336" t="s">
        <v>431</v>
      </c>
      <c r="N49" s="3336"/>
      <c r="O49" s="3336" t="s">
        <v>2531</v>
      </c>
      <c r="P49" s="3336"/>
      <c r="Q49" s="578"/>
      <c r="R49" s="579"/>
      <c r="S49" s="579"/>
      <c r="T49" s="579"/>
      <c r="U49" s="579"/>
      <c r="V49" s="579"/>
      <c r="W49" s="579"/>
      <c r="X49" s="579"/>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row>
    <row r="50" spans="1:71" s="569" customFormat="1" ht="30" customHeight="1" thickBot="1">
      <c r="A50" s="3232"/>
      <c r="B50" s="3347"/>
      <c r="C50" s="3347"/>
      <c r="D50" s="3347"/>
      <c r="E50" s="3347"/>
      <c r="F50" s="3347"/>
      <c r="G50" s="3347"/>
      <c r="H50" s="3347"/>
      <c r="I50" s="3347"/>
      <c r="J50" s="3348"/>
      <c r="K50" s="3340"/>
      <c r="L50" s="3341"/>
      <c r="M50" s="3337"/>
      <c r="N50" s="3337"/>
      <c r="O50" s="3337"/>
      <c r="P50" s="3337"/>
      <c r="Q50" s="578"/>
      <c r="R50" s="579"/>
      <c r="S50" s="579"/>
      <c r="T50" s="579"/>
      <c r="U50" s="579"/>
      <c r="V50" s="579"/>
      <c r="W50" s="579"/>
      <c r="X50" s="579"/>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row>
    <row r="51" spans="1:71" s="569" customFormat="1" ht="107.25" customHeight="1" thickBot="1">
      <c r="A51" s="3342" t="s">
        <v>2643</v>
      </c>
      <c r="B51" s="3343"/>
      <c r="C51" s="3343"/>
      <c r="D51" s="3343"/>
      <c r="E51" s="3343"/>
      <c r="F51" s="3343"/>
      <c r="G51" s="3343"/>
      <c r="H51" s="3343"/>
      <c r="I51" s="3343"/>
      <c r="J51" s="3343"/>
      <c r="K51" s="3343"/>
      <c r="L51" s="3343"/>
      <c r="M51" s="3343"/>
      <c r="N51" s="3344"/>
      <c r="O51" s="572"/>
      <c r="P51" s="572"/>
      <c r="Q51" s="572"/>
      <c r="R51" s="572"/>
      <c r="S51" s="572"/>
      <c r="T51" s="572"/>
      <c r="U51" s="572"/>
      <c r="V51" s="572"/>
      <c r="W51" s="572"/>
      <c r="X51" s="572"/>
      <c r="Y51" s="572"/>
      <c r="Z51" s="572"/>
      <c r="AA51" s="568"/>
      <c r="AB51" s="568"/>
      <c r="AC51" s="568"/>
      <c r="AD51" s="568"/>
      <c r="AE51" s="568"/>
      <c r="AF51" s="568"/>
      <c r="AG51" s="570"/>
      <c r="AH51" s="568"/>
      <c r="AI51" s="568"/>
      <c r="AJ51" s="568"/>
      <c r="AK51" s="568"/>
      <c r="AL51" s="568"/>
      <c r="AM51" s="568"/>
      <c r="AN51" s="568"/>
      <c r="AO51" s="568"/>
      <c r="AP51" s="568"/>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row>
    <row r="52" spans="1:71" s="569" customFormat="1" ht="13.5" hidden="1" thickBot="1">
      <c r="A52" s="572"/>
      <c r="B52" s="572"/>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68"/>
      <c r="AB52" s="568"/>
      <c r="AC52" s="568"/>
      <c r="AD52" s="568"/>
      <c r="AE52" s="568"/>
      <c r="AF52" s="568"/>
      <c r="AG52" s="570"/>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c r="BP52" s="568"/>
      <c r="BQ52" s="568"/>
      <c r="BR52" s="568"/>
      <c r="BS52" s="568"/>
    </row>
    <row r="53" spans="1:71" s="567" customFormat="1" ht="21" customHeight="1">
      <c r="A53" s="3317" t="s">
        <v>483</v>
      </c>
      <c r="B53" s="3318"/>
      <c r="C53" s="3318"/>
      <c r="D53" s="3319"/>
      <c r="E53" s="3323" t="s">
        <v>484</v>
      </c>
      <c r="F53" s="3323"/>
      <c r="G53" s="3323"/>
      <c r="H53" s="3323"/>
      <c r="I53" s="3324"/>
      <c r="J53" s="3209">
        <f>J13</f>
        <v>2022</v>
      </c>
      <c r="K53" s="3210"/>
      <c r="L53" s="3210"/>
      <c r="M53" s="3210"/>
      <c r="N53" s="3221"/>
      <c r="O53" s="3209">
        <f>O13</f>
        <v>2023</v>
      </c>
      <c r="P53" s="3210"/>
      <c r="Q53" s="3210"/>
      <c r="R53" s="3210"/>
      <c r="S53" s="3221"/>
      <c r="T53" s="3209">
        <f>T13</f>
        <v>2024</v>
      </c>
      <c r="U53" s="3210"/>
      <c r="V53" s="3210"/>
      <c r="W53" s="3210"/>
      <c r="X53" s="3221"/>
      <c r="Y53" s="1023" t="s">
        <v>465</v>
      </c>
      <c r="Z53" s="1024"/>
      <c r="AA53" s="565"/>
      <c r="AB53" s="565"/>
      <c r="AC53" s="565"/>
      <c r="AD53" s="565"/>
      <c r="AE53" s="565"/>
      <c r="AF53" s="565"/>
      <c r="AG53" s="565"/>
      <c r="AH53" s="565"/>
      <c r="AI53" s="566"/>
      <c r="AJ53" s="565"/>
      <c r="AK53" s="565"/>
      <c r="AL53" s="565"/>
      <c r="AM53" s="565"/>
      <c r="AN53" s="565"/>
      <c r="AO53" s="565"/>
      <c r="AP53" s="565"/>
      <c r="AQ53" s="565"/>
      <c r="AR53" s="565"/>
      <c r="AS53" s="565"/>
      <c r="AT53" s="565"/>
      <c r="AU53" s="565"/>
      <c r="AV53" s="565"/>
      <c r="AW53" s="565"/>
      <c r="AX53" s="565"/>
      <c r="AY53" s="565"/>
      <c r="AZ53" s="565"/>
      <c r="BA53" s="565"/>
      <c r="BB53" s="565"/>
      <c r="BC53" s="565"/>
      <c r="BD53" s="565"/>
      <c r="BE53" s="565"/>
      <c r="BF53" s="565"/>
      <c r="BG53" s="565"/>
      <c r="BH53" s="565"/>
      <c r="BI53" s="565"/>
      <c r="BJ53" s="565"/>
      <c r="BK53" s="565"/>
      <c r="BL53" s="565"/>
      <c r="BM53" s="565"/>
      <c r="BN53" s="565"/>
      <c r="BO53" s="565"/>
      <c r="BP53" s="565"/>
      <c r="BQ53" s="565"/>
      <c r="BR53" s="565"/>
      <c r="BS53" s="565"/>
    </row>
    <row r="54" spans="1:71" s="27" customFormat="1" ht="21" customHeight="1" thickBot="1">
      <c r="A54" s="3320"/>
      <c r="B54" s="3321"/>
      <c r="C54" s="3321"/>
      <c r="D54" s="3322"/>
      <c r="E54" s="3325"/>
      <c r="F54" s="3325"/>
      <c r="G54" s="3325"/>
      <c r="H54" s="3325"/>
      <c r="I54" s="3326"/>
      <c r="J54" s="271" t="s">
        <v>173</v>
      </c>
      <c r="K54" s="491" t="s">
        <v>290</v>
      </c>
      <c r="L54" s="491" t="s">
        <v>174</v>
      </c>
      <c r="M54" s="491" t="s">
        <v>175</v>
      </c>
      <c r="N54" s="492" t="s">
        <v>466</v>
      </c>
      <c r="O54" s="491" t="s">
        <v>176</v>
      </c>
      <c r="P54" s="491" t="s">
        <v>177</v>
      </c>
      <c r="Q54" s="491" t="s">
        <v>178</v>
      </c>
      <c r="R54" s="491" t="s">
        <v>179</v>
      </c>
      <c r="S54" s="491" t="s">
        <v>467</v>
      </c>
      <c r="T54" s="271" t="s">
        <v>180</v>
      </c>
      <c r="U54" s="491" t="s">
        <v>181</v>
      </c>
      <c r="V54" s="491" t="s">
        <v>182</v>
      </c>
      <c r="W54" s="491" t="s">
        <v>183</v>
      </c>
      <c r="X54" s="492" t="s">
        <v>468</v>
      </c>
      <c r="Y54" s="272" t="s">
        <v>167</v>
      </c>
      <c r="Z54" s="284"/>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row>
    <row r="55" spans="1:71" s="569" customFormat="1" ht="13">
      <c r="A55" s="3312"/>
      <c r="B55" s="3313"/>
      <c r="C55" s="3313"/>
      <c r="D55" s="3314"/>
      <c r="E55" s="3315"/>
      <c r="F55" s="3315"/>
      <c r="G55" s="3315"/>
      <c r="H55" s="3315"/>
      <c r="I55" s="3316"/>
      <c r="J55" s="589"/>
      <c r="K55" s="590"/>
      <c r="L55" s="590"/>
      <c r="M55" s="590"/>
      <c r="N55" s="591">
        <f>SUM(Table4546484950[[#This Row],[Y1 Q1 cost]:[Y1 Q4 cost]])</f>
        <v>0</v>
      </c>
      <c r="O55" s="590"/>
      <c r="P55" s="590"/>
      <c r="Q55" s="590"/>
      <c r="R55" s="590"/>
      <c r="S55" s="592">
        <f>SUM(Table4546484950[[#This Row],[Y2 Q1 cost]:[Y2 Q4 cost]])</f>
        <v>0</v>
      </c>
      <c r="T55" s="589"/>
      <c r="U55" s="590"/>
      <c r="V55" s="590"/>
      <c r="W55" s="590"/>
      <c r="X55" s="591">
        <f>SUM(Table4546484950[[#This Row],[Y3 Q1 cost]:[Y3 Q4 cost]])</f>
        <v>0</v>
      </c>
      <c r="Y55" s="593">
        <f>Table4546484950[[#This Row],[Y1 total cost]]+Table4546484950[[#This Row],[Y2 total cost]]+Table4546484950[[#This Row],[Y3 total cost]]</f>
        <v>0</v>
      </c>
      <c r="Z55" s="573"/>
      <c r="AA55" s="568"/>
      <c r="AB55" s="568"/>
      <c r="AC55" s="568"/>
      <c r="AD55" s="568"/>
      <c r="AE55" s="568"/>
      <c r="AF55" s="568"/>
      <c r="AG55" s="568"/>
      <c r="AH55" s="568"/>
      <c r="AI55" s="570"/>
      <c r="AJ55" s="568"/>
      <c r="AK55" s="568"/>
      <c r="AL55" s="568"/>
      <c r="AM55" s="568"/>
      <c r="AN55" s="568"/>
      <c r="AO55" s="568"/>
      <c r="AP55" s="568"/>
      <c r="AQ55" s="568"/>
      <c r="AR55" s="568"/>
      <c r="AS55" s="568"/>
      <c r="AT55" s="56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row>
    <row r="56" spans="1:71" s="569" customFormat="1" ht="13">
      <c r="A56" s="3307"/>
      <c r="B56" s="3308"/>
      <c r="C56" s="3308"/>
      <c r="D56" s="3309"/>
      <c r="E56" s="3310"/>
      <c r="F56" s="3310"/>
      <c r="G56" s="3310"/>
      <c r="H56" s="3310"/>
      <c r="I56" s="3311"/>
      <c r="J56" s="589"/>
      <c r="K56" s="590"/>
      <c r="L56" s="590"/>
      <c r="M56" s="590"/>
      <c r="N56" s="591">
        <f>SUM(Table4546484950[[#This Row],[Y1 Q1 cost]:[Y1 Q4 cost]])</f>
        <v>0</v>
      </c>
      <c r="O56" s="590"/>
      <c r="P56" s="590"/>
      <c r="Q56" s="590"/>
      <c r="R56" s="590"/>
      <c r="S56" s="592">
        <f>SUM(Table4546484950[[#This Row],[Y2 Q1 cost]:[Y2 Q4 cost]])</f>
        <v>0</v>
      </c>
      <c r="T56" s="589"/>
      <c r="U56" s="590"/>
      <c r="V56" s="590"/>
      <c r="W56" s="590"/>
      <c r="X56" s="591">
        <f>SUM(Table4546484950[[#This Row],[Y3 Q1 cost]:[Y3 Q4 cost]])</f>
        <v>0</v>
      </c>
      <c r="Y56" s="593">
        <f>Table4546484950[[#This Row],[Y1 total cost]]+Table4546484950[[#This Row],[Y2 total cost]]+Table4546484950[[#This Row],[Y3 total cost]]</f>
        <v>0</v>
      </c>
      <c r="Z56" s="573"/>
      <c r="AA56" s="568"/>
      <c r="AB56" s="568"/>
      <c r="AC56" s="568"/>
      <c r="AD56" s="568"/>
      <c r="AE56" s="568"/>
      <c r="AF56" s="568"/>
      <c r="AG56" s="568"/>
      <c r="AH56" s="568"/>
      <c r="AI56" s="570"/>
      <c r="AJ56" s="568"/>
      <c r="AK56" s="568"/>
      <c r="AL56" s="568"/>
      <c r="AM56" s="568"/>
      <c r="AN56" s="568"/>
      <c r="AO56" s="568"/>
      <c r="AP56" s="568"/>
      <c r="AQ56" s="568"/>
      <c r="AR56" s="568"/>
      <c r="AS56" s="568"/>
      <c r="AT56" s="568"/>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row>
    <row r="57" spans="1:71" s="569" customFormat="1" ht="13">
      <c r="A57" s="3312"/>
      <c r="B57" s="3313"/>
      <c r="C57" s="3313"/>
      <c r="D57" s="3314"/>
      <c r="E57" s="3315"/>
      <c r="F57" s="3315"/>
      <c r="G57" s="3315"/>
      <c r="H57" s="3315"/>
      <c r="I57" s="3316"/>
      <c r="J57" s="589"/>
      <c r="K57" s="590"/>
      <c r="L57" s="590"/>
      <c r="M57" s="590"/>
      <c r="N57" s="591">
        <f>SUM(Table4546484950[[#This Row],[Y1 Q1 cost]:[Y1 Q4 cost]])</f>
        <v>0</v>
      </c>
      <c r="O57" s="590"/>
      <c r="P57" s="590"/>
      <c r="Q57" s="590"/>
      <c r="R57" s="590"/>
      <c r="S57" s="592">
        <f>SUM(Table4546484950[[#This Row],[Y2 Q1 cost]:[Y2 Q4 cost]])</f>
        <v>0</v>
      </c>
      <c r="T57" s="589"/>
      <c r="U57" s="590"/>
      <c r="V57" s="590"/>
      <c r="W57" s="590"/>
      <c r="X57" s="591">
        <f>SUM(Table4546484950[[#This Row],[Y3 Q1 cost]:[Y3 Q4 cost]])</f>
        <v>0</v>
      </c>
      <c r="Y57" s="592">
        <f>Table4546484950[[#This Row],[Y1 total cost]]+Table4546484950[[#This Row],[Y2 total cost]]+Table4546484950[[#This Row],[Y3 total cost]]</f>
        <v>0</v>
      </c>
      <c r="Z57" s="573"/>
      <c r="AA57" s="568"/>
      <c r="AB57" s="568"/>
      <c r="AC57" s="568"/>
      <c r="AD57" s="568"/>
      <c r="AE57" s="568"/>
      <c r="AF57" s="568"/>
      <c r="AG57" s="568"/>
      <c r="AH57" s="568"/>
      <c r="AI57" s="570"/>
      <c r="AJ57" s="568"/>
      <c r="AK57" s="568"/>
      <c r="AL57" s="568"/>
      <c r="AM57" s="568"/>
      <c r="AN57" s="568"/>
      <c r="AO57" s="568"/>
      <c r="AP57" s="568"/>
      <c r="AQ57" s="568"/>
      <c r="AR57" s="568"/>
      <c r="AS57" s="568"/>
      <c r="AT57" s="568"/>
      <c r="AU57" s="568"/>
      <c r="AV57" s="568"/>
      <c r="AW57" s="568"/>
      <c r="AX57" s="568"/>
      <c r="AY57" s="568"/>
      <c r="AZ57" s="568"/>
      <c r="BA57" s="568"/>
      <c r="BB57" s="568"/>
      <c r="BC57" s="568"/>
      <c r="BD57" s="568"/>
      <c r="BE57" s="568"/>
      <c r="BF57" s="568"/>
      <c r="BG57" s="568"/>
      <c r="BH57" s="568"/>
      <c r="BI57" s="568"/>
      <c r="BJ57" s="568"/>
      <c r="BK57" s="568"/>
      <c r="BL57" s="568"/>
      <c r="BM57" s="568"/>
      <c r="BN57" s="568"/>
      <c r="BO57" s="568"/>
      <c r="BP57" s="568"/>
      <c r="BQ57" s="568"/>
      <c r="BR57" s="568"/>
      <c r="BS57" s="568"/>
    </row>
    <row r="58" spans="1:71" s="569" customFormat="1" ht="13">
      <c r="A58" s="3307"/>
      <c r="B58" s="3308"/>
      <c r="C58" s="3308"/>
      <c r="D58" s="3309"/>
      <c r="E58" s="3310"/>
      <c r="F58" s="3310"/>
      <c r="G58" s="3310"/>
      <c r="H58" s="3310"/>
      <c r="I58" s="3311"/>
      <c r="J58" s="589"/>
      <c r="K58" s="594"/>
      <c r="L58" s="594"/>
      <c r="M58" s="594"/>
      <c r="N58" s="591">
        <f>SUM(Table4546484950[[#This Row],[Y1 Q1 cost]:[Y1 Q4 cost]])</f>
        <v>0</v>
      </c>
      <c r="O58" s="594"/>
      <c r="P58" s="594"/>
      <c r="Q58" s="594"/>
      <c r="R58" s="594"/>
      <c r="S58" s="593">
        <f>SUM(Table4546484950[[#This Row],[Y2 Q1 cost]:[Y2 Q4 cost]])</f>
        <v>0</v>
      </c>
      <c r="T58" s="589"/>
      <c r="U58" s="594"/>
      <c r="V58" s="594"/>
      <c r="W58" s="594"/>
      <c r="X58" s="591">
        <f>SUM(Table4546484950[[#This Row],[Y3 Q1 cost]:[Y3 Q4 cost]])</f>
        <v>0</v>
      </c>
      <c r="Y58" s="593">
        <f>Table4546484950[[#This Row],[Y1 total cost]]+Table4546484950[[#This Row],[Y2 total cost]]+Table4546484950[[#This Row],[Y3 total cost]]</f>
        <v>0</v>
      </c>
      <c r="Z58" s="573"/>
      <c r="AA58" s="568"/>
      <c r="AB58" s="568"/>
      <c r="AC58" s="568"/>
      <c r="AD58" s="568"/>
      <c r="AE58" s="568"/>
      <c r="AF58" s="568"/>
      <c r="AG58" s="568"/>
      <c r="AH58" s="568"/>
      <c r="AI58" s="570"/>
      <c r="AJ58" s="568"/>
      <c r="AK58" s="568"/>
      <c r="AL58" s="568"/>
      <c r="AM58" s="568"/>
      <c r="AN58" s="568"/>
      <c r="AO58" s="568"/>
      <c r="AP58" s="568"/>
      <c r="AQ58" s="568"/>
      <c r="AR58" s="568"/>
      <c r="AS58" s="568"/>
      <c r="AT58" s="568"/>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row>
    <row r="59" spans="1:71" s="569" customFormat="1" ht="13">
      <c r="A59" s="3312"/>
      <c r="B59" s="3313"/>
      <c r="C59" s="3313"/>
      <c r="D59" s="3314"/>
      <c r="E59" s="3315"/>
      <c r="F59" s="3315"/>
      <c r="G59" s="3315"/>
      <c r="H59" s="3315"/>
      <c r="I59" s="3316"/>
      <c r="J59" s="589"/>
      <c r="K59" s="594"/>
      <c r="L59" s="594"/>
      <c r="M59" s="594"/>
      <c r="N59" s="591">
        <f>SUM(Table4546484950[[#This Row],[Y1 Q1 cost]:[Y1 Q4 cost]])</f>
        <v>0</v>
      </c>
      <c r="O59" s="594"/>
      <c r="P59" s="594"/>
      <c r="Q59" s="594"/>
      <c r="R59" s="594"/>
      <c r="S59" s="593">
        <f>SUM(Table4546484950[[#This Row],[Y2 Q1 cost]:[Y2 Q4 cost]])</f>
        <v>0</v>
      </c>
      <c r="T59" s="589"/>
      <c r="U59" s="594"/>
      <c r="V59" s="594"/>
      <c r="W59" s="594"/>
      <c r="X59" s="591">
        <f>SUM(Table4546484950[[#This Row],[Y3 Q1 cost]:[Y3 Q4 cost]])</f>
        <v>0</v>
      </c>
      <c r="Y59" s="593">
        <f>Table4546484950[[#This Row],[Y1 total cost]]+Table4546484950[[#This Row],[Y2 total cost]]+Table4546484950[[#This Row],[Y3 total cost]]</f>
        <v>0</v>
      </c>
      <c r="Z59" s="573"/>
      <c r="AA59" s="568"/>
      <c r="AB59" s="568"/>
      <c r="AC59" s="568"/>
      <c r="AD59" s="568"/>
      <c r="AE59" s="568"/>
      <c r="AF59" s="568"/>
      <c r="AG59" s="568"/>
      <c r="AH59" s="568"/>
      <c r="AI59" s="570"/>
      <c r="AJ59" s="568"/>
      <c r="AK59" s="568"/>
      <c r="AL59" s="568"/>
      <c r="AM59" s="568"/>
      <c r="AN59" s="568"/>
      <c r="AO59" s="568"/>
      <c r="AP59" s="568"/>
      <c r="AQ59" s="568"/>
      <c r="AR59" s="568"/>
      <c r="AS59" s="568"/>
      <c r="AT59" s="56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row>
    <row r="60" spans="1:71" s="569" customFormat="1" ht="13">
      <c r="A60" s="3307"/>
      <c r="B60" s="3308"/>
      <c r="C60" s="3308"/>
      <c r="D60" s="3309"/>
      <c r="E60" s="3310"/>
      <c r="F60" s="3310"/>
      <c r="G60" s="3310"/>
      <c r="H60" s="3310"/>
      <c r="I60" s="3311"/>
      <c r="J60" s="589"/>
      <c r="K60" s="594"/>
      <c r="L60" s="594"/>
      <c r="M60" s="594"/>
      <c r="N60" s="591">
        <f>SUM(Table4546484950[[#This Row],[Y1 Q1 cost]:[Y1 Q4 cost]])</f>
        <v>0</v>
      </c>
      <c r="O60" s="594"/>
      <c r="P60" s="594"/>
      <c r="Q60" s="594"/>
      <c r="R60" s="594"/>
      <c r="S60" s="593">
        <f>SUM(Table4546484950[[#This Row],[Y2 Q1 cost]:[Y2 Q4 cost]])</f>
        <v>0</v>
      </c>
      <c r="T60" s="589"/>
      <c r="U60" s="594"/>
      <c r="V60" s="594"/>
      <c r="W60" s="594"/>
      <c r="X60" s="591">
        <f>SUM(Table4546484950[[#This Row],[Y3 Q1 cost]:[Y3 Q4 cost]])</f>
        <v>0</v>
      </c>
      <c r="Y60" s="593">
        <f>Table4546484950[[#This Row],[Y1 total cost]]+Table4546484950[[#This Row],[Y2 total cost]]+Table4546484950[[#This Row],[Y3 total cost]]</f>
        <v>0</v>
      </c>
      <c r="Z60" s="573"/>
      <c r="AA60" s="568"/>
      <c r="AB60" s="568"/>
      <c r="AC60" s="568"/>
      <c r="AD60" s="568"/>
      <c r="AE60" s="568"/>
      <c r="AF60" s="568"/>
      <c r="AG60" s="568"/>
      <c r="AH60" s="568"/>
      <c r="AI60" s="570"/>
      <c r="AJ60" s="568"/>
      <c r="AK60" s="568"/>
      <c r="AL60" s="568"/>
      <c r="AM60" s="568"/>
      <c r="AN60" s="568"/>
      <c r="AO60" s="568"/>
      <c r="AP60" s="568"/>
      <c r="AQ60" s="568"/>
      <c r="AR60" s="568"/>
      <c r="AS60" s="568"/>
      <c r="AT60" s="568"/>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row>
    <row r="61" spans="1:71" s="569" customFormat="1" ht="13">
      <c r="A61" s="3312"/>
      <c r="B61" s="3313"/>
      <c r="C61" s="3313"/>
      <c r="D61" s="3314"/>
      <c r="E61" s="3315"/>
      <c r="F61" s="3315"/>
      <c r="G61" s="3315"/>
      <c r="H61" s="3315"/>
      <c r="I61" s="3316"/>
      <c r="J61" s="589"/>
      <c r="K61" s="594"/>
      <c r="L61" s="594"/>
      <c r="M61" s="594"/>
      <c r="N61" s="591">
        <f>SUM(Table4546484950[[#This Row],[Y1 Q1 cost]:[Y1 Q4 cost]])</f>
        <v>0</v>
      </c>
      <c r="O61" s="594"/>
      <c r="P61" s="594"/>
      <c r="Q61" s="594"/>
      <c r="R61" s="594"/>
      <c r="S61" s="593">
        <f>SUM(Table4546484950[[#This Row],[Y2 Q1 cost]:[Y2 Q4 cost]])</f>
        <v>0</v>
      </c>
      <c r="T61" s="589"/>
      <c r="U61" s="594"/>
      <c r="V61" s="594"/>
      <c r="W61" s="594"/>
      <c r="X61" s="591">
        <f>SUM(Table4546484950[[#This Row],[Y3 Q1 cost]:[Y3 Q4 cost]])</f>
        <v>0</v>
      </c>
      <c r="Y61" s="591">
        <f>Table4546484950[[#This Row],[Y1 total cost]]+Table4546484950[[#This Row],[Y2 total cost]]+Table4546484950[[#This Row],[Y3 total cost]]</f>
        <v>0</v>
      </c>
      <c r="Z61" s="573"/>
      <c r="AA61" s="568"/>
      <c r="AB61" s="568"/>
      <c r="AC61" s="568"/>
      <c r="AD61" s="568"/>
      <c r="AE61" s="568"/>
      <c r="AF61" s="568"/>
      <c r="AG61" s="568"/>
      <c r="AH61" s="568"/>
      <c r="AI61" s="570"/>
      <c r="AJ61" s="568"/>
      <c r="AK61" s="568"/>
      <c r="AL61" s="568"/>
      <c r="AM61" s="568"/>
      <c r="AN61" s="568"/>
      <c r="AO61" s="568"/>
      <c r="AP61" s="568"/>
      <c r="AQ61" s="568"/>
      <c r="AR61" s="568"/>
      <c r="AS61" s="568"/>
      <c r="AT61" s="56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row>
    <row r="62" spans="1:71" s="569" customFormat="1" ht="13">
      <c r="A62" s="3307"/>
      <c r="B62" s="3308"/>
      <c r="C62" s="3308"/>
      <c r="D62" s="3309"/>
      <c r="E62" s="3310"/>
      <c r="F62" s="3310"/>
      <c r="G62" s="3310"/>
      <c r="H62" s="3310"/>
      <c r="I62" s="3311"/>
      <c r="J62" s="589"/>
      <c r="K62" s="594"/>
      <c r="L62" s="594"/>
      <c r="M62" s="594"/>
      <c r="N62" s="591">
        <f>SUM(Table4546484950[[#This Row],[Y1 Q1 cost]:[Y1 Q4 cost]])</f>
        <v>0</v>
      </c>
      <c r="O62" s="594"/>
      <c r="P62" s="594"/>
      <c r="Q62" s="594"/>
      <c r="R62" s="594"/>
      <c r="S62" s="593">
        <f>SUM(Table4546484950[[#This Row],[Y2 Q1 cost]:[Y2 Q4 cost]])</f>
        <v>0</v>
      </c>
      <c r="T62" s="589"/>
      <c r="U62" s="594"/>
      <c r="V62" s="594"/>
      <c r="W62" s="594"/>
      <c r="X62" s="591">
        <f>SUM(Table4546484950[[#This Row],[Y3 Q1 cost]:[Y3 Q4 cost]])</f>
        <v>0</v>
      </c>
      <c r="Y62" s="591">
        <f>Table4546484950[[#This Row],[Y1 total cost]]+Table4546484950[[#This Row],[Y2 total cost]]+Table4546484950[[#This Row],[Y3 total cost]]</f>
        <v>0</v>
      </c>
      <c r="Z62" s="573"/>
      <c r="AA62" s="568"/>
      <c r="AB62" s="568"/>
      <c r="AC62" s="568"/>
      <c r="AD62" s="568"/>
      <c r="AE62" s="568"/>
      <c r="AF62" s="568"/>
      <c r="AG62" s="568"/>
      <c r="AH62" s="568"/>
      <c r="AI62" s="570"/>
      <c r="AJ62" s="568"/>
      <c r="AK62" s="568"/>
      <c r="AL62" s="568"/>
      <c r="AM62" s="568"/>
      <c r="AN62" s="568"/>
      <c r="AO62" s="568"/>
      <c r="AP62" s="568"/>
      <c r="AQ62" s="568"/>
      <c r="AR62" s="568"/>
      <c r="AS62" s="568"/>
      <c r="AT62" s="568"/>
      <c r="AU62" s="568"/>
      <c r="AV62" s="568"/>
      <c r="AW62" s="568"/>
      <c r="AX62" s="568"/>
      <c r="AY62" s="568"/>
      <c r="AZ62" s="568"/>
      <c r="BA62" s="568"/>
      <c r="BB62" s="568"/>
      <c r="BC62" s="568"/>
      <c r="BD62" s="568"/>
      <c r="BE62" s="568"/>
      <c r="BF62" s="568"/>
      <c r="BG62" s="568"/>
      <c r="BH62" s="568"/>
      <c r="BI62" s="568"/>
      <c r="BJ62" s="568"/>
      <c r="BK62" s="568"/>
      <c r="BL62" s="568"/>
      <c r="BM62" s="568"/>
      <c r="BN62" s="568"/>
      <c r="BO62" s="568"/>
      <c r="BP62" s="568"/>
      <c r="BQ62" s="568"/>
      <c r="BR62" s="568"/>
      <c r="BS62" s="568"/>
    </row>
    <row r="63" spans="1:71" s="569" customFormat="1" ht="13">
      <c r="A63" s="3312"/>
      <c r="B63" s="3313"/>
      <c r="C63" s="3313"/>
      <c r="D63" s="3314"/>
      <c r="E63" s="3315"/>
      <c r="F63" s="3315"/>
      <c r="G63" s="3315"/>
      <c r="H63" s="3315"/>
      <c r="I63" s="3316"/>
      <c r="J63" s="589"/>
      <c r="K63" s="594"/>
      <c r="L63" s="594"/>
      <c r="M63" s="594"/>
      <c r="N63" s="591">
        <f>SUM(Table4546484950[[#This Row],[Y1 Q1 cost]:[Y1 Q4 cost]])</f>
        <v>0</v>
      </c>
      <c r="O63" s="594"/>
      <c r="P63" s="594"/>
      <c r="Q63" s="594"/>
      <c r="R63" s="594"/>
      <c r="S63" s="593">
        <f>SUM(Table4546484950[[#This Row],[Y2 Q1 cost]:[Y2 Q4 cost]])</f>
        <v>0</v>
      </c>
      <c r="T63" s="589"/>
      <c r="U63" s="594"/>
      <c r="V63" s="594"/>
      <c r="W63" s="594"/>
      <c r="X63" s="591">
        <f>SUM(Table4546484950[[#This Row],[Y3 Q1 cost]:[Y3 Q4 cost]])</f>
        <v>0</v>
      </c>
      <c r="Y63" s="591">
        <f>Table4546484950[[#This Row],[Y1 total cost]]+Table4546484950[[#This Row],[Y2 total cost]]+Table4546484950[[#This Row],[Y3 total cost]]</f>
        <v>0</v>
      </c>
      <c r="Z63" s="573"/>
      <c r="AA63" s="568"/>
      <c r="AB63" s="568"/>
      <c r="AC63" s="568"/>
      <c r="AD63" s="568"/>
      <c r="AE63" s="568"/>
      <c r="AF63" s="568"/>
      <c r="AG63" s="568"/>
      <c r="AH63" s="568"/>
      <c r="AI63" s="570"/>
      <c r="AJ63" s="568"/>
      <c r="AK63" s="568"/>
      <c r="AL63" s="568"/>
      <c r="AM63" s="568"/>
      <c r="AN63" s="568"/>
      <c r="AO63" s="568"/>
      <c r="AP63" s="568"/>
      <c r="AQ63" s="568"/>
      <c r="AR63" s="568"/>
      <c r="AS63" s="568"/>
      <c r="AT63" s="56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row>
    <row r="64" spans="1:71" s="569" customFormat="1" ht="13">
      <c r="A64" s="3307"/>
      <c r="B64" s="3308"/>
      <c r="C64" s="3308"/>
      <c r="D64" s="3309"/>
      <c r="E64" s="3310"/>
      <c r="F64" s="3310"/>
      <c r="G64" s="3310"/>
      <c r="H64" s="3310"/>
      <c r="I64" s="3311"/>
      <c r="J64" s="589"/>
      <c r="K64" s="594"/>
      <c r="L64" s="594"/>
      <c r="M64" s="594"/>
      <c r="N64" s="591">
        <f>SUM(Table4546484950[[#This Row],[Y1 Q1 cost]:[Y1 Q4 cost]])</f>
        <v>0</v>
      </c>
      <c r="O64" s="594"/>
      <c r="P64" s="594"/>
      <c r="Q64" s="594"/>
      <c r="R64" s="594"/>
      <c r="S64" s="593">
        <f>SUM(Table4546484950[[#This Row],[Y2 Q1 cost]:[Y2 Q4 cost]])</f>
        <v>0</v>
      </c>
      <c r="T64" s="589"/>
      <c r="U64" s="594"/>
      <c r="V64" s="594"/>
      <c r="W64" s="594"/>
      <c r="X64" s="591">
        <f>SUM(Table4546484950[[#This Row],[Y3 Q1 cost]:[Y3 Q4 cost]])</f>
        <v>0</v>
      </c>
      <c r="Y64" s="591">
        <f>Table4546484950[[#This Row],[Y1 total cost]]+Table4546484950[[#This Row],[Y2 total cost]]+Table4546484950[[#This Row],[Y3 total cost]]</f>
        <v>0</v>
      </c>
      <c r="Z64" s="573"/>
      <c r="AA64" s="568"/>
      <c r="AB64" s="568"/>
      <c r="AC64" s="568"/>
      <c r="AD64" s="568"/>
      <c r="AE64" s="568"/>
      <c r="AF64" s="568"/>
      <c r="AG64" s="568"/>
      <c r="AH64" s="568"/>
      <c r="AI64" s="570"/>
      <c r="AJ64" s="568"/>
      <c r="AK64" s="568"/>
      <c r="AL64" s="568"/>
      <c r="AM64" s="568"/>
      <c r="AN64" s="568"/>
      <c r="AO64" s="568"/>
      <c r="AP64" s="568"/>
      <c r="AQ64" s="568"/>
      <c r="AR64" s="568"/>
      <c r="AS64" s="568"/>
      <c r="AT64" s="56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row>
    <row r="65" spans="1:71" s="569" customFormat="1" ht="13">
      <c r="A65" s="3312"/>
      <c r="B65" s="3313"/>
      <c r="C65" s="3313"/>
      <c r="D65" s="3314"/>
      <c r="E65" s="3315"/>
      <c r="F65" s="3315"/>
      <c r="G65" s="3315"/>
      <c r="H65" s="3315"/>
      <c r="I65" s="3316"/>
      <c r="J65" s="589"/>
      <c r="K65" s="594"/>
      <c r="L65" s="594"/>
      <c r="M65" s="594"/>
      <c r="N65" s="591">
        <f>SUM(Table4546484950[[#This Row],[Y1 Q1 cost]:[Y1 Q4 cost]])</f>
        <v>0</v>
      </c>
      <c r="O65" s="594"/>
      <c r="P65" s="594"/>
      <c r="Q65" s="594"/>
      <c r="R65" s="594"/>
      <c r="S65" s="593">
        <f>SUM(Table4546484950[[#This Row],[Y2 Q1 cost]:[Y2 Q4 cost]])</f>
        <v>0</v>
      </c>
      <c r="T65" s="589"/>
      <c r="U65" s="594"/>
      <c r="V65" s="594"/>
      <c r="W65" s="594"/>
      <c r="X65" s="591">
        <f>SUM(Table4546484950[[#This Row],[Y3 Q1 cost]:[Y3 Q4 cost]])</f>
        <v>0</v>
      </c>
      <c r="Y65" s="591">
        <f>Table4546484950[[#This Row],[Y1 total cost]]+Table4546484950[[#This Row],[Y2 total cost]]+Table4546484950[[#This Row],[Y3 total cost]]</f>
        <v>0</v>
      </c>
      <c r="Z65" s="573"/>
      <c r="AA65" s="568"/>
      <c r="AB65" s="568"/>
      <c r="AC65" s="568"/>
      <c r="AD65" s="568"/>
      <c r="AE65" s="568"/>
      <c r="AF65" s="568"/>
      <c r="AG65" s="568"/>
      <c r="AH65" s="568"/>
      <c r="AI65" s="570"/>
      <c r="AJ65" s="568"/>
      <c r="AK65" s="568"/>
      <c r="AL65" s="568"/>
      <c r="AM65" s="568"/>
      <c r="AN65" s="568"/>
      <c r="AO65" s="568"/>
      <c r="AP65" s="568"/>
      <c r="AQ65" s="568"/>
      <c r="AR65" s="568"/>
      <c r="AS65" s="568"/>
      <c r="AT65" s="56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row>
    <row r="66" spans="1:71" s="569" customFormat="1" ht="13">
      <c r="A66" s="3307"/>
      <c r="B66" s="3308"/>
      <c r="C66" s="3308"/>
      <c r="D66" s="3309"/>
      <c r="E66" s="3310"/>
      <c r="F66" s="3310"/>
      <c r="G66" s="3310"/>
      <c r="H66" s="3310"/>
      <c r="I66" s="3311"/>
      <c r="J66" s="589"/>
      <c r="K66" s="594"/>
      <c r="L66" s="594"/>
      <c r="M66" s="594"/>
      <c r="N66" s="591">
        <f>SUM(Table4546484950[[#This Row],[Y1 Q1 cost]:[Y1 Q4 cost]])</f>
        <v>0</v>
      </c>
      <c r="O66" s="594"/>
      <c r="P66" s="594"/>
      <c r="Q66" s="594"/>
      <c r="R66" s="594"/>
      <c r="S66" s="593">
        <f>SUM(Table4546484950[[#This Row],[Y2 Q1 cost]:[Y2 Q4 cost]])</f>
        <v>0</v>
      </c>
      <c r="T66" s="589"/>
      <c r="U66" s="594"/>
      <c r="V66" s="594"/>
      <c r="W66" s="594"/>
      <c r="X66" s="591">
        <f>SUM(Table4546484950[[#This Row],[Y3 Q1 cost]:[Y3 Q4 cost]])</f>
        <v>0</v>
      </c>
      <c r="Y66" s="591">
        <f>Table4546484950[[#This Row],[Y1 total cost]]+Table4546484950[[#This Row],[Y2 total cost]]+Table4546484950[[#This Row],[Y3 total cost]]</f>
        <v>0</v>
      </c>
      <c r="Z66" s="573"/>
      <c r="AA66" s="568"/>
      <c r="AB66" s="568"/>
      <c r="AC66" s="568"/>
      <c r="AD66" s="568"/>
      <c r="AE66" s="568"/>
      <c r="AF66" s="568"/>
      <c r="AG66" s="568"/>
      <c r="AH66" s="568"/>
      <c r="AI66" s="570"/>
      <c r="AJ66" s="568"/>
      <c r="AK66" s="568"/>
      <c r="AL66" s="568"/>
      <c r="AM66" s="568"/>
      <c r="AN66" s="568"/>
      <c r="AO66" s="568"/>
      <c r="AP66" s="568"/>
      <c r="AQ66" s="568"/>
      <c r="AR66" s="568"/>
      <c r="AS66" s="568"/>
      <c r="AT66" s="568"/>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row>
    <row r="67" spans="1:71" s="569" customFormat="1" ht="13">
      <c r="A67" s="3312"/>
      <c r="B67" s="3313"/>
      <c r="C67" s="3313"/>
      <c r="D67" s="3314"/>
      <c r="E67" s="3315"/>
      <c r="F67" s="3315"/>
      <c r="G67" s="3315"/>
      <c r="H67" s="3315"/>
      <c r="I67" s="3316"/>
      <c r="J67" s="589"/>
      <c r="K67" s="594"/>
      <c r="L67" s="594"/>
      <c r="M67" s="594"/>
      <c r="N67" s="591">
        <f>SUM(Table4546484950[[#This Row],[Y1 Q1 cost]:[Y1 Q4 cost]])</f>
        <v>0</v>
      </c>
      <c r="O67" s="594"/>
      <c r="P67" s="594"/>
      <c r="Q67" s="594"/>
      <c r="R67" s="594"/>
      <c r="S67" s="593">
        <f>SUM(Table4546484950[[#This Row],[Y2 Q1 cost]:[Y2 Q4 cost]])</f>
        <v>0</v>
      </c>
      <c r="T67" s="589"/>
      <c r="U67" s="594"/>
      <c r="V67" s="594"/>
      <c r="W67" s="594"/>
      <c r="X67" s="591">
        <f>SUM(Table4546484950[[#This Row],[Y3 Q1 cost]:[Y3 Q4 cost]])</f>
        <v>0</v>
      </c>
      <c r="Y67" s="591">
        <f>Table4546484950[[#This Row],[Y1 total cost]]+Table4546484950[[#This Row],[Y2 total cost]]+Table4546484950[[#This Row],[Y3 total cost]]</f>
        <v>0</v>
      </c>
      <c r="Z67" s="573"/>
      <c r="AA67" s="568"/>
      <c r="AB67" s="568"/>
      <c r="AC67" s="568"/>
      <c r="AD67" s="568"/>
      <c r="AE67" s="568"/>
      <c r="AF67" s="568"/>
      <c r="AG67" s="568"/>
      <c r="AH67" s="568"/>
      <c r="AI67" s="570"/>
      <c r="AJ67" s="568"/>
      <c r="AK67" s="568"/>
      <c r="AL67" s="568"/>
      <c r="AM67" s="568"/>
      <c r="AN67" s="568"/>
      <c r="AO67" s="568"/>
      <c r="AP67" s="568"/>
      <c r="AQ67" s="568"/>
      <c r="AR67" s="568"/>
      <c r="AS67" s="568"/>
      <c r="AT67" s="568"/>
      <c r="AU67" s="568"/>
      <c r="AV67" s="568"/>
      <c r="AW67" s="568"/>
      <c r="AX67" s="568"/>
      <c r="AY67" s="568"/>
      <c r="AZ67" s="568"/>
      <c r="BA67" s="568"/>
      <c r="BB67" s="568"/>
      <c r="BC67" s="568"/>
      <c r="BD67" s="568"/>
      <c r="BE67" s="568"/>
      <c r="BF67" s="568"/>
      <c r="BG67" s="568"/>
      <c r="BH67" s="568"/>
      <c r="BI67" s="568"/>
      <c r="BJ67" s="568"/>
      <c r="BK67" s="568"/>
      <c r="BL67" s="568"/>
      <c r="BM67" s="568"/>
      <c r="BN67" s="568"/>
      <c r="BO67" s="568"/>
      <c r="BP67" s="568"/>
      <c r="BQ67" s="568"/>
      <c r="BR67" s="568"/>
      <c r="BS67" s="568"/>
    </row>
    <row r="68" spans="1:71" s="569" customFormat="1" ht="13">
      <c r="A68" s="3307"/>
      <c r="B68" s="3308"/>
      <c r="C68" s="3308"/>
      <c r="D68" s="3309"/>
      <c r="E68" s="3310"/>
      <c r="F68" s="3310"/>
      <c r="G68" s="3310"/>
      <c r="H68" s="3310"/>
      <c r="I68" s="3311"/>
      <c r="J68" s="589"/>
      <c r="K68" s="594"/>
      <c r="L68" s="594"/>
      <c r="M68" s="594"/>
      <c r="N68" s="591">
        <f>SUM(Table4546484950[[#This Row],[Y1 Q1 cost]:[Y1 Q4 cost]])</f>
        <v>0</v>
      </c>
      <c r="O68" s="594"/>
      <c r="P68" s="594"/>
      <c r="Q68" s="594"/>
      <c r="R68" s="594"/>
      <c r="S68" s="593">
        <f>SUM(Table4546484950[[#This Row],[Y2 Q1 cost]:[Y2 Q4 cost]])</f>
        <v>0</v>
      </c>
      <c r="T68" s="589"/>
      <c r="U68" s="594"/>
      <c r="V68" s="594"/>
      <c r="W68" s="594"/>
      <c r="X68" s="591">
        <f>SUM(Table4546484950[[#This Row],[Y3 Q1 cost]:[Y3 Q4 cost]])</f>
        <v>0</v>
      </c>
      <c r="Y68" s="591">
        <f>Table4546484950[[#This Row],[Y1 total cost]]+Table4546484950[[#This Row],[Y2 total cost]]+Table4546484950[[#This Row],[Y3 total cost]]</f>
        <v>0</v>
      </c>
      <c r="Z68" s="573"/>
      <c r="AA68" s="568"/>
      <c r="AB68" s="568"/>
      <c r="AC68" s="568"/>
      <c r="AD68" s="568"/>
      <c r="AE68" s="568"/>
      <c r="AF68" s="568"/>
      <c r="AG68" s="568"/>
      <c r="AH68" s="568"/>
      <c r="AI68" s="570"/>
      <c r="AJ68" s="568"/>
      <c r="AK68" s="568"/>
      <c r="AL68" s="568"/>
      <c r="AM68" s="568"/>
      <c r="AN68" s="568"/>
      <c r="AO68" s="568"/>
      <c r="AP68" s="568"/>
      <c r="AQ68" s="568"/>
      <c r="AR68" s="568"/>
      <c r="AS68" s="568"/>
      <c r="AT68" s="568"/>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row>
    <row r="69" spans="1:71" s="569" customFormat="1" ht="13">
      <c r="A69" s="3312"/>
      <c r="B69" s="3313"/>
      <c r="C69" s="3313"/>
      <c r="D69" s="3314"/>
      <c r="E69" s="3315"/>
      <c r="F69" s="3315"/>
      <c r="G69" s="3315"/>
      <c r="H69" s="3315"/>
      <c r="I69" s="3316"/>
      <c r="J69" s="589"/>
      <c r="K69" s="594"/>
      <c r="L69" s="594"/>
      <c r="M69" s="594"/>
      <c r="N69" s="591">
        <f>SUM(Table4546484950[[#This Row],[Y1 Q1 cost]:[Y1 Q4 cost]])</f>
        <v>0</v>
      </c>
      <c r="O69" s="594"/>
      <c r="P69" s="594"/>
      <c r="Q69" s="594"/>
      <c r="R69" s="594"/>
      <c r="S69" s="593">
        <f>SUM(Table4546484950[[#This Row],[Y2 Q1 cost]:[Y2 Q4 cost]])</f>
        <v>0</v>
      </c>
      <c r="T69" s="589"/>
      <c r="U69" s="594"/>
      <c r="V69" s="594"/>
      <c r="W69" s="594"/>
      <c r="X69" s="591">
        <f>SUM(Table4546484950[[#This Row],[Y3 Q1 cost]:[Y3 Q4 cost]])</f>
        <v>0</v>
      </c>
      <c r="Y69" s="591">
        <f>Table4546484950[[#This Row],[Y1 total cost]]+Table4546484950[[#This Row],[Y2 total cost]]+Table4546484950[[#This Row],[Y3 total cost]]</f>
        <v>0</v>
      </c>
      <c r="Z69" s="573"/>
      <c r="AA69" s="568"/>
      <c r="AB69" s="568"/>
      <c r="AC69" s="568"/>
      <c r="AD69" s="568"/>
      <c r="AE69" s="568"/>
      <c r="AF69" s="568"/>
      <c r="AG69" s="568"/>
      <c r="AH69" s="568"/>
      <c r="AI69" s="570"/>
      <c r="AJ69" s="568"/>
      <c r="AK69" s="568"/>
      <c r="AL69" s="568"/>
      <c r="AM69" s="568"/>
      <c r="AN69" s="568"/>
      <c r="AO69" s="568"/>
      <c r="AP69" s="568"/>
      <c r="AQ69" s="568"/>
      <c r="AR69" s="568"/>
      <c r="AS69" s="568"/>
      <c r="AT69" s="56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row>
    <row r="70" spans="1:71" s="569" customFormat="1" ht="13">
      <c r="A70" s="3307"/>
      <c r="B70" s="3308"/>
      <c r="C70" s="3308"/>
      <c r="D70" s="3309"/>
      <c r="E70" s="3310"/>
      <c r="F70" s="3310"/>
      <c r="G70" s="3310"/>
      <c r="H70" s="3310"/>
      <c r="I70" s="3311"/>
      <c r="J70" s="589"/>
      <c r="K70" s="594"/>
      <c r="L70" s="594"/>
      <c r="M70" s="594"/>
      <c r="N70" s="591">
        <f>SUM(Table4546484950[[#This Row],[Y1 Q1 cost]:[Y1 Q4 cost]])</f>
        <v>0</v>
      </c>
      <c r="O70" s="594"/>
      <c r="P70" s="594"/>
      <c r="Q70" s="594"/>
      <c r="R70" s="594"/>
      <c r="S70" s="593">
        <f>SUM(Table4546484950[[#This Row],[Y2 Q1 cost]:[Y2 Q4 cost]])</f>
        <v>0</v>
      </c>
      <c r="T70" s="589"/>
      <c r="U70" s="594"/>
      <c r="V70" s="594"/>
      <c r="W70" s="594"/>
      <c r="X70" s="591">
        <f>SUM(Table4546484950[[#This Row],[Y3 Q1 cost]:[Y3 Q4 cost]])</f>
        <v>0</v>
      </c>
      <c r="Y70" s="591">
        <f>Table4546484950[[#This Row],[Y1 total cost]]+Table4546484950[[#This Row],[Y2 total cost]]+Table4546484950[[#This Row],[Y3 total cost]]</f>
        <v>0</v>
      </c>
      <c r="Z70" s="573"/>
      <c r="AA70" s="568"/>
      <c r="AB70" s="568"/>
      <c r="AC70" s="568"/>
      <c r="AD70" s="568"/>
      <c r="AE70" s="568"/>
      <c r="AF70" s="568"/>
      <c r="AG70" s="568"/>
      <c r="AH70" s="568"/>
      <c r="AI70" s="570"/>
      <c r="AJ70" s="568"/>
      <c r="AK70" s="568"/>
      <c r="AL70" s="568"/>
      <c r="AM70" s="568"/>
      <c r="AN70" s="568"/>
      <c r="AO70" s="568"/>
      <c r="AP70" s="568"/>
      <c r="AQ70" s="568"/>
      <c r="AR70" s="568"/>
      <c r="AS70" s="568"/>
      <c r="AT70" s="568"/>
      <c r="AU70" s="568"/>
      <c r="AV70" s="568"/>
      <c r="AW70" s="568"/>
      <c r="AX70" s="568"/>
      <c r="AY70" s="568"/>
      <c r="AZ70" s="568"/>
      <c r="BA70" s="568"/>
      <c r="BB70" s="568"/>
      <c r="BC70" s="568"/>
      <c r="BD70" s="568"/>
      <c r="BE70" s="568"/>
      <c r="BF70" s="568"/>
      <c r="BG70" s="568"/>
      <c r="BH70" s="568"/>
      <c r="BI70" s="568"/>
      <c r="BJ70" s="568"/>
      <c r="BK70" s="568"/>
      <c r="BL70" s="568"/>
      <c r="BM70" s="568"/>
      <c r="BN70" s="568"/>
      <c r="BO70" s="568"/>
      <c r="BP70" s="568"/>
      <c r="BQ70" s="568"/>
      <c r="BR70" s="568"/>
      <c r="BS70" s="568"/>
    </row>
    <row r="71" spans="1:71" s="569" customFormat="1" ht="13">
      <c r="A71" s="3312"/>
      <c r="B71" s="3313"/>
      <c r="C71" s="3313"/>
      <c r="D71" s="3314"/>
      <c r="E71" s="3315"/>
      <c r="F71" s="3315"/>
      <c r="G71" s="3315"/>
      <c r="H71" s="3315"/>
      <c r="I71" s="3316"/>
      <c r="J71" s="589"/>
      <c r="K71" s="594"/>
      <c r="L71" s="594"/>
      <c r="M71" s="594"/>
      <c r="N71" s="591">
        <f>SUM(Table4546484950[[#This Row],[Y1 Q1 cost]:[Y1 Q4 cost]])</f>
        <v>0</v>
      </c>
      <c r="O71" s="594"/>
      <c r="P71" s="594"/>
      <c r="Q71" s="594"/>
      <c r="R71" s="594"/>
      <c r="S71" s="593">
        <f>SUM(Table4546484950[[#This Row],[Y2 Q1 cost]:[Y2 Q4 cost]])</f>
        <v>0</v>
      </c>
      <c r="T71" s="589"/>
      <c r="U71" s="594"/>
      <c r="V71" s="594"/>
      <c r="W71" s="594"/>
      <c r="X71" s="591">
        <f>SUM(Table4546484950[[#This Row],[Y3 Q1 cost]:[Y3 Q4 cost]])</f>
        <v>0</v>
      </c>
      <c r="Y71" s="591">
        <f>Table4546484950[[#This Row],[Y1 total cost]]+Table4546484950[[#This Row],[Y2 total cost]]+Table4546484950[[#This Row],[Y3 total cost]]</f>
        <v>0</v>
      </c>
      <c r="Z71" s="573"/>
      <c r="AA71" s="568"/>
      <c r="AB71" s="568"/>
      <c r="AC71" s="568"/>
      <c r="AD71" s="568"/>
      <c r="AE71" s="568"/>
      <c r="AF71" s="568"/>
      <c r="AG71" s="568"/>
      <c r="AH71" s="568"/>
      <c r="AI71" s="570"/>
      <c r="AJ71" s="568"/>
      <c r="AK71" s="568"/>
      <c r="AL71" s="568"/>
      <c r="AM71" s="568"/>
      <c r="AN71" s="568"/>
      <c r="AO71" s="568"/>
      <c r="AP71" s="568"/>
      <c r="AQ71" s="568"/>
      <c r="AR71" s="568"/>
      <c r="AS71" s="568"/>
      <c r="AT71" s="568"/>
      <c r="AU71" s="568"/>
      <c r="AV71" s="568"/>
      <c r="AW71" s="568"/>
      <c r="AX71" s="568"/>
      <c r="AY71" s="568"/>
      <c r="AZ71" s="568"/>
      <c r="BA71" s="568"/>
      <c r="BB71" s="568"/>
      <c r="BC71" s="568"/>
      <c r="BD71" s="568"/>
      <c r="BE71" s="568"/>
      <c r="BF71" s="568"/>
      <c r="BG71" s="568"/>
      <c r="BH71" s="568"/>
      <c r="BI71" s="568"/>
      <c r="BJ71" s="568"/>
      <c r="BK71" s="568"/>
      <c r="BL71" s="568"/>
      <c r="BM71" s="568"/>
      <c r="BN71" s="568"/>
      <c r="BO71" s="568"/>
      <c r="BP71" s="568"/>
      <c r="BQ71" s="568"/>
      <c r="BR71" s="568"/>
      <c r="BS71" s="568"/>
    </row>
    <row r="72" spans="1:71" s="569" customFormat="1" ht="13">
      <c r="A72" s="3307"/>
      <c r="B72" s="3308"/>
      <c r="C72" s="3308"/>
      <c r="D72" s="3309"/>
      <c r="E72" s="3310"/>
      <c r="F72" s="3310"/>
      <c r="G72" s="3310"/>
      <c r="H72" s="3310"/>
      <c r="I72" s="3311"/>
      <c r="J72" s="589"/>
      <c r="K72" s="594"/>
      <c r="L72" s="594"/>
      <c r="M72" s="594"/>
      <c r="N72" s="591">
        <f>SUM(Table4546484950[[#This Row],[Y1 Q1 cost]:[Y1 Q4 cost]])</f>
        <v>0</v>
      </c>
      <c r="O72" s="594"/>
      <c r="P72" s="594"/>
      <c r="Q72" s="594"/>
      <c r="R72" s="594"/>
      <c r="S72" s="593">
        <f>SUM(Table4546484950[[#This Row],[Y2 Q1 cost]:[Y2 Q4 cost]])</f>
        <v>0</v>
      </c>
      <c r="T72" s="589"/>
      <c r="U72" s="594"/>
      <c r="V72" s="594"/>
      <c r="W72" s="594"/>
      <c r="X72" s="591">
        <f>SUM(Table4546484950[[#This Row],[Y3 Q1 cost]:[Y3 Q4 cost]])</f>
        <v>0</v>
      </c>
      <c r="Y72" s="591">
        <f>Table4546484950[[#This Row],[Y1 total cost]]+Table4546484950[[#This Row],[Y2 total cost]]+Table4546484950[[#This Row],[Y3 total cost]]</f>
        <v>0</v>
      </c>
      <c r="Z72" s="573"/>
      <c r="AA72" s="568"/>
      <c r="AB72" s="568"/>
      <c r="AC72" s="568"/>
      <c r="AD72" s="568"/>
      <c r="AE72" s="568"/>
      <c r="AF72" s="568"/>
      <c r="AG72" s="568"/>
      <c r="AH72" s="568"/>
      <c r="AI72" s="570"/>
      <c r="AJ72" s="568"/>
      <c r="AK72" s="568"/>
      <c r="AL72" s="568"/>
      <c r="AM72" s="568"/>
      <c r="AN72" s="568"/>
      <c r="AO72" s="568"/>
      <c r="AP72" s="568"/>
      <c r="AQ72" s="568"/>
      <c r="AR72" s="568"/>
      <c r="AS72" s="568"/>
      <c r="AT72" s="568"/>
      <c r="AU72" s="568"/>
      <c r="AV72" s="568"/>
      <c r="AW72" s="568"/>
      <c r="AX72" s="568"/>
      <c r="AY72" s="568"/>
      <c r="AZ72" s="568"/>
      <c r="BA72" s="568"/>
      <c r="BB72" s="568"/>
      <c r="BC72" s="568"/>
      <c r="BD72" s="568"/>
      <c r="BE72" s="568"/>
      <c r="BF72" s="568"/>
      <c r="BG72" s="568"/>
      <c r="BH72" s="568"/>
      <c r="BI72" s="568"/>
      <c r="BJ72" s="568"/>
      <c r="BK72" s="568"/>
      <c r="BL72" s="568"/>
      <c r="BM72" s="568"/>
      <c r="BN72" s="568"/>
      <c r="BO72" s="568"/>
      <c r="BP72" s="568"/>
      <c r="BQ72" s="568"/>
      <c r="BR72" s="568"/>
      <c r="BS72" s="568"/>
    </row>
    <row r="73" spans="1:71" s="569" customFormat="1" ht="13">
      <c r="A73" s="3312"/>
      <c r="B73" s="3313"/>
      <c r="C73" s="3313"/>
      <c r="D73" s="3314"/>
      <c r="E73" s="3315"/>
      <c r="F73" s="3315"/>
      <c r="G73" s="3315"/>
      <c r="H73" s="3315"/>
      <c r="I73" s="3316"/>
      <c r="J73" s="589"/>
      <c r="K73" s="594"/>
      <c r="L73" s="594"/>
      <c r="M73" s="594"/>
      <c r="N73" s="591">
        <f>SUM(Table4546484950[[#This Row],[Y1 Q1 cost]:[Y1 Q4 cost]])</f>
        <v>0</v>
      </c>
      <c r="O73" s="594"/>
      <c r="P73" s="594"/>
      <c r="Q73" s="594"/>
      <c r="R73" s="594"/>
      <c r="S73" s="593">
        <f>SUM(Table4546484950[[#This Row],[Y2 Q1 cost]:[Y2 Q4 cost]])</f>
        <v>0</v>
      </c>
      <c r="T73" s="589"/>
      <c r="U73" s="594"/>
      <c r="V73" s="594"/>
      <c r="W73" s="594"/>
      <c r="X73" s="591">
        <f>SUM(Table4546484950[[#This Row],[Y3 Q1 cost]:[Y3 Q4 cost]])</f>
        <v>0</v>
      </c>
      <c r="Y73" s="591">
        <f>Table4546484950[[#This Row],[Y1 total cost]]+Table4546484950[[#This Row],[Y2 total cost]]+Table4546484950[[#This Row],[Y3 total cost]]</f>
        <v>0</v>
      </c>
      <c r="Z73" s="573"/>
      <c r="AA73" s="568"/>
      <c r="AB73" s="568"/>
      <c r="AC73" s="568"/>
      <c r="AD73" s="568"/>
      <c r="AE73" s="568"/>
      <c r="AF73" s="568"/>
      <c r="AG73" s="568"/>
      <c r="AH73" s="568"/>
      <c r="AI73" s="570"/>
      <c r="AJ73" s="568"/>
      <c r="AK73" s="568"/>
      <c r="AL73" s="568"/>
      <c r="AM73" s="568"/>
      <c r="AN73" s="568"/>
      <c r="AO73" s="568"/>
      <c r="AP73" s="568"/>
      <c r="AQ73" s="568"/>
      <c r="AR73" s="568"/>
      <c r="AS73" s="568"/>
      <c r="AT73" s="568"/>
      <c r="AU73" s="568"/>
      <c r="AV73" s="568"/>
      <c r="AW73" s="568"/>
      <c r="AX73" s="568"/>
      <c r="AY73" s="568"/>
      <c r="AZ73" s="568"/>
      <c r="BA73" s="568"/>
      <c r="BB73" s="568"/>
      <c r="BC73" s="568"/>
      <c r="BD73" s="568"/>
      <c r="BE73" s="568"/>
      <c r="BF73" s="568"/>
      <c r="BG73" s="568"/>
      <c r="BH73" s="568"/>
      <c r="BI73" s="568"/>
      <c r="BJ73" s="568"/>
      <c r="BK73" s="568"/>
      <c r="BL73" s="568"/>
      <c r="BM73" s="568"/>
      <c r="BN73" s="568"/>
      <c r="BO73" s="568"/>
      <c r="BP73" s="568"/>
      <c r="BQ73" s="568"/>
      <c r="BR73" s="568"/>
      <c r="BS73" s="568"/>
    </row>
    <row r="74" spans="1:71" s="569" customFormat="1" ht="13">
      <c r="A74" s="3307"/>
      <c r="B74" s="3308"/>
      <c r="C74" s="3308"/>
      <c r="D74" s="3309"/>
      <c r="E74" s="3310"/>
      <c r="F74" s="3310"/>
      <c r="G74" s="3310"/>
      <c r="H74" s="3310"/>
      <c r="I74" s="3311"/>
      <c r="J74" s="589"/>
      <c r="K74" s="594"/>
      <c r="L74" s="594"/>
      <c r="M74" s="594"/>
      <c r="N74" s="591">
        <f>SUM(Table4546484950[[#This Row],[Y1 Q1 cost]:[Y1 Q4 cost]])</f>
        <v>0</v>
      </c>
      <c r="O74" s="594"/>
      <c r="P74" s="594"/>
      <c r="Q74" s="594"/>
      <c r="R74" s="594"/>
      <c r="S74" s="593">
        <f>SUM(Table4546484950[[#This Row],[Y2 Q1 cost]:[Y2 Q4 cost]])</f>
        <v>0</v>
      </c>
      <c r="T74" s="589"/>
      <c r="U74" s="594"/>
      <c r="V74" s="594"/>
      <c r="W74" s="594"/>
      <c r="X74" s="591">
        <f>SUM(Table4546484950[[#This Row],[Y3 Q1 cost]:[Y3 Q4 cost]])</f>
        <v>0</v>
      </c>
      <c r="Y74" s="593">
        <f>Table4546484950[[#This Row],[Y1 total cost]]+Table4546484950[[#This Row],[Y2 total cost]]+Table4546484950[[#This Row],[Y3 total cost]]</f>
        <v>0</v>
      </c>
      <c r="Z74" s="573"/>
      <c r="AA74" s="568"/>
      <c r="AB74" s="568"/>
      <c r="AC74" s="568"/>
      <c r="AD74" s="568"/>
      <c r="AE74" s="568"/>
      <c r="AF74" s="568"/>
      <c r="AG74" s="568"/>
      <c r="AH74" s="568"/>
      <c r="AI74" s="570"/>
      <c r="AJ74" s="568"/>
      <c r="AK74" s="568"/>
      <c r="AL74" s="568"/>
      <c r="AM74" s="568"/>
      <c r="AN74" s="568"/>
      <c r="AO74" s="568"/>
      <c r="AP74" s="568"/>
      <c r="AQ74" s="568"/>
      <c r="AR74" s="568"/>
      <c r="AS74" s="568"/>
      <c r="AT74" s="568"/>
      <c r="AU74" s="568"/>
      <c r="AV74" s="568"/>
      <c r="AW74" s="568"/>
      <c r="AX74" s="568"/>
      <c r="AY74" s="568"/>
      <c r="AZ74" s="568"/>
      <c r="BA74" s="568"/>
      <c r="BB74" s="568"/>
      <c r="BC74" s="568"/>
      <c r="BD74" s="568"/>
      <c r="BE74" s="568"/>
      <c r="BF74" s="568"/>
      <c r="BG74" s="568"/>
      <c r="BH74" s="568"/>
      <c r="BI74" s="568"/>
      <c r="BJ74" s="568"/>
      <c r="BK74" s="568"/>
      <c r="BL74" s="568"/>
      <c r="BM74" s="568"/>
      <c r="BN74" s="568"/>
      <c r="BO74" s="568"/>
      <c r="BP74" s="568"/>
      <c r="BQ74" s="568"/>
      <c r="BR74" s="568"/>
      <c r="BS74" s="568"/>
    </row>
    <row r="75" spans="1:71" s="569" customFormat="1" ht="13">
      <c r="A75" s="3312"/>
      <c r="B75" s="3313"/>
      <c r="C75" s="3313"/>
      <c r="D75" s="3314"/>
      <c r="E75" s="3315"/>
      <c r="F75" s="3315"/>
      <c r="G75" s="3315"/>
      <c r="H75" s="3315"/>
      <c r="I75" s="3316"/>
      <c r="J75" s="589"/>
      <c r="K75" s="594"/>
      <c r="L75" s="594"/>
      <c r="M75" s="594"/>
      <c r="N75" s="591">
        <f>SUM(Table4546484950[[#This Row],[Y1 Q1 cost]:[Y1 Q4 cost]])</f>
        <v>0</v>
      </c>
      <c r="O75" s="594"/>
      <c r="P75" s="594"/>
      <c r="Q75" s="594"/>
      <c r="R75" s="594"/>
      <c r="S75" s="593">
        <f>SUM(Table4546484950[[#This Row],[Y2 Q1 cost]:[Y2 Q4 cost]])</f>
        <v>0</v>
      </c>
      <c r="T75" s="589"/>
      <c r="U75" s="594"/>
      <c r="V75" s="594"/>
      <c r="W75" s="594"/>
      <c r="X75" s="591">
        <f>SUM(Table4546484950[[#This Row],[Y3 Q1 cost]:[Y3 Q4 cost]])</f>
        <v>0</v>
      </c>
      <c r="Y75" s="593">
        <f>Table4546484950[[#This Row],[Y1 total cost]]+Table4546484950[[#This Row],[Y2 total cost]]+Table4546484950[[#This Row],[Y3 total cost]]</f>
        <v>0</v>
      </c>
      <c r="Z75" s="573"/>
      <c r="AA75" s="568"/>
      <c r="AB75" s="568"/>
      <c r="AC75" s="568"/>
      <c r="AD75" s="568"/>
      <c r="AE75" s="568"/>
      <c r="AF75" s="568"/>
      <c r="AG75" s="568"/>
      <c r="AH75" s="568"/>
      <c r="AI75" s="570"/>
      <c r="AJ75" s="568"/>
      <c r="AK75" s="568"/>
      <c r="AL75" s="568"/>
      <c r="AM75" s="568"/>
      <c r="AN75" s="568"/>
      <c r="AO75" s="568"/>
      <c r="AP75" s="568"/>
      <c r="AQ75" s="568"/>
      <c r="AR75" s="568"/>
      <c r="AS75" s="568"/>
      <c r="AT75" s="568"/>
      <c r="AU75" s="568"/>
      <c r="AV75" s="568"/>
      <c r="AW75" s="568"/>
      <c r="AX75" s="568"/>
      <c r="AY75" s="568"/>
      <c r="AZ75" s="568"/>
      <c r="BA75" s="568"/>
      <c r="BB75" s="568"/>
      <c r="BC75" s="568"/>
      <c r="BD75" s="568"/>
      <c r="BE75" s="568"/>
      <c r="BF75" s="568"/>
      <c r="BG75" s="568"/>
      <c r="BH75" s="568"/>
      <c r="BI75" s="568"/>
      <c r="BJ75" s="568"/>
      <c r="BK75" s="568"/>
      <c r="BL75" s="568"/>
      <c r="BM75" s="568"/>
      <c r="BN75" s="568"/>
      <c r="BO75" s="568"/>
      <c r="BP75" s="568"/>
      <c r="BQ75" s="568"/>
      <c r="BR75" s="568"/>
      <c r="BS75" s="568"/>
    </row>
    <row r="76" spans="1:71" s="569" customFormat="1" ht="13">
      <c r="A76" s="3307"/>
      <c r="B76" s="3308"/>
      <c r="C76" s="3308"/>
      <c r="D76" s="3309"/>
      <c r="E76" s="3310"/>
      <c r="F76" s="3310"/>
      <c r="G76" s="3310"/>
      <c r="H76" s="3310"/>
      <c r="I76" s="3311"/>
      <c r="J76" s="589"/>
      <c r="K76" s="594"/>
      <c r="L76" s="594"/>
      <c r="M76" s="594"/>
      <c r="N76" s="591">
        <f>SUM(Table4546484950[[#This Row],[Y1 Q1 cost]:[Y1 Q4 cost]])</f>
        <v>0</v>
      </c>
      <c r="O76" s="594"/>
      <c r="P76" s="594"/>
      <c r="Q76" s="594"/>
      <c r="R76" s="594"/>
      <c r="S76" s="593">
        <f>SUM(Table4546484950[[#This Row],[Y2 Q1 cost]:[Y2 Q4 cost]])</f>
        <v>0</v>
      </c>
      <c r="T76" s="589"/>
      <c r="U76" s="594"/>
      <c r="V76" s="594"/>
      <c r="W76" s="594"/>
      <c r="X76" s="591">
        <f>SUM(Table4546484950[[#This Row],[Y3 Q1 cost]:[Y3 Q4 cost]])</f>
        <v>0</v>
      </c>
      <c r="Y76" s="593">
        <f>Table4546484950[[#This Row],[Y1 total cost]]+Table4546484950[[#This Row],[Y2 total cost]]+Table4546484950[[#This Row],[Y3 total cost]]</f>
        <v>0</v>
      </c>
      <c r="Z76" s="573"/>
      <c r="AA76" s="568"/>
      <c r="AB76" s="568"/>
      <c r="AC76" s="568"/>
      <c r="AD76" s="568"/>
      <c r="AE76" s="568"/>
      <c r="AF76" s="568"/>
      <c r="AG76" s="568"/>
      <c r="AH76" s="568"/>
      <c r="AI76" s="570"/>
      <c r="AJ76" s="568"/>
      <c r="AK76" s="568"/>
      <c r="AL76" s="568"/>
      <c r="AM76" s="568"/>
      <c r="AN76" s="568"/>
      <c r="AO76" s="568"/>
      <c r="AP76" s="568"/>
      <c r="AQ76" s="568"/>
      <c r="AR76" s="568"/>
      <c r="AS76" s="568"/>
      <c r="AT76" s="568"/>
      <c r="AU76" s="568"/>
      <c r="AV76" s="568"/>
      <c r="AW76" s="568"/>
      <c r="AX76" s="568"/>
      <c r="AY76" s="568"/>
      <c r="AZ76" s="568"/>
      <c r="BA76" s="568"/>
      <c r="BB76" s="568"/>
      <c r="BC76" s="568"/>
      <c r="BD76" s="568"/>
      <c r="BE76" s="568"/>
      <c r="BF76" s="568"/>
      <c r="BG76" s="568"/>
      <c r="BH76" s="568"/>
      <c r="BI76" s="568"/>
      <c r="BJ76" s="568"/>
      <c r="BK76" s="568"/>
      <c r="BL76" s="568"/>
      <c r="BM76" s="568"/>
      <c r="BN76" s="568"/>
      <c r="BO76" s="568"/>
      <c r="BP76" s="568"/>
      <c r="BQ76" s="568"/>
      <c r="BR76" s="568"/>
      <c r="BS76" s="568"/>
    </row>
    <row r="77" spans="1:71" s="569" customFormat="1" ht="13">
      <c r="A77" s="3312"/>
      <c r="B77" s="3313"/>
      <c r="C77" s="3313"/>
      <c r="D77" s="3314"/>
      <c r="E77" s="3315"/>
      <c r="F77" s="3315"/>
      <c r="G77" s="3315"/>
      <c r="H77" s="3315"/>
      <c r="I77" s="3316"/>
      <c r="J77" s="589"/>
      <c r="K77" s="594"/>
      <c r="L77" s="594"/>
      <c r="M77" s="594"/>
      <c r="N77" s="591">
        <f>SUM(Table4546484950[[#This Row],[Y1 Q1 cost]:[Y1 Q4 cost]])</f>
        <v>0</v>
      </c>
      <c r="O77" s="594"/>
      <c r="P77" s="594"/>
      <c r="Q77" s="594"/>
      <c r="R77" s="594"/>
      <c r="S77" s="593">
        <f>SUM(Table4546484950[[#This Row],[Y2 Q1 cost]:[Y2 Q4 cost]])</f>
        <v>0</v>
      </c>
      <c r="T77" s="589"/>
      <c r="U77" s="594"/>
      <c r="V77" s="594"/>
      <c r="W77" s="594"/>
      <c r="X77" s="591">
        <f>SUM(Table4546484950[[#This Row],[Y3 Q1 cost]:[Y3 Q4 cost]])</f>
        <v>0</v>
      </c>
      <c r="Y77" s="593">
        <f>Table4546484950[[#This Row],[Y1 total cost]]+Table4546484950[[#This Row],[Y2 total cost]]+Table4546484950[[#This Row],[Y3 total cost]]</f>
        <v>0</v>
      </c>
      <c r="Z77" s="573"/>
      <c r="AA77" s="568"/>
      <c r="AB77" s="568"/>
      <c r="AC77" s="568"/>
      <c r="AD77" s="568"/>
      <c r="AE77" s="568"/>
      <c r="AF77" s="568"/>
      <c r="AG77" s="568"/>
      <c r="AH77" s="568"/>
      <c r="AI77" s="570"/>
      <c r="AJ77" s="568"/>
      <c r="AK77" s="568"/>
      <c r="AL77" s="568"/>
      <c r="AM77" s="568"/>
      <c r="AN77" s="568"/>
      <c r="AO77" s="568"/>
      <c r="AP77" s="568"/>
      <c r="AQ77" s="568"/>
      <c r="AR77" s="568"/>
      <c r="AS77" s="568"/>
      <c r="AT77" s="568"/>
      <c r="AU77" s="568"/>
      <c r="AV77" s="568"/>
      <c r="AW77" s="568"/>
      <c r="AX77" s="568"/>
      <c r="AY77" s="568"/>
      <c r="AZ77" s="568"/>
      <c r="BA77" s="568"/>
      <c r="BB77" s="568"/>
      <c r="BC77" s="568"/>
      <c r="BD77" s="568"/>
      <c r="BE77" s="568"/>
      <c r="BF77" s="568"/>
      <c r="BG77" s="568"/>
      <c r="BH77" s="568"/>
      <c r="BI77" s="568"/>
      <c r="BJ77" s="568"/>
      <c r="BK77" s="568"/>
      <c r="BL77" s="568"/>
      <c r="BM77" s="568"/>
      <c r="BN77" s="568"/>
      <c r="BO77" s="568"/>
      <c r="BP77" s="568"/>
      <c r="BQ77" s="568"/>
      <c r="BR77" s="568"/>
      <c r="BS77" s="568"/>
    </row>
    <row r="78" spans="1:71" s="569" customFormat="1" ht="13">
      <c r="A78" s="3307"/>
      <c r="B78" s="3308"/>
      <c r="C78" s="3308"/>
      <c r="D78" s="3309"/>
      <c r="E78" s="3310"/>
      <c r="F78" s="3310"/>
      <c r="G78" s="3310"/>
      <c r="H78" s="3310"/>
      <c r="I78" s="3311"/>
      <c r="J78" s="589"/>
      <c r="K78" s="594"/>
      <c r="L78" s="594"/>
      <c r="M78" s="594"/>
      <c r="N78" s="591">
        <f>SUM(Table4546484950[[#This Row],[Y1 Q1 cost]:[Y1 Q4 cost]])</f>
        <v>0</v>
      </c>
      <c r="O78" s="594"/>
      <c r="P78" s="594"/>
      <c r="Q78" s="594"/>
      <c r="R78" s="594"/>
      <c r="S78" s="593">
        <f>SUM(Table4546484950[[#This Row],[Y2 Q1 cost]:[Y2 Q4 cost]])</f>
        <v>0</v>
      </c>
      <c r="T78" s="589"/>
      <c r="U78" s="594"/>
      <c r="V78" s="594"/>
      <c r="W78" s="594"/>
      <c r="X78" s="591">
        <f>SUM(Table4546484950[[#This Row],[Y3 Q1 cost]:[Y3 Q4 cost]])</f>
        <v>0</v>
      </c>
      <c r="Y78" s="593">
        <f>Table4546484950[[#This Row],[Y1 total cost]]+Table4546484950[[#This Row],[Y2 total cost]]+Table4546484950[[#This Row],[Y3 total cost]]</f>
        <v>0</v>
      </c>
      <c r="Z78" s="573"/>
      <c r="AA78" s="568"/>
      <c r="AB78" s="568"/>
      <c r="AC78" s="568"/>
      <c r="AD78" s="568"/>
      <c r="AE78" s="568"/>
      <c r="AF78" s="568"/>
      <c r="AG78" s="568"/>
      <c r="AH78" s="568"/>
      <c r="AI78" s="570"/>
      <c r="AJ78" s="568"/>
      <c r="AK78" s="568"/>
      <c r="AL78" s="568"/>
      <c r="AM78" s="568"/>
      <c r="AN78" s="568"/>
      <c r="AO78" s="568"/>
      <c r="AP78" s="568"/>
      <c r="AQ78" s="568"/>
      <c r="AR78" s="568"/>
      <c r="AS78" s="568"/>
      <c r="AT78" s="568"/>
      <c r="AU78" s="568"/>
      <c r="AV78" s="568"/>
      <c r="AW78" s="568"/>
      <c r="AX78" s="568"/>
      <c r="AY78" s="568"/>
      <c r="AZ78" s="568"/>
      <c r="BA78" s="568"/>
      <c r="BB78" s="568"/>
      <c r="BC78" s="568"/>
      <c r="BD78" s="568"/>
      <c r="BE78" s="568"/>
      <c r="BF78" s="568"/>
      <c r="BG78" s="568"/>
      <c r="BH78" s="568"/>
      <c r="BI78" s="568"/>
      <c r="BJ78" s="568"/>
      <c r="BK78" s="568"/>
      <c r="BL78" s="568"/>
      <c r="BM78" s="568"/>
      <c r="BN78" s="568"/>
      <c r="BO78" s="568"/>
      <c r="BP78" s="568"/>
      <c r="BQ78" s="568"/>
      <c r="BR78" s="568"/>
      <c r="BS78" s="568"/>
    </row>
    <row r="79" spans="1:71" s="569" customFormat="1" ht="13">
      <c r="A79" s="3312"/>
      <c r="B79" s="3313"/>
      <c r="C79" s="3313"/>
      <c r="D79" s="3314"/>
      <c r="E79" s="3315"/>
      <c r="F79" s="3315"/>
      <c r="G79" s="3315"/>
      <c r="H79" s="3315"/>
      <c r="I79" s="3316"/>
      <c r="J79" s="589"/>
      <c r="K79" s="594"/>
      <c r="L79" s="594"/>
      <c r="M79" s="594"/>
      <c r="N79" s="591">
        <f>SUM(Table4546484950[[#This Row],[Y1 Q1 cost]:[Y1 Q4 cost]])</f>
        <v>0</v>
      </c>
      <c r="O79" s="594"/>
      <c r="P79" s="594"/>
      <c r="Q79" s="594"/>
      <c r="R79" s="594"/>
      <c r="S79" s="593">
        <f>SUM(Table4546484950[[#This Row],[Y2 Q1 cost]:[Y2 Q4 cost]])</f>
        <v>0</v>
      </c>
      <c r="T79" s="589"/>
      <c r="U79" s="594"/>
      <c r="V79" s="594"/>
      <c r="W79" s="594"/>
      <c r="X79" s="591">
        <f>SUM(Table4546484950[[#This Row],[Y3 Q1 cost]:[Y3 Q4 cost]])</f>
        <v>0</v>
      </c>
      <c r="Y79" s="593">
        <f>Table4546484950[[#This Row],[Y1 total cost]]+Table4546484950[[#This Row],[Y2 total cost]]+Table4546484950[[#This Row],[Y3 total cost]]</f>
        <v>0</v>
      </c>
      <c r="Z79" s="573"/>
      <c r="AA79" s="568"/>
      <c r="AB79" s="568"/>
      <c r="AC79" s="568"/>
      <c r="AD79" s="568"/>
      <c r="AE79" s="568"/>
      <c r="AF79" s="568"/>
      <c r="AG79" s="568"/>
      <c r="AH79" s="568"/>
      <c r="AI79" s="570"/>
      <c r="AJ79" s="568"/>
      <c r="AK79" s="568"/>
      <c r="AL79" s="568"/>
      <c r="AM79" s="568"/>
      <c r="AN79" s="568"/>
      <c r="AO79" s="568"/>
      <c r="AP79" s="568"/>
      <c r="AQ79" s="568"/>
      <c r="AR79" s="568"/>
      <c r="AS79" s="568"/>
      <c r="AT79" s="568"/>
      <c r="AU79" s="568"/>
      <c r="AV79" s="568"/>
      <c r="AW79" s="568"/>
      <c r="AX79" s="568"/>
      <c r="AY79" s="568"/>
      <c r="AZ79" s="568"/>
      <c r="BA79" s="568"/>
      <c r="BB79" s="568"/>
      <c r="BC79" s="568"/>
      <c r="BD79" s="568"/>
      <c r="BE79" s="568"/>
      <c r="BF79" s="568"/>
      <c r="BG79" s="568"/>
      <c r="BH79" s="568"/>
      <c r="BI79" s="568"/>
      <c r="BJ79" s="568"/>
      <c r="BK79" s="568"/>
      <c r="BL79" s="568"/>
      <c r="BM79" s="568"/>
      <c r="BN79" s="568"/>
      <c r="BO79" s="568"/>
      <c r="BP79" s="568"/>
      <c r="BQ79" s="568"/>
      <c r="BR79" s="568"/>
      <c r="BS79" s="568"/>
    </row>
    <row r="80" spans="1:71" s="569" customFormat="1" ht="13">
      <c r="A80" s="3307"/>
      <c r="B80" s="3308"/>
      <c r="C80" s="3308"/>
      <c r="D80" s="3309"/>
      <c r="E80" s="3310"/>
      <c r="F80" s="3310"/>
      <c r="G80" s="3310"/>
      <c r="H80" s="3310"/>
      <c r="I80" s="3311"/>
      <c r="J80" s="589"/>
      <c r="K80" s="594"/>
      <c r="L80" s="594"/>
      <c r="M80" s="594"/>
      <c r="N80" s="591">
        <f>SUM(Table4546484950[[#This Row],[Y1 Q1 cost]:[Y1 Q4 cost]])</f>
        <v>0</v>
      </c>
      <c r="O80" s="594"/>
      <c r="P80" s="594"/>
      <c r="Q80" s="594"/>
      <c r="R80" s="594"/>
      <c r="S80" s="593">
        <f>SUM(Table4546484950[[#This Row],[Y2 Q1 cost]:[Y2 Q4 cost]])</f>
        <v>0</v>
      </c>
      <c r="T80" s="589"/>
      <c r="U80" s="594"/>
      <c r="V80" s="594"/>
      <c r="W80" s="594"/>
      <c r="X80" s="591">
        <f>SUM(Table4546484950[[#This Row],[Y3 Q1 cost]:[Y3 Q4 cost]])</f>
        <v>0</v>
      </c>
      <c r="Y80" s="593">
        <f>Table4546484950[[#This Row],[Y1 total cost]]+Table4546484950[[#This Row],[Y2 total cost]]+Table4546484950[[#This Row],[Y3 total cost]]</f>
        <v>0</v>
      </c>
      <c r="Z80" s="573"/>
      <c r="AA80" s="568"/>
      <c r="AB80" s="568"/>
      <c r="AC80" s="568"/>
      <c r="AD80" s="568"/>
      <c r="AE80" s="568"/>
      <c r="AF80" s="568"/>
      <c r="AG80" s="568"/>
      <c r="AH80" s="568"/>
      <c r="AI80" s="570"/>
      <c r="AJ80" s="568"/>
      <c r="AK80" s="568"/>
      <c r="AL80" s="568"/>
      <c r="AM80" s="568"/>
      <c r="AN80" s="568"/>
      <c r="AO80" s="568"/>
      <c r="AP80" s="568"/>
      <c r="AQ80" s="568"/>
      <c r="AR80" s="568"/>
      <c r="AS80" s="568"/>
      <c r="AT80" s="568"/>
      <c r="AU80" s="568"/>
      <c r="AV80" s="568"/>
      <c r="AW80" s="568"/>
      <c r="AX80" s="568"/>
      <c r="AY80" s="568"/>
      <c r="AZ80" s="568"/>
      <c r="BA80" s="568"/>
      <c r="BB80" s="568"/>
      <c r="BC80" s="568"/>
      <c r="BD80" s="568"/>
      <c r="BE80" s="568"/>
      <c r="BF80" s="568"/>
      <c r="BG80" s="568"/>
      <c r="BH80" s="568"/>
      <c r="BI80" s="568"/>
      <c r="BJ80" s="568"/>
      <c r="BK80" s="568"/>
      <c r="BL80" s="568"/>
      <c r="BM80" s="568"/>
      <c r="BN80" s="568"/>
      <c r="BO80" s="568"/>
      <c r="BP80" s="568"/>
      <c r="BQ80" s="568"/>
      <c r="BR80" s="568"/>
      <c r="BS80" s="568"/>
    </row>
    <row r="81" spans="1:71" s="569" customFormat="1" ht="13">
      <c r="A81" s="3312"/>
      <c r="B81" s="3313"/>
      <c r="C81" s="3313"/>
      <c r="D81" s="3314"/>
      <c r="E81" s="3315"/>
      <c r="F81" s="3315"/>
      <c r="G81" s="3315"/>
      <c r="H81" s="3315"/>
      <c r="I81" s="3316"/>
      <c r="J81" s="589"/>
      <c r="K81" s="594"/>
      <c r="L81" s="594"/>
      <c r="M81" s="594"/>
      <c r="N81" s="591">
        <f>SUM(Table4546484950[[#This Row],[Y1 Q1 cost]:[Y1 Q4 cost]])</f>
        <v>0</v>
      </c>
      <c r="O81" s="594"/>
      <c r="P81" s="594"/>
      <c r="Q81" s="594"/>
      <c r="R81" s="594"/>
      <c r="S81" s="593">
        <f>SUM(Table4546484950[[#This Row],[Y2 Q1 cost]:[Y2 Q4 cost]])</f>
        <v>0</v>
      </c>
      <c r="T81" s="589"/>
      <c r="U81" s="594"/>
      <c r="V81" s="594"/>
      <c r="W81" s="594"/>
      <c r="X81" s="591">
        <f>SUM(Table4546484950[[#This Row],[Y3 Q1 cost]:[Y3 Q4 cost]])</f>
        <v>0</v>
      </c>
      <c r="Y81" s="593">
        <f>Table4546484950[[#This Row],[Y1 total cost]]+Table4546484950[[#This Row],[Y2 total cost]]+Table4546484950[[#This Row],[Y3 total cost]]</f>
        <v>0</v>
      </c>
      <c r="Z81" s="573"/>
      <c r="AA81" s="568"/>
      <c r="AB81" s="568"/>
      <c r="AC81" s="568"/>
      <c r="AD81" s="568"/>
      <c r="AE81" s="568"/>
      <c r="AF81" s="568"/>
      <c r="AG81" s="568"/>
      <c r="AH81" s="568"/>
      <c r="AI81" s="570"/>
      <c r="AJ81" s="568"/>
      <c r="AK81" s="568"/>
      <c r="AL81" s="568"/>
      <c r="AM81" s="568"/>
      <c r="AN81" s="568"/>
      <c r="AO81" s="568"/>
      <c r="AP81" s="568"/>
      <c r="AQ81" s="568"/>
      <c r="AR81" s="568"/>
      <c r="AS81" s="568"/>
      <c r="AT81" s="568"/>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row>
    <row r="82" spans="1:71" s="569" customFormat="1" ht="13">
      <c r="A82" s="3307"/>
      <c r="B82" s="3308"/>
      <c r="C82" s="3308"/>
      <c r="D82" s="3309"/>
      <c r="E82" s="3310"/>
      <c r="F82" s="3310"/>
      <c r="G82" s="3310"/>
      <c r="H82" s="3310"/>
      <c r="I82" s="3311"/>
      <c r="J82" s="589"/>
      <c r="K82" s="594"/>
      <c r="L82" s="594"/>
      <c r="M82" s="594"/>
      <c r="N82" s="591">
        <f>SUM(Table4546484950[[#This Row],[Y1 Q1 cost]:[Y1 Q4 cost]])</f>
        <v>0</v>
      </c>
      <c r="O82" s="594"/>
      <c r="P82" s="594"/>
      <c r="Q82" s="594"/>
      <c r="R82" s="594"/>
      <c r="S82" s="593">
        <f>SUM(Table4546484950[[#This Row],[Y2 Q1 cost]:[Y2 Q4 cost]])</f>
        <v>0</v>
      </c>
      <c r="T82" s="589"/>
      <c r="U82" s="594"/>
      <c r="V82" s="594"/>
      <c r="W82" s="594"/>
      <c r="X82" s="591">
        <f>SUM(Table4546484950[[#This Row],[Y3 Q1 cost]:[Y3 Q4 cost]])</f>
        <v>0</v>
      </c>
      <c r="Y82" s="593">
        <f>Table4546484950[[#This Row],[Y1 total cost]]+Table4546484950[[#This Row],[Y2 total cost]]+Table4546484950[[#This Row],[Y3 total cost]]</f>
        <v>0</v>
      </c>
      <c r="Z82" s="573"/>
      <c r="AA82" s="568"/>
      <c r="AB82" s="568"/>
      <c r="AC82" s="568"/>
      <c r="AD82" s="568"/>
      <c r="AE82" s="568"/>
      <c r="AF82" s="568"/>
      <c r="AG82" s="568"/>
      <c r="AH82" s="568"/>
      <c r="AI82" s="570"/>
      <c r="AJ82" s="568"/>
      <c r="AK82" s="568"/>
      <c r="AL82" s="568"/>
      <c r="AM82" s="568"/>
      <c r="AN82" s="568"/>
      <c r="AO82" s="568"/>
      <c r="AP82" s="568"/>
      <c r="AQ82" s="568"/>
      <c r="AR82" s="568"/>
      <c r="AS82" s="568"/>
      <c r="AT82" s="568"/>
      <c r="AU82" s="568"/>
      <c r="AV82" s="568"/>
      <c r="AW82" s="568"/>
      <c r="AX82" s="568"/>
      <c r="AY82" s="568"/>
      <c r="AZ82" s="568"/>
      <c r="BA82" s="568"/>
      <c r="BB82" s="568"/>
      <c r="BC82" s="568"/>
      <c r="BD82" s="568"/>
      <c r="BE82" s="568"/>
      <c r="BF82" s="568"/>
      <c r="BG82" s="568"/>
      <c r="BH82" s="568"/>
      <c r="BI82" s="568"/>
      <c r="BJ82" s="568"/>
      <c r="BK82" s="568"/>
      <c r="BL82" s="568"/>
      <c r="BM82" s="568"/>
      <c r="BN82" s="568"/>
      <c r="BO82" s="568"/>
      <c r="BP82" s="568"/>
      <c r="BQ82" s="568"/>
      <c r="BR82" s="568"/>
      <c r="BS82" s="568"/>
    </row>
    <row r="83" spans="1:71" s="569" customFormat="1" ht="13">
      <c r="A83" s="3312"/>
      <c r="B83" s="3313"/>
      <c r="C83" s="3313"/>
      <c r="D83" s="3314"/>
      <c r="E83" s="3315"/>
      <c r="F83" s="3315"/>
      <c r="G83" s="3315"/>
      <c r="H83" s="3315"/>
      <c r="I83" s="3316"/>
      <c r="J83" s="589"/>
      <c r="K83" s="594"/>
      <c r="L83" s="594"/>
      <c r="M83" s="594"/>
      <c r="N83" s="591">
        <f>SUM(Table4546484950[[#This Row],[Y1 Q1 cost]:[Y1 Q4 cost]])</f>
        <v>0</v>
      </c>
      <c r="O83" s="594"/>
      <c r="P83" s="594"/>
      <c r="Q83" s="594"/>
      <c r="R83" s="594"/>
      <c r="S83" s="593">
        <f>SUM(Table4546484950[[#This Row],[Y2 Q1 cost]:[Y2 Q4 cost]])</f>
        <v>0</v>
      </c>
      <c r="T83" s="589"/>
      <c r="U83" s="594"/>
      <c r="V83" s="594"/>
      <c r="W83" s="594"/>
      <c r="X83" s="591">
        <f>SUM(Table4546484950[[#This Row],[Y3 Q1 cost]:[Y3 Q4 cost]])</f>
        <v>0</v>
      </c>
      <c r="Y83" s="593">
        <f>Table4546484950[[#This Row],[Y1 total cost]]+Table4546484950[[#This Row],[Y2 total cost]]+Table4546484950[[#This Row],[Y3 total cost]]</f>
        <v>0</v>
      </c>
      <c r="Z83" s="573"/>
      <c r="AA83" s="568"/>
      <c r="AB83" s="568"/>
      <c r="AC83" s="568"/>
      <c r="AD83" s="568"/>
      <c r="AE83" s="568"/>
      <c r="AF83" s="568"/>
      <c r="AG83" s="568"/>
      <c r="AH83" s="568"/>
      <c r="AI83" s="570"/>
      <c r="AJ83" s="568"/>
      <c r="AK83" s="568"/>
      <c r="AL83" s="568"/>
      <c r="AM83" s="568"/>
      <c r="AN83" s="568"/>
      <c r="AO83" s="568"/>
      <c r="AP83" s="568"/>
      <c r="AQ83" s="568"/>
      <c r="AR83" s="568"/>
      <c r="AS83" s="568"/>
      <c r="AT83" s="568"/>
      <c r="AU83" s="568"/>
      <c r="AV83" s="568"/>
      <c r="AW83" s="568"/>
      <c r="AX83" s="568"/>
      <c r="AY83" s="568"/>
      <c r="AZ83" s="568"/>
      <c r="BA83" s="568"/>
      <c r="BB83" s="568"/>
      <c r="BC83" s="568"/>
      <c r="BD83" s="568"/>
      <c r="BE83" s="568"/>
      <c r="BF83" s="568"/>
      <c r="BG83" s="568"/>
      <c r="BH83" s="568"/>
      <c r="BI83" s="568"/>
      <c r="BJ83" s="568"/>
      <c r="BK83" s="568"/>
      <c r="BL83" s="568"/>
      <c r="BM83" s="568"/>
      <c r="BN83" s="568"/>
      <c r="BO83" s="568"/>
      <c r="BP83" s="568"/>
      <c r="BQ83" s="568"/>
      <c r="BR83" s="568"/>
      <c r="BS83" s="568"/>
    </row>
    <row r="84" spans="1:71" s="569" customFormat="1" ht="13">
      <c r="A84" s="3307"/>
      <c r="B84" s="3308"/>
      <c r="C84" s="3308"/>
      <c r="D84" s="3309"/>
      <c r="E84" s="3310"/>
      <c r="F84" s="3310"/>
      <c r="G84" s="3310"/>
      <c r="H84" s="3310"/>
      <c r="I84" s="3311"/>
      <c r="J84" s="589"/>
      <c r="K84" s="594"/>
      <c r="L84" s="594"/>
      <c r="M84" s="594"/>
      <c r="N84" s="591">
        <f>SUM(Table4546484950[[#This Row],[Y1 Q1 cost]:[Y1 Q4 cost]])</f>
        <v>0</v>
      </c>
      <c r="O84" s="594"/>
      <c r="P84" s="594"/>
      <c r="Q84" s="594"/>
      <c r="R84" s="594"/>
      <c r="S84" s="593">
        <f>SUM(Table4546484950[[#This Row],[Y2 Q1 cost]:[Y2 Q4 cost]])</f>
        <v>0</v>
      </c>
      <c r="T84" s="589"/>
      <c r="U84" s="594"/>
      <c r="V84" s="594"/>
      <c r="W84" s="594"/>
      <c r="X84" s="591">
        <f>SUM(Table4546484950[[#This Row],[Y3 Q1 cost]:[Y3 Q4 cost]])</f>
        <v>0</v>
      </c>
      <c r="Y84" s="593">
        <f>Table4546484950[[#This Row],[Y1 total cost]]+Table4546484950[[#This Row],[Y2 total cost]]+Table4546484950[[#This Row],[Y3 total cost]]</f>
        <v>0</v>
      </c>
      <c r="Z84" s="573"/>
      <c r="AA84" s="568"/>
      <c r="AB84" s="568"/>
      <c r="AC84" s="568"/>
      <c r="AD84" s="568"/>
      <c r="AE84" s="568"/>
      <c r="AF84" s="568"/>
      <c r="AG84" s="568"/>
      <c r="AH84" s="568"/>
      <c r="AI84" s="570"/>
      <c r="AJ84" s="568"/>
      <c r="AK84" s="568"/>
      <c r="AL84" s="568"/>
      <c r="AM84" s="568"/>
      <c r="AN84" s="568"/>
      <c r="AO84" s="568"/>
      <c r="AP84" s="568"/>
      <c r="AQ84" s="568"/>
      <c r="AR84" s="568"/>
      <c r="AS84" s="568"/>
      <c r="AT84" s="568"/>
      <c r="AU84" s="568"/>
      <c r="AV84" s="568"/>
      <c r="AW84" s="568"/>
      <c r="AX84" s="568"/>
      <c r="AY84" s="568"/>
      <c r="AZ84" s="568"/>
      <c r="BA84" s="568"/>
      <c r="BB84" s="568"/>
      <c r="BC84" s="568"/>
      <c r="BD84" s="568"/>
      <c r="BE84" s="568"/>
      <c r="BF84" s="568"/>
      <c r="BG84" s="568"/>
      <c r="BH84" s="568"/>
      <c r="BI84" s="568"/>
      <c r="BJ84" s="568"/>
      <c r="BK84" s="568"/>
      <c r="BL84" s="568"/>
      <c r="BM84" s="568"/>
      <c r="BN84" s="568"/>
      <c r="BO84" s="568"/>
      <c r="BP84" s="568"/>
      <c r="BQ84" s="568"/>
      <c r="BR84" s="568"/>
      <c r="BS84" s="568"/>
    </row>
    <row r="85" spans="1:71" s="569" customFormat="1" ht="13">
      <c r="A85" s="3312"/>
      <c r="B85" s="3313"/>
      <c r="C85" s="3313"/>
      <c r="D85" s="3314"/>
      <c r="E85" s="3315"/>
      <c r="F85" s="3315"/>
      <c r="G85" s="3315"/>
      <c r="H85" s="3315"/>
      <c r="I85" s="3316"/>
      <c r="J85" s="589"/>
      <c r="K85" s="594"/>
      <c r="L85" s="594"/>
      <c r="M85" s="594"/>
      <c r="N85" s="591">
        <f>SUM(Table4546484950[[#This Row],[Y1 Q1 cost]:[Y1 Q4 cost]])</f>
        <v>0</v>
      </c>
      <c r="O85" s="594"/>
      <c r="P85" s="594"/>
      <c r="Q85" s="594"/>
      <c r="R85" s="594"/>
      <c r="S85" s="593">
        <f>SUM(Table4546484950[[#This Row],[Y2 Q1 cost]:[Y2 Q4 cost]])</f>
        <v>0</v>
      </c>
      <c r="T85" s="589"/>
      <c r="U85" s="594"/>
      <c r="V85" s="594"/>
      <c r="W85" s="594"/>
      <c r="X85" s="591">
        <f>SUM(Table4546484950[[#This Row],[Y3 Q1 cost]:[Y3 Q4 cost]])</f>
        <v>0</v>
      </c>
      <c r="Y85" s="593">
        <f>Table4546484950[[#This Row],[Y1 total cost]]+Table4546484950[[#This Row],[Y2 total cost]]+Table4546484950[[#This Row],[Y3 total cost]]</f>
        <v>0</v>
      </c>
      <c r="Z85" s="573"/>
      <c r="AA85" s="568"/>
      <c r="AB85" s="568"/>
      <c r="AC85" s="568"/>
      <c r="AD85" s="568"/>
      <c r="AE85" s="568"/>
      <c r="AF85" s="568"/>
      <c r="AG85" s="568"/>
      <c r="AH85" s="568"/>
      <c r="AI85" s="570"/>
      <c r="AJ85" s="568"/>
      <c r="AK85" s="568"/>
      <c r="AL85" s="568"/>
      <c r="AM85" s="568"/>
      <c r="AN85" s="568"/>
      <c r="AO85" s="568"/>
      <c r="AP85" s="568"/>
      <c r="AQ85" s="568"/>
      <c r="AR85" s="568"/>
      <c r="AS85" s="568"/>
      <c r="AT85" s="568"/>
      <c r="AU85" s="568"/>
      <c r="AV85" s="568"/>
      <c r="AW85" s="568"/>
      <c r="AX85" s="568"/>
      <c r="AY85" s="568"/>
      <c r="AZ85" s="568"/>
      <c r="BA85" s="568"/>
      <c r="BB85" s="568"/>
      <c r="BC85" s="568"/>
      <c r="BD85" s="568"/>
      <c r="BE85" s="568"/>
      <c r="BF85" s="568"/>
      <c r="BG85" s="568"/>
      <c r="BH85" s="568"/>
      <c r="BI85" s="568"/>
      <c r="BJ85" s="568"/>
      <c r="BK85" s="568"/>
      <c r="BL85" s="568"/>
      <c r="BM85" s="568"/>
      <c r="BN85" s="568"/>
      <c r="BO85" s="568"/>
      <c r="BP85" s="568"/>
      <c r="BQ85" s="568"/>
      <c r="BR85" s="568"/>
      <c r="BS85" s="568"/>
    </row>
    <row r="86" spans="1:71" s="569" customFormat="1" ht="13">
      <c r="A86" s="3307"/>
      <c r="B86" s="3308"/>
      <c r="C86" s="3308"/>
      <c r="D86" s="3309"/>
      <c r="E86" s="3310"/>
      <c r="F86" s="3310"/>
      <c r="G86" s="3310"/>
      <c r="H86" s="3310"/>
      <c r="I86" s="3311"/>
      <c r="J86" s="589"/>
      <c r="K86" s="594"/>
      <c r="L86" s="594"/>
      <c r="M86" s="594"/>
      <c r="N86" s="591">
        <f>SUM(Table4546484950[[#This Row],[Y1 Q1 cost]:[Y1 Q4 cost]])</f>
        <v>0</v>
      </c>
      <c r="O86" s="594"/>
      <c r="P86" s="594"/>
      <c r="Q86" s="594"/>
      <c r="R86" s="594"/>
      <c r="S86" s="593">
        <f>SUM(Table4546484950[[#This Row],[Y2 Q1 cost]:[Y2 Q4 cost]])</f>
        <v>0</v>
      </c>
      <c r="T86" s="589"/>
      <c r="U86" s="594"/>
      <c r="V86" s="594"/>
      <c r="W86" s="594"/>
      <c r="X86" s="591">
        <f>SUM(Table4546484950[[#This Row],[Y3 Q1 cost]:[Y3 Q4 cost]])</f>
        <v>0</v>
      </c>
      <c r="Y86" s="593">
        <f>Table4546484950[[#This Row],[Y1 total cost]]+Table4546484950[[#This Row],[Y2 total cost]]+Table4546484950[[#This Row],[Y3 total cost]]</f>
        <v>0</v>
      </c>
      <c r="Z86" s="573"/>
      <c r="AA86" s="568"/>
      <c r="AB86" s="568"/>
      <c r="AC86" s="568"/>
      <c r="AD86" s="568"/>
      <c r="AE86" s="568"/>
      <c r="AF86" s="568"/>
      <c r="AG86" s="568"/>
      <c r="AH86" s="568"/>
      <c r="AI86" s="570"/>
      <c r="AJ86" s="568"/>
      <c r="AK86" s="568"/>
      <c r="AL86" s="568"/>
      <c r="AM86" s="568"/>
      <c r="AN86" s="568"/>
      <c r="AO86" s="568"/>
      <c r="AP86" s="568"/>
      <c r="AQ86" s="568"/>
      <c r="AR86" s="568"/>
      <c r="AS86" s="568"/>
      <c r="AT86" s="568"/>
      <c r="AU86" s="568"/>
      <c r="AV86" s="568"/>
      <c r="AW86" s="568"/>
      <c r="AX86" s="568"/>
      <c r="AY86" s="568"/>
      <c r="AZ86" s="568"/>
      <c r="BA86" s="568"/>
      <c r="BB86" s="568"/>
      <c r="BC86" s="568"/>
      <c r="BD86" s="568"/>
      <c r="BE86" s="568"/>
      <c r="BF86" s="568"/>
      <c r="BG86" s="568"/>
      <c r="BH86" s="568"/>
      <c r="BI86" s="568"/>
      <c r="BJ86" s="568"/>
      <c r="BK86" s="568"/>
      <c r="BL86" s="568"/>
      <c r="BM86" s="568"/>
      <c r="BN86" s="568"/>
      <c r="BO86" s="568"/>
      <c r="BP86" s="568"/>
      <c r="BQ86" s="568"/>
      <c r="BR86" s="568"/>
      <c r="BS86" s="568"/>
    </row>
    <row r="87" spans="1:71" s="569" customFormat="1" ht="13.5" thickBot="1">
      <c r="A87" s="3302"/>
      <c r="B87" s="3303"/>
      <c r="C87" s="3303"/>
      <c r="D87" s="3304"/>
      <c r="E87" s="3305"/>
      <c r="F87" s="3305"/>
      <c r="G87" s="3305"/>
      <c r="H87" s="3305"/>
      <c r="I87" s="3306"/>
      <c r="J87" s="589"/>
      <c r="K87" s="594"/>
      <c r="L87" s="594"/>
      <c r="M87" s="594"/>
      <c r="N87" s="591">
        <f>SUM(Table4546484950[[#This Row],[Y1 Q1 cost]:[Y1 Q4 cost]])</f>
        <v>0</v>
      </c>
      <c r="O87" s="594"/>
      <c r="P87" s="594"/>
      <c r="Q87" s="594"/>
      <c r="R87" s="594"/>
      <c r="S87" s="593">
        <f>SUM(Table4546484950[[#This Row],[Y2 Q1 cost]:[Y2 Q4 cost]])</f>
        <v>0</v>
      </c>
      <c r="T87" s="589"/>
      <c r="U87" s="594"/>
      <c r="V87" s="594"/>
      <c r="W87" s="594"/>
      <c r="X87" s="591">
        <f>SUM(Table4546484950[[#This Row],[Y3 Q1 cost]:[Y3 Q4 cost]])</f>
        <v>0</v>
      </c>
      <c r="Y87" s="593">
        <f>Table4546484950[[#This Row],[Y1 total cost]]+Table4546484950[[#This Row],[Y2 total cost]]+Table4546484950[[#This Row],[Y3 total cost]]</f>
        <v>0</v>
      </c>
      <c r="Z87" s="573"/>
      <c r="AA87" s="568"/>
      <c r="AB87" s="568"/>
      <c r="AC87" s="568"/>
      <c r="AD87" s="568"/>
      <c r="AE87" s="568"/>
      <c r="AF87" s="568"/>
      <c r="AG87" s="568"/>
      <c r="AH87" s="568"/>
      <c r="AI87" s="570"/>
      <c r="AJ87" s="568"/>
      <c r="AK87" s="568"/>
      <c r="AL87" s="568"/>
      <c r="AM87" s="568"/>
      <c r="AN87" s="568"/>
      <c r="AO87" s="568"/>
      <c r="AP87" s="568"/>
      <c r="AQ87" s="568"/>
      <c r="AR87" s="568"/>
      <c r="AS87" s="568"/>
      <c r="AT87" s="568"/>
      <c r="AU87" s="568"/>
      <c r="AV87" s="568"/>
      <c r="AW87" s="568"/>
      <c r="AX87" s="568"/>
      <c r="AY87" s="568"/>
      <c r="AZ87" s="568"/>
      <c r="BA87" s="568"/>
      <c r="BB87" s="568"/>
      <c r="BC87" s="568"/>
      <c r="BD87" s="568"/>
      <c r="BE87" s="568"/>
      <c r="BF87" s="568"/>
      <c r="BG87" s="568"/>
      <c r="BH87" s="568"/>
      <c r="BI87" s="568"/>
      <c r="BJ87" s="568"/>
      <c r="BK87" s="568"/>
      <c r="BL87" s="568"/>
      <c r="BM87" s="568"/>
      <c r="BN87" s="568"/>
      <c r="BO87" s="568"/>
      <c r="BP87" s="568"/>
      <c r="BQ87" s="568"/>
      <c r="BR87" s="568"/>
      <c r="BS87" s="568"/>
    </row>
    <row r="88" spans="1:71" s="546" customFormat="1">
      <c r="A88" s="562"/>
      <c r="B88" s="561"/>
      <c r="C88" s="561"/>
      <c r="D88" s="561"/>
      <c r="E88" s="561"/>
      <c r="F88" s="561"/>
      <c r="G88" s="561"/>
      <c r="H88" s="561"/>
      <c r="I88" s="561"/>
      <c r="J88" s="561"/>
      <c r="K88" s="561"/>
      <c r="L88" s="561"/>
      <c r="M88" s="561"/>
      <c r="N88" s="561"/>
      <c r="O88" s="561"/>
      <c r="P88" s="561"/>
      <c r="Q88" s="561"/>
      <c r="R88" s="561"/>
      <c r="S88" s="561"/>
      <c r="T88" s="561"/>
      <c r="U88" s="561"/>
      <c r="V88" s="561"/>
      <c r="W88" s="561"/>
      <c r="X88" s="561"/>
      <c r="Y88" s="561"/>
      <c r="Z88" s="561"/>
      <c r="AA88" s="544"/>
      <c r="AB88" s="544"/>
      <c r="AC88" s="544"/>
      <c r="AD88" s="544"/>
      <c r="AE88" s="544"/>
      <c r="AF88" s="544"/>
      <c r="AG88" s="545"/>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row>
    <row r="89" spans="1:71" s="546" customFormat="1">
      <c r="AG89" s="563"/>
    </row>
    <row r="90" spans="1:71" s="546" customFormat="1">
      <c r="AG90" s="563"/>
    </row>
  </sheetData>
  <sheetProtection algorithmName="SHA-512" hashValue="WnbPoyYtlEsJrQ8C8PNALU87kyA1QUGPcBbDrLI8YsiD10LLowmZOkXuwh9ze0GqHvSZzm91mTJ1hIjIrww6ZA==" saltValue="eDpv0LA+aPDdXVGDSVrFIw==" spinCount="100000" sheet="1" formatColumns="0" formatRows="0" autoFilter="0"/>
  <mergeCells count="164">
    <mergeCell ref="A37:D37"/>
    <mergeCell ref="A36:D36"/>
    <mergeCell ref="E44:I44"/>
    <mergeCell ref="E45:I45"/>
    <mergeCell ref="A51:N51"/>
    <mergeCell ref="I5:K6"/>
    <mergeCell ref="M1:N2"/>
    <mergeCell ref="J53:N53"/>
    <mergeCell ref="O53:S53"/>
    <mergeCell ref="E24:I24"/>
    <mergeCell ref="E27:I27"/>
    <mergeCell ref="E28:I28"/>
    <mergeCell ref="E30:I30"/>
    <mergeCell ref="E31:I31"/>
    <mergeCell ref="O8:P9"/>
    <mergeCell ref="A1:K1"/>
    <mergeCell ref="B3:B4"/>
    <mergeCell ref="C3:E4"/>
    <mergeCell ref="G3:H4"/>
    <mergeCell ref="I3:K4"/>
    <mergeCell ref="B5:B6"/>
    <mergeCell ref="C5:E6"/>
    <mergeCell ref="G5:H6"/>
    <mergeCell ref="A38:D38"/>
    <mergeCell ref="A39:D39"/>
    <mergeCell ref="A40:D40"/>
    <mergeCell ref="T53:X53"/>
    <mergeCell ref="E29:I29"/>
    <mergeCell ref="O49:P50"/>
    <mergeCell ref="E36:I36"/>
    <mergeCell ref="E37:I37"/>
    <mergeCell ref="E34:I34"/>
    <mergeCell ref="B49:J50"/>
    <mergeCell ref="E42:I42"/>
    <mergeCell ref="E46:I46"/>
    <mergeCell ref="E43:I43"/>
    <mergeCell ref="E38:I38"/>
    <mergeCell ref="E39:I39"/>
    <mergeCell ref="K49:L50"/>
    <mergeCell ref="M49:N50"/>
    <mergeCell ref="E32:I32"/>
    <mergeCell ref="E33:I33"/>
    <mergeCell ref="A46:D46"/>
    <mergeCell ref="E41:I41"/>
    <mergeCell ref="E40:I40"/>
    <mergeCell ref="E35:I35"/>
    <mergeCell ref="A32:D32"/>
    <mergeCell ref="A33:D33"/>
    <mergeCell ref="T13:X13"/>
    <mergeCell ref="A21:D21"/>
    <mergeCell ref="A15:D15"/>
    <mergeCell ref="A16:D16"/>
    <mergeCell ref="A17:D17"/>
    <mergeCell ref="A18:D18"/>
    <mergeCell ref="O13:S13"/>
    <mergeCell ref="E19:I19"/>
    <mergeCell ref="E18:I18"/>
    <mergeCell ref="A13:D14"/>
    <mergeCell ref="E15:I15"/>
    <mergeCell ref="E16:I16"/>
    <mergeCell ref="E17:I17"/>
    <mergeCell ref="E13:I14"/>
    <mergeCell ref="A19:D19"/>
    <mergeCell ref="A20:D20"/>
    <mergeCell ref="A47:D47"/>
    <mergeCell ref="E47:I47"/>
    <mergeCell ref="A43:D43"/>
    <mergeCell ref="A44:D44"/>
    <mergeCell ref="B8:J9"/>
    <mergeCell ref="J13:N13"/>
    <mergeCell ref="E20:I20"/>
    <mergeCell ref="E21:I21"/>
    <mergeCell ref="A8:A9"/>
    <mergeCell ref="M8:N9"/>
    <mergeCell ref="E22:I22"/>
    <mergeCell ref="E23:I23"/>
    <mergeCell ref="K8:L9"/>
    <mergeCell ref="A11:N11"/>
    <mergeCell ref="A22:D22"/>
    <mergeCell ref="A23:D23"/>
    <mergeCell ref="A34:D34"/>
    <mergeCell ref="A35:D35"/>
    <mergeCell ref="A26:D26"/>
    <mergeCell ref="A27:D27"/>
    <mergeCell ref="A28:D28"/>
    <mergeCell ref="E25:I25"/>
    <mergeCell ref="E26:I26"/>
    <mergeCell ref="A24:D24"/>
    <mergeCell ref="A25:D25"/>
    <mergeCell ref="A53:D54"/>
    <mergeCell ref="E53:I54"/>
    <mergeCell ref="A29:D29"/>
    <mergeCell ref="A30:D30"/>
    <mergeCell ref="A45:D45"/>
    <mergeCell ref="A57:D57"/>
    <mergeCell ref="A61:D61"/>
    <mergeCell ref="E61:I61"/>
    <mergeCell ref="E57:I57"/>
    <mergeCell ref="A58:D58"/>
    <mergeCell ref="A56:D56"/>
    <mergeCell ref="E56:I56"/>
    <mergeCell ref="A59:D59"/>
    <mergeCell ref="E59:I59"/>
    <mergeCell ref="E58:I58"/>
    <mergeCell ref="A60:D60"/>
    <mergeCell ref="E60:I60"/>
    <mergeCell ref="A55:D55"/>
    <mergeCell ref="E55:I55"/>
    <mergeCell ref="A41:D41"/>
    <mergeCell ref="A42:D42"/>
    <mergeCell ref="A31:D31"/>
    <mergeCell ref="A49:A50"/>
    <mergeCell ref="E75:I75"/>
    <mergeCell ref="A64:D64"/>
    <mergeCell ref="E64:I64"/>
    <mergeCell ref="A65:D65"/>
    <mergeCell ref="E65:I65"/>
    <mergeCell ref="A66:D66"/>
    <mergeCell ref="E66:I66"/>
    <mergeCell ref="A73:D73"/>
    <mergeCell ref="E73:I73"/>
    <mergeCell ref="A74:D74"/>
    <mergeCell ref="E74:I74"/>
    <mergeCell ref="A67:D67"/>
    <mergeCell ref="E67:I67"/>
    <mergeCell ref="A68:D68"/>
    <mergeCell ref="E68:I68"/>
    <mergeCell ref="A79:D79"/>
    <mergeCell ref="E79:I79"/>
    <mergeCell ref="E77:I77"/>
    <mergeCell ref="E85:I85"/>
    <mergeCell ref="A81:D81"/>
    <mergeCell ref="E81:I81"/>
    <mergeCell ref="A78:D78"/>
    <mergeCell ref="E78:I78"/>
    <mergeCell ref="A62:D62"/>
    <mergeCell ref="E62:I62"/>
    <mergeCell ref="A63:D63"/>
    <mergeCell ref="E63:I63"/>
    <mergeCell ref="A77:D77"/>
    <mergeCell ref="A69:D69"/>
    <mergeCell ref="E69:I69"/>
    <mergeCell ref="A70:D70"/>
    <mergeCell ref="E70:I70"/>
    <mergeCell ref="A71:D71"/>
    <mergeCell ref="A76:D76"/>
    <mergeCell ref="E76:I76"/>
    <mergeCell ref="E71:I71"/>
    <mergeCell ref="A72:D72"/>
    <mergeCell ref="E72:I72"/>
    <mergeCell ref="A75:D75"/>
    <mergeCell ref="A87:D87"/>
    <mergeCell ref="E87:I87"/>
    <mergeCell ref="A82:D82"/>
    <mergeCell ref="E82:I82"/>
    <mergeCell ref="A83:D83"/>
    <mergeCell ref="E83:I83"/>
    <mergeCell ref="A84:D84"/>
    <mergeCell ref="A80:D80"/>
    <mergeCell ref="E80:I80"/>
    <mergeCell ref="A86:D86"/>
    <mergeCell ref="E86:I86"/>
    <mergeCell ref="E84:I84"/>
    <mergeCell ref="A85:D85"/>
  </mergeCells>
  <dataValidations count="2">
    <dataValidation type="list" allowBlank="1" showInputMessage="1" showErrorMessage="1" sqref="A15:A47" xr:uid="{00000000-0002-0000-1100-000000000000}">
      <formula1>RSHHHPMSystems</formula1>
    </dataValidation>
    <dataValidation type="decimal" allowBlank="1" showInputMessage="1" showErrorMessage="1" sqref="J15:Y47 J55:Y87" xr:uid="{00000000-0002-0000-1100-000001000000}">
      <formula1>0</formula1>
      <formula2>1E+29</formula2>
    </dataValidation>
  </dataValidations>
  <hyperlinks>
    <hyperlink ref="M8:N9" location="'HPM costs'!A370" display="Go to in country SC management (section 2) " xr:uid="{00000000-0004-0000-1100-000000000000}"/>
    <hyperlink ref="M49:N50" location="'HPM costs'!A370" display="Go to in country SC management (section 2) " xr:uid="{00000000-0004-0000-1100-000001000000}"/>
    <hyperlink ref="O49:P50" location="RSSH!A1" display="RSSH!A1" xr:uid="{00000000-0004-0000-1100-000002000000}"/>
    <hyperlink ref="K8:L9" location="'HPM costs'!A1" display="'HPM costs'!A1" xr:uid="{00000000-0004-0000-1100-000003000000}"/>
    <hyperlink ref="K49:L50" location="'HPM costs'!A1" display="'HPM costs'!A1" xr:uid="{00000000-0004-0000-1100-000004000000}"/>
    <hyperlink ref="O8:P9" location="'RSSH- HPM &amp;Lab System'!A50" display="'RSSH- HPM &amp;Lab System'!A50" xr:uid="{00000000-0004-0000-1100-000005000000}"/>
  </hyperlinks>
  <pageMargins left="0.7" right="0.7" top="0.75" bottom="0.75" header="0.3" footer="0.3"/>
  <pageSetup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2000000}">
          <x14:formula1>
            <xm:f>'HPM LIST'!$B$2:$B$6</xm:f>
          </x14:formula1>
          <xm:sqref>A55:D87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filterMode="1">
    <tabColor theme="0" tint="-0.499984740745262"/>
  </sheetPr>
  <dimension ref="A1:BU569"/>
  <sheetViews>
    <sheetView showGridLines="0" topLeftCell="AK1" zoomScale="90" zoomScaleNormal="90" workbookViewId="0">
      <pane ySplit="1" topLeftCell="A324" activePane="bottomLeft" state="frozen"/>
      <selection activeCell="I26" sqref="I26"/>
      <selection pane="bottomLeft" activeCell="BP338" sqref="BP338"/>
    </sheetView>
  </sheetViews>
  <sheetFormatPr baseColWidth="10" defaultColWidth="9.26953125" defaultRowHeight="14.5"/>
  <cols>
    <col min="1" max="1" width="7.26953125" style="1022" customWidth="1"/>
    <col min="2" max="2" width="19" style="513" customWidth="1"/>
    <col min="3" max="3" width="34.453125" style="512" customWidth="1"/>
    <col min="4" max="4" width="19.453125" style="1021" customWidth="1"/>
    <col min="5" max="5" width="26" style="512" customWidth="1"/>
    <col min="6" max="6" width="23" style="512" hidden="1" customWidth="1"/>
    <col min="7" max="7" width="11" style="514" hidden="1" customWidth="1"/>
    <col min="8" max="9" width="9.26953125" style="514" hidden="1" customWidth="1"/>
    <col min="10" max="10" width="9.26953125" style="515" hidden="1" customWidth="1"/>
    <col min="11" max="12" width="9.26953125" style="516" hidden="1" customWidth="1"/>
    <col min="13" max="13" width="9.26953125" style="517" hidden="1" customWidth="1"/>
    <col min="14" max="14" width="9.26953125" style="516" hidden="1" customWidth="1"/>
    <col min="15" max="15" width="9.26953125" style="518" hidden="1" customWidth="1"/>
    <col min="16" max="16" width="17.453125" style="519" bestFit="1" customWidth="1"/>
    <col min="17" max="17" width="9.7265625" style="519" hidden="1" customWidth="1"/>
    <col min="18" max="18" width="12.7265625" style="519" customWidth="1"/>
    <col min="19" max="19" width="12.7265625" style="519" hidden="1" customWidth="1"/>
    <col min="20" max="20" width="15.7265625" style="519" customWidth="1"/>
    <col min="21" max="21" width="12.7265625" style="519" hidden="1" customWidth="1"/>
    <col min="22" max="22" width="12.7265625" style="519" customWidth="1"/>
    <col min="23" max="23" width="12.7265625" style="519" hidden="1" customWidth="1"/>
    <col min="24" max="24" width="18" style="983" bestFit="1" customWidth="1"/>
    <col min="25" max="26" width="12.7265625" style="519" hidden="1" customWidth="1"/>
    <col min="27" max="27" width="12.7265625" style="520" hidden="1" customWidth="1"/>
    <col min="28" max="28" width="12.7265625" style="519" hidden="1" customWidth="1"/>
    <col min="29" max="29" width="12.7265625" style="519" customWidth="1"/>
    <col min="30" max="30" width="12.7265625" style="519" hidden="1" customWidth="1"/>
    <col min="31" max="31" width="13.26953125" style="519" bestFit="1" customWidth="1"/>
    <col min="32" max="32" width="12.7265625" style="519" hidden="1" customWidth="1"/>
    <col min="33" max="33" width="12.7265625" style="519" customWidth="1"/>
    <col min="34" max="34" width="12.7265625" style="519" hidden="1" customWidth="1"/>
    <col min="35" max="35" width="12.7265625" style="519" customWidth="1"/>
    <col min="36" max="36" width="12.7265625" style="519" hidden="1" customWidth="1"/>
    <col min="37" max="37" width="18" style="983" bestFit="1" customWidth="1"/>
    <col min="38" max="39" width="12.7265625" style="519" hidden="1" customWidth="1"/>
    <col min="40" max="40" width="12.7265625" style="520" hidden="1" customWidth="1"/>
    <col min="41" max="41" width="12.7265625" style="519" hidden="1" customWidth="1"/>
    <col min="42" max="42" width="13.26953125" style="519" bestFit="1" customWidth="1"/>
    <col min="43" max="43" width="12.7265625" style="519" hidden="1" customWidth="1"/>
    <col min="44" max="44" width="14.453125" style="519" customWidth="1"/>
    <col min="45" max="45" width="12.7265625" style="519" hidden="1" customWidth="1"/>
    <col min="46" max="46" width="13.26953125" style="519" customWidth="1"/>
    <col min="47" max="47" width="12.7265625" style="519" hidden="1" customWidth="1"/>
    <col min="48" max="48" width="11" style="519" customWidth="1"/>
    <col min="49" max="49" width="12.7265625" style="519" hidden="1" customWidth="1"/>
    <col min="50" max="50" width="16.7265625" style="983" bestFit="1" customWidth="1"/>
    <col min="51" max="51" width="16.7265625" style="983" hidden="1" customWidth="1"/>
    <col min="52" max="52" width="12.7265625" style="519" hidden="1" customWidth="1"/>
    <col min="53" max="53" width="12.7265625" style="520" hidden="1" customWidth="1"/>
    <col min="54" max="62" width="12.7265625" style="519" hidden="1" customWidth="1"/>
    <col min="63" max="63" width="12.7265625" style="983" customWidth="1"/>
    <col min="64" max="65" width="12.7265625" style="983" hidden="1" customWidth="1"/>
    <col min="66" max="66" width="18.26953125" style="983" bestFit="1" customWidth="1"/>
    <col min="67" max="67" width="22.26953125" style="519" customWidth="1"/>
    <col min="68" max="68" width="28.7265625" style="519" customWidth="1"/>
    <col min="69" max="69" width="38.7265625" style="903" hidden="1" customWidth="1"/>
    <col min="70" max="70" width="13.7265625" style="903" hidden="1" customWidth="1"/>
    <col min="71" max="71" width="25.54296875" style="903" hidden="1" customWidth="1"/>
    <col min="72" max="72" width="5.7265625" style="1437" hidden="1" customWidth="1"/>
    <col min="73" max="73" width="9.26953125" style="1437"/>
    <col min="74" max="16384" width="9.26953125" style="1371"/>
  </cols>
  <sheetData>
    <row r="1" spans="1:73" s="1370" customFormat="1" ht="52">
      <c r="A1" s="1208" t="s">
        <v>2529</v>
      </c>
      <c r="B1" s="1208" t="s">
        <v>487</v>
      </c>
      <c r="C1" s="1208" t="s">
        <v>488</v>
      </c>
      <c r="D1" s="1208" t="s">
        <v>2528</v>
      </c>
      <c r="E1" s="1208" t="s">
        <v>416</v>
      </c>
      <c r="F1" s="1087" t="s">
        <v>489</v>
      </c>
      <c r="G1" s="1087" t="s">
        <v>490</v>
      </c>
      <c r="H1" s="1087" t="s">
        <v>2613</v>
      </c>
      <c r="I1" s="1087" t="s">
        <v>2614</v>
      </c>
      <c r="J1" s="1087" t="s">
        <v>492</v>
      </c>
      <c r="K1" s="1087" t="s">
        <v>49</v>
      </c>
      <c r="L1" s="1087" t="s">
        <v>491</v>
      </c>
      <c r="M1" s="1088" t="s">
        <v>493</v>
      </c>
      <c r="N1" s="1089" t="s">
        <v>494</v>
      </c>
      <c r="O1" s="1090" t="s">
        <v>495</v>
      </c>
      <c r="P1" s="1089" t="s">
        <v>2589</v>
      </c>
      <c r="Q1" s="1089" t="s">
        <v>496</v>
      </c>
      <c r="R1" s="1089" t="s">
        <v>2590</v>
      </c>
      <c r="S1" s="1089" t="s">
        <v>497</v>
      </c>
      <c r="T1" s="1089" t="s">
        <v>2591</v>
      </c>
      <c r="U1" s="1089" t="s">
        <v>498</v>
      </c>
      <c r="V1" s="1089" t="s">
        <v>2592</v>
      </c>
      <c r="W1" s="1089" t="s">
        <v>499</v>
      </c>
      <c r="X1" s="1209" t="s">
        <v>500</v>
      </c>
      <c r="Y1" s="1210" t="s">
        <v>2593</v>
      </c>
      <c r="Z1" s="1211" t="s">
        <v>501</v>
      </c>
      <c r="AA1" s="1089" t="s">
        <v>502</v>
      </c>
      <c r="AB1" s="1089" t="s">
        <v>503</v>
      </c>
      <c r="AC1" s="1089" t="s">
        <v>2594</v>
      </c>
      <c r="AD1" s="1089" t="s">
        <v>504</v>
      </c>
      <c r="AE1" s="1089" t="s">
        <v>2595</v>
      </c>
      <c r="AF1" s="1089" t="s">
        <v>505</v>
      </c>
      <c r="AG1" s="1089" t="s">
        <v>2596</v>
      </c>
      <c r="AH1" s="1089" t="s">
        <v>506</v>
      </c>
      <c r="AI1" s="1089" t="s">
        <v>2597</v>
      </c>
      <c r="AJ1" s="1089" t="s">
        <v>507</v>
      </c>
      <c r="AK1" s="1209" t="s">
        <v>508</v>
      </c>
      <c r="AL1" s="1210" t="s">
        <v>2598</v>
      </c>
      <c r="AM1" s="1089" t="s">
        <v>509</v>
      </c>
      <c r="AN1" s="1089" t="s">
        <v>510</v>
      </c>
      <c r="AO1" s="1089" t="s">
        <v>511</v>
      </c>
      <c r="AP1" s="1089" t="s">
        <v>2599</v>
      </c>
      <c r="AQ1" s="1089" t="s">
        <v>512</v>
      </c>
      <c r="AR1" s="1089" t="s">
        <v>2600</v>
      </c>
      <c r="AS1" s="1089" t="s">
        <v>513</v>
      </c>
      <c r="AT1" s="1089" t="s">
        <v>2601</v>
      </c>
      <c r="AU1" s="1089" t="s">
        <v>514</v>
      </c>
      <c r="AV1" s="1089" t="s">
        <v>2602</v>
      </c>
      <c r="AW1" s="1090" t="s">
        <v>515</v>
      </c>
      <c r="AX1" s="1091" t="s">
        <v>516</v>
      </c>
      <c r="AY1" s="1210" t="s">
        <v>2603</v>
      </c>
      <c r="AZ1" s="1092" t="s">
        <v>517</v>
      </c>
      <c r="BA1" s="1089" t="s">
        <v>518</v>
      </c>
      <c r="BB1" s="1090" t="s">
        <v>2605</v>
      </c>
      <c r="BC1" s="1090" t="s">
        <v>2606</v>
      </c>
      <c r="BD1" s="1090" t="s">
        <v>2604</v>
      </c>
      <c r="BE1" s="1090" t="s">
        <v>2607</v>
      </c>
      <c r="BF1" s="1090" t="s">
        <v>2608</v>
      </c>
      <c r="BG1" s="1090" t="s">
        <v>2609</v>
      </c>
      <c r="BH1" s="1090" t="s">
        <v>2610</v>
      </c>
      <c r="BI1" s="1090" t="s">
        <v>2611</v>
      </c>
      <c r="BJ1" s="1090" t="s">
        <v>519</v>
      </c>
      <c r="BK1" s="1091" t="s">
        <v>520</v>
      </c>
      <c r="BL1" s="1251" t="s">
        <v>2612</v>
      </c>
      <c r="BM1" s="1090" t="s">
        <v>2535</v>
      </c>
      <c r="BN1" s="1091" t="s">
        <v>2536</v>
      </c>
      <c r="BO1" s="1093" t="s">
        <v>521</v>
      </c>
      <c r="BP1" s="1093" t="s">
        <v>522</v>
      </c>
      <c r="BQ1" s="1369" t="s">
        <v>2549</v>
      </c>
      <c r="BR1" s="1369" t="s">
        <v>686</v>
      </c>
      <c r="BS1" s="1369" t="s">
        <v>2644</v>
      </c>
      <c r="BT1" s="1438" t="s">
        <v>489</v>
      </c>
      <c r="BU1" s="1435"/>
    </row>
    <row r="2" spans="1:73" s="512" customFormat="1" ht="13" hidden="1">
      <c r="A2" s="1204">
        <v>1</v>
      </c>
      <c r="B2" s="1205" t="s">
        <v>523</v>
      </c>
      <c r="C2" s="1205" t="s">
        <v>524</v>
      </c>
      <c r="D2" s="1206" t="s">
        <v>2559</v>
      </c>
      <c r="E2" s="1386" t="s">
        <v>525</v>
      </c>
      <c r="F2" s="1107"/>
      <c r="G2" s="522"/>
      <c r="H2" s="522"/>
      <c r="I2" s="522"/>
      <c r="J2" s="523"/>
      <c r="K2" s="523"/>
      <c r="L2" s="523"/>
      <c r="M2" s="524"/>
      <c r="N2" s="525"/>
      <c r="O2" s="526" t="s">
        <v>1237</v>
      </c>
      <c r="P2" s="525">
        <f>('Malaria-Key Info'!$G$60*'HPM costs'!F167)/'HPM costs'!$E$167</f>
        <v>0</v>
      </c>
      <c r="Q2" s="525" t="s">
        <v>1237</v>
      </c>
      <c r="R2" s="525">
        <f>('Malaria-Key Info'!$G$60*'HPM costs'!G167)/'HPM costs'!$E$167</f>
        <v>0</v>
      </c>
      <c r="S2" s="525" t="s">
        <v>1237</v>
      </c>
      <c r="T2" s="525">
        <f>('Malaria-Key Info'!$G$60*'HPM costs'!H167)/'HPM costs'!$E$167</f>
        <v>0</v>
      </c>
      <c r="U2" s="525" t="s">
        <v>1237</v>
      </c>
      <c r="V2" s="525">
        <f>('Malaria-Key Info'!$G$60*'HPM costs'!I167)/'HPM costs'!$E$167</f>
        <v>0</v>
      </c>
      <c r="W2" s="525"/>
      <c r="X2" s="1154">
        <f t="shared" ref="X2:X65" si="0">P2+R2+T2+V2</f>
        <v>0</v>
      </c>
      <c r="Y2" s="1155"/>
      <c r="Z2" s="1156"/>
      <c r="AA2" s="529"/>
      <c r="AB2" s="525"/>
      <c r="AC2" s="525">
        <f>('Malaria-Key Info'!$G$60*'HPM costs'!K167)/'HPM costs'!$E$167</f>
        <v>0</v>
      </c>
      <c r="AD2" s="525"/>
      <c r="AE2" s="525">
        <f>('Malaria-Key Info'!$G$60*'HPM costs'!L167)/'HPM costs'!$E$167</f>
        <v>0</v>
      </c>
      <c r="AF2" s="525"/>
      <c r="AG2" s="525">
        <f>('Malaria-Key Info'!$G$60*'HPM costs'!M167)/'HPM costs'!$E$167</f>
        <v>0</v>
      </c>
      <c r="AH2" s="525"/>
      <c r="AI2" s="525">
        <f>('Malaria-Key Info'!$G$60*'HPM costs'!N167)/'HPM costs'!$E$167</f>
        <v>0</v>
      </c>
      <c r="AJ2" s="525"/>
      <c r="AK2" s="1154">
        <f t="shared" ref="AK2:AK65" si="1">AI2+AG2+AE2+AC2</f>
        <v>0</v>
      </c>
      <c r="AL2" s="1155"/>
      <c r="AM2" s="1156"/>
      <c r="AN2" s="529"/>
      <c r="AO2" s="525"/>
      <c r="AP2" s="525">
        <f>('Malaria-Key Info'!$G$60*'HPM costs'!P167)/'HPM costs'!$E$167</f>
        <v>0</v>
      </c>
      <c r="AQ2" s="525"/>
      <c r="AR2" s="525">
        <f>('Malaria-Key Info'!$G$60*'HPM costs'!Q167)/'HPM costs'!$E$167</f>
        <v>0</v>
      </c>
      <c r="AS2" s="525"/>
      <c r="AT2" s="525">
        <f>('Malaria-Key Info'!$G$60*'HPM costs'!R167)/'HPM costs'!$E$167</f>
        <v>0</v>
      </c>
      <c r="AU2" s="525"/>
      <c r="AV2" s="525">
        <f>('Malaria-Key Info'!$G$60*'HPM costs'!S167)/'HPM costs'!$E$167</f>
        <v>0</v>
      </c>
      <c r="AW2" s="525"/>
      <c r="AX2" s="1154">
        <f t="shared" ref="AX2:AX65" si="2">AV2+AT2+AR2+AP2</f>
        <v>0</v>
      </c>
      <c r="AY2" s="1154"/>
      <c r="AZ2" s="528"/>
      <c r="BA2" s="529"/>
      <c r="BB2" s="527"/>
      <c r="BC2" s="527">
        <v>0</v>
      </c>
      <c r="BD2" s="527">
        <v>0</v>
      </c>
      <c r="BE2" s="527">
        <v>0</v>
      </c>
      <c r="BF2" s="527">
        <v>0</v>
      </c>
      <c r="BG2" s="527">
        <v>0</v>
      </c>
      <c r="BH2" s="527">
        <v>0</v>
      </c>
      <c r="BI2" s="527">
        <v>0</v>
      </c>
      <c r="BJ2" s="527">
        <v>0</v>
      </c>
      <c r="BK2" s="1154">
        <f t="shared" ref="BK2:BK65" si="3">BI2+BG2+BE2+BC2</f>
        <v>0</v>
      </c>
      <c r="BL2" s="1154"/>
      <c r="BM2" s="1154">
        <f t="shared" ref="BM2:BM65" si="4">BJ2+AW2+AJ2+W2</f>
        <v>0</v>
      </c>
      <c r="BN2" s="1154">
        <f t="shared" ref="BN2:BN65" si="5">BK2+AX2+AK2+X2</f>
        <v>0</v>
      </c>
      <c r="BO2" s="527"/>
      <c r="BP2" s="527"/>
      <c r="BQ2" s="1157">
        <v>0</v>
      </c>
      <c r="BR2" s="1157" t="s">
        <v>19</v>
      </c>
      <c r="BS2" s="1157" t="s">
        <v>2559</v>
      </c>
      <c r="BT2" s="1376" t="s">
        <v>526</v>
      </c>
    </row>
    <row r="3" spans="1:73" s="512" customFormat="1" ht="13" hidden="1">
      <c r="A3" s="1204">
        <v>2</v>
      </c>
      <c r="B3" s="1205" t="s">
        <v>523</v>
      </c>
      <c r="C3" s="1205" t="s">
        <v>524</v>
      </c>
      <c r="D3" s="1206" t="s">
        <v>527</v>
      </c>
      <c r="E3" s="1386" t="s">
        <v>528</v>
      </c>
      <c r="F3" s="521"/>
      <c r="G3" s="522"/>
      <c r="H3" s="522"/>
      <c r="I3" s="522"/>
      <c r="J3" s="523"/>
      <c r="K3" s="523"/>
      <c r="L3" s="523"/>
      <c r="M3" s="524"/>
      <c r="N3" s="525"/>
      <c r="O3" s="526" t="s">
        <v>1237</v>
      </c>
      <c r="P3" s="525">
        <f>'Malaria-Key Info'!$G$60*'HPM costs'!F81</f>
        <v>0</v>
      </c>
      <c r="Q3" s="525" t="s">
        <v>1237</v>
      </c>
      <c r="R3" s="525">
        <f>'Malaria-Key Info'!$G$60*'HPM costs'!G81</f>
        <v>0</v>
      </c>
      <c r="S3" s="525" t="s">
        <v>1237</v>
      </c>
      <c r="T3" s="525">
        <f>'Malaria-Key Info'!$G$60*'HPM costs'!H81</f>
        <v>0</v>
      </c>
      <c r="U3" s="525" t="s">
        <v>1237</v>
      </c>
      <c r="V3" s="525">
        <f>'Malaria-Key Info'!$G$60*'HPM costs'!I81</f>
        <v>0</v>
      </c>
      <c r="W3" s="525"/>
      <c r="X3" s="1154">
        <f t="shared" si="0"/>
        <v>0</v>
      </c>
      <c r="Y3" s="1155"/>
      <c r="Z3" s="1156"/>
      <c r="AA3" s="529"/>
      <c r="AB3" s="525"/>
      <c r="AC3" s="525">
        <f>'Malaria-Key Info'!$G$60*'HPM costs'!K81</f>
        <v>0</v>
      </c>
      <c r="AD3" s="525"/>
      <c r="AE3" s="525">
        <f>'Malaria-Key Info'!$G$60*'HPM costs'!L81</f>
        <v>0</v>
      </c>
      <c r="AF3" s="525"/>
      <c r="AG3" s="525">
        <f>'Malaria-Key Info'!$G$60*'HPM costs'!M81</f>
        <v>0</v>
      </c>
      <c r="AH3" s="525"/>
      <c r="AI3" s="525">
        <f>'Malaria-Key Info'!$G$60*'HPM costs'!N81</f>
        <v>0</v>
      </c>
      <c r="AJ3" s="525"/>
      <c r="AK3" s="1154">
        <f t="shared" si="1"/>
        <v>0</v>
      </c>
      <c r="AL3" s="1155"/>
      <c r="AM3" s="1156"/>
      <c r="AN3" s="529"/>
      <c r="AO3" s="525"/>
      <c r="AP3" s="525">
        <f>'Malaria-Key Info'!$G$60*'HPM costs'!P81</f>
        <v>0</v>
      </c>
      <c r="AQ3" s="525"/>
      <c r="AR3" s="525">
        <f>'Malaria-Key Info'!$G$60*'HPM costs'!Q81</f>
        <v>0</v>
      </c>
      <c r="AS3" s="525"/>
      <c r="AT3" s="525">
        <f>'Malaria-Key Info'!$G$60*'HPM costs'!R81</f>
        <v>0</v>
      </c>
      <c r="AU3" s="525"/>
      <c r="AV3" s="525">
        <f>'Malaria-Key Info'!$G$60*'HPM costs'!S81</f>
        <v>0</v>
      </c>
      <c r="AW3" s="525"/>
      <c r="AX3" s="1154">
        <f t="shared" si="2"/>
        <v>0</v>
      </c>
      <c r="AY3" s="1154"/>
      <c r="AZ3" s="528"/>
      <c r="BA3" s="529"/>
      <c r="BB3" s="527"/>
      <c r="BC3" s="527">
        <v>0</v>
      </c>
      <c r="BD3" s="527">
        <v>0</v>
      </c>
      <c r="BE3" s="527">
        <v>0</v>
      </c>
      <c r="BF3" s="527">
        <v>0</v>
      </c>
      <c r="BG3" s="527">
        <v>0</v>
      </c>
      <c r="BH3" s="527">
        <v>0</v>
      </c>
      <c r="BI3" s="527">
        <v>0</v>
      </c>
      <c r="BJ3" s="527">
        <v>0</v>
      </c>
      <c r="BK3" s="1154">
        <f t="shared" si="3"/>
        <v>0</v>
      </c>
      <c r="BL3" s="1154"/>
      <c r="BM3" s="1154">
        <f t="shared" si="4"/>
        <v>0</v>
      </c>
      <c r="BN3" s="1154">
        <f t="shared" si="5"/>
        <v>0</v>
      </c>
      <c r="BO3" s="527"/>
      <c r="BP3" s="527"/>
      <c r="BQ3" s="1157">
        <v>0</v>
      </c>
      <c r="BR3" s="1157" t="s">
        <v>19</v>
      </c>
      <c r="BS3" s="1157" t="s">
        <v>527</v>
      </c>
      <c r="BT3" s="1376" t="s">
        <v>529</v>
      </c>
    </row>
    <row r="4" spans="1:73" s="512" customFormat="1" ht="13" hidden="1">
      <c r="A4" s="1204">
        <v>3</v>
      </c>
      <c r="B4" s="1205" t="s">
        <v>523</v>
      </c>
      <c r="C4" s="1205" t="s">
        <v>524</v>
      </c>
      <c r="D4" s="1206" t="s">
        <v>527</v>
      </c>
      <c r="E4" s="1386" t="s">
        <v>530</v>
      </c>
      <c r="F4" s="521"/>
      <c r="G4" s="522"/>
      <c r="H4" s="522"/>
      <c r="I4" s="522"/>
      <c r="J4" s="523"/>
      <c r="K4" s="523"/>
      <c r="L4" s="523"/>
      <c r="M4" s="524"/>
      <c r="N4" s="525"/>
      <c r="O4" s="526" t="s">
        <v>1237</v>
      </c>
      <c r="P4" s="525">
        <f>'Malaria-Key Info'!$G$60*'HPM costs'!F167</f>
        <v>0</v>
      </c>
      <c r="Q4" s="525" t="s">
        <v>1237</v>
      </c>
      <c r="R4" s="525">
        <f>'Malaria-Key Info'!$G$60*'HPM costs'!G167</f>
        <v>0</v>
      </c>
      <c r="S4" s="525" t="s">
        <v>1237</v>
      </c>
      <c r="T4" s="525">
        <f>'Malaria-Key Info'!$G$60*'HPM costs'!H167</f>
        <v>0</v>
      </c>
      <c r="U4" s="525" t="s">
        <v>1237</v>
      </c>
      <c r="V4" s="525">
        <f>'Malaria-Key Info'!$G$60*'HPM costs'!I167</f>
        <v>0</v>
      </c>
      <c r="W4" s="525"/>
      <c r="X4" s="1154">
        <f t="shared" si="0"/>
        <v>0</v>
      </c>
      <c r="Y4" s="1155"/>
      <c r="Z4" s="1156"/>
      <c r="AA4" s="529"/>
      <c r="AB4" s="525"/>
      <c r="AC4" s="525">
        <f>'Malaria-Key Info'!$G$60*'HPM costs'!K167</f>
        <v>0</v>
      </c>
      <c r="AD4" s="525"/>
      <c r="AE4" s="525">
        <f>'Malaria-Key Info'!$G$60*'HPM costs'!L167</f>
        <v>0</v>
      </c>
      <c r="AF4" s="525"/>
      <c r="AG4" s="525">
        <f>'Malaria-Key Info'!$G$60*'HPM costs'!M167</f>
        <v>0</v>
      </c>
      <c r="AH4" s="525"/>
      <c r="AI4" s="525">
        <f>'Malaria-Key Info'!$G$60*'HPM costs'!N167</f>
        <v>0</v>
      </c>
      <c r="AJ4" s="525"/>
      <c r="AK4" s="1154">
        <f t="shared" si="1"/>
        <v>0</v>
      </c>
      <c r="AL4" s="1155"/>
      <c r="AM4" s="1156"/>
      <c r="AN4" s="529"/>
      <c r="AO4" s="525"/>
      <c r="AP4" s="525">
        <f>'Malaria-Key Info'!$G$60*'HPM costs'!P167</f>
        <v>0</v>
      </c>
      <c r="AQ4" s="525"/>
      <c r="AR4" s="525">
        <f>'Malaria-Key Info'!$G$60*'HPM costs'!Q167</f>
        <v>0</v>
      </c>
      <c r="AS4" s="525"/>
      <c r="AT4" s="525">
        <f>'Malaria-Key Info'!$G$60*'HPM costs'!R167</f>
        <v>0</v>
      </c>
      <c r="AU4" s="525"/>
      <c r="AV4" s="525">
        <f>'Malaria-Key Info'!$G$60*'HPM costs'!S167</f>
        <v>0</v>
      </c>
      <c r="AW4" s="525"/>
      <c r="AX4" s="1154">
        <f t="shared" si="2"/>
        <v>0</v>
      </c>
      <c r="AY4" s="1154"/>
      <c r="AZ4" s="528"/>
      <c r="BA4" s="529"/>
      <c r="BB4" s="527"/>
      <c r="BC4" s="527">
        <v>0</v>
      </c>
      <c r="BD4" s="527">
        <v>0</v>
      </c>
      <c r="BE4" s="527">
        <v>0</v>
      </c>
      <c r="BF4" s="527">
        <v>0</v>
      </c>
      <c r="BG4" s="527">
        <v>0</v>
      </c>
      <c r="BH4" s="527">
        <v>0</v>
      </c>
      <c r="BI4" s="527">
        <v>0</v>
      </c>
      <c r="BJ4" s="527">
        <v>0</v>
      </c>
      <c r="BK4" s="1154">
        <f t="shared" si="3"/>
        <v>0</v>
      </c>
      <c r="BL4" s="1154"/>
      <c r="BM4" s="1154">
        <f t="shared" si="4"/>
        <v>0</v>
      </c>
      <c r="BN4" s="1154">
        <f t="shared" si="5"/>
        <v>0</v>
      </c>
      <c r="BO4" s="527"/>
      <c r="BP4" s="527"/>
      <c r="BQ4" s="1157">
        <v>0</v>
      </c>
      <c r="BR4" s="1157" t="s">
        <v>19</v>
      </c>
      <c r="BS4" s="1157" t="s">
        <v>527</v>
      </c>
      <c r="BT4" s="1376" t="s">
        <v>531</v>
      </c>
    </row>
    <row r="5" spans="1:73" s="512" customFormat="1" ht="13" hidden="1">
      <c r="A5" s="1204">
        <v>4</v>
      </c>
      <c r="B5" s="1205" t="s">
        <v>523</v>
      </c>
      <c r="C5" s="1205" t="s">
        <v>524</v>
      </c>
      <c r="D5" s="1206" t="s">
        <v>527</v>
      </c>
      <c r="E5" s="1386" t="s">
        <v>532</v>
      </c>
      <c r="F5" s="521"/>
      <c r="G5" s="522"/>
      <c r="H5" s="522"/>
      <c r="I5" s="522"/>
      <c r="J5" s="523"/>
      <c r="K5" s="523"/>
      <c r="L5" s="523"/>
      <c r="M5" s="524"/>
      <c r="N5" s="525"/>
      <c r="O5" s="526" t="s">
        <v>1237</v>
      </c>
      <c r="P5" s="525">
        <f>'Malaria-Key Info'!$G$60*'HPM costs'!F427</f>
        <v>0</v>
      </c>
      <c r="Q5" s="525" t="s">
        <v>1237</v>
      </c>
      <c r="R5" s="525">
        <f>'Malaria-Key Info'!$G$60*'HPM costs'!G427</f>
        <v>0</v>
      </c>
      <c r="S5" s="525" t="s">
        <v>1237</v>
      </c>
      <c r="T5" s="525">
        <f>'Malaria-Key Info'!$G$60*'HPM costs'!H427</f>
        <v>0</v>
      </c>
      <c r="U5" s="525" t="s">
        <v>1237</v>
      </c>
      <c r="V5" s="525">
        <f>'Malaria-Key Info'!$G$60*'HPM costs'!I427</f>
        <v>0</v>
      </c>
      <c r="W5" s="525"/>
      <c r="X5" s="1154">
        <f t="shared" si="0"/>
        <v>0</v>
      </c>
      <c r="Y5" s="1155"/>
      <c r="Z5" s="1156"/>
      <c r="AA5" s="529"/>
      <c r="AB5" s="525"/>
      <c r="AC5" s="525">
        <f>'Malaria-Key Info'!$G$60*'HPM costs'!K427</f>
        <v>0</v>
      </c>
      <c r="AD5" s="525"/>
      <c r="AE5" s="525">
        <f>'Malaria-Key Info'!$G$60*'HPM costs'!L427</f>
        <v>0</v>
      </c>
      <c r="AF5" s="525"/>
      <c r="AG5" s="525">
        <f>'Malaria-Key Info'!$G$60*'HPM costs'!M427</f>
        <v>0</v>
      </c>
      <c r="AH5" s="525"/>
      <c r="AI5" s="525">
        <f>'Malaria-Key Info'!$G$60*'HPM costs'!N427</f>
        <v>0</v>
      </c>
      <c r="AJ5" s="525"/>
      <c r="AK5" s="1154">
        <f t="shared" si="1"/>
        <v>0</v>
      </c>
      <c r="AL5" s="1155"/>
      <c r="AM5" s="1156"/>
      <c r="AN5" s="529"/>
      <c r="AO5" s="525"/>
      <c r="AP5" s="525">
        <f>'Malaria-Key Info'!$G$60*'HPM costs'!P427</f>
        <v>0</v>
      </c>
      <c r="AQ5" s="525"/>
      <c r="AR5" s="525">
        <f>'Malaria-Key Info'!$G$60*'HPM costs'!Q427</f>
        <v>0</v>
      </c>
      <c r="AS5" s="525"/>
      <c r="AT5" s="525">
        <f>'Malaria-Key Info'!$G$60*'HPM costs'!R427</f>
        <v>0</v>
      </c>
      <c r="AU5" s="525"/>
      <c r="AV5" s="525">
        <f>'Malaria-Key Info'!$G$60*'HPM costs'!S427</f>
        <v>0</v>
      </c>
      <c r="AW5" s="525"/>
      <c r="AX5" s="1154">
        <f t="shared" si="2"/>
        <v>0</v>
      </c>
      <c r="AY5" s="1154"/>
      <c r="AZ5" s="528"/>
      <c r="BA5" s="529"/>
      <c r="BB5" s="527"/>
      <c r="BC5" s="527">
        <v>0</v>
      </c>
      <c r="BD5" s="527">
        <v>0</v>
      </c>
      <c r="BE5" s="527">
        <v>0</v>
      </c>
      <c r="BF5" s="527">
        <v>0</v>
      </c>
      <c r="BG5" s="527">
        <v>0</v>
      </c>
      <c r="BH5" s="527">
        <v>0</v>
      </c>
      <c r="BI5" s="527">
        <v>0</v>
      </c>
      <c r="BJ5" s="527">
        <v>0</v>
      </c>
      <c r="BK5" s="1154">
        <f t="shared" si="3"/>
        <v>0</v>
      </c>
      <c r="BL5" s="1154"/>
      <c r="BM5" s="1154">
        <f t="shared" si="4"/>
        <v>0</v>
      </c>
      <c r="BN5" s="1154">
        <f t="shared" si="5"/>
        <v>0</v>
      </c>
      <c r="BO5" s="527"/>
      <c r="BP5" s="527"/>
      <c r="BQ5" s="1157">
        <v>0</v>
      </c>
      <c r="BR5" s="1157" t="s">
        <v>19</v>
      </c>
      <c r="BS5" s="1157" t="s">
        <v>527</v>
      </c>
      <c r="BT5" s="1376" t="s">
        <v>533</v>
      </c>
    </row>
    <row r="6" spans="1:73" s="512" customFormat="1" ht="13" hidden="1">
      <c r="A6" s="1204">
        <v>5</v>
      </c>
      <c r="B6" s="1205" t="s">
        <v>523</v>
      </c>
      <c r="C6" s="1205" t="s">
        <v>524</v>
      </c>
      <c r="D6" s="1206" t="s">
        <v>527</v>
      </c>
      <c r="E6" s="1386" t="s">
        <v>534</v>
      </c>
      <c r="F6" s="521"/>
      <c r="G6" s="522"/>
      <c r="H6" s="522"/>
      <c r="I6" s="522"/>
      <c r="J6" s="523"/>
      <c r="K6" s="523"/>
      <c r="L6" s="523"/>
      <c r="M6" s="524"/>
      <c r="N6" s="525"/>
      <c r="O6" s="526" t="s">
        <v>1237</v>
      </c>
      <c r="P6" s="525">
        <f>'Malaria-Key Info'!$G$60*'HPM costs'!F513</f>
        <v>0</v>
      </c>
      <c r="Q6" s="525" t="s">
        <v>1237</v>
      </c>
      <c r="R6" s="525">
        <f>'Malaria-Key Info'!$G$60*'HPM costs'!G513</f>
        <v>0</v>
      </c>
      <c r="S6" s="525" t="s">
        <v>1237</v>
      </c>
      <c r="T6" s="525">
        <f>'Malaria-Key Info'!$G$60*'HPM costs'!H513</f>
        <v>0</v>
      </c>
      <c r="U6" s="525" t="s">
        <v>1237</v>
      </c>
      <c r="V6" s="525">
        <f>'Malaria-Key Info'!$G$60*'HPM costs'!I513</f>
        <v>0</v>
      </c>
      <c r="W6" s="525"/>
      <c r="X6" s="1154">
        <f t="shared" si="0"/>
        <v>0</v>
      </c>
      <c r="Y6" s="1155"/>
      <c r="Z6" s="1156"/>
      <c r="AA6" s="529"/>
      <c r="AB6" s="525"/>
      <c r="AC6" s="525">
        <f>'Malaria-Key Info'!$G$60*'HPM costs'!K513</f>
        <v>0</v>
      </c>
      <c r="AD6" s="525"/>
      <c r="AE6" s="525">
        <f>'Malaria-Key Info'!$G$60*'HPM costs'!L513</f>
        <v>0</v>
      </c>
      <c r="AF6" s="525"/>
      <c r="AG6" s="525">
        <f>'Malaria-Key Info'!$G$60*'HPM costs'!M513</f>
        <v>0</v>
      </c>
      <c r="AH6" s="525"/>
      <c r="AI6" s="525">
        <f>'Malaria-Key Info'!$G$60*'HPM costs'!N513</f>
        <v>0</v>
      </c>
      <c r="AJ6" s="525"/>
      <c r="AK6" s="1154">
        <f t="shared" si="1"/>
        <v>0</v>
      </c>
      <c r="AL6" s="1155"/>
      <c r="AM6" s="1156"/>
      <c r="AN6" s="529"/>
      <c r="AO6" s="525"/>
      <c r="AP6" s="525">
        <f>'Malaria-Key Info'!$G$60*'HPM costs'!P513</f>
        <v>0</v>
      </c>
      <c r="AQ6" s="525"/>
      <c r="AR6" s="525">
        <f>'Malaria-Key Info'!$G$60*'HPM costs'!Q513</f>
        <v>0</v>
      </c>
      <c r="AS6" s="525"/>
      <c r="AT6" s="525">
        <f>'Malaria-Key Info'!$G$60*'HPM costs'!R513</f>
        <v>0</v>
      </c>
      <c r="AU6" s="525"/>
      <c r="AV6" s="525">
        <f>'Malaria-Key Info'!$G$60*'HPM costs'!S513</f>
        <v>0</v>
      </c>
      <c r="AW6" s="525"/>
      <c r="AX6" s="1154">
        <f t="shared" si="2"/>
        <v>0</v>
      </c>
      <c r="AY6" s="1154"/>
      <c r="AZ6" s="528"/>
      <c r="BA6" s="529"/>
      <c r="BB6" s="527"/>
      <c r="BC6" s="527">
        <v>0</v>
      </c>
      <c r="BD6" s="527">
        <v>0</v>
      </c>
      <c r="BE6" s="527">
        <v>0</v>
      </c>
      <c r="BF6" s="527">
        <v>0</v>
      </c>
      <c r="BG6" s="527">
        <v>0</v>
      </c>
      <c r="BH6" s="527">
        <v>0</v>
      </c>
      <c r="BI6" s="527">
        <v>0</v>
      </c>
      <c r="BJ6" s="527">
        <v>0</v>
      </c>
      <c r="BK6" s="1154">
        <f t="shared" si="3"/>
        <v>0</v>
      </c>
      <c r="BL6" s="1154"/>
      <c r="BM6" s="1154">
        <f t="shared" si="4"/>
        <v>0</v>
      </c>
      <c r="BN6" s="1154">
        <f t="shared" si="5"/>
        <v>0</v>
      </c>
      <c r="BO6" s="527"/>
      <c r="BP6" s="527"/>
      <c r="BQ6" s="1157">
        <v>0</v>
      </c>
      <c r="BR6" s="1157" t="s">
        <v>19</v>
      </c>
      <c r="BS6" s="1157" t="s">
        <v>527</v>
      </c>
      <c r="BT6" s="1376" t="s">
        <v>535</v>
      </c>
    </row>
    <row r="7" spans="1:73" s="512" customFormat="1" ht="13" hidden="1">
      <c r="A7" s="1204">
        <v>6</v>
      </c>
      <c r="B7" s="1205" t="s">
        <v>523</v>
      </c>
      <c r="C7" s="1205" t="s">
        <v>524</v>
      </c>
      <c r="D7" s="1206" t="s">
        <v>527</v>
      </c>
      <c r="E7" s="1386" t="s">
        <v>536</v>
      </c>
      <c r="F7" s="521"/>
      <c r="G7" s="522"/>
      <c r="H7" s="522"/>
      <c r="I7" s="522"/>
      <c r="J7" s="523"/>
      <c r="K7" s="523"/>
      <c r="L7" s="523"/>
      <c r="M7" s="524"/>
      <c r="N7" s="525"/>
      <c r="O7" s="526" t="s">
        <v>1237</v>
      </c>
      <c r="P7" s="525">
        <f>'Malaria-Key Info'!$G$60*('HPM costs'!F253+'HPM costs'!F599)</f>
        <v>0</v>
      </c>
      <c r="Q7" s="525" t="s">
        <v>1237</v>
      </c>
      <c r="R7" s="525">
        <f>'Malaria-Key Info'!$G$60*('HPM costs'!G253+'HPM costs'!G599)</f>
        <v>0</v>
      </c>
      <c r="S7" s="525" t="s">
        <v>1237</v>
      </c>
      <c r="T7" s="525">
        <f>'Malaria-Key Info'!$G$60*('HPM costs'!H253+'HPM costs'!H599)</f>
        <v>0</v>
      </c>
      <c r="U7" s="525" t="s">
        <v>1237</v>
      </c>
      <c r="V7" s="525">
        <f>'Malaria-Key Info'!$G$60*('HPM costs'!I253+'HPM costs'!I599)</f>
        <v>0</v>
      </c>
      <c r="W7" s="525"/>
      <c r="X7" s="1154">
        <f t="shared" si="0"/>
        <v>0</v>
      </c>
      <c r="Y7" s="1155"/>
      <c r="Z7" s="1156"/>
      <c r="AA7" s="529"/>
      <c r="AB7" s="525"/>
      <c r="AC7" s="525">
        <f>'Malaria-Key Info'!$G$60*('HPM costs'!K253+'HPM costs'!K599)</f>
        <v>0</v>
      </c>
      <c r="AD7" s="525"/>
      <c r="AE7" s="525">
        <f>'Malaria-Key Info'!$G$60*('HPM costs'!L253+'HPM costs'!L599)</f>
        <v>0</v>
      </c>
      <c r="AF7" s="525"/>
      <c r="AG7" s="525">
        <f>'Malaria-Key Info'!$G$60*('HPM costs'!M253+'HPM costs'!M599)</f>
        <v>0</v>
      </c>
      <c r="AH7" s="525"/>
      <c r="AI7" s="525">
        <f>'Malaria-Key Info'!$G$60*('HPM costs'!N253+'HPM costs'!N599)</f>
        <v>0</v>
      </c>
      <c r="AJ7" s="525"/>
      <c r="AK7" s="1154">
        <f t="shared" si="1"/>
        <v>0</v>
      </c>
      <c r="AL7" s="1155"/>
      <c r="AM7" s="1156"/>
      <c r="AN7" s="529"/>
      <c r="AO7" s="525"/>
      <c r="AP7" s="525">
        <f>'Malaria-Key Info'!$G$60*('HPM costs'!P253+'HPM costs'!P599)</f>
        <v>0</v>
      </c>
      <c r="AQ7" s="525"/>
      <c r="AR7" s="525">
        <f>'Malaria-Key Info'!$G$60*('HPM costs'!Q253+'HPM costs'!Q599)</f>
        <v>0</v>
      </c>
      <c r="AS7" s="525"/>
      <c r="AT7" s="525">
        <f>'Malaria-Key Info'!$G$60*('HPM costs'!R253+'HPM costs'!R599)</f>
        <v>0</v>
      </c>
      <c r="AU7" s="525"/>
      <c r="AV7" s="525">
        <f>'Malaria-Key Info'!$G$60*('HPM costs'!S253+'HPM costs'!S599)</f>
        <v>0</v>
      </c>
      <c r="AW7" s="525"/>
      <c r="AX7" s="1154">
        <f t="shared" si="2"/>
        <v>0</v>
      </c>
      <c r="AY7" s="1154"/>
      <c r="AZ7" s="528"/>
      <c r="BA7" s="529"/>
      <c r="BB7" s="527"/>
      <c r="BC7" s="527">
        <v>0</v>
      </c>
      <c r="BD7" s="527">
        <v>0</v>
      </c>
      <c r="BE7" s="527">
        <v>0</v>
      </c>
      <c r="BF7" s="527">
        <v>0</v>
      </c>
      <c r="BG7" s="527">
        <v>0</v>
      </c>
      <c r="BH7" s="527">
        <v>0</v>
      </c>
      <c r="BI7" s="527">
        <v>0</v>
      </c>
      <c r="BJ7" s="527">
        <v>0</v>
      </c>
      <c r="BK7" s="1154">
        <f t="shared" si="3"/>
        <v>0</v>
      </c>
      <c r="BL7" s="1154"/>
      <c r="BM7" s="1154">
        <f t="shared" si="4"/>
        <v>0</v>
      </c>
      <c r="BN7" s="1154">
        <f t="shared" si="5"/>
        <v>0</v>
      </c>
      <c r="BO7" s="527"/>
      <c r="BP7" s="527"/>
      <c r="BQ7" s="1157">
        <v>0</v>
      </c>
      <c r="BR7" s="1157" t="s">
        <v>19</v>
      </c>
      <c r="BS7" s="1157" t="s">
        <v>527</v>
      </c>
      <c r="BT7" s="1376" t="s">
        <v>537</v>
      </c>
    </row>
    <row r="8" spans="1:73" s="512" customFormat="1" ht="13" hidden="1">
      <c r="A8" s="1204">
        <v>7</v>
      </c>
      <c r="B8" s="1205" t="s">
        <v>523</v>
      </c>
      <c r="C8" s="1205" t="s">
        <v>524</v>
      </c>
      <c r="D8" s="1206" t="s">
        <v>527</v>
      </c>
      <c r="E8" s="1386" t="s">
        <v>538</v>
      </c>
      <c r="F8" s="521"/>
      <c r="G8" s="522"/>
      <c r="H8" s="522"/>
      <c r="I8" s="522"/>
      <c r="J8" s="523"/>
      <c r="K8" s="523"/>
      <c r="L8" s="523"/>
      <c r="M8" s="524"/>
      <c r="N8" s="525"/>
      <c r="O8" s="526" t="s">
        <v>1237</v>
      </c>
      <c r="P8" s="525">
        <f>'Malaria-Key Info'!$G$60*'HPM costs'!F339</f>
        <v>0</v>
      </c>
      <c r="Q8" s="525" t="s">
        <v>1237</v>
      </c>
      <c r="R8" s="525">
        <f>'Malaria-Key Info'!$G$60*'HPM costs'!G339</f>
        <v>0</v>
      </c>
      <c r="S8" s="525" t="s">
        <v>1237</v>
      </c>
      <c r="T8" s="525">
        <f>'Malaria-Key Info'!$G$60*'HPM costs'!H339</f>
        <v>0</v>
      </c>
      <c r="U8" s="525" t="s">
        <v>1237</v>
      </c>
      <c r="V8" s="525">
        <f>'Malaria-Key Info'!$G$60*'HPM costs'!I339</f>
        <v>0</v>
      </c>
      <c r="W8" s="525"/>
      <c r="X8" s="1154">
        <f t="shared" si="0"/>
        <v>0</v>
      </c>
      <c r="Y8" s="1155"/>
      <c r="Z8" s="1156"/>
      <c r="AA8" s="529"/>
      <c r="AB8" s="525"/>
      <c r="AC8" s="525">
        <f>'Malaria-Key Info'!$G$60*'HPM costs'!K339</f>
        <v>0</v>
      </c>
      <c r="AD8" s="525"/>
      <c r="AE8" s="525">
        <f>'Malaria-Key Info'!$G$60*'HPM costs'!L339</f>
        <v>0</v>
      </c>
      <c r="AF8" s="525"/>
      <c r="AG8" s="525">
        <f>'Malaria-Key Info'!$G$60*'HPM costs'!M339</f>
        <v>0</v>
      </c>
      <c r="AH8" s="525"/>
      <c r="AI8" s="525">
        <f>'Malaria-Key Info'!$G$60*'HPM costs'!N339</f>
        <v>0</v>
      </c>
      <c r="AJ8" s="525"/>
      <c r="AK8" s="1154">
        <f t="shared" si="1"/>
        <v>0</v>
      </c>
      <c r="AL8" s="1155"/>
      <c r="AM8" s="1156"/>
      <c r="AN8" s="529"/>
      <c r="AO8" s="525"/>
      <c r="AP8" s="525">
        <f>'Malaria-Key Info'!$G$60*'HPM costs'!P339</f>
        <v>0</v>
      </c>
      <c r="AQ8" s="525"/>
      <c r="AR8" s="525">
        <f>'Malaria-Key Info'!$G$60*'HPM costs'!Q339</f>
        <v>0</v>
      </c>
      <c r="AS8" s="525"/>
      <c r="AT8" s="525">
        <f>'Malaria-Key Info'!$G$60*'HPM costs'!R339</f>
        <v>0</v>
      </c>
      <c r="AU8" s="525"/>
      <c r="AV8" s="525">
        <f>'Malaria-Key Info'!$G$60*'HPM costs'!S339</f>
        <v>0</v>
      </c>
      <c r="AW8" s="525"/>
      <c r="AX8" s="1154">
        <f t="shared" si="2"/>
        <v>0</v>
      </c>
      <c r="AY8" s="1154"/>
      <c r="AZ8" s="528"/>
      <c r="BA8" s="529"/>
      <c r="BB8" s="527"/>
      <c r="BC8" s="527">
        <v>0</v>
      </c>
      <c r="BD8" s="527">
        <v>0</v>
      </c>
      <c r="BE8" s="527">
        <v>0</v>
      </c>
      <c r="BF8" s="527">
        <v>0</v>
      </c>
      <c r="BG8" s="527">
        <v>0</v>
      </c>
      <c r="BH8" s="527">
        <v>0</v>
      </c>
      <c r="BI8" s="527">
        <v>0</v>
      </c>
      <c r="BJ8" s="527">
        <v>0</v>
      </c>
      <c r="BK8" s="1154">
        <f t="shared" si="3"/>
        <v>0</v>
      </c>
      <c r="BL8" s="1154"/>
      <c r="BM8" s="1154">
        <f t="shared" si="4"/>
        <v>0</v>
      </c>
      <c r="BN8" s="1154">
        <f t="shared" si="5"/>
        <v>0</v>
      </c>
      <c r="BO8" s="527"/>
      <c r="BP8" s="527"/>
      <c r="BQ8" s="1157">
        <v>0</v>
      </c>
      <c r="BR8" s="1157" t="s">
        <v>19</v>
      </c>
      <c r="BS8" s="1157" t="s">
        <v>527</v>
      </c>
      <c r="BT8" s="1376" t="s">
        <v>539</v>
      </c>
    </row>
    <row r="9" spans="1:73" s="512" customFormat="1" ht="13" hidden="1">
      <c r="A9" s="1204">
        <v>8</v>
      </c>
      <c r="B9" s="1205" t="s">
        <v>523</v>
      </c>
      <c r="C9" s="1205" t="s">
        <v>524</v>
      </c>
      <c r="D9" s="1206" t="s">
        <v>527</v>
      </c>
      <c r="E9" s="1386" t="s">
        <v>540</v>
      </c>
      <c r="F9" s="521"/>
      <c r="G9" s="522"/>
      <c r="H9" s="522"/>
      <c r="I9" s="522"/>
      <c r="J9" s="523"/>
      <c r="K9" s="523"/>
      <c r="L9" s="523"/>
      <c r="M9" s="524"/>
      <c r="N9" s="525"/>
      <c r="O9" s="526" t="s">
        <v>1237</v>
      </c>
      <c r="P9" s="525">
        <f>'Malaria-Key Info'!$G$60*'HPM costs'!F684</f>
        <v>0</v>
      </c>
      <c r="Q9" s="525" t="s">
        <v>1237</v>
      </c>
      <c r="R9" s="525">
        <f>'Malaria-Key Info'!$G$60*'HPM costs'!G684</f>
        <v>0</v>
      </c>
      <c r="S9" s="525" t="s">
        <v>1237</v>
      </c>
      <c r="T9" s="525">
        <f>'Malaria-Key Info'!$G$60*'HPM costs'!H684</f>
        <v>0</v>
      </c>
      <c r="U9" s="525" t="s">
        <v>1237</v>
      </c>
      <c r="V9" s="525">
        <f>'Malaria-Key Info'!$G$60*'HPM costs'!I684</f>
        <v>0</v>
      </c>
      <c r="W9" s="525"/>
      <c r="X9" s="1154">
        <f t="shared" si="0"/>
        <v>0</v>
      </c>
      <c r="Y9" s="1155"/>
      <c r="Z9" s="1156"/>
      <c r="AA9" s="529"/>
      <c r="AB9" s="525"/>
      <c r="AC9" s="525">
        <f>'Malaria-Key Info'!$G$60*'HPM costs'!K684</f>
        <v>0</v>
      </c>
      <c r="AD9" s="525"/>
      <c r="AE9" s="525">
        <f>'Malaria-Key Info'!$G$60*'HPM costs'!L684</f>
        <v>0</v>
      </c>
      <c r="AF9" s="525"/>
      <c r="AG9" s="525">
        <f>'Malaria-Key Info'!$G$60*'HPM costs'!M684</f>
        <v>0</v>
      </c>
      <c r="AH9" s="525"/>
      <c r="AI9" s="525">
        <f>'Malaria-Key Info'!$G$60*'HPM costs'!N684</f>
        <v>0</v>
      </c>
      <c r="AJ9" s="525"/>
      <c r="AK9" s="1154">
        <f t="shared" si="1"/>
        <v>0</v>
      </c>
      <c r="AL9" s="1155"/>
      <c r="AM9" s="1156"/>
      <c r="AN9" s="529"/>
      <c r="AO9" s="525"/>
      <c r="AP9" s="525">
        <f>'Malaria-Key Info'!$G$60*'HPM costs'!P684</f>
        <v>0</v>
      </c>
      <c r="AQ9" s="525"/>
      <c r="AR9" s="525">
        <f>'Malaria-Key Info'!$G$60*'HPM costs'!Q684</f>
        <v>0</v>
      </c>
      <c r="AS9" s="525"/>
      <c r="AT9" s="525">
        <f>'Malaria-Key Info'!$G$60*'HPM costs'!R684</f>
        <v>0</v>
      </c>
      <c r="AU9" s="525"/>
      <c r="AV9" s="525">
        <f>'Malaria-Key Info'!$G$60*'HPM costs'!S684</f>
        <v>0</v>
      </c>
      <c r="AW9" s="525"/>
      <c r="AX9" s="1154">
        <f t="shared" si="2"/>
        <v>0</v>
      </c>
      <c r="AY9" s="1154"/>
      <c r="AZ9" s="528"/>
      <c r="BA9" s="529"/>
      <c r="BB9" s="527"/>
      <c r="BC9" s="527">
        <v>0</v>
      </c>
      <c r="BD9" s="527">
        <v>0</v>
      </c>
      <c r="BE9" s="527">
        <v>0</v>
      </c>
      <c r="BF9" s="527">
        <v>0</v>
      </c>
      <c r="BG9" s="527">
        <v>0</v>
      </c>
      <c r="BH9" s="527">
        <v>0</v>
      </c>
      <c r="BI9" s="527">
        <v>0</v>
      </c>
      <c r="BJ9" s="527">
        <v>0</v>
      </c>
      <c r="BK9" s="1154">
        <f t="shared" si="3"/>
        <v>0</v>
      </c>
      <c r="BL9" s="1154"/>
      <c r="BM9" s="1154">
        <f t="shared" si="4"/>
        <v>0</v>
      </c>
      <c r="BN9" s="1154">
        <f t="shared" si="5"/>
        <v>0</v>
      </c>
      <c r="BO9" s="527"/>
      <c r="BP9" s="527"/>
      <c r="BQ9" s="1157">
        <v>0</v>
      </c>
      <c r="BR9" s="1157" t="s">
        <v>19</v>
      </c>
      <c r="BS9" s="1157" t="s">
        <v>527</v>
      </c>
      <c r="BT9" s="1376" t="s">
        <v>541</v>
      </c>
    </row>
    <row r="10" spans="1:73" s="512" customFormat="1" ht="13" hidden="1">
      <c r="A10" s="1204">
        <v>9</v>
      </c>
      <c r="B10" s="1205" t="s">
        <v>523</v>
      </c>
      <c r="C10" s="1205" t="s">
        <v>542</v>
      </c>
      <c r="D10" s="1206" t="s">
        <v>2559</v>
      </c>
      <c r="E10" s="1386" t="s">
        <v>525</v>
      </c>
      <c r="F10" s="521"/>
      <c r="G10" s="522"/>
      <c r="H10" s="522"/>
      <c r="I10" s="522"/>
      <c r="J10" s="523"/>
      <c r="K10" s="523"/>
      <c r="L10" s="523"/>
      <c r="M10" s="524"/>
      <c r="N10" s="525"/>
      <c r="O10" s="526" t="s">
        <v>1237</v>
      </c>
      <c r="P10" s="525">
        <f>('Malaria-Key Info'!$G$61*'HPM costs'!F167)/'HPM costs'!$E$167</f>
        <v>0</v>
      </c>
      <c r="Q10" s="525" t="s">
        <v>1237</v>
      </c>
      <c r="R10" s="525">
        <f>('Malaria-Key Info'!$G$61*'HPM costs'!G167)/'HPM costs'!$E$167</f>
        <v>0</v>
      </c>
      <c r="S10" s="525" t="s">
        <v>1237</v>
      </c>
      <c r="T10" s="525">
        <f>('Malaria-Key Info'!$G$61*'HPM costs'!H167)/'HPM costs'!$E$167</f>
        <v>0</v>
      </c>
      <c r="U10" s="525" t="s">
        <v>1237</v>
      </c>
      <c r="V10" s="525">
        <f>('Malaria-Key Info'!$G$61*'HPM costs'!I167)/'HPM costs'!$E$167</f>
        <v>0</v>
      </c>
      <c r="W10" s="525"/>
      <c r="X10" s="1154">
        <f t="shared" si="0"/>
        <v>0</v>
      </c>
      <c r="Y10" s="1155"/>
      <c r="Z10" s="1156"/>
      <c r="AA10" s="529"/>
      <c r="AB10" s="525"/>
      <c r="AC10" s="525">
        <f>('Malaria-Key Info'!$G$61*'HPM costs'!K167)/'HPM costs'!$E$167</f>
        <v>0</v>
      </c>
      <c r="AD10" s="525"/>
      <c r="AE10" s="525">
        <f>('Malaria-Key Info'!$G$61*'HPM costs'!L167)/'HPM costs'!$E$167</f>
        <v>0</v>
      </c>
      <c r="AF10" s="525"/>
      <c r="AG10" s="525">
        <f>('Malaria-Key Info'!$G$61*'HPM costs'!M167)/'HPM costs'!$E$167</f>
        <v>0</v>
      </c>
      <c r="AH10" s="525"/>
      <c r="AI10" s="525">
        <f>('Malaria-Key Info'!$G$61*'HPM costs'!N167)/'HPM costs'!$E$167</f>
        <v>0</v>
      </c>
      <c r="AJ10" s="525"/>
      <c r="AK10" s="1154">
        <f t="shared" si="1"/>
        <v>0</v>
      </c>
      <c r="AL10" s="1155"/>
      <c r="AM10" s="1156"/>
      <c r="AN10" s="529"/>
      <c r="AO10" s="525"/>
      <c r="AP10" s="525">
        <f>('Malaria-Key Info'!$G$61*'HPM costs'!P167)/'HPM costs'!$E$167</f>
        <v>0</v>
      </c>
      <c r="AQ10" s="525"/>
      <c r="AR10" s="525">
        <f>('Malaria-Key Info'!$G$61*'HPM costs'!Q167)/'HPM costs'!$E$167</f>
        <v>0</v>
      </c>
      <c r="AS10" s="525"/>
      <c r="AT10" s="525">
        <f>('Malaria-Key Info'!$G$61*'HPM costs'!R167)/'HPM costs'!$E$167</f>
        <v>0</v>
      </c>
      <c r="AU10" s="525"/>
      <c r="AV10" s="525">
        <f>('Malaria-Key Info'!$G$61*'HPM costs'!S167)/'HPM costs'!$E$167</f>
        <v>0</v>
      </c>
      <c r="AW10" s="525"/>
      <c r="AX10" s="1154">
        <f t="shared" si="2"/>
        <v>0</v>
      </c>
      <c r="AY10" s="1154"/>
      <c r="AZ10" s="528"/>
      <c r="BA10" s="529"/>
      <c r="BB10" s="527"/>
      <c r="BC10" s="527">
        <v>0</v>
      </c>
      <c r="BD10" s="527">
        <v>0</v>
      </c>
      <c r="BE10" s="527">
        <v>0</v>
      </c>
      <c r="BF10" s="527">
        <v>0</v>
      </c>
      <c r="BG10" s="527">
        <v>0</v>
      </c>
      <c r="BH10" s="527">
        <v>0</v>
      </c>
      <c r="BI10" s="527">
        <v>0</v>
      </c>
      <c r="BJ10" s="527">
        <v>0</v>
      </c>
      <c r="BK10" s="1154">
        <f t="shared" si="3"/>
        <v>0</v>
      </c>
      <c r="BL10" s="1154"/>
      <c r="BM10" s="1154">
        <f t="shared" si="4"/>
        <v>0</v>
      </c>
      <c r="BN10" s="1154">
        <f t="shared" si="5"/>
        <v>0</v>
      </c>
      <c r="BO10" s="527"/>
      <c r="BP10" s="527"/>
      <c r="BQ10" s="1157">
        <v>0</v>
      </c>
      <c r="BR10" s="1157" t="s">
        <v>19</v>
      </c>
      <c r="BS10" s="1157" t="s">
        <v>2559</v>
      </c>
      <c r="BT10" s="1376" t="s">
        <v>543</v>
      </c>
    </row>
    <row r="11" spans="1:73" s="512" customFormat="1" ht="13" hidden="1">
      <c r="A11" s="1204">
        <v>10</v>
      </c>
      <c r="B11" s="1205" t="s">
        <v>523</v>
      </c>
      <c r="C11" s="1205" t="s">
        <v>542</v>
      </c>
      <c r="D11" s="1206" t="s">
        <v>527</v>
      </c>
      <c r="E11" s="1386" t="s">
        <v>528</v>
      </c>
      <c r="F11" s="521"/>
      <c r="G11" s="522"/>
      <c r="H11" s="522"/>
      <c r="I11" s="522"/>
      <c r="J11" s="523"/>
      <c r="K11" s="523"/>
      <c r="L11" s="523"/>
      <c r="M11" s="524"/>
      <c r="N11" s="525"/>
      <c r="O11" s="526" t="s">
        <v>1237</v>
      </c>
      <c r="P11" s="525">
        <f>'Malaria-Key Info'!$G$61*'HPM costs'!F81</f>
        <v>0</v>
      </c>
      <c r="Q11" s="525" t="s">
        <v>1237</v>
      </c>
      <c r="R11" s="525">
        <f>'Malaria-Key Info'!$G$61*'HPM costs'!G81</f>
        <v>0</v>
      </c>
      <c r="S11" s="525" t="s">
        <v>1237</v>
      </c>
      <c r="T11" s="525">
        <f>'Malaria-Key Info'!$G$61*'HPM costs'!H81</f>
        <v>0</v>
      </c>
      <c r="U11" s="525" t="s">
        <v>1237</v>
      </c>
      <c r="V11" s="525">
        <f>'Malaria-Key Info'!$G$61*'HPM costs'!I81</f>
        <v>0</v>
      </c>
      <c r="W11" s="525"/>
      <c r="X11" s="1154">
        <f t="shared" si="0"/>
        <v>0</v>
      </c>
      <c r="Y11" s="1155"/>
      <c r="Z11" s="1156"/>
      <c r="AA11" s="529"/>
      <c r="AB11" s="525"/>
      <c r="AC11" s="525">
        <f>'Malaria-Key Info'!$G$61*'HPM costs'!K81</f>
        <v>0</v>
      </c>
      <c r="AD11" s="525"/>
      <c r="AE11" s="525">
        <f>'Malaria-Key Info'!$G$61*'HPM costs'!L81</f>
        <v>0</v>
      </c>
      <c r="AF11" s="525"/>
      <c r="AG11" s="525">
        <f>'Malaria-Key Info'!$G$61*'HPM costs'!M81</f>
        <v>0</v>
      </c>
      <c r="AH11" s="525"/>
      <c r="AI11" s="525">
        <f>'Malaria-Key Info'!$G$61*'HPM costs'!N81</f>
        <v>0</v>
      </c>
      <c r="AJ11" s="525"/>
      <c r="AK11" s="1154">
        <f t="shared" si="1"/>
        <v>0</v>
      </c>
      <c r="AL11" s="1155"/>
      <c r="AM11" s="1156"/>
      <c r="AN11" s="529"/>
      <c r="AO11" s="525"/>
      <c r="AP11" s="525">
        <f>'Malaria-Key Info'!$G$61*'HPM costs'!P81</f>
        <v>0</v>
      </c>
      <c r="AQ11" s="525"/>
      <c r="AR11" s="525">
        <f>'Malaria-Key Info'!$G$61*'HPM costs'!Q81</f>
        <v>0</v>
      </c>
      <c r="AS11" s="525"/>
      <c r="AT11" s="525">
        <f>'Malaria-Key Info'!$G$61*'HPM costs'!R81</f>
        <v>0</v>
      </c>
      <c r="AU11" s="525"/>
      <c r="AV11" s="525">
        <f>'Malaria-Key Info'!$G$61*'HPM costs'!S81</f>
        <v>0</v>
      </c>
      <c r="AW11" s="525"/>
      <c r="AX11" s="1154">
        <f t="shared" si="2"/>
        <v>0</v>
      </c>
      <c r="AY11" s="1154"/>
      <c r="AZ11" s="528"/>
      <c r="BA11" s="529"/>
      <c r="BB11" s="527"/>
      <c r="BC11" s="527">
        <v>0</v>
      </c>
      <c r="BD11" s="527">
        <v>0</v>
      </c>
      <c r="BE11" s="527">
        <v>0</v>
      </c>
      <c r="BF11" s="527">
        <v>0</v>
      </c>
      <c r="BG11" s="527">
        <v>0</v>
      </c>
      <c r="BH11" s="527">
        <v>0</v>
      </c>
      <c r="BI11" s="527">
        <v>0</v>
      </c>
      <c r="BJ11" s="527">
        <v>0</v>
      </c>
      <c r="BK11" s="1154">
        <f t="shared" si="3"/>
        <v>0</v>
      </c>
      <c r="BL11" s="1154"/>
      <c r="BM11" s="1154">
        <f t="shared" si="4"/>
        <v>0</v>
      </c>
      <c r="BN11" s="1154">
        <f t="shared" si="5"/>
        <v>0</v>
      </c>
      <c r="BO11" s="527"/>
      <c r="BP11" s="527"/>
      <c r="BQ11" s="1157">
        <v>0</v>
      </c>
      <c r="BR11" s="1157" t="s">
        <v>19</v>
      </c>
      <c r="BS11" s="1157" t="s">
        <v>527</v>
      </c>
      <c r="BT11" s="1376" t="s">
        <v>544</v>
      </c>
    </row>
    <row r="12" spans="1:73" s="512" customFormat="1" ht="13" hidden="1">
      <c r="A12" s="1204">
        <v>11</v>
      </c>
      <c r="B12" s="1205" t="s">
        <v>523</v>
      </c>
      <c r="C12" s="1205" t="s">
        <v>542</v>
      </c>
      <c r="D12" s="1206" t="s">
        <v>527</v>
      </c>
      <c r="E12" s="1386" t="s">
        <v>530</v>
      </c>
      <c r="F12" s="521"/>
      <c r="G12" s="522"/>
      <c r="H12" s="522"/>
      <c r="I12" s="522"/>
      <c r="J12" s="523"/>
      <c r="K12" s="523"/>
      <c r="L12" s="523"/>
      <c r="M12" s="524"/>
      <c r="N12" s="525"/>
      <c r="O12" s="526" t="s">
        <v>1237</v>
      </c>
      <c r="P12" s="525">
        <f>'Malaria-Key Info'!$G$61*'HPM costs'!F167</f>
        <v>0</v>
      </c>
      <c r="Q12" s="525" t="s">
        <v>1237</v>
      </c>
      <c r="R12" s="525">
        <f>'Malaria-Key Info'!$G$61*'HPM costs'!G167</f>
        <v>0</v>
      </c>
      <c r="S12" s="525" t="s">
        <v>1237</v>
      </c>
      <c r="T12" s="525">
        <f>'Malaria-Key Info'!$G$61*'HPM costs'!H167</f>
        <v>0</v>
      </c>
      <c r="U12" s="525" t="s">
        <v>1237</v>
      </c>
      <c r="V12" s="525">
        <f>'Malaria-Key Info'!$G$61*'HPM costs'!I167</f>
        <v>0</v>
      </c>
      <c r="W12" s="525"/>
      <c r="X12" s="1154">
        <f t="shared" si="0"/>
        <v>0</v>
      </c>
      <c r="Y12" s="1155"/>
      <c r="Z12" s="1156"/>
      <c r="AA12" s="529"/>
      <c r="AB12" s="525"/>
      <c r="AC12" s="525">
        <f>'Malaria-Key Info'!$G$61*'HPM costs'!K167</f>
        <v>0</v>
      </c>
      <c r="AD12" s="525"/>
      <c r="AE12" s="525">
        <f>'Malaria-Key Info'!$G$61*'HPM costs'!L167</f>
        <v>0</v>
      </c>
      <c r="AF12" s="525"/>
      <c r="AG12" s="525">
        <f>'Malaria-Key Info'!$G$61*'HPM costs'!M167</f>
        <v>0</v>
      </c>
      <c r="AH12" s="525"/>
      <c r="AI12" s="525">
        <f>'Malaria-Key Info'!$G$61*'HPM costs'!N167</f>
        <v>0</v>
      </c>
      <c r="AJ12" s="525"/>
      <c r="AK12" s="1154">
        <f t="shared" si="1"/>
        <v>0</v>
      </c>
      <c r="AL12" s="1155"/>
      <c r="AM12" s="1156"/>
      <c r="AN12" s="529"/>
      <c r="AO12" s="525"/>
      <c r="AP12" s="525">
        <f>'Malaria-Key Info'!$G$61*'HPM costs'!P167</f>
        <v>0</v>
      </c>
      <c r="AQ12" s="525"/>
      <c r="AR12" s="525">
        <f>'Malaria-Key Info'!$G$61*'HPM costs'!Q167</f>
        <v>0</v>
      </c>
      <c r="AS12" s="525"/>
      <c r="AT12" s="525">
        <f>'Malaria-Key Info'!$G$61*'HPM costs'!R167</f>
        <v>0</v>
      </c>
      <c r="AU12" s="525"/>
      <c r="AV12" s="525">
        <f>'Malaria-Key Info'!$G$61*'HPM costs'!S167</f>
        <v>0</v>
      </c>
      <c r="AW12" s="525"/>
      <c r="AX12" s="1154">
        <f t="shared" si="2"/>
        <v>0</v>
      </c>
      <c r="AY12" s="1154"/>
      <c r="AZ12" s="528"/>
      <c r="BA12" s="529"/>
      <c r="BB12" s="527"/>
      <c r="BC12" s="527">
        <v>0</v>
      </c>
      <c r="BD12" s="527">
        <v>0</v>
      </c>
      <c r="BE12" s="527">
        <v>0</v>
      </c>
      <c r="BF12" s="527">
        <v>0</v>
      </c>
      <c r="BG12" s="527">
        <v>0</v>
      </c>
      <c r="BH12" s="527">
        <v>0</v>
      </c>
      <c r="BI12" s="527">
        <v>0</v>
      </c>
      <c r="BJ12" s="527">
        <v>0</v>
      </c>
      <c r="BK12" s="1154">
        <f t="shared" si="3"/>
        <v>0</v>
      </c>
      <c r="BL12" s="1154"/>
      <c r="BM12" s="1154">
        <f t="shared" si="4"/>
        <v>0</v>
      </c>
      <c r="BN12" s="1154">
        <f t="shared" si="5"/>
        <v>0</v>
      </c>
      <c r="BO12" s="527"/>
      <c r="BP12" s="527"/>
      <c r="BQ12" s="1157">
        <v>0</v>
      </c>
      <c r="BR12" s="1157" t="s">
        <v>19</v>
      </c>
      <c r="BS12" s="1157" t="s">
        <v>527</v>
      </c>
      <c r="BT12" s="1376" t="s">
        <v>545</v>
      </c>
    </row>
    <row r="13" spans="1:73" s="512" customFormat="1" ht="13" hidden="1">
      <c r="A13" s="1204">
        <v>12</v>
      </c>
      <c r="B13" s="1205" t="s">
        <v>523</v>
      </c>
      <c r="C13" s="1205" t="s">
        <v>542</v>
      </c>
      <c r="D13" s="1206" t="s">
        <v>527</v>
      </c>
      <c r="E13" s="1386" t="s">
        <v>532</v>
      </c>
      <c r="F13" s="521"/>
      <c r="G13" s="522"/>
      <c r="H13" s="522"/>
      <c r="I13" s="522"/>
      <c r="J13" s="523"/>
      <c r="K13" s="523"/>
      <c r="L13" s="523"/>
      <c r="M13" s="524"/>
      <c r="N13" s="525"/>
      <c r="O13" s="526" t="s">
        <v>1237</v>
      </c>
      <c r="P13" s="525">
        <f>'Malaria-Key Info'!$G$61*'HPM costs'!F427</f>
        <v>0</v>
      </c>
      <c r="Q13" s="525" t="s">
        <v>1237</v>
      </c>
      <c r="R13" s="525">
        <f>'Malaria-Key Info'!$G$61*'HPM costs'!G427</f>
        <v>0</v>
      </c>
      <c r="S13" s="525" t="s">
        <v>1237</v>
      </c>
      <c r="T13" s="525">
        <f>'Malaria-Key Info'!$G$61*'HPM costs'!H427</f>
        <v>0</v>
      </c>
      <c r="U13" s="525" t="s">
        <v>1237</v>
      </c>
      <c r="V13" s="525">
        <f>'Malaria-Key Info'!$G$61*'HPM costs'!I427</f>
        <v>0</v>
      </c>
      <c r="W13" s="525"/>
      <c r="X13" s="1154">
        <f t="shared" si="0"/>
        <v>0</v>
      </c>
      <c r="Y13" s="1155"/>
      <c r="Z13" s="1156"/>
      <c r="AA13" s="529"/>
      <c r="AB13" s="525"/>
      <c r="AC13" s="525">
        <f>'Malaria-Key Info'!$G$61*'HPM costs'!K427</f>
        <v>0</v>
      </c>
      <c r="AD13" s="525"/>
      <c r="AE13" s="525">
        <f>'Malaria-Key Info'!$G$61*'HPM costs'!L427</f>
        <v>0</v>
      </c>
      <c r="AF13" s="525"/>
      <c r="AG13" s="525">
        <f>'Malaria-Key Info'!$G$61*'HPM costs'!M427</f>
        <v>0</v>
      </c>
      <c r="AH13" s="525"/>
      <c r="AI13" s="525">
        <f>'Malaria-Key Info'!$G$61*'HPM costs'!N427</f>
        <v>0</v>
      </c>
      <c r="AJ13" s="525"/>
      <c r="AK13" s="1154">
        <f t="shared" si="1"/>
        <v>0</v>
      </c>
      <c r="AL13" s="1155"/>
      <c r="AM13" s="1156"/>
      <c r="AN13" s="529"/>
      <c r="AO13" s="525"/>
      <c r="AP13" s="525">
        <f>'Malaria-Key Info'!$G$61*'HPM costs'!P427</f>
        <v>0</v>
      </c>
      <c r="AQ13" s="525"/>
      <c r="AR13" s="525">
        <f>'Malaria-Key Info'!$G$61*'HPM costs'!Q427</f>
        <v>0</v>
      </c>
      <c r="AS13" s="525"/>
      <c r="AT13" s="525">
        <f>'Malaria-Key Info'!$G$61*'HPM costs'!R427</f>
        <v>0</v>
      </c>
      <c r="AU13" s="525"/>
      <c r="AV13" s="525">
        <f>'Malaria-Key Info'!$G$61*'HPM costs'!S427</f>
        <v>0</v>
      </c>
      <c r="AW13" s="525"/>
      <c r="AX13" s="1154">
        <f t="shared" si="2"/>
        <v>0</v>
      </c>
      <c r="AY13" s="1154"/>
      <c r="AZ13" s="528"/>
      <c r="BA13" s="529"/>
      <c r="BB13" s="527"/>
      <c r="BC13" s="527">
        <v>0</v>
      </c>
      <c r="BD13" s="527">
        <v>0</v>
      </c>
      <c r="BE13" s="527">
        <v>0</v>
      </c>
      <c r="BF13" s="527">
        <v>0</v>
      </c>
      <c r="BG13" s="527">
        <v>0</v>
      </c>
      <c r="BH13" s="527">
        <v>0</v>
      </c>
      <c r="BI13" s="527">
        <v>0</v>
      </c>
      <c r="BJ13" s="527">
        <v>0</v>
      </c>
      <c r="BK13" s="1154">
        <f t="shared" si="3"/>
        <v>0</v>
      </c>
      <c r="BL13" s="1154"/>
      <c r="BM13" s="1154">
        <f t="shared" si="4"/>
        <v>0</v>
      </c>
      <c r="BN13" s="1154">
        <f t="shared" si="5"/>
        <v>0</v>
      </c>
      <c r="BO13" s="527"/>
      <c r="BP13" s="527"/>
      <c r="BQ13" s="1157">
        <v>0</v>
      </c>
      <c r="BR13" s="1157" t="s">
        <v>19</v>
      </c>
      <c r="BS13" s="1157" t="s">
        <v>527</v>
      </c>
      <c r="BT13" s="1376" t="s">
        <v>546</v>
      </c>
    </row>
    <row r="14" spans="1:73" s="512" customFormat="1" ht="13" hidden="1">
      <c r="A14" s="1204">
        <v>13</v>
      </c>
      <c r="B14" s="1205" t="s">
        <v>523</v>
      </c>
      <c r="C14" s="1205" t="s">
        <v>542</v>
      </c>
      <c r="D14" s="1206" t="s">
        <v>527</v>
      </c>
      <c r="E14" s="1386" t="s">
        <v>534</v>
      </c>
      <c r="F14" s="521"/>
      <c r="G14" s="522"/>
      <c r="H14" s="522"/>
      <c r="I14" s="522"/>
      <c r="J14" s="523"/>
      <c r="K14" s="523"/>
      <c r="L14" s="523"/>
      <c r="M14" s="524"/>
      <c r="N14" s="525"/>
      <c r="O14" s="526" t="s">
        <v>1237</v>
      </c>
      <c r="P14" s="525">
        <f>'Malaria-Key Info'!$G$61*'HPM costs'!F513</f>
        <v>0</v>
      </c>
      <c r="Q14" s="525" t="s">
        <v>1237</v>
      </c>
      <c r="R14" s="525">
        <f>'Malaria-Key Info'!$G$61*'HPM costs'!G513</f>
        <v>0</v>
      </c>
      <c r="S14" s="525" t="s">
        <v>1237</v>
      </c>
      <c r="T14" s="525">
        <f>'Malaria-Key Info'!$G$61*'HPM costs'!H513</f>
        <v>0</v>
      </c>
      <c r="U14" s="525" t="s">
        <v>1237</v>
      </c>
      <c r="V14" s="525">
        <f>'Malaria-Key Info'!$G$61*'HPM costs'!I513</f>
        <v>0</v>
      </c>
      <c r="W14" s="525"/>
      <c r="X14" s="1154">
        <f t="shared" si="0"/>
        <v>0</v>
      </c>
      <c r="Y14" s="1155"/>
      <c r="Z14" s="1156"/>
      <c r="AA14" s="529"/>
      <c r="AB14" s="525"/>
      <c r="AC14" s="525">
        <f>'Malaria-Key Info'!$G$61*'HPM costs'!K513</f>
        <v>0</v>
      </c>
      <c r="AD14" s="525"/>
      <c r="AE14" s="525">
        <f>'Malaria-Key Info'!$G$61*'HPM costs'!L513</f>
        <v>0</v>
      </c>
      <c r="AF14" s="525"/>
      <c r="AG14" s="525">
        <f>'Malaria-Key Info'!$G$61*'HPM costs'!M513</f>
        <v>0</v>
      </c>
      <c r="AH14" s="525"/>
      <c r="AI14" s="525">
        <f>'Malaria-Key Info'!$G$61*'HPM costs'!N513</f>
        <v>0</v>
      </c>
      <c r="AJ14" s="525"/>
      <c r="AK14" s="1154">
        <f t="shared" si="1"/>
        <v>0</v>
      </c>
      <c r="AL14" s="1155"/>
      <c r="AM14" s="1156"/>
      <c r="AN14" s="529"/>
      <c r="AO14" s="525"/>
      <c r="AP14" s="525">
        <f>'Malaria-Key Info'!$G$61*'HPM costs'!P513</f>
        <v>0</v>
      </c>
      <c r="AQ14" s="525"/>
      <c r="AR14" s="525">
        <f>'Malaria-Key Info'!$G$61*'HPM costs'!Q513</f>
        <v>0</v>
      </c>
      <c r="AS14" s="525"/>
      <c r="AT14" s="525">
        <f>'Malaria-Key Info'!$G$61*'HPM costs'!R513</f>
        <v>0</v>
      </c>
      <c r="AU14" s="525"/>
      <c r="AV14" s="525">
        <f>'Malaria-Key Info'!$G$61*'HPM costs'!S513</f>
        <v>0</v>
      </c>
      <c r="AW14" s="525"/>
      <c r="AX14" s="1154">
        <f t="shared" si="2"/>
        <v>0</v>
      </c>
      <c r="AY14" s="1154"/>
      <c r="AZ14" s="528"/>
      <c r="BA14" s="529"/>
      <c r="BB14" s="527"/>
      <c r="BC14" s="527">
        <v>0</v>
      </c>
      <c r="BD14" s="527">
        <v>0</v>
      </c>
      <c r="BE14" s="527">
        <v>0</v>
      </c>
      <c r="BF14" s="527">
        <v>0</v>
      </c>
      <c r="BG14" s="527">
        <v>0</v>
      </c>
      <c r="BH14" s="527">
        <v>0</v>
      </c>
      <c r="BI14" s="527">
        <v>0</v>
      </c>
      <c r="BJ14" s="527">
        <v>0</v>
      </c>
      <c r="BK14" s="1154">
        <f t="shared" si="3"/>
        <v>0</v>
      </c>
      <c r="BL14" s="1154"/>
      <c r="BM14" s="1154">
        <f t="shared" si="4"/>
        <v>0</v>
      </c>
      <c r="BN14" s="1154">
        <f t="shared" si="5"/>
        <v>0</v>
      </c>
      <c r="BO14" s="527"/>
      <c r="BP14" s="527"/>
      <c r="BQ14" s="1157">
        <v>0</v>
      </c>
      <c r="BR14" s="1157" t="s">
        <v>19</v>
      </c>
      <c r="BS14" s="1157" t="s">
        <v>527</v>
      </c>
      <c r="BT14" s="1376" t="s">
        <v>547</v>
      </c>
    </row>
    <row r="15" spans="1:73" s="512" customFormat="1" ht="13" hidden="1">
      <c r="A15" s="1204">
        <v>14</v>
      </c>
      <c r="B15" s="1205" t="s">
        <v>523</v>
      </c>
      <c r="C15" s="1205" t="s">
        <v>542</v>
      </c>
      <c r="D15" s="1206" t="s">
        <v>527</v>
      </c>
      <c r="E15" s="1386" t="s">
        <v>536</v>
      </c>
      <c r="F15" s="521"/>
      <c r="G15" s="522"/>
      <c r="H15" s="522"/>
      <c r="I15" s="522"/>
      <c r="J15" s="523"/>
      <c r="K15" s="523"/>
      <c r="L15" s="523"/>
      <c r="M15" s="524"/>
      <c r="N15" s="525"/>
      <c r="O15" s="526" t="s">
        <v>1237</v>
      </c>
      <c r="P15" s="525">
        <f>'Malaria-Key Info'!$G$61*('HPM costs'!F253+'HPM costs'!F599)</f>
        <v>0</v>
      </c>
      <c r="Q15" s="525" t="s">
        <v>1237</v>
      </c>
      <c r="R15" s="525">
        <f>'Malaria-Key Info'!$G$61*('HPM costs'!G253+'HPM costs'!G599)</f>
        <v>0</v>
      </c>
      <c r="S15" s="525" t="s">
        <v>1237</v>
      </c>
      <c r="T15" s="525">
        <f>'Malaria-Key Info'!$G$61*('HPM costs'!H253+'HPM costs'!H599)</f>
        <v>0</v>
      </c>
      <c r="U15" s="525" t="s">
        <v>1237</v>
      </c>
      <c r="V15" s="525">
        <f>'Malaria-Key Info'!$G$61*('HPM costs'!I253+'HPM costs'!I599)</f>
        <v>0</v>
      </c>
      <c r="W15" s="525"/>
      <c r="X15" s="1154">
        <f t="shared" si="0"/>
        <v>0</v>
      </c>
      <c r="Y15" s="1155"/>
      <c r="Z15" s="1156"/>
      <c r="AA15" s="529"/>
      <c r="AB15" s="525"/>
      <c r="AC15" s="525">
        <f>'Malaria-Key Info'!$G$61*('HPM costs'!K253+'HPM costs'!K599)</f>
        <v>0</v>
      </c>
      <c r="AD15" s="525"/>
      <c r="AE15" s="525">
        <f>'Malaria-Key Info'!$G$61*('HPM costs'!L253+'HPM costs'!L599)</f>
        <v>0</v>
      </c>
      <c r="AF15" s="525"/>
      <c r="AG15" s="525">
        <f>'Malaria-Key Info'!$G$61*('HPM costs'!M253+'HPM costs'!M599)</f>
        <v>0</v>
      </c>
      <c r="AH15" s="525"/>
      <c r="AI15" s="525">
        <f>'Malaria-Key Info'!$G$61*('HPM costs'!N253+'HPM costs'!N599)</f>
        <v>0</v>
      </c>
      <c r="AJ15" s="525"/>
      <c r="AK15" s="1154">
        <f t="shared" si="1"/>
        <v>0</v>
      </c>
      <c r="AL15" s="1155"/>
      <c r="AM15" s="1156"/>
      <c r="AN15" s="529"/>
      <c r="AO15" s="525"/>
      <c r="AP15" s="525">
        <f>'Malaria-Key Info'!$G$61*('HPM costs'!P253+'HPM costs'!P599)</f>
        <v>0</v>
      </c>
      <c r="AQ15" s="525"/>
      <c r="AR15" s="525">
        <f>'Malaria-Key Info'!$G$61*('HPM costs'!Q253+'HPM costs'!Q599)</f>
        <v>0</v>
      </c>
      <c r="AS15" s="525"/>
      <c r="AT15" s="525">
        <f>'Malaria-Key Info'!$G$61*('HPM costs'!R253+'HPM costs'!R599)</f>
        <v>0</v>
      </c>
      <c r="AU15" s="525"/>
      <c r="AV15" s="525">
        <f>'Malaria-Key Info'!$G$61*('HPM costs'!S253+'HPM costs'!S599)</f>
        <v>0</v>
      </c>
      <c r="AW15" s="525"/>
      <c r="AX15" s="1154">
        <f t="shared" si="2"/>
        <v>0</v>
      </c>
      <c r="AY15" s="1154"/>
      <c r="AZ15" s="528"/>
      <c r="BA15" s="529"/>
      <c r="BB15" s="527"/>
      <c r="BC15" s="527">
        <v>0</v>
      </c>
      <c r="BD15" s="527">
        <v>0</v>
      </c>
      <c r="BE15" s="527">
        <v>0</v>
      </c>
      <c r="BF15" s="527">
        <v>0</v>
      </c>
      <c r="BG15" s="527">
        <v>0</v>
      </c>
      <c r="BH15" s="527">
        <v>0</v>
      </c>
      <c r="BI15" s="527">
        <v>0</v>
      </c>
      <c r="BJ15" s="527">
        <v>0</v>
      </c>
      <c r="BK15" s="1154">
        <f t="shared" si="3"/>
        <v>0</v>
      </c>
      <c r="BL15" s="1154"/>
      <c r="BM15" s="1154">
        <f t="shared" si="4"/>
        <v>0</v>
      </c>
      <c r="BN15" s="1154">
        <f t="shared" si="5"/>
        <v>0</v>
      </c>
      <c r="BO15" s="527"/>
      <c r="BP15" s="527"/>
      <c r="BQ15" s="1157">
        <v>0</v>
      </c>
      <c r="BR15" s="1157" t="s">
        <v>19</v>
      </c>
      <c r="BS15" s="1157" t="s">
        <v>527</v>
      </c>
      <c r="BT15" s="1376" t="s">
        <v>548</v>
      </c>
    </row>
    <row r="16" spans="1:73" s="512" customFormat="1" ht="13" hidden="1">
      <c r="A16" s="1204">
        <v>15</v>
      </c>
      <c r="B16" s="1205" t="s">
        <v>523</v>
      </c>
      <c r="C16" s="1205" t="s">
        <v>542</v>
      </c>
      <c r="D16" s="1206" t="s">
        <v>527</v>
      </c>
      <c r="E16" s="1386" t="s">
        <v>538</v>
      </c>
      <c r="F16" s="521"/>
      <c r="G16" s="522"/>
      <c r="H16" s="522"/>
      <c r="I16" s="522"/>
      <c r="J16" s="523"/>
      <c r="K16" s="523"/>
      <c r="L16" s="523"/>
      <c r="M16" s="524"/>
      <c r="N16" s="525"/>
      <c r="O16" s="526" t="s">
        <v>1237</v>
      </c>
      <c r="P16" s="525">
        <f>'Malaria-Key Info'!$G$61*'HPM costs'!F339</f>
        <v>0</v>
      </c>
      <c r="Q16" s="525" t="s">
        <v>1237</v>
      </c>
      <c r="R16" s="525">
        <f>'Malaria-Key Info'!$G$61*'HPM costs'!G339</f>
        <v>0</v>
      </c>
      <c r="S16" s="525" t="s">
        <v>1237</v>
      </c>
      <c r="T16" s="525">
        <f>'Malaria-Key Info'!$G$61*'HPM costs'!H339</f>
        <v>0</v>
      </c>
      <c r="U16" s="525" t="s">
        <v>1237</v>
      </c>
      <c r="V16" s="525">
        <f>'Malaria-Key Info'!$G$61*'HPM costs'!I339</f>
        <v>0</v>
      </c>
      <c r="W16" s="525"/>
      <c r="X16" s="1154">
        <f t="shared" si="0"/>
        <v>0</v>
      </c>
      <c r="Y16" s="1155"/>
      <c r="Z16" s="1156"/>
      <c r="AA16" s="529"/>
      <c r="AB16" s="525"/>
      <c r="AC16" s="525">
        <f>'Malaria-Key Info'!$G$61*'HPM costs'!K339</f>
        <v>0</v>
      </c>
      <c r="AD16" s="525"/>
      <c r="AE16" s="525">
        <f>'Malaria-Key Info'!$G$61*'HPM costs'!L339</f>
        <v>0</v>
      </c>
      <c r="AF16" s="525"/>
      <c r="AG16" s="525">
        <f>'Malaria-Key Info'!$G$61*'HPM costs'!M339</f>
        <v>0</v>
      </c>
      <c r="AH16" s="525"/>
      <c r="AI16" s="525">
        <f>'Malaria-Key Info'!$G$61*'HPM costs'!N339</f>
        <v>0</v>
      </c>
      <c r="AJ16" s="525"/>
      <c r="AK16" s="1154">
        <f t="shared" si="1"/>
        <v>0</v>
      </c>
      <c r="AL16" s="1155"/>
      <c r="AM16" s="1156"/>
      <c r="AN16" s="529"/>
      <c r="AO16" s="525"/>
      <c r="AP16" s="525">
        <f>'Malaria-Key Info'!$G$61*'HPM costs'!P339</f>
        <v>0</v>
      </c>
      <c r="AQ16" s="525"/>
      <c r="AR16" s="525">
        <f>'Malaria-Key Info'!$G$61*'HPM costs'!Q339</f>
        <v>0</v>
      </c>
      <c r="AS16" s="525"/>
      <c r="AT16" s="525">
        <f>'Malaria-Key Info'!$G$61*'HPM costs'!R339</f>
        <v>0</v>
      </c>
      <c r="AU16" s="525"/>
      <c r="AV16" s="525">
        <f>'Malaria-Key Info'!$G$61*'HPM costs'!S339</f>
        <v>0</v>
      </c>
      <c r="AW16" s="525"/>
      <c r="AX16" s="1154">
        <f t="shared" si="2"/>
        <v>0</v>
      </c>
      <c r="AY16" s="1154"/>
      <c r="AZ16" s="528"/>
      <c r="BA16" s="529"/>
      <c r="BB16" s="527"/>
      <c r="BC16" s="527">
        <v>0</v>
      </c>
      <c r="BD16" s="527">
        <v>0</v>
      </c>
      <c r="BE16" s="527">
        <v>0</v>
      </c>
      <c r="BF16" s="527">
        <v>0</v>
      </c>
      <c r="BG16" s="527">
        <v>0</v>
      </c>
      <c r="BH16" s="527">
        <v>0</v>
      </c>
      <c r="BI16" s="527">
        <v>0</v>
      </c>
      <c r="BJ16" s="527">
        <v>0</v>
      </c>
      <c r="BK16" s="1154">
        <f t="shared" si="3"/>
        <v>0</v>
      </c>
      <c r="BL16" s="1154"/>
      <c r="BM16" s="1154">
        <f t="shared" si="4"/>
        <v>0</v>
      </c>
      <c r="BN16" s="1154">
        <f t="shared" si="5"/>
        <v>0</v>
      </c>
      <c r="BO16" s="527"/>
      <c r="BP16" s="527"/>
      <c r="BQ16" s="1157">
        <v>0</v>
      </c>
      <c r="BR16" s="1157" t="s">
        <v>19</v>
      </c>
      <c r="BS16" s="1157" t="s">
        <v>527</v>
      </c>
      <c r="BT16" s="1376" t="s">
        <v>549</v>
      </c>
    </row>
    <row r="17" spans="1:72" s="512" customFormat="1" ht="13" hidden="1">
      <c r="A17" s="1204">
        <v>16</v>
      </c>
      <c r="B17" s="1205" t="s">
        <v>523</v>
      </c>
      <c r="C17" s="1205" t="s">
        <v>542</v>
      </c>
      <c r="D17" s="1206" t="s">
        <v>527</v>
      </c>
      <c r="E17" s="1386" t="s">
        <v>540</v>
      </c>
      <c r="F17" s="521"/>
      <c r="G17" s="522"/>
      <c r="H17" s="522"/>
      <c r="I17" s="522"/>
      <c r="J17" s="523"/>
      <c r="K17" s="523"/>
      <c r="L17" s="523"/>
      <c r="M17" s="524"/>
      <c r="N17" s="525"/>
      <c r="O17" s="526" t="s">
        <v>1237</v>
      </c>
      <c r="P17" s="525">
        <f>'Malaria-Key Info'!$G$61*'HPM costs'!F684</f>
        <v>0</v>
      </c>
      <c r="Q17" s="525" t="s">
        <v>1237</v>
      </c>
      <c r="R17" s="525">
        <f>'Malaria-Key Info'!$G$61*'HPM costs'!G684</f>
        <v>0</v>
      </c>
      <c r="S17" s="525" t="s">
        <v>1237</v>
      </c>
      <c r="T17" s="525">
        <f>'Malaria-Key Info'!$G$61*'HPM costs'!H684</f>
        <v>0</v>
      </c>
      <c r="U17" s="525" t="s">
        <v>1237</v>
      </c>
      <c r="V17" s="525">
        <f>'Malaria-Key Info'!$G$61*'HPM costs'!I684</f>
        <v>0</v>
      </c>
      <c r="W17" s="525"/>
      <c r="X17" s="1154">
        <f t="shared" si="0"/>
        <v>0</v>
      </c>
      <c r="Y17" s="1155"/>
      <c r="Z17" s="1156"/>
      <c r="AA17" s="529"/>
      <c r="AB17" s="525"/>
      <c r="AC17" s="525">
        <f>'Malaria-Key Info'!$G$61*'HPM costs'!K684</f>
        <v>0</v>
      </c>
      <c r="AD17" s="525"/>
      <c r="AE17" s="525">
        <f>'Malaria-Key Info'!$G$61*'HPM costs'!L684</f>
        <v>0</v>
      </c>
      <c r="AF17" s="525"/>
      <c r="AG17" s="525">
        <f>'Malaria-Key Info'!$G$61*'HPM costs'!M684</f>
        <v>0</v>
      </c>
      <c r="AH17" s="525"/>
      <c r="AI17" s="525">
        <f>'Malaria-Key Info'!$G$61*'HPM costs'!N684</f>
        <v>0</v>
      </c>
      <c r="AJ17" s="525"/>
      <c r="AK17" s="1154">
        <f t="shared" si="1"/>
        <v>0</v>
      </c>
      <c r="AL17" s="1155"/>
      <c r="AM17" s="1156"/>
      <c r="AN17" s="529"/>
      <c r="AO17" s="525"/>
      <c r="AP17" s="525">
        <f>'Malaria-Key Info'!$G$61*'HPM costs'!P684</f>
        <v>0</v>
      </c>
      <c r="AQ17" s="525"/>
      <c r="AR17" s="525">
        <f>'Malaria-Key Info'!$G$61*'HPM costs'!Q684</f>
        <v>0</v>
      </c>
      <c r="AS17" s="525"/>
      <c r="AT17" s="525">
        <f>'Malaria-Key Info'!$G$61*'HPM costs'!R684</f>
        <v>0</v>
      </c>
      <c r="AU17" s="525"/>
      <c r="AV17" s="525">
        <f>'Malaria-Key Info'!$G$61*'HPM costs'!S684</f>
        <v>0</v>
      </c>
      <c r="AW17" s="525"/>
      <c r="AX17" s="1154">
        <f t="shared" si="2"/>
        <v>0</v>
      </c>
      <c r="AY17" s="1154"/>
      <c r="AZ17" s="528"/>
      <c r="BA17" s="529"/>
      <c r="BB17" s="527"/>
      <c r="BC17" s="527">
        <v>0</v>
      </c>
      <c r="BD17" s="527">
        <v>0</v>
      </c>
      <c r="BE17" s="527">
        <v>0</v>
      </c>
      <c r="BF17" s="527">
        <v>0</v>
      </c>
      <c r="BG17" s="527">
        <v>0</v>
      </c>
      <c r="BH17" s="527">
        <v>0</v>
      </c>
      <c r="BI17" s="527">
        <v>0</v>
      </c>
      <c r="BJ17" s="527">
        <v>0</v>
      </c>
      <c r="BK17" s="1154">
        <f t="shared" si="3"/>
        <v>0</v>
      </c>
      <c r="BL17" s="1154"/>
      <c r="BM17" s="1154">
        <f t="shared" si="4"/>
        <v>0</v>
      </c>
      <c r="BN17" s="1154">
        <f t="shared" si="5"/>
        <v>0</v>
      </c>
      <c r="BO17" s="527"/>
      <c r="BP17" s="527"/>
      <c r="BQ17" s="1157">
        <v>0</v>
      </c>
      <c r="BR17" s="1157" t="s">
        <v>19</v>
      </c>
      <c r="BS17" s="1157" t="s">
        <v>527</v>
      </c>
      <c r="BT17" s="1376" t="s">
        <v>550</v>
      </c>
    </row>
    <row r="18" spans="1:72" s="512" customFormat="1" ht="13" hidden="1">
      <c r="A18" s="1204">
        <v>17</v>
      </c>
      <c r="B18" s="1205" t="s">
        <v>523</v>
      </c>
      <c r="C18" s="1205" t="s">
        <v>551</v>
      </c>
      <c r="D18" s="1206" t="s">
        <v>2560</v>
      </c>
      <c r="E18" s="1386" t="s">
        <v>525</v>
      </c>
      <c r="F18" s="521"/>
      <c r="G18" s="522"/>
      <c r="H18" s="522"/>
      <c r="I18" s="522"/>
      <c r="J18" s="523"/>
      <c r="K18" s="523"/>
      <c r="L18" s="523"/>
      <c r="M18" s="524"/>
      <c r="N18" s="525"/>
      <c r="O18" s="526" t="s">
        <v>1237</v>
      </c>
      <c r="P18" s="525">
        <f>('Malaria-Key Info'!$G$56*'HPM costs'!F170)/'HPM costs'!$E$170</f>
        <v>0</v>
      </c>
      <c r="Q18" s="525" t="s">
        <v>1237</v>
      </c>
      <c r="R18" s="525">
        <f>('Malaria-Key Info'!$G$56*'HPM costs'!G170)/'HPM costs'!$E$170</f>
        <v>0</v>
      </c>
      <c r="S18" s="525" t="s">
        <v>1237</v>
      </c>
      <c r="T18" s="525">
        <f>('Malaria-Key Info'!$G$56*'HPM costs'!H170)/'HPM costs'!$E$170</f>
        <v>0</v>
      </c>
      <c r="U18" s="525" t="s">
        <v>1237</v>
      </c>
      <c r="V18" s="525">
        <f>('Malaria-Key Info'!$G$56*'HPM costs'!I170)/'HPM costs'!$E$170</f>
        <v>0</v>
      </c>
      <c r="W18" s="525"/>
      <c r="X18" s="1154">
        <f t="shared" si="0"/>
        <v>0</v>
      </c>
      <c r="Y18" s="1155"/>
      <c r="Z18" s="1156"/>
      <c r="AA18" s="529"/>
      <c r="AB18" s="525"/>
      <c r="AC18" s="525">
        <f>('Malaria-Key Info'!$G$56*'HPM costs'!K170)/'HPM costs'!$E$170</f>
        <v>0</v>
      </c>
      <c r="AD18" s="525"/>
      <c r="AE18" s="525">
        <f>('Malaria-Key Info'!$G$56*'HPM costs'!L170)/'HPM costs'!$E$170</f>
        <v>0</v>
      </c>
      <c r="AF18" s="525"/>
      <c r="AG18" s="525">
        <f>('Malaria-Key Info'!$G$56*'HPM costs'!M170)/'HPM costs'!$E$170</f>
        <v>0</v>
      </c>
      <c r="AH18" s="525"/>
      <c r="AI18" s="525">
        <f>('Malaria-Key Info'!$G$56*'HPM costs'!N170)/'HPM costs'!$E$170</f>
        <v>0</v>
      </c>
      <c r="AJ18" s="525"/>
      <c r="AK18" s="1154">
        <f t="shared" si="1"/>
        <v>0</v>
      </c>
      <c r="AL18" s="1155"/>
      <c r="AM18" s="1156"/>
      <c r="AN18" s="529"/>
      <c r="AO18" s="525"/>
      <c r="AP18" s="525">
        <f>('Malaria-Key Info'!$G$56*'HPM costs'!P170)/'HPM costs'!$E$170</f>
        <v>0</v>
      </c>
      <c r="AQ18" s="525"/>
      <c r="AR18" s="525">
        <f>('Malaria-Key Info'!$G$56*'HPM costs'!Q170)/'HPM costs'!$E$170</f>
        <v>0</v>
      </c>
      <c r="AS18" s="525"/>
      <c r="AT18" s="525">
        <f>('Malaria-Key Info'!$G$56*'HPM costs'!R170)/'HPM costs'!$E$170</f>
        <v>0</v>
      </c>
      <c r="AU18" s="525"/>
      <c r="AV18" s="525">
        <f>('Malaria-Key Info'!$G$56*'HPM costs'!S170)/'HPM costs'!$E$170</f>
        <v>0</v>
      </c>
      <c r="AW18" s="525"/>
      <c r="AX18" s="1154">
        <f t="shared" si="2"/>
        <v>0</v>
      </c>
      <c r="AY18" s="1154"/>
      <c r="AZ18" s="528"/>
      <c r="BA18" s="529"/>
      <c r="BB18" s="527"/>
      <c r="BC18" s="527">
        <v>0</v>
      </c>
      <c r="BD18" s="527">
        <v>0</v>
      </c>
      <c r="BE18" s="527">
        <v>0</v>
      </c>
      <c r="BF18" s="527">
        <v>0</v>
      </c>
      <c r="BG18" s="527">
        <v>0</v>
      </c>
      <c r="BH18" s="527">
        <v>0</v>
      </c>
      <c r="BI18" s="527">
        <v>0</v>
      </c>
      <c r="BJ18" s="527">
        <v>0</v>
      </c>
      <c r="BK18" s="1154">
        <f t="shared" si="3"/>
        <v>0</v>
      </c>
      <c r="BL18" s="1154"/>
      <c r="BM18" s="1154">
        <f t="shared" si="4"/>
        <v>0</v>
      </c>
      <c r="BN18" s="1154">
        <f t="shared" si="5"/>
        <v>0</v>
      </c>
      <c r="BO18" s="527"/>
      <c r="BP18" s="527"/>
      <c r="BQ18" s="1157">
        <v>0</v>
      </c>
      <c r="BR18" s="1157" t="s">
        <v>19</v>
      </c>
      <c r="BS18" s="1157" t="s">
        <v>2560</v>
      </c>
      <c r="BT18" s="1376" t="s">
        <v>552</v>
      </c>
    </row>
    <row r="19" spans="1:72" s="512" customFormat="1" ht="13" hidden="1">
      <c r="A19" s="1204">
        <v>18</v>
      </c>
      <c r="B19" s="1205" t="s">
        <v>523</v>
      </c>
      <c r="C19" s="1205" t="s">
        <v>551</v>
      </c>
      <c r="D19" s="1206" t="s">
        <v>527</v>
      </c>
      <c r="E19" s="1386" t="s">
        <v>528</v>
      </c>
      <c r="F19" s="521"/>
      <c r="G19" s="522"/>
      <c r="H19" s="522"/>
      <c r="I19" s="522"/>
      <c r="J19" s="523"/>
      <c r="K19" s="523"/>
      <c r="L19" s="523"/>
      <c r="M19" s="524"/>
      <c r="N19" s="525"/>
      <c r="O19" s="526" t="s">
        <v>1237</v>
      </c>
      <c r="P19" s="525">
        <f>'Malaria-Key Info'!$G$56*'HPM costs'!F84</f>
        <v>0</v>
      </c>
      <c r="Q19" s="525" t="s">
        <v>1237</v>
      </c>
      <c r="R19" s="525">
        <f>'Malaria-Key Info'!$G$56*'HPM costs'!G84</f>
        <v>0</v>
      </c>
      <c r="S19" s="525" t="s">
        <v>1237</v>
      </c>
      <c r="T19" s="525">
        <f>'Malaria-Key Info'!$G$56*'HPM costs'!H84</f>
        <v>0</v>
      </c>
      <c r="U19" s="525" t="s">
        <v>1237</v>
      </c>
      <c r="V19" s="525">
        <f>'Malaria-Key Info'!$G$56*'HPM costs'!I84</f>
        <v>0</v>
      </c>
      <c r="W19" s="525"/>
      <c r="X19" s="1154">
        <f t="shared" si="0"/>
        <v>0</v>
      </c>
      <c r="Y19" s="1155"/>
      <c r="Z19" s="1156"/>
      <c r="AA19" s="529"/>
      <c r="AB19" s="525"/>
      <c r="AC19" s="525">
        <f>'Malaria-Key Info'!$G$56*'HPM costs'!K84</f>
        <v>0</v>
      </c>
      <c r="AD19" s="525"/>
      <c r="AE19" s="525">
        <f>'Malaria-Key Info'!$G$56*'HPM costs'!L84</f>
        <v>0</v>
      </c>
      <c r="AF19" s="525"/>
      <c r="AG19" s="525">
        <f>'Malaria-Key Info'!$G$56*'HPM costs'!M84</f>
        <v>0</v>
      </c>
      <c r="AH19" s="525"/>
      <c r="AI19" s="525">
        <f>'Malaria-Key Info'!$G$56*'HPM costs'!N84</f>
        <v>0</v>
      </c>
      <c r="AJ19" s="525"/>
      <c r="AK19" s="1154">
        <f t="shared" si="1"/>
        <v>0</v>
      </c>
      <c r="AL19" s="1155"/>
      <c r="AM19" s="1156"/>
      <c r="AN19" s="529"/>
      <c r="AO19" s="525"/>
      <c r="AP19" s="525">
        <f>'Malaria-Key Info'!$G$56*'HPM costs'!P84</f>
        <v>0</v>
      </c>
      <c r="AQ19" s="525"/>
      <c r="AR19" s="525">
        <f>'Malaria-Key Info'!$G$56*'HPM costs'!Q84</f>
        <v>0</v>
      </c>
      <c r="AS19" s="525"/>
      <c r="AT19" s="525">
        <f>'Malaria-Key Info'!$G$56*'HPM costs'!R84</f>
        <v>0</v>
      </c>
      <c r="AU19" s="525"/>
      <c r="AV19" s="525">
        <f>'Malaria-Key Info'!$G$56*'HPM costs'!S84</f>
        <v>0</v>
      </c>
      <c r="AW19" s="525"/>
      <c r="AX19" s="1154">
        <f t="shared" si="2"/>
        <v>0</v>
      </c>
      <c r="AY19" s="1154"/>
      <c r="AZ19" s="528"/>
      <c r="BA19" s="529"/>
      <c r="BB19" s="527"/>
      <c r="BC19" s="527">
        <v>0</v>
      </c>
      <c r="BD19" s="527">
        <v>0</v>
      </c>
      <c r="BE19" s="527">
        <v>0</v>
      </c>
      <c r="BF19" s="527">
        <v>0</v>
      </c>
      <c r="BG19" s="527">
        <v>0</v>
      </c>
      <c r="BH19" s="527">
        <v>0</v>
      </c>
      <c r="BI19" s="527">
        <v>0</v>
      </c>
      <c r="BJ19" s="527">
        <v>0</v>
      </c>
      <c r="BK19" s="1154">
        <f t="shared" si="3"/>
        <v>0</v>
      </c>
      <c r="BL19" s="1154"/>
      <c r="BM19" s="1154">
        <f t="shared" si="4"/>
        <v>0</v>
      </c>
      <c r="BN19" s="1154">
        <f t="shared" si="5"/>
        <v>0</v>
      </c>
      <c r="BO19" s="527"/>
      <c r="BP19" s="527"/>
      <c r="BQ19" s="1157">
        <v>0</v>
      </c>
      <c r="BR19" s="1157" t="s">
        <v>19</v>
      </c>
      <c r="BS19" s="1157" t="s">
        <v>527</v>
      </c>
      <c r="BT19" s="1376" t="s">
        <v>553</v>
      </c>
    </row>
    <row r="20" spans="1:72" s="512" customFormat="1" ht="13" hidden="1">
      <c r="A20" s="1204">
        <v>19</v>
      </c>
      <c r="B20" s="1205" t="s">
        <v>523</v>
      </c>
      <c r="C20" s="1205" t="s">
        <v>551</v>
      </c>
      <c r="D20" s="1206" t="s">
        <v>527</v>
      </c>
      <c r="E20" s="1386" t="s">
        <v>530</v>
      </c>
      <c r="F20" s="521"/>
      <c r="G20" s="522"/>
      <c r="H20" s="522"/>
      <c r="I20" s="522"/>
      <c r="J20" s="523"/>
      <c r="K20" s="523"/>
      <c r="L20" s="523"/>
      <c r="M20" s="524"/>
      <c r="N20" s="525"/>
      <c r="O20" s="526" t="s">
        <v>1237</v>
      </c>
      <c r="P20" s="525">
        <f>'Malaria-Key Info'!$G$56*'HPM costs'!F170</f>
        <v>0</v>
      </c>
      <c r="Q20" s="525" t="s">
        <v>1237</v>
      </c>
      <c r="R20" s="525">
        <f>'Malaria-Key Info'!$G$56*'HPM costs'!G170</f>
        <v>0</v>
      </c>
      <c r="S20" s="525" t="s">
        <v>1237</v>
      </c>
      <c r="T20" s="525">
        <f>'Malaria-Key Info'!$G$56*'HPM costs'!H170</f>
        <v>0</v>
      </c>
      <c r="U20" s="525" t="s">
        <v>1237</v>
      </c>
      <c r="V20" s="525">
        <f>'Malaria-Key Info'!$G$56*'HPM costs'!I170</f>
        <v>0</v>
      </c>
      <c r="W20" s="525"/>
      <c r="X20" s="1154">
        <f t="shared" si="0"/>
        <v>0</v>
      </c>
      <c r="Y20" s="1155"/>
      <c r="Z20" s="1156"/>
      <c r="AA20" s="529"/>
      <c r="AB20" s="525"/>
      <c r="AC20" s="525">
        <f>'Malaria-Key Info'!$G$56*'HPM costs'!K170</f>
        <v>0</v>
      </c>
      <c r="AD20" s="525"/>
      <c r="AE20" s="525">
        <f>'Malaria-Key Info'!$G$56*'HPM costs'!L170</f>
        <v>0</v>
      </c>
      <c r="AF20" s="525"/>
      <c r="AG20" s="525">
        <f>'Malaria-Key Info'!$G$56*'HPM costs'!M170</f>
        <v>0</v>
      </c>
      <c r="AH20" s="525"/>
      <c r="AI20" s="525">
        <f>'Malaria-Key Info'!$G$56*'HPM costs'!N170</f>
        <v>0</v>
      </c>
      <c r="AJ20" s="525"/>
      <c r="AK20" s="1154">
        <f t="shared" si="1"/>
        <v>0</v>
      </c>
      <c r="AL20" s="1155"/>
      <c r="AM20" s="1156"/>
      <c r="AN20" s="529"/>
      <c r="AO20" s="525"/>
      <c r="AP20" s="525">
        <f>'Malaria-Key Info'!$G$56*'HPM costs'!P170</f>
        <v>0</v>
      </c>
      <c r="AQ20" s="525"/>
      <c r="AR20" s="525">
        <f>'Malaria-Key Info'!$G$56*'HPM costs'!Q170</f>
        <v>0</v>
      </c>
      <c r="AS20" s="525"/>
      <c r="AT20" s="525">
        <f>'Malaria-Key Info'!$G$56*'HPM costs'!R170</f>
        <v>0</v>
      </c>
      <c r="AU20" s="525"/>
      <c r="AV20" s="525">
        <f>'Malaria-Key Info'!$G$56*'HPM costs'!S170</f>
        <v>0</v>
      </c>
      <c r="AW20" s="525"/>
      <c r="AX20" s="1154">
        <f t="shared" si="2"/>
        <v>0</v>
      </c>
      <c r="AY20" s="1154"/>
      <c r="AZ20" s="528"/>
      <c r="BA20" s="529"/>
      <c r="BB20" s="527"/>
      <c r="BC20" s="527">
        <v>0</v>
      </c>
      <c r="BD20" s="527">
        <v>0</v>
      </c>
      <c r="BE20" s="527">
        <v>0</v>
      </c>
      <c r="BF20" s="527">
        <v>0</v>
      </c>
      <c r="BG20" s="527">
        <v>0</v>
      </c>
      <c r="BH20" s="527">
        <v>0</v>
      </c>
      <c r="BI20" s="527">
        <v>0</v>
      </c>
      <c r="BJ20" s="527">
        <v>0</v>
      </c>
      <c r="BK20" s="1154">
        <f t="shared" si="3"/>
        <v>0</v>
      </c>
      <c r="BL20" s="1154"/>
      <c r="BM20" s="1154">
        <f t="shared" si="4"/>
        <v>0</v>
      </c>
      <c r="BN20" s="1154">
        <f t="shared" si="5"/>
        <v>0</v>
      </c>
      <c r="BO20" s="527"/>
      <c r="BP20" s="527"/>
      <c r="BQ20" s="1157">
        <v>0</v>
      </c>
      <c r="BR20" s="1157" t="s">
        <v>19</v>
      </c>
      <c r="BS20" s="1157" t="s">
        <v>527</v>
      </c>
      <c r="BT20" s="1376" t="s">
        <v>554</v>
      </c>
    </row>
    <row r="21" spans="1:72" s="512" customFormat="1" ht="13" hidden="1">
      <c r="A21" s="1204">
        <v>20</v>
      </c>
      <c r="B21" s="1205" t="s">
        <v>523</v>
      </c>
      <c r="C21" s="1205" t="s">
        <v>551</v>
      </c>
      <c r="D21" s="1206" t="s">
        <v>527</v>
      </c>
      <c r="E21" s="1386" t="s">
        <v>532</v>
      </c>
      <c r="F21" s="521"/>
      <c r="G21" s="522"/>
      <c r="H21" s="522"/>
      <c r="I21" s="522"/>
      <c r="J21" s="523"/>
      <c r="K21" s="523"/>
      <c r="L21" s="523"/>
      <c r="M21" s="524"/>
      <c r="N21" s="525"/>
      <c r="O21" s="526" t="s">
        <v>1237</v>
      </c>
      <c r="P21" s="525">
        <f>'Malaria-Key Info'!$G$56*'HPM costs'!F430</f>
        <v>0</v>
      </c>
      <c r="Q21" s="525" t="s">
        <v>1237</v>
      </c>
      <c r="R21" s="525">
        <f>'Malaria-Key Info'!$G$56*'HPM costs'!G430</f>
        <v>0</v>
      </c>
      <c r="S21" s="525" t="s">
        <v>1237</v>
      </c>
      <c r="T21" s="525">
        <f>'Malaria-Key Info'!$G$56*'HPM costs'!H430</f>
        <v>0</v>
      </c>
      <c r="U21" s="525" t="s">
        <v>1237</v>
      </c>
      <c r="V21" s="525">
        <f>'Malaria-Key Info'!$G$56*'HPM costs'!I430</f>
        <v>0</v>
      </c>
      <c r="W21" s="525"/>
      <c r="X21" s="1154">
        <f t="shared" si="0"/>
        <v>0</v>
      </c>
      <c r="Y21" s="1155"/>
      <c r="Z21" s="1156"/>
      <c r="AA21" s="529"/>
      <c r="AB21" s="525"/>
      <c r="AC21" s="525">
        <f>'Malaria-Key Info'!$G$56*'HPM costs'!K430</f>
        <v>0</v>
      </c>
      <c r="AD21" s="525"/>
      <c r="AE21" s="525">
        <f>'Malaria-Key Info'!$G$56*'HPM costs'!L430</f>
        <v>0</v>
      </c>
      <c r="AF21" s="525"/>
      <c r="AG21" s="525">
        <f>'Malaria-Key Info'!$G$56*'HPM costs'!M430</f>
        <v>0</v>
      </c>
      <c r="AH21" s="525"/>
      <c r="AI21" s="525">
        <f>'Malaria-Key Info'!$G$56*'HPM costs'!N430</f>
        <v>0</v>
      </c>
      <c r="AJ21" s="525"/>
      <c r="AK21" s="1154">
        <f t="shared" si="1"/>
        <v>0</v>
      </c>
      <c r="AL21" s="1155"/>
      <c r="AM21" s="1156"/>
      <c r="AN21" s="529"/>
      <c r="AO21" s="525"/>
      <c r="AP21" s="525">
        <f>'Malaria-Key Info'!$G$56*'HPM costs'!P430</f>
        <v>0</v>
      </c>
      <c r="AQ21" s="525"/>
      <c r="AR21" s="525">
        <f>'Malaria-Key Info'!$G$56*'HPM costs'!Q430</f>
        <v>0</v>
      </c>
      <c r="AS21" s="525"/>
      <c r="AT21" s="525">
        <f>'Malaria-Key Info'!$G$56*'HPM costs'!R430</f>
        <v>0</v>
      </c>
      <c r="AU21" s="525"/>
      <c r="AV21" s="525">
        <f>'Malaria-Key Info'!$G$56*'HPM costs'!S430</f>
        <v>0</v>
      </c>
      <c r="AW21" s="525"/>
      <c r="AX21" s="1154">
        <f t="shared" si="2"/>
        <v>0</v>
      </c>
      <c r="AY21" s="1154"/>
      <c r="AZ21" s="528"/>
      <c r="BA21" s="529"/>
      <c r="BB21" s="527"/>
      <c r="BC21" s="527">
        <v>0</v>
      </c>
      <c r="BD21" s="527">
        <v>0</v>
      </c>
      <c r="BE21" s="527">
        <v>0</v>
      </c>
      <c r="BF21" s="527">
        <v>0</v>
      </c>
      <c r="BG21" s="527">
        <v>0</v>
      </c>
      <c r="BH21" s="527">
        <v>0</v>
      </c>
      <c r="BI21" s="527">
        <v>0</v>
      </c>
      <c r="BJ21" s="527">
        <v>0</v>
      </c>
      <c r="BK21" s="1154">
        <f t="shared" si="3"/>
        <v>0</v>
      </c>
      <c r="BL21" s="1154"/>
      <c r="BM21" s="1154">
        <f t="shared" si="4"/>
        <v>0</v>
      </c>
      <c r="BN21" s="1154">
        <f t="shared" si="5"/>
        <v>0</v>
      </c>
      <c r="BO21" s="527"/>
      <c r="BP21" s="527"/>
      <c r="BQ21" s="1157">
        <v>0</v>
      </c>
      <c r="BR21" s="1157" t="s">
        <v>19</v>
      </c>
      <c r="BS21" s="1157" t="s">
        <v>527</v>
      </c>
      <c r="BT21" s="1376" t="s">
        <v>555</v>
      </c>
    </row>
    <row r="22" spans="1:72" s="512" customFormat="1" ht="13" hidden="1">
      <c r="A22" s="1204">
        <v>21</v>
      </c>
      <c r="B22" s="1205" t="s">
        <v>523</v>
      </c>
      <c r="C22" s="1205" t="s">
        <v>551</v>
      </c>
      <c r="D22" s="1206" t="s">
        <v>527</v>
      </c>
      <c r="E22" s="1386" t="s">
        <v>534</v>
      </c>
      <c r="F22" s="521"/>
      <c r="G22" s="522"/>
      <c r="H22" s="522"/>
      <c r="I22" s="522"/>
      <c r="J22" s="523"/>
      <c r="K22" s="523"/>
      <c r="L22" s="523"/>
      <c r="M22" s="524"/>
      <c r="N22" s="525"/>
      <c r="O22" s="526" t="s">
        <v>1237</v>
      </c>
      <c r="P22" s="525">
        <f>'Malaria-Key Info'!$G$56*'HPM costs'!F516</f>
        <v>0</v>
      </c>
      <c r="Q22" s="525" t="s">
        <v>1237</v>
      </c>
      <c r="R22" s="525">
        <f>'Malaria-Key Info'!$G$56*'HPM costs'!G516</f>
        <v>0</v>
      </c>
      <c r="S22" s="525" t="s">
        <v>1237</v>
      </c>
      <c r="T22" s="525">
        <f>'Malaria-Key Info'!$G$56*'HPM costs'!H516</f>
        <v>0</v>
      </c>
      <c r="U22" s="525" t="s">
        <v>1237</v>
      </c>
      <c r="V22" s="525">
        <f>'Malaria-Key Info'!$G$56*'HPM costs'!I516</f>
        <v>0</v>
      </c>
      <c r="W22" s="525"/>
      <c r="X22" s="1154">
        <f t="shared" si="0"/>
        <v>0</v>
      </c>
      <c r="Y22" s="1155"/>
      <c r="Z22" s="1156"/>
      <c r="AA22" s="529"/>
      <c r="AB22" s="525"/>
      <c r="AC22" s="525">
        <f>'Malaria-Key Info'!$G$56*'HPM costs'!K516</f>
        <v>0</v>
      </c>
      <c r="AD22" s="525"/>
      <c r="AE22" s="525">
        <f>'Malaria-Key Info'!$G$56*'HPM costs'!L516</f>
        <v>0</v>
      </c>
      <c r="AF22" s="525"/>
      <c r="AG22" s="525">
        <f>'Malaria-Key Info'!$G$56*'HPM costs'!M516</f>
        <v>0</v>
      </c>
      <c r="AH22" s="525"/>
      <c r="AI22" s="525">
        <f>'Malaria-Key Info'!$G$56*'HPM costs'!N516</f>
        <v>0</v>
      </c>
      <c r="AJ22" s="525"/>
      <c r="AK22" s="1154">
        <f t="shared" si="1"/>
        <v>0</v>
      </c>
      <c r="AL22" s="1155"/>
      <c r="AM22" s="1156"/>
      <c r="AN22" s="529"/>
      <c r="AO22" s="525"/>
      <c r="AP22" s="525">
        <f>'Malaria-Key Info'!$G$56*'HPM costs'!P516</f>
        <v>0</v>
      </c>
      <c r="AQ22" s="525"/>
      <c r="AR22" s="525">
        <f>'Malaria-Key Info'!$G$56*'HPM costs'!Q516</f>
        <v>0</v>
      </c>
      <c r="AS22" s="525"/>
      <c r="AT22" s="525">
        <f>'Malaria-Key Info'!$G$56*'HPM costs'!R516</f>
        <v>0</v>
      </c>
      <c r="AU22" s="525"/>
      <c r="AV22" s="525">
        <f>'Malaria-Key Info'!$G$56*'HPM costs'!S516</f>
        <v>0</v>
      </c>
      <c r="AW22" s="525"/>
      <c r="AX22" s="1154">
        <f t="shared" si="2"/>
        <v>0</v>
      </c>
      <c r="AY22" s="1154"/>
      <c r="AZ22" s="528"/>
      <c r="BA22" s="529"/>
      <c r="BB22" s="527"/>
      <c r="BC22" s="527">
        <v>0</v>
      </c>
      <c r="BD22" s="527">
        <v>0</v>
      </c>
      <c r="BE22" s="527">
        <v>0</v>
      </c>
      <c r="BF22" s="527">
        <v>0</v>
      </c>
      <c r="BG22" s="527">
        <v>0</v>
      </c>
      <c r="BH22" s="527">
        <v>0</v>
      </c>
      <c r="BI22" s="527">
        <v>0</v>
      </c>
      <c r="BJ22" s="527">
        <v>0</v>
      </c>
      <c r="BK22" s="1154">
        <f t="shared" si="3"/>
        <v>0</v>
      </c>
      <c r="BL22" s="1154"/>
      <c r="BM22" s="1154">
        <f t="shared" si="4"/>
        <v>0</v>
      </c>
      <c r="BN22" s="1154">
        <f t="shared" si="5"/>
        <v>0</v>
      </c>
      <c r="BO22" s="527"/>
      <c r="BP22" s="527"/>
      <c r="BQ22" s="1157">
        <v>0</v>
      </c>
      <c r="BR22" s="1157" t="s">
        <v>19</v>
      </c>
      <c r="BS22" s="1157" t="s">
        <v>527</v>
      </c>
      <c r="BT22" s="1376" t="s">
        <v>556</v>
      </c>
    </row>
    <row r="23" spans="1:72" s="512" customFormat="1" ht="13" hidden="1">
      <c r="A23" s="1204">
        <v>22</v>
      </c>
      <c r="B23" s="1205" t="s">
        <v>523</v>
      </c>
      <c r="C23" s="1205" t="s">
        <v>551</v>
      </c>
      <c r="D23" s="1206" t="s">
        <v>527</v>
      </c>
      <c r="E23" s="1386" t="s">
        <v>536</v>
      </c>
      <c r="F23" s="521"/>
      <c r="G23" s="522"/>
      <c r="H23" s="522"/>
      <c r="I23" s="522"/>
      <c r="J23" s="523"/>
      <c r="K23" s="523"/>
      <c r="L23" s="523"/>
      <c r="M23" s="524"/>
      <c r="N23" s="525"/>
      <c r="O23" s="526" t="s">
        <v>1237</v>
      </c>
      <c r="P23" s="525">
        <f>'Malaria-Key Info'!$G$56*('HPM costs'!F256+'HPM costs'!F602)</f>
        <v>0</v>
      </c>
      <c r="Q23" s="525" t="s">
        <v>1237</v>
      </c>
      <c r="R23" s="525">
        <f>'Malaria-Key Info'!$G$56*('HPM costs'!G256+'HPM costs'!G602)</f>
        <v>0</v>
      </c>
      <c r="S23" s="525" t="s">
        <v>1237</v>
      </c>
      <c r="T23" s="525">
        <f>'Malaria-Key Info'!$G$56*('HPM costs'!H256+'HPM costs'!H602)</f>
        <v>0</v>
      </c>
      <c r="U23" s="525" t="s">
        <v>1237</v>
      </c>
      <c r="V23" s="525">
        <f>'Malaria-Key Info'!$G$56*('HPM costs'!I256+'HPM costs'!I602)</f>
        <v>0</v>
      </c>
      <c r="W23" s="525"/>
      <c r="X23" s="1154">
        <f t="shared" si="0"/>
        <v>0</v>
      </c>
      <c r="Y23" s="1155"/>
      <c r="Z23" s="1156"/>
      <c r="AA23" s="529"/>
      <c r="AB23" s="525"/>
      <c r="AC23" s="525">
        <f>'Malaria-Key Info'!$G$56*('HPM costs'!K256+'HPM costs'!K602)</f>
        <v>0</v>
      </c>
      <c r="AD23" s="525"/>
      <c r="AE23" s="525">
        <f>'Malaria-Key Info'!$G$56*('HPM costs'!L256+'HPM costs'!L602)</f>
        <v>0</v>
      </c>
      <c r="AF23" s="525"/>
      <c r="AG23" s="525">
        <f>'Malaria-Key Info'!$G$56*('HPM costs'!M256+'HPM costs'!M602)</f>
        <v>0</v>
      </c>
      <c r="AH23" s="525"/>
      <c r="AI23" s="525">
        <f>'Malaria-Key Info'!$G$56*('HPM costs'!N256+'HPM costs'!N602)</f>
        <v>0</v>
      </c>
      <c r="AJ23" s="525"/>
      <c r="AK23" s="1154">
        <f t="shared" si="1"/>
        <v>0</v>
      </c>
      <c r="AL23" s="1155"/>
      <c r="AM23" s="1156"/>
      <c r="AN23" s="529"/>
      <c r="AO23" s="525"/>
      <c r="AP23" s="525">
        <f>'Malaria-Key Info'!$G$56*('HPM costs'!P256+'HPM costs'!P602)</f>
        <v>0</v>
      </c>
      <c r="AQ23" s="525"/>
      <c r="AR23" s="525">
        <f>'Malaria-Key Info'!$G$56*('HPM costs'!Q256+'HPM costs'!Q602)</f>
        <v>0</v>
      </c>
      <c r="AS23" s="525"/>
      <c r="AT23" s="525">
        <f>'Malaria-Key Info'!$G$56*('HPM costs'!R256+'HPM costs'!R602)</f>
        <v>0</v>
      </c>
      <c r="AU23" s="525"/>
      <c r="AV23" s="525">
        <f>'Malaria-Key Info'!$G$56*('HPM costs'!S256+'HPM costs'!S602)</f>
        <v>0</v>
      </c>
      <c r="AW23" s="525"/>
      <c r="AX23" s="1154">
        <f t="shared" si="2"/>
        <v>0</v>
      </c>
      <c r="AY23" s="1154"/>
      <c r="AZ23" s="528"/>
      <c r="BA23" s="529"/>
      <c r="BB23" s="527"/>
      <c r="BC23" s="527">
        <v>0</v>
      </c>
      <c r="BD23" s="527">
        <v>0</v>
      </c>
      <c r="BE23" s="527">
        <v>0</v>
      </c>
      <c r="BF23" s="527">
        <v>0</v>
      </c>
      <c r="BG23" s="527">
        <v>0</v>
      </c>
      <c r="BH23" s="527">
        <v>0</v>
      </c>
      <c r="BI23" s="527">
        <v>0</v>
      </c>
      <c r="BJ23" s="527">
        <v>0</v>
      </c>
      <c r="BK23" s="1154">
        <f t="shared" si="3"/>
        <v>0</v>
      </c>
      <c r="BL23" s="1154"/>
      <c r="BM23" s="1154">
        <f t="shared" si="4"/>
        <v>0</v>
      </c>
      <c r="BN23" s="1154">
        <f t="shared" si="5"/>
        <v>0</v>
      </c>
      <c r="BO23" s="527"/>
      <c r="BP23" s="527"/>
      <c r="BQ23" s="1157">
        <v>0</v>
      </c>
      <c r="BR23" s="1157" t="s">
        <v>19</v>
      </c>
      <c r="BS23" s="1157" t="s">
        <v>527</v>
      </c>
      <c r="BT23" s="1376" t="s">
        <v>557</v>
      </c>
    </row>
    <row r="24" spans="1:72" s="512" customFormat="1" ht="13" hidden="1">
      <c r="A24" s="1204">
        <v>23</v>
      </c>
      <c r="B24" s="1205" t="s">
        <v>523</v>
      </c>
      <c r="C24" s="1205" t="s">
        <v>551</v>
      </c>
      <c r="D24" s="1206" t="s">
        <v>527</v>
      </c>
      <c r="E24" s="1386" t="s">
        <v>538</v>
      </c>
      <c r="F24" s="521"/>
      <c r="G24" s="522"/>
      <c r="H24" s="522"/>
      <c r="I24" s="522"/>
      <c r="J24" s="523"/>
      <c r="K24" s="523"/>
      <c r="L24" s="523"/>
      <c r="M24" s="524"/>
      <c r="N24" s="525"/>
      <c r="O24" s="526" t="s">
        <v>1237</v>
      </c>
      <c r="P24" s="525">
        <f>'Malaria-Key Info'!$G$56*'HPM costs'!F342</f>
        <v>0</v>
      </c>
      <c r="Q24" s="525" t="s">
        <v>1237</v>
      </c>
      <c r="R24" s="525">
        <f>'Malaria-Key Info'!$G$56*'HPM costs'!G342</f>
        <v>0</v>
      </c>
      <c r="S24" s="525" t="s">
        <v>1237</v>
      </c>
      <c r="T24" s="525">
        <f>'Malaria-Key Info'!$G$56*'HPM costs'!H342</f>
        <v>0</v>
      </c>
      <c r="U24" s="525" t="s">
        <v>1237</v>
      </c>
      <c r="V24" s="525">
        <f>'Malaria-Key Info'!$G$56*'HPM costs'!I342</f>
        <v>0</v>
      </c>
      <c r="W24" s="525"/>
      <c r="X24" s="1154">
        <f t="shared" si="0"/>
        <v>0</v>
      </c>
      <c r="Y24" s="1155"/>
      <c r="Z24" s="1156"/>
      <c r="AA24" s="529"/>
      <c r="AB24" s="525"/>
      <c r="AC24" s="525">
        <f>'Malaria-Key Info'!$G$56*'HPM costs'!K342</f>
        <v>0</v>
      </c>
      <c r="AD24" s="525"/>
      <c r="AE24" s="525">
        <f>'Malaria-Key Info'!$G$56*'HPM costs'!L342</f>
        <v>0</v>
      </c>
      <c r="AF24" s="525"/>
      <c r="AG24" s="525">
        <f>'Malaria-Key Info'!$G$56*'HPM costs'!M342</f>
        <v>0</v>
      </c>
      <c r="AH24" s="525"/>
      <c r="AI24" s="525">
        <f>'Malaria-Key Info'!$G$56*'HPM costs'!N342</f>
        <v>0</v>
      </c>
      <c r="AJ24" s="525"/>
      <c r="AK24" s="1154">
        <f t="shared" si="1"/>
        <v>0</v>
      </c>
      <c r="AL24" s="1155"/>
      <c r="AM24" s="1156"/>
      <c r="AN24" s="529"/>
      <c r="AO24" s="525"/>
      <c r="AP24" s="525">
        <f>'Malaria-Key Info'!$G$56*'HPM costs'!P342</f>
        <v>0</v>
      </c>
      <c r="AQ24" s="525"/>
      <c r="AR24" s="525">
        <f>'Malaria-Key Info'!$G$56*'HPM costs'!Q342</f>
        <v>0</v>
      </c>
      <c r="AS24" s="525"/>
      <c r="AT24" s="525">
        <f>'Malaria-Key Info'!$G$56*'HPM costs'!R342</f>
        <v>0</v>
      </c>
      <c r="AU24" s="525"/>
      <c r="AV24" s="525">
        <f>'Malaria-Key Info'!$G$56*'HPM costs'!S342</f>
        <v>0</v>
      </c>
      <c r="AW24" s="525"/>
      <c r="AX24" s="1154">
        <f t="shared" si="2"/>
        <v>0</v>
      </c>
      <c r="AY24" s="1154"/>
      <c r="AZ24" s="528"/>
      <c r="BA24" s="529"/>
      <c r="BB24" s="527"/>
      <c r="BC24" s="527">
        <v>0</v>
      </c>
      <c r="BD24" s="527">
        <v>0</v>
      </c>
      <c r="BE24" s="527">
        <v>0</v>
      </c>
      <c r="BF24" s="527">
        <v>0</v>
      </c>
      <c r="BG24" s="527">
        <v>0</v>
      </c>
      <c r="BH24" s="527">
        <v>0</v>
      </c>
      <c r="BI24" s="527">
        <v>0</v>
      </c>
      <c r="BJ24" s="527">
        <v>0</v>
      </c>
      <c r="BK24" s="1154">
        <f t="shared" si="3"/>
        <v>0</v>
      </c>
      <c r="BL24" s="1154"/>
      <c r="BM24" s="1154">
        <f t="shared" si="4"/>
        <v>0</v>
      </c>
      <c r="BN24" s="1154">
        <f t="shared" si="5"/>
        <v>0</v>
      </c>
      <c r="BO24" s="527"/>
      <c r="BP24" s="527"/>
      <c r="BQ24" s="1157">
        <v>0</v>
      </c>
      <c r="BR24" s="1157" t="s">
        <v>19</v>
      </c>
      <c r="BS24" s="1157" t="s">
        <v>527</v>
      </c>
      <c r="BT24" s="1376" t="s">
        <v>558</v>
      </c>
    </row>
    <row r="25" spans="1:72" s="512" customFormat="1" ht="13" hidden="1">
      <c r="A25" s="1204">
        <v>24</v>
      </c>
      <c r="B25" s="1205" t="s">
        <v>523</v>
      </c>
      <c r="C25" s="1205" t="s">
        <v>551</v>
      </c>
      <c r="D25" s="1206" t="s">
        <v>527</v>
      </c>
      <c r="E25" s="1386" t="s">
        <v>540</v>
      </c>
      <c r="F25" s="521"/>
      <c r="G25" s="522"/>
      <c r="H25" s="522"/>
      <c r="I25" s="522"/>
      <c r="J25" s="523"/>
      <c r="K25" s="523"/>
      <c r="L25" s="523"/>
      <c r="M25" s="524"/>
      <c r="N25" s="525"/>
      <c r="O25" s="526" t="s">
        <v>1237</v>
      </c>
      <c r="P25" s="525">
        <f>'Malaria-Key Info'!$G$56*'HPM costs'!F687</f>
        <v>0</v>
      </c>
      <c r="Q25" s="525" t="s">
        <v>1237</v>
      </c>
      <c r="R25" s="525">
        <f>'Malaria-Key Info'!$G$56*'HPM costs'!G687</f>
        <v>0</v>
      </c>
      <c r="S25" s="525" t="s">
        <v>1237</v>
      </c>
      <c r="T25" s="525">
        <f>'Malaria-Key Info'!$G$56*'HPM costs'!H687</f>
        <v>0</v>
      </c>
      <c r="U25" s="525" t="s">
        <v>1237</v>
      </c>
      <c r="V25" s="525">
        <f>'Malaria-Key Info'!$G$56*'HPM costs'!I687</f>
        <v>0</v>
      </c>
      <c r="W25" s="525"/>
      <c r="X25" s="1154">
        <f t="shared" si="0"/>
        <v>0</v>
      </c>
      <c r="Y25" s="1155"/>
      <c r="Z25" s="1156"/>
      <c r="AA25" s="529"/>
      <c r="AB25" s="525"/>
      <c r="AC25" s="525">
        <f>'Malaria-Key Info'!$G$56*'HPM costs'!K687</f>
        <v>0</v>
      </c>
      <c r="AD25" s="525"/>
      <c r="AE25" s="525">
        <f>'Malaria-Key Info'!$G$56*'HPM costs'!L687</f>
        <v>0</v>
      </c>
      <c r="AF25" s="525"/>
      <c r="AG25" s="525">
        <f>'Malaria-Key Info'!$G$56*'HPM costs'!M687</f>
        <v>0</v>
      </c>
      <c r="AH25" s="525"/>
      <c r="AI25" s="525">
        <f>'Malaria-Key Info'!$G$56*'HPM costs'!N687</f>
        <v>0</v>
      </c>
      <c r="AJ25" s="525"/>
      <c r="AK25" s="1154">
        <f t="shared" si="1"/>
        <v>0</v>
      </c>
      <c r="AL25" s="1155"/>
      <c r="AM25" s="1156"/>
      <c r="AN25" s="529"/>
      <c r="AO25" s="525"/>
      <c r="AP25" s="525">
        <f>'Malaria-Key Info'!$G$56*'HPM costs'!P687</f>
        <v>0</v>
      </c>
      <c r="AQ25" s="525"/>
      <c r="AR25" s="525">
        <f>'Malaria-Key Info'!$G$56*'HPM costs'!Q687</f>
        <v>0</v>
      </c>
      <c r="AS25" s="525"/>
      <c r="AT25" s="525">
        <f>'Malaria-Key Info'!$G$56*'HPM costs'!R687</f>
        <v>0</v>
      </c>
      <c r="AU25" s="525"/>
      <c r="AV25" s="525">
        <f>'Malaria-Key Info'!$G$56*'HPM costs'!S687</f>
        <v>0</v>
      </c>
      <c r="AW25" s="525"/>
      <c r="AX25" s="1154">
        <f t="shared" si="2"/>
        <v>0</v>
      </c>
      <c r="AY25" s="1154"/>
      <c r="AZ25" s="528"/>
      <c r="BA25" s="529"/>
      <c r="BB25" s="527"/>
      <c r="BC25" s="527">
        <v>0</v>
      </c>
      <c r="BD25" s="527">
        <v>0</v>
      </c>
      <c r="BE25" s="527">
        <v>0</v>
      </c>
      <c r="BF25" s="527">
        <v>0</v>
      </c>
      <c r="BG25" s="527">
        <v>0</v>
      </c>
      <c r="BH25" s="527">
        <v>0</v>
      </c>
      <c r="BI25" s="527">
        <v>0</v>
      </c>
      <c r="BJ25" s="527">
        <v>0</v>
      </c>
      <c r="BK25" s="1154">
        <f t="shared" si="3"/>
        <v>0</v>
      </c>
      <c r="BL25" s="1154"/>
      <c r="BM25" s="1154">
        <f t="shared" si="4"/>
        <v>0</v>
      </c>
      <c r="BN25" s="1154">
        <f t="shared" si="5"/>
        <v>0</v>
      </c>
      <c r="BO25" s="527"/>
      <c r="BP25" s="527"/>
      <c r="BQ25" s="1157">
        <v>0</v>
      </c>
      <c r="BR25" s="1157" t="s">
        <v>19</v>
      </c>
      <c r="BS25" s="1157" t="s">
        <v>527</v>
      </c>
      <c r="BT25" s="1376" t="s">
        <v>1238</v>
      </c>
    </row>
    <row r="26" spans="1:72" s="512" customFormat="1" ht="13" hidden="1">
      <c r="A26" s="1204">
        <v>25</v>
      </c>
      <c r="B26" s="1205" t="s">
        <v>523</v>
      </c>
      <c r="C26" s="1205" t="s">
        <v>559</v>
      </c>
      <c r="D26" s="1206" t="s">
        <v>2560</v>
      </c>
      <c r="E26" s="1386" t="s">
        <v>525</v>
      </c>
      <c r="F26" s="521"/>
      <c r="G26" s="522"/>
      <c r="H26" s="522"/>
      <c r="I26" s="522"/>
      <c r="J26" s="523"/>
      <c r="K26" s="523"/>
      <c r="L26" s="523"/>
      <c r="M26" s="524"/>
      <c r="N26" s="525"/>
      <c r="O26" s="526" t="s">
        <v>1237</v>
      </c>
      <c r="P26" s="525">
        <f>('Malaria-Key Info'!$G$57*'HPM costs'!F170)/'HPM costs'!$E$170</f>
        <v>0</v>
      </c>
      <c r="Q26" s="525" t="s">
        <v>1237</v>
      </c>
      <c r="R26" s="525">
        <f>('Malaria-Key Info'!$G$57*'HPM costs'!G170)/'HPM costs'!$E$170</f>
        <v>0</v>
      </c>
      <c r="S26" s="525" t="s">
        <v>1237</v>
      </c>
      <c r="T26" s="525">
        <f>('Malaria-Key Info'!$G$57*'HPM costs'!H170)/'HPM costs'!$E$170</f>
        <v>0</v>
      </c>
      <c r="U26" s="525" t="s">
        <v>1237</v>
      </c>
      <c r="V26" s="525">
        <f>('Malaria-Key Info'!$G$57*'HPM costs'!I170)/'HPM costs'!$E$170</f>
        <v>0</v>
      </c>
      <c r="W26" s="525"/>
      <c r="X26" s="1154">
        <f t="shared" si="0"/>
        <v>0</v>
      </c>
      <c r="Y26" s="1155"/>
      <c r="Z26" s="1156"/>
      <c r="AA26" s="529"/>
      <c r="AB26" s="525"/>
      <c r="AC26" s="525">
        <f>('Malaria-Key Info'!$G$57*'HPM costs'!K170)/'HPM costs'!$E$170</f>
        <v>0</v>
      </c>
      <c r="AD26" s="525"/>
      <c r="AE26" s="525">
        <f>('Malaria-Key Info'!$G$57*'HPM costs'!L170)/'HPM costs'!$E$170</f>
        <v>0</v>
      </c>
      <c r="AF26" s="525"/>
      <c r="AG26" s="525">
        <f>('Malaria-Key Info'!$G$57*'HPM costs'!M170)/'HPM costs'!$E$170</f>
        <v>0</v>
      </c>
      <c r="AH26" s="525"/>
      <c r="AI26" s="525">
        <f>('Malaria-Key Info'!$G$57*'HPM costs'!N170)/'HPM costs'!$E$170</f>
        <v>0</v>
      </c>
      <c r="AJ26" s="525"/>
      <c r="AK26" s="1154">
        <f t="shared" si="1"/>
        <v>0</v>
      </c>
      <c r="AL26" s="1155"/>
      <c r="AM26" s="1156"/>
      <c r="AN26" s="529"/>
      <c r="AO26" s="525"/>
      <c r="AP26" s="525">
        <f>('Malaria-Key Info'!$G$57*'HPM costs'!P170)/'HPM costs'!$E$170</f>
        <v>0</v>
      </c>
      <c r="AQ26" s="525"/>
      <c r="AR26" s="525">
        <f>('Malaria-Key Info'!$G$57*'HPM costs'!Q170)/'HPM costs'!$E$170</f>
        <v>0</v>
      </c>
      <c r="AS26" s="525"/>
      <c r="AT26" s="525">
        <f>('Malaria-Key Info'!$G$57*'HPM costs'!R170)/'HPM costs'!$E$170</f>
        <v>0</v>
      </c>
      <c r="AU26" s="525"/>
      <c r="AV26" s="525">
        <f>('Malaria-Key Info'!$G$57*'HPM costs'!S170)/'HPM costs'!$E$170</f>
        <v>0</v>
      </c>
      <c r="AW26" s="525"/>
      <c r="AX26" s="1154">
        <f t="shared" si="2"/>
        <v>0</v>
      </c>
      <c r="AY26" s="1154"/>
      <c r="AZ26" s="528"/>
      <c r="BA26" s="529"/>
      <c r="BB26" s="527"/>
      <c r="BC26" s="527">
        <v>0</v>
      </c>
      <c r="BD26" s="527">
        <v>0</v>
      </c>
      <c r="BE26" s="527">
        <v>0</v>
      </c>
      <c r="BF26" s="527">
        <v>0</v>
      </c>
      <c r="BG26" s="527">
        <v>0</v>
      </c>
      <c r="BH26" s="527">
        <v>0</v>
      </c>
      <c r="BI26" s="527">
        <v>0</v>
      </c>
      <c r="BJ26" s="527">
        <v>0</v>
      </c>
      <c r="BK26" s="1154">
        <f t="shared" si="3"/>
        <v>0</v>
      </c>
      <c r="BL26" s="1154"/>
      <c r="BM26" s="1154">
        <f t="shared" si="4"/>
        <v>0</v>
      </c>
      <c r="BN26" s="1154">
        <f t="shared" si="5"/>
        <v>0</v>
      </c>
      <c r="BO26" s="527"/>
      <c r="BP26" s="527"/>
      <c r="BQ26" s="1157">
        <v>0</v>
      </c>
      <c r="BR26" s="1157" t="s">
        <v>19</v>
      </c>
      <c r="BS26" s="1157" t="s">
        <v>2560</v>
      </c>
      <c r="BT26" s="1376" t="s">
        <v>560</v>
      </c>
    </row>
    <row r="27" spans="1:72" s="512" customFormat="1" ht="13" hidden="1">
      <c r="A27" s="1204">
        <v>26</v>
      </c>
      <c r="B27" s="1205" t="s">
        <v>523</v>
      </c>
      <c r="C27" s="1205" t="s">
        <v>559</v>
      </c>
      <c r="D27" s="1206" t="s">
        <v>527</v>
      </c>
      <c r="E27" s="1386" t="s">
        <v>528</v>
      </c>
      <c r="F27" s="521"/>
      <c r="G27" s="522"/>
      <c r="H27" s="522"/>
      <c r="I27" s="522"/>
      <c r="J27" s="523"/>
      <c r="K27" s="523"/>
      <c r="L27" s="523"/>
      <c r="M27" s="524"/>
      <c r="N27" s="525"/>
      <c r="O27" s="526" t="s">
        <v>1237</v>
      </c>
      <c r="P27" s="525">
        <f>'Malaria-Key Info'!$G$57*'HPM costs'!F84</f>
        <v>0</v>
      </c>
      <c r="Q27" s="525" t="s">
        <v>1237</v>
      </c>
      <c r="R27" s="525">
        <f>'Malaria-Key Info'!$G$57*'HPM costs'!G84</f>
        <v>0</v>
      </c>
      <c r="S27" s="525" t="s">
        <v>1237</v>
      </c>
      <c r="T27" s="525">
        <f>'Malaria-Key Info'!$G$57*'HPM costs'!H84</f>
        <v>0</v>
      </c>
      <c r="U27" s="525" t="s">
        <v>1237</v>
      </c>
      <c r="V27" s="525">
        <f>'Malaria-Key Info'!$G$57*'HPM costs'!I84</f>
        <v>0</v>
      </c>
      <c r="W27" s="525"/>
      <c r="X27" s="1154">
        <f t="shared" si="0"/>
        <v>0</v>
      </c>
      <c r="Y27" s="1155"/>
      <c r="Z27" s="1156"/>
      <c r="AA27" s="529"/>
      <c r="AB27" s="525"/>
      <c r="AC27" s="525">
        <f>'Malaria-Key Info'!$G$57*'HPM costs'!K84</f>
        <v>0</v>
      </c>
      <c r="AD27" s="525"/>
      <c r="AE27" s="525">
        <f>'Malaria-Key Info'!$G$57*'HPM costs'!L84</f>
        <v>0</v>
      </c>
      <c r="AF27" s="525"/>
      <c r="AG27" s="525">
        <f>'Malaria-Key Info'!$G$57*'HPM costs'!M84</f>
        <v>0</v>
      </c>
      <c r="AH27" s="525"/>
      <c r="AI27" s="525">
        <f>'Malaria-Key Info'!$G$57*'HPM costs'!N84</f>
        <v>0</v>
      </c>
      <c r="AJ27" s="525"/>
      <c r="AK27" s="1154">
        <f t="shared" si="1"/>
        <v>0</v>
      </c>
      <c r="AL27" s="1155"/>
      <c r="AM27" s="1156"/>
      <c r="AN27" s="529"/>
      <c r="AO27" s="525"/>
      <c r="AP27" s="525">
        <f>'Malaria-Key Info'!$G$57*'HPM costs'!P84</f>
        <v>0</v>
      </c>
      <c r="AQ27" s="525"/>
      <c r="AR27" s="525">
        <f>'Malaria-Key Info'!$G$57*'HPM costs'!Q84</f>
        <v>0</v>
      </c>
      <c r="AS27" s="525"/>
      <c r="AT27" s="525">
        <f>'Malaria-Key Info'!$G$57*'HPM costs'!R84</f>
        <v>0</v>
      </c>
      <c r="AU27" s="525"/>
      <c r="AV27" s="525">
        <f>'Malaria-Key Info'!$G$57*'HPM costs'!S84</f>
        <v>0</v>
      </c>
      <c r="AW27" s="525"/>
      <c r="AX27" s="1154">
        <f t="shared" si="2"/>
        <v>0</v>
      </c>
      <c r="AY27" s="1154"/>
      <c r="AZ27" s="528"/>
      <c r="BA27" s="529"/>
      <c r="BB27" s="527"/>
      <c r="BC27" s="527">
        <v>0</v>
      </c>
      <c r="BD27" s="527">
        <v>0</v>
      </c>
      <c r="BE27" s="527">
        <v>0</v>
      </c>
      <c r="BF27" s="527">
        <v>0</v>
      </c>
      <c r="BG27" s="527">
        <v>0</v>
      </c>
      <c r="BH27" s="527">
        <v>0</v>
      </c>
      <c r="BI27" s="527">
        <v>0</v>
      </c>
      <c r="BJ27" s="527">
        <v>0</v>
      </c>
      <c r="BK27" s="1154">
        <f t="shared" si="3"/>
        <v>0</v>
      </c>
      <c r="BL27" s="1154"/>
      <c r="BM27" s="1154">
        <f t="shared" si="4"/>
        <v>0</v>
      </c>
      <c r="BN27" s="1154">
        <f t="shared" si="5"/>
        <v>0</v>
      </c>
      <c r="BO27" s="527"/>
      <c r="BP27" s="527"/>
      <c r="BQ27" s="1157">
        <v>0</v>
      </c>
      <c r="BR27" s="1157" t="s">
        <v>19</v>
      </c>
      <c r="BS27" s="1157" t="s">
        <v>527</v>
      </c>
      <c r="BT27" s="1376" t="s">
        <v>561</v>
      </c>
    </row>
    <row r="28" spans="1:72" s="512" customFormat="1" ht="13" hidden="1">
      <c r="A28" s="1204">
        <v>27</v>
      </c>
      <c r="B28" s="1205" t="s">
        <v>523</v>
      </c>
      <c r="C28" s="1205" t="s">
        <v>559</v>
      </c>
      <c r="D28" s="1206" t="s">
        <v>527</v>
      </c>
      <c r="E28" s="1386" t="s">
        <v>530</v>
      </c>
      <c r="F28" s="521"/>
      <c r="G28" s="522"/>
      <c r="H28" s="522"/>
      <c r="I28" s="522"/>
      <c r="J28" s="523"/>
      <c r="K28" s="523"/>
      <c r="L28" s="523"/>
      <c r="M28" s="524"/>
      <c r="N28" s="525"/>
      <c r="O28" s="526" t="s">
        <v>1237</v>
      </c>
      <c r="P28" s="525">
        <f>'Malaria-Key Info'!$G$57*'HPM costs'!F170</f>
        <v>0</v>
      </c>
      <c r="Q28" s="525" t="s">
        <v>1237</v>
      </c>
      <c r="R28" s="525">
        <f>'Malaria-Key Info'!$G$57*'HPM costs'!G170</f>
        <v>0</v>
      </c>
      <c r="S28" s="525" t="s">
        <v>1237</v>
      </c>
      <c r="T28" s="525">
        <f>'Malaria-Key Info'!$G$57*'HPM costs'!H170</f>
        <v>0</v>
      </c>
      <c r="U28" s="525" t="s">
        <v>1237</v>
      </c>
      <c r="V28" s="525">
        <f>'Malaria-Key Info'!$G$57*'HPM costs'!I170</f>
        <v>0</v>
      </c>
      <c r="W28" s="525"/>
      <c r="X28" s="1154">
        <f t="shared" si="0"/>
        <v>0</v>
      </c>
      <c r="Y28" s="1155"/>
      <c r="Z28" s="1156"/>
      <c r="AA28" s="529"/>
      <c r="AB28" s="525"/>
      <c r="AC28" s="525">
        <f>'Malaria-Key Info'!$G$57*'HPM costs'!K170</f>
        <v>0</v>
      </c>
      <c r="AD28" s="525"/>
      <c r="AE28" s="525">
        <f>'Malaria-Key Info'!$G$57*'HPM costs'!L170</f>
        <v>0</v>
      </c>
      <c r="AF28" s="525"/>
      <c r="AG28" s="525">
        <f>'Malaria-Key Info'!$G$57*'HPM costs'!M170</f>
        <v>0</v>
      </c>
      <c r="AH28" s="525"/>
      <c r="AI28" s="525">
        <f>'Malaria-Key Info'!$G$57*'HPM costs'!N170</f>
        <v>0</v>
      </c>
      <c r="AJ28" s="525"/>
      <c r="AK28" s="1154">
        <f t="shared" si="1"/>
        <v>0</v>
      </c>
      <c r="AL28" s="1155"/>
      <c r="AM28" s="1156"/>
      <c r="AN28" s="529"/>
      <c r="AO28" s="525"/>
      <c r="AP28" s="525">
        <f>'Malaria-Key Info'!$G$57*'HPM costs'!P170</f>
        <v>0</v>
      </c>
      <c r="AQ28" s="525"/>
      <c r="AR28" s="525">
        <f>'Malaria-Key Info'!$G$57*'HPM costs'!Q170</f>
        <v>0</v>
      </c>
      <c r="AS28" s="525"/>
      <c r="AT28" s="525">
        <f>'Malaria-Key Info'!$G$57*'HPM costs'!R170</f>
        <v>0</v>
      </c>
      <c r="AU28" s="525"/>
      <c r="AV28" s="525">
        <f>'Malaria-Key Info'!$G$57*'HPM costs'!S170</f>
        <v>0</v>
      </c>
      <c r="AW28" s="525"/>
      <c r="AX28" s="1154">
        <f t="shared" si="2"/>
        <v>0</v>
      </c>
      <c r="AY28" s="1154"/>
      <c r="AZ28" s="528"/>
      <c r="BA28" s="529"/>
      <c r="BB28" s="527"/>
      <c r="BC28" s="527">
        <v>0</v>
      </c>
      <c r="BD28" s="527">
        <v>0</v>
      </c>
      <c r="BE28" s="527">
        <v>0</v>
      </c>
      <c r="BF28" s="527">
        <v>0</v>
      </c>
      <c r="BG28" s="527">
        <v>0</v>
      </c>
      <c r="BH28" s="527">
        <v>0</v>
      </c>
      <c r="BI28" s="527">
        <v>0</v>
      </c>
      <c r="BJ28" s="527">
        <v>0</v>
      </c>
      <c r="BK28" s="1154">
        <f t="shared" si="3"/>
        <v>0</v>
      </c>
      <c r="BL28" s="1154"/>
      <c r="BM28" s="1154">
        <f t="shared" si="4"/>
        <v>0</v>
      </c>
      <c r="BN28" s="1154">
        <f t="shared" si="5"/>
        <v>0</v>
      </c>
      <c r="BO28" s="527"/>
      <c r="BP28" s="527"/>
      <c r="BQ28" s="1157">
        <v>0</v>
      </c>
      <c r="BR28" s="1157" t="s">
        <v>19</v>
      </c>
      <c r="BS28" s="1157" t="s">
        <v>527</v>
      </c>
      <c r="BT28" s="1376" t="s">
        <v>562</v>
      </c>
    </row>
    <row r="29" spans="1:72" s="512" customFormat="1" ht="13" hidden="1">
      <c r="A29" s="1204">
        <v>28</v>
      </c>
      <c r="B29" s="1205" t="s">
        <v>523</v>
      </c>
      <c r="C29" s="1205" t="s">
        <v>559</v>
      </c>
      <c r="D29" s="1206" t="s">
        <v>527</v>
      </c>
      <c r="E29" s="1386" t="s">
        <v>532</v>
      </c>
      <c r="F29" s="521"/>
      <c r="G29" s="522"/>
      <c r="H29" s="522"/>
      <c r="I29" s="522"/>
      <c r="J29" s="523"/>
      <c r="K29" s="523"/>
      <c r="L29" s="523"/>
      <c r="M29" s="524"/>
      <c r="N29" s="525"/>
      <c r="O29" s="526" t="s">
        <v>1237</v>
      </c>
      <c r="P29" s="525">
        <f>'Malaria-Key Info'!$G$57*'HPM costs'!F430</f>
        <v>0</v>
      </c>
      <c r="Q29" s="525" t="s">
        <v>1237</v>
      </c>
      <c r="R29" s="525">
        <f>'Malaria-Key Info'!$G$57*'HPM costs'!G430</f>
        <v>0</v>
      </c>
      <c r="S29" s="525" t="s">
        <v>1237</v>
      </c>
      <c r="T29" s="525">
        <f>'Malaria-Key Info'!$G$57*'HPM costs'!H430</f>
        <v>0</v>
      </c>
      <c r="U29" s="525" t="s">
        <v>1237</v>
      </c>
      <c r="V29" s="525">
        <f>'Malaria-Key Info'!$G$57*'HPM costs'!I430</f>
        <v>0</v>
      </c>
      <c r="W29" s="525"/>
      <c r="X29" s="1154">
        <f t="shared" si="0"/>
        <v>0</v>
      </c>
      <c r="Y29" s="1155"/>
      <c r="Z29" s="1156"/>
      <c r="AA29" s="529"/>
      <c r="AB29" s="525"/>
      <c r="AC29" s="525">
        <f>'Malaria-Key Info'!$G$57*'HPM costs'!K430</f>
        <v>0</v>
      </c>
      <c r="AD29" s="525"/>
      <c r="AE29" s="525">
        <f>'Malaria-Key Info'!$G$57*'HPM costs'!L430</f>
        <v>0</v>
      </c>
      <c r="AF29" s="525"/>
      <c r="AG29" s="525">
        <f>'Malaria-Key Info'!$G$57*'HPM costs'!M430</f>
        <v>0</v>
      </c>
      <c r="AH29" s="525"/>
      <c r="AI29" s="525">
        <f>'Malaria-Key Info'!$G$57*'HPM costs'!N430</f>
        <v>0</v>
      </c>
      <c r="AJ29" s="525"/>
      <c r="AK29" s="1154">
        <f t="shared" si="1"/>
        <v>0</v>
      </c>
      <c r="AL29" s="1155"/>
      <c r="AM29" s="1156"/>
      <c r="AN29" s="529"/>
      <c r="AO29" s="525"/>
      <c r="AP29" s="525">
        <f>'Malaria-Key Info'!$G$57*'HPM costs'!P430</f>
        <v>0</v>
      </c>
      <c r="AQ29" s="525"/>
      <c r="AR29" s="525">
        <f>'Malaria-Key Info'!$G$57*'HPM costs'!Q430</f>
        <v>0</v>
      </c>
      <c r="AS29" s="525"/>
      <c r="AT29" s="525">
        <f>'Malaria-Key Info'!$G$57*'HPM costs'!R430</f>
        <v>0</v>
      </c>
      <c r="AU29" s="525"/>
      <c r="AV29" s="525">
        <f>'Malaria-Key Info'!$G$57*'HPM costs'!S430</f>
        <v>0</v>
      </c>
      <c r="AW29" s="525"/>
      <c r="AX29" s="1154">
        <f t="shared" si="2"/>
        <v>0</v>
      </c>
      <c r="AY29" s="1154"/>
      <c r="AZ29" s="528"/>
      <c r="BA29" s="529"/>
      <c r="BB29" s="527"/>
      <c r="BC29" s="527">
        <v>0</v>
      </c>
      <c r="BD29" s="527">
        <v>0</v>
      </c>
      <c r="BE29" s="527">
        <v>0</v>
      </c>
      <c r="BF29" s="527">
        <v>0</v>
      </c>
      <c r="BG29" s="527">
        <v>0</v>
      </c>
      <c r="BH29" s="527">
        <v>0</v>
      </c>
      <c r="BI29" s="527">
        <v>0</v>
      </c>
      <c r="BJ29" s="527">
        <v>0</v>
      </c>
      <c r="BK29" s="1154">
        <f t="shared" si="3"/>
        <v>0</v>
      </c>
      <c r="BL29" s="1154"/>
      <c r="BM29" s="1154">
        <f t="shared" si="4"/>
        <v>0</v>
      </c>
      <c r="BN29" s="1154">
        <f t="shared" si="5"/>
        <v>0</v>
      </c>
      <c r="BO29" s="527"/>
      <c r="BP29" s="527"/>
      <c r="BQ29" s="1157">
        <v>0</v>
      </c>
      <c r="BR29" s="1157" t="s">
        <v>19</v>
      </c>
      <c r="BS29" s="1157" t="s">
        <v>527</v>
      </c>
      <c r="BT29" s="1376" t="s">
        <v>563</v>
      </c>
    </row>
    <row r="30" spans="1:72" s="512" customFormat="1" ht="13" hidden="1">
      <c r="A30" s="1204">
        <v>29</v>
      </c>
      <c r="B30" s="1205" t="s">
        <v>523</v>
      </c>
      <c r="C30" s="1205" t="s">
        <v>559</v>
      </c>
      <c r="D30" s="1206" t="s">
        <v>527</v>
      </c>
      <c r="E30" s="1386" t="s">
        <v>534</v>
      </c>
      <c r="F30" s="521"/>
      <c r="G30" s="522"/>
      <c r="H30" s="522"/>
      <c r="I30" s="522"/>
      <c r="J30" s="523"/>
      <c r="K30" s="523"/>
      <c r="L30" s="523"/>
      <c r="M30" s="524"/>
      <c r="N30" s="525"/>
      <c r="O30" s="526" t="s">
        <v>1237</v>
      </c>
      <c r="P30" s="525">
        <f>'Malaria-Key Info'!$G$57*'HPM costs'!F516</f>
        <v>0</v>
      </c>
      <c r="Q30" s="525" t="s">
        <v>1237</v>
      </c>
      <c r="R30" s="525">
        <f>'Malaria-Key Info'!$G$57*'HPM costs'!G516</f>
        <v>0</v>
      </c>
      <c r="S30" s="525" t="s">
        <v>1237</v>
      </c>
      <c r="T30" s="525">
        <f>'Malaria-Key Info'!$G$57*'HPM costs'!H516</f>
        <v>0</v>
      </c>
      <c r="U30" s="525" t="s">
        <v>1237</v>
      </c>
      <c r="V30" s="525">
        <f>'Malaria-Key Info'!$G$57*'HPM costs'!I516</f>
        <v>0</v>
      </c>
      <c r="W30" s="525"/>
      <c r="X30" s="1154">
        <f t="shared" si="0"/>
        <v>0</v>
      </c>
      <c r="Y30" s="1155"/>
      <c r="Z30" s="1156"/>
      <c r="AA30" s="529"/>
      <c r="AB30" s="525"/>
      <c r="AC30" s="525">
        <f>'Malaria-Key Info'!$G$57*'HPM costs'!K516</f>
        <v>0</v>
      </c>
      <c r="AD30" s="525"/>
      <c r="AE30" s="525">
        <f>'Malaria-Key Info'!$G$57*'HPM costs'!L516</f>
        <v>0</v>
      </c>
      <c r="AF30" s="525"/>
      <c r="AG30" s="525">
        <f>'Malaria-Key Info'!$G$57*'HPM costs'!M516</f>
        <v>0</v>
      </c>
      <c r="AH30" s="525"/>
      <c r="AI30" s="525">
        <f>'Malaria-Key Info'!$G$57*'HPM costs'!N516</f>
        <v>0</v>
      </c>
      <c r="AJ30" s="525"/>
      <c r="AK30" s="1154">
        <f t="shared" si="1"/>
        <v>0</v>
      </c>
      <c r="AL30" s="1155"/>
      <c r="AM30" s="1156"/>
      <c r="AN30" s="529"/>
      <c r="AO30" s="525"/>
      <c r="AP30" s="525">
        <f>'Malaria-Key Info'!$G$57*'HPM costs'!P516</f>
        <v>0</v>
      </c>
      <c r="AQ30" s="525"/>
      <c r="AR30" s="525">
        <f>'Malaria-Key Info'!$G$57*'HPM costs'!Q516</f>
        <v>0</v>
      </c>
      <c r="AS30" s="525"/>
      <c r="AT30" s="525">
        <f>'Malaria-Key Info'!$G$57*'HPM costs'!R516</f>
        <v>0</v>
      </c>
      <c r="AU30" s="525"/>
      <c r="AV30" s="525">
        <f>'Malaria-Key Info'!$G$57*'HPM costs'!S516</f>
        <v>0</v>
      </c>
      <c r="AW30" s="525"/>
      <c r="AX30" s="1154">
        <f t="shared" si="2"/>
        <v>0</v>
      </c>
      <c r="AY30" s="1154"/>
      <c r="AZ30" s="528"/>
      <c r="BA30" s="529"/>
      <c r="BB30" s="527"/>
      <c r="BC30" s="527">
        <v>0</v>
      </c>
      <c r="BD30" s="527">
        <v>0</v>
      </c>
      <c r="BE30" s="527">
        <v>0</v>
      </c>
      <c r="BF30" s="527">
        <v>0</v>
      </c>
      <c r="BG30" s="527">
        <v>0</v>
      </c>
      <c r="BH30" s="527">
        <v>0</v>
      </c>
      <c r="BI30" s="527">
        <v>0</v>
      </c>
      <c r="BJ30" s="527">
        <v>0</v>
      </c>
      <c r="BK30" s="1154">
        <f t="shared" si="3"/>
        <v>0</v>
      </c>
      <c r="BL30" s="1154"/>
      <c r="BM30" s="1154">
        <f t="shared" si="4"/>
        <v>0</v>
      </c>
      <c r="BN30" s="1154">
        <f t="shared" si="5"/>
        <v>0</v>
      </c>
      <c r="BO30" s="527"/>
      <c r="BP30" s="527"/>
      <c r="BQ30" s="1157">
        <v>0</v>
      </c>
      <c r="BR30" s="1157" t="s">
        <v>19</v>
      </c>
      <c r="BS30" s="1157" t="s">
        <v>527</v>
      </c>
      <c r="BT30" s="1376" t="s">
        <v>564</v>
      </c>
    </row>
    <row r="31" spans="1:72" s="512" customFormat="1" ht="13" hidden="1">
      <c r="A31" s="1204">
        <v>30</v>
      </c>
      <c r="B31" s="1205" t="s">
        <v>523</v>
      </c>
      <c r="C31" s="1205" t="s">
        <v>559</v>
      </c>
      <c r="D31" s="1206" t="s">
        <v>527</v>
      </c>
      <c r="E31" s="1386" t="s">
        <v>536</v>
      </c>
      <c r="F31" s="521"/>
      <c r="G31" s="522"/>
      <c r="H31" s="522"/>
      <c r="I31" s="522"/>
      <c r="J31" s="523"/>
      <c r="K31" s="523"/>
      <c r="L31" s="523"/>
      <c r="M31" s="524"/>
      <c r="N31" s="525"/>
      <c r="O31" s="526" t="s">
        <v>1237</v>
      </c>
      <c r="P31" s="525">
        <f>'Malaria-Key Info'!$G$57*('HPM costs'!F256+'HPM costs'!F602)</f>
        <v>0</v>
      </c>
      <c r="Q31" s="525" t="s">
        <v>1237</v>
      </c>
      <c r="R31" s="525">
        <f>'Malaria-Key Info'!$G$57*('HPM costs'!G256+'HPM costs'!G602)</f>
        <v>0</v>
      </c>
      <c r="S31" s="525" t="s">
        <v>1237</v>
      </c>
      <c r="T31" s="525">
        <f>'Malaria-Key Info'!$G$57*('HPM costs'!H256+'HPM costs'!H602)</f>
        <v>0</v>
      </c>
      <c r="U31" s="525" t="s">
        <v>1237</v>
      </c>
      <c r="V31" s="525">
        <f>'Malaria-Key Info'!$G$57*('HPM costs'!I256+'HPM costs'!I602)</f>
        <v>0</v>
      </c>
      <c r="W31" s="525"/>
      <c r="X31" s="1154">
        <f t="shared" si="0"/>
        <v>0</v>
      </c>
      <c r="Y31" s="1155"/>
      <c r="Z31" s="1156"/>
      <c r="AA31" s="529"/>
      <c r="AB31" s="525"/>
      <c r="AC31" s="525">
        <f>'Malaria-Key Info'!$G$57*('HPM costs'!K256+'HPM costs'!K602)</f>
        <v>0</v>
      </c>
      <c r="AD31" s="525"/>
      <c r="AE31" s="525">
        <f>'Malaria-Key Info'!$G$57*('HPM costs'!L256+'HPM costs'!L602)</f>
        <v>0</v>
      </c>
      <c r="AF31" s="525"/>
      <c r="AG31" s="525">
        <f>'Malaria-Key Info'!$G$57*('HPM costs'!M256+'HPM costs'!M602)</f>
        <v>0</v>
      </c>
      <c r="AH31" s="525"/>
      <c r="AI31" s="525">
        <f>'Malaria-Key Info'!$G$57*('HPM costs'!N256+'HPM costs'!N602)</f>
        <v>0</v>
      </c>
      <c r="AJ31" s="525"/>
      <c r="AK31" s="1154">
        <f t="shared" si="1"/>
        <v>0</v>
      </c>
      <c r="AL31" s="1155"/>
      <c r="AM31" s="1156"/>
      <c r="AN31" s="529"/>
      <c r="AO31" s="525"/>
      <c r="AP31" s="525">
        <f>'Malaria-Key Info'!$G$57*('HPM costs'!P256+'HPM costs'!P602)</f>
        <v>0</v>
      </c>
      <c r="AQ31" s="525"/>
      <c r="AR31" s="525">
        <f>'Malaria-Key Info'!$G$57*('HPM costs'!Q256+'HPM costs'!Q602)</f>
        <v>0</v>
      </c>
      <c r="AS31" s="525"/>
      <c r="AT31" s="525">
        <f>'Malaria-Key Info'!$G$57*('HPM costs'!R256+'HPM costs'!R602)</f>
        <v>0</v>
      </c>
      <c r="AU31" s="525"/>
      <c r="AV31" s="525">
        <f>'Malaria-Key Info'!$G$57*('HPM costs'!S256+'HPM costs'!S602)</f>
        <v>0</v>
      </c>
      <c r="AW31" s="525"/>
      <c r="AX31" s="1154">
        <f t="shared" si="2"/>
        <v>0</v>
      </c>
      <c r="AY31" s="1154"/>
      <c r="AZ31" s="528"/>
      <c r="BA31" s="529"/>
      <c r="BB31" s="527"/>
      <c r="BC31" s="527">
        <v>0</v>
      </c>
      <c r="BD31" s="527">
        <v>0</v>
      </c>
      <c r="BE31" s="527">
        <v>0</v>
      </c>
      <c r="BF31" s="527">
        <v>0</v>
      </c>
      <c r="BG31" s="527">
        <v>0</v>
      </c>
      <c r="BH31" s="527">
        <v>0</v>
      </c>
      <c r="BI31" s="527">
        <v>0</v>
      </c>
      <c r="BJ31" s="527">
        <v>0</v>
      </c>
      <c r="BK31" s="1154">
        <f t="shared" si="3"/>
        <v>0</v>
      </c>
      <c r="BL31" s="1154"/>
      <c r="BM31" s="1154">
        <f t="shared" si="4"/>
        <v>0</v>
      </c>
      <c r="BN31" s="1154">
        <f t="shared" si="5"/>
        <v>0</v>
      </c>
      <c r="BO31" s="527"/>
      <c r="BP31" s="527"/>
      <c r="BQ31" s="1157">
        <v>0</v>
      </c>
      <c r="BR31" s="1157" t="s">
        <v>19</v>
      </c>
      <c r="BS31" s="1157" t="s">
        <v>527</v>
      </c>
      <c r="BT31" s="1376" t="s">
        <v>565</v>
      </c>
    </row>
    <row r="32" spans="1:72" s="512" customFormat="1" ht="13" hidden="1">
      <c r="A32" s="1204">
        <v>31</v>
      </c>
      <c r="B32" s="1205" t="s">
        <v>523</v>
      </c>
      <c r="C32" s="1205" t="s">
        <v>559</v>
      </c>
      <c r="D32" s="1206" t="s">
        <v>527</v>
      </c>
      <c r="E32" s="1386" t="s">
        <v>538</v>
      </c>
      <c r="F32" s="521"/>
      <c r="G32" s="522"/>
      <c r="H32" s="522"/>
      <c r="I32" s="522"/>
      <c r="J32" s="523"/>
      <c r="K32" s="523"/>
      <c r="L32" s="523"/>
      <c r="M32" s="524"/>
      <c r="N32" s="525"/>
      <c r="O32" s="526" t="s">
        <v>1237</v>
      </c>
      <c r="P32" s="525">
        <f>'Malaria-Key Info'!$G$57*'HPM costs'!F342</f>
        <v>0</v>
      </c>
      <c r="Q32" s="525" t="s">
        <v>1237</v>
      </c>
      <c r="R32" s="525">
        <f>'Malaria-Key Info'!$G$57*'HPM costs'!G342</f>
        <v>0</v>
      </c>
      <c r="S32" s="525" t="s">
        <v>1237</v>
      </c>
      <c r="T32" s="525">
        <f>'Malaria-Key Info'!$G$57*'HPM costs'!H342</f>
        <v>0</v>
      </c>
      <c r="U32" s="525" t="s">
        <v>1237</v>
      </c>
      <c r="V32" s="525">
        <f>'Malaria-Key Info'!$G$57*'HPM costs'!I342</f>
        <v>0</v>
      </c>
      <c r="W32" s="525"/>
      <c r="X32" s="1154">
        <f t="shared" si="0"/>
        <v>0</v>
      </c>
      <c r="Y32" s="1155"/>
      <c r="Z32" s="1156"/>
      <c r="AA32" s="529"/>
      <c r="AB32" s="525"/>
      <c r="AC32" s="525">
        <f>'Malaria-Key Info'!$G$57*'HPM costs'!K342</f>
        <v>0</v>
      </c>
      <c r="AD32" s="525"/>
      <c r="AE32" s="525">
        <f>'Malaria-Key Info'!$G$57*'HPM costs'!L342</f>
        <v>0</v>
      </c>
      <c r="AF32" s="525"/>
      <c r="AG32" s="525">
        <f>'Malaria-Key Info'!$G$57*'HPM costs'!M342</f>
        <v>0</v>
      </c>
      <c r="AH32" s="525"/>
      <c r="AI32" s="525">
        <f>'Malaria-Key Info'!$G$57*'HPM costs'!N342</f>
        <v>0</v>
      </c>
      <c r="AJ32" s="525"/>
      <c r="AK32" s="1154">
        <f t="shared" si="1"/>
        <v>0</v>
      </c>
      <c r="AL32" s="1155"/>
      <c r="AM32" s="1156"/>
      <c r="AN32" s="529"/>
      <c r="AO32" s="525"/>
      <c r="AP32" s="525">
        <f>'Malaria-Key Info'!$G$57*'HPM costs'!P342</f>
        <v>0</v>
      </c>
      <c r="AQ32" s="525"/>
      <c r="AR32" s="525">
        <f>'Malaria-Key Info'!$G$57*'HPM costs'!Q342</f>
        <v>0</v>
      </c>
      <c r="AS32" s="525"/>
      <c r="AT32" s="525">
        <f>'Malaria-Key Info'!$G$57*'HPM costs'!R342</f>
        <v>0</v>
      </c>
      <c r="AU32" s="525"/>
      <c r="AV32" s="525">
        <f>'Malaria-Key Info'!$G$57*'HPM costs'!S342</f>
        <v>0</v>
      </c>
      <c r="AW32" s="525"/>
      <c r="AX32" s="1154">
        <f t="shared" si="2"/>
        <v>0</v>
      </c>
      <c r="AY32" s="1154"/>
      <c r="AZ32" s="528"/>
      <c r="BA32" s="529"/>
      <c r="BB32" s="527"/>
      <c r="BC32" s="527">
        <v>0</v>
      </c>
      <c r="BD32" s="527">
        <v>0</v>
      </c>
      <c r="BE32" s="527">
        <v>0</v>
      </c>
      <c r="BF32" s="527">
        <v>0</v>
      </c>
      <c r="BG32" s="527">
        <v>0</v>
      </c>
      <c r="BH32" s="527">
        <v>0</v>
      </c>
      <c r="BI32" s="527">
        <v>0</v>
      </c>
      <c r="BJ32" s="527">
        <v>0</v>
      </c>
      <c r="BK32" s="1154">
        <f t="shared" si="3"/>
        <v>0</v>
      </c>
      <c r="BL32" s="1154"/>
      <c r="BM32" s="1154">
        <f t="shared" si="4"/>
        <v>0</v>
      </c>
      <c r="BN32" s="1154">
        <f t="shared" si="5"/>
        <v>0</v>
      </c>
      <c r="BO32" s="527"/>
      <c r="BP32" s="527"/>
      <c r="BQ32" s="1157">
        <v>0</v>
      </c>
      <c r="BR32" s="1157" t="s">
        <v>19</v>
      </c>
      <c r="BS32" s="1157" t="s">
        <v>527</v>
      </c>
      <c r="BT32" s="1376" t="s">
        <v>566</v>
      </c>
    </row>
    <row r="33" spans="1:72" s="512" customFormat="1" ht="13" hidden="1">
      <c r="A33" s="1204">
        <v>32</v>
      </c>
      <c r="B33" s="1205" t="s">
        <v>523</v>
      </c>
      <c r="C33" s="1205" t="s">
        <v>559</v>
      </c>
      <c r="D33" s="1206" t="s">
        <v>527</v>
      </c>
      <c r="E33" s="1386" t="s">
        <v>540</v>
      </c>
      <c r="F33" s="521"/>
      <c r="G33" s="522"/>
      <c r="H33" s="522"/>
      <c r="I33" s="522"/>
      <c r="J33" s="523"/>
      <c r="K33" s="523"/>
      <c r="L33" s="523"/>
      <c r="M33" s="524"/>
      <c r="N33" s="525"/>
      <c r="O33" s="526" t="s">
        <v>1237</v>
      </c>
      <c r="P33" s="525">
        <f>'Malaria-Key Info'!$G$57*'HPM costs'!F687</f>
        <v>0</v>
      </c>
      <c r="Q33" s="525" t="s">
        <v>1237</v>
      </c>
      <c r="R33" s="525">
        <f>'Malaria-Key Info'!$G$57*'HPM costs'!G687</f>
        <v>0</v>
      </c>
      <c r="S33" s="525" t="s">
        <v>1237</v>
      </c>
      <c r="T33" s="525">
        <f>'Malaria-Key Info'!$G$57*'HPM costs'!H687</f>
        <v>0</v>
      </c>
      <c r="U33" s="525" t="s">
        <v>1237</v>
      </c>
      <c r="V33" s="525">
        <f>'Malaria-Key Info'!$G$57*'HPM costs'!I687</f>
        <v>0</v>
      </c>
      <c r="W33" s="525"/>
      <c r="X33" s="1154">
        <f t="shared" si="0"/>
        <v>0</v>
      </c>
      <c r="Y33" s="1155"/>
      <c r="Z33" s="1156"/>
      <c r="AA33" s="529"/>
      <c r="AB33" s="525"/>
      <c r="AC33" s="525">
        <f>'Malaria-Key Info'!$G$57*'HPM costs'!K687</f>
        <v>0</v>
      </c>
      <c r="AD33" s="525"/>
      <c r="AE33" s="525">
        <f>'Malaria-Key Info'!$G$57*'HPM costs'!L687</f>
        <v>0</v>
      </c>
      <c r="AF33" s="525"/>
      <c r="AG33" s="525">
        <f>'Malaria-Key Info'!$G$57*'HPM costs'!M687</f>
        <v>0</v>
      </c>
      <c r="AH33" s="525"/>
      <c r="AI33" s="525">
        <f>'Malaria-Key Info'!$G$57*'HPM costs'!N687</f>
        <v>0</v>
      </c>
      <c r="AJ33" s="525"/>
      <c r="AK33" s="1154">
        <f t="shared" si="1"/>
        <v>0</v>
      </c>
      <c r="AL33" s="1155"/>
      <c r="AM33" s="1156"/>
      <c r="AN33" s="529"/>
      <c r="AO33" s="525"/>
      <c r="AP33" s="525">
        <f>'Malaria-Key Info'!$G$57*'HPM costs'!P687</f>
        <v>0</v>
      </c>
      <c r="AQ33" s="525"/>
      <c r="AR33" s="525">
        <f>'Malaria-Key Info'!$G$57*'HPM costs'!Q687</f>
        <v>0</v>
      </c>
      <c r="AS33" s="525"/>
      <c r="AT33" s="525">
        <f>'Malaria-Key Info'!$G$57*'HPM costs'!R687</f>
        <v>0</v>
      </c>
      <c r="AU33" s="525"/>
      <c r="AV33" s="525">
        <f>'Malaria-Key Info'!$G$57*'HPM costs'!S687</f>
        <v>0</v>
      </c>
      <c r="AW33" s="525"/>
      <c r="AX33" s="1154">
        <f t="shared" si="2"/>
        <v>0</v>
      </c>
      <c r="AY33" s="1154"/>
      <c r="AZ33" s="528"/>
      <c r="BA33" s="529"/>
      <c r="BB33" s="527"/>
      <c r="BC33" s="527">
        <v>0</v>
      </c>
      <c r="BD33" s="527">
        <v>0</v>
      </c>
      <c r="BE33" s="527">
        <v>0</v>
      </c>
      <c r="BF33" s="527">
        <v>0</v>
      </c>
      <c r="BG33" s="527">
        <v>0</v>
      </c>
      <c r="BH33" s="527">
        <v>0</v>
      </c>
      <c r="BI33" s="527">
        <v>0</v>
      </c>
      <c r="BJ33" s="527">
        <v>0</v>
      </c>
      <c r="BK33" s="1154">
        <f t="shared" si="3"/>
        <v>0</v>
      </c>
      <c r="BL33" s="1154"/>
      <c r="BM33" s="1154">
        <f t="shared" si="4"/>
        <v>0</v>
      </c>
      <c r="BN33" s="1154">
        <f t="shared" si="5"/>
        <v>0</v>
      </c>
      <c r="BO33" s="527"/>
      <c r="BP33" s="527"/>
      <c r="BQ33" s="1157">
        <v>0</v>
      </c>
      <c r="BR33" s="1157" t="s">
        <v>19</v>
      </c>
      <c r="BS33" s="1157" t="s">
        <v>527</v>
      </c>
      <c r="BT33" s="1376" t="s">
        <v>1239</v>
      </c>
    </row>
    <row r="34" spans="1:72" s="512" customFormat="1" ht="13" hidden="1">
      <c r="A34" s="1204">
        <v>33</v>
      </c>
      <c r="B34" s="1205" t="s">
        <v>523</v>
      </c>
      <c r="C34" s="1205" t="s">
        <v>575</v>
      </c>
      <c r="D34" s="1206" t="s">
        <v>2560</v>
      </c>
      <c r="E34" s="1386" t="s">
        <v>525</v>
      </c>
      <c r="F34" s="521"/>
      <c r="G34" s="522"/>
      <c r="H34" s="522"/>
      <c r="I34" s="522"/>
      <c r="J34" s="523"/>
      <c r="K34" s="523"/>
      <c r="L34" s="523"/>
      <c r="M34" s="524"/>
      <c r="N34" s="525"/>
      <c r="O34" s="526" t="s">
        <v>1237</v>
      </c>
      <c r="P34" s="525">
        <f>('Malaria-Key Info'!$G$58*'HPM costs'!F170)/'HPM costs'!$E$170</f>
        <v>0</v>
      </c>
      <c r="Q34" s="525" t="s">
        <v>1237</v>
      </c>
      <c r="R34" s="525">
        <f>('Malaria-Key Info'!$G$58*'HPM costs'!G170)/'HPM costs'!$E$170</f>
        <v>0</v>
      </c>
      <c r="S34" s="525" t="s">
        <v>1237</v>
      </c>
      <c r="T34" s="525">
        <f>('Malaria-Key Info'!$G$58*'HPM costs'!H170)/'HPM costs'!$E$170</f>
        <v>0</v>
      </c>
      <c r="U34" s="525" t="s">
        <v>1237</v>
      </c>
      <c r="V34" s="525">
        <f>('Malaria-Key Info'!$G$58*'HPM costs'!I170)/'HPM costs'!$E$170</f>
        <v>0</v>
      </c>
      <c r="W34" s="525"/>
      <c r="X34" s="1154">
        <f t="shared" si="0"/>
        <v>0</v>
      </c>
      <c r="Y34" s="1155"/>
      <c r="Z34" s="1156"/>
      <c r="AA34" s="529"/>
      <c r="AB34" s="525"/>
      <c r="AC34" s="525">
        <f>('Malaria-Key Info'!$G$58*'HPM costs'!K170)/'HPM costs'!$E$170</f>
        <v>0</v>
      </c>
      <c r="AD34" s="525"/>
      <c r="AE34" s="525">
        <f>('Malaria-Key Info'!$G$58*'HPM costs'!L170)/'HPM costs'!$E$170</f>
        <v>0</v>
      </c>
      <c r="AF34" s="525"/>
      <c r="AG34" s="525">
        <f>('Malaria-Key Info'!$G$58*'HPM costs'!M170)/'HPM costs'!$E$170</f>
        <v>0</v>
      </c>
      <c r="AH34" s="525"/>
      <c r="AI34" s="525">
        <f>('Malaria-Key Info'!$G$58*'HPM costs'!N170)/'HPM costs'!$E$170</f>
        <v>0</v>
      </c>
      <c r="AJ34" s="525"/>
      <c r="AK34" s="1154">
        <f t="shared" si="1"/>
        <v>0</v>
      </c>
      <c r="AL34" s="1155"/>
      <c r="AM34" s="1156"/>
      <c r="AN34" s="529"/>
      <c r="AO34" s="525"/>
      <c r="AP34" s="525">
        <f>('Malaria-Key Info'!$G$58*'HPM costs'!P170)/'HPM costs'!$E$170</f>
        <v>0</v>
      </c>
      <c r="AQ34" s="525"/>
      <c r="AR34" s="525">
        <f>('Malaria-Key Info'!$G$58*'HPM costs'!Q170)/'HPM costs'!$E$170</f>
        <v>0</v>
      </c>
      <c r="AS34" s="525"/>
      <c r="AT34" s="525">
        <f>('Malaria-Key Info'!$G$58*'HPM costs'!R170)/'HPM costs'!$E$170</f>
        <v>0</v>
      </c>
      <c r="AU34" s="525"/>
      <c r="AV34" s="525">
        <f>('Malaria-Key Info'!$G$58*'HPM costs'!S170)/'HPM costs'!$E$170</f>
        <v>0</v>
      </c>
      <c r="AW34" s="525"/>
      <c r="AX34" s="1154">
        <f t="shared" si="2"/>
        <v>0</v>
      </c>
      <c r="AY34" s="1154"/>
      <c r="AZ34" s="528"/>
      <c r="BA34" s="529"/>
      <c r="BB34" s="527"/>
      <c r="BC34" s="527">
        <v>0</v>
      </c>
      <c r="BD34" s="527">
        <v>0</v>
      </c>
      <c r="BE34" s="527">
        <v>0</v>
      </c>
      <c r="BF34" s="527">
        <v>0</v>
      </c>
      <c r="BG34" s="527">
        <v>0</v>
      </c>
      <c r="BH34" s="527">
        <v>0</v>
      </c>
      <c r="BI34" s="527">
        <v>0</v>
      </c>
      <c r="BJ34" s="527">
        <v>0</v>
      </c>
      <c r="BK34" s="1154">
        <f t="shared" si="3"/>
        <v>0</v>
      </c>
      <c r="BL34" s="1154"/>
      <c r="BM34" s="1154">
        <f t="shared" si="4"/>
        <v>0</v>
      </c>
      <c r="BN34" s="1154">
        <f t="shared" si="5"/>
        <v>0</v>
      </c>
      <c r="BO34" s="527"/>
      <c r="BP34" s="527"/>
      <c r="BQ34" s="1157">
        <v>0</v>
      </c>
      <c r="BR34" s="1157" t="s">
        <v>19</v>
      </c>
      <c r="BS34" s="1157" t="s">
        <v>2560</v>
      </c>
      <c r="BT34" s="1376" t="s">
        <v>568</v>
      </c>
    </row>
    <row r="35" spans="1:72" s="512" customFormat="1" ht="13" hidden="1">
      <c r="A35" s="1204">
        <v>34</v>
      </c>
      <c r="B35" s="1205" t="s">
        <v>523</v>
      </c>
      <c r="C35" s="1205" t="s">
        <v>575</v>
      </c>
      <c r="D35" s="1206" t="s">
        <v>527</v>
      </c>
      <c r="E35" s="1386" t="s">
        <v>528</v>
      </c>
      <c r="F35" s="521"/>
      <c r="G35" s="522"/>
      <c r="H35" s="522"/>
      <c r="I35" s="522"/>
      <c r="J35" s="523"/>
      <c r="K35" s="523"/>
      <c r="L35" s="523"/>
      <c r="M35" s="524"/>
      <c r="N35" s="525"/>
      <c r="O35" s="526" t="s">
        <v>1237</v>
      </c>
      <c r="P35" s="525">
        <f>'Malaria-Key Info'!$G$58*'HPM costs'!F84</f>
        <v>0</v>
      </c>
      <c r="Q35" s="525" t="s">
        <v>1237</v>
      </c>
      <c r="R35" s="525">
        <f>'Malaria-Key Info'!$G$58*'HPM costs'!G84</f>
        <v>0</v>
      </c>
      <c r="S35" s="525" t="s">
        <v>1237</v>
      </c>
      <c r="T35" s="525">
        <f>'Malaria-Key Info'!$G$58*'HPM costs'!H84</f>
        <v>0</v>
      </c>
      <c r="U35" s="525" t="s">
        <v>1237</v>
      </c>
      <c r="V35" s="525">
        <f>'Malaria-Key Info'!$G$58*'HPM costs'!I84</f>
        <v>0</v>
      </c>
      <c r="W35" s="525"/>
      <c r="X35" s="1154">
        <f t="shared" si="0"/>
        <v>0</v>
      </c>
      <c r="Y35" s="1155"/>
      <c r="Z35" s="1156"/>
      <c r="AA35" s="529"/>
      <c r="AB35" s="525"/>
      <c r="AC35" s="525">
        <f>'Malaria-Key Info'!$G$58*'HPM costs'!K84</f>
        <v>0</v>
      </c>
      <c r="AD35" s="525"/>
      <c r="AE35" s="525">
        <f>'Malaria-Key Info'!$G$58*'HPM costs'!L84</f>
        <v>0</v>
      </c>
      <c r="AF35" s="525"/>
      <c r="AG35" s="525">
        <f>'Malaria-Key Info'!$G$58*'HPM costs'!M84</f>
        <v>0</v>
      </c>
      <c r="AH35" s="525"/>
      <c r="AI35" s="525">
        <f>'Malaria-Key Info'!$G$58*'HPM costs'!N84</f>
        <v>0</v>
      </c>
      <c r="AJ35" s="525"/>
      <c r="AK35" s="1154">
        <f t="shared" si="1"/>
        <v>0</v>
      </c>
      <c r="AL35" s="1155"/>
      <c r="AM35" s="1156"/>
      <c r="AN35" s="529"/>
      <c r="AO35" s="525"/>
      <c r="AP35" s="525">
        <f>'Malaria-Key Info'!$G$58*'HPM costs'!P84</f>
        <v>0</v>
      </c>
      <c r="AQ35" s="525"/>
      <c r="AR35" s="525">
        <f>'Malaria-Key Info'!$G$58*'HPM costs'!Q84</f>
        <v>0</v>
      </c>
      <c r="AS35" s="525"/>
      <c r="AT35" s="525">
        <f>'Malaria-Key Info'!$G$58*'HPM costs'!R84</f>
        <v>0</v>
      </c>
      <c r="AU35" s="525"/>
      <c r="AV35" s="525">
        <f>'Malaria-Key Info'!$G$58*'HPM costs'!S84</f>
        <v>0</v>
      </c>
      <c r="AW35" s="525"/>
      <c r="AX35" s="1154">
        <f t="shared" si="2"/>
        <v>0</v>
      </c>
      <c r="AY35" s="1154"/>
      <c r="AZ35" s="528"/>
      <c r="BA35" s="529"/>
      <c r="BB35" s="527"/>
      <c r="BC35" s="527">
        <v>0</v>
      </c>
      <c r="BD35" s="527">
        <v>0</v>
      </c>
      <c r="BE35" s="527">
        <v>0</v>
      </c>
      <c r="BF35" s="527">
        <v>0</v>
      </c>
      <c r="BG35" s="527">
        <v>0</v>
      </c>
      <c r="BH35" s="527">
        <v>0</v>
      </c>
      <c r="BI35" s="527">
        <v>0</v>
      </c>
      <c r="BJ35" s="527">
        <v>0</v>
      </c>
      <c r="BK35" s="1154">
        <f t="shared" si="3"/>
        <v>0</v>
      </c>
      <c r="BL35" s="1154"/>
      <c r="BM35" s="1154">
        <f t="shared" si="4"/>
        <v>0</v>
      </c>
      <c r="BN35" s="1154">
        <f t="shared" si="5"/>
        <v>0</v>
      </c>
      <c r="BO35" s="527"/>
      <c r="BP35" s="527"/>
      <c r="BQ35" s="1157">
        <v>0</v>
      </c>
      <c r="BR35" s="1157" t="s">
        <v>19</v>
      </c>
      <c r="BS35" s="1157" t="s">
        <v>527</v>
      </c>
      <c r="BT35" s="1376" t="s">
        <v>569</v>
      </c>
    </row>
    <row r="36" spans="1:72" s="512" customFormat="1" ht="13" hidden="1">
      <c r="A36" s="1204">
        <v>35</v>
      </c>
      <c r="B36" s="1205" t="s">
        <v>523</v>
      </c>
      <c r="C36" s="1205" t="s">
        <v>575</v>
      </c>
      <c r="D36" s="1206" t="s">
        <v>527</v>
      </c>
      <c r="E36" s="1386" t="s">
        <v>530</v>
      </c>
      <c r="F36" s="521"/>
      <c r="G36" s="522"/>
      <c r="H36" s="522"/>
      <c r="I36" s="522"/>
      <c r="J36" s="523"/>
      <c r="K36" s="523"/>
      <c r="L36" s="523"/>
      <c r="M36" s="524"/>
      <c r="N36" s="525"/>
      <c r="O36" s="526" t="s">
        <v>1237</v>
      </c>
      <c r="P36" s="525">
        <f>'Malaria-Key Info'!$G$58*'HPM costs'!F170</f>
        <v>0</v>
      </c>
      <c r="Q36" s="525" t="s">
        <v>1237</v>
      </c>
      <c r="R36" s="525">
        <f>'Malaria-Key Info'!$G$58*'HPM costs'!G170</f>
        <v>0</v>
      </c>
      <c r="S36" s="525" t="s">
        <v>1237</v>
      </c>
      <c r="T36" s="525">
        <f>'Malaria-Key Info'!$G$58*'HPM costs'!H170</f>
        <v>0</v>
      </c>
      <c r="U36" s="525" t="s">
        <v>1237</v>
      </c>
      <c r="V36" s="525">
        <f>'Malaria-Key Info'!$G$58*'HPM costs'!I170</f>
        <v>0</v>
      </c>
      <c r="W36" s="525"/>
      <c r="X36" s="1154">
        <f t="shared" si="0"/>
        <v>0</v>
      </c>
      <c r="Y36" s="1155"/>
      <c r="Z36" s="1156"/>
      <c r="AA36" s="529"/>
      <c r="AB36" s="525"/>
      <c r="AC36" s="525">
        <f>'Malaria-Key Info'!$G$58*'HPM costs'!K170</f>
        <v>0</v>
      </c>
      <c r="AD36" s="525"/>
      <c r="AE36" s="525">
        <f>'Malaria-Key Info'!$G$58*'HPM costs'!L170</f>
        <v>0</v>
      </c>
      <c r="AF36" s="525"/>
      <c r="AG36" s="525">
        <f>'Malaria-Key Info'!$G$58*'HPM costs'!M170</f>
        <v>0</v>
      </c>
      <c r="AH36" s="525"/>
      <c r="AI36" s="525">
        <f>'Malaria-Key Info'!$G$58*'HPM costs'!N170</f>
        <v>0</v>
      </c>
      <c r="AJ36" s="525"/>
      <c r="AK36" s="1154">
        <f t="shared" si="1"/>
        <v>0</v>
      </c>
      <c r="AL36" s="1155"/>
      <c r="AM36" s="1156"/>
      <c r="AN36" s="529"/>
      <c r="AO36" s="525"/>
      <c r="AP36" s="525">
        <f>'Malaria-Key Info'!$G$58*'HPM costs'!P170</f>
        <v>0</v>
      </c>
      <c r="AQ36" s="525"/>
      <c r="AR36" s="525">
        <f>'Malaria-Key Info'!$G$58*'HPM costs'!Q170</f>
        <v>0</v>
      </c>
      <c r="AS36" s="525"/>
      <c r="AT36" s="525">
        <f>'Malaria-Key Info'!$G$58*'HPM costs'!R170</f>
        <v>0</v>
      </c>
      <c r="AU36" s="525"/>
      <c r="AV36" s="525">
        <f>'Malaria-Key Info'!$G$58*'HPM costs'!S170</f>
        <v>0</v>
      </c>
      <c r="AW36" s="525"/>
      <c r="AX36" s="1154">
        <f t="shared" si="2"/>
        <v>0</v>
      </c>
      <c r="AY36" s="1154"/>
      <c r="AZ36" s="528"/>
      <c r="BA36" s="529"/>
      <c r="BB36" s="527"/>
      <c r="BC36" s="527">
        <v>0</v>
      </c>
      <c r="BD36" s="527">
        <v>0</v>
      </c>
      <c r="BE36" s="527">
        <v>0</v>
      </c>
      <c r="BF36" s="527">
        <v>0</v>
      </c>
      <c r="BG36" s="527">
        <v>0</v>
      </c>
      <c r="BH36" s="527">
        <v>0</v>
      </c>
      <c r="BI36" s="527">
        <v>0</v>
      </c>
      <c r="BJ36" s="527">
        <v>0</v>
      </c>
      <c r="BK36" s="1154">
        <f t="shared" si="3"/>
        <v>0</v>
      </c>
      <c r="BL36" s="1154"/>
      <c r="BM36" s="1154">
        <f t="shared" si="4"/>
        <v>0</v>
      </c>
      <c r="BN36" s="1154">
        <f t="shared" si="5"/>
        <v>0</v>
      </c>
      <c r="BO36" s="527"/>
      <c r="BP36" s="527"/>
      <c r="BQ36" s="1157">
        <v>0</v>
      </c>
      <c r="BR36" s="1157" t="s">
        <v>19</v>
      </c>
      <c r="BS36" s="1157" t="s">
        <v>527</v>
      </c>
      <c r="BT36" s="1376" t="s">
        <v>570</v>
      </c>
    </row>
    <row r="37" spans="1:72" s="512" customFormat="1" ht="13" hidden="1">
      <c r="A37" s="1204">
        <v>36</v>
      </c>
      <c r="B37" s="1205" t="s">
        <v>523</v>
      </c>
      <c r="C37" s="1205" t="s">
        <v>575</v>
      </c>
      <c r="D37" s="1206" t="s">
        <v>527</v>
      </c>
      <c r="E37" s="1386" t="s">
        <v>532</v>
      </c>
      <c r="F37" s="521"/>
      <c r="G37" s="522"/>
      <c r="H37" s="522"/>
      <c r="I37" s="522"/>
      <c r="J37" s="523"/>
      <c r="K37" s="523"/>
      <c r="L37" s="523"/>
      <c r="M37" s="524"/>
      <c r="N37" s="525"/>
      <c r="O37" s="526" t="s">
        <v>1237</v>
      </c>
      <c r="P37" s="525">
        <f>'Malaria-Key Info'!$G$58*'HPM costs'!F430</f>
        <v>0</v>
      </c>
      <c r="Q37" s="525" t="s">
        <v>1237</v>
      </c>
      <c r="R37" s="525">
        <f>'Malaria-Key Info'!$G$58*'HPM costs'!G430</f>
        <v>0</v>
      </c>
      <c r="S37" s="525" t="s">
        <v>1237</v>
      </c>
      <c r="T37" s="525">
        <f>'Malaria-Key Info'!$G$58*'HPM costs'!H430</f>
        <v>0</v>
      </c>
      <c r="U37" s="525" t="s">
        <v>1237</v>
      </c>
      <c r="V37" s="525">
        <f>'Malaria-Key Info'!$G$58*'HPM costs'!I430</f>
        <v>0</v>
      </c>
      <c r="W37" s="525"/>
      <c r="X37" s="1154">
        <f t="shared" si="0"/>
        <v>0</v>
      </c>
      <c r="Y37" s="1155"/>
      <c r="Z37" s="1156"/>
      <c r="AA37" s="529"/>
      <c r="AB37" s="525"/>
      <c r="AC37" s="525">
        <f>'Malaria-Key Info'!$G$58*'HPM costs'!K430</f>
        <v>0</v>
      </c>
      <c r="AD37" s="525"/>
      <c r="AE37" s="525">
        <f>'Malaria-Key Info'!$G$58*'HPM costs'!L430</f>
        <v>0</v>
      </c>
      <c r="AF37" s="525"/>
      <c r="AG37" s="525">
        <f>'Malaria-Key Info'!$G$58*'HPM costs'!M430</f>
        <v>0</v>
      </c>
      <c r="AH37" s="525"/>
      <c r="AI37" s="525">
        <f>'Malaria-Key Info'!$G$58*'HPM costs'!N430</f>
        <v>0</v>
      </c>
      <c r="AJ37" s="525"/>
      <c r="AK37" s="1154">
        <f t="shared" si="1"/>
        <v>0</v>
      </c>
      <c r="AL37" s="1155"/>
      <c r="AM37" s="1156"/>
      <c r="AN37" s="529"/>
      <c r="AO37" s="525"/>
      <c r="AP37" s="525">
        <f>'Malaria-Key Info'!$G$58*'HPM costs'!P430</f>
        <v>0</v>
      </c>
      <c r="AQ37" s="525"/>
      <c r="AR37" s="525">
        <f>'Malaria-Key Info'!$G$58*'HPM costs'!Q430</f>
        <v>0</v>
      </c>
      <c r="AS37" s="525"/>
      <c r="AT37" s="525">
        <f>'Malaria-Key Info'!$G$58*'HPM costs'!R430</f>
        <v>0</v>
      </c>
      <c r="AU37" s="525"/>
      <c r="AV37" s="525">
        <f>'Malaria-Key Info'!$G$58*'HPM costs'!S430</f>
        <v>0</v>
      </c>
      <c r="AW37" s="525"/>
      <c r="AX37" s="1154">
        <f t="shared" si="2"/>
        <v>0</v>
      </c>
      <c r="AY37" s="1154"/>
      <c r="AZ37" s="528"/>
      <c r="BA37" s="529"/>
      <c r="BB37" s="527"/>
      <c r="BC37" s="527">
        <v>0</v>
      </c>
      <c r="BD37" s="527">
        <v>0</v>
      </c>
      <c r="BE37" s="527">
        <v>0</v>
      </c>
      <c r="BF37" s="527">
        <v>0</v>
      </c>
      <c r="BG37" s="527">
        <v>0</v>
      </c>
      <c r="BH37" s="527">
        <v>0</v>
      </c>
      <c r="BI37" s="527">
        <v>0</v>
      </c>
      <c r="BJ37" s="527">
        <v>0</v>
      </c>
      <c r="BK37" s="1154">
        <f t="shared" si="3"/>
        <v>0</v>
      </c>
      <c r="BL37" s="1154"/>
      <c r="BM37" s="1154">
        <f t="shared" si="4"/>
        <v>0</v>
      </c>
      <c r="BN37" s="1154">
        <f t="shared" si="5"/>
        <v>0</v>
      </c>
      <c r="BO37" s="527"/>
      <c r="BP37" s="527"/>
      <c r="BQ37" s="1157">
        <v>0</v>
      </c>
      <c r="BR37" s="1157" t="s">
        <v>19</v>
      </c>
      <c r="BS37" s="1157" t="s">
        <v>527</v>
      </c>
      <c r="BT37" s="1376" t="s">
        <v>571</v>
      </c>
    </row>
    <row r="38" spans="1:72" s="512" customFormat="1" ht="13" hidden="1">
      <c r="A38" s="1204">
        <v>37</v>
      </c>
      <c r="B38" s="1205" t="s">
        <v>523</v>
      </c>
      <c r="C38" s="1205" t="s">
        <v>575</v>
      </c>
      <c r="D38" s="1206" t="s">
        <v>527</v>
      </c>
      <c r="E38" s="1386" t="s">
        <v>534</v>
      </c>
      <c r="F38" s="521"/>
      <c r="G38" s="522"/>
      <c r="H38" s="522"/>
      <c r="I38" s="522"/>
      <c r="J38" s="523"/>
      <c r="K38" s="523"/>
      <c r="L38" s="523"/>
      <c r="M38" s="524"/>
      <c r="N38" s="525"/>
      <c r="O38" s="526" t="s">
        <v>1237</v>
      </c>
      <c r="P38" s="525">
        <f>'Malaria-Key Info'!$G$58*'HPM costs'!F516</f>
        <v>0</v>
      </c>
      <c r="Q38" s="525" t="s">
        <v>1237</v>
      </c>
      <c r="R38" s="525">
        <f>'Malaria-Key Info'!$G$58*'HPM costs'!G516</f>
        <v>0</v>
      </c>
      <c r="S38" s="525" t="s">
        <v>1237</v>
      </c>
      <c r="T38" s="525">
        <f>'Malaria-Key Info'!$G$58*'HPM costs'!H516</f>
        <v>0</v>
      </c>
      <c r="U38" s="525" t="s">
        <v>1237</v>
      </c>
      <c r="V38" s="525">
        <f>'Malaria-Key Info'!$G$58*'HPM costs'!I516</f>
        <v>0</v>
      </c>
      <c r="W38" s="525"/>
      <c r="X38" s="1154">
        <f t="shared" si="0"/>
        <v>0</v>
      </c>
      <c r="Y38" s="1155"/>
      <c r="Z38" s="1156"/>
      <c r="AA38" s="529"/>
      <c r="AB38" s="525"/>
      <c r="AC38" s="525">
        <f>'Malaria-Key Info'!$G$58*'HPM costs'!K516</f>
        <v>0</v>
      </c>
      <c r="AD38" s="525"/>
      <c r="AE38" s="525">
        <f>'Malaria-Key Info'!$G$58*'HPM costs'!L516</f>
        <v>0</v>
      </c>
      <c r="AF38" s="525"/>
      <c r="AG38" s="525">
        <f>'Malaria-Key Info'!$G$58*'HPM costs'!M516</f>
        <v>0</v>
      </c>
      <c r="AH38" s="525"/>
      <c r="AI38" s="525">
        <f>'Malaria-Key Info'!$G$58*'HPM costs'!N516</f>
        <v>0</v>
      </c>
      <c r="AJ38" s="525"/>
      <c r="AK38" s="1154">
        <f t="shared" si="1"/>
        <v>0</v>
      </c>
      <c r="AL38" s="1155"/>
      <c r="AM38" s="1156"/>
      <c r="AN38" s="529"/>
      <c r="AO38" s="525"/>
      <c r="AP38" s="525">
        <f>'Malaria-Key Info'!$G$58*'HPM costs'!P516</f>
        <v>0</v>
      </c>
      <c r="AQ38" s="525"/>
      <c r="AR38" s="525">
        <f>'Malaria-Key Info'!$G$58*'HPM costs'!Q516</f>
        <v>0</v>
      </c>
      <c r="AS38" s="525"/>
      <c r="AT38" s="525">
        <f>'Malaria-Key Info'!$G$58*'HPM costs'!R516</f>
        <v>0</v>
      </c>
      <c r="AU38" s="525"/>
      <c r="AV38" s="525">
        <f>'Malaria-Key Info'!$G$58*'HPM costs'!S516</f>
        <v>0</v>
      </c>
      <c r="AW38" s="525"/>
      <c r="AX38" s="1154">
        <f t="shared" si="2"/>
        <v>0</v>
      </c>
      <c r="AY38" s="1154"/>
      <c r="AZ38" s="528"/>
      <c r="BA38" s="529"/>
      <c r="BB38" s="527"/>
      <c r="BC38" s="527">
        <v>0</v>
      </c>
      <c r="BD38" s="527">
        <v>0</v>
      </c>
      <c r="BE38" s="527">
        <v>0</v>
      </c>
      <c r="BF38" s="527">
        <v>0</v>
      </c>
      <c r="BG38" s="527">
        <v>0</v>
      </c>
      <c r="BH38" s="527">
        <v>0</v>
      </c>
      <c r="BI38" s="527">
        <v>0</v>
      </c>
      <c r="BJ38" s="527">
        <v>0</v>
      </c>
      <c r="BK38" s="1154">
        <f t="shared" si="3"/>
        <v>0</v>
      </c>
      <c r="BL38" s="1154"/>
      <c r="BM38" s="1154">
        <f t="shared" si="4"/>
        <v>0</v>
      </c>
      <c r="BN38" s="1154">
        <f t="shared" si="5"/>
        <v>0</v>
      </c>
      <c r="BO38" s="527"/>
      <c r="BP38" s="527"/>
      <c r="BQ38" s="1157">
        <v>0</v>
      </c>
      <c r="BR38" s="1157" t="s">
        <v>19</v>
      </c>
      <c r="BS38" s="1157" t="s">
        <v>527</v>
      </c>
      <c r="BT38" s="1376" t="s">
        <v>572</v>
      </c>
    </row>
    <row r="39" spans="1:72" s="512" customFormat="1" ht="13" hidden="1">
      <c r="A39" s="1204">
        <v>38</v>
      </c>
      <c r="B39" s="1205" t="s">
        <v>523</v>
      </c>
      <c r="C39" s="1205" t="s">
        <v>575</v>
      </c>
      <c r="D39" s="1206" t="s">
        <v>527</v>
      </c>
      <c r="E39" s="1386" t="s">
        <v>536</v>
      </c>
      <c r="F39" s="521"/>
      <c r="G39" s="522"/>
      <c r="H39" s="522"/>
      <c r="I39" s="522"/>
      <c r="J39" s="523"/>
      <c r="K39" s="523"/>
      <c r="L39" s="523"/>
      <c r="M39" s="524"/>
      <c r="N39" s="525"/>
      <c r="O39" s="526" t="s">
        <v>1237</v>
      </c>
      <c r="P39" s="525">
        <f>'Malaria-Key Info'!$G$58*('HPM costs'!F256+'HPM costs'!F602)</f>
        <v>0</v>
      </c>
      <c r="Q39" s="525" t="s">
        <v>1237</v>
      </c>
      <c r="R39" s="525">
        <f>'Malaria-Key Info'!$G$58*('HPM costs'!G256+'HPM costs'!G602)</f>
        <v>0</v>
      </c>
      <c r="S39" s="525" t="s">
        <v>1237</v>
      </c>
      <c r="T39" s="525">
        <f>'Malaria-Key Info'!$G$58*('HPM costs'!H256+'HPM costs'!H602)</f>
        <v>0</v>
      </c>
      <c r="U39" s="525" t="s">
        <v>1237</v>
      </c>
      <c r="V39" s="525">
        <f>'Malaria-Key Info'!$G$58*('HPM costs'!I256+'HPM costs'!I602)</f>
        <v>0</v>
      </c>
      <c r="W39" s="525"/>
      <c r="X39" s="1154">
        <f t="shared" si="0"/>
        <v>0</v>
      </c>
      <c r="Y39" s="1155"/>
      <c r="Z39" s="1156"/>
      <c r="AA39" s="529"/>
      <c r="AB39" s="525"/>
      <c r="AC39" s="525">
        <f>'Malaria-Key Info'!$G$58*('HPM costs'!K256+'HPM costs'!K602)</f>
        <v>0</v>
      </c>
      <c r="AD39" s="525"/>
      <c r="AE39" s="525">
        <f>'Malaria-Key Info'!$G$58*('HPM costs'!L256+'HPM costs'!L602)</f>
        <v>0</v>
      </c>
      <c r="AF39" s="525"/>
      <c r="AG39" s="525">
        <f>'Malaria-Key Info'!$G$58*('HPM costs'!M256+'HPM costs'!M602)</f>
        <v>0</v>
      </c>
      <c r="AH39" s="525"/>
      <c r="AI39" s="525">
        <f>'Malaria-Key Info'!$G$58*('HPM costs'!N256+'HPM costs'!N602)</f>
        <v>0</v>
      </c>
      <c r="AJ39" s="525"/>
      <c r="AK39" s="1154">
        <f t="shared" si="1"/>
        <v>0</v>
      </c>
      <c r="AL39" s="1155"/>
      <c r="AM39" s="1156"/>
      <c r="AN39" s="529"/>
      <c r="AO39" s="525"/>
      <c r="AP39" s="525">
        <f>'Malaria-Key Info'!$G$58*('HPM costs'!P256+'HPM costs'!P602)</f>
        <v>0</v>
      </c>
      <c r="AQ39" s="525"/>
      <c r="AR39" s="525">
        <f>'Malaria-Key Info'!$G$58*('HPM costs'!Q256+'HPM costs'!Q602)</f>
        <v>0</v>
      </c>
      <c r="AS39" s="525"/>
      <c r="AT39" s="525">
        <f>'Malaria-Key Info'!$G$58*('HPM costs'!R256+'HPM costs'!R602)</f>
        <v>0</v>
      </c>
      <c r="AU39" s="525"/>
      <c r="AV39" s="525">
        <f>'Malaria-Key Info'!$G$58*('HPM costs'!S256+'HPM costs'!S602)</f>
        <v>0</v>
      </c>
      <c r="AW39" s="525"/>
      <c r="AX39" s="1154">
        <f t="shared" si="2"/>
        <v>0</v>
      </c>
      <c r="AY39" s="1154"/>
      <c r="AZ39" s="528"/>
      <c r="BA39" s="529"/>
      <c r="BB39" s="527"/>
      <c r="BC39" s="527">
        <v>0</v>
      </c>
      <c r="BD39" s="527">
        <v>0</v>
      </c>
      <c r="BE39" s="527">
        <v>0</v>
      </c>
      <c r="BF39" s="527">
        <v>0</v>
      </c>
      <c r="BG39" s="527">
        <v>0</v>
      </c>
      <c r="BH39" s="527">
        <v>0</v>
      </c>
      <c r="BI39" s="527">
        <v>0</v>
      </c>
      <c r="BJ39" s="527">
        <v>0</v>
      </c>
      <c r="BK39" s="1154">
        <f t="shared" si="3"/>
        <v>0</v>
      </c>
      <c r="BL39" s="1154"/>
      <c r="BM39" s="1154">
        <f t="shared" si="4"/>
        <v>0</v>
      </c>
      <c r="BN39" s="1154">
        <f t="shared" si="5"/>
        <v>0</v>
      </c>
      <c r="BO39" s="527"/>
      <c r="BP39" s="527"/>
      <c r="BQ39" s="1157">
        <v>0</v>
      </c>
      <c r="BR39" s="1157" t="s">
        <v>19</v>
      </c>
      <c r="BS39" s="1157" t="s">
        <v>527</v>
      </c>
      <c r="BT39" s="1376" t="s">
        <v>573</v>
      </c>
    </row>
    <row r="40" spans="1:72" s="512" customFormat="1" ht="13" hidden="1">
      <c r="A40" s="1204">
        <v>39</v>
      </c>
      <c r="B40" s="1205" t="s">
        <v>523</v>
      </c>
      <c r="C40" s="1205" t="s">
        <v>575</v>
      </c>
      <c r="D40" s="1206" t="s">
        <v>527</v>
      </c>
      <c r="E40" s="1386" t="s">
        <v>538</v>
      </c>
      <c r="F40" s="521"/>
      <c r="G40" s="522"/>
      <c r="H40" s="522"/>
      <c r="I40" s="522"/>
      <c r="J40" s="523"/>
      <c r="K40" s="523"/>
      <c r="L40" s="523"/>
      <c r="M40" s="524"/>
      <c r="N40" s="525"/>
      <c r="O40" s="526" t="s">
        <v>1237</v>
      </c>
      <c r="P40" s="525">
        <f>'Malaria-Key Info'!$G$58*'HPM costs'!F342</f>
        <v>0</v>
      </c>
      <c r="Q40" s="525" t="s">
        <v>1237</v>
      </c>
      <c r="R40" s="525">
        <f>'Malaria-Key Info'!$G$58*'HPM costs'!G342</f>
        <v>0</v>
      </c>
      <c r="S40" s="525" t="s">
        <v>1237</v>
      </c>
      <c r="T40" s="525">
        <f>'Malaria-Key Info'!$G$58*'HPM costs'!H342</f>
        <v>0</v>
      </c>
      <c r="U40" s="525" t="s">
        <v>1237</v>
      </c>
      <c r="V40" s="525">
        <f>'Malaria-Key Info'!$G$58*'HPM costs'!I342</f>
        <v>0</v>
      </c>
      <c r="W40" s="525"/>
      <c r="X40" s="1154">
        <f t="shared" si="0"/>
        <v>0</v>
      </c>
      <c r="Y40" s="1155"/>
      <c r="Z40" s="1156"/>
      <c r="AA40" s="529"/>
      <c r="AB40" s="525"/>
      <c r="AC40" s="525">
        <f>'Malaria-Key Info'!$G$58*'HPM costs'!K342</f>
        <v>0</v>
      </c>
      <c r="AD40" s="525"/>
      <c r="AE40" s="525">
        <f>'Malaria-Key Info'!$G$58*'HPM costs'!L342</f>
        <v>0</v>
      </c>
      <c r="AF40" s="525"/>
      <c r="AG40" s="525">
        <f>'Malaria-Key Info'!$G$58*'HPM costs'!M342</f>
        <v>0</v>
      </c>
      <c r="AH40" s="525"/>
      <c r="AI40" s="525">
        <f>'Malaria-Key Info'!$G$58*'HPM costs'!N342</f>
        <v>0</v>
      </c>
      <c r="AJ40" s="525"/>
      <c r="AK40" s="1154">
        <f t="shared" si="1"/>
        <v>0</v>
      </c>
      <c r="AL40" s="1155"/>
      <c r="AM40" s="1156"/>
      <c r="AN40" s="529"/>
      <c r="AO40" s="525"/>
      <c r="AP40" s="525">
        <f>'Malaria-Key Info'!$G$58*'HPM costs'!P342</f>
        <v>0</v>
      </c>
      <c r="AQ40" s="525"/>
      <c r="AR40" s="525">
        <f>'Malaria-Key Info'!$G$58*'HPM costs'!Q342</f>
        <v>0</v>
      </c>
      <c r="AS40" s="525"/>
      <c r="AT40" s="525">
        <f>'Malaria-Key Info'!$G$58*'HPM costs'!R342</f>
        <v>0</v>
      </c>
      <c r="AU40" s="525"/>
      <c r="AV40" s="525">
        <f>'Malaria-Key Info'!$G$58*'HPM costs'!S342</f>
        <v>0</v>
      </c>
      <c r="AW40" s="525"/>
      <c r="AX40" s="1154">
        <f t="shared" si="2"/>
        <v>0</v>
      </c>
      <c r="AY40" s="1154"/>
      <c r="AZ40" s="528"/>
      <c r="BA40" s="529"/>
      <c r="BB40" s="527"/>
      <c r="BC40" s="527">
        <v>0</v>
      </c>
      <c r="BD40" s="527">
        <v>0</v>
      </c>
      <c r="BE40" s="527">
        <v>0</v>
      </c>
      <c r="BF40" s="527">
        <v>0</v>
      </c>
      <c r="BG40" s="527">
        <v>0</v>
      </c>
      <c r="BH40" s="527">
        <v>0</v>
      </c>
      <c r="BI40" s="527">
        <v>0</v>
      </c>
      <c r="BJ40" s="527">
        <v>0</v>
      </c>
      <c r="BK40" s="1154">
        <f t="shared" si="3"/>
        <v>0</v>
      </c>
      <c r="BL40" s="1154"/>
      <c r="BM40" s="1154">
        <f t="shared" si="4"/>
        <v>0</v>
      </c>
      <c r="BN40" s="1154">
        <f t="shared" si="5"/>
        <v>0</v>
      </c>
      <c r="BO40" s="527"/>
      <c r="BP40" s="527"/>
      <c r="BQ40" s="1157">
        <v>0</v>
      </c>
      <c r="BR40" s="1157" t="s">
        <v>19</v>
      </c>
      <c r="BS40" s="1157" t="s">
        <v>527</v>
      </c>
      <c r="BT40" s="1376" t="s">
        <v>574</v>
      </c>
    </row>
    <row r="41" spans="1:72" s="512" customFormat="1" ht="13" hidden="1">
      <c r="A41" s="1204">
        <v>40</v>
      </c>
      <c r="B41" s="1205" t="s">
        <v>523</v>
      </c>
      <c r="C41" s="1205" t="s">
        <v>575</v>
      </c>
      <c r="D41" s="1206" t="s">
        <v>527</v>
      </c>
      <c r="E41" s="1386" t="s">
        <v>540</v>
      </c>
      <c r="F41" s="521"/>
      <c r="G41" s="522"/>
      <c r="H41" s="522"/>
      <c r="I41" s="522"/>
      <c r="J41" s="523"/>
      <c r="K41" s="523"/>
      <c r="L41" s="523"/>
      <c r="M41" s="524"/>
      <c r="N41" s="525"/>
      <c r="O41" s="526" t="s">
        <v>1237</v>
      </c>
      <c r="P41" s="525">
        <f>'Malaria-Key Info'!$G$58*'HPM costs'!F687</f>
        <v>0</v>
      </c>
      <c r="Q41" s="525" t="s">
        <v>1237</v>
      </c>
      <c r="R41" s="525">
        <f>'Malaria-Key Info'!$G$58*'HPM costs'!G687</f>
        <v>0</v>
      </c>
      <c r="S41" s="525" t="s">
        <v>1237</v>
      </c>
      <c r="T41" s="525">
        <f>'Malaria-Key Info'!$G$58*'HPM costs'!H687</f>
        <v>0</v>
      </c>
      <c r="U41" s="525" t="s">
        <v>1237</v>
      </c>
      <c r="V41" s="525">
        <f>'Malaria-Key Info'!$G$58*'HPM costs'!I687</f>
        <v>0</v>
      </c>
      <c r="W41" s="525"/>
      <c r="X41" s="1154">
        <f t="shared" si="0"/>
        <v>0</v>
      </c>
      <c r="Y41" s="1155"/>
      <c r="Z41" s="1156"/>
      <c r="AA41" s="529"/>
      <c r="AB41" s="525"/>
      <c r="AC41" s="525">
        <f>'Malaria-Key Info'!$G$58*'HPM costs'!K687</f>
        <v>0</v>
      </c>
      <c r="AD41" s="525"/>
      <c r="AE41" s="525">
        <f>'Malaria-Key Info'!$G$58*'HPM costs'!L687</f>
        <v>0</v>
      </c>
      <c r="AF41" s="525"/>
      <c r="AG41" s="525">
        <f>'Malaria-Key Info'!$G$58*'HPM costs'!M687</f>
        <v>0</v>
      </c>
      <c r="AH41" s="525"/>
      <c r="AI41" s="525">
        <f>'Malaria-Key Info'!$G$58*'HPM costs'!N687</f>
        <v>0</v>
      </c>
      <c r="AJ41" s="525"/>
      <c r="AK41" s="1154">
        <f t="shared" si="1"/>
        <v>0</v>
      </c>
      <c r="AL41" s="1155"/>
      <c r="AM41" s="1156"/>
      <c r="AN41" s="529"/>
      <c r="AO41" s="525"/>
      <c r="AP41" s="525">
        <f>'Malaria-Key Info'!$G$58*'HPM costs'!P687</f>
        <v>0</v>
      </c>
      <c r="AQ41" s="525"/>
      <c r="AR41" s="525">
        <f>'Malaria-Key Info'!$G$58*'HPM costs'!Q687</f>
        <v>0</v>
      </c>
      <c r="AS41" s="525"/>
      <c r="AT41" s="525">
        <f>'Malaria-Key Info'!$G$58*'HPM costs'!R687</f>
        <v>0</v>
      </c>
      <c r="AU41" s="525"/>
      <c r="AV41" s="525">
        <f>'Malaria-Key Info'!$G$58*'HPM costs'!S687</f>
        <v>0</v>
      </c>
      <c r="AW41" s="525"/>
      <c r="AX41" s="1154">
        <f t="shared" si="2"/>
        <v>0</v>
      </c>
      <c r="AY41" s="1154"/>
      <c r="AZ41" s="528"/>
      <c r="BA41" s="529"/>
      <c r="BB41" s="527"/>
      <c r="BC41" s="527">
        <v>0</v>
      </c>
      <c r="BD41" s="527">
        <v>0</v>
      </c>
      <c r="BE41" s="527">
        <v>0</v>
      </c>
      <c r="BF41" s="527">
        <v>0</v>
      </c>
      <c r="BG41" s="527">
        <v>0</v>
      </c>
      <c r="BH41" s="527">
        <v>0</v>
      </c>
      <c r="BI41" s="527">
        <v>0</v>
      </c>
      <c r="BJ41" s="527">
        <v>0</v>
      </c>
      <c r="BK41" s="1154">
        <f t="shared" si="3"/>
        <v>0</v>
      </c>
      <c r="BL41" s="1154"/>
      <c r="BM41" s="1154">
        <f t="shared" si="4"/>
        <v>0</v>
      </c>
      <c r="BN41" s="1154">
        <f t="shared" si="5"/>
        <v>0</v>
      </c>
      <c r="BO41" s="527"/>
      <c r="BP41" s="527"/>
      <c r="BQ41" s="1157">
        <v>0</v>
      </c>
      <c r="BR41" s="1157" t="s">
        <v>19</v>
      </c>
      <c r="BS41" s="1157" t="s">
        <v>527</v>
      </c>
      <c r="BT41" s="1376" t="s">
        <v>1240</v>
      </c>
    </row>
    <row r="42" spans="1:72" s="512" customFormat="1" ht="13" hidden="1">
      <c r="A42" s="1204">
        <v>41</v>
      </c>
      <c r="B42" s="1205" t="s">
        <v>523</v>
      </c>
      <c r="C42" s="1205" t="s">
        <v>567</v>
      </c>
      <c r="D42" s="1206" t="s">
        <v>2560</v>
      </c>
      <c r="E42" s="1386" t="s">
        <v>525</v>
      </c>
      <c r="F42" s="521"/>
      <c r="G42" s="522"/>
      <c r="H42" s="522"/>
      <c r="I42" s="522"/>
      <c r="J42" s="523"/>
      <c r="K42" s="523"/>
      <c r="L42" s="523"/>
      <c r="M42" s="524"/>
      <c r="N42" s="525"/>
      <c r="O42" s="526" t="s">
        <v>1237</v>
      </c>
      <c r="P42" s="525">
        <f>('Malaria-Key Info'!$G$59*'HPM costs'!F170)/'HPM costs'!$E$170</f>
        <v>0</v>
      </c>
      <c r="Q42" s="525" t="s">
        <v>1237</v>
      </c>
      <c r="R42" s="525">
        <f>('Malaria-Key Info'!$G$59*'HPM costs'!G170)/'HPM costs'!$E$170</f>
        <v>0</v>
      </c>
      <c r="S42" s="525" t="s">
        <v>1237</v>
      </c>
      <c r="T42" s="525">
        <f>('Malaria-Key Info'!$G$59*'HPM costs'!H170)/'HPM costs'!$E$170</f>
        <v>0</v>
      </c>
      <c r="U42" s="525" t="s">
        <v>1237</v>
      </c>
      <c r="V42" s="525">
        <f>('Malaria-Key Info'!$G$59*'HPM costs'!I170)/'HPM costs'!$E$170</f>
        <v>0</v>
      </c>
      <c r="W42" s="525"/>
      <c r="X42" s="1154">
        <f t="shared" si="0"/>
        <v>0</v>
      </c>
      <c r="Y42" s="1155"/>
      <c r="Z42" s="1156"/>
      <c r="AA42" s="529"/>
      <c r="AB42" s="525"/>
      <c r="AC42" s="525">
        <f>('Malaria-Key Info'!$G$59*'HPM costs'!K170)/'HPM costs'!$E$170</f>
        <v>0</v>
      </c>
      <c r="AD42" s="525"/>
      <c r="AE42" s="525">
        <f>('Malaria-Key Info'!$G$59*'HPM costs'!L170)/'HPM costs'!$E$170</f>
        <v>0</v>
      </c>
      <c r="AF42" s="525"/>
      <c r="AG42" s="525">
        <f>('Malaria-Key Info'!$G$59*'HPM costs'!M170)/'HPM costs'!$E$170</f>
        <v>0</v>
      </c>
      <c r="AH42" s="525"/>
      <c r="AI42" s="525">
        <f>('Malaria-Key Info'!$G$59*'HPM costs'!N170)/'HPM costs'!$E$170</f>
        <v>0</v>
      </c>
      <c r="AJ42" s="525"/>
      <c r="AK42" s="1154">
        <f t="shared" si="1"/>
        <v>0</v>
      </c>
      <c r="AL42" s="1155"/>
      <c r="AM42" s="1156"/>
      <c r="AN42" s="529"/>
      <c r="AO42" s="525"/>
      <c r="AP42" s="525">
        <f>('Malaria-Key Info'!$G$59*'HPM costs'!P170)/'HPM costs'!$E$170</f>
        <v>0</v>
      </c>
      <c r="AQ42" s="525"/>
      <c r="AR42" s="525">
        <f>('Malaria-Key Info'!$G$59*'HPM costs'!Q170)/'HPM costs'!$E$170</f>
        <v>0</v>
      </c>
      <c r="AS42" s="525"/>
      <c r="AT42" s="525">
        <f>('Malaria-Key Info'!$G$59*'HPM costs'!R170)/'HPM costs'!$E$170</f>
        <v>0</v>
      </c>
      <c r="AU42" s="525"/>
      <c r="AV42" s="525">
        <f>('Malaria-Key Info'!$G$59*'HPM costs'!S170)/'HPM costs'!$E$170</f>
        <v>0</v>
      </c>
      <c r="AW42" s="525"/>
      <c r="AX42" s="1154">
        <f t="shared" si="2"/>
        <v>0</v>
      </c>
      <c r="AY42" s="1154"/>
      <c r="AZ42" s="528"/>
      <c r="BA42" s="529"/>
      <c r="BB42" s="527"/>
      <c r="BC42" s="527">
        <v>0</v>
      </c>
      <c r="BD42" s="527">
        <v>0</v>
      </c>
      <c r="BE42" s="527">
        <v>0</v>
      </c>
      <c r="BF42" s="527">
        <v>0</v>
      </c>
      <c r="BG42" s="527">
        <v>0</v>
      </c>
      <c r="BH42" s="527">
        <v>0</v>
      </c>
      <c r="BI42" s="527">
        <v>0</v>
      </c>
      <c r="BJ42" s="527">
        <v>0</v>
      </c>
      <c r="BK42" s="1154">
        <f t="shared" si="3"/>
        <v>0</v>
      </c>
      <c r="BL42" s="1154"/>
      <c r="BM42" s="1154">
        <f t="shared" si="4"/>
        <v>0</v>
      </c>
      <c r="BN42" s="1154">
        <f t="shared" si="5"/>
        <v>0</v>
      </c>
      <c r="BO42" s="527"/>
      <c r="BP42" s="527"/>
      <c r="BQ42" s="1157">
        <v>0</v>
      </c>
      <c r="BR42" s="1157" t="s">
        <v>19</v>
      </c>
      <c r="BS42" s="1157" t="s">
        <v>2560</v>
      </c>
      <c r="BT42" s="1376" t="s">
        <v>576</v>
      </c>
    </row>
    <row r="43" spans="1:72" s="512" customFormat="1" ht="13" hidden="1">
      <c r="A43" s="1204">
        <v>42</v>
      </c>
      <c r="B43" s="1205" t="s">
        <v>523</v>
      </c>
      <c r="C43" s="1205" t="s">
        <v>567</v>
      </c>
      <c r="D43" s="1206" t="s">
        <v>527</v>
      </c>
      <c r="E43" s="1386" t="s">
        <v>528</v>
      </c>
      <c r="F43" s="521"/>
      <c r="G43" s="522"/>
      <c r="H43" s="522"/>
      <c r="I43" s="522"/>
      <c r="J43" s="523"/>
      <c r="K43" s="523"/>
      <c r="L43" s="523"/>
      <c r="M43" s="524"/>
      <c r="N43" s="525"/>
      <c r="O43" s="526" t="s">
        <v>1237</v>
      </c>
      <c r="P43" s="525">
        <f>'Malaria-Key Info'!$G$59*'HPM costs'!F84</f>
        <v>0</v>
      </c>
      <c r="Q43" s="525" t="s">
        <v>1237</v>
      </c>
      <c r="R43" s="525">
        <f>'Malaria-Key Info'!$G$59*'HPM costs'!G84</f>
        <v>0</v>
      </c>
      <c r="S43" s="525" t="s">
        <v>1237</v>
      </c>
      <c r="T43" s="525">
        <f>'Malaria-Key Info'!$G$59*'HPM costs'!H84</f>
        <v>0</v>
      </c>
      <c r="U43" s="525" t="s">
        <v>1237</v>
      </c>
      <c r="V43" s="525">
        <f>'Malaria-Key Info'!$G$59*'HPM costs'!I84</f>
        <v>0</v>
      </c>
      <c r="W43" s="525"/>
      <c r="X43" s="1154">
        <f t="shared" si="0"/>
        <v>0</v>
      </c>
      <c r="Y43" s="1155"/>
      <c r="Z43" s="1156"/>
      <c r="AA43" s="529"/>
      <c r="AB43" s="525"/>
      <c r="AC43" s="525">
        <f>'Malaria-Key Info'!$G$59*'HPM costs'!K84</f>
        <v>0</v>
      </c>
      <c r="AD43" s="525"/>
      <c r="AE43" s="525">
        <f>'Malaria-Key Info'!$G$59*'HPM costs'!L84</f>
        <v>0</v>
      </c>
      <c r="AF43" s="525"/>
      <c r="AG43" s="525">
        <f>'Malaria-Key Info'!$G$59*'HPM costs'!M84</f>
        <v>0</v>
      </c>
      <c r="AH43" s="525"/>
      <c r="AI43" s="525">
        <f>'Malaria-Key Info'!$G$59*'HPM costs'!N84</f>
        <v>0</v>
      </c>
      <c r="AJ43" s="525"/>
      <c r="AK43" s="1154">
        <f t="shared" si="1"/>
        <v>0</v>
      </c>
      <c r="AL43" s="1155"/>
      <c r="AM43" s="1156"/>
      <c r="AN43" s="529"/>
      <c r="AO43" s="525"/>
      <c r="AP43" s="525">
        <f>'Malaria-Key Info'!$G$59*'HPM costs'!P84</f>
        <v>0</v>
      </c>
      <c r="AQ43" s="525"/>
      <c r="AR43" s="525">
        <f>'Malaria-Key Info'!$G$59*'HPM costs'!Q84</f>
        <v>0</v>
      </c>
      <c r="AS43" s="525"/>
      <c r="AT43" s="525">
        <f>'Malaria-Key Info'!$G$59*'HPM costs'!R84</f>
        <v>0</v>
      </c>
      <c r="AU43" s="525"/>
      <c r="AV43" s="525">
        <f>'Malaria-Key Info'!$G$59*'HPM costs'!S84</f>
        <v>0</v>
      </c>
      <c r="AW43" s="525"/>
      <c r="AX43" s="1154">
        <f t="shared" si="2"/>
        <v>0</v>
      </c>
      <c r="AY43" s="1154"/>
      <c r="AZ43" s="528"/>
      <c r="BA43" s="529"/>
      <c r="BB43" s="527"/>
      <c r="BC43" s="527">
        <v>0</v>
      </c>
      <c r="BD43" s="527">
        <v>0</v>
      </c>
      <c r="BE43" s="527">
        <v>0</v>
      </c>
      <c r="BF43" s="527">
        <v>0</v>
      </c>
      <c r="BG43" s="527">
        <v>0</v>
      </c>
      <c r="BH43" s="527">
        <v>0</v>
      </c>
      <c r="BI43" s="527">
        <v>0</v>
      </c>
      <c r="BJ43" s="527">
        <v>0</v>
      </c>
      <c r="BK43" s="1154">
        <f t="shared" si="3"/>
        <v>0</v>
      </c>
      <c r="BL43" s="1154"/>
      <c r="BM43" s="1154">
        <f t="shared" si="4"/>
        <v>0</v>
      </c>
      <c r="BN43" s="1154">
        <f t="shared" si="5"/>
        <v>0</v>
      </c>
      <c r="BO43" s="527"/>
      <c r="BP43" s="527"/>
      <c r="BQ43" s="1157">
        <v>0</v>
      </c>
      <c r="BR43" s="1157" t="s">
        <v>19</v>
      </c>
      <c r="BS43" s="1157" t="s">
        <v>527</v>
      </c>
      <c r="BT43" s="1376" t="s">
        <v>577</v>
      </c>
    </row>
    <row r="44" spans="1:72" s="512" customFormat="1" ht="13" hidden="1">
      <c r="A44" s="1204">
        <v>43</v>
      </c>
      <c r="B44" s="1205" t="s">
        <v>523</v>
      </c>
      <c r="C44" s="1205" t="s">
        <v>567</v>
      </c>
      <c r="D44" s="1206" t="s">
        <v>527</v>
      </c>
      <c r="E44" s="1386" t="s">
        <v>530</v>
      </c>
      <c r="F44" s="521"/>
      <c r="G44" s="522"/>
      <c r="H44" s="522"/>
      <c r="I44" s="522"/>
      <c r="J44" s="523"/>
      <c r="K44" s="523"/>
      <c r="L44" s="523"/>
      <c r="M44" s="524"/>
      <c r="N44" s="525"/>
      <c r="O44" s="526" t="s">
        <v>1237</v>
      </c>
      <c r="P44" s="525">
        <f>'Malaria-Key Info'!$G$59*'HPM costs'!F170</f>
        <v>0</v>
      </c>
      <c r="Q44" s="525" t="s">
        <v>1237</v>
      </c>
      <c r="R44" s="525">
        <f>'Malaria-Key Info'!$G$59*'HPM costs'!G170</f>
        <v>0</v>
      </c>
      <c r="S44" s="525" t="s">
        <v>1237</v>
      </c>
      <c r="T44" s="525">
        <f>'Malaria-Key Info'!$G$59*'HPM costs'!H170</f>
        <v>0</v>
      </c>
      <c r="U44" s="525" t="s">
        <v>1237</v>
      </c>
      <c r="V44" s="525">
        <f>'Malaria-Key Info'!$G$59*'HPM costs'!I170</f>
        <v>0</v>
      </c>
      <c r="W44" s="525"/>
      <c r="X44" s="1154">
        <f t="shared" si="0"/>
        <v>0</v>
      </c>
      <c r="Y44" s="1155"/>
      <c r="Z44" s="1156"/>
      <c r="AA44" s="529"/>
      <c r="AB44" s="525"/>
      <c r="AC44" s="525">
        <f>'Malaria-Key Info'!$G$59*'HPM costs'!K170</f>
        <v>0</v>
      </c>
      <c r="AD44" s="525"/>
      <c r="AE44" s="525">
        <f>'Malaria-Key Info'!$G$59*'HPM costs'!L170</f>
        <v>0</v>
      </c>
      <c r="AF44" s="525"/>
      <c r="AG44" s="525">
        <f>'Malaria-Key Info'!$G$59*'HPM costs'!M170</f>
        <v>0</v>
      </c>
      <c r="AH44" s="525"/>
      <c r="AI44" s="525">
        <f>'Malaria-Key Info'!$G$59*'HPM costs'!N170</f>
        <v>0</v>
      </c>
      <c r="AJ44" s="525"/>
      <c r="AK44" s="1154">
        <f t="shared" si="1"/>
        <v>0</v>
      </c>
      <c r="AL44" s="1155"/>
      <c r="AM44" s="1156"/>
      <c r="AN44" s="529"/>
      <c r="AO44" s="525"/>
      <c r="AP44" s="525">
        <f>'Malaria-Key Info'!$G$59*'HPM costs'!P170</f>
        <v>0</v>
      </c>
      <c r="AQ44" s="525"/>
      <c r="AR44" s="525">
        <f>'Malaria-Key Info'!$G$59*'HPM costs'!Q170</f>
        <v>0</v>
      </c>
      <c r="AS44" s="525"/>
      <c r="AT44" s="525">
        <f>'Malaria-Key Info'!$G$59*'HPM costs'!R170</f>
        <v>0</v>
      </c>
      <c r="AU44" s="525"/>
      <c r="AV44" s="525">
        <f>'Malaria-Key Info'!$G$59*'HPM costs'!S170</f>
        <v>0</v>
      </c>
      <c r="AW44" s="525"/>
      <c r="AX44" s="1154">
        <f t="shared" si="2"/>
        <v>0</v>
      </c>
      <c r="AY44" s="1154"/>
      <c r="AZ44" s="528"/>
      <c r="BA44" s="529"/>
      <c r="BB44" s="527"/>
      <c r="BC44" s="527">
        <v>0</v>
      </c>
      <c r="BD44" s="527">
        <v>0</v>
      </c>
      <c r="BE44" s="527">
        <v>0</v>
      </c>
      <c r="BF44" s="527">
        <v>0</v>
      </c>
      <c r="BG44" s="527">
        <v>0</v>
      </c>
      <c r="BH44" s="527">
        <v>0</v>
      </c>
      <c r="BI44" s="527">
        <v>0</v>
      </c>
      <c r="BJ44" s="527">
        <v>0</v>
      </c>
      <c r="BK44" s="1154">
        <f t="shared" si="3"/>
        <v>0</v>
      </c>
      <c r="BL44" s="1154"/>
      <c r="BM44" s="1154">
        <f t="shared" si="4"/>
        <v>0</v>
      </c>
      <c r="BN44" s="1154">
        <f t="shared" si="5"/>
        <v>0</v>
      </c>
      <c r="BO44" s="527"/>
      <c r="BP44" s="527"/>
      <c r="BQ44" s="1157">
        <v>0</v>
      </c>
      <c r="BR44" s="1157" t="s">
        <v>19</v>
      </c>
      <c r="BS44" s="1157" t="s">
        <v>527</v>
      </c>
      <c r="BT44" s="1376" t="s">
        <v>578</v>
      </c>
    </row>
    <row r="45" spans="1:72" s="512" customFormat="1" ht="13" hidden="1">
      <c r="A45" s="1204">
        <v>44</v>
      </c>
      <c r="B45" s="1205" t="s">
        <v>523</v>
      </c>
      <c r="C45" s="1205" t="s">
        <v>567</v>
      </c>
      <c r="D45" s="1206" t="s">
        <v>527</v>
      </c>
      <c r="E45" s="1386" t="s">
        <v>532</v>
      </c>
      <c r="F45" s="521"/>
      <c r="G45" s="522"/>
      <c r="H45" s="522"/>
      <c r="I45" s="522"/>
      <c r="J45" s="523"/>
      <c r="K45" s="523"/>
      <c r="L45" s="523"/>
      <c r="M45" s="524"/>
      <c r="N45" s="525"/>
      <c r="O45" s="526" t="s">
        <v>1237</v>
      </c>
      <c r="P45" s="525">
        <f>'Malaria-Key Info'!$G$59*'HPM costs'!F430</f>
        <v>0</v>
      </c>
      <c r="Q45" s="525" t="s">
        <v>1237</v>
      </c>
      <c r="R45" s="525">
        <f>'Malaria-Key Info'!$G$59*'HPM costs'!G430</f>
        <v>0</v>
      </c>
      <c r="S45" s="525" t="s">
        <v>1237</v>
      </c>
      <c r="T45" s="525">
        <f>'Malaria-Key Info'!$G$59*'HPM costs'!H430</f>
        <v>0</v>
      </c>
      <c r="U45" s="525" t="s">
        <v>1237</v>
      </c>
      <c r="V45" s="525">
        <f>'Malaria-Key Info'!$G$59*'HPM costs'!I430</f>
        <v>0</v>
      </c>
      <c r="W45" s="525"/>
      <c r="X45" s="1154">
        <f t="shared" si="0"/>
        <v>0</v>
      </c>
      <c r="Y45" s="1155"/>
      <c r="Z45" s="1156"/>
      <c r="AA45" s="529"/>
      <c r="AB45" s="525"/>
      <c r="AC45" s="525">
        <f>'Malaria-Key Info'!$G$59*'HPM costs'!K430</f>
        <v>0</v>
      </c>
      <c r="AD45" s="525"/>
      <c r="AE45" s="525">
        <f>'Malaria-Key Info'!$G$59*'HPM costs'!L430</f>
        <v>0</v>
      </c>
      <c r="AF45" s="525"/>
      <c r="AG45" s="525">
        <f>'Malaria-Key Info'!$G$59*'HPM costs'!M430</f>
        <v>0</v>
      </c>
      <c r="AH45" s="525"/>
      <c r="AI45" s="525">
        <f>'Malaria-Key Info'!$G$59*'HPM costs'!N430</f>
        <v>0</v>
      </c>
      <c r="AJ45" s="525"/>
      <c r="AK45" s="1154">
        <f t="shared" si="1"/>
        <v>0</v>
      </c>
      <c r="AL45" s="1155"/>
      <c r="AM45" s="1156"/>
      <c r="AN45" s="529"/>
      <c r="AO45" s="525"/>
      <c r="AP45" s="525">
        <f>'Malaria-Key Info'!$G$59*'HPM costs'!P430</f>
        <v>0</v>
      </c>
      <c r="AQ45" s="525"/>
      <c r="AR45" s="525">
        <f>'Malaria-Key Info'!$G$59*'HPM costs'!Q430</f>
        <v>0</v>
      </c>
      <c r="AS45" s="525"/>
      <c r="AT45" s="525">
        <f>'Malaria-Key Info'!$G$59*'HPM costs'!R430</f>
        <v>0</v>
      </c>
      <c r="AU45" s="525"/>
      <c r="AV45" s="525">
        <f>'Malaria-Key Info'!$G$59*'HPM costs'!S430</f>
        <v>0</v>
      </c>
      <c r="AW45" s="525"/>
      <c r="AX45" s="1154">
        <f t="shared" si="2"/>
        <v>0</v>
      </c>
      <c r="AY45" s="1154"/>
      <c r="AZ45" s="528"/>
      <c r="BA45" s="529"/>
      <c r="BB45" s="527"/>
      <c r="BC45" s="527">
        <v>0</v>
      </c>
      <c r="BD45" s="527">
        <v>0</v>
      </c>
      <c r="BE45" s="527">
        <v>0</v>
      </c>
      <c r="BF45" s="527">
        <v>0</v>
      </c>
      <c r="BG45" s="527">
        <v>0</v>
      </c>
      <c r="BH45" s="527">
        <v>0</v>
      </c>
      <c r="BI45" s="527">
        <v>0</v>
      </c>
      <c r="BJ45" s="527">
        <v>0</v>
      </c>
      <c r="BK45" s="1154">
        <f t="shared" si="3"/>
        <v>0</v>
      </c>
      <c r="BL45" s="1154"/>
      <c r="BM45" s="1154">
        <f t="shared" si="4"/>
        <v>0</v>
      </c>
      <c r="BN45" s="1154">
        <f t="shared" si="5"/>
        <v>0</v>
      </c>
      <c r="BO45" s="527"/>
      <c r="BP45" s="527"/>
      <c r="BQ45" s="1157">
        <v>0</v>
      </c>
      <c r="BR45" s="1157" t="s">
        <v>19</v>
      </c>
      <c r="BS45" s="1157" t="s">
        <v>527</v>
      </c>
      <c r="BT45" s="1376" t="s">
        <v>579</v>
      </c>
    </row>
    <row r="46" spans="1:72" s="512" customFormat="1" ht="13" hidden="1">
      <c r="A46" s="1204">
        <v>45</v>
      </c>
      <c r="B46" s="1205" t="s">
        <v>523</v>
      </c>
      <c r="C46" s="1205" t="s">
        <v>567</v>
      </c>
      <c r="D46" s="1206" t="s">
        <v>527</v>
      </c>
      <c r="E46" s="1386" t="s">
        <v>534</v>
      </c>
      <c r="F46" s="521"/>
      <c r="G46" s="522"/>
      <c r="H46" s="522"/>
      <c r="I46" s="522"/>
      <c r="J46" s="523"/>
      <c r="K46" s="523"/>
      <c r="L46" s="523"/>
      <c r="M46" s="524"/>
      <c r="N46" s="525"/>
      <c r="O46" s="526" t="s">
        <v>1237</v>
      </c>
      <c r="P46" s="525">
        <f>'Malaria-Key Info'!$G$59*'HPM costs'!F516</f>
        <v>0</v>
      </c>
      <c r="Q46" s="525" t="s">
        <v>1237</v>
      </c>
      <c r="R46" s="525">
        <f>'Malaria-Key Info'!$G$59*'HPM costs'!G516</f>
        <v>0</v>
      </c>
      <c r="S46" s="525" t="s">
        <v>1237</v>
      </c>
      <c r="T46" s="525">
        <f>'Malaria-Key Info'!$G$59*'HPM costs'!H516</f>
        <v>0</v>
      </c>
      <c r="U46" s="525" t="s">
        <v>1237</v>
      </c>
      <c r="V46" s="525">
        <f>'Malaria-Key Info'!$G$59*'HPM costs'!I516</f>
        <v>0</v>
      </c>
      <c r="W46" s="525"/>
      <c r="X46" s="1154">
        <f t="shared" si="0"/>
        <v>0</v>
      </c>
      <c r="Y46" s="1155"/>
      <c r="Z46" s="1156"/>
      <c r="AA46" s="529"/>
      <c r="AB46" s="525"/>
      <c r="AC46" s="525">
        <f>'Malaria-Key Info'!$G$59*'HPM costs'!K516</f>
        <v>0</v>
      </c>
      <c r="AD46" s="525"/>
      <c r="AE46" s="525">
        <f>'Malaria-Key Info'!$G$59*'HPM costs'!L516</f>
        <v>0</v>
      </c>
      <c r="AF46" s="525"/>
      <c r="AG46" s="525">
        <f>'Malaria-Key Info'!$G$59*'HPM costs'!M516</f>
        <v>0</v>
      </c>
      <c r="AH46" s="525"/>
      <c r="AI46" s="525">
        <f>'Malaria-Key Info'!$G$59*'HPM costs'!N516</f>
        <v>0</v>
      </c>
      <c r="AJ46" s="525"/>
      <c r="AK46" s="1154">
        <f t="shared" si="1"/>
        <v>0</v>
      </c>
      <c r="AL46" s="1155"/>
      <c r="AM46" s="1156"/>
      <c r="AN46" s="529"/>
      <c r="AO46" s="525"/>
      <c r="AP46" s="525">
        <f>'Malaria-Key Info'!$G$59*'HPM costs'!P516</f>
        <v>0</v>
      </c>
      <c r="AQ46" s="525"/>
      <c r="AR46" s="525">
        <f>'Malaria-Key Info'!$G$59*'HPM costs'!Q516</f>
        <v>0</v>
      </c>
      <c r="AS46" s="525"/>
      <c r="AT46" s="525">
        <f>'Malaria-Key Info'!$G$59*'HPM costs'!R516</f>
        <v>0</v>
      </c>
      <c r="AU46" s="525"/>
      <c r="AV46" s="525">
        <f>'Malaria-Key Info'!$G$59*'HPM costs'!S516</f>
        <v>0</v>
      </c>
      <c r="AW46" s="525"/>
      <c r="AX46" s="1154">
        <f t="shared" si="2"/>
        <v>0</v>
      </c>
      <c r="AY46" s="1154"/>
      <c r="AZ46" s="528"/>
      <c r="BA46" s="529"/>
      <c r="BB46" s="527"/>
      <c r="BC46" s="527">
        <v>0</v>
      </c>
      <c r="BD46" s="527">
        <v>0</v>
      </c>
      <c r="BE46" s="527">
        <v>0</v>
      </c>
      <c r="BF46" s="527">
        <v>0</v>
      </c>
      <c r="BG46" s="527">
        <v>0</v>
      </c>
      <c r="BH46" s="527">
        <v>0</v>
      </c>
      <c r="BI46" s="527">
        <v>0</v>
      </c>
      <c r="BJ46" s="527">
        <v>0</v>
      </c>
      <c r="BK46" s="1154">
        <f t="shared" si="3"/>
        <v>0</v>
      </c>
      <c r="BL46" s="1154"/>
      <c r="BM46" s="1154">
        <f t="shared" si="4"/>
        <v>0</v>
      </c>
      <c r="BN46" s="1154">
        <f t="shared" si="5"/>
        <v>0</v>
      </c>
      <c r="BO46" s="527"/>
      <c r="BP46" s="527"/>
      <c r="BQ46" s="1157">
        <v>0</v>
      </c>
      <c r="BR46" s="1157" t="s">
        <v>19</v>
      </c>
      <c r="BS46" s="1157" t="s">
        <v>527</v>
      </c>
      <c r="BT46" s="1376" t="s">
        <v>580</v>
      </c>
    </row>
    <row r="47" spans="1:72" s="512" customFormat="1" ht="13" hidden="1">
      <c r="A47" s="1204">
        <v>46</v>
      </c>
      <c r="B47" s="1205" t="s">
        <v>523</v>
      </c>
      <c r="C47" s="1205" t="s">
        <v>567</v>
      </c>
      <c r="D47" s="1206" t="s">
        <v>527</v>
      </c>
      <c r="E47" s="1386" t="s">
        <v>536</v>
      </c>
      <c r="F47" s="521"/>
      <c r="G47" s="522"/>
      <c r="H47" s="522"/>
      <c r="I47" s="522"/>
      <c r="J47" s="523"/>
      <c r="K47" s="523"/>
      <c r="L47" s="523"/>
      <c r="M47" s="524"/>
      <c r="N47" s="525"/>
      <c r="O47" s="526" t="s">
        <v>1237</v>
      </c>
      <c r="P47" s="525">
        <f>'Malaria-Key Info'!$G$59*('HPM costs'!F256+'HPM costs'!F602)</f>
        <v>0</v>
      </c>
      <c r="Q47" s="525" t="s">
        <v>1237</v>
      </c>
      <c r="R47" s="525">
        <f>'Malaria-Key Info'!$G$59*('HPM costs'!G256+'HPM costs'!G602)</f>
        <v>0</v>
      </c>
      <c r="S47" s="525" t="s">
        <v>1237</v>
      </c>
      <c r="T47" s="525">
        <f>'Malaria-Key Info'!$G$59*('HPM costs'!H256+'HPM costs'!H602)</f>
        <v>0</v>
      </c>
      <c r="U47" s="525" t="s">
        <v>1237</v>
      </c>
      <c r="V47" s="525">
        <f>'Malaria-Key Info'!$G$59*('HPM costs'!I256+'HPM costs'!I602)</f>
        <v>0</v>
      </c>
      <c r="W47" s="525"/>
      <c r="X47" s="1154">
        <f t="shared" si="0"/>
        <v>0</v>
      </c>
      <c r="Y47" s="1155"/>
      <c r="Z47" s="1156"/>
      <c r="AA47" s="529"/>
      <c r="AB47" s="525"/>
      <c r="AC47" s="525">
        <f>'Malaria-Key Info'!$G$59*('HPM costs'!K256+'HPM costs'!K602)</f>
        <v>0</v>
      </c>
      <c r="AD47" s="525"/>
      <c r="AE47" s="525">
        <f>'Malaria-Key Info'!$G$59*('HPM costs'!L256+'HPM costs'!L602)</f>
        <v>0</v>
      </c>
      <c r="AF47" s="525"/>
      <c r="AG47" s="525">
        <f>'Malaria-Key Info'!$G$59*('HPM costs'!M256+'HPM costs'!M602)</f>
        <v>0</v>
      </c>
      <c r="AH47" s="525"/>
      <c r="AI47" s="525">
        <f>'Malaria-Key Info'!$G$59*('HPM costs'!N256+'HPM costs'!N602)</f>
        <v>0</v>
      </c>
      <c r="AJ47" s="525"/>
      <c r="AK47" s="1154">
        <f t="shared" si="1"/>
        <v>0</v>
      </c>
      <c r="AL47" s="1155"/>
      <c r="AM47" s="1156"/>
      <c r="AN47" s="529"/>
      <c r="AO47" s="525"/>
      <c r="AP47" s="525">
        <f>'Malaria-Key Info'!$G$59*('HPM costs'!P256+'HPM costs'!P602)</f>
        <v>0</v>
      </c>
      <c r="AQ47" s="525"/>
      <c r="AR47" s="525">
        <f>'Malaria-Key Info'!$G$59*('HPM costs'!Q256+'HPM costs'!Q602)</f>
        <v>0</v>
      </c>
      <c r="AS47" s="525"/>
      <c r="AT47" s="525">
        <f>'Malaria-Key Info'!$G$59*('HPM costs'!R256+'HPM costs'!R602)</f>
        <v>0</v>
      </c>
      <c r="AU47" s="525"/>
      <c r="AV47" s="525">
        <f>'Malaria-Key Info'!$G$59*('HPM costs'!S256+'HPM costs'!S602)</f>
        <v>0</v>
      </c>
      <c r="AW47" s="525"/>
      <c r="AX47" s="1154">
        <f t="shared" si="2"/>
        <v>0</v>
      </c>
      <c r="AY47" s="1154"/>
      <c r="AZ47" s="528"/>
      <c r="BA47" s="529"/>
      <c r="BB47" s="527"/>
      <c r="BC47" s="527">
        <v>0</v>
      </c>
      <c r="BD47" s="527">
        <v>0</v>
      </c>
      <c r="BE47" s="527">
        <v>0</v>
      </c>
      <c r="BF47" s="527">
        <v>0</v>
      </c>
      <c r="BG47" s="527">
        <v>0</v>
      </c>
      <c r="BH47" s="527">
        <v>0</v>
      </c>
      <c r="BI47" s="527">
        <v>0</v>
      </c>
      <c r="BJ47" s="527">
        <v>0</v>
      </c>
      <c r="BK47" s="1154">
        <f t="shared" si="3"/>
        <v>0</v>
      </c>
      <c r="BL47" s="1154"/>
      <c r="BM47" s="1154">
        <f t="shared" si="4"/>
        <v>0</v>
      </c>
      <c r="BN47" s="1154">
        <f t="shared" si="5"/>
        <v>0</v>
      </c>
      <c r="BO47" s="527"/>
      <c r="BP47" s="527"/>
      <c r="BQ47" s="1157">
        <v>0</v>
      </c>
      <c r="BR47" s="1157" t="s">
        <v>19</v>
      </c>
      <c r="BS47" s="1157" t="s">
        <v>527</v>
      </c>
      <c r="BT47" s="1376" t="s">
        <v>581</v>
      </c>
    </row>
    <row r="48" spans="1:72" s="512" customFormat="1" ht="13" hidden="1">
      <c r="A48" s="1204">
        <v>47</v>
      </c>
      <c r="B48" s="1205" t="s">
        <v>523</v>
      </c>
      <c r="C48" s="1205" t="s">
        <v>567</v>
      </c>
      <c r="D48" s="1206" t="s">
        <v>527</v>
      </c>
      <c r="E48" s="1386" t="s">
        <v>538</v>
      </c>
      <c r="F48" s="521"/>
      <c r="G48" s="522"/>
      <c r="H48" s="522"/>
      <c r="I48" s="522"/>
      <c r="J48" s="523"/>
      <c r="K48" s="523"/>
      <c r="L48" s="523"/>
      <c r="M48" s="524"/>
      <c r="N48" s="525"/>
      <c r="O48" s="526" t="s">
        <v>1237</v>
      </c>
      <c r="P48" s="525">
        <f>'Malaria-Key Info'!$G$59*'HPM costs'!F342</f>
        <v>0</v>
      </c>
      <c r="Q48" s="525" t="s">
        <v>1237</v>
      </c>
      <c r="R48" s="525">
        <f>'Malaria-Key Info'!$G$59*'HPM costs'!G342</f>
        <v>0</v>
      </c>
      <c r="S48" s="525" t="s">
        <v>1237</v>
      </c>
      <c r="T48" s="525">
        <f>'Malaria-Key Info'!$G$59*'HPM costs'!H342</f>
        <v>0</v>
      </c>
      <c r="U48" s="525" t="s">
        <v>1237</v>
      </c>
      <c r="V48" s="525">
        <f>'Malaria-Key Info'!$G$59*'HPM costs'!I342</f>
        <v>0</v>
      </c>
      <c r="W48" s="525"/>
      <c r="X48" s="1154">
        <f t="shared" si="0"/>
        <v>0</v>
      </c>
      <c r="Y48" s="1155"/>
      <c r="Z48" s="1156"/>
      <c r="AA48" s="529"/>
      <c r="AB48" s="525"/>
      <c r="AC48" s="525">
        <f>'Malaria-Key Info'!$G$59*'HPM costs'!K342</f>
        <v>0</v>
      </c>
      <c r="AD48" s="525"/>
      <c r="AE48" s="525">
        <f>'Malaria-Key Info'!$G$59*'HPM costs'!L342</f>
        <v>0</v>
      </c>
      <c r="AF48" s="525"/>
      <c r="AG48" s="525">
        <f>'Malaria-Key Info'!$G$59*'HPM costs'!M342</f>
        <v>0</v>
      </c>
      <c r="AH48" s="525"/>
      <c r="AI48" s="525">
        <f>'Malaria-Key Info'!$G$59*'HPM costs'!N342</f>
        <v>0</v>
      </c>
      <c r="AJ48" s="525"/>
      <c r="AK48" s="1154">
        <f t="shared" si="1"/>
        <v>0</v>
      </c>
      <c r="AL48" s="1155"/>
      <c r="AM48" s="1156"/>
      <c r="AN48" s="529"/>
      <c r="AO48" s="525"/>
      <c r="AP48" s="525">
        <f>'Malaria-Key Info'!$G$59*'HPM costs'!P342</f>
        <v>0</v>
      </c>
      <c r="AQ48" s="525"/>
      <c r="AR48" s="525">
        <f>'Malaria-Key Info'!$G$59*'HPM costs'!Q342</f>
        <v>0</v>
      </c>
      <c r="AS48" s="525"/>
      <c r="AT48" s="525">
        <f>'Malaria-Key Info'!$G$59*'HPM costs'!R342</f>
        <v>0</v>
      </c>
      <c r="AU48" s="525"/>
      <c r="AV48" s="525">
        <f>'Malaria-Key Info'!$G$59*'HPM costs'!S342</f>
        <v>0</v>
      </c>
      <c r="AW48" s="525"/>
      <c r="AX48" s="1154">
        <f t="shared" si="2"/>
        <v>0</v>
      </c>
      <c r="AY48" s="1154"/>
      <c r="AZ48" s="528"/>
      <c r="BA48" s="529"/>
      <c r="BB48" s="527"/>
      <c r="BC48" s="527">
        <v>0</v>
      </c>
      <c r="BD48" s="527">
        <v>0</v>
      </c>
      <c r="BE48" s="527">
        <v>0</v>
      </c>
      <c r="BF48" s="527">
        <v>0</v>
      </c>
      <c r="BG48" s="527">
        <v>0</v>
      </c>
      <c r="BH48" s="527">
        <v>0</v>
      </c>
      <c r="BI48" s="527">
        <v>0</v>
      </c>
      <c r="BJ48" s="527">
        <v>0</v>
      </c>
      <c r="BK48" s="1154">
        <f t="shared" si="3"/>
        <v>0</v>
      </c>
      <c r="BL48" s="1154"/>
      <c r="BM48" s="1154">
        <f t="shared" si="4"/>
        <v>0</v>
      </c>
      <c r="BN48" s="1154">
        <f t="shared" si="5"/>
        <v>0</v>
      </c>
      <c r="BO48" s="527"/>
      <c r="BP48" s="527"/>
      <c r="BQ48" s="1157">
        <v>0</v>
      </c>
      <c r="BR48" s="1157" t="s">
        <v>19</v>
      </c>
      <c r="BS48" s="1157" t="s">
        <v>527</v>
      </c>
      <c r="BT48" s="1376" t="s">
        <v>582</v>
      </c>
    </row>
    <row r="49" spans="1:72" s="512" customFormat="1" ht="13" hidden="1">
      <c r="A49" s="1204">
        <v>48</v>
      </c>
      <c r="B49" s="1205" t="s">
        <v>523</v>
      </c>
      <c r="C49" s="1205" t="s">
        <v>567</v>
      </c>
      <c r="D49" s="1206" t="s">
        <v>527</v>
      </c>
      <c r="E49" s="1386" t="s">
        <v>540</v>
      </c>
      <c r="F49" s="521"/>
      <c r="G49" s="522"/>
      <c r="H49" s="522"/>
      <c r="I49" s="522"/>
      <c r="J49" s="523"/>
      <c r="K49" s="523"/>
      <c r="L49" s="523"/>
      <c r="M49" s="524"/>
      <c r="N49" s="525"/>
      <c r="O49" s="526" t="s">
        <v>1237</v>
      </c>
      <c r="P49" s="525">
        <f>'Malaria-Key Info'!$G$59*'HPM costs'!F687</f>
        <v>0</v>
      </c>
      <c r="Q49" s="525" t="s">
        <v>1237</v>
      </c>
      <c r="R49" s="525">
        <f>'Malaria-Key Info'!$G$59*'HPM costs'!G687</f>
        <v>0</v>
      </c>
      <c r="S49" s="525" t="s">
        <v>1237</v>
      </c>
      <c r="T49" s="525">
        <f>'Malaria-Key Info'!$G$59*'HPM costs'!H687</f>
        <v>0</v>
      </c>
      <c r="U49" s="525" t="s">
        <v>1237</v>
      </c>
      <c r="V49" s="525">
        <f>'Malaria-Key Info'!$G$59*'HPM costs'!I687</f>
        <v>0</v>
      </c>
      <c r="W49" s="525"/>
      <c r="X49" s="1154">
        <f t="shared" si="0"/>
        <v>0</v>
      </c>
      <c r="Y49" s="1155"/>
      <c r="Z49" s="1156"/>
      <c r="AA49" s="529"/>
      <c r="AB49" s="525"/>
      <c r="AC49" s="525">
        <f>'Malaria-Key Info'!$G$59*'HPM costs'!K687</f>
        <v>0</v>
      </c>
      <c r="AD49" s="525"/>
      <c r="AE49" s="525">
        <f>'Malaria-Key Info'!$G$59*'HPM costs'!L687</f>
        <v>0</v>
      </c>
      <c r="AF49" s="525"/>
      <c r="AG49" s="525">
        <f>'Malaria-Key Info'!$G$59*'HPM costs'!M687</f>
        <v>0</v>
      </c>
      <c r="AH49" s="525"/>
      <c r="AI49" s="525">
        <f>'Malaria-Key Info'!$G$59*'HPM costs'!N687</f>
        <v>0</v>
      </c>
      <c r="AJ49" s="525"/>
      <c r="AK49" s="1154">
        <f t="shared" si="1"/>
        <v>0</v>
      </c>
      <c r="AL49" s="1155"/>
      <c r="AM49" s="1156"/>
      <c r="AN49" s="529"/>
      <c r="AO49" s="525"/>
      <c r="AP49" s="525">
        <f>'Malaria-Key Info'!$G$59*'HPM costs'!P687</f>
        <v>0</v>
      </c>
      <c r="AQ49" s="525"/>
      <c r="AR49" s="525">
        <f>'Malaria-Key Info'!$G$59*'HPM costs'!Q687</f>
        <v>0</v>
      </c>
      <c r="AS49" s="525"/>
      <c r="AT49" s="525">
        <f>'Malaria-Key Info'!$G$59*'HPM costs'!R687</f>
        <v>0</v>
      </c>
      <c r="AU49" s="525"/>
      <c r="AV49" s="525">
        <f>'Malaria-Key Info'!$G$59*'HPM costs'!S687</f>
        <v>0</v>
      </c>
      <c r="AW49" s="525"/>
      <c r="AX49" s="1154">
        <f t="shared" si="2"/>
        <v>0</v>
      </c>
      <c r="AY49" s="1154"/>
      <c r="AZ49" s="528"/>
      <c r="BA49" s="529"/>
      <c r="BB49" s="527"/>
      <c r="BC49" s="527">
        <v>0</v>
      </c>
      <c r="BD49" s="527">
        <v>0</v>
      </c>
      <c r="BE49" s="527">
        <v>0</v>
      </c>
      <c r="BF49" s="527">
        <v>0</v>
      </c>
      <c r="BG49" s="527">
        <v>0</v>
      </c>
      <c r="BH49" s="527">
        <v>0</v>
      </c>
      <c r="BI49" s="527">
        <v>0</v>
      </c>
      <c r="BJ49" s="527">
        <v>0</v>
      </c>
      <c r="BK49" s="1154">
        <f t="shared" si="3"/>
        <v>0</v>
      </c>
      <c r="BL49" s="1154"/>
      <c r="BM49" s="1154">
        <f t="shared" si="4"/>
        <v>0</v>
      </c>
      <c r="BN49" s="1154">
        <f t="shared" si="5"/>
        <v>0</v>
      </c>
      <c r="BO49" s="527"/>
      <c r="BP49" s="527"/>
      <c r="BQ49" s="1157">
        <v>0</v>
      </c>
      <c r="BR49" s="1157" t="s">
        <v>19</v>
      </c>
      <c r="BS49" s="1157" t="s">
        <v>527</v>
      </c>
      <c r="BT49" s="1376" t="s">
        <v>1241</v>
      </c>
    </row>
    <row r="50" spans="1:72" s="512" customFormat="1" ht="13" hidden="1">
      <c r="A50" s="1204">
        <v>49</v>
      </c>
      <c r="B50" s="1205" t="s">
        <v>523</v>
      </c>
      <c r="C50" s="1205" t="s">
        <v>583</v>
      </c>
      <c r="D50" s="1206" t="s">
        <v>584</v>
      </c>
      <c r="E50" s="1386" t="s">
        <v>585</v>
      </c>
      <c r="F50" s="521"/>
      <c r="G50" s="522"/>
      <c r="H50" s="522"/>
      <c r="I50" s="522"/>
      <c r="J50" s="523"/>
      <c r="K50" s="523"/>
      <c r="L50" s="523"/>
      <c r="M50" s="524"/>
      <c r="N50" s="525"/>
      <c r="O50" s="526" t="s">
        <v>1237</v>
      </c>
      <c r="P50" s="525">
        <f>IFERROR(INDEX('Malaria-Equipment &amp; Other HPs'!$AX$29:$BI$40,MATCH("5.5"&amp;"3",INDEX('Malaria-Equipment &amp; Other HPs'!$AW$29:$AW$40&amp;'Malaria-Equipment &amp; Other HPs'!$AU$29:$AU$40,0),0),MID(LEFT(P$1,SEARCH(" ",P$1)-1),2,3)-INDEX('Malaria-Equipment &amp; Other HPs'!$AV$29:$AV$40,MATCH("5.5"&amp;"3",INDEX('Malaria-Equipment &amp; Other HPs'!$AW$29:$AW$40&amp;'Malaria-Equipment &amp; Other HPs'!$AU$29:$AU$40,0),0))),)</f>
        <v>0</v>
      </c>
      <c r="Q50" s="525" t="s">
        <v>1237</v>
      </c>
      <c r="R50" s="525">
        <f>IFERROR(INDEX('Malaria-Equipment &amp; Other HPs'!$AX$29:$BI$40,MATCH("5.5"&amp;"3",INDEX('Malaria-Equipment &amp; Other HPs'!$AW$29:$AW$40&amp;'Malaria-Equipment &amp; Other HPs'!$AU$29:$AU$40,0),0),MID(LEFT(R$1,SEARCH(" ",R$1)-1),2,3)-INDEX('Malaria-Equipment &amp; Other HPs'!$AV$29:$AV$40,MATCH("5.5"&amp;"3",INDEX('Malaria-Equipment &amp; Other HPs'!$AW$29:$AW$40&amp;'Malaria-Equipment &amp; Other HPs'!$AU$29:$AU$40,0),0))),)</f>
        <v>0</v>
      </c>
      <c r="S50" s="525" t="s">
        <v>1237</v>
      </c>
      <c r="T50" s="525">
        <f>IFERROR(INDEX('Malaria-Equipment &amp; Other HPs'!$AX$29:$BI$40,MATCH("5.5"&amp;"3",INDEX('Malaria-Equipment &amp; Other HPs'!$AW$29:$AW$40&amp;'Malaria-Equipment &amp; Other HPs'!$AU$29:$AU$40,0),0),MID(LEFT(T$1,SEARCH(" ",T$1)-1),2,3)-INDEX('Malaria-Equipment &amp; Other HPs'!$AV$29:$AV$40,MATCH("5.5"&amp;"3",INDEX('Malaria-Equipment &amp; Other HPs'!$AW$29:$AW$40&amp;'Malaria-Equipment &amp; Other HPs'!$AU$29:$AU$40,0),0))),)</f>
        <v>0</v>
      </c>
      <c r="U50" s="525" t="s">
        <v>1237</v>
      </c>
      <c r="V50" s="525">
        <f>IFERROR(INDEX('Malaria-Equipment &amp; Other HPs'!$AX$29:$BI$40,MATCH("5.5"&amp;"3",INDEX('Malaria-Equipment &amp; Other HPs'!$AW$29:$AW$40&amp;'Malaria-Equipment &amp; Other HPs'!$AU$29:$AU$40,0),0),MID(LEFT(V$1,SEARCH(" ",V$1)-1),2,3)-INDEX('Malaria-Equipment &amp; Other HPs'!$AV$29:$AV$40,MATCH("5.5"&amp;"3",INDEX('Malaria-Equipment &amp; Other HPs'!$AW$29:$AW$40&amp;'Malaria-Equipment &amp; Other HPs'!$AU$29:$AU$40,0),0))),)</f>
        <v>0</v>
      </c>
      <c r="W50" s="525"/>
      <c r="X50" s="1154">
        <f t="shared" si="0"/>
        <v>0</v>
      </c>
      <c r="Y50" s="1155"/>
      <c r="Z50" s="1156"/>
      <c r="AA50" s="529"/>
      <c r="AB50" s="525"/>
      <c r="AC50" s="525">
        <f>IFERROR(INDEX('Malaria-Equipment &amp; Other HPs'!$AX$29:$BI$40,MATCH("5.5"&amp;"3",INDEX('Malaria-Equipment &amp; Other HPs'!$AW$29:$AW$40&amp;'Malaria-Equipment &amp; Other HPs'!$AU$29:$AU$40,0),0),MID(LEFT(AC$1,SEARCH(" ",AC$1)-1),2,3)-INDEX('Malaria-Equipment &amp; Other HPs'!$AV$29:$AV$40,MATCH("5.5"&amp;"3",INDEX('Malaria-Equipment &amp; Other HPs'!$AW$29:$AW$40&amp;'Malaria-Equipment &amp; Other HPs'!$AU$29:$AU$40,0),0))),)</f>
        <v>0</v>
      </c>
      <c r="AD50" s="525"/>
      <c r="AE50" s="525">
        <f>IFERROR(INDEX('Malaria-Equipment &amp; Other HPs'!$AX$29:$BI$40,MATCH("5.5"&amp;"3",INDEX('Malaria-Equipment &amp; Other HPs'!$AW$29:$AW$40&amp;'Malaria-Equipment &amp; Other HPs'!$AU$29:$AU$40,0),0),MID(LEFT(AE$1,SEARCH(" ",AE$1)-1),2,3)-INDEX('Malaria-Equipment &amp; Other HPs'!$AV$29:$AV$40,MATCH("5.5"&amp;"3",INDEX('Malaria-Equipment &amp; Other HPs'!$AW$29:$AW$40&amp;'Malaria-Equipment &amp; Other HPs'!$AU$29:$AU$40,0),0))),)</f>
        <v>0</v>
      </c>
      <c r="AF50" s="525"/>
      <c r="AG50" s="525">
        <f>IFERROR(INDEX('Malaria-Equipment &amp; Other HPs'!$AX$29:$BI$40,MATCH("5.5"&amp;"3",INDEX('Malaria-Equipment &amp; Other HPs'!$AW$29:$AW$40&amp;'Malaria-Equipment &amp; Other HPs'!$AU$29:$AU$40,0),0),MID(LEFT(AG$1,SEARCH(" ",AG$1)-1),2,3)-INDEX('Malaria-Equipment &amp; Other HPs'!$AV$29:$AV$40,MATCH("5.5"&amp;"3",INDEX('Malaria-Equipment &amp; Other HPs'!$AW$29:$AW$40&amp;'Malaria-Equipment &amp; Other HPs'!$AU$29:$AU$40,0),0))),)</f>
        <v>0</v>
      </c>
      <c r="AH50" s="525"/>
      <c r="AI50" s="525">
        <f>IFERROR(INDEX('Malaria-Equipment &amp; Other HPs'!$AX$29:$BI$40,MATCH("5.5"&amp;"3",INDEX('Malaria-Equipment &amp; Other HPs'!$AW$29:$AW$40&amp;'Malaria-Equipment &amp; Other HPs'!$AU$29:$AU$40,0),0),MID(LEFT(AI$1,SEARCH(" ",AI$1)-1),2,3)-INDEX('Malaria-Equipment &amp; Other HPs'!$AV$29:$AV$40,MATCH("5.5"&amp;"3",INDEX('Malaria-Equipment &amp; Other HPs'!$AW$29:$AW$40&amp;'Malaria-Equipment &amp; Other HPs'!$AU$29:$AU$40,0),0))),)</f>
        <v>0</v>
      </c>
      <c r="AJ50" s="525"/>
      <c r="AK50" s="1154">
        <f t="shared" si="1"/>
        <v>0</v>
      </c>
      <c r="AL50" s="1155"/>
      <c r="AM50" s="1156"/>
      <c r="AN50" s="529"/>
      <c r="AO50" s="525"/>
      <c r="AP50" s="525">
        <f>IFERROR(INDEX('Malaria-Equipment &amp; Other HPs'!$AX$29:$BI$40,MATCH("5.5"&amp;"3",INDEX('Malaria-Equipment &amp; Other HPs'!$AW$29:$AW$40&amp;'Malaria-Equipment &amp; Other HPs'!$AU$29:$AU$40,0),0),MID(LEFT(AP$1,SEARCH(" ",AP$1)-1),2,3)-INDEX('Malaria-Equipment &amp; Other HPs'!$AV$29:$AV$40,MATCH("5.5"&amp;"3",INDEX('Malaria-Equipment &amp; Other HPs'!$AW$29:$AW$40&amp;'Malaria-Equipment &amp; Other HPs'!$AU$29:$AU$40,0),0))),)</f>
        <v>0</v>
      </c>
      <c r="AQ50" s="525"/>
      <c r="AR50" s="525">
        <f>IFERROR(INDEX('Malaria-Equipment &amp; Other HPs'!$AX$29:$BI$40,MATCH("5.5"&amp;"3",INDEX('Malaria-Equipment &amp; Other HPs'!$AW$29:$AW$40&amp;'Malaria-Equipment &amp; Other HPs'!$AU$29:$AU$40,0),0),MID(LEFT(AR$1,SEARCH(" ",AR$1)-1),2,3)-INDEX('Malaria-Equipment &amp; Other HPs'!$AV$29:$AV$40,MATCH("5.5"&amp;"3",INDEX('Malaria-Equipment &amp; Other HPs'!$AW$29:$AW$40&amp;'Malaria-Equipment &amp; Other HPs'!$AU$29:$AU$40,0),0))),)</f>
        <v>0</v>
      </c>
      <c r="AS50" s="525"/>
      <c r="AT50" s="525">
        <f>IFERROR(INDEX('Malaria-Equipment &amp; Other HPs'!$AX$29:$BI$40,MATCH("5.5"&amp;"3",INDEX('Malaria-Equipment &amp; Other HPs'!$AW$29:$AW$40&amp;'Malaria-Equipment &amp; Other HPs'!$AU$29:$AU$40,0),0),MID(LEFT(AT$1,SEARCH(" ",AT$1)-1),2,3)-INDEX('Malaria-Equipment &amp; Other HPs'!$AV$29:$AV$40,MATCH("5.5"&amp;"3",INDEX('Malaria-Equipment &amp; Other HPs'!$AW$29:$AW$40&amp;'Malaria-Equipment &amp; Other HPs'!$AU$29:$AU$40,0),0))),)</f>
        <v>0</v>
      </c>
      <c r="AU50" s="525"/>
      <c r="AV50" s="525">
        <f>IFERROR(INDEX('Malaria-Equipment &amp; Other HPs'!$BJ$29:$BJ$40,MATCH("5.5"&amp;"3",INDEX('Malaria-Equipment &amp; Other HPs'!$AW$29:$AW$40&amp;'Malaria-Equipment &amp; Other HPs'!$AU$29:$AU$40,0),0),)-SUM(X50,AK50,AP50,AR50,AT50),)</f>
        <v>0</v>
      </c>
      <c r="AW50" s="525"/>
      <c r="AX50" s="1154">
        <f t="shared" si="2"/>
        <v>0</v>
      </c>
      <c r="AY50" s="1154"/>
      <c r="AZ50" s="528"/>
      <c r="BA50" s="529"/>
      <c r="BB50" s="527"/>
      <c r="BC50" s="527">
        <v>0</v>
      </c>
      <c r="BD50" s="527">
        <v>0</v>
      </c>
      <c r="BE50" s="527">
        <v>0</v>
      </c>
      <c r="BF50" s="527">
        <v>0</v>
      </c>
      <c r="BG50" s="527">
        <v>0</v>
      </c>
      <c r="BH50" s="527">
        <v>0</v>
      </c>
      <c r="BI50" s="527">
        <v>0</v>
      </c>
      <c r="BJ50" s="527">
        <v>0</v>
      </c>
      <c r="BK50" s="1154">
        <f t="shared" si="3"/>
        <v>0</v>
      </c>
      <c r="BL50" s="1154"/>
      <c r="BM50" s="1154">
        <f t="shared" si="4"/>
        <v>0</v>
      </c>
      <c r="BN50" s="1154">
        <f t="shared" si="5"/>
        <v>0</v>
      </c>
      <c r="BO50" s="527"/>
      <c r="BP50" s="527"/>
      <c r="BQ50" s="1157">
        <v>0</v>
      </c>
      <c r="BR50" s="1157" t="s">
        <v>19</v>
      </c>
      <c r="BS50" s="1157" t="s">
        <v>584</v>
      </c>
      <c r="BT50" s="1376" t="s">
        <v>1362</v>
      </c>
    </row>
    <row r="51" spans="1:72" s="512" customFormat="1" ht="13" hidden="1">
      <c r="A51" s="1204">
        <v>50</v>
      </c>
      <c r="B51" s="1205" t="s">
        <v>523</v>
      </c>
      <c r="C51" s="1205" t="s">
        <v>583</v>
      </c>
      <c r="D51" s="1206" t="s">
        <v>2561</v>
      </c>
      <c r="E51" s="1386" t="s">
        <v>586</v>
      </c>
      <c r="F51" s="521"/>
      <c r="G51" s="522"/>
      <c r="H51" s="522"/>
      <c r="I51" s="522"/>
      <c r="J51" s="523"/>
      <c r="K51" s="523"/>
      <c r="L51" s="523"/>
      <c r="M51" s="524"/>
      <c r="N51" s="525"/>
      <c r="O51" s="526" t="s">
        <v>1237</v>
      </c>
      <c r="P51" s="525">
        <f>IFERROR(INDEX('Malaria-Equipment &amp; Other HPs'!$AX$29:$BI$40,MATCH("6.6"&amp;"3",INDEX('Malaria-Equipment &amp; Other HPs'!$AW$29:$AW$40&amp;'Malaria-Equipment &amp; Other HPs'!$AU$29:$AU$40,0),0),MID(LEFT(P$1,SEARCH(" ",P$1)-1),2,3)-INDEX('Malaria-Equipment &amp; Other HPs'!$AV$29:$AV$40,MATCH("6.6"&amp;"3",INDEX('Malaria-Equipment &amp; Other HPs'!$AW$29:$AW$40&amp;'Malaria-Equipment &amp; Other HPs'!$AU$29:$AU$40,0),0))),)</f>
        <v>0</v>
      </c>
      <c r="Q51" s="525" t="s">
        <v>1237</v>
      </c>
      <c r="R51" s="525">
        <f>IFERROR(INDEX('Malaria-Equipment &amp; Other HPs'!$AX$29:$BI$40,MATCH("6.6"&amp;"3",INDEX('Malaria-Equipment &amp; Other HPs'!$AW$29:$AW$40&amp;'Malaria-Equipment &amp; Other HPs'!$AU$29:$AU$40,0),0),MID(LEFT(R$1,SEARCH(" ",R$1)-1),2,3)-INDEX('Malaria-Equipment &amp; Other HPs'!$AV$29:$AV$40,MATCH("6.6"&amp;"3",INDEX('Malaria-Equipment &amp; Other HPs'!$AW$29:$AW$40&amp;'Malaria-Equipment &amp; Other HPs'!$AU$29:$AU$40,0),0))),)</f>
        <v>0</v>
      </c>
      <c r="S51" s="525" t="s">
        <v>1237</v>
      </c>
      <c r="T51" s="525">
        <f>IFERROR(INDEX('Malaria-Equipment &amp; Other HPs'!$AX$29:$BI$40,MATCH("6.6"&amp;"3",INDEX('Malaria-Equipment &amp; Other HPs'!$AW$29:$AW$40&amp;'Malaria-Equipment &amp; Other HPs'!$AU$29:$AU$40,0),0),MID(LEFT(T$1,SEARCH(" ",T$1)-1),2,3)-INDEX('Malaria-Equipment &amp; Other HPs'!$AV$29:$AV$40,MATCH("6.6"&amp;"3",INDEX('Malaria-Equipment &amp; Other HPs'!$AW$29:$AW$40&amp;'Malaria-Equipment &amp; Other HPs'!$AU$29:$AU$40,0),0))),)</f>
        <v>0</v>
      </c>
      <c r="U51" s="525" t="s">
        <v>1237</v>
      </c>
      <c r="V51" s="525">
        <f>IFERROR(INDEX('Malaria-Equipment &amp; Other HPs'!$AX$29:$BI$40,MATCH("6.6"&amp;"3",INDEX('Malaria-Equipment &amp; Other HPs'!$AW$29:$AW$40&amp;'Malaria-Equipment &amp; Other HPs'!$AU$29:$AU$40,0),0),MID(LEFT(V$1,SEARCH(" ",V$1)-1),2,3)-INDEX('Malaria-Equipment &amp; Other HPs'!$AV$29:$AV$40,MATCH("6.6"&amp;"3",INDEX('Malaria-Equipment &amp; Other HPs'!$AW$29:$AW$40&amp;'Malaria-Equipment &amp; Other HPs'!$AU$29:$AU$40,0),0))),)</f>
        <v>0</v>
      </c>
      <c r="W51" s="525"/>
      <c r="X51" s="1154">
        <f t="shared" si="0"/>
        <v>0</v>
      </c>
      <c r="Y51" s="1155"/>
      <c r="Z51" s="1156"/>
      <c r="AA51" s="529"/>
      <c r="AB51" s="525"/>
      <c r="AC51" s="525">
        <f>IFERROR(INDEX('Malaria-Equipment &amp; Other HPs'!$AX$29:$BI$40,MATCH("6.6"&amp;"3",INDEX('Malaria-Equipment &amp; Other HPs'!$AW$29:$AW$40&amp;'Malaria-Equipment &amp; Other HPs'!$AU$29:$AU$40,0),0),MID(LEFT(AC$1,SEARCH(" ",AC$1)-1),2,3)-INDEX('Malaria-Equipment &amp; Other HPs'!$AV$29:$AV$40,MATCH("6.6"&amp;"3",INDEX('Malaria-Equipment &amp; Other HPs'!$AW$29:$AW$40&amp;'Malaria-Equipment &amp; Other HPs'!$AU$29:$AU$40,0),0))),)</f>
        <v>0</v>
      </c>
      <c r="AD51" s="525"/>
      <c r="AE51" s="525">
        <f>IFERROR(INDEX('Malaria-Equipment &amp; Other HPs'!$AX$29:$BI$40,MATCH("6.6"&amp;"3",INDEX('Malaria-Equipment &amp; Other HPs'!$AW$29:$AW$40&amp;'Malaria-Equipment &amp; Other HPs'!$AU$29:$AU$40,0),0),MID(LEFT(AE$1,SEARCH(" ",AE$1)-1),2,3)-INDEX('Malaria-Equipment &amp; Other HPs'!$AV$29:$AV$40,MATCH("6.6"&amp;"3",INDEX('Malaria-Equipment &amp; Other HPs'!$AW$29:$AW$40&amp;'Malaria-Equipment &amp; Other HPs'!$AU$29:$AU$40,0),0))),)</f>
        <v>0</v>
      </c>
      <c r="AF51" s="525"/>
      <c r="AG51" s="525">
        <f>IFERROR(INDEX('Malaria-Equipment &amp; Other HPs'!$AX$29:$BI$40,MATCH("6.6"&amp;"3",INDEX('Malaria-Equipment &amp; Other HPs'!$AW$29:$AW$40&amp;'Malaria-Equipment &amp; Other HPs'!$AU$29:$AU$40,0),0),MID(LEFT(AG$1,SEARCH(" ",AG$1)-1),2,3)-INDEX('Malaria-Equipment &amp; Other HPs'!$AV$29:$AV$40,MATCH("6.6"&amp;"3",INDEX('Malaria-Equipment &amp; Other HPs'!$AW$29:$AW$40&amp;'Malaria-Equipment &amp; Other HPs'!$AU$29:$AU$40,0),0))),)</f>
        <v>0</v>
      </c>
      <c r="AH51" s="525"/>
      <c r="AI51" s="525">
        <f>IFERROR(INDEX('Malaria-Equipment &amp; Other HPs'!$AX$29:$BI$40,MATCH("6.6"&amp;"3",INDEX('Malaria-Equipment &amp; Other HPs'!$AW$29:$AW$40&amp;'Malaria-Equipment &amp; Other HPs'!$AU$29:$AU$40,0),0),MID(LEFT(AI$1,SEARCH(" ",AI$1)-1),2,3)-INDEX('Malaria-Equipment &amp; Other HPs'!$AV$29:$AV$40,MATCH("6.6"&amp;"3",INDEX('Malaria-Equipment &amp; Other HPs'!$AW$29:$AW$40&amp;'Malaria-Equipment &amp; Other HPs'!$AU$29:$AU$40,0),0))),)</f>
        <v>0</v>
      </c>
      <c r="AJ51" s="525"/>
      <c r="AK51" s="1154">
        <f t="shared" si="1"/>
        <v>0</v>
      </c>
      <c r="AL51" s="1155"/>
      <c r="AM51" s="1156"/>
      <c r="AN51" s="529"/>
      <c r="AO51" s="525"/>
      <c r="AP51" s="525">
        <f>IFERROR(INDEX('Malaria-Equipment &amp; Other HPs'!$AX$29:$BI$40,MATCH("6.6"&amp;"3",INDEX('Malaria-Equipment &amp; Other HPs'!$AW$29:$AW$40&amp;'Malaria-Equipment &amp; Other HPs'!$AU$29:$AU$40,0),0),MID(LEFT(AP$1,SEARCH(" ",AP$1)-1),2,3)-INDEX('Malaria-Equipment &amp; Other HPs'!$AV$29:$AV$40,MATCH("6.6"&amp;"3",INDEX('Malaria-Equipment &amp; Other HPs'!$AW$29:$AW$40&amp;'Malaria-Equipment &amp; Other HPs'!$AU$29:$AU$40,0),0))),)</f>
        <v>0</v>
      </c>
      <c r="AQ51" s="525"/>
      <c r="AR51" s="525">
        <f>IFERROR(INDEX('Malaria-Equipment &amp; Other HPs'!$AX$29:$BI$40,MATCH("6.6"&amp;"3",INDEX('Malaria-Equipment &amp; Other HPs'!$AW$29:$AW$40&amp;'Malaria-Equipment &amp; Other HPs'!$AU$29:$AU$40,0),0),MID(LEFT(AR$1,SEARCH(" ",AR$1)-1),2,3)-INDEX('Malaria-Equipment &amp; Other HPs'!$AV$29:$AV$40,MATCH("6.6"&amp;"3",INDEX('Malaria-Equipment &amp; Other HPs'!$AW$29:$AW$40&amp;'Malaria-Equipment &amp; Other HPs'!$AU$29:$AU$40,0),0))),)</f>
        <v>0</v>
      </c>
      <c r="AS51" s="525"/>
      <c r="AT51" s="525">
        <f>IFERROR(INDEX('Malaria-Equipment &amp; Other HPs'!$AX$29:$BI$40,MATCH("6.6"&amp;"3",INDEX('Malaria-Equipment &amp; Other HPs'!$AW$29:$AW$40&amp;'Malaria-Equipment &amp; Other HPs'!$AU$29:$AU$40,0),0),MID(LEFT(AT$1,SEARCH(" ",AT$1)-1),2,3)-INDEX('Malaria-Equipment &amp; Other HPs'!$AV$29:$AV$40,MATCH("6.6"&amp;"3",INDEX('Malaria-Equipment &amp; Other HPs'!$AW$29:$AW$40&amp;'Malaria-Equipment &amp; Other HPs'!$AU$29:$AU$40,0),0))),)</f>
        <v>0</v>
      </c>
      <c r="AU51" s="525"/>
      <c r="AV51" s="525">
        <f>IFERROR(INDEX('Malaria-Equipment &amp; Other HPs'!$BJ$29:$BJ$40,MATCH("6.6"&amp;"3",INDEX('Malaria-Equipment &amp; Other HPs'!$AW$29:$AW$40&amp;'Malaria-Equipment &amp; Other HPs'!$AU$29:$AU$40,0),0),0),)-SUM(X51,AK51,AP51,AR51,AT51)</f>
        <v>0</v>
      </c>
      <c r="AW51" s="525"/>
      <c r="AX51" s="1154">
        <f t="shared" si="2"/>
        <v>0</v>
      </c>
      <c r="AY51" s="1154"/>
      <c r="AZ51" s="528"/>
      <c r="BA51" s="529"/>
      <c r="BB51" s="527"/>
      <c r="BC51" s="527">
        <v>0</v>
      </c>
      <c r="BD51" s="527">
        <v>0</v>
      </c>
      <c r="BE51" s="527">
        <v>0</v>
      </c>
      <c r="BF51" s="527">
        <v>0</v>
      </c>
      <c r="BG51" s="527">
        <v>0</v>
      </c>
      <c r="BH51" s="527">
        <v>0</v>
      </c>
      <c r="BI51" s="527">
        <v>0</v>
      </c>
      <c r="BJ51" s="527">
        <v>0</v>
      </c>
      <c r="BK51" s="1154">
        <f t="shared" si="3"/>
        <v>0</v>
      </c>
      <c r="BL51" s="1154"/>
      <c r="BM51" s="1154">
        <f t="shared" si="4"/>
        <v>0</v>
      </c>
      <c r="BN51" s="1154">
        <f t="shared" si="5"/>
        <v>0</v>
      </c>
      <c r="BO51" s="527"/>
      <c r="BP51" s="527"/>
      <c r="BQ51" s="1157">
        <v>0</v>
      </c>
      <c r="BR51" s="1157" t="s">
        <v>19</v>
      </c>
      <c r="BS51" s="1157" t="s">
        <v>2561</v>
      </c>
      <c r="BT51" s="1376" t="s">
        <v>1363</v>
      </c>
    </row>
    <row r="52" spans="1:72" s="512" customFormat="1" ht="13" hidden="1">
      <c r="A52" s="1204">
        <v>51</v>
      </c>
      <c r="B52" s="1205" t="s">
        <v>523</v>
      </c>
      <c r="C52" s="1205" t="s">
        <v>583</v>
      </c>
      <c r="D52" s="1206" t="s">
        <v>527</v>
      </c>
      <c r="E52" s="1386" t="s">
        <v>528</v>
      </c>
      <c r="F52" s="521"/>
      <c r="G52" s="522"/>
      <c r="H52" s="522"/>
      <c r="I52" s="522"/>
      <c r="J52" s="523"/>
      <c r="K52" s="523"/>
      <c r="L52" s="523"/>
      <c r="M52" s="524"/>
      <c r="N52" s="525"/>
      <c r="O52" s="526" t="s">
        <v>1237</v>
      </c>
      <c r="P52" s="525">
        <f>'HPM costs'!F87</f>
        <v>0</v>
      </c>
      <c r="Q52" s="525" t="s">
        <v>1237</v>
      </c>
      <c r="R52" s="525">
        <f>'HPM costs'!G87</f>
        <v>0</v>
      </c>
      <c r="S52" s="525" t="s">
        <v>1237</v>
      </c>
      <c r="T52" s="525">
        <f>'HPM costs'!H87</f>
        <v>0</v>
      </c>
      <c r="U52" s="525" t="s">
        <v>1237</v>
      </c>
      <c r="V52" s="525">
        <f>'HPM costs'!I87</f>
        <v>0</v>
      </c>
      <c r="W52" s="525"/>
      <c r="X52" s="1154">
        <f t="shared" si="0"/>
        <v>0</v>
      </c>
      <c r="Y52" s="1155"/>
      <c r="Z52" s="1156"/>
      <c r="AA52" s="529"/>
      <c r="AB52" s="525"/>
      <c r="AC52" s="525">
        <f>'HPM costs'!K87</f>
        <v>0</v>
      </c>
      <c r="AD52" s="525"/>
      <c r="AE52" s="525">
        <f>'HPM costs'!L87</f>
        <v>0</v>
      </c>
      <c r="AF52" s="525"/>
      <c r="AG52" s="525">
        <f>'HPM costs'!M87</f>
        <v>0</v>
      </c>
      <c r="AH52" s="525"/>
      <c r="AI52" s="525">
        <f>'HPM costs'!N87</f>
        <v>0</v>
      </c>
      <c r="AJ52" s="525"/>
      <c r="AK52" s="1154">
        <f t="shared" si="1"/>
        <v>0</v>
      </c>
      <c r="AL52" s="1155"/>
      <c r="AM52" s="1156"/>
      <c r="AN52" s="529"/>
      <c r="AO52" s="525"/>
      <c r="AP52" s="525">
        <f>'HPM costs'!P87</f>
        <v>0</v>
      </c>
      <c r="AQ52" s="525"/>
      <c r="AR52" s="525">
        <f>'HPM costs'!Q87</f>
        <v>0</v>
      </c>
      <c r="AS52" s="525"/>
      <c r="AT52" s="525">
        <f>'HPM costs'!R87</f>
        <v>0</v>
      </c>
      <c r="AU52" s="525"/>
      <c r="AV52" s="525">
        <f>'HPM costs'!S87</f>
        <v>0</v>
      </c>
      <c r="AW52" s="525"/>
      <c r="AX52" s="1154">
        <f t="shared" si="2"/>
        <v>0</v>
      </c>
      <c r="AY52" s="1154"/>
      <c r="AZ52" s="528"/>
      <c r="BA52" s="529"/>
      <c r="BB52" s="527"/>
      <c r="BC52" s="527">
        <v>0</v>
      </c>
      <c r="BD52" s="527">
        <v>0</v>
      </c>
      <c r="BE52" s="527">
        <v>0</v>
      </c>
      <c r="BF52" s="527">
        <v>0</v>
      </c>
      <c r="BG52" s="527">
        <v>0</v>
      </c>
      <c r="BH52" s="527">
        <v>0</v>
      </c>
      <c r="BI52" s="527">
        <v>0</v>
      </c>
      <c r="BJ52" s="527">
        <v>0</v>
      </c>
      <c r="BK52" s="1154">
        <f t="shared" si="3"/>
        <v>0</v>
      </c>
      <c r="BL52" s="1154"/>
      <c r="BM52" s="1154">
        <f t="shared" si="4"/>
        <v>0</v>
      </c>
      <c r="BN52" s="1154">
        <f t="shared" si="5"/>
        <v>0</v>
      </c>
      <c r="BO52" s="527"/>
      <c r="BP52" s="527"/>
      <c r="BQ52" s="1157">
        <v>0</v>
      </c>
      <c r="BR52" s="1157" t="s">
        <v>19</v>
      </c>
      <c r="BS52" s="1157" t="s">
        <v>527</v>
      </c>
      <c r="BT52" s="1376" t="s">
        <v>587</v>
      </c>
    </row>
    <row r="53" spans="1:72" s="512" customFormat="1" ht="13" hidden="1">
      <c r="A53" s="1204">
        <v>52</v>
      </c>
      <c r="B53" s="1205" t="s">
        <v>523</v>
      </c>
      <c r="C53" s="1205" t="s">
        <v>583</v>
      </c>
      <c r="D53" s="1206" t="s">
        <v>527</v>
      </c>
      <c r="E53" s="1386" t="s">
        <v>530</v>
      </c>
      <c r="F53" s="521"/>
      <c r="G53" s="522"/>
      <c r="H53" s="522"/>
      <c r="I53" s="522"/>
      <c r="J53" s="523"/>
      <c r="K53" s="523"/>
      <c r="L53" s="523"/>
      <c r="M53" s="524"/>
      <c r="N53" s="525"/>
      <c r="O53" s="526" t="s">
        <v>1237</v>
      </c>
      <c r="P53" s="525">
        <f>'HPM costs'!F173</f>
        <v>0</v>
      </c>
      <c r="Q53" s="525" t="s">
        <v>1237</v>
      </c>
      <c r="R53" s="525">
        <f>'HPM costs'!G173</f>
        <v>0</v>
      </c>
      <c r="S53" s="525" t="s">
        <v>1237</v>
      </c>
      <c r="T53" s="525">
        <f>'HPM costs'!H173</f>
        <v>0</v>
      </c>
      <c r="U53" s="525" t="s">
        <v>1237</v>
      </c>
      <c r="V53" s="525">
        <f>'HPM costs'!I173</f>
        <v>0</v>
      </c>
      <c r="W53" s="525"/>
      <c r="X53" s="1154">
        <f t="shared" si="0"/>
        <v>0</v>
      </c>
      <c r="Y53" s="1155"/>
      <c r="Z53" s="1156"/>
      <c r="AA53" s="529"/>
      <c r="AB53" s="525"/>
      <c r="AC53" s="525">
        <f>'HPM costs'!K173</f>
        <v>0</v>
      </c>
      <c r="AD53" s="525"/>
      <c r="AE53" s="525">
        <f>'HPM costs'!L173</f>
        <v>0</v>
      </c>
      <c r="AF53" s="525"/>
      <c r="AG53" s="525">
        <f>'HPM costs'!M173</f>
        <v>0</v>
      </c>
      <c r="AH53" s="525"/>
      <c r="AI53" s="525">
        <f>'HPM costs'!N173</f>
        <v>0</v>
      </c>
      <c r="AJ53" s="525"/>
      <c r="AK53" s="1154">
        <f t="shared" si="1"/>
        <v>0</v>
      </c>
      <c r="AL53" s="1155"/>
      <c r="AM53" s="1156"/>
      <c r="AN53" s="529"/>
      <c r="AO53" s="525"/>
      <c r="AP53" s="525">
        <f>'HPM costs'!P173</f>
        <v>0</v>
      </c>
      <c r="AQ53" s="525"/>
      <c r="AR53" s="525">
        <f>'HPM costs'!Q173</f>
        <v>0</v>
      </c>
      <c r="AS53" s="525"/>
      <c r="AT53" s="525">
        <f>'HPM costs'!R173</f>
        <v>0</v>
      </c>
      <c r="AU53" s="525"/>
      <c r="AV53" s="525">
        <f>'HPM costs'!S173</f>
        <v>0</v>
      </c>
      <c r="AW53" s="525"/>
      <c r="AX53" s="1154">
        <f t="shared" si="2"/>
        <v>0</v>
      </c>
      <c r="AY53" s="1154"/>
      <c r="AZ53" s="528"/>
      <c r="BA53" s="529"/>
      <c r="BB53" s="527"/>
      <c r="BC53" s="527">
        <v>0</v>
      </c>
      <c r="BD53" s="527">
        <v>0</v>
      </c>
      <c r="BE53" s="527">
        <v>0</v>
      </c>
      <c r="BF53" s="527">
        <v>0</v>
      </c>
      <c r="BG53" s="527">
        <v>0</v>
      </c>
      <c r="BH53" s="527">
        <v>0</v>
      </c>
      <c r="BI53" s="527">
        <v>0</v>
      </c>
      <c r="BJ53" s="527">
        <v>0</v>
      </c>
      <c r="BK53" s="1154">
        <f t="shared" si="3"/>
        <v>0</v>
      </c>
      <c r="BL53" s="1154"/>
      <c r="BM53" s="1154">
        <f t="shared" si="4"/>
        <v>0</v>
      </c>
      <c r="BN53" s="1154">
        <f t="shared" si="5"/>
        <v>0</v>
      </c>
      <c r="BO53" s="527"/>
      <c r="BP53" s="527"/>
      <c r="BQ53" s="1157">
        <v>0</v>
      </c>
      <c r="BR53" s="1157" t="s">
        <v>19</v>
      </c>
      <c r="BS53" s="1157" t="s">
        <v>527</v>
      </c>
      <c r="BT53" s="1376" t="s">
        <v>588</v>
      </c>
    </row>
    <row r="54" spans="1:72" s="512" customFormat="1" ht="13" hidden="1">
      <c r="A54" s="1204">
        <v>53</v>
      </c>
      <c r="B54" s="1205" t="s">
        <v>523</v>
      </c>
      <c r="C54" s="1205" t="s">
        <v>583</v>
      </c>
      <c r="D54" s="1206" t="s">
        <v>527</v>
      </c>
      <c r="E54" s="1386" t="s">
        <v>532</v>
      </c>
      <c r="F54" s="521"/>
      <c r="G54" s="522"/>
      <c r="H54" s="522"/>
      <c r="I54" s="522"/>
      <c r="J54" s="523"/>
      <c r="K54" s="523"/>
      <c r="L54" s="523"/>
      <c r="M54" s="524"/>
      <c r="N54" s="525"/>
      <c r="O54" s="526" t="s">
        <v>1237</v>
      </c>
      <c r="P54" s="525">
        <f>'HPM costs'!F433</f>
        <v>0</v>
      </c>
      <c r="Q54" s="525" t="s">
        <v>1237</v>
      </c>
      <c r="R54" s="525">
        <f>'HPM costs'!G433</f>
        <v>0</v>
      </c>
      <c r="S54" s="525" t="s">
        <v>1237</v>
      </c>
      <c r="T54" s="525">
        <f>'HPM costs'!H433</f>
        <v>0</v>
      </c>
      <c r="U54" s="525" t="s">
        <v>1237</v>
      </c>
      <c r="V54" s="525">
        <f>'HPM costs'!I433</f>
        <v>0</v>
      </c>
      <c r="W54" s="525"/>
      <c r="X54" s="1154">
        <f t="shared" si="0"/>
        <v>0</v>
      </c>
      <c r="Y54" s="1155"/>
      <c r="Z54" s="1156"/>
      <c r="AA54" s="529"/>
      <c r="AB54" s="525"/>
      <c r="AC54" s="525">
        <f>'HPM costs'!K433</f>
        <v>0</v>
      </c>
      <c r="AD54" s="525"/>
      <c r="AE54" s="525">
        <f>'HPM costs'!L433</f>
        <v>0</v>
      </c>
      <c r="AF54" s="525"/>
      <c r="AG54" s="525">
        <f>'HPM costs'!M433</f>
        <v>0</v>
      </c>
      <c r="AH54" s="525"/>
      <c r="AI54" s="525">
        <f>'HPM costs'!N433</f>
        <v>0</v>
      </c>
      <c r="AJ54" s="525"/>
      <c r="AK54" s="1154">
        <f t="shared" si="1"/>
        <v>0</v>
      </c>
      <c r="AL54" s="1155"/>
      <c r="AM54" s="1156"/>
      <c r="AN54" s="529"/>
      <c r="AO54" s="525"/>
      <c r="AP54" s="525">
        <f>'HPM costs'!P433</f>
        <v>0</v>
      </c>
      <c r="AQ54" s="525"/>
      <c r="AR54" s="525">
        <f>'HPM costs'!Q433</f>
        <v>0</v>
      </c>
      <c r="AS54" s="525"/>
      <c r="AT54" s="525">
        <f>'HPM costs'!R433</f>
        <v>0</v>
      </c>
      <c r="AU54" s="525"/>
      <c r="AV54" s="525">
        <f>'HPM costs'!S433</f>
        <v>0</v>
      </c>
      <c r="AW54" s="525"/>
      <c r="AX54" s="1154">
        <f t="shared" si="2"/>
        <v>0</v>
      </c>
      <c r="AY54" s="1154"/>
      <c r="AZ54" s="528"/>
      <c r="BA54" s="529"/>
      <c r="BB54" s="527"/>
      <c r="BC54" s="527">
        <v>0</v>
      </c>
      <c r="BD54" s="527">
        <v>0</v>
      </c>
      <c r="BE54" s="527">
        <v>0</v>
      </c>
      <c r="BF54" s="527">
        <v>0</v>
      </c>
      <c r="BG54" s="527">
        <v>0</v>
      </c>
      <c r="BH54" s="527">
        <v>0</v>
      </c>
      <c r="BI54" s="527">
        <v>0</v>
      </c>
      <c r="BJ54" s="527">
        <v>0</v>
      </c>
      <c r="BK54" s="1154">
        <f t="shared" si="3"/>
        <v>0</v>
      </c>
      <c r="BL54" s="1154"/>
      <c r="BM54" s="1154">
        <f t="shared" si="4"/>
        <v>0</v>
      </c>
      <c r="BN54" s="1154">
        <f t="shared" si="5"/>
        <v>0</v>
      </c>
      <c r="BO54" s="527"/>
      <c r="BP54" s="527"/>
      <c r="BQ54" s="1157">
        <v>0</v>
      </c>
      <c r="BR54" s="1157" t="s">
        <v>19</v>
      </c>
      <c r="BS54" s="1157" t="s">
        <v>527</v>
      </c>
      <c r="BT54" s="1376" t="s">
        <v>589</v>
      </c>
    </row>
    <row r="55" spans="1:72" s="512" customFormat="1" ht="13" hidden="1">
      <c r="A55" s="1204">
        <v>54</v>
      </c>
      <c r="B55" s="1205" t="s">
        <v>523</v>
      </c>
      <c r="C55" s="1205" t="s">
        <v>583</v>
      </c>
      <c r="D55" s="1206" t="s">
        <v>527</v>
      </c>
      <c r="E55" s="1386" t="s">
        <v>534</v>
      </c>
      <c r="F55" s="521"/>
      <c r="G55" s="522"/>
      <c r="H55" s="522"/>
      <c r="I55" s="522"/>
      <c r="J55" s="523"/>
      <c r="K55" s="523"/>
      <c r="L55" s="523"/>
      <c r="M55" s="524"/>
      <c r="N55" s="525"/>
      <c r="O55" s="526" t="s">
        <v>1237</v>
      </c>
      <c r="P55" s="525">
        <f>'HPM costs'!F519</f>
        <v>0</v>
      </c>
      <c r="Q55" s="525" t="s">
        <v>1237</v>
      </c>
      <c r="R55" s="525">
        <f>'HPM costs'!G519</f>
        <v>0</v>
      </c>
      <c r="S55" s="525" t="s">
        <v>1237</v>
      </c>
      <c r="T55" s="525">
        <f>'HPM costs'!H519</f>
        <v>0</v>
      </c>
      <c r="U55" s="525" t="s">
        <v>1237</v>
      </c>
      <c r="V55" s="525">
        <f>'HPM costs'!I519</f>
        <v>0</v>
      </c>
      <c r="W55" s="525"/>
      <c r="X55" s="1154">
        <f t="shared" si="0"/>
        <v>0</v>
      </c>
      <c r="Y55" s="1155"/>
      <c r="Z55" s="1156"/>
      <c r="AA55" s="529"/>
      <c r="AB55" s="525"/>
      <c r="AC55" s="525">
        <f>'HPM costs'!K519</f>
        <v>0</v>
      </c>
      <c r="AD55" s="525"/>
      <c r="AE55" s="525">
        <f>'HPM costs'!L519</f>
        <v>0</v>
      </c>
      <c r="AF55" s="525"/>
      <c r="AG55" s="525">
        <f>'HPM costs'!M519</f>
        <v>0</v>
      </c>
      <c r="AH55" s="525"/>
      <c r="AI55" s="525">
        <f>'HPM costs'!N519</f>
        <v>0</v>
      </c>
      <c r="AJ55" s="525"/>
      <c r="AK55" s="1154">
        <f t="shared" si="1"/>
        <v>0</v>
      </c>
      <c r="AL55" s="1155"/>
      <c r="AM55" s="1156"/>
      <c r="AN55" s="529"/>
      <c r="AO55" s="525"/>
      <c r="AP55" s="525">
        <f>'HPM costs'!P519</f>
        <v>0</v>
      </c>
      <c r="AQ55" s="525"/>
      <c r="AR55" s="525">
        <f>'HPM costs'!Q519</f>
        <v>0</v>
      </c>
      <c r="AS55" s="525"/>
      <c r="AT55" s="525">
        <f>'HPM costs'!R519</f>
        <v>0</v>
      </c>
      <c r="AU55" s="525"/>
      <c r="AV55" s="525">
        <f>'HPM costs'!S519</f>
        <v>0</v>
      </c>
      <c r="AW55" s="525"/>
      <c r="AX55" s="1154">
        <f t="shared" si="2"/>
        <v>0</v>
      </c>
      <c r="AY55" s="1154"/>
      <c r="AZ55" s="528"/>
      <c r="BA55" s="529"/>
      <c r="BB55" s="527"/>
      <c r="BC55" s="527">
        <v>0</v>
      </c>
      <c r="BD55" s="527">
        <v>0</v>
      </c>
      <c r="BE55" s="527">
        <v>0</v>
      </c>
      <c r="BF55" s="527">
        <v>0</v>
      </c>
      <c r="BG55" s="527">
        <v>0</v>
      </c>
      <c r="BH55" s="527">
        <v>0</v>
      </c>
      <c r="BI55" s="527">
        <v>0</v>
      </c>
      <c r="BJ55" s="527">
        <v>0</v>
      </c>
      <c r="BK55" s="1154">
        <f t="shared" si="3"/>
        <v>0</v>
      </c>
      <c r="BL55" s="1154"/>
      <c r="BM55" s="1154">
        <f t="shared" si="4"/>
        <v>0</v>
      </c>
      <c r="BN55" s="1154">
        <f t="shared" si="5"/>
        <v>0</v>
      </c>
      <c r="BO55" s="527"/>
      <c r="BP55" s="527"/>
      <c r="BQ55" s="1157">
        <v>0</v>
      </c>
      <c r="BR55" s="1157" t="s">
        <v>19</v>
      </c>
      <c r="BS55" s="1157" t="s">
        <v>527</v>
      </c>
      <c r="BT55" s="1376" t="s">
        <v>590</v>
      </c>
    </row>
    <row r="56" spans="1:72" s="512" customFormat="1" ht="13" hidden="1">
      <c r="A56" s="1204">
        <v>55</v>
      </c>
      <c r="B56" s="1205" t="s">
        <v>523</v>
      </c>
      <c r="C56" s="1205" t="s">
        <v>583</v>
      </c>
      <c r="D56" s="1206" t="s">
        <v>527</v>
      </c>
      <c r="E56" s="1386" t="s">
        <v>536</v>
      </c>
      <c r="F56" s="521"/>
      <c r="G56" s="522"/>
      <c r="H56" s="522"/>
      <c r="I56" s="522"/>
      <c r="J56" s="523"/>
      <c r="K56" s="523"/>
      <c r="L56" s="523"/>
      <c r="M56" s="524"/>
      <c r="N56" s="525"/>
      <c r="O56" s="526" t="s">
        <v>1237</v>
      </c>
      <c r="P56" s="525">
        <f>'HPM costs'!F259+'HPM costs'!F605</f>
        <v>0</v>
      </c>
      <c r="Q56" s="525" t="s">
        <v>1237</v>
      </c>
      <c r="R56" s="525">
        <f>'HPM costs'!G259+'HPM costs'!G605</f>
        <v>0</v>
      </c>
      <c r="S56" s="525" t="s">
        <v>1237</v>
      </c>
      <c r="T56" s="525">
        <f>'HPM costs'!H259+'HPM costs'!H605</f>
        <v>0</v>
      </c>
      <c r="U56" s="525" t="s">
        <v>1237</v>
      </c>
      <c r="V56" s="525">
        <f>'HPM costs'!I259+'HPM costs'!I605</f>
        <v>0</v>
      </c>
      <c r="W56" s="525"/>
      <c r="X56" s="1154">
        <f t="shared" si="0"/>
        <v>0</v>
      </c>
      <c r="Y56" s="1155"/>
      <c r="Z56" s="1156"/>
      <c r="AA56" s="529"/>
      <c r="AB56" s="525"/>
      <c r="AC56" s="525">
        <f>'HPM costs'!K259+'HPM costs'!K605</f>
        <v>0</v>
      </c>
      <c r="AD56" s="525"/>
      <c r="AE56" s="525">
        <f>'HPM costs'!L259+'HPM costs'!L605</f>
        <v>0</v>
      </c>
      <c r="AF56" s="525"/>
      <c r="AG56" s="525">
        <f>'HPM costs'!M259+'HPM costs'!M605</f>
        <v>0</v>
      </c>
      <c r="AH56" s="525"/>
      <c r="AI56" s="525">
        <f>'HPM costs'!N259+'HPM costs'!N605</f>
        <v>0</v>
      </c>
      <c r="AJ56" s="525"/>
      <c r="AK56" s="1154">
        <f t="shared" si="1"/>
        <v>0</v>
      </c>
      <c r="AL56" s="1155"/>
      <c r="AM56" s="1156"/>
      <c r="AN56" s="529"/>
      <c r="AO56" s="525"/>
      <c r="AP56" s="525">
        <f>'HPM costs'!P259+'HPM costs'!P605</f>
        <v>0</v>
      </c>
      <c r="AQ56" s="525"/>
      <c r="AR56" s="525">
        <f>'HPM costs'!Q259+'HPM costs'!Q605</f>
        <v>0</v>
      </c>
      <c r="AS56" s="525"/>
      <c r="AT56" s="525">
        <f>'HPM costs'!R259+'HPM costs'!R605</f>
        <v>0</v>
      </c>
      <c r="AU56" s="525"/>
      <c r="AV56" s="525">
        <f>'HPM costs'!S259+'HPM costs'!S605</f>
        <v>0</v>
      </c>
      <c r="AW56" s="525"/>
      <c r="AX56" s="1154">
        <f t="shared" si="2"/>
        <v>0</v>
      </c>
      <c r="AY56" s="1154"/>
      <c r="AZ56" s="528"/>
      <c r="BA56" s="529"/>
      <c r="BB56" s="527"/>
      <c r="BC56" s="527">
        <v>0</v>
      </c>
      <c r="BD56" s="527">
        <v>0</v>
      </c>
      <c r="BE56" s="527">
        <v>0</v>
      </c>
      <c r="BF56" s="527">
        <v>0</v>
      </c>
      <c r="BG56" s="527">
        <v>0</v>
      </c>
      <c r="BH56" s="527">
        <v>0</v>
      </c>
      <c r="BI56" s="527">
        <v>0</v>
      </c>
      <c r="BJ56" s="527">
        <v>0</v>
      </c>
      <c r="BK56" s="1154">
        <f t="shared" si="3"/>
        <v>0</v>
      </c>
      <c r="BL56" s="1154"/>
      <c r="BM56" s="1154">
        <f t="shared" si="4"/>
        <v>0</v>
      </c>
      <c r="BN56" s="1154">
        <f t="shared" si="5"/>
        <v>0</v>
      </c>
      <c r="BO56" s="527"/>
      <c r="BP56" s="527"/>
      <c r="BQ56" s="1157">
        <v>0</v>
      </c>
      <c r="BR56" s="1157" t="s">
        <v>19</v>
      </c>
      <c r="BS56" s="1157" t="s">
        <v>527</v>
      </c>
      <c r="BT56" s="1376" t="s">
        <v>591</v>
      </c>
    </row>
    <row r="57" spans="1:72" s="512" customFormat="1" ht="13" hidden="1">
      <c r="A57" s="1204">
        <v>56</v>
      </c>
      <c r="B57" s="1205" t="s">
        <v>523</v>
      </c>
      <c r="C57" s="1205" t="s">
        <v>583</v>
      </c>
      <c r="D57" s="1206" t="s">
        <v>527</v>
      </c>
      <c r="E57" s="1386" t="s">
        <v>538</v>
      </c>
      <c r="F57" s="521"/>
      <c r="G57" s="522"/>
      <c r="H57" s="522"/>
      <c r="I57" s="522"/>
      <c r="J57" s="523"/>
      <c r="K57" s="523"/>
      <c r="L57" s="523"/>
      <c r="M57" s="524"/>
      <c r="N57" s="525"/>
      <c r="O57" s="526" t="s">
        <v>1237</v>
      </c>
      <c r="P57" s="525">
        <f>'HPM costs'!F345</f>
        <v>0</v>
      </c>
      <c r="Q57" s="525" t="s">
        <v>1237</v>
      </c>
      <c r="R57" s="525">
        <f>'HPM costs'!G345</f>
        <v>0</v>
      </c>
      <c r="S57" s="525" t="s">
        <v>1237</v>
      </c>
      <c r="T57" s="525">
        <f>'HPM costs'!H345</f>
        <v>0</v>
      </c>
      <c r="U57" s="525" t="s">
        <v>1237</v>
      </c>
      <c r="V57" s="525">
        <f>'HPM costs'!I345</f>
        <v>0</v>
      </c>
      <c r="W57" s="525"/>
      <c r="X57" s="1154">
        <f t="shared" si="0"/>
        <v>0</v>
      </c>
      <c r="Y57" s="1155"/>
      <c r="Z57" s="1156"/>
      <c r="AA57" s="529"/>
      <c r="AB57" s="525"/>
      <c r="AC57" s="525">
        <f>'HPM costs'!K345</f>
        <v>0</v>
      </c>
      <c r="AD57" s="525"/>
      <c r="AE57" s="525">
        <f>'HPM costs'!L345</f>
        <v>0</v>
      </c>
      <c r="AF57" s="525"/>
      <c r="AG57" s="525">
        <f>'HPM costs'!M345</f>
        <v>0</v>
      </c>
      <c r="AH57" s="525"/>
      <c r="AI57" s="525">
        <f>'HPM costs'!N345</f>
        <v>0</v>
      </c>
      <c r="AJ57" s="525"/>
      <c r="AK57" s="1154">
        <f t="shared" si="1"/>
        <v>0</v>
      </c>
      <c r="AL57" s="1155"/>
      <c r="AM57" s="1156"/>
      <c r="AN57" s="529"/>
      <c r="AO57" s="525"/>
      <c r="AP57" s="525">
        <f>'HPM costs'!P345</f>
        <v>0</v>
      </c>
      <c r="AQ57" s="525"/>
      <c r="AR57" s="525">
        <f>'HPM costs'!Q345</f>
        <v>0</v>
      </c>
      <c r="AS57" s="525"/>
      <c r="AT57" s="525">
        <f>'HPM costs'!R345</f>
        <v>0</v>
      </c>
      <c r="AU57" s="525"/>
      <c r="AV57" s="525">
        <f>'HPM costs'!S345</f>
        <v>0</v>
      </c>
      <c r="AW57" s="525"/>
      <c r="AX57" s="1154">
        <f t="shared" si="2"/>
        <v>0</v>
      </c>
      <c r="AY57" s="1154"/>
      <c r="AZ57" s="528"/>
      <c r="BA57" s="529"/>
      <c r="BB57" s="527"/>
      <c r="BC57" s="527">
        <v>0</v>
      </c>
      <c r="BD57" s="527">
        <v>0</v>
      </c>
      <c r="BE57" s="527">
        <v>0</v>
      </c>
      <c r="BF57" s="527">
        <v>0</v>
      </c>
      <c r="BG57" s="527">
        <v>0</v>
      </c>
      <c r="BH57" s="527">
        <v>0</v>
      </c>
      <c r="BI57" s="527">
        <v>0</v>
      </c>
      <c r="BJ57" s="527">
        <v>0</v>
      </c>
      <c r="BK57" s="1154">
        <f t="shared" si="3"/>
        <v>0</v>
      </c>
      <c r="BL57" s="1154"/>
      <c r="BM57" s="1154">
        <f t="shared" si="4"/>
        <v>0</v>
      </c>
      <c r="BN57" s="1154">
        <f t="shared" si="5"/>
        <v>0</v>
      </c>
      <c r="BO57" s="527"/>
      <c r="BP57" s="527"/>
      <c r="BQ57" s="1157">
        <v>0</v>
      </c>
      <c r="BR57" s="1157" t="s">
        <v>19</v>
      </c>
      <c r="BS57" s="1157" t="s">
        <v>527</v>
      </c>
      <c r="BT57" s="1376" t="s">
        <v>592</v>
      </c>
    </row>
    <row r="58" spans="1:72" s="512" customFormat="1" ht="13" hidden="1">
      <c r="A58" s="1204">
        <v>57</v>
      </c>
      <c r="B58" s="1205" t="s">
        <v>523</v>
      </c>
      <c r="C58" s="1205" t="s">
        <v>583</v>
      </c>
      <c r="D58" s="1206" t="s">
        <v>527</v>
      </c>
      <c r="E58" s="1386" t="s">
        <v>540</v>
      </c>
      <c r="F58" s="521"/>
      <c r="G58" s="522"/>
      <c r="H58" s="522"/>
      <c r="I58" s="522"/>
      <c r="J58" s="523"/>
      <c r="K58" s="523"/>
      <c r="L58" s="523"/>
      <c r="M58" s="524"/>
      <c r="N58" s="525"/>
      <c r="O58" s="526" t="s">
        <v>1237</v>
      </c>
      <c r="P58" s="525">
        <f>'HPM costs'!F690</f>
        <v>0</v>
      </c>
      <c r="Q58" s="525" t="s">
        <v>1237</v>
      </c>
      <c r="R58" s="525">
        <f>'HPM costs'!G690</f>
        <v>0</v>
      </c>
      <c r="S58" s="525" t="s">
        <v>1237</v>
      </c>
      <c r="T58" s="525">
        <f>'HPM costs'!H690</f>
        <v>0</v>
      </c>
      <c r="U58" s="525" t="s">
        <v>1237</v>
      </c>
      <c r="V58" s="525">
        <f>'HPM costs'!I690</f>
        <v>0</v>
      </c>
      <c r="W58" s="525"/>
      <c r="X58" s="1154">
        <f t="shared" si="0"/>
        <v>0</v>
      </c>
      <c r="Y58" s="1155"/>
      <c r="Z58" s="1156"/>
      <c r="AA58" s="529"/>
      <c r="AB58" s="525"/>
      <c r="AC58" s="525">
        <f>'HPM costs'!K690</f>
        <v>0</v>
      </c>
      <c r="AD58" s="525"/>
      <c r="AE58" s="525">
        <f>'HPM costs'!L690</f>
        <v>0</v>
      </c>
      <c r="AF58" s="525"/>
      <c r="AG58" s="525">
        <f>'HPM costs'!M690</f>
        <v>0</v>
      </c>
      <c r="AH58" s="525"/>
      <c r="AI58" s="525">
        <f>'HPM costs'!N690</f>
        <v>0</v>
      </c>
      <c r="AJ58" s="525"/>
      <c r="AK58" s="1154">
        <f t="shared" si="1"/>
        <v>0</v>
      </c>
      <c r="AL58" s="1155"/>
      <c r="AM58" s="1156"/>
      <c r="AN58" s="529"/>
      <c r="AO58" s="525"/>
      <c r="AP58" s="525">
        <f>'HPM costs'!P690</f>
        <v>0</v>
      </c>
      <c r="AQ58" s="525"/>
      <c r="AR58" s="525">
        <f>'HPM costs'!Q690</f>
        <v>0</v>
      </c>
      <c r="AS58" s="525"/>
      <c r="AT58" s="525">
        <f>'HPM costs'!R690</f>
        <v>0</v>
      </c>
      <c r="AU58" s="525"/>
      <c r="AV58" s="525">
        <f>'HPM costs'!S690</f>
        <v>0</v>
      </c>
      <c r="AW58" s="525"/>
      <c r="AX58" s="1154">
        <f t="shared" si="2"/>
        <v>0</v>
      </c>
      <c r="AY58" s="1154"/>
      <c r="AZ58" s="528"/>
      <c r="BA58" s="529"/>
      <c r="BB58" s="527"/>
      <c r="BC58" s="527">
        <v>0</v>
      </c>
      <c r="BD58" s="527">
        <v>0</v>
      </c>
      <c r="BE58" s="527">
        <v>0</v>
      </c>
      <c r="BF58" s="527">
        <v>0</v>
      </c>
      <c r="BG58" s="527">
        <v>0</v>
      </c>
      <c r="BH58" s="527">
        <v>0</v>
      </c>
      <c r="BI58" s="527">
        <v>0</v>
      </c>
      <c r="BJ58" s="527">
        <v>0</v>
      </c>
      <c r="BK58" s="1154">
        <f t="shared" si="3"/>
        <v>0</v>
      </c>
      <c r="BL58" s="1154"/>
      <c r="BM58" s="1154">
        <f t="shared" si="4"/>
        <v>0</v>
      </c>
      <c r="BN58" s="1154">
        <f t="shared" si="5"/>
        <v>0</v>
      </c>
      <c r="BO58" s="527"/>
      <c r="BP58" s="527"/>
      <c r="BQ58" s="1157">
        <v>0</v>
      </c>
      <c r="BR58" s="1157" t="s">
        <v>19</v>
      </c>
      <c r="BS58" s="1157" t="s">
        <v>527</v>
      </c>
      <c r="BT58" s="1376" t="s">
        <v>1242</v>
      </c>
    </row>
    <row r="59" spans="1:72" s="512" customFormat="1" ht="13" hidden="1">
      <c r="A59" s="1204">
        <v>69</v>
      </c>
      <c r="B59" s="1205" t="s">
        <v>598</v>
      </c>
      <c r="C59" s="1205" t="s">
        <v>599</v>
      </c>
      <c r="D59" s="1206" t="s">
        <v>2562</v>
      </c>
      <c r="E59" s="1386" t="s">
        <v>600</v>
      </c>
      <c r="F59" s="521"/>
      <c r="G59" s="522"/>
      <c r="H59" s="522"/>
      <c r="I59" s="522"/>
      <c r="J59" s="523"/>
      <c r="K59" s="523"/>
      <c r="L59" s="523"/>
      <c r="M59" s="524"/>
      <c r="N59" s="525"/>
      <c r="O59" s="526" t="s">
        <v>1237</v>
      </c>
      <c r="P59" s="525">
        <f>('Malaria-Key Info'!$F$24*'HPM costs'!F155)/'HPM costs'!$E$155</f>
        <v>0</v>
      </c>
      <c r="Q59" s="525" t="s">
        <v>1237</v>
      </c>
      <c r="R59" s="525">
        <f>('Malaria-Key Info'!$F$24*'HPM costs'!G155)/'HPM costs'!$E$155</f>
        <v>0</v>
      </c>
      <c r="S59" s="525" t="s">
        <v>1237</v>
      </c>
      <c r="T59" s="525">
        <f>('Malaria-Key Info'!$F$24*'HPM costs'!H155)/'HPM costs'!$E$155</f>
        <v>0</v>
      </c>
      <c r="U59" s="525" t="s">
        <v>1237</v>
      </c>
      <c r="V59" s="525">
        <f>('Malaria-Key Info'!$F$24*'HPM costs'!I155)/'HPM costs'!$E$155</f>
        <v>0</v>
      </c>
      <c r="W59" s="525"/>
      <c r="X59" s="1154">
        <f t="shared" si="0"/>
        <v>0</v>
      </c>
      <c r="Y59" s="1155"/>
      <c r="Z59" s="1156"/>
      <c r="AA59" s="529"/>
      <c r="AB59" s="525"/>
      <c r="AC59" s="525">
        <f>('Malaria-Key Info'!$F$24*'HPM costs'!K155)/'HPM costs'!$E$155</f>
        <v>0</v>
      </c>
      <c r="AD59" s="525"/>
      <c r="AE59" s="525">
        <f>('Malaria-Key Info'!$F$24*'HPM costs'!L155)/'HPM costs'!$E$155</f>
        <v>0</v>
      </c>
      <c r="AF59" s="525"/>
      <c r="AG59" s="525">
        <f>('Malaria-Key Info'!$F$24*'HPM costs'!M155)/'HPM costs'!$E$155</f>
        <v>0</v>
      </c>
      <c r="AH59" s="525"/>
      <c r="AI59" s="525">
        <f>('Malaria-Key Info'!$F$24*'HPM costs'!N155)/'HPM costs'!$E$155</f>
        <v>0</v>
      </c>
      <c r="AJ59" s="525"/>
      <c r="AK59" s="1154">
        <f t="shared" si="1"/>
        <v>0</v>
      </c>
      <c r="AL59" s="1155"/>
      <c r="AM59" s="1156"/>
      <c r="AN59" s="529"/>
      <c r="AO59" s="525"/>
      <c r="AP59" s="525">
        <f>('Malaria-Key Info'!$F$24*'HPM costs'!P155)/'HPM costs'!$E$155</f>
        <v>0</v>
      </c>
      <c r="AQ59" s="525"/>
      <c r="AR59" s="525">
        <f>('Malaria-Key Info'!$F$24*'HPM costs'!Q155)/'HPM costs'!$E$155</f>
        <v>0</v>
      </c>
      <c r="AS59" s="525"/>
      <c r="AT59" s="525">
        <f>('Malaria-Key Info'!$F$24*'HPM costs'!R155)/'HPM costs'!$E$155</f>
        <v>0</v>
      </c>
      <c r="AU59" s="525"/>
      <c r="AV59" s="525">
        <f>('Malaria-Key Info'!$F$24*'HPM costs'!S155)/'HPM costs'!$E$155</f>
        <v>0</v>
      </c>
      <c r="AW59" s="525"/>
      <c r="AX59" s="1154">
        <f t="shared" si="2"/>
        <v>0</v>
      </c>
      <c r="AY59" s="1154"/>
      <c r="AZ59" s="528"/>
      <c r="BA59" s="529"/>
      <c r="BB59" s="527"/>
      <c r="BC59" s="527">
        <v>0</v>
      </c>
      <c r="BD59" s="527">
        <v>0</v>
      </c>
      <c r="BE59" s="527">
        <v>0</v>
      </c>
      <c r="BF59" s="527">
        <v>0</v>
      </c>
      <c r="BG59" s="527">
        <v>0</v>
      </c>
      <c r="BH59" s="527">
        <v>0</v>
      </c>
      <c r="BI59" s="527">
        <v>0</v>
      </c>
      <c r="BJ59" s="527">
        <v>0</v>
      </c>
      <c r="BK59" s="1154">
        <f t="shared" si="3"/>
        <v>0</v>
      </c>
      <c r="BL59" s="1154"/>
      <c r="BM59" s="1154">
        <f t="shared" si="4"/>
        <v>0</v>
      </c>
      <c r="BN59" s="1154">
        <f t="shared" si="5"/>
        <v>0</v>
      </c>
      <c r="BO59" s="527"/>
      <c r="BP59" s="527"/>
      <c r="BQ59" s="1157">
        <v>0</v>
      </c>
      <c r="BR59" s="1157" t="s">
        <v>19</v>
      </c>
      <c r="BS59" s="1157" t="s">
        <v>2562</v>
      </c>
      <c r="BT59" s="1376" t="s">
        <v>601</v>
      </c>
    </row>
    <row r="60" spans="1:72" s="512" customFormat="1" ht="13" hidden="1">
      <c r="A60" s="1204">
        <v>70</v>
      </c>
      <c r="B60" s="1205" t="s">
        <v>598</v>
      </c>
      <c r="C60" s="1205" t="s">
        <v>599</v>
      </c>
      <c r="D60" s="1206" t="s">
        <v>602</v>
      </c>
      <c r="E60" s="1386" t="s">
        <v>603</v>
      </c>
      <c r="F60" s="521"/>
      <c r="G60" s="522"/>
      <c r="H60" s="522"/>
      <c r="I60" s="522"/>
      <c r="J60" s="523"/>
      <c r="K60" s="523"/>
      <c r="L60" s="523"/>
      <c r="M60" s="524"/>
      <c r="N60" s="525"/>
      <c r="O60" s="526" t="s">
        <v>1237</v>
      </c>
      <c r="P60" s="525">
        <f>('Malaria-Key Info'!$G$50*'HPM costs'!F164)/'HPM costs'!$E$164</f>
        <v>0</v>
      </c>
      <c r="Q60" s="525" t="s">
        <v>1237</v>
      </c>
      <c r="R60" s="525">
        <f>('Malaria-Key Info'!$G$50*'HPM costs'!G164)/'HPM costs'!$E$164</f>
        <v>0</v>
      </c>
      <c r="S60" s="525" t="s">
        <v>1237</v>
      </c>
      <c r="T60" s="525">
        <f>('Malaria-Key Info'!$G$50*'HPM costs'!H164)/'HPM costs'!$E$164</f>
        <v>0</v>
      </c>
      <c r="U60" s="525" t="s">
        <v>1237</v>
      </c>
      <c r="V60" s="525">
        <f>('Malaria-Key Info'!$G$50*'HPM costs'!I164)/'HPM costs'!$E$164</f>
        <v>0</v>
      </c>
      <c r="W60" s="525"/>
      <c r="X60" s="1154">
        <f t="shared" si="0"/>
        <v>0</v>
      </c>
      <c r="Y60" s="1155"/>
      <c r="Z60" s="1156"/>
      <c r="AA60" s="529"/>
      <c r="AB60" s="525"/>
      <c r="AC60" s="525">
        <f>('Malaria-Key Info'!$G$50*'HPM costs'!K164)/'HPM costs'!$E$164</f>
        <v>0</v>
      </c>
      <c r="AD60" s="525"/>
      <c r="AE60" s="525">
        <f>('Malaria-Key Info'!$G$50*'HPM costs'!L164)/'HPM costs'!$E$164</f>
        <v>0</v>
      </c>
      <c r="AF60" s="525"/>
      <c r="AG60" s="525">
        <f>('Malaria-Key Info'!$G$50*'HPM costs'!M164)/'HPM costs'!$E$164</f>
        <v>0</v>
      </c>
      <c r="AH60" s="525"/>
      <c r="AI60" s="525">
        <f>('Malaria-Key Info'!$G$50*'HPM costs'!N164)/'HPM costs'!$E$164</f>
        <v>0</v>
      </c>
      <c r="AJ60" s="525"/>
      <c r="AK60" s="1154">
        <f t="shared" si="1"/>
        <v>0</v>
      </c>
      <c r="AL60" s="1155"/>
      <c r="AM60" s="1156"/>
      <c r="AN60" s="529"/>
      <c r="AO60" s="525"/>
      <c r="AP60" s="525">
        <f>('Malaria-Key Info'!$G$50*'HPM costs'!P164)/'HPM costs'!$E$164</f>
        <v>0</v>
      </c>
      <c r="AQ60" s="525"/>
      <c r="AR60" s="525">
        <f>('Malaria-Key Info'!$G$50*'HPM costs'!Q164)/'HPM costs'!$E$164</f>
        <v>0</v>
      </c>
      <c r="AS60" s="525"/>
      <c r="AT60" s="525">
        <f>('Malaria-Key Info'!$G$50*'HPM costs'!R164)/'HPM costs'!$E$164</f>
        <v>0</v>
      </c>
      <c r="AU60" s="525"/>
      <c r="AV60" s="525">
        <f>('Malaria-Key Info'!$G$50*'HPM costs'!S164)/'HPM costs'!$E$164</f>
        <v>0</v>
      </c>
      <c r="AW60" s="525"/>
      <c r="AX60" s="1154">
        <f t="shared" si="2"/>
        <v>0</v>
      </c>
      <c r="AY60" s="1154"/>
      <c r="AZ60" s="528"/>
      <c r="BA60" s="529"/>
      <c r="BB60" s="527"/>
      <c r="BC60" s="527">
        <v>0</v>
      </c>
      <c r="BD60" s="527">
        <v>0</v>
      </c>
      <c r="BE60" s="527">
        <v>0</v>
      </c>
      <c r="BF60" s="527">
        <v>0</v>
      </c>
      <c r="BG60" s="527">
        <v>0</v>
      </c>
      <c r="BH60" s="527">
        <v>0</v>
      </c>
      <c r="BI60" s="527">
        <v>0</v>
      </c>
      <c r="BJ60" s="527">
        <v>0</v>
      </c>
      <c r="BK60" s="1154">
        <f t="shared" si="3"/>
        <v>0</v>
      </c>
      <c r="BL60" s="1154"/>
      <c r="BM60" s="1154">
        <f t="shared" si="4"/>
        <v>0</v>
      </c>
      <c r="BN60" s="1154">
        <f t="shared" si="5"/>
        <v>0</v>
      </c>
      <c r="BO60" s="527"/>
      <c r="BP60" s="527"/>
      <c r="BQ60" s="1157">
        <v>0</v>
      </c>
      <c r="BR60" s="1157" t="s">
        <v>19</v>
      </c>
      <c r="BS60" s="1157" t="s">
        <v>602</v>
      </c>
      <c r="BT60" s="1376" t="s">
        <v>604</v>
      </c>
    </row>
    <row r="61" spans="1:72" s="512" customFormat="1" ht="13" hidden="1">
      <c r="A61" s="1204">
        <v>71</v>
      </c>
      <c r="B61" s="1205" t="s">
        <v>598</v>
      </c>
      <c r="C61" s="1205" t="s">
        <v>599</v>
      </c>
      <c r="D61" s="1206" t="s">
        <v>2563</v>
      </c>
      <c r="E61" s="1386" t="s">
        <v>1896</v>
      </c>
      <c r="F61" s="521"/>
      <c r="G61" s="522"/>
      <c r="H61" s="522"/>
      <c r="I61" s="522"/>
      <c r="J61" s="523"/>
      <c r="K61" s="523"/>
      <c r="L61" s="523"/>
      <c r="M61" s="524"/>
      <c r="N61" s="525"/>
      <c r="O61" s="526" t="s">
        <v>1237</v>
      </c>
      <c r="P61" s="525">
        <f>IFERROR(INDEX('Malaria-Equipment &amp; Other HPs'!$AX$29:$BI$40,MATCH("6.3"&amp;"1",INDEX('Malaria-Equipment &amp; Other HPs'!$AW$29:$AW$40&amp;'Malaria-Equipment &amp; Other HPs'!$AU$29:$AU$40,0),0),MID(LEFT(P$1,SEARCH(" ",P$1)-1),2,3)-INDEX('Malaria-Equipment &amp; Other HPs'!$AV$29:$AV$40,MATCH("6.3"&amp;"1",INDEX('Malaria-Equipment &amp; Other HPs'!$AW$29:$AW$40&amp;'Malaria-Equipment &amp; Other HPs'!$AU$29:$AU$40,0),0))),)</f>
        <v>0</v>
      </c>
      <c r="Q61" s="525" t="s">
        <v>1237</v>
      </c>
      <c r="R61" s="525">
        <f>IFERROR(INDEX('Malaria-Equipment &amp; Other HPs'!$AX$29:$BI$40,MATCH("6.3"&amp;"1",INDEX('Malaria-Equipment &amp; Other HPs'!$AW$29:$AW$40&amp;'Malaria-Equipment &amp; Other HPs'!$AU$29:$AU$40,0),0),MID(LEFT(R$1,SEARCH(" ",R$1)-1),2,3)-INDEX('Malaria-Equipment &amp; Other HPs'!$AV$29:$AV$40,MATCH("6.3"&amp;"1",INDEX('Malaria-Equipment &amp; Other HPs'!$AW$29:$AW$40&amp;'Malaria-Equipment &amp; Other HPs'!$AU$29:$AU$40,0),0))),)</f>
        <v>0</v>
      </c>
      <c r="S61" s="525" t="s">
        <v>1237</v>
      </c>
      <c r="T61" s="525">
        <f>IFERROR(INDEX('Malaria-Equipment &amp; Other HPs'!$AX$29:$BI$40,MATCH("6.3"&amp;"1",INDEX('Malaria-Equipment &amp; Other HPs'!$AW$29:$AW$40&amp;'Malaria-Equipment &amp; Other HPs'!$AU$29:$AU$40,0),0),MID(LEFT(T$1,SEARCH(" ",T$1)-1),2,3)-INDEX('Malaria-Equipment &amp; Other HPs'!$AV$29:$AV$40,MATCH("6.3"&amp;"1",INDEX('Malaria-Equipment &amp; Other HPs'!$AW$29:$AW$40&amp;'Malaria-Equipment &amp; Other HPs'!$AU$29:$AU$40,0),0))),)</f>
        <v>0</v>
      </c>
      <c r="U61" s="525" t="s">
        <v>1237</v>
      </c>
      <c r="V61" s="525">
        <f>IFERROR(INDEX('Malaria-Equipment &amp; Other HPs'!$AX$29:$BI$40,MATCH("6.3"&amp;"1",INDEX('Malaria-Equipment &amp; Other HPs'!$AW$29:$AW$40&amp;'Malaria-Equipment &amp; Other HPs'!$AU$29:$AU$40,0),0),MID(LEFT(V$1,SEARCH(" ",V$1)-1),2,3)-INDEX('Malaria-Equipment &amp; Other HPs'!$AV$29:$AV$40,MATCH("6.3"&amp;"1",INDEX('Malaria-Equipment &amp; Other HPs'!$AW$29:$AW$40&amp;'Malaria-Equipment &amp; Other HPs'!$AU$29:$AU$40,0),0))),)</f>
        <v>0</v>
      </c>
      <c r="W61" s="525"/>
      <c r="X61" s="1154">
        <f t="shared" ref="X61" si="6">P61+R61+T61+V61</f>
        <v>0</v>
      </c>
      <c r="Y61" s="1155"/>
      <c r="Z61" s="1156"/>
      <c r="AA61" s="529"/>
      <c r="AB61" s="525"/>
      <c r="AC61" s="525">
        <f>IFERROR(INDEX('Malaria-Equipment &amp; Other HPs'!$AX$29:$BI$40,MATCH("6.3"&amp;"1",INDEX('Malaria-Equipment &amp; Other HPs'!$AW$29:$AW$40&amp;'Malaria-Equipment &amp; Other HPs'!$AU$29:$AU$40,0),0),MID(LEFT(AC$1,SEARCH(" ",AC$1)-1),2,3)-INDEX('Malaria-Equipment &amp; Other HPs'!$AV$29:$AV$40,MATCH("6.3"&amp;"1",INDEX('Malaria-Equipment &amp; Other HPs'!$AW$29:$AW$40&amp;'Malaria-Equipment &amp; Other HPs'!$AU$29:$AU$40,0),0))),)</f>
        <v>0</v>
      </c>
      <c r="AD61" s="525"/>
      <c r="AE61" s="525">
        <f>IFERROR(INDEX('Malaria-Equipment &amp; Other HPs'!$AX$29:$BI$40,MATCH("6.3"&amp;"1",INDEX('Malaria-Equipment &amp; Other HPs'!$AW$29:$AW$40&amp;'Malaria-Equipment &amp; Other HPs'!$AU$29:$AU$40,0),0),MID(LEFT(AE$1,SEARCH(" ",AE$1)-1),2,3)-INDEX('Malaria-Equipment &amp; Other HPs'!$AV$29:$AV$40,MATCH("6.3"&amp;"1",INDEX('Malaria-Equipment &amp; Other HPs'!$AW$29:$AW$40&amp;'Malaria-Equipment &amp; Other HPs'!$AU$29:$AU$40,0),0))),)</f>
        <v>0</v>
      </c>
      <c r="AF61" s="525"/>
      <c r="AG61" s="525">
        <f>IFERROR(INDEX('Malaria-Equipment &amp; Other HPs'!$AX$29:$BI$40,MATCH("6.3"&amp;"1",INDEX('Malaria-Equipment &amp; Other HPs'!$AW$29:$AW$40&amp;'Malaria-Equipment &amp; Other HPs'!$AU$29:$AU$40,0),0),MID(LEFT(AG$1,SEARCH(" ",AG$1)-1),2,3)-INDEX('Malaria-Equipment &amp; Other HPs'!$AV$29:$AV$40,MATCH("6.3"&amp;"1",INDEX('Malaria-Equipment &amp; Other HPs'!$AW$29:$AW$40&amp;'Malaria-Equipment &amp; Other HPs'!$AU$29:$AU$40,0),0))),)</f>
        <v>0</v>
      </c>
      <c r="AH61" s="525"/>
      <c r="AI61" s="525">
        <f>IFERROR(INDEX('Malaria-Equipment &amp; Other HPs'!$AX$29:$BI$40,MATCH("6.3"&amp;"1",INDEX('Malaria-Equipment &amp; Other HPs'!$AW$29:$AW$40&amp;'Malaria-Equipment &amp; Other HPs'!$AU$29:$AU$40,0),0),MID(LEFT(AI$1,SEARCH(" ",AI$1)-1),2,3)-INDEX('Malaria-Equipment &amp; Other HPs'!$AV$29:$AV$40,MATCH("6.3"&amp;"1",INDEX('Malaria-Equipment &amp; Other HPs'!$AW$29:$AW$40&amp;'Malaria-Equipment &amp; Other HPs'!$AU$29:$AU$40,0),0))),)</f>
        <v>0</v>
      </c>
      <c r="AJ61" s="525"/>
      <c r="AK61" s="1154">
        <f t="shared" ref="AK61" si="7">AI61+AG61+AE61+AC61</f>
        <v>0</v>
      </c>
      <c r="AL61" s="1155"/>
      <c r="AM61" s="1156"/>
      <c r="AN61" s="529"/>
      <c r="AO61" s="525"/>
      <c r="AP61" s="525">
        <f>IFERROR(INDEX('Malaria-Equipment &amp; Other HPs'!$AX$29:$BI$40,MATCH("6.3"&amp;"1",INDEX('Malaria-Equipment &amp; Other HPs'!$AW$29:$AW$40&amp;'Malaria-Equipment &amp; Other HPs'!$AU$29:$AU$40,0),0),MID(LEFT(AP$1,SEARCH(" ",AP$1)-1),2,3)-INDEX('Malaria-Equipment &amp; Other HPs'!$AV$29:$AV$40,MATCH("6.3"&amp;"1",INDEX('Malaria-Equipment &amp; Other HPs'!$AW$29:$AW$40&amp;'Malaria-Equipment &amp; Other HPs'!$AU$29:$AU$40,0),0))),)</f>
        <v>0</v>
      </c>
      <c r="AQ61" s="525"/>
      <c r="AR61" s="525">
        <f>IFERROR(INDEX('Malaria-Equipment &amp; Other HPs'!$AX$29:$BI$40,MATCH("6.3"&amp;"1",INDEX('Malaria-Equipment &amp; Other HPs'!$AW$29:$AW$40&amp;'Malaria-Equipment &amp; Other HPs'!$AU$29:$AU$40,0),0),MID(LEFT(AR$1,SEARCH(" ",AR$1)-1),2,3)-INDEX('Malaria-Equipment &amp; Other HPs'!$AV$29:$AV$40,MATCH("6.3"&amp;"1",INDEX('Malaria-Equipment &amp; Other HPs'!$AW$29:$AW$40&amp;'Malaria-Equipment &amp; Other HPs'!$AU$29:$AU$40,0),0))),)</f>
        <v>0</v>
      </c>
      <c r="AS61" s="525"/>
      <c r="AT61" s="525">
        <f>IFERROR(INDEX('Malaria-Equipment &amp; Other HPs'!$AX$29:$BI$40,MATCH("6.3"&amp;"1",INDEX('Malaria-Equipment &amp; Other HPs'!$AW$29:$AW$40&amp;'Malaria-Equipment &amp; Other HPs'!$AU$29:$AU$40,0),0),MID(LEFT(AT$1,SEARCH(" ",AT$1)-1),2,3)-INDEX('Malaria-Equipment &amp; Other HPs'!$AV$29:$AV$40,MATCH("6.3"&amp;"1",INDEX('Malaria-Equipment &amp; Other HPs'!$AW$29:$AW$40&amp;'Malaria-Equipment &amp; Other HPs'!$AU$29:$AU$40,0),0))),)</f>
        <v>0</v>
      </c>
      <c r="AU61" s="525"/>
      <c r="AV61" s="525">
        <f>IFERROR(INDEX('Malaria-Equipment &amp; Other HPs'!$BJ$29:$BJ$40,MATCH("6.3"&amp;"1",INDEX('Malaria-Equipment &amp; Other HPs'!$AW$29:$AW$40&amp;'Malaria-Equipment &amp; Other HPs'!$AU$29:$AU$40,0),0),)-SUM(X61,AK61,AP61,AR61,AT61),)</f>
        <v>0</v>
      </c>
      <c r="AW61" s="525"/>
      <c r="AX61" s="1154">
        <f t="shared" ref="AX61" si="8">AV61+AT61+AR61+AP61</f>
        <v>0</v>
      </c>
      <c r="AY61" s="1154"/>
      <c r="AZ61" s="528"/>
      <c r="BA61" s="529"/>
      <c r="BB61" s="527"/>
      <c r="BC61" s="527">
        <v>0</v>
      </c>
      <c r="BD61" s="527">
        <v>0</v>
      </c>
      <c r="BE61" s="527">
        <v>0</v>
      </c>
      <c r="BF61" s="527">
        <v>0</v>
      </c>
      <c r="BG61" s="527">
        <v>0</v>
      </c>
      <c r="BH61" s="527">
        <v>0</v>
      </c>
      <c r="BI61" s="527">
        <v>0</v>
      </c>
      <c r="BJ61" s="527">
        <v>0</v>
      </c>
      <c r="BK61" s="1154">
        <f t="shared" si="3"/>
        <v>0</v>
      </c>
      <c r="BL61" s="1154"/>
      <c r="BM61" s="1154">
        <f t="shared" si="4"/>
        <v>0</v>
      </c>
      <c r="BN61" s="1154">
        <f t="shared" si="5"/>
        <v>0</v>
      </c>
      <c r="BO61" s="527"/>
      <c r="BP61" s="527"/>
      <c r="BQ61" s="1157">
        <v>0</v>
      </c>
      <c r="BR61" s="1157" t="s">
        <v>19</v>
      </c>
      <c r="BS61" s="1157" t="s">
        <v>2563</v>
      </c>
      <c r="BT61" s="1376" t="s">
        <v>605</v>
      </c>
    </row>
    <row r="62" spans="1:72" s="512" customFormat="1" ht="13" hidden="1">
      <c r="A62" s="1204">
        <v>73</v>
      </c>
      <c r="B62" s="1205" t="s">
        <v>598</v>
      </c>
      <c r="C62" s="1205" t="s">
        <v>599</v>
      </c>
      <c r="D62" s="1206" t="s">
        <v>1883</v>
      </c>
      <c r="E62" s="1386" t="s">
        <v>586</v>
      </c>
      <c r="F62" s="521"/>
      <c r="G62" s="522"/>
      <c r="H62" s="522"/>
      <c r="I62" s="522"/>
      <c r="J62" s="523"/>
      <c r="K62" s="523"/>
      <c r="L62" s="523"/>
      <c r="M62" s="524"/>
      <c r="N62" s="525"/>
      <c r="O62" s="526" t="s">
        <v>1237</v>
      </c>
      <c r="P62" s="525">
        <f>IFERROR(INDEX('Malaria-Equipment &amp; Other HPs'!$AX$29:$BI$40,MATCH("6.6"&amp;"4",INDEX('Malaria-Equipment &amp; Other HPs'!$AW$29:$AW$40&amp;'Malaria-Equipment &amp; Other HPs'!$AU$29:$AU$40,0),0),MID(LEFT(P$1,SEARCH(" ",P$1)-1),2,3)-INDEX('Malaria-Equipment &amp; Other HPs'!$AV$29:$AV$40,MATCH("6.6"&amp;"4",INDEX('Malaria-Equipment &amp; Other HPs'!$AW$29:$AW$40&amp;'Malaria-Equipment &amp; Other HPs'!$AU$29:$AU$40,0),0))),)</f>
        <v>0</v>
      </c>
      <c r="Q62" s="525" t="s">
        <v>1237</v>
      </c>
      <c r="R62" s="525">
        <f>IFERROR(INDEX('Malaria-Equipment &amp; Other HPs'!$AX$29:$BI$40,MATCH("6.6"&amp;"4",INDEX('Malaria-Equipment &amp; Other HPs'!$AW$29:$AW$40&amp;'Malaria-Equipment &amp; Other HPs'!$AU$29:$AU$40,0),0),MID(LEFT(R$1,SEARCH(" ",R$1)-1),2,3)-INDEX('Malaria-Equipment &amp; Other HPs'!$AV$29:$AV$40,MATCH("6.6"&amp;"4",INDEX('Malaria-Equipment &amp; Other HPs'!$AW$29:$AW$40&amp;'Malaria-Equipment &amp; Other HPs'!$AU$29:$AU$40,0),0))),)</f>
        <v>0</v>
      </c>
      <c r="S62" s="525" t="s">
        <v>1237</v>
      </c>
      <c r="T62" s="525">
        <f>IFERROR(INDEX('Malaria-Equipment &amp; Other HPs'!$AX$29:$BI$40,MATCH("6.6"&amp;"4",INDEX('Malaria-Equipment &amp; Other HPs'!$AW$29:$AW$40&amp;'Malaria-Equipment &amp; Other HPs'!$AU$29:$AU$40,0),0),MID(LEFT(T$1,SEARCH(" ",T$1)-1),2,3)-INDEX('Malaria-Equipment &amp; Other HPs'!$AV$29:$AV$40,MATCH("6.6"&amp;"4",INDEX('Malaria-Equipment &amp; Other HPs'!$AW$29:$AW$40&amp;'Malaria-Equipment &amp; Other HPs'!$AU$29:$AU$40,0),0))),)</f>
        <v>0</v>
      </c>
      <c r="U62" s="525" t="s">
        <v>1237</v>
      </c>
      <c r="V62" s="525">
        <f>IFERROR(INDEX('Malaria-Equipment &amp; Other HPs'!$AX$29:$BI$40,MATCH("6.6"&amp;"4",INDEX('Malaria-Equipment &amp; Other HPs'!$AW$29:$AW$40&amp;'Malaria-Equipment &amp; Other HPs'!$AU$29:$AU$40,0),0),MID(LEFT(V$1,SEARCH(" ",V$1)-1),2,3)-INDEX('Malaria-Equipment &amp; Other HPs'!$AV$29:$AV$40,MATCH("6.6"&amp;"4",INDEX('Malaria-Equipment &amp; Other HPs'!$AW$29:$AW$40&amp;'Malaria-Equipment &amp; Other HPs'!$AU$29:$AU$40,0),0))),)</f>
        <v>0</v>
      </c>
      <c r="W62" s="525"/>
      <c r="X62" s="1154">
        <f t="shared" si="0"/>
        <v>0</v>
      </c>
      <c r="Y62" s="1155"/>
      <c r="Z62" s="1156"/>
      <c r="AA62" s="529"/>
      <c r="AB62" s="525"/>
      <c r="AC62" s="525">
        <f>IFERROR(INDEX('Malaria-Equipment &amp; Other HPs'!$AX$29:$BI$40,MATCH("6.6"&amp;"4",INDEX('Malaria-Equipment &amp; Other HPs'!$AW$29:$AW$40&amp;'Malaria-Equipment &amp; Other HPs'!$AU$29:$AU$40,0),0),MID(LEFT(AC$1,SEARCH(" ",AC$1)-1),2,3)-INDEX('Malaria-Equipment &amp; Other HPs'!$AV$29:$AV$40,MATCH("6.6"&amp;"4",INDEX('Malaria-Equipment &amp; Other HPs'!$AW$29:$AW$40&amp;'Malaria-Equipment &amp; Other HPs'!$AU$29:$AU$40,0),0))),)</f>
        <v>0</v>
      </c>
      <c r="AD62" s="525"/>
      <c r="AE62" s="525">
        <f>IFERROR(INDEX('Malaria-Equipment &amp; Other HPs'!$AX$29:$BI$40,MATCH("6.6"&amp;"4",INDEX('Malaria-Equipment &amp; Other HPs'!$AW$29:$AW$40&amp;'Malaria-Equipment &amp; Other HPs'!$AU$29:$AU$40,0),0),MID(LEFT(AE$1,SEARCH(" ",AE$1)-1),2,3)-INDEX('Malaria-Equipment &amp; Other HPs'!$AV$29:$AV$40,MATCH("6.6"&amp;"4",INDEX('Malaria-Equipment &amp; Other HPs'!$AW$29:$AW$40&amp;'Malaria-Equipment &amp; Other HPs'!$AU$29:$AU$40,0),0))),)</f>
        <v>0</v>
      </c>
      <c r="AF62" s="525"/>
      <c r="AG62" s="525">
        <f>IFERROR(INDEX('Malaria-Equipment &amp; Other HPs'!$AX$29:$BI$40,MATCH("6.6"&amp;"4",INDEX('Malaria-Equipment &amp; Other HPs'!$AW$29:$AW$40&amp;'Malaria-Equipment &amp; Other HPs'!$AU$29:$AU$40,0),0),MID(LEFT(AG$1,SEARCH(" ",AG$1)-1),2,3)-INDEX('Malaria-Equipment &amp; Other HPs'!$AV$29:$AV$40,MATCH("6.6"&amp;"4",INDEX('Malaria-Equipment &amp; Other HPs'!$AW$29:$AW$40&amp;'Malaria-Equipment &amp; Other HPs'!$AU$29:$AU$40,0),0))),)</f>
        <v>0</v>
      </c>
      <c r="AH62" s="525"/>
      <c r="AI62" s="525">
        <f>IFERROR(INDEX('Malaria-Equipment &amp; Other HPs'!$AX$29:$BI$40,MATCH("6.6"&amp;"4",INDEX('Malaria-Equipment &amp; Other HPs'!$AW$29:$AW$40&amp;'Malaria-Equipment &amp; Other HPs'!$AU$29:$AU$40,0),0),MID(LEFT(AI$1,SEARCH(" ",AI$1)-1),2,3)-INDEX('Malaria-Equipment &amp; Other HPs'!$AV$29:$AV$40,MATCH("6.6"&amp;"4",INDEX('Malaria-Equipment &amp; Other HPs'!$AW$29:$AW$40&amp;'Malaria-Equipment &amp; Other HPs'!$AU$29:$AU$40,0),0))),)</f>
        <v>0</v>
      </c>
      <c r="AJ62" s="525"/>
      <c r="AK62" s="1154">
        <f t="shared" si="1"/>
        <v>0</v>
      </c>
      <c r="AL62" s="1155"/>
      <c r="AM62" s="1156"/>
      <c r="AN62" s="529"/>
      <c r="AO62" s="525"/>
      <c r="AP62" s="525">
        <f>IFERROR(INDEX('Malaria-Equipment &amp; Other HPs'!$AX$29:$BI$40,MATCH("6.6"&amp;"4",INDEX('Malaria-Equipment &amp; Other HPs'!$AW$29:$AW$40&amp;'Malaria-Equipment &amp; Other HPs'!$AU$29:$AU$40,0),0),MID(LEFT(AP$1,SEARCH(" ",AP$1)-1),2,3)-INDEX('Malaria-Equipment &amp; Other HPs'!$AV$29:$AV$40,MATCH("6.6"&amp;"4",INDEX('Malaria-Equipment &amp; Other HPs'!$AW$29:$AW$40&amp;'Malaria-Equipment &amp; Other HPs'!$AU$29:$AU$40,0),0))),)</f>
        <v>0</v>
      </c>
      <c r="AQ62" s="525"/>
      <c r="AR62" s="525">
        <f>IFERROR(INDEX('Malaria-Equipment &amp; Other HPs'!$AX$29:$BI$40,MATCH("6.6"&amp;"4",INDEX('Malaria-Equipment &amp; Other HPs'!$AW$29:$AW$40&amp;'Malaria-Equipment &amp; Other HPs'!$AU$29:$AU$40,0),0),MID(LEFT(AR$1,SEARCH(" ",AR$1)-1),2,3)-INDEX('Malaria-Equipment &amp; Other HPs'!$AV$29:$AV$40,MATCH("6.6"&amp;"4",INDEX('Malaria-Equipment &amp; Other HPs'!$AW$29:$AW$40&amp;'Malaria-Equipment &amp; Other HPs'!$AU$29:$AU$40,0),0))),)</f>
        <v>0</v>
      </c>
      <c r="AS62" s="525"/>
      <c r="AT62" s="525">
        <f>IFERROR(INDEX('Malaria-Equipment &amp; Other HPs'!$AX$29:$BI$40,MATCH("6.6"&amp;"4",INDEX('Malaria-Equipment &amp; Other HPs'!$AW$29:$AW$40&amp;'Malaria-Equipment &amp; Other HPs'!$AU$29:$AU$40,0),0),MID(LEFT(AT$1,SEARCH(" ",AT$1)-1),2,3)-INDEX('Malaria-Equipment &amp; Other HPs'!$AV$29:$AV$40,MATCH("6.6"&amp;"4",INDEX('Malaria-Equipment &amp; Other HPs'!$AW$29:$AW$40&amp;'Malaria-Equipment &amp; Other HPs'!$AU$29:$AU$40,0),0))),)</f>
        <v>0</v>
      </c>
      <c r="AU62" s="525"/>
      <c r="AV62" s="1464">
        <f>IFERROR(INDEX('Malaria-Equipment &amp; Other HPs'!$BJ$29:$BJ$40,MATCH("6.6"&amp;"4",INDEX('Malaria-Equipment &amp; Other HPs'!$AW$29:$AW$40&amp;'Malaria-Equipment &amp; Other HPs'!$AU$29:$AU$40,0),0),0)-SUM(X62,AK62,AP62,AR62,AT62),)</f>
        <v>0</v>
      </c>
      <c r="AW62" s="525"/>
      <c r="AX62" s="1154">
        <f t="shared" si="2"/>
        <v>0</v>
      </c>
      <c r="AY62" s="1154"/>
      <c r="AZ62" s="528"/>
      <c r="BA62" s="529"/>
      <c r="BB62" s="527"/>
      <c r="BC62" s="527">
        <v>0</v>
      </c>
      <c r="BD62" s="527">
        <v>0</v>
      </c>
      <c r="BE62" s="527">
        <v>0</v>
      </c>
      <c r="BF62" s="527">
        <v>0</v>
      </c>
      <c r="BG62" s="527">
        <v>0</v>
      </c>
      <c r="BH62" s="527">
        <v>0</v>
      </c>
      <c r="BI62" s="527">
        <v>0</v>
      </c>
      <c r="BJ62" s="527">
        <v>0</v>
      </c>
      <c r="BK62" s="1154">
        <f t="shared" si="3"/>
        <v>0</v>
      </c>
      <c r="BL62" s="1154"/>
      <c r="BM62" s="1154">
        <f t="shared" si="4"/>
        <v>0</v>
      </c>
      <c r="BN62" s="1154">
        <f t="shared" si="5"/>
        <v>0</v>
      </c>
      <c r="BO62" s="527"/>
      <c r="BP62" s="527"/>
      <c r="BQ62" s="1157">
        <v>0</v>
      </c>
      <c r="BR62" s="1157" t="s">
        <v>19</v>
      </c>
      <c r="BS62" s="1157" t="s">
        <v>1883</v>
      </c>
      <c r="BT62" s="1376" t="s">
        <v>1364</v>
      </c>
    </row>
    <row r="63" spans="1:72" s="512" customFormat="1" ht="13" hidden="1">
      <c r="A63" s="1204">
        <v>74</v>
      </c>
      <c r="B63" s="1205" t="s">
        <v>598</v>
      </c>
      <c r="C63" s="1205" t="s">
        <v>599</v>
      </c>
      <c r="D63" s="1206" t="s">
        <v>596</v>
      </c>
      <c r="E63" s="1386" t="s">
        <v>597</v>
      </c>
      <c r="F63" s="521"/>
      <c r="G63" s="522"/>
      <c r="H63" s="522"/>
      <c r="I63" s="522"/>
      <c r="J63" s="523"/>
      <c r="K63" s="523"/>
      <c r="L63" s="523"/>
      <c r="M63" s="524"/>
      <c r="N63" s="525"/>
      <c r="O63" s="526" t="s">
        <v>1237</v>
      </c>
      <c r="P63" s="525">
        <f>IFERROR(INDEX('Malaria-Equipment &amp; Other HPs'!$AX$29:$BI$40,MATCH("5.8"&amp;"4",INDEX('Malaria-Equipment &amp; Other HPs'!$AW$29:$AW$40&amp;'Malaria-Equipment &amp; Other HPs'!$AU$29:$AU$40,0),0),MID(LEFT(P$1,SEARCH(" ",P$1)-1),2,3)-INDEX('Malaria-Equipment &amp; Other HPs'!$AV$29:$AV$40,MATCH("5.8"&amp;"4",INDEX('Malaria-Equipment &amp; Other HPs'!$AW$29:$AW$40&amp;'Malaria-Equipment &amp; Other HPs'!$AU$29:$AU$40,0),0))),)</f>
        <v>0</v>
      </c>
      <c r="Q63" s="525" t="s">
        <v>1237</v>
      </c>
      <c r="R63" s="525">
        <f>IFERROR(INDEX('Malaria-Equipment &amp; Other HPs'!$AX$29:$BI$40,MATCH("5.8"&amp;"4",INDEX('Malaria-Equipment &amp; Other HPs'!$AW$29:$AW$40&amp;'Malaria-Equipment &amp; Other HPs'!$AU$29:$AU$40,0),0),MID(LEFT(R$1,SEARCH(" ",R$1)-1),2,3)-INDEX('Malaria-Equipment &amp; Other HPs'!$AV$29:$AV$40,MATCH("5.8"&amp;"4",INDEX('Malaria-Equipment &amp; Other HPs'!$AW$29:$AW$40&amp;'Malaria-Equipment &amp; Other HPs'!$AU$29:$AU$40,0),0))),)</f>
        <v>0</v>
      </c>
      <c r="S63" s="525" t="s">
        <v>1237</v>
      </c>
      <c r="T63" s="525">
        <f>IFERROR(INDEX('Malaria-Equipment &amp; Other HPs'!$AX$29:$BI$40,MATCH("5.8"&amp;"4",INDEX('Malaria-Equipment &amp; Other HPs'!$AW$29:$AW$40&amp;'Malaria-Equipment &amp; Other HPs'!$AU$29:$AU$40,0),0),MID(LEFT(T$1,SEARCH(" ",T$1)-1),2,3)-INDEX('Malaria-Equipment &amp; Other HPs'!$AV$29:$AV$40,MATCH("5.8"&amp;"4",INDEX('Malaria-Equipment &amp; Other HPs'!$AW$29:$AW$40&amp;'Malaria-Equipment &amp; Other HPs'!$AU$29:$AU$40,0),0))),)</f>
        <v>0</v>
      </c>
      <c r="U63" s="525" t="s">
        <v>1237</v>
      </c>
      <c r="V63" s="525">
        <f>IFERROR(INDEX('Malaria-Equipment &amp; Other HPs'!$AX$29:$BI$40,MATCH("5.8"&amp;"4",INDEX('Malaria-Equipment &amp; Other HPs'!$AW$29:$AW$40&amp;'Malaria-Equipment &amp; Other HPs'!$AU$29:$AU$40,0),0),MID(LEFT(V$1,SEARCH(" ",V$1)-1),2,3)-INDEX('Malaria-Equipment &amp; Other HPs'!$AV$29:$AV$40,MATCH("5.8"&amp;"4",INDEX('Malaria-Equipment &amp; Other HPs'!$AW$29:$AW$40&amp;'Malaria-Equipment &amp; Other HPs'!$AU$29:$AU$40,0),0))),)</f>
        <v>0</v>
      </c>
      <c r="W63" s="525"/>
      <c r="X63" s="1154">
        <f t="shared" si="0"/>
        <v>0</v>
      </c>
      <c r="Y63" s="1155"/>
      <c r="Z63" s="1156"/>
      <c r="AA63" s="529"/>
      <c r="AB63" s="525"/>
      <c r="AC63" s="525">
        <f>IFERROR(INDEX('Malaria-Equipment &amp; Other HPs'!$AX$29:$BI$40,MATCH("5.8"&amp;"4",INDEX('Malaria-Equipment &amp; Other HPs'!$AW$29:$AW$40&amp;'Malaria-Equipment &amp; Other HPs'!$AU$29:$AU$40,0),0),MID(LEFT(AC$1,SEARCH(" ",AC$1)-1),2,3)-INDEX('Malaria-Equipment &amp; Other HPs'!$AV$29:$AV$40,MATCH("5.8"&amp;"4",INDEX('Malaria-Equipment &amp; Other HPs'!$AW$29:$AW$40&amp;'Malaria-Equipment &amp; Other HPs'!$AU$29:$AU$40,0),0))),)</f>
        <v>0</v>
      </c>
      <c r="AD63" s="525"/>
      <c r="AE63" s="525">
        <f>IFERROR(INDEX('Malaria-Equipment &amp; Other HPs'!$AX$29:$BI$40,MATCH("5.8"&amp;"4",INDEX('Malaria-Equipment &amp; Other HPs'!$AW$29:$AW$40&amp;'Malaria-Equipment &amp; Other HPs'!$AU$29:$AU$40,0),0),MID(LEFT(AE$1,SEARCH(" ",AE$1)-1),2,3)-INDEX('Malaria-Equipment &amp; Other HPs'!$AV$29:$AV$40,MATCH("5.8"&amp;"4",INDEX('Malaria-Equipment &amp; Other HPs'!$AW$29:$AW$40&amp;'Malaria-Equipment &amp; Other HPs'!$AU$29:$AU$40,0),0))),)</f>
        <v>0</v>
      </c>
      <c r="AF63" s="525"/>
      <c r="AG63" s="525">
        <f>IFERROR(INDEX('Malaria-Equipment &amp; Other HPs'!$AX$29:$BI$40,MATCH("5.8"&amp;"4",INDEX('Malaria-Equipment &amp; Other HPs'!$AW$29:$AW$40&amp;'Malaria-Equipment &amp; Other HPs'!$AU$29:$AU$40,0),0),MID(LEFT(AG$1,SEARCH(" ",AG$1)-1),2,3)-INDEX('Malaria-Equipment &amp; Other HPs'!$AV$29:$AV$40,MATCH("5.8"&amp;"4",INDEX('Malaria-Equipment &amp; Other HPs'!$AW$29:$AW$40&amp;'Malaria-Equipment &amp; Other HPs'!$AU$29:$AU$40,0),0))),)</f>
        <v>0</v>
      </c>
      <c r="AH63" s="525"/>
      <c r="AI63" s="525">
        <f>IFERROR(INDEX('Malaria-Equipment &amp; Other HPs'!$AX$29:$BI$40,MATCH("5.8"&amp;"4",INDEX('Malaria-Equipment &amp; Other HPs'!$AW$29:$AW$40&amp;'Malaria-Equipment &amp; Other HPs'!$AU$29:$AU$40,0),0),MID(LEFT(AI$1,SEARCH(" ",AI$1)-1),2,3)-INDEX('Malaria-Equipment &amp; Other HPs'!$AV$29:$AV$40,MATCH("5.8"&amp;"4",INDEX('Malaria-Equipment &amp; Other HPs'!$AW$29:$AW$40&amp;'Malaria-Equipment &amp; Other HPs'!$AU$29:$AU$40,0),0))),)</f>
        <v>0</v>
      </c>
      <c r="AJ63" s="525"/>
      <c r="AK63" s="1154">
        <f t="shared" si="1"/>
        <v>0</v>
      </c>
      <c r="AL63" s="1155"/>
      <c r="AM63" s="1156"/>
      <c r="AN63" s="529"/>
      <c r="AO63" s="525"/>
      <c r="AP63" s="525">
        <f>IFERROR(INDEX('Malaria-Equipment &amp; Other HPs'!$AX$29:$BI$40,MATCH("5.8"&amp;"4",INDEX('Malaria-Equipment &amp; Other HPs'!$AW$29:$AW$40&amp;'Malaria-Equipment &amp; Other HPs'!$AU$29:$AU$40,0),0),MID(LEFT(AP$1,SEARCH(" ",AP$1)-1),2,3)-INDEX('Malaria-Equipment &amp; Other HPs'!$AV$29:$AV$40,MATCH("5.8"&amp;"4",INDEX('Malaria-Equipment &amp; Other HPs'!$AW$29:$AW$40&amp;'Malaria-Equipment &amp; Other HPs'!$AU$29:$AU$40,0),0))),)</f>
        <v>0</v>
      </c>
      <c r="AQ63" s="525"/>
      <c r="AR63" s="525">
        <f>IFERROR(INDEX('Malaria-Equipment &amp; Other HPs'!$AX$29:$BI$40,MATCH("5.8"&amp;"4",INDEX('Malaria-Equipment &amp; Other HPs'!$AW$29:$AW$40&amp;'Malaria-Equipment &amp; Other HPs'!$AU$29:$AU$40,0),0),MID(LEFT(AR$1,SEARCH(" ",AR$1)-1),2,3)-INDEX('Malaria-Equipment &amp; Other HPs'!$AV$29:$AV$40,MATCH("5.8"&amp;"4",INDEX('Malaria-Equipment &amp; Other HPs'!$AW$29:$AW$40&amp;'Malaria-Equipment &amp; Other HPs'!$AU$29:$AU$40,0),0))),)</f>
        <v>0</v>
      </c>
      <c r="AS63" s="525"/>
      <c r="AT63" s="525">
        <f>IFERROR(INDEX('Malaria-Equipment &amp; Other HPs'!$AX$29:$BI$40,MATCH("5.8"&amp;"4",INDEX('Malaria-Equipment &amp; Other HPs'!$AW$29:$AW$40&amp;'Malaria-Equipment &amp; Other HPs'!$AU$29:$AU$40,0),0),MID(LEFT(AT$1,SEARCH(" ",AT$1)-1),2,3)-INDEX('Malaria-Equipment &amp; Other HPs'!$AV$29:$AV$40,MATCH("5.8"&amp;"4",INDEX('Malaria-Equipment &amp; Other HPs'!$AW$29:$AW$40&amp;'Malaria-Equipment &amp; Other HPs'!$AU$29:$AU$40,0),0))),)</f>
        <v>0</v>
      </c>
      <c r="AU63" s="525"/>
      <c r="AV63" s="525">
        <f>IFERROR(INDEX('Malaria-Equipment &amp; Other HPs'!$BJ$29:$BJ$40,MATCH("5.8"&amp;"4",INDEX('Malaria-Equipment &amp; Other HPs'!$AW$29:$AW$40&amp;'Malaria-Equipment &amp; Other HPs'!$AU$29:$AU$40,0),0),)-SUM(X63,AK63,AP63,AR63,AT63),)</f>
        <v>0</v>
      </c>
      <c r="AW63" s="525"/>
      <c r="AX63" s="1154">
        <f t="shared" si="2"/>
        <v>0</v>
      </c>
      <c r="AY63" s="1154"/>
      <c r="AZ63" s="528"/>
      <c r="BA63" s="529"/>
      <c r="BB63" s="527"/>
      <c r="BC63" s="527">
        <v>0</v>
      </c>
      <c r="BD63" s="527">
        <v>0</v>
      </c>
      <c r="BE63" s="527">
        <v>0</v>
      </c>
      <c r="BF63" s="527">
        <v>0</v>
      </c>
      <c r="BG63" s="527">
        <v>0</v>
      </c>
      <c r="BH63" s="527">
        <v>0</v>
      </c>
      <c r="BI63" s="527">
        <v>0</v>
      </c>
      <c r="BJ63" s="527">
        <v>0</v>
      </c>
      <c r="BK63" s="1154">
        <f t="shared" si="3"/>
        <v>0</v>
      </c>
      <c r="BL63" s="1154"/>
      <c r="BM63" s="1154">
        <f t="shared" si="4"/>
        <v>0</v>
      </c>
      <c r="BN63" s="1154">
        <f t="shared" si="5"/>
        <v>0</v>
      </c>
      <c r="BO63" s="527"/>
      <c r="BP63" s="527"/>
      <c r="BQ63" s="1157">
        <v>0</v>
      </c>
      <c r="BR63" s="1157" t="s">
        <v>19</v>
      </c>
      <c r="BS63" s="1157" t="s">
        <v>596</v>
      </c>
      <c r="BT63" s="1376" t="s">
        <v>1248</v>
      </c>
    </row>
    <row r="64" spans="1:72" s="512" customFormat="1" ht="13" hidden="1">
      <c r="A64" s="1204">
        <v>75</v>
      </c>
      <c r="B64" s="1205" t="s">
        <v>598</v>
      </c>
      <c r="C64" s="1205" t="s">
        <v>599</v>
      </c>
      <c r="D64" s="1206" t="s">
        <v>594</v>
      </c>
      <c r="E64" s="1466" t="s">
        <v>595</v>
      </c>
      <c r="F64" s="521"/>
      <c r="G64" s="522"/>
      <c r="H64" s="522"/>
      <c r="I64" s="522"/>
      <c r="J64" s="523"/>
      <c r="K64" s="523"/>
      <c r="L64" s="523"/>
      <c r="M64" s="524"/>
      <c r="N64" s="525"/>
      <c r="O64" s="526"/>
      <c r="P64" s="525">
        <f>IFERROR(IFERROR(INDEX('Malaria-Equipment &amp; Other HPs'!$AX$29:$BI$40,MATCH("5.6"&amp;"1",INDEX('Malaria-Equipment &amp; Other HPs'!$AW$29:$AW$40&amp;'Malaria-Equipment &amp; Other HPs'!$AU$29:$AU$40,0),0),MID(LEFT(P$1,SEARCH(" ",P$1)-1),2,3)-INDEX('Malaria-Equipment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HPs'!$AU$29:$AU$40,0),0),MID(LEFT(P$1,SEARCH(" ",P$1)-1),2,3)-INDEX('Malaria-Equipment &amp; Other HPs'!$AV$29:$AV$40,MATCH("5.6"&amp;"4",INDEX('Malaria-Equipment &amp; Other HPs'!$AW$29:$AW$40&amp;'Malaria-Equipment &amp; Other HPs'!$AU$29:$AU$40,0),0))),),0)</f>
        <v>0</v>
      </c>
      <c r="Q64" s="525" t="s">
        <v>1237</v>
      </c>
      <c r="R64" s="525">
        <f>IFERROR(IFERROR(INDEX('Malaria-Equipment &amp; Other HPs'!$AX$29:$BI$40,MATCH("5.6"&amp;"1",INDEX('Malaria-Equipment &amp; Other HPs'!$AW$29:$AW$40&amp;'Malaria-Equipment &amp; Other HPs'!$AU$29:$AU$40,0),0),MID(LEFT(R$1,SEARCH(" ",R$1)-1),2,3)-INDEX('Malaria-Equipment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HPs'!$AU$29:$AU$40,0),0),MID(LEFT(R$1,SEARCH(" ",R$1)-1),2,3)-INDEX('Malaria-Equipment &amp; Other HPs'!$AV$29:$AV$40,MATCH("5.6"&amp;"4",INDEX('Malaria-Equipment &amp; Other HPs'!$AW$29:$AW$40&amp;'Malaria-Equipment &amp; Other HPs'!$AU$29:$AU$40,0),0))),),0)</f>
        <v>0</v>
      </c>
      <c r="S64" s="525" t="s">
        <v>1237</v>
      </c>
      <c r="T64" s="525">
        <f>IFERROR(IFERROR(INDEX('Malaria-Equipment &amp; Other HPs'!$AX$29:$BI$40,MATCH("5.6"&amp;"1",INDEX('Malaria-Equipment &amp; Other HPs'!$AW$29:$AW$40&amp;'Malaria-Equipment &amp; Other HPs'!$AU$29:$AU$40,0),0),MID(LEFT(T$1,SEARCH(" ",T$1)-1),2,3)-INDEX('Malaria-Equipment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HPs'!$AU$29:$AU$40,0),0),MID(LEFT(T$1,SEARCH(" ",T$1)-1),2,3)-INDEX('Malaria-Equipment &amp; Other HPs'!$AV$29:$AV$40,MATCH("5.6"&amp;"4",INDEX('Malaria-Equipment &amp; Other HPs'!$AW$29:$AW$40&amp;'Malaria-Equipment &amp; Other HPs'!$AU$29:$AU$40,0),0))),),0)</f>
        <v>0</v>
      </c>
      <c r="U64" s="525" t="s">
        <v>1237</v>
      </c>
      <c r="V64" s="525">
        <f>IFERROR(IFERROR(INDEX('Malaria-Equipment &amp; Other HPs'!$AX$29:$BI$40,MATCH("5.6"&amp;"1",INDEX('Malaria-Equipment &amp; Other HPs'!$AW$29:$AW$40&amp;'Malaria-Equipment &amp; Other HPs'!$AU$29:$AU$40,0),0),MID(LEFT(V$1,SEARCH(" ",V$1)-1),2,3)-INDEX('Malaria-Equipment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HPs'!$AU$29:$AU$40,0),0),MID(LEFT(V$1,SEARCH(" ",V$1)-1),2,3)-INDEX('Malaria-Equipment &amp; Other HPs'!$AV$29:$AV$40,MATCH("5.6"&amp;"4",INDEX('Malaria-Equipment &amp; Other HPs'!$AW$29:$AW$40&amp;'Malaria-Equipment &amp; Other HPs'!$AU$29:$AU$40,0),0))),),0)</f>
        <v>0</v>
      </c>
      <c r="W64" s="525"/>
      <c r="X64" s="1154">
        <f t="shared" ref="X64" si="9">P64+R64+T64+V64</f>
        <v>0</v>
      </c>
      <c r="Y64" s="1155"/>
      <c r="Z64" s="1156"/>
      <c r="AA64" s="529"/>
      <c r="AB64" s="525"/>
      <c r="AC64" s="525">
        <f>IFERROR(IFERROR(INDEX('Malaria-Equipment &amp; Other HPs'!$AX$29:$BI$40,MATCH("5.6"&amp;"1",INDEX('Malaria-Equipment &amp; Other HPs'!$AW$29:$AW$40&amp;'Malaria-Equipment &amp; Other HPs'!$AU$29:$AU$40,0),0),MID(LEFT(AC$1,SEARCH(" ",AC$1)-1),2,3)-INDEX('Malaria-Equipment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HPs'!$AU$29:$AU$40,0),0),MID(LEFT(AC$1,SEARCH(" ",AC$1)-1),2,3)-INDEX('Malaria-Equipment &amp; Other HPs'!$AV$29:$AV$40,MATCH("5.6"&amp;"4",INDEX('Malaria-Equipment &amp; Other HPs'!$AW$29:$AW$40&amp;'Malaria-Equipment &amp; Other HPs'!$AU$29:$AU$40,0),0))),),0)</f>
        <v>0</v>
      </c>
      <c r="AD64" s="525"/>
      <c r="AE64" s="525">
        <f>IFERROR(IFERROR(INDEX('Malaria-Equipment &amp; Other HPs'!$AX$29:$BI$40,MATCH("5.6"&amp;"1",INDEX('Malaria-Equipment &amp; Other HPs'!$AW$29:$AW$40&amp;'Malaria-Equipment &amp; Other HPs'!$AU$29:$AU$40,0),0),MID(LEFT(AE$1,SEARCH(" ",AE$1)-1),2,3)-INDEX('Malaria-Equipment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HPs'!$AU$29:$AU$40,0),0),MID(LEFT(AE$1,SEARCH(" ",AE$1)-1),2,3)-INDEX('Malaria-Equipment &amp; Other HPs'!$AV$29:$AV$40,MATCH("5.6"&amp;"4",INDEX('Malaria-Equipment &amp; Other HPs'!$AW$29:$AW$40&amp;'Malaria-Equipment &amp; Other HPs'!$AU$29:$AU$40,0),0))),),0)</f>
        <v>0</v>
      </c>
      <c r="AF64" s="525"/>
      <c r="AG64" s="525">
        <f>IFERROR(IFERROR(INDEX('Malaria-Equipment &amp; Other HPs'!$AX$29:$BI$40,MATCH("5.6"&amp;"1",INDEX('Malaria-Equipment &amp; Other HPs'!$AW$29:$AW$40&amp;'Malaria-Equipment &amp; Other HPs'!$AU$29:$AU$40,0),0),MID(LEFT(AG$1,SEARCH(" ",AG$1)-1),2,3)-INDEX('Malaria-Equipment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HPs'!$AU$29:$AU$40,0),0),MID(LEFT(AG$1,SEARCH(" ",AG$1)-1),2,3)-INDEX('Malaria-Equipment &amp; Other HPs'!$AV$29:$AV$40,MATCH("5.6"&amp;"4",INDEX('Malaria-Equipment &amp; Other HPs'!$AW$29:$AW$40&amp;'Malaria-Equipment &amp; Other HPs'!$AU$29:$AU$40,0),0))),),0)</f>
        <v>0</v>
      </c>
      <c r="AH64" s="525"/>
      <c r="AI64" s="525">
        <f>IFERROR(IFERROR(INDEX('Malaria-Equipment &amp; Other HPs'!$AX$29:$BI$40,MATCH("5.6"&amp;"1",INDEX('Malaria-Equipment &amp; Other HPs'!$AW$29:$AW$40&amp;'Malaria-Equipment &amp; Other HPs'!$AU$29:$AU$40,0),0),MID(LEFT(AI$1,SEARCH(" ",AI$1)-1),2,3)-INDEX('Malaria-Equipment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HPs'!$AU$29:$AU$40,0),0),MID(LEFT(AI$1,SEARCH(" ",AI$1)-1),2,3)-INDEX('Malaria-Equipment &amp; Other HPs'!$AV$29:$AV$40,MATCH("5.6"&amp;"4",INDEX('Malaria-Equipment &amp; Other HPs'!$AW$29:$AW$40&amp;'Malaria-Equipment &amp; Other HPs'!$AU$29:$AU$40,0),0))),),0)</f>
        <v>0</v>
      </c>
      <c r="AJ64" s="525"/>
      <c r="AK64" s="1154">
        <f t="shared" ref="AK64" si="10">AI64+AG64+AE64+AC64</f>
        <v>0</v>
      </c>
      <c r="AL64" s="1155"/>
      <c r="AM64" s="1156"/>
      <c r="AN64" s="529"/>
      <c r="AO64" s="525"/>
      <c r="AP64" s="525">
        <f>IFERROR(IFERROR(INDEX('Malaria-Equipment &amp; Other HPs'!$AX$29:$BI$40,MATCH("5.6"&amp;"1",INDEX('Malaria-Equipment &amp; Other HPs'!$AW$29:$AW$40&amp;'Malaria-Equipment &amp; Other HPs'!$AU$29:$AU$40,0),0),MID(LEFT(AP$1,SEARCH(" ",AP$1)-1),2,3)-INDEX('Malaria-Equipment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HPs'!$AU$29:$AU$40,0),0),MID(LEFT(AP$1,SEARCH(" ",AP$1)-1),2,3)-INDEX('Malaria-Equipment &amp; Other HPs'!$AV$29:$AV$40,MATCH("5.6"&amp;"4",INDEX('Malaria-Equipment &amp; Other HPs'!$AW$29:$AW$40&amp;'Malaria-Equipment &amp; Other HPs'!$AU$29:$AU$40,0),0))),),0)</f>
        <v>0</v>
      </c>
      <c r="AQ64" s="525"/>
      <c r="AR64" s="525">
        <f>IFERROR(IFERROR(INDEX('Malaria-Equipment &amp; Other HPs'!$AX$29:$BI$40,MATCH("5.6"&amp;"1",INDEX('Malaria-Equipment &amp; Other HPs'!$AW$29:$AW$40&amp;'Malaria-Equipment &amp; Other HPs'!$AU$29:$AU$40,0),0),MID(LEFT(AR$1,SEARCH(" ",AR$1)-1),2,3)-INDEX('Malaria-Equipment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HPs'!$AU$29:$AU$40,0),0),MID(LEFT(AR$1,SEARCH(" ",AR$1)-1),2,3)-INDEX('Malaria-Equipment &amp; Other HPs'!$AV$29:$AV$40,MATCH("5.6"&amp;"4",INDEX('Malaria-Equipment &amp; Other HPs'!$AW$29:$AW$40&amp;'Malaria-Equipment &amp; Other HPs'!$AU$29:$AU$40,0),0))),),0)</f>
        <v>0</v>
      </c>
      <c r="AS64" s="525"/>
      <c r="AT64" s="525">
        <f>IFERROR(IFERROR(INDEX('Malaria-Equipment &amp; Other HPs'!$AX$29:$BI$40,MATCH("5.6"&amp;"1",INDEX('Malaria-Equipment &amp; Other HPs'!$AW$29:$AW$40&amp;'Malaria-Equipment &amp; Other HPs'!$AU$29:$AU$40,0),0),MID(LEFT(AT$1,SEARCH(" ",AT$1)-1),2,3)-INDEX('Malaria-Equipment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HPs'!$AU$29:$AU$40,0),0),MID(LEFT(AT$1,SEARCH(" ",AT$1)-1),2,3)-INDEX('Malaria-Equipment &amp; Other HPs'!$AV$29:$AV$40,MATCH("5.6"&amp;"4",INDEX('Malaria-Equipment &amp; Other HPs'!$AW$29:$AW$40&amp;'Malaria-Equipment &amp; Other HPs'!$AU$29:$AU$40,0),0))),),0)</f>
        <v>0</v>
      </c>
      <c r="AU64" s="525"/>
      <c r="AV64" s="525">
        <f>IFERROR(INDEX('Malaria-Equipment &amp; Other HPs'!$BJ$29:$BJ$40,MATCH("5.6"&amp;"1",INDEX('Malaria-Equipment &amp; Other HPs'!$AW$29:$AW$40&amp;'Malaria-Equipment &amp; Other HPs'!$AU$29:$AU$40,0),0),0),)+IFERROR(INDEX('Malaria-Equipment &amp; Other HPs'!$BJ$29:$BJ$40,MATCH("5.6"&amp;"4",INDEX('Malaria-Equipment &amp; Other HPs'!$AW$29:$AW$40&amp;'Malaria-Equipment &amp; Other HPs'!$AU$29:$AU$40,0),0),0),)-SUM(X64,AK64,AP64,AR64,AT64)</f>
        <v>0</v>
      </c>
      <c r="AW64" s="525"/>
      <c r="AX64" s="1154">
        <f t="shared" ref="AX64" si="11">AV64+AT64+AR64+AP64</f>
        <v>0</v>
      </c>
      <c r="AY64" s="1154"/>
      <c r="AZ64" s="528"/>
      <c r="BA64" s="529"/>
      <c r="BB64" s="527"/>
      <c r="BC64" s="527">
        <v>0</v>
      </c>
      <c r="BD64" s="527">
        <v>0</v>
      </c>
      <c r="BE64" s="527">
        <v>0</v>
      </c>
      <c r="BF64" s="527">
        <v>0</v>
      </c>
      <c r="BG64" s="527">
        <v>0</v>
      </c>
      <c r="BH64" s="527">
        <v>0</v>
      </c>
      <c r="BI64" s="527">
        <v>0</v>
      </c>
      <c r="BJ64" s="527">
        <v>0</v>
      </c>
      <c r="BK64" s="1154">
        <f t="shared" si="3"/>
        <v>0</v>
      </c>
      <c r="BL64" s="1154"/>
      <c r="BM64" s="1154">
        <f t="shared" si="4"/>
        <v>0</v>
      </c>
      <c r="BN64" s="1154">
        <f>BK64+AX64+AK64+X64</f>
        <v>0</v>
      </c>
      <c r="BO64" s="527"/>
      <c r="BP64" s="527"/>
      <c r="BQ64" s="1157">
        <v>0</v>
      </c>
      <c r="BR64" s="1157" t="s">
        <v>19</v>
      </c>
      <c r="BS64" s="1157" t="s">
        <v>594</v>
      </c>
      <c r="BT64" s="1376" t="s">
        <v>1884</v>
      </c>
    </row>
    <row r="65" spans="1:72" s="512" customFormat="1" ht="13" hidden="1">
      <c r="A65" s="1204">
        <v>76</v>
      </c>
      <c r="B65" s="1205" t="s">
        <v>598</v>
      </c>
      <c r="C65" s="1205" t="s">
        <v>599</v>
      </c>
      <c r="D65" s="1206" t="s">
        <v>527</v>
      </c>
      <c r="E65" s="1386" t="s">
        <v>528</v>
      </c>
      <c r="F65" s="521"/>
      <c r="G65" s="522"/>
      <c r="H65" s="522"/>
      <c r="I65" s="522"/>
      <c r="J65" s="523"/>
      <c r="K65" s="523"/>
      <c r="L65" s="523"/>
      <c r="M65" s="524"/>
      <c r="N65" s="525"/>
      <c r="O65" s="526" t="s">
        <v>1237</v>
      </c>
      <c r="P65" s="525">
        <f>'Malaria-Key Info'!$F$24*'HPM costs'!F69+'Malaria-Key Info'!$G$50*'HPM costs'!F78+'HPM costs'!F75+'HPM costs'!F93+'HPM costs'!F90</f>
        <v>0</v>
      </c>
      <c r="Q65" s="525" t="s">
        <v>1237</v>
      </c>
      <c r="R65" s="525">
        <f>'Malaria-Key Info'!$F$24*'HPM costs'!G69+'Malaria-Key Info'!$G$50*'HPM costs'!G78+'HPM costs'!G75+'HPM costs'!G93+'HPM costs'!G90</f>
        <v>0</v>
      </c>
      <c r="S65" s="525" t="s">
        <v>1237</v>
      </c>
      <c r="T65" s="525">
        <f>'Malaria-Key Info'!$F$24*'HPM costs'!H69+'Malaria-Key Info'!$G$50*'HPM costs'!H78+'HPM costs'!H75+'HPM costs'!H93+'HPM costs'!H90</f>
        <v>0</v>
      </c>
      <c r="U65" s="525" t="s">
        <v>1237</v>
      </c>
      <c r="V65" s="525">
        <f>'Malaria-Key Info'!$F$24*'HPM costs'!I69+'Malaria-Key Info'!$G$50*'HPM costs'!I78+'HPM costs'!I75+'HPM costs'!I93+'HPM costs'!I90</f>
        <v>0</v>
      </c>
      <c r="W65" s="525"/>
      <c r="X65" s="1154">
        <f t="shared" si="0"/>
        <v>0</v>
      </c>
      <c r="Y65" s="1155"/>
      <c r="Z65" s="1156"/>
      <c r="AA65" s="529"/>
      <c r="AB65" s="525"/>
      <c r="AC65" s="525">
        <f>'Malaria-Key Info'!$F$24*'HPM costs'!K69+'Malaria-Key Info'!$G$50*'HPM costs'!K78+'HPM costs'!K75+'HPM costs'!K93+'HPM costs'!K90</f>
        <v>0</v>
      </c>
      <c r="AD65" s="525"/>
      <c r="AE65" s="525">
        <f>'Malaria-Key Info'!$F$24*'HPM costs'!L69+'Malaria-Key Info'!$G$50*'HPM costs'!L78+'HPM costs'!L75+'HPM costs'!L93+'HPM costs'!L90</f>
        <v>0</v>
      </c>
      <c r="AF65" s="525"/>
      <c r="AG65" s="525">
        <f>'Malaria-Key Info'!$F$24*'HPM costs'!M69+'Malaria-Key Info'!$G$50*'HPM costs'!M78+'HPM costs'!M75+'HPM costs'!M93+'HPM costs'!M90</f>
        <v>0</v>
      </c>
      <c r="AH65" s="525"/>
      <c r="AI65" s="525">
        <f>'Malaria-Key Info'!$F$24*'HPM costs'!N69+'Malaria-Key Info'!$G$50*'HPM costs'!N78+'HPM costs'!N75+'HPM costs'!N93+'HPM costs'!N90</f>
        <v>0</v>
      </c>
      <c r="AJ65" s="525"/>
      <c r="AK65" s="1154">
        <f t="shared" si="1"/>
        <v>0</v>
      </c>
      <c r="AL65" s="1155"/>
      <c r="AM65" s="1156"/>
      <c r="AN65" s="529"/>
      <c r="AO65" s="525"/>
      <c r="AP65" s="525">
        <f>'Malaria-Key Info'!$F$24*'HPM costs'!P69+'Malaria-Key Info'!$G$50*'HPM costs'!P78+'HPM costs'!P75+'HPM costs'!P93+'HPM costs'!P90</f>
        <v>0</v>
      </c>
      <c r="AQ65" s="525"/>
      <c r="AR65" s="525">
        <f>'Malaria-Key Info'!$F$24*'HPM costs'!Q69+'Malaria-Key Info'!$G$50*'HPM costs'!Q78+'HPM costs'!Q75+'HPM costs'!Q93+'HPM costs'!Q90</f>
        <v>0</v>
      </c>
      <c r="AS65" s="525"/>
      <c r="AT65" s="525">
        <f>'Malaria-Key Info'!$F$24*'HPM costs'!R69+'Malaria-Key Info'!$G$50*'HPM costs'!R78+'HPM costs'!R75+'HPM costs'!R93+'HPM costs'!R90</f>
        <v>0</v>
      </c>
      <c r="AU65" s="525"/>
      <c r="AV65" s="525">
        <f>'Malaria-Key Info'!$F$24*'HPM costs'!S69+'Malaria-Key Info'!$G$50*'HPM costs'!S78+'HPM costs'!S75+'HPM costs'!S93+'HPM costs'!S90</f>
        <v>0</v>
      </c>
      <c r="AW65" s="525"/>
      <c r="AX65" s="1154">
        <f t="shared" si="2"/>
        <v>0</v>
      </c>
      <c r="AY65" s="1154"/>
      <c r="AZ65" s="528"/>
      <c r="BA65" s="529"/>
      <c r="BB65" s="527"/>
      <c r="BC65" s="527">
        <v>0</v>
      </c>
      <c r="BD65" s="527">
        <v>0</v>
      </c>
      <c r="BE65" s="527">
        <v>0</v>
      </c>
      <c r="BF65" s="527">
        <v>0</v>
      </c>
      <c r="BG65" s="527">
        <v>0</v>
      </c>
      <c r="BH65" s="527">
        <v>0</v>
      </c>
      <c r="BI65" s="527">
        <v>0</v>
      </c>
      <c r="BJ65" s="527">
        <v>0</v>
      </c>
      <c r="BK65" s="1154">
        <f t="shared" si="3"/>
        <v>0</v>
      </c>
      <c r="BL65" s="1154"/>
      <c r="BM65" s="1154">
        <f t="shared" si="4"/>
        <v>0</v>
      </c>
      <c r="BN65" s="1154">
        <f t="shared" si="5"/>
        <v>0</v>
      </c>
      <c r="BO65" s="527"/>
      <c r="BP65" s="527"/>
      <c r="BQ65" s="1157">
        <v>0</v>
      </c>
      <c r="BR65" s="1157" t="s">
        <v>19</v>
      </c>
      <c r="BS65" s="1157" t="s">
        <v>527</v>
      </c>
      <c r="BT65" s="1376" t="s">
        <v>1365</v>
      </c>
    </row>
    <row r="66" spans="1:72" s="512" customFormat="1" ht="13" hidden="1">
      <c r="A66" s="1204">
        <v>77</v>
      </c>
      <c r="B66" s="1205" t="s">
        <v>598</v>
      </c>
      <c r="C66" s="1205" t="s">
        <v>599</v>
      </c>
      <c r="D66" s="1206" t="s">
        <v>527</v>
      </c>
      <c r="E66" s="1386" t="s">
        <v>530</v>
      </c>
      <c r="F66" s="521"/>
      <c r="G66" s="522"/>
      <c r="H66" s="522"/>
      <c r="I66" s="522"/>
      <c r="J66" s="523"/>
      <c r="K66" s="523"/>
      <c r="L66" s="523"/>
      <c r="M66" s="524"/>
      <c r="N66" s="525"/>
      <c r="O66" s="526" t="s">
        <v>1237</v>
      </c>
      <c r="P66" s="525">
        <f>'Malaria-Key Info'!$F$24*'HPM costs'!F155+'Malaria-Key Info'!$G$50*'HPM costs'!F164+'HPM costs'!F161+'HPM costs'!F179+'HPM costs'!F176</f>
        <v>0</v>
      </c>
      <c r="Q66" s="525" t="s">
        <v>1237</v>
      </c>
      <c r="R66" s="525">
        <f>'Malaria-Key Info'!$F$24*'HPM costs'!G155+'Malaria-Key Info'!$G$50*'HPM costs'!G164+'HPM costs'!G161+'HPM costs'!G179+'HPM costs'!G176</f>
        <v>0</v>
      </c>
      <c r="S66" s="525" t="s">
        <v>1237</v>
      </c>
      <c r="T66" s="525">
        <f>'Malaria-Key Info'!$F$24*'HPM costs'!H155+'Malaria-Key Info'!$G$50*'HPM costs'!H164+'HPM costs'!H161+'HPM costs'!H179+'HPM costs'!H176</f>
        <v>0</v>
      </c>
      <c r="U66" s="525" t="s">
        <v>1237</v>
      </c>
      <c r="V66" s="525">
        <f>'Malaria-Key Info'!$F$24*'HPM costs'!I155+'Malaria-Key Info'!$G$50*'HPM costs'!I164+'HPM costs'!I161+'HPM costs'!I179+'HPM costs'!I176</f>
        <v>0</v>
      </c>
      <c r="W66" s="525"/>
      <c r="X66" s="1154">
        <f t="shared" ref="X66:X128" si="12">P66+R66+T66+V66</f>
        <v>0</v>
      </c>
      <c r="Y66" s="1155"/>
      <c r="Z66" s="1156"/>
      <c r="AA66" s="529"/>
      <c r="AB66" s="525"/>
      <c r="AC66" s="525">
        <f>'Malaria-Key Info'!$F$24*'HPM costs'!K155+'Malaria-Key Info'!$G$50*'HPM costs'!K164+'HPM costs'!K161+'HPM costs'!K179+'HPM costs'!K176</f>
        <v>0</v>
      </c>
      <c r="AD66" s="525"/>
      <c r="AE66" s="525">
        <f>'Malaria-Key Info'!$F$24*'HPM costs'!L155+'Malaria-Key Info'!$G$50*'HPM costs'!L164+'HPM costs'!L161+'HPM costs'!L179+'HPM costs'!L176</f>
        <v>0</v>
      </c>
      <c r="AF66" s="525"/>
      <c r="AG66" s="525">
        <f>'Malaria-Key Info'!$F$24*'HPM costs'!M155+'Malaria-Key Info'!$G$50*'HPM costs'!M164+'HPM costs'!M161+'HPM costs'!M179+'HPM costs'!M176</f>
        <v>0</v>
      </c>
      <c r="AH66" s="525"/>
      <c r="AI66" s="525">
        <f>'Malaria-Key Info'!$F$24*'HPM costs'!N155+'Malaria-Key Info'!$G$50*'HPM costs'!N164+'HPM costs'!N161+'HPM costs'!N179+'HPM costs'!N176</f>
        <v>0</v>
      </c>
      <c r="AJ66" s="525"/>
      <c r="AK66" s="1154">
        <f t="shared" ref="AK66:AK128" si="13">AI66+AG66+AE66+AC66</f>
        <v>0</v>
      </c>
      <c r="AL66" s="1155"/>
      <c r="AM66" s="1156"/>
      <c r="AN66" s="529"/>
      <c r="AO66" s="525"/>
      <c r="AP66" s="525">
        <f>'Malaria-Key Info'!$F$24*'HPM costs'!P155+'Malaria-Key Info'!$G$50*'HPM costs'!P164+'HPM costs'!P161+'HPM costs'!P179+'HPM costs'!P176</f>
        <v>0</v>
      </c>
      <c r="AQ66" s="525"/>
      <c r="AR66" s="525">
        <f>'Malaria-Key Info'!$F$24*'HPM costs'!Q155+'Malaria-Key Info'!$G$50*'HPM costs'!Q164+'HPM costs'!Q161+'HPM costs'!Q179+'HPM costs'!Q176</f>
        <v>0</v>
      </c>
      <c r="AS66" s="525"/>
      <c r="AT66" s="525">
        <f>'Malaria-Key Info'!$F$24*'HPM costs'!R155+'Malaria-Key Info'!$G$50*'HPM costs'!R164+'HPM costs'!R161+'HPM costs'!R179+'HPM costs'!R176</f>
        <v>0</v>
      </c>
      <c r="AU66" s="525"/>
      <c r="AV66" s="525">
        <f>'Malaria-Key Info'!$F$24*'HPM costs'!S155+'Malaria-Key Info'!$G$50*'HPM costs'!S164+'HPM costs'!S161+'HPM costs'!S179+'HPM costs'!S176</f>
        <v>0</v>
      </c>
      <c r="AW66" s="525"/>
      <c r="AX66" s="1154">
        <f t="shared" ref="AX66:AX128" si="14">AV66+AT66+AR66+AP66</f>
        <v>0</v>
      </c>
      <c r="AY66" s="1154"/>
      <c r="AZ66" s="528"/>
      <c r="BA66" s="529"/>
      <c r="BB66" s="527"/>
      <c r="BC66" s="527">
        <v>0</v>
      </c>
      <c r="BD66" s="527">
        <v>0</v>
      </c>
      <c r="BE66" s="527">
        <v>0</v>
      </c>
      <c r="BF66" s="527">
        <v>0</v>
      </c>
      <c r="BG66" s="527">
        <v>0</v>
      </c>
      <c r="BH66" s="527">
        <v>0</v>
      </c>
      <c r="BI66" s="527">
        <v>0</v>
      </c>
      <c r="BJ66" s="527">
        <v>0</v>
      </c>
      <c r="BK66" s="1154">
        <f t="shared" ref="BK66:BK128" si="15">BI66+BG66+BE66+BC66</f>
        <v>0</v>
      </c>
      <c r="BL66" s="1154"/>
      <c r="BM66" s="1154">
        <f t="shared" ref="BM66:BM129" si="16">BJ66+AW66+AJ66+W66</f>
        <v>0</v>
      </c>
      <c r="BN66" s="1154">
        <f t="shared" ref="BN66:BN129" si="17">BK66+AX66+AK66+X66</f>
        <v>0</v>
      </c>
      <c r="BO66" s="527"/>
      <c r="BP66" s="527"/>
      <c r="BQ66" s="1157">
        <v>0</v>
      </c>
      <c r="BR66" s="1157" t="s">
        <v>19</v>
      </c>
      <c r="BS66" s="1157" t="s">
        <v>527</v>
      </c>
      <c r="BT66" s="1376" t="s">
        <v>1366</v>
      </c>
    </row>
    <row r="67" spans="1:72" s="512" customFormat="1" ht="13" hidden="1">
      <c r="A67" s="1204">
        <v>78</v>
      </c>
      <c r="B67" s="1205" t="s">
        <v>598</v>
      </c>
      <c r="C67" s="1205" t="s">
        <v>599</v>
      </c>
      <c r="D67" s="1206" t="s">
        <v>527</v>
      </c>
      <c r="E67" s="1386" t="s">
        <v>532</v>
      </c>
      <c r="F67" s="521"/>
      <c r="G67" s="522"/>
      <c r="H67" s="522"/>
      <c r="I67" s="522"/>
      <c r="J67" s="523"/>
      <c r="K67" s="523"/>
      <c r="L67" s="523"/>
      <c r="M67" s="524"/>
      <c r="N67" s="525"/>
      <c r="O67" s="526" t="s">
        <v>1237</v>
      </c>
      <c r="P67" s="525">
        <f>'Malaria-Key Info'!$F$24*'HPM costs'!F415+'Malaria-Key Info'!$G$50*'HPM costs'!F424+'HPM costs'!F421+'HPM costs'!F439+'HPM costs'!F436</f>
        <v>0</v>
      </c>
      <c r="Q67" s="525" t="s">
        <v>1237</v>
      </c>
      <c r="R67" s="525">
        <f>'Malaria-Key Info'!$F$24*'HPM costs'!G415+'Malaria-Key Info'!$G$50*'HPM costs'!G424+'HPM costs'!G421+'HPM costs'!G439+'HPM costs'!G436</f>
        <v>0</v>
      </c>
      <c r="S67" s="525" t="s">
        <v>1237</v>
      </c>
      <c r="T67" s="525">
        <f>'Malaria-Key Info'!$F$24*'HPM costs'!H415+'Malaria-Key Info'!$G$50*'HPM costs'!H424+'HPM costs'!H421+'HPM costs'!H439+'HPM costs'!H436</f>
        <v>0</v>
      </c>
      <c r="U67" s="525" t="s">
        <v>1237</v>
      </c>
      <c r="V67" s="525">
        <f>'Malaria-Key Info'!$F$24*'HPM costs'!I415+'Malaria-Key Info'!$G$50*'HPM costs'!I424+'HPM costs'!I421+'HPM costs'!I439+'HPM costs'!I436</f>
        <v>0</v>
      </c>
      <c r="W67" s="525"/>
      <c r="X67" s="1154">
        <f t="shared" si="12"/>
        <v>0</v>
      </c>
      <c r="Y67" s="1155"/>
      <c r="Z67" s="1156"/>
      <c r="AA67" s="529"/>
      <c r="AB67" s="525"/>
      <c r="AC67" s="525">
        <f>'Malaria-Key Info'!$F$24*'HPM costs'!K415+'Malaria-Key Info'!$G$50*'HPM costs'!K424+'HPM costs'!K421+'HPM costs'!K439+'HPM costs'!K436</f>
        <v>0</v>
      </c>
      <c r="AD67" s="525"/>
      <c r="AE67" s="525">
        <f>'Malaria-Key Info'!$F$24*'HPM costs'!L415+'Malaria-Key Info'!$G$50*'HPM costs'!L424+'HPM costs'!L421+'HPM costs'!L439+'HPM costs'!L436</f>
        <v>0</v>
      </c>
      <c r="AF67" s="525"/>
      <c r="AG67" s="525">
        <f>'Malaria-Key Info'!$F$24*'HPM costs'!M415+'Malaria-Key Info'!$G$50*'HPM costs'!M424+'HPM costs'!M421+'HPM costs'!M439+'HPM costs'!M436</f>
        <v>0</v>
      </c>
      <c r="AH67" s="525"/>
      <c r="AI67" s="525">
        <f>'Malaria-Key Info'!$F$24*'HPM costs'!N415+'Malaria-Key Info'!$G$50*'HPM costs'!N424+'HPM costs'!N421+'HPM costs'!N439+'HPM costs'!N436</f>
        <v>0</v>
      </c>
      <c r="AJ67" s="525"/>
      <c r="AK67" s="1154">
        <f t="shared" si="13"/>
        <v>0</v>
      </c>
      <c r="AL67" s="1155"/>
      <c r="AM67" s="1156"/>
      <c r="AN67" s="529"/>
      <c r="AO67" s="525"/>
      <c r="AP67" s="525">
        <f>'Malaria-Key Info'!$F$24*'HPM costs'!P415+'Malaria-Key Info'!$G$50*'HPM costs'!P424+'HPM costs'!P421+'HPM costs'!P439+'HPM costs'!P436</f>
        <v>0</v>
      </c>
      <c r="AQ67" s="525"/>
      <c r="AR67" s="525">
        <f>'Malaria-Key Info'!$F$24*'HPM costs'!Q415+'Malaria-Key Info'!$G$50*'HPM costs'!Q424+'HPM costs'!Q421+'HPM costs'!Q439+'HPM costs'!Q436</f>
        <v>0</v>
      </c>
      <c r="AS67" s="525"/>
      <c r="AT67" s="525">
        <f>'Malaria-Key Info'!$F$24*'HPM costs'!R415+'Malaria-Key Info'!$G$50*'HPM costs'!R424+'HPM costs'!R421+'HPM costs'!R439+'HPM costs'!R436</f>
        <v>0</v>
      </c>
      <c r="AU67" s="525"/>
      <c r="AV67" s="525">
        <f>'Malaria-Key Info'!$F$24*'HPM costs'!S415+'Malaria-Key Info'!$G$50*'HPM costs'!S424+'HPM costs'!S421+'HPM costs'!S439+'HPM costs'!S436</f>
        <v>0</v>
      </c>
      <c r="AW67" s="525"/>
      <c r="AX67" s="1154">
        <f t="shared" si="14"/>
        <v>0</v>
      </c>
      <c r="AY67" s="1154"/>
      <c r="AZ67" s="528"/>
      <c r="BA67" s="529"/>
      <c r="BB67" s="527"/>
      <c r="BC67" s="527">
        <v>0</v>
      </c>
      <c r="BD67" s="527">
        <v>0</v>
      </c>
      <c r="BE67" s="527">
        <v>0</v>
      </c>
      <c r="BF67" s="527">
        <v>0</v>
      </c>
      <c r="BG67" s="527">
        <v>0</v>
      </c>
      <c r="BH67" s="527">
        <v>0</v>
      </c>
      <c r="BI67" s="527">
        <v>0</v>
      </c>
      <c r="BJ67" s="527">
        <v>0</v>
      </c>
      <c r="BK67" s="1154">
        <f t="shared" si="15"/>
        <v>0</v>
      </c>
      <c r="BL67" s="1154"/>
      <c r="BM67" s="1154">
        <f t="shared" si="16"/>
        <v>0</v>
      </c>
      <c r="BN67" s="1154">
        <f t="shared" si="17"/>
        <v>0</v>
      </c>
      <c r="BO67" s="527"/>
      <c r="BP67" s="527"/>
      <c r="BQ67" s="1157">
        <v>0</v>
      </c>
      <c r="BR67" s="1157" t="s">
        <v>19</v>
      </c>
      <c r="BS67" s="1157" t="s">
        <v>527</v>
      </c>
      <c r="BT67" s="1376" t="s">
        <v>1367</v>
      </c>
    </row>
    <row r="68" spans="1:72" s="512" customFormat="1" ht="13" hidden="1">
      <c r="A68" s="1204">
        <v>79</v>
      </c>
      <c r="B68" s="1205" t="s">
        <v>598</v>
      </c>
      <c r="C68" s="1205" t="s">
        <v>599</v>
      </c>
      <c r="D68" s="1206" t="s">
        <v>527</v>
      </c>
      <c r="E68" s="1386" t="s">
        <v>534</v>
      </c>
      <c r="F68" s="521"/>
      <c r="G68" s="522"/>
      <c r="H68" s="522"/>
      <c r="I68" s="522"/>
      <c r="J68" s="523"/>
      <c r="K68" s="523"/>
      <c r="L68" s="523"/>
      <c r="M68" s="524"/>
      <c r="N68" s="525"/>
      <c r="O68" s="526" t="s">
        <v>1237</v>
      </c>
      <c r="P68" s="525">
        <f>'Malaria-Key Info'!$F$24*'HPM costs'!F501+'Malaria-Key Info'!$G$50*'HPM costs'!F510+'HPM costs'!F507+'HPM costs'!F525+'HPM costs'!F522</f>
        <v>0</v>
      </c>
      <c r="Q68" s="525" t="s">
        <v>1237</v>
      </c>
      <c r="R68" s="525">
        <f>'Malaria-Key Info'!$F$24*'HPM costs'!G501+'Malaria-Key Info'!$G$50*'HPM costs'!G510+'HPM costs'!G507+'HPM costs'!G525+'HPM costs'!G522</f>
        <v>0</v>
      </c>
      <c r="S68" s="525" t="s">
        <v>1237</v>
      </c>
      <c r="T68" s="525">
        <f>'Malaria-Key Info'!$F$24*'HPM costs'!H501+'Malaria-Key Info'!$G$50*'HPM costs'!H510+'HPM costs'!H507+'HPM costs'!H525+'HPM costs'!H522</f>
        <v>0</v>
      </c>
      <c r="U68" s="525" t="s">
        <v>1237</v>
      </c>
      <c r="V68" s="525">
        <f>'Malaria-Key Info'!$F$24*'HPM costs'!I501+'Malaria-Key Info'!$G$50*'HPM costs'!I510+'HPM costs'!I507+'HPM costs'!I525+'HPM costs'!I522</f>
        <v>0</v>
      </c>
      <c r="W68" s="525"/>
      <c r="X68" s="1154">
        <f t="shared" si="12"/>
        <v>0</v>
      </c>
      <c r="Y68" s="1155"/>
      <c r="Z68" s="1156"/>
      <c r="AA68" s="529"/>
      <c r="AB68" s="525"/>
      <c r="AC68" s="525">
        <f>'Malaria-Key Info'!$F$24*'HPM costs'!K501+'Malaria-Key Info'!$G$50*'HPM costs'!K510+'HPM costs'!K507+'HPM costs'!K525+'HPM costs'!K522</f>
        <v>0</v>
      </c>
      <c r="AD68" s="525"/>
      <c r="AE68" s="525">
        <f>'Malaria-Key Info'!$F$24*'HPM costs'!L501+'Malaria-Key Info'!$G$50*'HPM costs'!L510+'HPM costs'!L507+'HPM costs'!L525+'HPM costs'!L522</f>
        <v>0</v>
      </c>
      <c r="AF68" s="525"/>
      <c r="AG68" s="525">
        <f>'Malaria-Key Info'!$F$24*'HPM costs'!M501+'Malaria-Key Info'!$G$50*'HPM costs'!M510+'HPM costs'!M507+'HPM costs'!M525+'HPM costs'!M522</f>
        <v>0</v>
      </c>
      <c r="AH68" s="525"/>
      <c r="AI68" s="525">
        <f>'Malaria-Key Info'!$F$24*'HPM costs'!N501+'Malaria-Key Info'!$G$50*'HPM costs'!N510+'HPM costs'!N507+'HPM costs'!N525+'HPM costs'!N522</f>
        <v>0</v>
      </c>
      <c r="AJ68" s="525"/>
      <c r="AK68" s="1154">
        <f t="shared" si="13"/>
        <v>0</v>
      </c>
      <c r="AL68" s="1155"/>
      <c r="AM68" s="1156"/>
      <c r="AN68" s="529"/>
      <c r="AO68" s="525"/>
      <c r="AP68" s="525">
        <f>'Malaria-Key Info'!$F$24*'HPM costs'!P501+'Malaria-Key Info'!$G$50*'HPM costs'!P510+'HPM costs'!P507+'HPM costs'!P525+'HPM costs'!P522</f>
        <v>0</v>
      </c>
      <c r="AQ68" s="525"/>
      <c r="AR68" s="525">
        <f>'Malaria-Key Info'!$F$24*'HPM costs'!Q501+'Malaria-Key Info'!$G$50*'HPM costs'!Q510+'HPM costs'!Q507+'HPM costs'!Q525+'HPM costs'!Q522</f>
        <v>0</v>
      </c>
      <c r="AS68" s="525"/>
      <c r="AT68" s="525">
        <f>'Malaria-Key Info'!$F$24*'HPM costs'!R501+'Malaria-Key Info'!$G$50*'HPM costs'!R510+'HPM costs'!R507+'HPM costs'!R525+'HPM costs'!R522</f>
        <v>0</v>
      </c>
      <c r="AU68" s="525"/>
      <c r="AV68" s="525">
        <f>'Malaria-Key Info'!$F$24*'HPM costs'!S501+'Malaria-Key Info'!$G$50*'HPM costs'!S510+'HPM costs'!S507+'HPM costs'!S525+'HPM costs'!S522</f>
        <v>0</v>
      </c>
      <c r="AW68" s="525"/>
      <c r="AX68" s="1154">
        <f t="shared" si="14"/>
        <v>0</v>
      </c>
      <c r="AY68" s="1154"/>
      <c r="AZ68" s="528"/>
      <c r="BA68" s="529"/>
      <c r="BB68" s="527"/>
      <c r="BC68" s="527">
        <v>0</v>
      </c>
      <c r="BD68" s="527">
        <v>0</v>
      </c>
      <c r="BE68" s="527">
        <v>0</v>
      </c>
      <c r="BF68" s="527">
        <v>0</v>
      </c>
      <c r="BG68" s="527">
        <v>0</v>
      </c>
      <c r="BH68" s="527">
        <v>0</v>
      </c>
      <c r="BI68" s="527">
        <v>0</v>
      </c>
      <c r="BJ68" s="527">
        <v>0</v>
      </c>
      <c r="BK68" s="1154">
        <f t="shared" si="15"/>
        <v>0</v>
      </c>
      <c r="BL68" s="1154"/>
      <c r="BM68" s="1154">
        <f t="shared" si="16"/>
        <v>0</v>
      </c>
      <c r="BN68" s="1154">
        <f t="shared" si="17"/>
        <v>0</v>
      </c>
      <c r="BO68" s="527"/>
      <c r="BP68" s="527"/>
      <c r="BQ68" s="1157">
        <v>0</v>
      </c>
      <c r="BR68" s="1157" t="s">
        <v>19</v>
      </c>
      <c r="BS68" s="1157" t="s">
        <v>527</v>
      </c>
      <c r="BT68" s="1376" t="s">
        <v>1368</v>
      </c>
    </row>
    <row r="69" spans="1:72" s="512" customFormat="1" ht="13" hidden="1">
      <c r="A69" s="1204">
        <v>80</v>
      </c>
      <c r="B69" s="1205" t="s">
        <v>598</v>
      </c>
      <c r="C69" s="1205" t="s">
        <v>599</v>
      </c>
      <c r="D69" s="1206" t="s">
        <v>527</v>
      </c>
      <c r="E69" s="1386" t="s">
        <v>536</v>
      </c>
      <c r="F69" s="521"/>
      <c r="G69" s="522"/>
      <c r="H69" s="522"/>
      <c r="I69" s="522"/>
      <c r="J69" s="523"/>
      <c r="K69" s="523"/>
      <c r="L69" s="523"/>
      <c r="M69" s="524"/>
      <c r="N69" s="525"/>
      <c r="O69" s="526" t="s">
        <v>1237</v>
      </c>
      <c r="P69" s="525">
        <f>'Malaria-Key Info'!$F$24*'HPM costs'!F241+'Malaria-Key Info'!$G$50*'HPM costs'!F250+'HPM costs'!F247+'HPM costs'!F265+'HPM costs'!F262+'Malaria-Key Info'!$F$24*'HPM costs'!F587+'Malaria-Key Info'!$G$50*'HPM costs'!F596+'HPM costs'!F593+'HPM costs'!F611+'HPM costs'!F608</f>
        <v>0</v>
      </c>
      <c r="Q69" s="525" t="s">
        <v>1237</v>
      </c>
      <c r="R69" s="525">
        <f>'Malaria-Key Info'!$F$24*'HPM costs'!G241+'Malaria-Key Info'!$G$50*'HPM costs'!G250+'HPM costs'!G247+'HPM costs'!G265+'HPM costs'!G262+'Malaria-Key Info'!$F$24*'HPM costs'!G587+'Malaria-Key Info'!$G$50*'HPM costs'!G596+'HPM costs'!G593+'HPM costs'!G611+'HPM costs'!G608</f>
        <v>0</v>
      </c>
      <c r="S69" s="525" t="s">
        <v>1237</v>
      </c>
      <c r="T69" s="525">
        <f>'Malaria-Key Info'!$F$24*'HPM costs'!H241+'Malaria-Key Info'!$G$50*'HPM costs'!H250+'HPM costs'!H247+'HPM costs'!H265+'HPM costs'!H262+'Malaria-Key Info'!$F$24*'HPM costs'!H587+'Malaria-Key Info'!$G$50*'HPM costs'!H596+'HPM costs'!H593+'HPM costs'!H611+'HPM costs'!H608</f>
        <v>0</v>
      </c>
      <c r="U69" s="525" t="s">
        <v>1237</v>
      </c>
      <c r="V69" s="525">
        <f>'Malaria-Key Info'!$F$24*'HPM costs'!I241+'Malaria-Key Info'!$G$50*'HPM costs'!I250+'HPM costs'!I247+'HPM costs'!I265+'HPM costs'!I262+'Malaria-Key Info'!$F$24*'HPM costs'!I587+'Malaria-Key Info'!$G$50*'HPM costs'!I596+'HPM costs'!I593+'HPM costs'!I611+'HPM costs'!I608</f>
        <v>0</v>
      </c>
      <c r="W69" s="525"/>
      <c r="X69" s="1154">
        <f t="shared" si="12"/>
        <v>0</v>
      </c>
      <c r="Y69" s="1155"/>
      <c r="Z69" s="1156"/>
      <c r="AA69" s="529"/>
      <c r="AB69" s="525"/>
      <c r="AC69" s="525">
        <f>'Malaria-Key Info'!$F$24*'HPM costs'!K241+'Malaria-Key Info'!$G$50*'HPM costs'!K250+'HPM costs'!K247+'HPM costs'!K265+'HPM costs'!K262+'Malaria-Key Info'!$F$24*'HPM costs'!K587+'Malaria-Key Info'!$G$50*'HPM costs'!K596+'HPM costs'!K593+'HPM costs'!K611+'HPM costs'!K608</f>
        <v>0</v>
      </c>
      <c r="AD69" s="525"/>
      <c r="AE69" s="525">
        <f>'Malaria-Key Info'!$F$24*'HPM costs'!L241+'Malaria-Key Info'!$G$50*'HPM costs'!L250+'HPM costs'!L247+'HPM costs'!L265+'HPM costs'!L262+'Malaria-Key Info'!$F$24*'HPM costs'!L587+'Malaria-Key Info'!$G$50*'HPM costs'!L596+'HPM costs'!L593+'HPM costs'!L611+'HPM costs'!L608</f>
        <v>0</v>
      </c>
      <c r="AF69" s="525"/>
      <c r="AG69" s="525">
        <f>'Malaria-Key Info'!$F$24*'HPM costs'!M241+'Malaria-Key Info'!$G$50*'HPM costs'!M250+'HPM costs'!M247+'HPM costs'!M265+'HPM costs'!M262+'Malaria-Key Info'!$F$24*'HPM costs'!M587+'Malaria-Key Info'!$G$50*'HPM costs'!M596+'HPM costs'!M593+'HPM costs'!M611+'HPM costs'!M608</f>
        <v>0</v>
      </c>
      <c r="AH69" s="525"/>
      <c r="AI69" s="525">
        <f>'Malaria-Key Info'!$F$24*'HPM costs'!N241+'Malaria-Key Info'!$G$50*'HPM costs'!N250+'HPM costs'!N247+'HPM costs'!N265+'HPM costs'!N262+'Malaria-Key Info'!$F$24*'HPM costs'!N587+'Malaria-Key Info'!$G$50*'HPM costs'!N596+'HPM costs'!N593+'HPM costs'!N611+'HPM costs'!N608</f>
        <v>0</v>
      </c>
      <c r="AJ69" s="525"/>
      <c r="AK69" s="1154">
        <f t="shared" si="13"/>
        <v>0</v>
      </c>
      <c r="AL69" s="1155"/>
      <c r="AM69" s="1156"/>
      <c r="AN69" s="529"/>
      <c r="AO69" s="525"/>
      <c r="AP69" s="525">
        <f>'Malaria-Key Info'!$F$24*'HPM costs'!P241+'Malaria-Key Info'!$G$50*'HPM costs'!P250+'HPM costs'!P247+'HPM costs'!P265+'HPM costs'!P262+'Malaria-Key Info'!$F$24*'HPM costs'!P587+'Malaria-Key Info'!$G$50*'HPM costs'!P596+'HPM costs'!P593+'HPM costs'!P611+'HPM costs'!P608</f>
        <v>0</v>
      </c>
      <c r="AQ69" s="525"/>
      <c r="AR69" s="525">
        <f>'Malaria-Key Info'!$F$24*'HPM costs'!Q241+'Malaria-Key Info'!$G$50*'HPM costs'!Q250+'HPM costs'!Q247+'HPM costs'!Q265+'HPM costs'!Q262+'Malaria-Key Info'!$F$24*'HPM costs'!Q587+'Malaria-Key Info'!$G$50*'HPM costs'!Q596+'HPM costs'!Q593+'HPM costs'!Q611+'HPM costs'!Q608</f>
        <v>0</v>
      </c>
      <c r="AS69" s="525"/>
      <c r="AT69" s="525">
        <f>'Malaria-Key Info'!$F$24*'HPM costs'!R241+'Malaria-Key Info'!$G$50*'HPM costs'!R250+'HPM costs'!R247+'HPM costs'!R265+'HPM costs'!R262+'Malaria-Key Info'!$F$24*'HPM costs'!R587+'Malaria-Key Info'!$G$50*'HPM costs'!R596+'HPM costs'!R593+'HPM costs'!R611+'HPM costs'!R608</f>
        <v>0</v>
      </c>
      <c r="AU69" s="525"/>
      <c r="AV69" s="525">
        <f>'Malaria-Key Info'!$F$24*'HPM costs'!S241+'Malaria-Key Info'!$G$50*'HPM costs'!S250+'HPM costs'!S247+'HPM costs'!S265+'HPM costs'!S262+'Malaria-Key Info'!$F$24*'HPM costs'!S587+'Malaria-Key Info'!$G$50*'HPM costs'!S596+'HPM costs'!S593+'HPM costs'!S611+'HPM costs'!S608</f>
        <v>0</v>
      </c>
      <c r="AW69" s="525"/>
      <c r="AX69" s="1154">
        <f t="shared" si="14"/>
        <v>0</v>
      </c>
      <c r="AY69" s="1154"/>
      <c r="AZ69" s="528"/>
      <c r="BA69" s="529"/>
      <c r="BB69" s="527"/>
      <c r="BC69" s="527">
        <v>0</v>
      </c>
      <c r="BD69" s="527">
        <v>0</v>
      </c>
      <c r="BE69" s="527">
        <v>0</v>
      </c>
      <c r="BF69" s="527">
        <v>0</v>
      </c>
      <c r="BG69" s="527">
        <v>0</v>
      </c>
      <c r="BH69" s="527">
        <v>0</v>
      </c>
      <c r="BI69" s="527">
        <v>0</v>
      </c>
      <c r="BJ69" s="527">
        <v>0</v>
      </c>
      <c r="BK69" s="1154">
        <f t="shared" si="15"/>
        <v>0</v>
      </c>
      <c r="BL69" s="1154"/>
      <c r="BM69" s="1154">
        <f t="shared" si="16"/>
        <v>0</v>
      </c>
      <c r="BN69" s="1154">
        <f t="shared" si="17"/>
        <v>0</v>
      </c>
      <c r="BO69" s="527"/>
      <c r="BP69" s="527"/>
      <c r="BQ69" s="1157">
        <v>0</v>
      </c>
      <c r="BR69" s="1157" t="s">
        <v>19</v>
      </c>
      <c r="BS69" s="1157" t="s">
        <v>527</v>
      </c>
      <c r="BT69" s="1376" t="s">
        <v>1369</v>
      </c>
    </row>
    <row r="70" spans="1:72" s="512" customFormat="1" ht="13" hidden="1">
      <c r="A70" s="1204">
        <v>81</v>
      </c>
      <c r="B70" s="1205" t="s">
        <v>598</v>
      </c>
      <c r="C70" s="1205" t="s">
        <v>599</v>
      </c>
      <c r="D70" s="1206" t="s">
        <v>527</v>
      </c>
      <c r="E70" s="1386" t="s">
        <v>538</v>
      </c>
      <c r="F70" s="521"/>
      <c r="G70" s="522"/>
      <c r="H70" s="522"/>
      <c r="I70" s="522"/>
      <c r="J70" s="523"/>
      <c r="K70" s="523"/>
      <c r="L70" s="523"/>
      <c r="M70" s="524"/>
      <c r="N70" s="525"/>
      <c r="O70" s="526" t="s">
        <v>1237</v>
      </c>
      <c r="P70" s="525">
        <f>'Malaria-Key Info'!$F$24*'HPM costs'!F327+'Malaria-Key Info'!$G$50*'HPM costs'!F336+'HPM costs'!F333+'HPM costs'!F351+'HPM costs'!F348</f>
        <v>0</v>
      </c>
      <c r="Q70" s="525" t="s">
        <v>1237</v>
      </c>
      <c r="R70" s="525">
        <f>'Malaria-Key Info'!$F$24*'HPM costs'!G327+'Malaria-Key Info'!$G$50*'HPM costs'!G336+'HPM costs'!G333+'HPM costs'!G351+'HPM costs'!G348</f>
        <v>0</v>
      </c>
      <c r="S70" s="525" t="s">
        <v>1237</v>
      </c>
      <c r="T70" s="525">
        <f>'Malaria-Key Info'!$F$24*'HPM costs'!H327+'Malaria-Key Info'!$G$50*'HPM costs'!H336+'HPM costs'!H333+'HPM costs'!H351+'HPM costs'!H348</f>
        <v>0</v>
      </c>
      <c r="U70" s="525" t="s">
        <v>1237</v>
      </c>
      <c r="V70" s="525">
        <f>'Malaria-Key Info'!$F$24*'HPM costs'!I327+'Malaria-Key Info'!$G$50*'HPM costs'!I336+'HPM costs'!I333+'HPM costs'!I351+'HPM costs'!I348</f>
        <v>0</v>
      </c>
      <c r="W70" s="525"/>
      <c r="X70" s="1154">
        <f t="shared" si="12"/>
        <v>0</v>
      </c>
      <c r="Y70" s="1155"/>
      <c r="Z70" s="1156"/>
      <c r="AA70" s="529"/>
      <c r="AB70" s="525"/>
      <c r="AC70" s="525">
        <f>'Malaria-Key Info'!$F$24*'HPM costs'!K327+'Malaria-Key Info'!$G$50*'HPM costs'!K336+'HPM costs'!K333+'HPM costs'!K351+'HPM costs'!K348</f>
        <v>0</v>
      </c>
      <c r="AD70" s="525"/>
      <c r="AE70" s="525">
        <f>'Malaria-Key Info'!$F$24*'HPM costs'!L327+'Malaria-Key Info'!$G$50*'HPM costs'!L336+'HPM costs'!L333+'HPM costs'!L351+'HPM costs'!L348</f>
        <v>0</v>
      </c>
      <c r="AF70" s="525"/>
      <c r="AG70" s="525">
        <f>'Malaria-Key Info'!$F$24*'HPM costs'!M327+'Malaria-Key Info'!$G$50*'HPM costs'!M336+'HPM costs'!M333+'HPM costs'!M351+'HPM costs'!M348</f>
        <v>0</v>
      </c>
      <c r="AH70" s="525"/>
      <c r="AI70" s="525">
        <f>'Malaria-Key Info'!$F$24*'HPM costs'!N327+'Malaria-Key Info'!$G$50*'HPM costs'!N336+'HPM costs'!N333+'HPM costs'!N351+'HPM costs'!N348</f>
        <v>0</v>
      </c>
      <c r="AJ70" s="525"/>
      <c r="AK70" s="1154">
        <f t="shared" si="13"/>
        <v>0</v>
      </c>
      <c r="AL70" s="1155"/>
      <c r="AM70" s="1156"/>
      <c r="AN70" s="529"/>
      <c r="AO70" s="525"/>
      <c r="AP70" s="525">
        <f>'Malaria-Key Info'!$F$24*'HPM costs'!P327+'Malaria-Key Info'!$G$50*'HPM costs'!P336+'HPM costs'!P333+'HPM costs'!P351+'HPM costs'!P348</f>
        <v>0</v>
      </c>
      <c r="AQ70" s="525"/>
      <c r="AR70" s="525">
        <f>'Malaria-Key Info'!$F$24*'HPM costs'!Q327+'Malaria-Key Info'!$G$50*'HPM costs'!Q336+'HPM costs'!Q333+'HPM costs'!Q351+'HPM costs'!Q348</f>
        <v>0</v>
      </c>
      <c r="AS70" s="525"/>
      <c r="AT70" s="525">
        <f>'Malaria-Key Info'!$F$24*'HPM costs'!R327+'Malaria-Key Info'!$G$50*'HPM costs'!R336+'HPM costs'!R333+'HPM costs'!R351+'HPM costs'!R348</f>
        <v>0</v>
      </c>
      <c r="AU70" s="525"/>
      <c r="AV70" s="525">
        <f>'Malaria-Key Info'!$F$24*'HPM costs'!S327+'Malaria-Key Info'!$G$50*'HPM costs'!S336+'HPM costs'!S333+'HPM costs'!S351+'HPM costs'!S348</f>
        <v>0</v>
      </c>
      <c r="AW70" s="525"/>
      <c r="AX70" s="1154">
        <f t="shared" si="14"/>
        <v>0</v>
      </c>
      <c r="AY70" s="1154"/>
      <c r="AZ70" s="528"/>
      <c r="BA70" s="529"/>
      <c r="BB70" s="527"/>
      <c r="BC70" s="527">
        <v>0</v>
      </c>
      <c r="BD70" s="527">
        <v>0</v>
      </c>
      <c r="BE70" s="527">
        <v>0</v>
      </c>
      <c r="BF70" s="527">
        <v>0</v>
      </c>
      <c r="BG70" s="527">
        <v>0</v>
      </c>
      <c r="BH70" s="527">
        <v>0</v>
      </c>
      <c r="BI70" s="527">
        <v>0</v>
      </c>
      <c r="BJ70" s="527">
        <v>0</v>
      </c>
      <c r="BK70" s="1154">
        <f t="shared" si="15"/>
        <v>0</v>
      </c>
      <c r="BL70" s="1154"/>
      <c r="BM70" s="1154">
        <f t="shared" si="16"/>
        <v>0</v>
      </c>
      <c r="BN70" s="1154">
        <f t="shared" si="17"/>
        <v>0</v>
      </c>
      <c r="BO70" s="527"/>
      <c r="BP70" s="527"/>
      <c r="BQ70" s="1157">
        <v>0</v>
      </c>
      <c r="BR70" s="1157" t="s">
        <v>19</v>
      </c>
      <c r="BS70" s="1157" t="s">
        <v>527</v>
      </c>
      <c r="BT70" s="1376" t="s">
        <v>1370</v>
      </c>
    </row>
    <row r="71" spans="1:72" s="512" customFormat="1" ht="13" hidden="1">
      <c r="A71" s="1204">
        <v>82</v>
      </c>
      <c r="B71" s="1205" t="s">
        <v>598</v>
      </c>
      <c r="C71" s="1205" t="s">
        <v>599</v>
      </c>
      <c r="D71" s="1206" t="s">
        <v>527</v>
      </c>
      <c r="E71" s="1386" t="s">
        <v>540</v>
      </c>
      <c r="F71" s="521"/>
      <c r="G71" s="522"/>
      <c r="H71" s="522"/>
      <c r="I71" s="522"/>
      <c r="J71" s="523"/>
      <c r="K71" s="523"/>
      <c r="L71" s="523"/>
      <c r="M71" s="524"/>
      <c r="N71" s="525"/>
      <c r="O71" s="526" t="s">
        <v>1237</v>
      </c>
      <c r="P71" s="525">
        <f>'Malaria-Key Info'!$F$24*'HPM costs'!F672+'Malaria-Key Info'!$G$50*'HPM costs'!F681+'HPM costs'!F678+'HPM costs'!F696+'HPM costs'!F693</f>
        <v>0</v>
      </c>
      <c r="Q71" s="525" t="s">
        <v>1237</v>
      </c>
      <c r="R71" s="525">
        <f>'Malaria-Key Info'!$F$24*'HPM costs'!G672+'Malaria-Key Info'!$G$50*'HPM costs'!G681+'HPM costs'!G678+'HPM costs'!G696+'HPM costs'!G693</f>
        <v>0</v>
      </c>
      <c r="S71" s="525" t="s">
        <v>1237</v>
      </c>
      <c r="T71" s="525">
        <f>'Malaria-Key Info'!$F$24*'HPM costs'!H672+'Malaria-Key Info'!$G$50*'HPM costs'!H681+'HPM costs'!H678+'HPM costs'!H696+'HPM costs'!H693</f>
        <v>0</v>
      </c>
      <c r="U71" s="525" t="s">
        <v>1237</v>
      </c>
      <c r="V71" s="525">
        <f>'Malaria-Key Info'!$F$24*'HPM costs'!I672+'Malaria-Key Info'!$G$50*'HPM costs'!I681+'HPM costs'!I678+'HPM costs'!I696+'HPM costs'!I693</f>
        <v>0</v>
      </c>
      <c r="W71" s="525"/>
      <c r="X71" s="1154">
        <f t="shared" si="12"/>
        <v>0</v>
      </c>
      <c r="Y71" s="1155"/>
      <c r="Z71" s="1156"/>
      <c r="AA71" s="529"/>
      <c r="AB71" s="525"/>
      <c r="AC71" s="525">
        <f>'Malaria-Key Info'!$F$24*'HPM costs'!K672+'Malaria-Key Info'!$G$50*'HPM costs'!K681+'HPM costs'!K678+'HPM costs'!K696+'HPM costs'!K693</f>
        <v>0</v>
      </c>
      <c r="AD71" s="525"/>
      <c r="AE71" s="525">
        <f>'Malaria-Key Info'!$F$24*'HPM costs'!L672+'Malaria-Key Info'!$G$50*'HPM costs'!L681+'HPM costs'!L678+'HPM costs'!L696+'HPM costs'!L693</f>
        <v>0</v>
      </c>
      <c r="AF71" s="525"/>
      <c r="AG71" s="525">
        <f>'Malaria-Key Info'!$F$24*'HPM costs'!M672+'Malaria-Key Info'!$G$50*'HPM costs'!M681+'HPM costs'!M678+'HPM costs'!M696+'HPM costs'!M693</f>
        <v>0</v>
      </c>
      <c r="AH71" s="525"/>
      <c r="AI71" s="525">
        <f>'Malaria-Key Info'!$F$24*'HPM costs'!N672+'Malaria-Key Info'!$G$50*'HPM costs'!N681+'HPM costs'!N678+'HPM costs'!N696+'HPM costs'!N693</f>
        <v>0</v>
      </c>
      <c r="AJ71" s="525"/>
      <c r="AK71" s="1154">
        <f t="shared" si="13"/>
        <v>0</v>
      </c>
      <c r="AL71" s="1155"/>
      <c r="AM71" s="1156"/>
      <c r="AN71" s="529"/>
      <c r="AO71" s="525"/>
      <c r="AP71" s="525">
        <f>'Malaria-Key Info'!$F$24*'HPM costs'!P672+'Malaria-Key Info'!$G$50*'HPM costs'!P681+'HPM costs'!P678+'HPM costs'!P696+'HPM costs'!P693</f>
        <v>0</v>
      </c>
      <c r="AQ71" s="525"/>
      <c r="AR71" s="525">
        <f>'Malaria-Key Info'!$F$24*'HPM costs'!Q672+'Malaria-Key Info'!$G$50*'HPM costs'!Q681+'HPM costs'!Q678+'HPM costs'!Q696+'HPM costs'!Q693</f>
        <v>0</v>
      </c>
      <c r="AS71" s="525"/>
      <c r="AT71" s="525">
        <f>'Malaria-Key Info'!$F$24*'HPM costs'!R672+'Malaria-Key Info'!$G$50*'HPM costs'!R681+'HPM costs'!R678+'HPM costs'!R696+'HPM costs'!R693</f>
        <v>0</v>
      </c>
      <c r="AU71" s="525"/>
      <c r="AV71" s="525">
        <f>'Malaria-Key Info'!$F$24*'HPM costs'!S672+'Malaria-Key Info'!$G$50*'HPM costs'!S681+'HPM costs'!S678+'HPM costs'!S696+'HPM costs'!S693</f>
        <v>0</v>
      </c>
      <c r="AW71" s="525"/>
      <c r="AX71" s="1154">
        <f t="shared" si="14"/>
        <v>0</v>
      </c>
      <c r="AY71" s="1154"/>
      <c r="AZ71" s="528"/>
      <c r="BA71" s="529"/>
      <c r="BB71" s="527"/>
      <c r="BC71" s="527">
        <v>0</v>
      </c>
      <c r="BD71" s="527">
        <v>0</v>
      </c>
      <c r="BE71" s="527">
        <v>0</v>
      </c>
      <c r="BF71" s="527">
        <v>0</v>
      </c>
      <c r="BG71" s="527">
        <v>0</v>
      </c>
      <c r="BH71" s="527">
        <v>0</v>
      </c>
      <c r="BI71" s="527">
        <v>0</v>
      </c>
      <c r="BJ71" s="527">
        <v>0</v>
      </c>
      <c r="BK71" s="1154">
        <f t="shared" si="15"/>
        <v>0</v>
      </c>
      <c r="BL71" s="1154"/>
      <c r="BM71" s="1154">
        <f t="shared" si="16"/>
        <v>0</v>
      </c>
      <c r="BN71" s="1154">
        <f t="shared" si="17"/>
        <v>0</v>
      </c>
      <c r="BO71" s="527"/>
      <c r="BP71" s="527"/>
      <c r="BQ71" s="1157">
        <v>0</v>
      </c>
      <c r="BR71" s="1157" t="s">
        <v>19</v>
      </c>
      <c r="BS71" s="1157" t="s">
        <v>527</v>
      </c>
      <c r="BT71" s="1376" t="s">
        <v>1371</v>
      </c>
    </row>
    <row r="72" spans="1:72" s="512" customFormat="1" ht="13" hidden="1">
      <c r="A72" s="1204">
        <v>83</v>
      </c>
      <c r="B72" s="1205" t="s">
        <v>598</v>
      </c>
      <c r="C72" s="1205" t="s">
        <v>606</v>
      </c>
      <c r="D72" s="1206" t="s">
        <v>2562</v>
      </c>
      <c r="E72" s="1386" t="s">
        <v>600</v>
      </c>
      <c r="F72" s="521"/>
      <c r="G72" s="522"/>
      <c r="H72" s="522"/>
      <c r="I72" s="522"/>
      <c r="J72" s="523"/>
      <c r="K72" s="523"/>
      <c r="L72" s="523"/>
      <c r="M72" s="524"/>
      <c r="N72" s="525"/>
      <c r="O72" s="526" t="s">
        <v>1237</v>
      </c>
      <c r="P72" s="525">
        <f>('Malaria-Key Info'!$F$25*'HPM costs'!F155)/'HPM costs'!$E$155</f>
        <v>0</v>
      </c>
      <c r="Q72" s="525" t="s">
        <v>1237</v>
      </c>
      <c r="R72" s="525">
        <f>('Malaria-Key Info'!$F$25*'HPM costs'!G155)/'HPM costs'!$E$155</f>
        <v>0</v>
      </c>
      <c r="S72" s="525" t="s">
        <v>1237</v>
      </c>
      <c r="T72" s="525">
        <f>('Malaria-Key Info'!$F$25*'HPM costs'!H155)/'HPM costs'!$E$155</f>
        <v>0</v>
      </c>
      <c r="U72" s="525" t="s">
        <v>1237</v>
      </c>
      <c r="V72" s="525">
        <f>('Malaria-Key Info'!$F$25*'HPM costs'!I155)/'HPM costs'!$E$155</f>
        <v>0</v>
      </c>
      <c r="W72" s="525"/>
      <c r="X72" s="1154">
        <f t="shared" si="12"/>
        <v>0</v>
      </c>
      <c r="Y72" s="1155"/>
      <c r="Z72" s="1156"/>
      <c r="AA72" s="529"/>
      <c r="AB72" s="525"/>
      <c r="AC72" s="525">
        <f>('Malaria-Key Info'!$F$25*'HPM costs'!K155)/'HPM costs'!$E$155</f>
        <v>0</v>
      </c>
      <c r="AD72" s="525"/>
      <c r="AE72" s="525">
        <f>('Malaria-Key Info'!$F$25*'HPM costs'!L155)/'HPM costs'!$E$155</f>
        <v>0</v>
      </c>
      <c r="AF72" s="525"/>
      <c r="AG72" s="525">
        <f>('Malaria-Key Info'!$F$25*'HPM costs'!M155)/'HPM costs'!$E$155</f>
        <v>0</v>
      </c>
      <c r="AH72" s="525"/>
      <c r="AI72" s="525">
        <f>('Malaria-Key Info'!$F$25*'HPM costs'!N155)/'HPM costs'!$E$155</f>
        <v>0</v>
      </c>
      <c r="AJ72" s="525"/>
      <c r="AK72" s="1154">
        <f t="shared" si="13"/>
        <v>0</v>
      </c>
      <c r="AL72" s="1155"/>
      <c r="AM72" s="1156"/>
      <c r="AN72" s="529"/>
      <c r="AO72" s="525"/>
      <c r="AP72" s="525">
        <f>('Malaria-Key Info'!$F$25*'HPM costs'!P155)/'HPM costs'!$E$155</f>
        <v>0</v>
      </c>
      <c r="AQ72" s="525"/>
      <c r="AR72" s="525">
        <f>('Malaria-Key Info'!$F$25*'HPM costs'!Q155)/'HPM costs'!$E$155</f>
        <v>0</v>
      </c>
      <c r="AS72" s="525"/>
      <c r="AT72" s="525">
        <f>('Malaria-Key Info'!$F$25*'HPM costs'!R155)/'HPM costs'!$E$155</f>
        <v>0</v>
      </c>
      <c r="AU72" s="525"/>
      <c r="AV72" s="525">
        <f>('Malaria-Key Info'!$F$25*'HPM costs'!S155)/'HPM costs'!$E$155</f>
        <v>0</v>
      </c>
      <c r="AW72" s="525"/>
      <c r="AX72" s="1154">
        <f t="shared" si="14"/>
        <v>0</v>
      </c>
      <c r="AY72" s="1154"/>
      <c r="AZ72" s="528"/>
      <c r="BA72" s="529"/>
      <c r="BB72" s="527"/>
      <c r="BC72" s="527">
        <v>0</v>
      </c>
      <c r="BD72" s="527">
        <v>0</v>
      </c>
      <c r="BE72" s="527">
        <v>0</v>
      </c>
      <c r="BF72" s="527">
        <v>0</v>
      </c>
      <c r="BG72" s="527">
        <v>0</v>
      </c>
      <c r="BH72" s="527">
        <v>0</v>
      </c>
      <c r="BI72" s="527">
        <v>0</v>
      </c>
      <c r="BJ72" s="527">
        <v>0</v>
      </c>
      <c r="BK72" s="1154">
        <f t="shared" si="15"/>
        <v>0</v>
      </c>
      <c r="BL72" s="1154"/>
      <c r="BM72" s="1154">
        <f t="shared" si="16"/>
        <v>0</v>
      </c>
      <c r="BN72" s="1154">
        <f t="shared" si="17"/>
        <v>0</v>
      </c>
      <c r="BO72" s="527"/>
      <c r="BP72" s="527"/>
      <c r="BQ72" s="1157">
        <v>0</v>
      </c>
      <c r="BR72" s="1157" t="s">
        <v>19</v>
      </c>
      <c r="BS72" s="1157" t="s">
        <v>2562</v>
      </c>
      <c r="BT72" s="1376" t="s">
        <v>607</v>
      </c>
    </row>
    <row r="73" spans="1:72" s="512" customFormat="1" ht="13" hidden="1">
      <c r="A73" s="1204">
        <v>84</v>
      </c>
      <c r="B73" s="1205" t="s">
        <v>598</v>
      </c>
      <c r="C73" s="1205" t="s">
        <v>606</v>
      </c>
      <c r="D73" s="1206" t="s">
        <v>602</v>
      </c>
      <c r="E73" s="1386" t="s">
        <v>603</v>
      </c>
      <c r="F73" s="521"/>
      <c r="G73" s="522"/>
      <c r="H73" s="522"/>
      <c r="I73" s="522"/>
      <c r="J73" s="523"/>
      <c r="K73" s="523"/>
      <c r="L73" s="523"/>
      <c r="M73" s="524" t="e">
        <f>X73/W73</f>
        <v>#DIV/0!</v>
      </c>
      <c r="N73" s="525"/>
      <c r="O73" s="526" t="s">
        <v>1237</v>
      </c>
      <c r="P73" s="525">
        <f>('Malaria-Key Info'!$J$50*'HPM costs'!F164)/'HPM costs'!$E$164</f>
        <v>0</v>
      </c>
      <c r="Q73" s="525" t="s">
        <v>1237</v>
      </c>
      <c r="R73" s="525">
        <f>('Malaria-Key Info'!$J$50*'HPM costs'!G164)/'HPM costs'!$E$164</f>
        <v>0</v>
      </c>
      <c r="S73" s="525" t="s">
        <v>1237</v>
      </c>
      <c r="T73" s="525">
        <f>('Malaria-Key Info'!$J$50*'HPM costs'!H164)/'HPM costs'!$E$164</f>
        <v>0</v>
      </c>
      <c r="U73" s="525" t="s">
        <v>1237</v>
      </c>
      <c r="V73" s="525">
        <f>('Malaria-Key Info'!$J$50*'HPM costs'!I164)/'HPM costs'!$E$164</f>
        <v>0</v>
      </c>
      <c r="W73" s="525"/>
      <c r="X73" s="1154">
        <f t="shared" si="12"/>
        <v>0</v>
      </c>
      <c r="Y73" s="1155"/>
      <c r="Z73" s="1156"/>
      <c r="AA73" s="529"/>
      <c r="AB73" s="525"/>
      <c r="AC73" s="525">
        <f>('Malaria-Key Info'!$J$50*'HPM costs'!K164)/'HPM costs'!$E$164</f>
        <v>0</v>
      </c>
      <c r="AD73" s="525"/>
      <c r="AE73" s="525">
        <f>('Malaria-Key Info'!$J$50*'HPM costs'!L164)/'HPM costs'!$E$164</f>
        <v>0</v>
      </c>
      <c r="AF73" s="525"/>
      <c r="AG73" s="525">
        <f>('Malaria-Key Info'!$J$50*'HPM costs'!M164)/'HPM costs'!$E$164</f>
        <v>0</v>
      </c>
      <c r="AH73" s="525"/>
      <c r="AI73" s="525">
        <f>('Malaria-Key Info'!$J$50*'HPM costs'!N164)/'HPM costs'!$E$164</f>
        <v>0</v>
      </c>
      <c r="AJ73" s="525"/>
      <c r="AK73" s="1154">
        <f t="shared" si="13"/>
        <v>0</v>
      </c>
      <c r="AL73" s="1155"/>
      <c r="AM73" s="1156"/>
      <c r="AN73" s="529"/>
      <c r="AO73" s="525"/>
      <c r="AP73" s="525">
        <f>('Malaria-Key Info'!$J$50*'HPM costs'!P164)/'HPM costs'!$E$164</f>
        <v>0</v>
      </c>
      <c r="AQ73" s="525"/>
      <c r="AR73" s="525">
        <f>('Malaria-Key Info'!$J$50*'HPM costs'!Q164)/'HPM costs'!$E$164</f>
        <v>0</v>
      </c>
      <c r="AS73" s="525"/>
      <c r="AT73" s="525">
        <f>('Malaria-Key Info'!$J$50*'HPM costs'!R164)/'HPM costs'!$E$164</f>
        <v>0</v>
      </c>
      <c r="AU73" s="525"/>
      <c r="AV73" s="525">
        <f>('Malaria-Key Info'!$J$50*'HPM costs'!S164)/'HPM costs'!$E$164</f>
        <v>0</v>
      </c>
      <c r="AW73" s="525"/>
      <c r="AX73" s="1154">
        <f t="shared" si="14"/>
        <v>0</v>
      </c>
      <c r="AY73" s="1154"/>
      <c r="AZ73" s="528"/>
      <c r="BA73" s="529"/>
      <c r="BB73" s="527"/>
      <c r="BC73" s="527">
        <v>0</v>
      </c>
      <c r="BD73" s="527">
        <v>0</v>
      </c>
      <c r="BE73" s="527">
        <v>0</v>
      </c>
      <c r="BF73" s="527">
        <v>0</v>
      </c>
      <c r="BG73" s="527">
        <v>0</v>
      </c>
      <c r="BH73" s="527">
        <v>0</v>
      </c>
      <c r="BI73" s="527">
        <v>0</v>
      </c>
      <c r="BJ73" s="527">
        <v>0</v>
      </c>
      <c r="BK73" s="1154">
        <f t="shared" si="15"/>
        <v>0</v>
      </c>
      <c r="BL73" s="1154"/>
      <c r="BM73" s="1154">
        <f t="shared" si="16"/>
        <v>0</v>
      </c>
      <c r="BN73" s="1154">
        <f t="shared" si="17"/>
        <v>0</v>
      </c>
      <c r="BO73" s="527"/>
      <c r="BP73" s="527"/>
      <c r="BQ73" s="1157">
        <v>0</v>
      </c>
      <c r="BR73" s="1157" t="s">
        <v>19</v>
      </c>
      <c r="BS73" s="1157" t="s">
        <v>602</v>
      </c>
      <c r="BT73" s="1376" t="s">
        <v>608</v>
      </c>
    </row>
    <row r="74" spans="1:72" s="512" customFormat="1" ht="13" hidden="1">
      <c r="A74" s="1204">
        <v>85</v>
      </c>
      <c r="B74" s="1205" t="s">
        <v>598</v>
      </c>
      <c r="C74" s="1205" t="s">
        <v>606</v>
      </c>
      <c r="D74" s="1206" t="s">
        <v>527</v>
      </c>
      <c r="E74" s="1386" t="s">
        <v>528</v>
      </c>
      <c r="F74" s="521"/>
      <c r="G74" s="522"/>
      <c r="H74" s="522"/>
      <c r="I74" s="522"/>
      <c r="J74" s="523"/>
      <c r="K74" s="523"/>
      <c r="L74" s="523"/>
      <c r="M74" s="524"/>
      <c r="N74" s="525"/>
      <c r="O74" s="526" t="s">
        <v>1237</v>
      </c>
      <c r="P74" s="525">
        <f>'Malaria-Key Info'!$F$25*'HPM costs'!F69+'Malaria-Key Info'!$J$50*'HPM costs'!F78</f>
        <v>0</v>
      </c>
      <c r="Q74" s="525" t="s">
        <v>1237</v>
      </c>
      <c r="R74" s="525">
        <f>'Malaria-Key Info'!$F$25*'HPM costs'!G69+'Malaria-Key Info'!$J$50*'HPM costs'!G78</f>
        <v>0</v>
      </c>
      <c r="S74" s="525" t="s">
        <v>1237</v>
      </c>
      <c r="T74" s="525">
        <f>'Malaria-Key Info'!$F$25*'HPM costs'!H69+'Malaria-Key Info'!$J$50*'HPM costs'!H78</f>
        <v>0</v>
      </c>
      <c r="U74" s="525" t="s">
        <v>1237</v>
      </c>
      <c r="V74" s="525">
        <f>'Malaria-Key Info'!$F$25*'HPM costs'!I69+'Malaria-Key Info'!$J$50*'HPM costs'!I78</f>
        <v>0</v>
      </c>
      <c r="W74" s="525"/>
      <c r="X74" s="1154">
        <f t="shared" si="12"/>
        <v>0</v>
      </c>
      <c r="Y74" s="1155"/>
      <c r="Z74" s="1156"/>
      <c r="AA74" s="529"/>
      <c r="AB74" s="525"/>
      <c r="AC74" s="525">
        <f>'Malaria-Key Info'!$F$25*'HPM costs'!K69+'Malaria-Key Info'!$J$50*'HPM costs'!K78</f>
        <v>0</v>
      </c>
      <c r="AD74" s="525"/>
      <c r="AE74" s="525">
        <f>'Malaria-Key Info'!$F$25*'HPM costs'!L69+'Malaria-Key Info'!$J$50*'HPM costs'!L78</f>
        <v>0</v>
      </c>
      <c r="AF74" s="525"/>
      <c r="AG74" s="525">
        <f>'Malaria-Key Info'!$F$25*'HPM costs'!M69+'Malaria-Key Info'!$J$50*'HPM costs'!M78</f>
        <v>0</v>
      </c>
      <c r="AH74" s="525"/>
      <c r="AI74" s="525">
        <f>'Malaria-Key Info'!$F$25*'HPM costs'!N69+'Malaria-Key Info'!$J$50*'HPM costs'!N78</f>
        <v>0</v>
      </c>
      <c r="AJ74" s="525"/>
      <c r="AK74" s="1154">
        <f t="shared" si="13"/>
        <v>0</v>
      </c>
      <c r="AL74" s="1155"/>
      <c r="AM74" s="1156"/>
      <c r="AN74" s="529"/>
      <c r="AO74" s="525"/>
      <c r="AP74" s="525">
        <f>'Malaria-Key Info'!$F$25*'HPM costs'!P69+'Malaria-Key Info'!$J$50*'HPM costs'!P78</f>
        <v>0</v>
      </c>
      <c r="AQ74" s="525"/>
      <c r="AR74" s="525">
        <f>'Malaria-Key Info'!$F$25*'HPM costs'!Q69+'Malaria-Key Info'!$J$50*'HPM costs'!Q78</f>
        <v>0</v>
      </c>
      <c r="AS74" s="525"/>
      <c r="AT74" s="525">
        <f>'Malaria-Key Info'!$F$25*'HPM costs'!R69+'Malaria-Key Info'!$J$50*'HPM costs'!R78</f>
        <v>0</v>
      </c>
      <c r="AU74" s="525"/>
      <c r="AV74" s="525">
        <f>'Malaria-Key Info'!$F$25*'HPM costs'!S69+'Malaria-Key Info'!$J$50*'HPM costs'!S78</f>
        <v>0</v>
      </c>
      <c r="AW74" s="525"/>
      <c r="AX74" s="1154">
        <f t="shared" si="14"/>
        <v>0</v>
      </c>
      <c r="AY74" s="1154"/>
      <c r="AZ74" s="528"/>
      <c r="BA74" s="529"/>
      <c r="BB74" s="527"/>
      <c r="BC74" s="527">
        <v>0</v>
      </c>
      <c r="BD74" s="527">
        <v>0</v>
      </c>
      <c r="BE74" s="527">
        <v>0</v>
      </c>
      <c r="BF74" s="527">
        <v>0</v>
      </c>
      <c r="BG74" s="527">
        <v>0</v>
      </c>
      <c r="BH74" s="527">
        <v>0</v>
      </c>
      <c r="BI74" s="527">
        <v>0</v>
      </c>
      <c r="BJ74" s="527">
        <v>0</v>
      </c>
      <c r="BK74" s="1154">
        <f t="shared" si="15"/>
        <v>0</v>
      </c>
      <c r="BL74" s="1154"/>
      <c r="BM74" s="1154">
        <f t="shared" si="16"/>
        <v>0</v>
      </c>
      <c r="BN74" s="1154">
        <f t="shared" si="17"/>
        <v>0</v>
      </c>
      <c r="BO74" s="527"/>
      <c r="BP74" s="527"/>
      <c r="BQ74" s="1157">
        <v>0</v>
      </c>
      <c r="BR74" s="1157" t="s">
        <v>19</v>
      </c>
      <c r="BS74" s="1157" t="s">
        <v>527</v>
      </c>
      <c r="BT74" s="1376" t="s">
        <v>1372</v>
      </c>
    </row>
    <row r="75" spans="1:72" s="512" customFormat="1" ht="13" hidden="1">
      <c r="A75" s="1204">
        <v>86</v>
      </c>
      <c r="B75" s="1205" t="s">
        <v>598</v>
      </c>
      <c r="C75" s="1205" t="s">
        <v>606</v>
      </c>
      <c r="D75" s="1206" t="s">
        <v>527</v>
      </c>
      <c r="E75" s="1386" t="s">
        <v>530</v>
      </c>
      <c r="F75" s="521"/>
      <c r="G75" s="522"/>
      <c r="H75" s="522"/>
      <c r="I75" s="522"/>
      <c r="J75" s="523"/>
      <c r="K75" s="523"/>
      <c r="L75" s="523"/>
      <c r="M75" s="524"/>
      <c r="N75" s="525"/>
      <c r="O75" s="526" t="s">
        <v>1237</v>
      </c>
      <c r="P75" s="525">
        <f>'Malaria-Key Info'!$F$25*'HPM costs'!F155+'Malaria-Key Info'!$J$50*'HPM costs'!F164</f>
        <v>0</v>
      </c>
      <c r="Q75" s="525" t="s">
        <v>1237</v>
      </c>
      <c r="R75" s="525">
        <f>'Malaria-Key Info'!$F$25*'HPM costs'!G155+'Malaria-Key Info'!$J$50*'HPM costs'!G164</f>
        <v>0</v>
      </c>
      <c r="S75" s="525" t="s">
        <v>1237</v>
      </c>
      <c r="T75" s="525">
        <f>'Malaria-Key Info'!$F$25*'HPM costs'!H155+'Malaria-Key Info'!$J$50*'HPM costs'!H164</f>
        <v>0</v>
      </c>
      <c r="U75" s="525" t="s">
        <v>1237</v>
      </c>
      <c r="V75" s="525">
        <f>'Malaria-Key Info'!$F$25*'HPM costs'!I155+'Malaria-Key Info'!$J$50*'HPM costs'!I164</f>
        <v>0</v>
      </c>
      <c r="W75" s="525"/>
      <c r="X75" s="1154">
        <f t="shared" si="12"/>
        <v>0</v>
      </c>
      <c r="Y75" s="1155"/>
      <c r="Z75" s="1156"/>
      <c r="AA75" s="529"/>
      <c r="AB75" s="525"/>
      <c r="AC75" s="525">
        <f>'Malaria-Key Info'!$F$25*'HPM costs'!K155+'Malaria-Key Info'!$J$50*'HPM costs'!K164</f>
        <v>0</v>
      </c>
      <c r="AD75" s="525"/>
      <c r="AE75" s="525">
        <f>'Malaria-Key Info'!$F$25*'HPM costs'!L155+'Malaria-Key Info'!$J$50*'HPM costs'!L164</f>
        <v>0</v>
      </c>
      <c r="AF75" s="525"/>
      <c r="AG75" s="525">
        <f>'Malaria-Key Info'!$F$25*'HPM costs'!M155+'Malaria-Key Info'!$J$50*'HPM costs'!M164</f>
        <v>0</v>
      </c>
      <c r="AH75" s="525"/>
      <c r="AI75" s="525">
        <f>'Malaria-Key Info'!$F$25*'HPM costs'!N155+'Malaria-Key Info'!$J$50*'HPM costs'!N164</f>
        <v>0</v>
      </c>
      <c r="AJ75" s="525"/>
      <c r="AK75" s="1154">
        <f t="shared" si="13"/>
        <v>0</v>
      </c>
      <c r="AL75" s="1155"/>
      <c r="AM75" s="1156"/>
      <c r="AN75" s="529"/>
      <c r="AO75" s="525"/>
      <c r="AP75" s="525">
        <f>'Malaria-Key Info'!$F$25*'HPM costs'!P155+'Malaria-Key Info'!$J$50*'HPM costs'!P164</f>
        <v>0</v>
      </c>
      <c r="AQ75" s="525"/>
      <c r="AR75" s="525">
        <f>'Malaria-Key Info'!$F$25*'HPM costs'!Q155+'Malaria-Key Info'!$J$50*'HPM costs'!Q164</f>
        <v>0</v>
      </c>
      <c r="AS75" s="525"/>
      <c r="AT75" s="525">
        <f>'Malaria-Key Info'!$F$25*'HPM costs'!R155+'Malaria-Key Info'!$J$50*'HPM costs'!R164</f>
        <v>0</v>
      </c>
      <c r="AU75" s="525"/>
      <c r="AV75" s="525">
        <f>'Malaria-Key Info'!$F$25*'HPM costs'!S155+'Malaria-Key Info'!$J$50*'HPM costs'!S164</f>
        <v>0</v>
      </c>
      <c r="AW75" s="525"/>
      <c r="AX75" s="1154">
        <f t="shared" si="14"/>
        <v>0</v>
      </c>
      <c r="AY75" s="1154"/>
      <c r="AZ75" s="528"/>
      <c r="BA75" s="529"/>
      <c r="BB75" s="527"/>
      <c r="BC75" s="527">
        <v>0</v>
      </c>
      <c r="BD75" s="527">
        <v>0</v>
      </c>
      <c r="BE75" s="527">
        <v>0</v>
      </c>
      <c r="BF75" s="527">
        <v>0</v>
      </c>
      <c r="BG75" s="527">
        <v>0</v>
      </c>
      <c r="BH75" s="527">
        <v>0</v>
      </c>
      <c r="BI75" s="527">
        <v>0</v>
      </c>
      <c r="BJ75" s="527">
        <v>0</v>
      </c>
      <c r="BK75" s="1154">
        <f t="shared" si="15"/>
        <v>0</v>
      </c>
      <c r="BL75" s="1154"/>
      <c r="BM75" s="1154">
        <f t="shared" si="16"/>
        <v>0</v>
      </c>
      <c r="BN75" s="1154">
        <f t="shared" si="17"/>
        <v>0</v>
      </c>
      <c r="BO75" s="527"/>
      <c r="BP75" s="527"/>
      <c r="BQ75" s="1157">
        <v>0</v>
      </c>
      <c r="BR75" s="1157" t="s">
        <v>19</v>
      </c>
      <c r="BS75" s="1157" t="s">
        <v>527</v>
      </c>
      <c r="BT75" s="1376" t="s">
        <v>1373</v>
      </c>
    </row>
    <row r="76" spans="1:72" s="512" customFormat="1" ht="13" hidden="1">
      <c r="A76" s="1204">
        <v>87</v>
      </c>
      <c r="B76" s="1205" t="s">
        <v>598</v>
      </c>
      <c r="C76" s="1205" t="s">
        <v>606</v>
      </c>
      <c r="D76" s="1206" t="s">
        <v>527</v>
      </c>
      <c r="E76" s="1386" t="s">
        <v>532</v>
      </c>
      <c r="F76" s="521"/>
      <c r="G76" s="522"/>
      <c r="H76" s="522"/>
      <c r="I76" s="522"/>
      <c r="J76" s="523"/>
      <c r="K76" s="523"/>
      <c r="L76" s="523"/>
      <c r="M76" s="524"/>
      <c r="N76" s="525"/>
      <c r="O76" s="526" t="s">
        <v>1237</v>
      </c>
      <c r="P76" s="525">
        <f>'Malaria-Key Info'!$F$25*'HPM costs'!F415+'Malaria-Key Info'!$J$50*'HPM costs'!F424</f>
        <v>0</v>
      </c>
      <c r="Q76" s="525" t="s">
        <v>1237</v>
      </c>
      <c r="R76" s="525">
        <f>'Malaria-Key Info'!$F$25*'HPM costs'!G415+'Malaria-Key Info'!$J$50*'HPM costs'!G424</f>
        <v>0</v>
      </c>
      <c r="S76" s="525" t="s">
        <v>1237</v>
      </c>
      <c r="T76" s="525">
        <f>'Malaria-Key Info'!$F$25*'HPM costs'!H415+'Malaria-Key Info'!$J$50*'HPM costs'!H424</f>
        <v>0</v>
      </c>
      <c r="U76" s="525" t="s">
        <v>1237</v>
      </c>
      <c r="V76" s="525">
        <f>'Malaria-Key Info'!$F$25*'HPM costs'!I415+'Malaria-Key Info'!$J$50*'HPM costs'!I424</f>
        <v>0</v>
      </c>
      <c r="W76" s="525"/>
      <c r="X76" s="1154">
        <f t="shared" si="12"/>
        <v>0</v>
      </c>
      <c r="Y76" s="1155"/>
      <c r="Z76" s="1156"/>
      <c r="AA76" s="529"/>
      <c r="AB76" s="525"/>
      <c r="AC76" s="525">
        <f>'Malaria-Key Info'!$F$25*'HPM costs'!K415+'Malaria-Key Info'!$J$50*'HPM costs'!K424</f>
        <v>0</v>
      </c>
      <c r="AD76" s="525"/>
      <c r="AE76" s="525">
        <f>'Malaria-Key Info'!$F$25*'HPM costs'!L415+'Malaria-Key Info'!$J$50*'HPM costs'!L424</f>
        <v>0</v>
      </c>
      <c r="AF76" s="525"/>
      <c r="AG76" s="525">
        <f>'Malaria-Key Info'!$F$25*'HPM costs'!M415+'Malaria-Key Info'!$J$50*'HPM costs'!M424</f>
        <v>0</v>
      </c>
      <c r="AH76" s="525"/>
      <c r="AI76" s="525">
        <f>'Malaria-Key Info'!$F$25*'HPM costs'!N415+'Malaria-Key Info'!$J$50*'HPM costs'!N424</f>
        <v>0</v>
      </c>
      <c r="AJ76" s="525"/>
      <c r="AK76" s="1154">
        <f t="shared" si="13"/>
        <v>0</v>
      </c>
      <c r="AL76" s="1155"/>
      <c r="AM76" s="1156"/>
      <c r="AN76" s="529"/>
      <c r="AO76" s="525"/>
      <c r="AP76" s="525">
        <f>'Malaria-Key Info'!$F$25*'HPM costs'!P415+'Malaria-Key Info'!$J$50*'HPM costs'!P424</f>
        <v>0</v>
      </c>
      <c r="AQ76" s="525"/>
      <c r="AR76" s="525">
        <f>'Malaria-Key Info'!$F$25*'HPM costs'!Q415+'Malaria-Key Info'!$J$50*'HPM costs'!Q424</f>
        <v>0</v>
      </c>
      <c r="AS76" s="525"/>
      <c r="AT76" s="525">
        <f>'Malaria-Key Info'!$F$25*'HPM costs'!R415+'Malaria-Key Info'!$J$50*'HPM costs'!R424</f>
        <v>0</v>
      </c>
      <c r="AU76" s="525"/>
      <c r="AV76" s="525">
        <f>'Malaria-Key Info'!$F$25*'HPM costs'!S415+'Malaria-Key Info'!$J$50*'HPM costs'!S424</f>
        <v>0</v>
      </c>
      <c r="AW76" s="525"/>
      <c r="AX76" s="1154">
        <f t="shared" si="14"/>
        <v>0</v>
      </c>
      <c r="AY76" s="1154"/>
      <c r="AZ76" s="528"/>
      <c r="BA76" s="529"/>
      <c r="BB76" s="527"/>
      <c r="BC76" s="527">
        <v>0</v>
      </c>
      <c r="BD76" s="527">
        <v>0</v>
      </c>
      <c r="BE76" s="527">
        <v>0</v>
      </c>
      <c r="BF76" s="527">
        <v>0</v>
      </c>
      <c r="BG76" s="527">
        <v>0</v>
      </c>
      <c r="BH76" s="527">
        <v>0</v>
      </c>
      <c r="BI76" s="527">
        <v>0</v>
      </c>
      <c r="BJ76" s="527">
        <v>0</v>
      </c>
      <c r="BK76" s="1154">
        <f t="shared" si="15"/>
        <v>0</v>
      </c>
      <c r="BL76" s="1154"/>
      <c r="BM76" s="1154">
        <f t="shared" si="16"/>
        <v>0</v>
      </c>
      <c r="BN76" s="1154">
        <f t="shared" si="17"/>
        <v>0</v>
      </c>
      <c r="BO76" s="527"/>
      <c r="BP76" s="527"/>
      <c r="BQ76" s="1157">
        <v>0</v>
      </c>
      <c r="BR76" s="1157" t="s">
        <v>19</v>
      </c>
      <c r="BS76" s="1157" t="s">
        <v>527</v>
      </c>
      <c r="BT76" s="1376" t="s">
        <v>1374</v>
      </c>
    </row>
    <row r="77" spans="1:72" s="512" customFormat="1" ht="13" hidden="1">
      <c r="A77" s="1204">
        <v>88</v>
      </c>
      <c r="B77" s="1205" t="s">
        <v>598</v>
      </c>
      <c r="C77" s="1205" t="s">
        <v>606</v>
      </c>
      <c r="D77" s="1206" t="s">
        <v>527</v>
      </c>
      <c r="E77" s="1386" t="s">
        <v>534</v>
      </c>
      <c r="F77" s="521"/>
      <c r="G77" s="522"/>
      <c r="H77" s="522"/>
      <c r="I77" s="522"/>
      <c r="J77" s="523"/>
      <c r="K77" s="523"/>
      <c r="L77" s="523"/>
      <c r="M77" s="524"/>
      <c r="N77" s="525"/>
      <c r="O77" s="526" t="s">
        <v>1237</v>
      </c>
      <c r="P77" s="525">
        <f>'Malaria-Key Info'!$F$25*'HPM costs'!F501+'Malaria-Key Info'!$J$50*'HPM costs'!F510</f>
        <v>0</v>
      </c>
      <c r="Q77" s="525" t="s">
        <v>1237</v>
      </c>
      <c r="R77" s="525">
        <f>'Malaria-Key Info'!$F$25*'HPM costs'!G501+'Malaria-Key Info'!$J$50*'HPM costs'!G510</f>
        <v>0</v>
      </c>
      <c r="S77" s="525" t="s">
        <v>1237</v>
      </c>
      <c r="T77" s="525">
        <f>'Malaria-Key Info'!$F$25*'HPM costs'!H501+'Malaria-Key Info'!$J$50*'HPM costs'!H510</f>
        <v>0</v>
      </c>
      <c r="U77" s="525" t="s">
        <v>1237</v>
      </c>
      <c r="V77" s="525">
        <f>'Malaria-Key Info'!$F$25*'HPM costs'!I501+'Malaria-Key Info'!$J$50*'HPM costs'!I510</f>
        <v>0</v>
      </c>
      <c r="W77" s="525"/>
      <c r="X77" s="1154">
        <f t="shared" si="12"/>
        <v>0</v>
      </c>
      <c r="Y77" s="1155"/>
      <c r="Z77" s="1156"/>
      <c r="AA77" s="529"/>
      <c r="AB77" s="525"/>
      <c r="AC77" s="525">
        <f>'Malaria-Key Info'!$F$25*'HPM costs'!K501+'Malaria-Key Info'!$J$50*'HPM costs'!K510</f>
        <v>0</v>
      </c>
      <c r="AD77" s="525"/>
      <c r="AE77" s="525">
        <f>'Malaria-Key Info'!$F$25*'HPM costs'!L501+'Malaria-Key Info'!$J$50*'HPM costs'!L510</f>
        <v>0</v>
      </c>
      <c r="AF77" s="525"/>
      <c r="AG77" s="525">
        <f>'Malaria-Key Info'!$F$25*'HPM costs'!M501+'Malaria-Key Info'!$J$50*'HPM costs'!M510</f>
        <v>0</v>
      </c>
      <c r="AH77" s="525"/>
      <c r="AI77" s="525">
        <f>'Malaria-Key Info'!$F$25*'HPM costs'!N501+'Malaria-Key Info'!$J$50*'HPM costs'!N510</f>
        <v>0</v>
      </c>
      <c r="AJ77" s="525"/>
      <c r="AK77" s="1154">
        <f t="shared" si="13"/>
        <v>0</v>
      </c>
      <c r="AL77" s="1155"/>
      <c r="AM77" s="1156"/>
      <c r="AN77" s="529"/>
      <c r="AO77" s="525"/>
      <c r="AP77" s="525">
        <f>'Malaria-Key Info'!$F$25*'HPM costs'!P501+'Malaria-Key Info'!$J$50*'HPM costs'!P510</f>
        <v>0</v>
      </c>
      <c r="AQ77" s="525"/>
      <c r="AR77" s="525">
        <f>'Malaria-Key Info'!$F$25*'HPM costs'!Q501+'Malaria-Key Info'!$J$50*'HPM costs'!Q510</f>
        <v>0</v>
      </c>
      <c r="AS77" s="525"/>
      <c r="AT77" s="525">
        <f>'Malaria-Key Info'!$F$25*'HPM costs'!R501+'Malaria-Key Info'!$J$50*'HPM costs'!R510</f>
        <v>0</v>
      </c>
      <c r="AU77" s="525"/>
      <c r="AV77" s="525">
        <f>'Malaria-Key Info'!$F$25*'HPM costs'!S501+'Malaria-Key Info'!$J$50*'HPM costs'!S510</f>
        <v>0</v>
      </c>
      <c r="AW77" s="525"/>
      <c r="AX77" s="1154">
        <f t="shared" si="14"/>
        <v>0</v>
      </c>
      <c r="AY77" s="1154"/>
      <c r="AZ77" s="528"/>
      <c r="BA77" s="529"/>
      <c r="BB77" s="527"/>
      <c r="BC77" s="527">
        <v>0</v>
      </c>
      <c r="BD77" s="527">
        <v>0</v>
      </c>
      <c r="BE77" s="527">
        <v>0</v>
      </c>
      <c r="BF77" s="527">
        <v>0</v>
      </c>
      <c r="BG77" s="527">
        <v>0</v>
      </c>
      <c r="BH77" s="527">
        <v>0</v>
      </c>
      <c r="BI77" s="527">
        <v>0</v>
      </c>
      <c r="BJ77" s="527">
        <v>0</v>
      </c>
      <c r="BK77" s="1154">
        <f t="shared" si="15"/>
        <v>0</v>
      </c>
      <c r="BL77" s="1154"/>
      <c r="BM77" s="1154">
        <f t="shared" si="16"/>
        <v>0</v>
      </c>
      <c r="BN77" s="1154">
        <f t="shared" si="17"/>
        <v>0</v>
      </c>
      <c r="BO77" s="527"/>
      <c r="BP77" s="527"/>
      <c r="BQ77" s="1157">
        <v>0</v>
      </c>
      <c r="BR77" s="1157" t="s">
        <v>19</v>
      </c>
      <c r="BS77" s="1157" t="s">
        <v>527</v>
      </c>
      <c r="BT77" s="1376" t="s">
        <v>1375</v>
      </c>
    </row>
    <row r="78" spans="1:72" s="512" customFormat="1" ht="13" hidden="1">
      <c r="A78" s="1204">
        <v>89</v>
      </c>
      <c r="B78" s="1205" t="s">
        <v>598</v>
      </c>
      <c r="C78" s="1205" t="s">
        <v>606</v>
      </c>
      <c r="D78" s="1206" t="s">
        <v>527</v>
      </c>
      <c r="E78" s="1386" t="s">
        <v>536</v>
      </c>
      <c r="F78" s="521"/>
      <c r="G78" s="522"/>
      <c r="H78" s="522"/>
      <c r="I78" s="522"/>
      <c r="J78" s="523"/>
      <c r="K78" s="523"/>
      <c r="L78" s="523"/>
      <c r="M78" s="524"/>
      <c r="N78" s="525"/>
      <c r="O78" s="526" t="s">
        <v>1237</v>
      </c>
      <c r="P78" s="525">
        <f>'Malaria-Key Info'!$F$25*('HPM costs'!F241+'HPM costs'!F587)+'Malaria-Key Info'!$J$50*('HPM costs'!F250+'HPM costs'!F596)</f>
        <v>0</v>
      </c>
      <c r="Q78" s="525" t="s">
        <v>1237</v>
      </c>
      <c r="R78" s="525">
        <f>'Malaria-Key Info'!$F$25*('HPM costs'!G241+'HPM costs'!G587)+'Malaria-Key Info'!$J$50*('HPM costs'!G250+'HPM costs'!G596)</f>
        <v>0</v>
      </c>
      <c r="S78" s="525" t="s">
        <v>1237</v>
      </c>
      <c r="T78" s="525">
        <f>'Malaria-Key Info'!$F$25*('HPM costs'!H241+'HPM costs'!H587)+'Malaria-Key Info'!$J$50*('HPM costs'!H250+'HPM costs'!H596)</f>
        <v>0</v>
      </c>
      <c r="U78" s="525" t="s">
        <v>1237</v>
      </c>
      <c r="V78" s="525">
        <f>'Malaria-Key Info'!$F$25*('HPM costs'!I241+'HPM costs'!I587)+'Malaria-Key Info'!$J$50*('HPM costs'!I250+'HPM costs'!I596)</f>
        <v>0</v>
      </c>
      <c r="W78" s="525"/>
      <c r="X78" s="1154">
        <f t="shared" si="12"/>
        <v>0</v>
      </c>
      <c r="Y78" s="1155"/>
      <c r="Z78" s="1156"/>
      <c r="AA78" s="529"/>
      <c r="AB78" s="525"/>
      <c r="AC78" s="525">
        <f>'Malaria-Key Info'!$F$25*('HPM costs'!K241+'HPM costs'!K587)+'Malaria-Key Info'!$J$50*('HPM costs'!K250+'HPM costs'!K596)</f>
        <v>0</v>
      </c>
      <c r="AD78" s="525"/>
      <c r="AE78" s="525">
        <f>'Malaria-Key Info'!$F$25*('HPM costs'!L241+'HPM costs'!L587)+'Malaria-Key Info'!$J$50*('HPM costs'!L250+'HPM costs'!L596)</f>
        <v>0</v>
      </c>
      <c r="AF78" s="525"/>
      <c r="AG78" s="525">
        <f>'Malaria-Key Info'!$F$25*('HPM costs'!M241+'HPM costs'!M587)+'Malaria-Key Info'!$J$50*('HPM costs'!M250+'HPM costs'!M596)</f>
        <v>0</v>
      </c>
      <c r="AH78" s="525"/>
      <c r="AI78" s="525">
        <f>'Malaria-Key Info'!$F$25*('HPM costs'!N241+'HPM costs'!N587)+'Malaria-Key Info'!$J$50*('HPM costs'!N250+'HPM costs'!N596)</f>
        <v>0</v>
      </c>
      <c r="AJ78" s="525"/>
      <c r="AK78" s="1154">
        <f t="shared" si="13"/>
        <v>0</v>
      </c>
      <c r="AL78" s="1155"/>
      <c r="AM78" s="1156"/>
      <c r="AN78" s="529"/>
      <c r="AO78" s="525"/>
      <c r="AP78" s="525">
        <f>'Malaria-Key Info'!$F$25*('HPM costs'!P241+'HPM costs'!P587)+'Malaria-Key Info'!$J$50*('HPM costs'!P250+'HPM costs'!P596)</f>
        <v>0</v>
      </c>
      <c r="AQ78" s="525"/>
      <c r="AR78" s="525">
        <f>'Malaria-Key Info'!$F$25*('HPM costs'!Q241+'HPM costs'!Q587)+'Malaria-Key Info'!$J$50*('HPM costs'!Q250+'HPM costs'!Q596)</f>
        <v>0</v>
      </c>
      <c r="AS78" s="525"/>
      <c r="AT78" s="525">
        <f>'Malaria-Key Info'!$F$25*('HPM costs'!R241+'HPM costs'!R587)+'Malaria-Key Info'!$J$50*('HPM costs'!R250+'HPM costs'!R596)</f>
        <v>0</v>
      </c>
      <c r="AU78" s="525"/>
      <c r="AV78" s="525">
        <f>'Malaria-Key Info'!$F$25*('HPM costs'!S241+'HPM costs'!S587)+'Malaria-Key Info'!$J$50*('HPM costs'!S250+'HPM costs'!S596)</f>
        <v>0</v>
      </c>
      <c r="AW78" s="525"/>
      <c r="AX78" s="1154">
        <f t="shared" si="14"/>
        <v>0</v>
      </c>
      <c r="AY78" s="1154"/>
      <c r="AZ78" s="528"/>
      <c r="BA78" s="529"/>
      <c r="BB78" s="527"/>
      <c r="BC78" s="527">
        <v>0</v>
      </c>
      <c r="BD78" s="527">
        <v>0</v>
      </c>
      <c r="BE78" s="527">
        <v>0</v>
      </c>
      <c r="BF78" s="527">
        <v>0</v>
      </c>
      <c r="BG78" s="527">
        <v>0</v>
      </c>
      <c r="BH78" s="527">
        <v>0</v>
      </c>
      <c r="BI78" s="527">
        <v>0</v>
      </c>
      <c r="BJ78" s="527">
        <v>0</v>
      </c>
      <c r="BK78" s="1154">
        <f t="shared" si="15"/>
        <v>0</v>
      </c>
      <c r="BL78" s="1154"/>
      <c r="BM78" s="1154">
        <f t="shared" si="16"/>
        <v>0</v>
      </c>
      <c r="BN78" s="1154">
        <f t="shared" si="17"/>
        <v>0</v>
      </c>
      <c r="BO78" s="527"/>
      <c r="BP78" s="527"/>
      <c r="BQ78" s="1157">
        <v>0</v>
      </c>
      <c r="BR78" s="1157" t="s">
        <v>19</v>
      </c>
      <c r="BS78" s="1157" t="s">
        <v>527</v>
      </c>
      <c r="BT78" s="1376" t="s">
        <v>1376</v>
      </c>
    </row>
    <row r="79" spans="1:72" s="512" customFormat="1" ht="13" hidden="1">
      <c r="A79" s="1204">
        <v>90</v>
      </c>
      <c r="B79" s="1205" t="s">
        <v>598</v>
      </c>
      <c r="C79" s="1205" t="s">
        <v>606</v>
      </c>
      <c r="D79" s="1206" t="s">
        <v>527</v>
      </c>
      <c r="E79" s="1386" t="s">
        <v>538</v>
      </c>
      <c r="F79" s="521"/>
      <c r="G79" s="522"/>
      <c r="H79" s="522"/>
      <c r="I79" s="522"/>
      <c r="J79" s="523"/>
      <c r="K79" s="523"/>
      <c r="L79" s="523"/>
      <c r="M79" s="524" t="e">
        <f>X79/W79</f>
        <v>#DIV/0!</v>
      </c>
      <c r="N79" s="525" t="e">
        <f>IF(M79&lt;&gt;"",M79/VLOOKUP($K79,SETUP!$C$28:$D$42,2,0),"")</f>
        <v>#DIV/0!</v>
      </c>
      <c r="O79" s="526" t="s">
        <v>1237</v>
      </c>
      <c r="P79" s="525">
        <f>'Malaria-Key Info'!$F$25*'HPM costs'!F327+'Malaria-Key Info'!$J$50*'HPM costs'!F336</f>
        <v>0</v>
      </c>
      <c r="Q79" s="525" t="s">
        <v>1237</v>
      </c>
      <c r="R79" s="525">
        <f>'Malaria-Key Info'!$F$25*'HPM costs'!G327+'Malaria-Key Info'!$J$50*'HPM costs'!G336</f>
        <v>0</v>
      </c>
      <c r="S79" s="525" t="s">
        <v>1237</v>
      </c>
      <c r="T79" s="525">
        <f>'Malaria-Key Info'!$F$25*'HPM costs'!H327+'Malaria-Key Info'!$J$50*'HPM costs'!H336</f>
        <v>0</v>
      </c>
      <c r="U79" s="525" t="s">
        <v>1237</v>
      </c>
      <c r="V79" s="525">
        <f>'Malaria-Key Info'!$F$25*'HPM costs'!I327+'Malaria-Key Info'!$J$50*'HPM costs'!I336</f>
        <v>0</v>
      </c>
      <c r="W79" s="525"/>
      <c r="X79" s="1154">
        <f t="shared" si="12"/>
        <v>0</v>
      </c>
      <c r="Y79" s="1155"/>
      <c r="Z79" s="1156"/>
      <c r="AA79" s="529"/>
      <c r="AB79" s="525"/>
      <c r="AC79" s="525">
        <f>'Malaria-Key Info'!$F$25*'HPM costs'!K327+'Malaria-Key Info'!$J$50*'HPM costs'!K336</f>
        <v>0</v>
      </c>
      <c r="AD79" s="525"/>
      <c r="AE79" s="525">
        <f>'Malaria-Key Info'!$F$25*'HPM costs'!L327+'Malaria-Key Info'!$J$50*'HPM costs'!L336</f>
        <v>0</v>
      </c>
      <c r="AF79" s="525"/>
      <c r="AG79" s="525">
        <f>'Malaria-Key Info'!$F$25*'HPM costs'!M327+'Malaria-Key Info'!$J$50*'HPM costs'!M336</f>
        <v>0</v>
      </c>
      <c r="AH79" s="525"/>
      <c r="AI79" s="525">
        <f>'Malaria-Key Info'!$F$25*'HPM costs'!N327+'Malaria-Key Info'!$J$50*'HPM costs'!N336</f>
        <v>0</v>
      </c>
      <c r="AJ79" s="525"/>
      <c r="AK79" s="1154">
        <f t="shared" si="13"/>
        <v>0</v>
      </c>
      <c r="AL79" s="1155"/>
      <c r="AM79" s="1156"/>
      <c r="AN79" s="529"/>
      <c r="AO79" s="525"/>
      <c r="AP79" s="525">
        <f>'Malaria-Key Info'!$F$25*'HPM costs'!P327+'Malaria-Key Info'!$J$50*'HPM costs'!P336</f>
        <v>0</v>
      </c>
      <c r="AQ79" s="525"/>
      <c r="AR79" s="525">
        <f>'Malaria-Key Info'!$F$25*'HPM costs'!Q327+'Malaria-Key Info'!$J$50*'HPM costs'!Q336</f>
        <v>0</v>
      </c>
      <c r="AS79" s="525"/>
      <c r="AT79" s="525">
        <f>'Malaria-Key Info'!$F$25*'HPM costs'!R327+'Malaria-Key Info'!$J$50*'HPM costs'!R336</f>
        <v>0</v>
      </c>
      <c r="AU79" s="525"/>
      <c r="AV79" s="525">
        <f>'Malaria-Key Info'!$F$25*'HPM costs'!S327+'Malaria-Key Info'!$J$50*'HPM costs'!S336</f>
        <v>0</v>
      </c>
      <c r="AW79" s="525"/>
      <c r="AX79" s="1154">
        <f t="shared" si="14"/>
        <v>0</v>
      </c>
      <c r="AY79" s="1154"/>
      <c r="AZ79" s="528"/>
      <c r="BA79" s="529"/>
      <c r="BB79" s="527"/>
      <c r="BC79" s="527">
        <v>0</v>
      </c>
      <c r="BD79" s="527">
        <v>0</v>
      </c>
      <c r="BE79" s="527">
        <v>0</v>
      </c>
      <c r="BF79" s="527">
        <v>0</v>
      </c>
      <c r="BG79" s="527">
        <v>0</v>
      </c>
      <c r="BH79" s="527">
        <v>0</v>
      </c>
      <c r="BI79" s="527">
        <v>0</v>
      </c>
      <c r="BJ79" s="527">
        <v>0</v>
      </c>
      <c r="BK79" s="1154">
        <f t="shared" si="15"/>
        <v>0</v>
      </c>
      <c r="BL79" s="1154"/>
      <c r="BM79" s="1154">
        <f t="shared" si="16"/>
        <v>0</v>
      </c>
      <c r="BN79" s="1154">
        <f t="shared" si="17"/>
        <v>0</v>
      </c>
      <c r="BO79" s="527"/>
      <c r="BP79" s="527"/>
      <c r="BQ79" s="1157">
        <v>0</v>
      </c>
      <c r="BR79" s="1157" t="s">
        <v>19</v>
      </c>
      <c r="BS79" s="1157" t="s">
        <v>527</v>
      </c>
      <c r="BT79" s="1376" t="s">
        <v>1377</v>
      </c>
    </row>
    <row r="80" spans="1:72" s="512" customFormat="1" ht="13" hidden="1">
      <c r="A80" s="1204">
        <v>91</v>
      </c>
      <c r="B80" s="1205" t="s">
        <v>598</v>
      </c>
      <c r="C80" s="1205" t="s">
        <v>606</v>
      </c>
      <c r="D80" s="1206" t="s">
        <v>527</v>
      </c>
      <c r="E80" s="1386" t="s">
        <v>540</v>
      </c>
      <c r="F80" s="521"/>
      <c r="G80" s="522"/>
      <c r="H80" s="522"/>
      <c r="I80" s="522"/>
      <c r="J80" s="523"/>
      <c r="K80" s="523"/>
      <c r="L80" s="523"/>
      <c r="M80" s="524"/>
      <c r="N80" s="525"/>
      <c r="O80" s="526" t="s">
        <v>1237</v>
      </c>
      <c r="P80" s="525">
        <f>'Malaria-Key Info'!$F$25*'HPM costs'!F672+'Malaria-Key Info'!$J$50*'HPM costs'!F681</f>
        <v>0</v>
      </c>
      <c r="Q80" s="525" t="s">
        <v>1237</v>
      </c>
      <c r="R80" s="525">
        <f>'Malaria-Key Info'!$F$25*'HPM costs'!G672+'Malaria-Key Info'!$J$50*'HPM costs'!G681</f>
        <v>0</v>
      </c>
      <c r="S80" s="525" t="s">
        <v>1237</v>
      </c>
      <c r="T80" s="525">
        <f>'Malaria-Key Info'!$F$25*'HPM costs'!H672+'Malaria-Key Info'!$J$50*'HPM costs'!H681</f>
        <v>0</v>
      </c>
      <c r="U80" s="525" t="s">
        <v>1237</v>
      </c>
      <c r="V80" s="525">
        <f>'Malaria-Key Info'!$F$25*'HPM costs'!I672+'Malaria-Key Info'!$J$50*'HPM costs'!I681</f>
        <v>0</v>
      </c>
      <c r="W80" s="525"/>
      <c r="X80" s="1154">
        <f t="shared" si="12"/>
        <v>0</v>
      </c>
      <c r="Y80" s="1155"/>
      <c r="Z80" s="1156"/>
      <c r="AA80" s="529"/>
      <c r="AB80" s="525"/>
      <c r="AC80" s="525">
        <f>'Malaria-Key Info'!$F$25*'HPM costs'!K672+'Malaria-Key Info'!$J$50*'HPM costs'!K681</f>
        <v>0</v>
      </c>
      <c r="AD80" s="525"/>
      <c r="AE80" s="525">
        <f>'Malaria-Key Info'!$F$25*'HPM costs'!L672+'Malaria-Key Info'!$J$50*'HPM costs'!L681</f>
        <v>0</v>
      </c>
      <c r="AF80" s="525"/>
      <c r="AG80" s="525">
        <f>'Malaria-Key Info'!$F$25*'HPM costs'!M672+'Malaria-Key Info'!$J$50*'HPM costs'!M681</f>
        <v>0</v>
      </c>
      <c r="AH80" s="525"/>
      <c r="AI80" s="525">
        <f>'Malaria-Key Info'!$F$25*'HPM costs'!N672+'Malaria-Key Info'!$J$50*'HPM costs'!N681</f>
        <v>0</v>
      </c>
      <c r="AJ80" s="525"/>
      <c r="AK80" s="1154">
        <f t="shared" si="13"/>
        <v>0</v>
      </c>
      <c r="AL80" s="1155"/>
      <c r="AM80" s="1156"/>
      <c r="AN80" s="529"/>
      <c r="AO80" s="525"/>
      <c r="AP80" s="525">
        <f>'Malaria-Key Info'!$F$25*'HPM costs'!P672+'Malaria-Key Info'!$J$50*'HPM costs'!P681</f>
        <v>0</v>
      </c>
      <c r="AQ80" s="525"/>
      <c r="AR80" s="525">
        <f>'Malaria-Key Info'!$F$25*'HPM costs'!Q672+'Malaria-Key Info'!$J$50*'HPM costs'!Q681</f>
        <v>0</v>
      </c>
      <c r="AS80" s="525"/>
      <c r="AT80" s="525">
        <f>'Malaria-Key Info'!$F$25*'HPM costs'!R672+'Malaria-Key Info'!$J$50*'HPM costs'!R681</f>
        <v>0</v>
      </c>
      <c r="AU80" s="525"/>
      <c r="AV80" s="525">
        <f>'Malaria-Key Info'!$F$25*'HPM costs'!S672+'Malaria-Key Info'!$J$50*'HPM costs'!S681</f>
        <v>0</v>
      </c>
      <c r="AW80" s="525"/>
      <c r="AX80" s="1154">
        <f t="shared" si="14"/>
        <v>0</v>
      </c>
      <c r="AY80" s="1154"/>
      <c r="AZ80" s="528"/>
      <c r="BA80" s="529"/>
      <c r="BB80" s="527"/>
      <c r="BC80" s="527">
        <v>0</v>
      </c>
      <c r="BD80" s="527">
        <v>0</v>
      </c>
      <c r="BE80" s="527">
        <v>0</v>
      </c>
      <c r="BF80" s="527">
        <v>0</v>
      </c>
      <c r="BG80" s="527">
        <v>0</v>
      </c>
      <c r="BH80" s="527">
        <v>0</v>
      </c>
      <c r="BI80" s="527">
        <v>0</v>
      </c>
      <c r="BJ80" s="527">
        <v>0</v>
      </c>
      <c r="BK80" s="1154">
        <f t="shared" si="15"/>
        <v>0</v>
      </c>
      <c r="BL80" s="1154"/>
      <c r="BM80" s="1154">
        <f t="shared" si="16"/>
        <v>0</v>
      </c>
      <c r="BN80" s="1154">
        <f t="shared" si="17"/>
        <v>0</v>
      </c>
      <c r="BO80" s="527"/>
      <c r="BP80" s="527"/>
      <c r="BQ80" s="1157">
        <v>0</v>
      </c>
      <c r="BR80" s="1157" t="s">
        <v>19</v>
      </c>
      <c r="BS80" s="1157" t="s">
        <v>527</v>
      </c>
      <c r="BT80" s="1376" t="s">
        <v>1378</v>
      </c>
    </row>
    <row r="81" spans="1:72" s="512" customFormat="1" ht="13" hidden="1">
      <c r="A81" s="1204">
        <v>92</v>
      </c>
      <c r="B81" s="1205" t="s">
        <v>598</v>
      </c>
      <c r="C81" s="1205" t="s">
        <v>609</v>
      </c>
      <c r="D81" s="1206" t="s">
        <v>2562</v>
      </c>
      <c r="E81" s="1386" t="s">
        <v>600</v>
      </c>
      <c r="F81" s="521"/>
      <c r="G81" s="522"/>
      <c r="H81" s="522"/>
      <c r="I81" s="522"/>
      <c r="J81" s="523"/>
      <c r="K81" s="523"/>
      <c r="L81" s="523"/>
      <c r="M81" s="524"/>
      <c r="N81" s="525"/>
      <c r="O81" s="526" t="s">
        <v>1237</v>
      </c>
      <c r="P81" s="525">
        <f>('Malaria-Key Info'!$F$26*'HPM costs'!F155)/'HPM costs'!$E$155</f>
        <v>0</v>
      </c>
      <c r="Q81" s="525" t="s">
        <v>1237</v>
      </c>
      <c r="R81" s="525">
        <f>('Malaria-Key Info'!$F$26*'HPM costs'!G155)/'HPM costs'!$E$155</f>
        <v>0</v>
      </c>
      <c r="S81" s="525" t="s">
        <v>1237</v>
      </c>
      <c r="T81" s="525">
        <f>('Malaria-Key Info'!$F$26*'HPM costs'!H155)/'HPM costs'!$E$155</f>
        <v>0</v>
      </c>
      <c r="U81" s="525" t="s">
        <v>1237</v>
      </c>
      <c r="V81" s="525">
        <f>('Malaria-Key Info'!$F$26*'HPM costs'!I155)/'HPM costs'!$E$155</f>
        <v>0</v>
      </c>
      <c r="W81" s="525"/>
      <c r="X81" s="1154">
        <f t="shared" si="12"/>
        <v>0</v>
      </c>
      <c r="Y81" s="1155"/>
      <c r="Z81" s="1156"/>
      <c r="AA81" s="529"/>
      <c r="AB81" s="525"/>
      <c r="AC81" s="525">
        <f>('Malaria-Key Info'!$F$26*'HPM costs'!K155)/'HPM costs'!$E$155</f>
        <v>0</v>
      </c>
      <c r="AD81" s="525"/>
      <c r="AE81" s="525">
        <f>('Malaria-Key Info'!$F$26*'HPM costs'!L155)/'HPM costs'!$E$155</f>
        <v>0</v>
      </c>
      <c r="AF81" s="525"/>
      <c r="AG81" s="525">
        <f>('Malaria-Key Info'!$F$26*'HPM costs'!M155)/'HPM costs'!$E$155</f>
        <v>0</v>
      </c>
      <c r="AH81" s="525"/>
      <c r="AI81" s="525">
        <f>('Malaria-Key Info'!$F$26*'HPM costs'!N155)/'HPM costs'!$E$155</f>
        <v>0</v>
      </c>
      <c r="AJ81" s="525"/>
      <c r="AK81" s="1154">
        <f t="shared" si="13"/>
        <v>0</v>
      </c>
      <c r="AL81" s="1155"/>
      <c r="AM81" s="1156"/>
      <c r="AN81" s="529"/>
      <c r="AO81" s="525"/>
      <c r="AP81" s="525">
        <f>('Malaria-Key Info'!$F$26*'HPM costs'!P155)/'HPM costs'!$E$155</f>
        <v>0</v>
      </c>
      <c r="AQ81" s="525"/>
      <c r="AR81" s="525">
        <f>('Malaria-Key Info'!$F$26*'HPM costs'!Q155)/'HPM costs'!$E$155</f>
        <v>0</v>
      </c>
      <c r="AS81" s="525"/>
      <c r="AT81" s="525">
        <f>('Malaria-Key Info'!$F$26*'HPM costs'!R155)/'HPM costs'!$E$155</f>
        <v>0</v>
      </c>
      <c r="AU81" s="525"/>
      <c r="AV81" s="525">
        <f>('Malaria-Key Info'!$F$26*'HPM costs'!S155)/'HPM costs'!$E$155</f>
        <v>0</v>
      </c>
      <c r="AW81" s="525"/>
      <c r="AX81" s="1154">
        <f t="shared" si="14"/>
        <v>0</v>
      </c>
      <c r="AY81" s="1154"/>
      <c r="AZ81" s="528"/>
      <c r="BA81" s="529"/>
      <c r="BB81" s="527"/>
      <c r="BC81" s="527">
        <v>0</v>
      </c>
      <c r="BD81" s="527">
        <v>0</v>
      </c>
      <c r="BE81" s="527">
        <v>0</v>
      </c>
      <c r="BF81" s="527">
        <v>0</v>
      </c>
      <c r="BG81" s="527">
        <v>0</v>
      </c>
      <c r="BH81" s="527">
        <v>0</v>
      </c>
      <c r="BI81" s="527">
        <v>0</v>
      </c>
      <c r="BJ81" s="527">
        <v>0</v>
      </c>
      <c r="BK81" s="1154">
        <f t="shared" si="15"/>
        <v>0</v>
      </c>
      <c r="BL81" s="1154"/>
      <c r="BM81" s="1154">
        <f t="shared" si="16"/>
        <v>0</v>
      </c>
      <c r="BN81" s="1154">
        <f t="shared" si="17"/>
        <v>0</v>
      </c>
      <c r="BO81" s="527"/>
      <c r="BP81" s="527"/>
      <c r="BQ81" s="1157">
        <v>0</v>
      </c>
      <c r="BR81" s="1157" t="s">
        <v>19</v>
      </c>
      <c r="BS81" s="1157" t="s">
        <v>2562</v>
      </c>
      <c r="BT81" s="1376" t="s">
        <v>610</v>
      </c>
    </row>
    <row r="82" spans="1:72" s="512" customFormat="1" ht="13" hidden="1">
      <c r="A82" s="1204">
        <v>93</v>
      </c>
      <c r="B82" s="1205" t="s">
        <v>598</v>
      </c>
      <c r="C82" s="1205" t="s">
        <v>609</v>
      </c>
      <c r="D82" s="1206" t="s">
        <v>602</v>
      </c>
      <c r="E82" s="1386" t="s">
        <v>603</v>
      </c>
      <c r="F82" s="521"/>
      <c r="G82" s="522"/>
      <c r="H82" s="522"/>
      <c r="I82" s="522"/>
      <c r="J82" s="523"/>
      <c r="K82" s="523"/>
      <c r="L82" s="523"/>
      <c r="M82" s="524"/>
      <c r="N82" s="525"/>
      <c r="O82" s="526" t="s">
        <v>1237</v>
      </c>
      <c r="P82" s="525">
        <f>('Malaria-Key Info'!$N$50*'HPM costs'!F164)/'HPM costs'!$E$164</f>
        <v>0</v>
      </c>
      <c r="Q82" s="525" t="s">
        <v>1237</v>
      </c>
      <c r="R82" s="525">
        <f>('Malaria-Key Info'!$N$50*'HPM costs'!G164)/'HPM costs'!$E$164</f>
        <v>0</v>
      </c>
      <c r="S82" s="525" t="s">
        <v>1237</v>
      </c>
      <c r="T82" s="525">
        <f>('Malaria-Key Info'!$N$50*'HPM costs'!H164)/'HPM costs'!$E$164</f>
        <v>0</v>
      </c>
      <c r="U82" s="525" t="s">
        <v>1237</v>
      </c>
      <c r="V82" s="525">
        <f>('Malaria-Key Info'!$N$50*'HPM costs'!I164)/'HPM costs'!$E$164</f>
        <v>0</v>
      </c>
      <c r="W82" s="525"/>
      <c r="X82" s="1154">
        <f t="shared" si="12"/>
        <v>0</v>
      </c>
      <c r="Y82" s="1155"/>
      <c r="Z82" s="1156"/>
      <c r="AA82" s="529"/>
      <c r="AB82" s="525"/>
      <c r="AC82" s="525">
        <f>('Malaria-Key Info'!$N$50*'HPM costs'!K164)/'HPM costs'!$E$164</f>
        <v>0</v>
      </c>
      <c r="AD82" s="525"/>
      <c r="AE82" s="525">
        <f>('Malaria-Key Info'!$N$50*'HPM costs'!L164)/'HPM costs'!$E$164</f>
        <v>0</v>
      </c>
      <c r="AF82" s="525"/>
      <c r="AG82" s="525">
        <f>('Malaria-Key Info'!$N$50*'HPM costs'!M164)/'HPM costs'!$E$164</f>
        <v>0</v>
      </c>
      <c r="AH82" s="525"/>
      <c r="AI82" s="525">
        <f>('Malaria-Key Info'!$N$50*'HPM costs'!N164)/'HPM costs'!$E$164</f>
        <v>0</v>
      </c>
      <c r="AJ82" s="525"/>
      <c r="AK82" s="1154">
        <f t="shared" si="13"/>
        <v>0</v>
      </c>
      <c r="AL82" s="1155"/>
      <c r="AM82" s="1156"/>
      <c r="AN82" s="529"/>
      <c r="AO82" s="525"/>
      <c r="AP82" s="525">
        <f>('Malaria-Key Info'!$N$50*'HPM costs'!P164)/'HPM costs'!$E$164</f>
        <v>0</v>
      </c>
      <c r="AQ82" s="525"/>
      <c r="AR82" s="525">
        <f>('Malaria-Key Info'!$N$50*'HPM costs'!Q164)/'HPM costs'!$E$164</f>
        <v>0</v>
      </c>
      <c r="AS82" s="525"/>
      <c r="AT82" s="525">
        <f>('Malaria-Key Info'!$N$50*'HPM costs'!R164)/'HPM costs'!$E$164</f>
        <v>0</v>
      </c>
      <c r="AU82" s="525"/>
      <c r="AV82" s="525">
        <f>('Malaria-Key Info'!$N$50*'HPM costs'!S164)/'HPM costs'!$E$164</f>
        <v>0</v>
      </c>
      <c r="AW82" s="525"/>
      <c r="AX82" s="1154">
        <f t="shared" si="14"/>
        <v>0</v>
      </c>
      <c r="AY82" s="1154"/>
      <c r="AZ82" s="528"/>
      <c r="BA82" s="529"/>
      <c r="BB82" s="527"/>
      <c r="BC82" s="527">
        <v>0</v>
      </c>
      <c r="BD82" s="527">
        <v>0</v>
      </c>
      <c r="BE82" s="527">
        <v>0</v>
      </c>
      <c r="BF82" s="527">
        <v>0</v>
      </c>
      <c r="BG82" s="527">
        <v>0</v>
      </c>
      <c r="BH82" s="527">
        <v>0</v>
      </c>
      <c r="BI82" s="527">
        <v>0</v>
      </c>
      <c r="BJ82" s="527">
        <v>0</v>
      </c>
      <c r="BK82" s="1154">
        <f t="shared" si="15"/>
        <v>0</v>
      </c>
      <c r="BL82" s="1154"/>
      <c r="BM82" s="1154">
        <f t="shared" si="16"/>
        <v>0</v>
      </c>
      <c r="BN82" s="1154">
        <f t="shared" si="17"/>
        <v>0</v>
      </c>
      <c r="BO82" s="527"/>
      <c r="BP82" s="527"/>
      <c r="BQ82" s="1157">
        <v>0</v>
      </c>
      <c r="BR82" s="1157" t="s">
        <v>19</v>
      </c>
      <c r="BS82" s="1157" t="s">
        <v>602</v>
      </c>
      <c r="BT82" s="1376" t="s">
        <v>611</v>
      </c>
    </row>
    <row r="83" spans="1:72" s="512" customFormat="1" ht="13" hidden="1">
      <c r="A83" s="1204">
        <v>94</v>
      </c>
      <c r="B83" s="1205" t="s">
        <v>598</v>
      </c>
      <c r="C83" s="1205" t="s">
        <v>609</v>
      </c>
      <c r="D83" s="1206" t="s">
        <v>527</v>
      </c>
      <c r="E83" s="1386" t="s">
        <v>528</v>
      </c>
      <c r="F83" s="521"/>
      <c r="G83" s="522"/>
      <c r="H83" s="522"/>
      <c r="I83" s="522"/>
      <c r="J83" s="523"/>
      <c r="K83" s="523"/>
      <c r="L83" s="523"/>
      <c r="M83" s="524"/>
      <c r="N83" s="525"/>
      <c r="O83" s="526" t="s">
        <v>1237</v>
      </c>
      <c r="P83" s="525">
        <f>'Malaria-Key Info'!$F$26*'HPM costs'!F69+'Malaria-Key Info'!$N$50*'HPM costs'!F78</f>
        <v>0</v>
      </c>
      <c r="Q83" s="525" t="s">
        <v>1237</v>
      </c>
      <c r="R83" s="525">
        <f>'Malaria-Key Info'!$F$26*'HPM costs'!G69+'Malaria-Key Info'!$N$50*'HPM costs'!G78</f>
        <v>0</v>
      </c>
      <c r="S83" s="525" t="s">
        <v>1237</v>
      </c>
      <c r="T83" s="525">
        <f>'Malaria-Key Info'!$F$26*'HPM costs'!H69+'Malaria-Key Info'!$N$50*'HPM costs'!H78</f>
        <v>0</v>
      </c>
      <c r="U83" s="525" t="s">
        <v>1237</v>
      </c>
      <c r="V83" s="525">
        <f>'Malaria-Key Info'!$F$26*'HPM costs'!I69+'Malaria-Key Info'!$N$50*'HPM costs'!I78</f>
        <v>0</v>
      </c>
      <c r="W83" s="525"/>
      <c r="X83" s="1154">
        <f t="shared" si="12"/>
        <v>0</v>
      </c>
      <c r="Y83" s="1155"/>
      <c r="Z83" s="1156"/>
      <c r="AA83" s="529"/>
      <c r="AB83" s="525"/>
      <c r="AC83" s="525">
        <f>'Malaria-Key Info'!$F$26*'HPM costs'!K69+'Malaria-Key Info'!$N$50*'HPM costs'!K78</f>
        <v>0</v>
      </c>
      <c r="AD83" s="525"/>
      <c r="AE83" s="525">
        <f>'Malaria-Key Info'!$F$26*'HPM costs'!L69+'Malaria-Key Info'!$N$50*'HPM costs'!L78</f>
        <v>0</v>
      </c>
      <c r="AF83" s="525"/>
      <c r="AG83" s="525">
        <f>'Malaria-Key Info'!$F$26*'HPM costs'!M69+'Malaria-Key Info'!$N$50*'HPM costs'!M78</f>
        <v>0</v>
      </c>
      <c r="AH83" s="525"/>
      <c r="AI83" s="525">
        <f>'Malaria-Key Info'!$F$26*'HPM costs'!N69+'Malaria-Key Info'!$N$50*'HPM costs'!N78</f>
        <v>0</v>
      </c>
      <c r="AJ83" s="525"/>
      <c r="AK83" s="1154">
        <f t="shared" si="13"/>
        <v>0</v>
      </c>
      <c r="AL83" s="1155"/>
      <c r="AM83" s="1156"/>
      <c r="AN83" s="529"/>
      <c r="AO83" s="525"/>
      <c r="AP83" s="525">
        <f>'Malaria-Key Info'!$F$26*'HPM costs'!P69+'Malaria-Key Info'!$N$50*'HPM costs'!P78</f>
        <v>0</v>
      </c>
      <c r="AQ83" s="525"/>
      <c r="AR83" s="525">
        <f>'Malaria-Key Info'!$F$26*'HPM costs'!Q69+'Malaria-Key Info'!$N$50*'HPM costs'!Q78</f>
        <v>0</v>
      </c>
      <c r="AS83" s="525"/>
      <c r="AT83" s="525">
        <f>'Malaria-Key Info'!$F$26*'HPM costs'!R69+'Malaria-Key Info'!$N$50*'HPM costs'!R78</f>
        <v>0</v>
      </c>
      <c r="AU83" s="525"/>
      <c r="AV83" s="525">
        <f>'Malaria-Key Info'!$F$26*'HPM costs'!S69+'Malaria-Key Info'!$N$50*'HPM costs'!S78</f>
        <v>0</v>
      </c>
      <c r="AW83" s="525"/>
      <c r="AX83" s="1154">
        <f t="shared" si="14"/>
        <v>0</v>
      </c>
      <c r="AY83" s="1154"/>
      <c r="AZ83" s="528"/>
      <c r="BA83" s="529"/>
      <c r="BB83" s="527"/>
      <c r="BC83" s="527">
        <v>0</v>
      </c>
      <c r="BD83" s="527">
        <v>0</v>
      </c>
      <c r="BE83" s="527">
        <v>0</v>
      </c>
      <c r="BF83" s="527">
        <v>0</v>
      </c>
      <c r="BG83" s="527">
        <v>0</v>
      </c>
      <c r="BH83" s="527">
        <v>0</v>
      </c>
      <c r="BI83" s="527">
        <v>0</v>
      </c>
      <c r="BJ83" s="527">
        <v>0</v>
      </c>
      <c r="BK83" s="1154">
        <f t="shared" si="15"/>
        <v>0</v>
      </c>
      <c r="BL83" s="1154"/>
      <c r="BM83" s="1154">
        <f t="shared" si="16"/>
        <v>0</v>
      </c>
      <c r="BN83" s="1154">
        <f t="shared" si="17"/>
        <v>0</v>
      </c>
      <c r="BO83" s="527"/>
      <c r="BP83" s="527"/>
      <c r="BQ83" s="1157">
        <v>0</v>
      </c>
      <c r="BR83" s="1157" t="s">
        <v>19</v>
      </c>
      <c r="BS83" s="1157" t="s">
        <v>527</v>
      </c>
      <c r="BT83" s="1376" t="s">
        <v>1379</v>
      </c>
    </row>
    <row r="84" spans="1:72" s="512" customFormat="1" ht="13" hidden="1">
      <c r="A84" s="1204">
        <v>95</v>
      </c>
      <c r="B84" s="1205" t="s">
        <v>598</v>
      </c>
      <c r="C84" s="1205" t="s">
        <v>609</v>
      </c>
      <c r="D84" s="1206" t="s">
        <v>527</v>
      </c>
      <c r="E84" s="1386" t="s">
        <v>530</v>
      </c>
      <c r="F84" s="521"/>
      <c r="G84" s="522"/>
      <c r="H84" s="522"/>
      <c r="I84" s="522"/>
      <c r="J84" s="523"/>
      <c r="K84" s="523"/>
      <c r="L84" s="523"/>
      <c r="M84" s="524"/>
      <c r="N84" s="525"/>
      <c r="O84" s="526" t="s">
        <v>1237</v>
      </c>
      <c r="P84" s="525">
        <f>'Malaria-Key Info'!$F$26*'HPM costs'!F155+'Malaria-Key Info'!$N$50*'HPM costs'!F164</f>
        <v>0</v>
      </c>
      <c r="Q84" s="525" t="s">
        <v>1237</v>
      </c>
      <c r="R84" s="525">
        <f>'Malaria-Key Info'!$F$26*'HPM costs'!G155+'Malaria-Key Info'!$N$50*'HPM costs'!G164</f>
        <v>0</v>
      </c>
      <c r="S84" s="525" t="s">
        <v>1237</v>
      </c>
      <c r="T84" s="525">
        <f>'Malaria-Key Info'!$F$26*'HPM costs'!H155+'Malaria-Key Info'!$N$50*'HPM costs'!H164</f>
        <v>0</v>
      </c>
      <c r="U84" s="525" t="s">
        <v>1237</v>
      </c>
      <c r="V84" s="525">
        <f>'Malaria-Key Info'!$F$26*'HPM costs'!I155+'Malaria-Key Info'!$N$50*'HPM costs'!I164</f>
        <v>0</v>
      </c>
      <c r="W84" s="525"/>
      <c r="X84" s="1154">
        <f t="shared" si="12"/>
        <v>0</v>
      </c>
      <c r="Y84" s="1155"/>
      <c r="Z84" s="1156"/>
      <c r="AA84" s="529"/>
      <c r="AB84" s="525"/>
      <c r="AC84" s="525">
        <f>'Malaria-Key Info'!$F$26*'HPM costs'!K155+'Malaria-Key Info'!$N$50*'HPM costs'!K164</f>
        <v>0</v>
      </c>
      <c r="AD84" s="525"/>
      <c r="AE84" s="525">
        <f>'Malaria-Key Info'!$F$26*'HPM costs'!L155+'Malaria-Key Info'!$N$50*'HPM costs'!L164</f>
        <v>0</v>
      </c>
      <c r="AF84" s="525"/>
      <c r="AG84" s="525">
        <f>'Malaria-Key Info'!$F$26*'HPM costs'!M155+'Malaria-Key Info'!$N$50*'HPM costs'!M164</f>
        <v>0</v>
      </c>
      <c r="AH84" s="525"/>
      <c r="AI84" s="525">
        <f>'Malaria-Key Info'!$F$26*'HPM costs'!N155+'Malaria-Key Info'!$N$50*'HPM costs'!N164</f>
        <v>0</v>
      </c>
      <c r="AJ84" s="525"/>
      <c r="AK84" s="1154">
        <f t="shared" si="13"/>
        <v>0</v>
      </c>
      <c r="AL84" s="1155"/>
      <c r="AM84" s="1156"/>
      <c r="AN84" s="529"/>
      <c r="AO84" s="525"/>
      <c r="AP84" s="525">
        <f>'Malaria-Key Info'!$F$26*'HPM costs'!P155+'Malaria-Key Info'!$N$50*'HPM costs'!P164</f>
        <v>0</v>
      </c>
      <c r="AQ84" s="525"/>
      <c r="AR84" s="525">
        <f>'Malaria-Key Info'!$F$26*'HPM costs'!Q155+'Malaria-Key Info'!$N$50*'HPM costs'!Q164</f>
        <v>0</v>
      </c>
      <c r="AS84" s="525"/>
      <c r="AT84" s="525">
        <f>'Malaria-Key Info'!$F$26*'HPM costs'!R155+'Malaria-Key Info'!$N$50*'HPM costs'!R164</f>
        <v>0</v>
      </c>
      <c r="AU84" s="525"/>
      <c r="AV84" s="525">
        <f>'Malaria-Key Info'!$F$26*'HPM costs'!S155+'Malaria-Key Info'!$N$50*'HPM costs'!S164</f>
        <v>0</v>
      </c>
      <c r="AW84" s="525"/>
      <c r="AX84" s="1154">
        <f t="shared" si="14"/>
        <v>0</v>
      </c>
      <c r="AY84" s="1154"/>
      <c r="AZ84" s="528"/>
      <c r="BA84" s="529"/>
      <c r="BB84" s="527"/>
      <c r="BC84" s="527">
        <v>0</v>
      </c>
      <c r="BD84" s="527">
        <v>0</v>
      </c>
      <c r="BE84" s="527">
        <v>0</v>
      </c>
      <c r="BF84" s="527">
        <v>0</v>
      </c>
      <c r="BG84" s="527">
        <v>0</v>
      </c>
      <c r="BH84" s="527">
        <v>0</v>
      </c>
      <c r="BI84" s="527">
        <v>0</v>
      </c>
      <c r="BJ84" s="527">
        <v>0</v>
      </c>
      <c r="BK84" s="1154">
        <f t="shared" si="15"/>
        <v>0</v>
      </c>
      <c r="BL84" s="1154"/>
      <c r="BM84" s="1154">
        <f t="shared" si="16"/>
        <v>0</v>
      </c>
      <c r="BN84" s="1154">
        <f t="shared" si="17"/>
        <v>0</v>
      </c>
      <c r="BO84" s="527"/>
      <c r="BP84" s="527"/>
      <c r="BQ84" s="1157">
        <v>0</v>
      </c>
      <c r="BR84" s="1157" t="s">
        <v>19</v>
      </c>
      <c r="BS84" s="1157" t="s">
        <v>527</v>
      </c>
      <c r="BT84" s="1376" t="s">
        <v>1380</v>
      </c>
    </row>
    <row r="85" spans="1:72" s="512" customFormat="1" ht="13" hidden="1">
      <c r="A85" s="1204">
        <v>96</v>
      </c>
      <c r="B85" s="1205" t="s">
        <v>598</v>
      </c>
      <c r="C85" s="1205" t="s">
        <v>609</v>
      </c>
      <c r="D85" s="1206" t="s">
        <v>527</v>
      </c>
      <c r="E85" s="1386" t="s">
        <v>532</v>
      </c>
      <c r="F85" s="521"/>
      <c r="G85" s="522"/>
      <c r="H85" s="522"/>
      <c r="I85" s="522"/>
      <c r="J85" s="523"/>
      <c r="K85" s="523"/>
      <c r="L85" s="523"/>
      <c r="M85" s="524" t="e">
        <f>X85/W85</f>
        <v>#DIV/0!</v>
      </c>
      <c r="N85" s="525"/>
      <c r="O85" s="526" t="s">
        <v>1237</v>
      </c>
      <c r="P85" s="525">
        <f>'Malaria-Key Info'!$F$26*'HPM costs'!F415+'Malaria-Key Info'!$N$50*'HPM costs'!F424</f>
        <v>0</v>
      </c>
      <c r="Q85" s="525" t="s">
        <v>1237</v>
      </c>
      <c r="R85" s="525">
        <f>'Malaria-Key Info'!$F$26*'HPM costs'!G415+'Malaria-Key Info'!$N$50*'HPM costs'!G424</f>
        <v>0</v>
      </c>
      <c r="S85" s="525" t="s">
        <v>1237</v>
      </c>
      <c r="T85" s="525">
        <f>'Malaria-Key Info'!$F$26*'HPM costs'!H415+'Malaria-Key Info'!$N$50*'HPM costs'!H424</f>
        <v>0</v>
      </c>
      <c r="U85" s="525" t="s">
        <v>1237</v>
      </c>
      <c r="V85" s="525">
        <f>'Malaria-Key Info'!$F$26*'HPM costs'!I415+'Malaria-Key Info'!$N$50*'HPM costs'!I424</f>
        <v>0</v>
      </c>
      <c r="W85" s="525"/>
      <c r="X85" s="1154">
        <f t="shared" si="12"/>
        <v>0</v>
      </c>
      <c r="Y85" s="1155"/>
      <c r="Z85" s="1156"/>
      <c r="AA85" s="529"/>
      <c r="AB85" s="525"/>
      <c r="AC85" s="525">
        <f>'Malaria-Key Info'!$F$26*'HPM costs'!K415+'Malaria-Key Info'!$N$50*'HPM costs'!K424</f>
        <v>0</v>
      </c>
      <c r="AD85" s="525"/>
      <c r="AE85" s="525">
        <f>'Malaria-Key Info'!$F$26*'HPM costs'!L415+'Malaria-Key Info'!$N$50*'HPM costs'!L424</f>
        <v>0</v>
      </c>
      <c r="AF85" s="525"/>
      <c r="AG85" s="525">
        <f>'Malaria-Key Info'!$F$26*'HPM costs'!M415+'Malaria-Key Info'!$N$50*'HPM costs'!M424</f>
        <v>0</v>
      </c>
      <c r="AH85" s="525"/>
      <c r="AI85" s="525">
        <f>'Malaria-Key Info'!$F$26*'HPM costs'!N415+'Malaria-Key Info'!$N$50*'HPM costs'!N424</f>
        <v>0</v>
      </c>
      <c r="AJ85" s="525"/>
      <c r="AK85" s="1154">
        <f t="shared" si="13"/>
        <v>0</v>
      </c>
      <c r="AL85" s="1155"/>
      <c r="AM85" s="1156"/>
      <c r="AN85" s="529"/>
      <c r="AO85" s="525"/>
      <c r="AP85" s="525">
        <f>'Malaria-Key Info'!$F$26*'HPM costs'!P415+'Malaria-Key Info'!$N$50*'HPM costs'!P424</f>
        <v>0</v>
      </c>
      <c r="AQ85" s="525"/>
      <c r="AR85" s="525">
        <f>'Malaria-Key Info'!$F$26*'HPM costs'!Q415+'Malaria-Key Info'!$N$50*'HPM costs'!Q424</f>
        <v>0</v>
      </c>
      <c r="AS85" s="525"/>
      <c r="AT85" s="525">
        <f>'Malaria-Key Info'!$F$26*'HPM costs'!R415+'Malaria-Key Info'!$N$50*'HPM costs'!R424</f>
        <v>0</v>
      </c>
      <c r="AU85" s="525"/>
      <c r="AV85" s="525">
        <f>'Malaria-Key Info'!$F$26*'HPM costs'!S415+'Malaria-Key Info'!$N$50*'HPM costs'!S424</f>
        <v>0</v>
      </c>
      <c r="AW85" s="525"/>
      <c r="AX85" s="1154">
        <f t="shared" si="14"/>
        <v>0</v>
      </c>
      <c r="AY85" s="1154"/>
      <c r="AZ85" s="528"/>
      <c r="BA85" s="529"/>
      <c r="BB85" s="527"/>
      <c r="BC85" s="527">
        <v>0</v>
      </c>
      <c r="BD85" s="527">
        <v>0</v>
      </c>
      <c r="BE85" s="527">
        <v>0</v>
      </c>
      <c r="BF85" s="527">
        <v>0</v>
      </c>
      <c r="BG85" s="527">
        <v>0</v>
      </c>
      <c r="BH85" s="527">
        <v>0</v>
      </c>
      <c r="BI85" s="527">
        <v>0</v>
      </c>
      <c r="BJ85" s="527">
        <v>0</v>
      </c>
      <c r="BK85" s="1154">
        <f t="shared" si="15"/>
        <v>0</v>
      </c>
      <c r="BL85" s="1154"/>
      <c r="BM85" s="1154">
        <f t="shared" si="16"/>
        <v>0</v>
      </c>
      <c r="BN85" s="1154">
        <f t="shared" si="17"/>
        <v>0</v>
      </c>
      <c r="BO85" s="527"/>
      <c r="BP85" s="527"/>
      <c r="BQ85" s="1157">
        <v>0</v>
      </c>
      <c r="BR85" s="1157" t="s">
        <v>19</v>
      </c>
      <c r="BS85" s="1157" t="s">
        <v>527</v>
      </c>
      <c r="BT85" s="1376" t="s">
        <v>1381</v>
      </c>
    </row>
    <row r="86" spans="1:72" s="512" customFormat="1" ht="13" hidden="1">
      <c r="A86" s="1204">
        <v>97</v>
      </c>
      <c r="B86" s="1205" t="s">
        <v>598</v>
      </c>
      <c r="C86" s="1205" t="s">
        <v>609</v>
      </c>
      <c r="D86" s="1206" t="s">
        <v>527</v>
      </c>
      <c r="E86" s="1386" t="s">
        <v>534</v>
      </c>
      <c r="F86" s="521"/>
      <c r="G86" s="522"/>
      <c r="H86" s="522"/>
      <c r="I86" s="522"/>
      <c r="J86" s="523"/>
      <c r="K86" s="523"/>
      <c r="L86" s="523"/>
      <c r="M86" s="524"/>
      <c r="N86" s="525"/>
      <c r="O86" s="526" t="s">
        <v>1237</v>
      </c>
      <c r="P86" s="525">
        <f>'Malaria-Key Info'!$F$26*'HPM costs'!F501+'Malaria-Key Info'!$N$50*'HPM costs'!F510</f>
        <v>0</v>
      </c>
      <c r="Q86" s="525" t="s">
        <v>1237</v>
      </c>
      <c r="R86" s="525">
        <f>'Malaria-Key Info'!$F$26*'HPM costs'!G501+'Malaria-Key Info'!$N$50*'HPM costs'!G510</f>
        <v>0</v>
      </c>
      <c r="S86" s="525" t="s">
        <v>1237</v>
      </c>
      <c r="T86" s="525">
        <f>'Malaria-Key Info'!$F$26*'HPM costs'!H501+'Malaria-Key Info'!$N$50*'HPM costs'!H510</f>
        <v>0</v>
      </c>
      <c r="U86" s="525" t="s">
        <v>1237</v>
      </c>
      <c r="V86" s="525">
        <f>'Malaria-Key Info'!$F$26*'HPM costs'!I501+'Malaria-Key Info'!$N$50*'HPM costs'!I510</f>
        <v>0</v>
      </c>
      <c r="W86" s="525"/>
      <c r="X86" s="1154">
        <f t="shared" si="12"/>
        <v>0</v>
      </c>
      <c r="Y86" s="1155"/>
      <c r="Z86" s="1156"/>
      <c r="AA86" s="529"/>
      <c r="AB86" s="525"/>
      <c r="AC86" s="525">
        <f>'Malaria-Key Info'!$F$26*'HPM costs'!K501+'Malaria-Key Info'!$N$50*'HPM costs'!K510</f>
        <v>0</v>
      </c>
      <c r="AD86" s="525"/>
      <c r="AE86" s="525">
        <f>'Malaria-Key Info'!$F$26*'HPM costs'!L501+'Malaria-Key Info'!$N$50*'HPM costs'!L510</f>
        <v>0</v>
      </c>
      <c r="AF86" s="525"/>
      <c r="AG86" s="525">
        <f>'Malaria-Key Info'!$F$26*'HPM costs'!M501+'Malaria-Key Info'!$N$50*'HPM costs'!M510</f>
        <v>0</v>
      </c>
      <c r="AH86" s="525"/>
      <c r="AI86" s="525">
        <f>'Malaria-Key Info'!$F$26*'HPM costs'!N501+'Malaria-Key Info'!$N$50*'HPM costs'!N510</f>
        <v>0</v>
      </c>
      <c r="AJ86" s="525"/>
      <c r="AK86" s="1154">
        <f t="shared" si="13"/>
        <v>0</v>
      </c>
      <c r="AL86" s="1155"/>
      <c r="AM86" s="1156"/>
      <c r="AN86" s="529"/>
      <c r="AO86" s="525"/>
      <c r="AP86" s="525">
        <f>'Malaria-Key Info'!$F$26*'HPM costs'!P501+'Malaria-Key Info'!$N$50*'HPM costs'!P510</f>
        <v>0</v>
      </c>
      <c r="AQ86" s="525"/>
      <c r="AR86" s="525">
        <f>'Malaria-Key Info'!$F$26*'HPM costs'!Q501+'Malaria-Key Info'!$N$50*'HPM costs'!Q510</f>
        <v>0</v>
      </c>
      <c r="AS86" s="525"/>
      <c r="AT86" s="525">
        <f>'Malaria-Key Info'!$F$26*'HPM costs'!R501+'Malaria-Key Info'!$N$50*'HPM costs'!R510</f>
        <v>0</v>
      </c>
      <c r="AU86" s="525"/>
      <c r="AV86" s="525">
        <f>'Malaria-Key Info'!$F$26*'HPM costs'!S501+'Malaria-Key Info'!$N$50*'HPM costs'!S510</f>
        <v>0</v>
      </c>
      <c r="AW86" s="525"/>
      <c r="AX86" s="1154">
        <f t="shared" si="14"/>
        <v>0</v>
      </c>
      <c r="AY86" s="1154"/>
      <c r="AZ86" s="528"/>
      <c r="BA86" s="529"/>
      <c r="BB86" s="527"/>
      <c r="BC86" s="527">
        <v>0</v>
      </c>
      <c r="BD86" s="527">
        <v>0</v>
      </c>
      <c r="BE86" s="527">
        <v>0</v>
      </c>
      <c r="BF86" s="527">
        <v>0</v>
      </c>
      <c r="BG86" s="527">
        <v>0</v>
      </c>
      <c r="BH86" s="527">
        <v>0</v>
      </c>
      <c r="BI86" s="527">
        <v>0</v>
      </c>
      <c r="BJ86" s="527">
        <v>0</v>
      </c>
      <c r="BK86" s="1154">
        <f t="shared" si="15"/>
        <v>0</v>
      </c>
      <c r="BL86" s="1154"/>
      <c r="BM86" s="1154">
        <f t="shared" si="16"/>
        <v>0</v>
      </c>
      <c r="BN86" s="1154">
        <f t="shared" si="17"/>
        <v>0</v>
      </c>
      <c r="BO86" s="527"/>
      <c r="BP86" s="527"/>
      <c r="BQ86" s="1157">
        <v>0</v>
      </c>
      <c r="BR86" s="1157" t="s">
        <v>19</v>
      </c>
      <c r="BS86" s="1157" t="s">
        <v>527</v>
      </c>
      <c r="BT86" s="1376" t="s">
        <v>1382</v>
      </c>
    </row>
    <row r="87" spans="1:72" s="512" customFormat="1" ht="13" hidden="1">
      <c r="A87" s="1204">
        <v>98</v>
      </c>
      <c r="B87" s="1205" t="s">
        <v>598</v>
      </c>
      <c r="C87" s="1205" t="s">
        <v>609</v>
      </c>
      <c r="D87" s="1206" t="s">
        <v>527</v>
      </c>
      <c r="E87" s="1386" t="s">
        <v>536</v>
      </c>
      <c r="F87" s="521"/>
      <c r="G87" s="522"/>
      <c r="H87" s="522"/>
      <c r="I87" s="522"/>
      <c r="J87" s="523"/>
      <c r="K87" s="523"/>
      <c r="L87" s="523"/>
      <c r="M87" s="524"/>
      <c r="N87" s="525"/>
      <c r="O87" s="526" t="s">
        <v>1237</v>
      </c>
      <c r="P87" s="525">
        <f>'Malaria-Key Info'!$F$26*('HPM costs'!F241+'HPM costs'!F587)+'Malaria-Key Info'!$N$50*('HPM costs'!F250+'HPM costs'!F596)</f>
        <v>0</v>
      </c>
      <c r="Q87" s="525" t="s">
        <v>1237</v>
      </c>
      <c r="R87" s="525">
        <f>'Malaria-Key Info'!$F$26*('HPM costs'!G241+'HPM costs'!G587)+'Malaria-Key Info'!$N$50*('HPM costs'!G250+'HPM costs'!G596)</f>
        <v>0</v>
      </c>
      <c r="S87" s="525" t="s">
        <v>1237</v>
      </c>
      <c r="T87" s="525">
        <f>'Malaria-Key Info'!$F$26*('HPM costs'!H241+'HPM costs'!H587)+'Malaria-Key Info'!$N$50*('HPM costs'!H250+'HPM costs'!H596)</f>
        <v>0</v>
      </c>
      <c r="U87" s="525" t="s">
        <v>1237</v>
      </c>
      <c r="V87" s="525">
        <f>'Malaria-Key Info'!$F$26*('HPM costs'!I241+'HPM costs'!I587)+'Malaria-Key Info'!$N$50*('HPM costs'!I250+'HPM costs'!I596)</f>
        <v>0</v>
      </c>
      <c r="W87" s="525"/>
      <c r="X87" s="1154">
        <f t="shared" si="12"/>
        <v>0</v>
      </c>
      <c r="Y87" s="1155"/>
      <c r="Z87" s="1156"/>
      <c r="AA87" s="529"/>
      <c r="AB87" s="525"/>
      <c r="AC87" s="525">
        <f>'Malaria-Key Info'!$F$26*('HPM costs'!K241+'HPM costs'!K587)+'Malaria-Key Info'!$N$50*('HPM costs'!K250+'HPM costs'!K596)</f>
        <v>0</v>
      </c>
      <c r="AD87" s="525"/>
      <c r="AE87" s="525">
        <f>'Malaria-Key Info'!$F$26*('HPM costs'!L241+'HPM costs'!L587)+'Malaria-Key Info'!$N$50*('HPM costs'!L250+'HPM costs'!L596)</f>
        <v>0</v>
      </c>
      <c r="AF87" s="525"/>
      <c r="AG87" s="525">
        <f>'Malaria-Key Info'!$F$26*('HPM costs'!M241+'HPM costs'!M587)+'Malaria-Key Info'!$N$50*('HPM costs'!M250+'HPM costs'!M596)</f>
        <v>0</v>
      </c>
      <c r="AH87" s="525"/>
      <c r="AI87" s="525">
        <f>'Malaria-Key Info'!$F$26*('HPM costs'!N241+'HPM costs'!N587)+'Malaria-Key Info'!$N$50*('HPM costs'!N250+'HPM costs'!N596)</f>
        <v>0</v>
      </c>
      <c r="AJ87" s="525"/>
      <c r="AK87" s="1154">
        <f t="shared" si="13"/>
        <v>0</v>
      </c>
      <c r="AL87" s="1155"/>
      <c r="AM87" s="1156"/>
      <c r="AN87" s="529"/>
      <c r="AO87" s="525"/>
      <c r="AP87" s="525">
        <f>'Malaria-Key Info'!$F$26*('HPM costs'!P241+'HPM costs'!P587)+'Malaria-Key Info'!$N$50*('HPM costs'!P250+'HPM costs'!P596)</f>
        <v>0</v>
      </c>
      <c r="AQ87" s="525"/>
      <c r="AR87" s="525">
        <f>'Malaria-Key Info'!$F$26*('HPM costs'!Q241+'HPM costs'!Q587)+'Malaria-Key Info'!$N$50*('HPM costs'!Q250+'HPM costs'!Q596)</f>
        <v>0</v>
      </c>
      <c r="AS87" s="525"/>
      <c r="AT87" s="525">
        <f>'Malaria-Key Info'!$F$26*('HPM costs'!R241+'HPM costs'!R587)+'Malaria-Key Info'!$N$50*('HPM costs'!R250+'HPM costs'!R596)</f>
        <v>0</v>
      </c>
      <c r="AU87" s="525"/>
      <c r="AV87" s="525">
        <f>'Malaria-Key Info'!$F$26*('HPM costs'!S241+'HPM costs'!S587)+'Malaria-Key Info'!$N$50*('HPM costs'!S250+'HPM costs'!S596)</f>
        <v>0</v>
      </c>
      <c r="AW87" s="525"/>
      <c r="AX87" s="1154">
        <f t="shared" si="14"/>
        <v>0</v>
      </c>
      <c r="AY87" s="1154"/>
      <c r="AZ87" s="528"/>
      <c r="BA87" s="529"/>
      <c r="BB87" s="527"/>
      <c r="BC87" s="527">
        <v>0</v>
      </c>
      <c r="BD87" s="527">
        <v>0</v>
      </c>
      <c r="BE87" s="527">
        <v>0</v>
      </c>
      <c r="BF87" s="527">
        <v>0</v>
      </c>
      <c r="BG87" s="527">
        <v>0</v>
      </c>
      <c r="BH87" s="527">
        <v>0</v>
      </c>
      <c r="BI87" s="527">
        <v>0</v>
      </c>
      <c r="BJ87" s="527">
        <v>0</v>
      </c>
      <c r="BK87" s="1154">
        <f t="shared" si="15"/>
        <v>0</v>
      </c>
      <c r="BL87" s="1154"/>
      <c r="BM87" s="1154">
        <f t="shared" si="16"/>
        <v>0</v>
      </c>
      <c r="BN87" s="1154">
        <f t="shared" si="17"/>
        <v>0</v>
      </c>
      <c r="BO87" s="527"/>
      <c r="BP87" s="527"/>
      <c r="BQ87" s="1157">
        <v>0</v>
      </c>
      <c r="BR87" s="1157" t="s">
        <v>19</v>
      </c>
      <c r="BS87" s="1157" t="s">
        <v>527</v>
      </c>
      <c r="BT87" s="1376" t="s">
        <v>1385</v>
      </c>
    </row>
    <row r="88" spans="1:72" s="512" customFormat="1" ht="13" hidden="1">
      <c r="A88" s="1204">
        <v>99</v>
      </c>
      <c r="B88" s="1205" t="s">
        <v>598</v>
      </c>
      <c r="C88" s="1205" t="s">
        <v>609</v>
      </c>
      <c r="D88" s="1206" t="s">
        <v>527</v>
      </c>
      <c r="E88" s="1386" t="s">
        <v>538</v>
      </c>
      <c r="F88" s="521"/>
      <c r="G88" s="522"/>
      <c r="H88" s="522"/>
      <c r="I88" s="522"/>
      <c r="J88" s="523"/>
      <c r="K88" s="523"/>
      <c r="L88" s="523"/>
      <c r="M88" s="524" t="e">
        <f>X88/W88</f>
        <v>#DIV/0!</v>
      </c>
      <c r="N88" s="525"/>
      <c r="O88" s="526" t="s">
        <v>1237</v>
      </c>
      <c r="P88" s="525">
        <f>'Malaria-Key Info'!$F$26*'HPM costs'!F327+'Malaria-Key Info'!$N$50*'HPM costs'!F336</f>
        <v>0</v>
      </c>
      <c r="Q88" s="525" t="s">
        <v>1237</v>
      </c>
      <c r="R88" s="525">
        <f>'Malaria-Key Info'!$F$26*'HPM costs'!G327+'Malaria-Key Info'!$N$50*'HPM costs'!G336</f>
        <v>0</v>
      </c>
      <c r="S88" s="525" t="s">
        <v>1237</v>
      </c>
      <c r="T88" s="525">
        <f>'Malaria-Key Info'!$F$26*'HPM costs'!H327+'Malaria-Key Info'!$N$50*'HPM costs'!H336</f>
        <v>0</v>
      </c>
      <c r="U88" s="525" t="s">
        <v>1237</v>
      </c>
      <c r="V88" s="525">
        <f>'Malaria-Key Info'!$F$26*'HPM costs'!I327+'Malaria-Key Info'!$N$50*'HPM costs'!I336</f>
        <v>0</v>
      </c>
      <c r="W88" s="525"/>
      <c r="X88" s="1154">
        <f t="shared" si="12"/>
        <v>0</v>
      </c>
      <c r="Y88" s="1155"/>
      <c r="Z88" s="1156"/>
      <c r="AA88" s="529"/>
      <c r="AB88" s="525"/>
      <c r="AC88" s="525">
        <f>'Malaria-Key Info'!$F$26*'HPM costs'!K327+'Malaria-Key Info'!$N$50*'HPM costs'!K336</f>
        <v>0</v>
      </c>
      <c r="AD88" s="525"/>
      <c r="AE88" s="525">
        <f>'Malaria-Key Info'!$F$26*'HPM costs'!L327+'Malaria-Key Info'!$N$50*'HPM costs'!L336</f>
        <v>0</v>
      </c>
      <c r="AF88" s="525"/>
      <c r="AG88" s="525">
        <f>'Malaria-Key Info'!$F$26*'HPM costs'!M327+'Malaria-Key Info'!$N$50*'HPM costs'!M336</f>
        <v>0</v>
      </c>
      <c r="AH88" s="525"/>
      <c r="AI88" s="525">
        <f>'Malaria-Key Info'!$F$26*'HPM costs'!N327+'Malaria-Key Info'!$N$50*'HPM costs'!N336</f>
        <v>0</v>
      </c>
      <c r="AJ88" s="525"/>
      <c r="AK88" s="1154">
        <f t="shared" si="13"/>
        <v>0</v>
      </c>
      <c r="AL88" s="1155"/>
      <c r="AM88" s="1156"/>
      <c r="AN88" s="529"/>
      <c r="AO88" s="525"/>
      <c r="AP88" s="525">
        <f>'Malaria-Key Info'!$F$26*'HPM costs'!P327+'Malaria-Key Info'!$N$50*'HPM costs'!P336</f>
        <v>0</v>
      </c>
      <c r="AQ88" s="525"/>
      <c r="AR88" s="525">
        <f>'Malaria-Key Info'!$F$26*'HPM costs'!Q327+'Malaria-Key Info'!$N$50*'HPM costs'!Q336</f>
        <v>0</v>
      </c>
      <c r="AS88" s="525"/>
      <c r="AT88" s="525">
        <f>'Malaria-Key Info'!$F$26*'HPM costs'!R327+'Malaria-Key Info'!$N$50*'HPM costs'!R336</f>
        <v>0</v>
      </c>
      <c r="AU88" s="525"/>
      <c r="AV88" s="525">
        <f>'Malaria-Key Info'!$F$26*'HPM costs'!S327+'Malaria-Key Info'!$N$50*'HPM costs'!S336</f>
        <v>0</v>
      </c>
      <c r="AW88" s="525"/>
      <c r="AX88" s="1154">
        <f t="shared" si="14"/>
        <v>0</v>
      </c>
      <c r="AY88" s="1154"/>
      <c r="AZ88" s="528"/>
      <c r="BA88" s="529"/>
      <c r="BB88" s="527"/>
      <c r="BC88" s="527">
        <v>0</v>
      </c>
      <c r="BD88" s="527">
        <v>0</v>
      </c>
      <c r="BE88" s="527">
        <v>0</v>
      </c>
      <c r="BF88" s="527">
        <v>0</v>
      </c>
      <c r="BG88" s="527">
        <v>0</v>
      </c>
      <c r="BH88" s="527">
        <v>0</v>
      </c>
      <c r="BI88" s="527">
        <v>0</v>
      </c>
      <c r="BJ88" s="527">
        <v>0</v>
      </c>
      <c r="BK88" s="1154">
        <f t="shared" si="15"/>
        <v>0</v>
      </c>
      <c r="BL88" s="1154"/>
      <c r="BM88" s="1154">
        <f t="shared" si="16"/>
        <v>0</v>
      </c>
      <c r="BN88" s="1154">
        <f t="shared" si="17"/>
        <v>0</v>
      </c>
      <c r="BO88" s="527"/>
      <c r="BP88" s="527"/>
      <c r="BQ88" s="1157">
        <v>0</v>
      </c>
      <c r="BR88" s="1157" t="s">
        <v>19</v>
      </c>
      <c r="BS88" s="1157" t="s">
        <v>527</v>
      </c>
      <c r="BT88" s="1376" t="s">
        <v>1383</v>
      </c>
    </row>
    <row r="89" spans="1:72" s="512" customFormat="1" ht="13" hidden="1">
      <c r="A89" s="1204">
        <v>100</v>
      </c>
      <c r="B89" s="1205" t="s">
        <v>598</v>
      </c>
      <c r="C89" s="1205" t="s">
        <v>609</v>
      </c>
      <c r="D89" s="1206" t="s">
        <v>527</v>
      </c>
      <c r="E89" s="1386" t="s">
        <v>540</v>
      </c>
      <c r="F89" s="521"/>
      <c r="G89" s="522"/>
      <c r="H89" s="522"/>
      <c r="I89" s="522"/>
      <c r="J89" s="523"/>
      <c r="K89" s="523"/>
      <c r="L89" s="523"/>
      <c r="M89" s="524" t="e">
        <f>X89/W89</f>
        <v>#DIV/0!</v>
      </c>
      <c r="N89" s="525"/>
      <c r="O89" s="526" t="s">
        <v>1237</v>
      </c>
      <c r="P89" s="525">
        <f>'Malaria-Key Info'!$F$26*'HPM costs'!F672+'Malaria-Key Info'!$N$50*'HPM costs'!F681</f>
        <v>0</v>
      </c>
      <c r="Q89" s="525" t="s">
        <v>1237</v>
      </c>
      <c r="R89" s="525">
        <f>'Malaria-Key Info'!$F$26*'HPM costs'!G672+'Malaria-Key Info'!$N$50*'HPM costs'!G681</f>
        <v>0</v>
      </c>
      <c r="S89" s="525" t="s">
        <v>1237</v>
      </c>
      <c r="T89" s="525">
        <f>'Malaria-Key Info'!$F$26*'HPM costs'!H672+'Malaria-Key Info'!$N$50*'HPM costs'!H681</f>
        <v>0</v>
      </c>
      <c r="U89" s="525" t="s">
        <v>1237</v>
      </c>
      <c r="V89" s="525">
        <f>'Malaria-Key Info'!$F$26*'HPM costs'!I672+'Malaria-Key Info'!$N$50*'HPM costs'!I681</f>
        <v>0</v>
      </c>
      <c r="W89" s="525"/>
      <c r="X89" s="1154">
        <f t="shared" si="12"/>
        <v>0</v>
      </c>
      <c r="Y89" s="1155"/>
      <c r="Z89" s="1156"/>
      <c r="AA89" s="529"/>
      <c r="AB89" s="525"/>
      <c r="AC89" s="525">
        <f>'Malaria-Key Info'!$F$26*'HPM costs'!K672+'Malaria-Key Info'!$N$50*'HPM costs'!K681</f>
        <v>0</v>
      </c>
      <c r="AD89" s="525"/>
      <c r="AE89" s="525">
        <f>'Malaria-Key Info'!$F$26*'HPM costs'!L672+'Malaria-Key Info'!$N$50*'HPM costs'!L681</f>
        <v>0</v>
      </c>
      <c r="AF89" s="525"/>
      <c r="AG89" s="525">
        <f>'Malaria-Key Info'!$F$26*'HPM costs'!M672+'Malaria-Key Info'!$N$50*'HPM costs'!M681</f>
        <v>0</v>
      </c>
      <c r="AH89" s="525"/>
      <c r="AI89" s="525">
        <f>'Malaria-Key Info'!$F$26*'HPM costs'!N672+'Malaria-Key Info'!$N$50*'HPM costs'!N681</f>
        <v>0</v>
      </c>
      <c r="AJ89" s="525"/>
      <c r="AK89" s="1154">
        <f t="shared" si="13"/>
        <v>0</v>
      </c>
      <c r="AL89" s="1155"/>
      <c r="AM89" s="1156"/>
      <c r="AN89" s="529"/>
      <c r="AO89" s="525"/>
      <c r="AP89" s="525">
        <f>'Malaria-Key Info'!$F$26*'HPM costs'!P672+'Malaria-Key Info'!$N$50*'HPM costs'!P681</f>
        <v>0</v>
      </c>
      <c r="AQ89" s="525"/>
      <c r="AR89" s="525">
        <f>'Malaria-Key Info'!$F$26*'HPM costs'!Q672+'Malaria-Key Info'!$N$50*'HPM costs'!Q681</f>
        <v>0</v>
      </c>
      <c r="AS89" s="525"/>
      <c r="AT89" s="525">
        <f>'Malaria-Key Info'!$F$26*'HPM costs'!R672+'Malaria-Key Info'!$N$50*'HPM costs'!R681</f>
        <v>0</v>
      </c>
      <c r="AU89" s="525"/>
      <c r="AV89" s="525">
        <f>'Malaria-Key Info'!$F$26*'HPM costs'!S672+'Malaria-Key Info'!$N$50*'HPM costs'!S681</f>
        <v>0</v>
      </c>
      <c r="AW89" s="525"/>
      <c r="AX89" s="1154">
        <f t="shared" si="14"/>
        <v>0</v>
      </c>
      <c r="AY89" s="1154"/>
      <c r="AZ89" s="528"/>
      <c r="BA89" s="529"/>
      <c r="BB89" s="527"/>
      <c r="BC89" s="527">
        <v>0</v>
      </c>
      <c r="BD89" s="527">
        <v>0</v>
      </c>
      <c r="BE89" s="527">
        <v>0</v>
      </c>
      <c r="BF89" s="527">
        <v>0</v>
      </c>
      <c r="BG89" s="527">
        <v>0</v>
      </c>
      <c r="BH89" s="527">
        <v>0</v>
      </c>
      <c r="BI89" s="527">
        <v>0</v>
      </c>
      <c r="BJ89" s="527">
        <v>0</v>
      </c>
      <c r="BK89" s="1154">
        <f t="shared" si="15"/>
        <v>0</v>
      </c>
      <c r="BL89" s="1154"/>
      <c r="BM89" s="1154">
        <f t="shared" si="16"/>
        <v>0</v>
      </c>
      <c r="BN89" s="1154">
        <f t="shared" si="17"/>
        <v>0</v>
      </c>
      <c r="BO89" s="527"/>
      <c r="BP89" s="527"/>
      <c r="BQ89" s="1157">
        <v>0</v>
      </c>
      <c r="BR89" s="1157" t="s">
        <v>19</v>
      </c>
      <c r="BS89" s="1157" t="s">
        <v>527</v>
      </c>
      <c r="BT89" s="1376" t="s">
        <v>1384</v>
      </c>
    </row>
    <row r="90" spans="1:72" s="512" customFormat="1" ht="13" hidden="1">
      <c r="A90" s="1204">
        <v>125</v>
      </c>
      <c r="B90" s="1205" t="s">
        <v>612</v>
      </c>
      <c r="C90" s="1205" t="s">
        <v>613</v>
      </c>
      <c r="D90" s="1206" t="s">
        <v>2564</v>
      </c>
      <c r="E90" s="1386" t="s">
        <v>600</v>
      </c>
      <c r="F90" s="521"/>
      <c r="G90" s="522"/>
      <c r="H90" s="522"/>
      <c r="I90" s="522"/>
      <c r="J90" s="523"/>
      <c r="K90" s="523"/>
      <c r="L90" s="523"/>
      <c r="M90" s="524" t="e">
        <f>X90/W90</f>
        <v>#DIV/0!</v>
      </c>
      <c r="N90" s="525" t="e">
        <f>IF(M90&lt;&gt;"",M90/VLOOKUP($K90,SETUP!$C$28:$D$42,2,0),"")</f>
        <v>#DIV/0!</v>
      </c>
      <c r="O90" s="526" t="s">
        <v>1237</v>
      </c>
      <c r="P90" s="525">
        <f>('Malaria-Key Info'!$F$35*'HPM costs'!F158)/'HPM costs'!$E$158</f>
        <v>0</v>
      </c>
      <c r="Q90" s="525" t="s">
        <v>1237</v>
      </c>
      <c r="R90" s="525">
        <f>('Malaria-Key Info'!$F$35*'HPM costs'!G158)/'HPM costs'!$E$158</f>
        <v>0</v>
      </c>
      <c r="S90" s="525" t="s">
        <v>1237</v>
      </c>
      <c r="T90" s="525">
        <f>('Malaria-Key Info'!$F$35*'HPM costs'!H158)/'HPM costs'!$E$158</f>
        <v>0</v>
      </c>
      <c r="U90" s="525" t="s">
        <v>1237</v>
      </c>
      <c r="V90" s="525">
        <f>('Malaria-Key Info'!$F$35*'HPM costs'!I158)/'HPM costs'!$E$158</f>
        <v>0</v>
      </c>
      <c r="W90" s="525"/>
      <c r="X90" s="1154">
        <f t="shared" si="12"/>
        <v>0</v>
      </c>
      <c r="Y90" s="1155"/>
      <c r="Z90" s="1156"/>
      <c r="AA90" s="529"/>
      <c r="AB90" s="525"/>
      <c r="AC90" s="525">
        <f>('Malaria-Key Info'!$F$35*'HPM costs'!K158)/'HPM costs'!$E$158</f>
        <v>0</v>
      </c>
      <c r="AD90" s="525"/>
      <c r="AE90" s="525">
        <f>('Malaria-Key Info'!$F$35*'HPM costs'!L158)/'HPM costs'!$E$158</f>
        <v>0</v>
      </c>
      <c r="AF90" s="525"/>
      <c r="AG90" s="525">
        <f>('Malaria-Key Info'!$F$35*'HPM costs'!M158)/'HPM costs'!$E$158</f>
        <v>0</v>
      </c>
      <c r="AH90" s="525"/>
      <c r="AI90" s="525">
        <f>('Malaria-Key Info'!$F$35*'HPM costs'!N158)/'HPM costs'!$E$158</f>
        <v>0</v>
      </c>
      <c r="AJ90" s="525"/>
      <c r="AK90" s="1154">
        <f t="shared" si="13"/>
        <v>0</v>
      </c>
      <c r="AL90" s="1155"/>
      <c r="AM90" s="1156"/>
      <c r="AN90" s="529"/>
      <c r="AO90" s="525"/>
      <c r="AP90" s="525">
        <f>('Malaria-Key Info'!$F$35*'HPM costs'!P158)/'HPM costs'!$E$158</f>
        <v>0</v>
      </c>
      <c r="AQ90" s="525"/>
      <c r="AR90" s="525">
        <f>('Malaria-Key Info'!$F$35*'HPM costs'!Q158)/'HPM costs'!$E$158</f>
        <v>0</v>
      </c>
      <c r="AS90" s="525"/>
      <c r="AT90" s="525">
        <f>('Malaria-Key Info'!$F$35*'HPM costs'!R158)/'HPM costs'!$E$158</f>
        <v>0</v>
      </c>
      <c r="AU90" s="525"/>
      <c r="AV90" s="525">
        <f>('Malaria-Key Info'!$F$35*'HPM costs'!S158)/'HPM costs'!$E$158</f>
        <v>0</v>
      </c>
      <c r="AW90" s="525"/>
      <c r="AX90" s="1154">
        <f t="shared" si="14"/>
        <v>0</v>
      </c>
      <c r="AY90" s="1154"/>
      <c r="AZ90" s="528"/>
      <c r="BA90" s="529"/>
      <c r="BB90" s="527"/>
      <c r="BC90" s="527">
        <v>0</v>
      </c>
      <c r="BD90" s="527">
        <v>0</v>
      </c>
      <c r="BE90" s="527">
        <v>0</v>
      </c>
      <c r="BF90" s="527">
        <v>0</v>
      </c>
      <c r="BG90" s="527">
        <v>0</v>
      </c>
      <c r="BH90" s="527">
        <v>0</v>
      </c>
      <c r="BI90" s="527">
        <v>0</v>
      </c>
      <c r="BJ90" s="527">
        <v>0</v>
      </c>
      <c r="BK90" s="1154">
        <f t="shared" si="15"/>
        <v>0</v>
      </c>
      <c r="BL90" s="1154"/>
      <c r="BM90" s="1154">
        <f t="shared" si="16"/>
        <v>0</v>
      </c>
      <c r="BN90" s="1154">
        <f t="shared" si="17"/>
        <v>0</v>
      </c>
      <c r="BO90" s="527"/>
      <c r="BP90" s="527"/>
      <c r="BQ90" s="1157">
        <v>0</v>
      </c>
      <c r="BR90" s="1157" t="s">
        <v>19</v>
      </c>
      <c r="BS90" s="1157" t="s">
        <v>2564</v>
      </c>
      <c r="BT90" s="1376" t="s">
        <v>614</v>
      </c>
    </row>
    <row r="91" spans="1:72" s="512" customFormat="1" ht="13" hidden="1">
      <c r="A91" s="1204">
        <v>126</v>
      </c>
      <c r="B91" s="1205" t="s">
        <v>612</v>
      </c>
      <c r="C91" s="1205" t="s">
        <v>613</v>
      </c>
      <c r="D91" s="1206" t="s">
        <v>527</v>
      </c>
      <c r="E91" s="1386" t="s">
        <v>528</v>
      </c>
      <c r="F91" s="521"/>
      <c r="G91" s="522" t="str">
        <f>SETUP!$E$3</f>
        <v>El Salvador</v>
      </c>
      <c r="H91" s="522"/>
      <c r="I91" s="522"/>
      <c r="J91" s="523"/>
      <c r="K91" s="523"/>
      <c r="L91" s="523"/>
      <c r="M91" s="524"/>
      <c r="N91" s="525"/>
      <c r="O91" s="526" t="s">
        <v>1237</v>
      </c>
      <c r="P91" s="525">
        <f>'Malaria-Key Info'!$F$35*'HPM costs'!F72</f>
        <v>0</v>
      </c>
      <c r="Q91" s="525" t="s">
        <v>1237</v>
      </c>
      <c r="R91" s="525">
        <f>'Malaria-Key Info'!$F$35*'HPM costs'!G72</f>
        <v>0</v>
      </c>
      <c r="S91" s="525" t="s">
        <v>1237</v>
      </c>
      <c r="T91" s="525">
        <f>'Malaria-Key Info'!$F$35*'HPM costs'!H72</f>
        <v>0</v>
      </c>
      <c r="U91" s="525" t="s">
        <v>1237</v>
      </c>
      <c r="V91" s="525">
        <f>'Malaria-Key Info'!$F$35*'HPM costs'!I72</f>
        <v>0</v>
      </c>
      <c r="W91" s="525"/>
      <c r="X91" s="1154">
        <f t="shared" si="12"/>
        <v>0</v>
      </c>
      <c r="Y91" s="1155"/>
      <c r="Z91" s="1156"/>
      <c r="AA91" s="529"/>
      <c r="AB91" s="525"/>
      <c r="AC91" s="525">
        <f>'Malaria-Key Info'!$F$35*'HPM costs'!K72</f>
        <v>0</v>
      </c>
      <c r="AD91" s="525"/>
      <c r="AE91" s="525">
        <f>'Malaria-Key Info'!$F$35*'HPM costs'!L72</f>
        <v>0</v>
      </c>
      <c r="AF91" s="525"/>
      <c r="AG91" s="525">
        <f>'Malaria-Key Info'!$F$35*'HPM costs'!M72</f>
        <v>0</v>
      </c>
      <c r="AH91" s="525"/>
      <c r="AI91" s="525">
        <f>'Malaria-Key Info'!$F$35*'HPM costs'!N72</f>
        <v>0</v>
      </c>
      <c r="AJ91" s="525"/>
      <c r="AK91" s="1154">
        <f t="shared" si="13"/>
        <v>0</v>
      </c>
      <c r="AL91" s="1155"/>
      <c r="AM91" s="1156"/>
      <c r="AN91" s="529"/>
      <c r="AO91" s="525"/>
      <c r="AP91" s="525">
        <f>'Malaria-Key Info'!$F$35*'HPM costs'!P72</f>
        <v>0</v>
      </c>
      <c r="AQ91" s="525"/>
      <c r="AR91" s="525">
        <f>'Malaria-Key Info'!$F$35*'HPM costs'!Q72</f>
        <v>0</v>
      </c>
      <c r="AS91" s="525"/>
      <c r="AT91" s="525">
        <f>'Malaria-Key Info'!$F$35*'HPM costs'!R72</f>
        <v>0</v>
      </c>
      <c r="AU91" s="525"/>
      <c r="AV91" s="525">
        <f>'Malaria-Key Info'!$F$35*'HPM costs'!S72</f>
        <v>0</v>
      </c>
      <c r="AW91" s="525"/>
      <c r="AX91" s="1154">
        <f t="shared" si="14"/>
        <v>0</v>
      </c>
      <c r="AY91" s="1154"/>
      <c r="AZ91" s="528"/>
      <c r="BA91" s="529"/>
      <c r="BB91" s="527"/>
      <c r="BC91" s="527">
        <v>0</v>
      </c>
      <c r="BD91" s="527">
        <v>0</v>
      </c>
      <c r="BE91" s="527">
        <v>0</v>
      </c>
      <c r="BF91" s="527">
        <v>0</v>
      </c>
      <c r="BG91" s="527">
        <v>0</v>
      </c>
      <c r="BH91" s="527">
        <v>0</v>
      </c>
      <c r="BI91" s="527">
        <v>0</v>
      </c>
      <c r="BJ91" s="527">
        <v>0</v>
      </c>
      <c r="BK91" s="1154">
        <f t="shared" si="15"/>
        <v>0</v>
      </c>
      <c r="BL91" s="1154"/>
      <c r="BM91" s="1154">
        <f t="shared" si="16"/>
        <v>0</v>
      </c>
      <c r="BN91" s="1154">
        <f t="shared" si="17"/>
        <v>0</v>
      </c>
      <c r="BO91" s="527"/>
      <c r="BP91" s="527"/>
      <c r="BQ91" s="1157">
        <v>0</v>
      </c>
      <c r="BR91" s="1157" t="s">
        <v>19</v>
      </c>
      <c r="BS91" s="1157" t="s">
        <v>527</v>
      </c>
      <c r="BT91" s="1376" t="s">
        <v>615</v>
      </c>
    </row>
    <row r="92" spans="1:72" s="512" customFormat="1" ht="13" hidden="1">
      <c r="A92" s="1204">
        <v>127</v>
      </c>
      <c r="B92" s="1205" t="s">
        <v>612</v>
      </c>
      <c r="C92" s="1205" t="s">
        <v>613</v>
      </c>
      <c r="D92" s="1206" t="s">
        <v>527</v>
      </c>
      <c r="E92" s="1386" t="s">
        <v>530</v>
      </c>
      <c r="F92" s="521"/>
      <c r="G92" s="522"/>
      <c r="H92" s="522"/>
      <c r="I92" s="522"/>
      <c r="J92" s="523"/>
      <c r="K92" s="523"/>
      <c r="L92" s="523"/>
      <c r="M92" s="524"/>
      <c r="N92" s="525"/>
      <c r="O92" s="526" t="s">
        <v>1237</v>
      </c>
      <c r="P92" s="525">
        <f>'Malaria-Key Info'!$F$35*'HPM costs'!F158</f>
        <v>0</v>
      </c>
      <c r="Q92" s="525" t="s">
        <v>1237</v>
      </c>
      <c r="R92" s="525">
        <f>'Malaria-Key Info'!$F$35*'HPM costs'!G158</f>
        <v>0</v>
      </c>
      <c r="S92" s="525" t="s">
        <v>1237</v>
      </c>
      <c r="T92" s="525">
        <f>'Malaria-Key Info'!$F$35*'HPM costs'!H158</f>
        <v>0</v>
      </c>
      <c r="U92" s="525" t="s">
        <v>1237</v>
      </c>
      <c r="V92" s="525">
        <f>'Malaria-Key Info'!$F$35*'HPM costs'!I158</f>
        <v>0</v>
      </c>
      <c r="W92" s="525"/>
      <c r="X92" s="1154">
        <f t="shared" si="12"/>
        <v>0</v>
      </c>
      <c r="Y92" s="1155"/>
      <c r="Z92" s="1156"/>
      <c r="AA92" s="529"/>
      <c r="AB92" s="525"/>
      <c r="AC92" s="525">
        <f>'Malaria-Key Info'!$F$35*'HPM costs'!K158</f>
        <v>0</v>
      </c>
      <c r="AD92" s="525"/>
      <c r="AE92" s="525">
        <f>'Malaria-Key Info'!$F$35*'HPM costs'!L158</f>
        <v>0</v>
      </c>
      <c r="AF92" s="525"/>
      <c r="AG92" s="525">
        <f>'Malaria-Key Info'!$F$35*'HPM costs'!M158</f>
        <v>0</v>
      </c>
      <c r="AH92" s="525"/>
      <c r="AI92" s="525">
        <f>'Malaria-Key Info'!$F$35*'HPM costs'!N158</f>
        <v>0</v>
      </c>
      <c r="AJ92" s="525"/>
      <c r="AK92" s="1154">
        <f t="shared" si="13"/>
        <v>0</v>
      </c>
      <c r="AL92" s="1155"/>
      <c r="AM92" s="1156"/>
      <c r="AN92" s="529"/>
      <c r="AO92" s="525"/>
      <c r="AP92" s="525">
        <f>'Malaria-Key Info'!$F$35*'HPM costs'!P158</f>
        <v>0</v>
      </c>
      <c r="AQ92" s="525"/>
      <c r="AR92" s="525">
        <f>'Malaria-Key Info'!$F$35*'HPM costs'!Q158</f>
        <v>0</v>
      </c>
      <c r="AS92" s="525"/>
      <c r="AT92" s="525">
        <f>'Malaria-Key Info'!$F$35*'HPM costs'!R158</f>
        <v>0</v>
      </c>
      <c r="AU92" s="525"/>
      <c r="AV92" s="525">
        <f>'Malaria-Key Info'!$F$35*'HPM costs'!S158</f>
        <v>0</v>
      </c>
      <c r="AW92" s="525"/>
      <c r="AX92" s="1154">
        <f t="shared" si="14"/>
        <v>0</v>
      </c>
      <c r="AY92" s="1154"/>
      <c r="AZ92" s="528"/>
      <c r="BA92" s="529"/>
      <c r="BB92" s="527"/>
      <c r="BC92" s="527">
        <v>0</v>
      </c>
      <c r="BD92" s="527">
        <v>0</v>
      </c>
      <c r="BE92" s="527">
        <v>0</v>
      </c>
      <c r="BF92" s="527">
        <v>0</v>
      </c>
      <c r="BG92" s="527">
        <v>0</v>
      </c>
      <c r="BH92" s="527">
        <v>0</v>
      </c>
      <c r="BI92" s="527">
        <v>0</v>
      </c>
      <c r="BJ92" s="527">
        <v>0</v>
      </c>
      <c r="BK92" s="1154">
        <f t="shared" si="15"/>
        <v>0</v>
      </c>
      <c r="BL92" s="1154"/>
      <c r="BM92" s="1154">
        <f t="shared" si="16"/>
        <v>0</v>
      </c>
      <c r="BN92" s="1154">
        <f t="shared" si="17"/>
        <v>0</v>
      </c>
      <c r="BO92" s="527"/>
      <c r="BP92" s="527"/>
      <c r="BQ92" s="1157">
        <v>0</v>
      </c>
      <c r="BR92" s="1157" t="s">
        <v>19</v>
      </c>
      <c r="BS92" s="1157" t="s">
        <v>527</v>
      </c>
      <c r="BT92" s="1376" t="s">
        <v>616</v>
      </c>
    </row>
    <row r="93" spans="1:72" s="512" customFormat="1" ht="13" hidden="1">
      <c r="A93" s="1204">
        <v>128</v>
      </c>
      <c r="B93" s="1205" t="s">
        <v>612</v>
      </c>
      <c r="C93" s="1205" t="s">
        <v>613</v>
      </c>
      <c r="D93" s="1206" t="s">
        <v>527</v>
      </c>
      <c r="E93" s="1386" t="s">
        <v>532</v>
      </c>
      <c r="F93" s="521"/>
      <c r="G93" s="522"/>
      <c r="H93" s="522"/>
      <c r="I93" s="522"/>
      <c r="J93" s="523"/>
      <c r="K93" s="523"/>
      <c r="L93" s="523"/>
      <c r="M93" s="524"/>
      <c r="N93" s="525"/>
      <c r="O93" s="526" t="s">
        <v>1237</v>
      </c>
      <c r="P93" s="525">
        <f>'Malaria-Key Info'!$F$35*'HPM costs'!F418</f>
        <v>0</v>
      </c>
      <c r="Q93" s="525" t="s">
        <v>1237</v>
      </c>
      <c r="R93" s="525">
        <f>'Malaria-Key Info'!$F$35*'HPM costs'!G418</f>
        <v>0</v>
      </c>
      <c r="S93" s="525" t="s">
        <v>1237</v>
      </c>
      <c r="T93" s="525">
        <f>'Malaria-Key Info'!$F$35*'HPM costs'!H418</f>
        <v>0</v>
      </c>
      <c r="U93" s="525" t="s">
        <v>1237</v>
      </c>
      <c r="V93" s="525">
        <f>'Malaria-Key Info'!$F$35*'HPM costs'!I418</f>
        <v>0</v>
      </c>
      <c r="W93" s="525"/>
      <c r="X93" s="1154">
        <f t="shared" si="12"/>
        <v>0</v>
      </c>
      <c r="Y93" s="1155"/>
      <c r="Z93" s="1156"/>
      <c r="AA93" s="529"/>
      <c r="AB93" s="525"/>
      <c r="AC93" s="525">
        <f>'Malaria-Key Info'!$F$35*'HPM costs'!K418</f>
        <v>0</v>
      </c>
      <c r="AD93" s="525"/>
      <c r="AE93" s="525">
        <f>'Malaria-Key Info'!$F$35*'HPM costs'!L418</f>
        <v>0</v>
      </c>
      <c r="AF93" s="525"/>
      <c r="AG93" s="525">
        <f>'Malaria-Key Info'!$F$35*'HPM costs'!M418</f>
        <v>0</v>
      </c>
      <c r="AH93" s="525"/>
      <c r="AI93" s="525">
        <f>'Malaria-Key Info'!$F$35*'HPM costs'!N418</f>
        <v>0</v>
      </c>
      <c r="AJ93" s="525"/>
      <c r="AK93" s="1154">
        <f t="shared" si="13"/>
        <v>0</v>
      </c>
      <c r="AL93" s="1155"/>
      <c r="AM93" s="1156"/>
      <c r="AN93" s="529"/>
      <c r="AO93" s="525"/>
      <c r="AP93" s="525">
        <f>'Malaria-Key Info'!$F$35*'HPM costs'!P418</f>
        <v>0</v>
      </c>
      <c r="AQ93" s="525"/>
      <c r="AR93" s="525">
        <f>'Malaria-Key Info'!$F$35*'HPM costs'!Q418</f>
        <v>0</v>
      </c>
      <c r="AS93" s="525"/>
      <c r="AT93" s="525">
        <f>'Malaria-Key Info'!$F$35*'HPM costs'!R418</f>
        <v>0</v>
      </c>
      <c r="AU93" s="525"/>
      <c r="AV93" s="525">
        <f>'Malaria-Key Info'!$F$35*'HPM costs'!S418</f>
        <v>0</v>
      </c>
      <c r="AW93" s="525"/>
      <c r="AX93" s="1154">
        <f t="shared" si="14"/>
        <v>0</v>
      </c>
      <c r="AY93" s="1154"/>
      <c r="AZ93" s="528"/>
      <c r="BA93" s="529"/>
      <c r="BB93" s="527"/>
      <c r="BC93" s="527">
        <v>0</v>
      </c>
      <c r="BD93" s="527">
        <v>0</v>
      </c>
      <c r="BE93" s="527">
        <v>0</v>
      </c>
      <c r="BF93" s="527">
        <v>0</v>
      </c>
      <c r="BG93" s="527">
        <v>0</v>
      </c>
      <c r="BH93" s="527">
        <v>0</v>
      </c>
      <c r="BI93" s="527">
        <v>0</v>
      </c>
      <c r="BJ93" s="527">
        <v>0</v>
      </c>
      <c r="BK93" s="1154">
        <f t="shared" si="15"/>
        <v>0</v>
      </c>
      <c r="BL93" s="1154"/>
      <c r="BM93" s="1154">
        <f t="shared" si="16"/>
        <v>0</v>
      </c>
      <c r="BN93" s="1154">
        <f t="shared" si="17"/>
        <v>0</v>
      </c>
      <c r="BO93" s="527"/>
      <c r="BP93" s="527"/>
      <c r="BQ93" s="1157">
        <v>0</v>
      </c>
      <c r="BR93" s="1157" t="s">
        <v>19</v>
      </c>
      <c r="BS93" s="1157" t="s">
        <v>527</v>
      </c>
      <c r="BT93" s="1376" t="s">
        <v>617</v>
      </c>
    </row>
    <row r="94" spans="1:72" s="512" customFormat="1" ht="13" hidden="1">
      <c r="A94" s="1204">
        <v>129</v>
      </c>
      <c r="B94" s="1205" t="s">
        <v>612</v>
      </c>
      <c r="C94" s="1205" t="s">
        <v>613</v>
      </c>
      <c r="D94" s="1206" t="s">
        <v>527</v>
      </c>
      <c r="E94" s="1386" t="s">
        <v>534</v>
      </c>
      <c r="F94" s="521"/>
      <c r="G94" s="522"/>
      <c r="H94" s="522"/>
      <c r="I94" s="522"/>
      <c r="J94" s="523"/>
      <c r="K94" s="523"/>
      <c r="L94" s="523"/>
      <c r="M94" s="524"/>
      <c r="N94" s="525"/>
      <c r="O94" s="526" t="s">
        <v>1237</v>
      </c>
      <c r="P94" s="525">
        <f>'Malaria-Key Info'!$F$35*'HPM costs'!F504</f>
        <v>0</v>
      </c>
      <c r="Q94" s="525" t="s">
        <v>1237</v>
      </c>
      <c r="R94" s="525">
        <f>'Malaria-Key Info'!$F$35*'HPM costs'!G504</f>
        <v>0</v>
      </c>
      <c r="S94" s="525" t="s">
        <v>1237</v>
      </c>
      <c r="T94" s="525">
        <f>'Malaria-Key Info'!$F$35*'HPM costs'!H504</f>
        <v>0</v>
      </c>
      <c r="U94" s="525" t="s">
        <v>1237</v>
      </c>
      <c r="V94" s="525">
        <f>'Malaria-Key Info'!$F$35*'HPM costs'!I504</f>
        <v>0</v>
      </c>
      <c r="W94" s="525"/>
      <c r="X94" s="1154">
        <f t="shared" si="12"/>
        <v>0</v>
      </c>
      <c r="Y94" s="1155"/>
      <c r="Z94" s="1156"/>
      <c r="AA94" s="529"/>
      <c r="AB94" s="525"/>
      <c r="AC94" s="525">
        <f>'Malaria-Key Info'!$F$35*'HPM costs'!K504</f>
        <v>0</v>
      </c>
      <c r="AD94" s="525"/>
      <c r="AE94" s="525">
        <f>'Malaria-Key Info'!$F$35*'HPM costs'!L504</f>
        <v>0</v>
      </c>
      <c r="AF94" s="525"/>
      <c r="AG94" s="525">
        <f>'Malaria-Key Info'!$F$35*'HPM costs'!M504</f>
        <v>0</v>
      </c>
      <c r="AH94" s="525"/>
      <c r="AI94" s="525">
        <f>'Malaria-Key Info'!$F$35*'HPM costs'!N504</f>
        <v>0</v>
      </c>
      <c r="AJ94" s="525"/>
      <c r="AK94" s="1154">
        <f t="shared" si="13"/>
        <v>0</v>
      </c>
      <c r="AL94" s="1155"/>
      <c r="AM94" s="1156"/>
      <c r="AN94" s="529"/>
      <c r="AO94" s="525"/>
      <c r="AP94" s="525">
        <f>'Malaria-Key Info'!$F$35*'HPM costs'!P504</f>
        <v>0</v>
      </c>
      <c r="AQ94" s="525"/>
      <c r="AR94" s="525">
        <f>'Malaria-Key Info'!$F$35*'HPM costs'!Q504</f>
        <v>0</v>
      </c>
      <c r="AS94" s="525"/>
      <c r="AT94" s="525">
        <f>'Malaria-Key Info'!$F$35*'HPM costs'!R504</f>
        <v>0</v>
      </c>
      <c r="AU94" s="525"/>
      <c r="AV94" s="525">
        <f>'Malaria-Key Info'!$F$35*'HPM costs'!S504</f>
        <v>0</v>
      </c>
      <c r="AW94" s="525"/>
      <c r="AX94" s="1154">
        <f t="shared" si="14"/>
        <v>0</v>
      </c>
      <c r="AY94" s="1154"/>
      <c r="AZ94" s="528"/>
      <c r="BA94" s="529"/>
      <c r="BB94" s="527"/>
      <c r="BC94" s="527">
        <v>0</v>
      </c>
      <c r="BD94" s="527">
        <v>0</v>
      </c>
      <c r="BE94" s="527">
        <v>0</v>
      </c>
      <c r="BF94" s="527">
        <v>0</v>
      </c>
      <c r="BG94" s="527">
        <v>0</v>
      </c>
      <c r="BH94" s="527">
        <v>0</v>
      </c>
      <c r="BI94" s="527">
        <v>0</v>
      </c>
      <c r="BJ94" s="527">
        <v>0</v>
      </c>
      <c r="BK94" s="1154">
        <f t="shared" si="15"/>
        <v>0</v>
      </c>
      <c r="BL94" s="1154"/>
      <c r="BM94" s="1154">
        <f t="shared" si="16"/>
        <v>0</v>
      </c>
      <c r="BN94" s="1154">
        <f t="shared" si="17"/>
        <v>0</v>
      </c>
      <c r="BO94" s="527"/>
      <c r="BP94" s="527"/>
      <c r="BQ94" s="1157">
        <v>0</v>
      </c>
      <c r="BR94" s="1157" t="s">
        <v>19</v>
      </c>
      <c r="BS94" s="1157" t="s">
        <v>527</v>
      </c>
      <c r="BT94" s="1376" t="s">
        <v>618</v>
      </c>
    </row>
    <row r="95" spans="1:72" s="512" customFormat="1" ht="13" hidden="1">
      <c r="A95" s="1204">
        <v>130</v>
      </c>
      <c r="B95" s="1205" t="s">
        <v>612</v>
      </c>
      <c r="C95" s="1205" t="s">
        <v>613</v>
      </c>
      <c r="D95" s="1206" t="s">
        <v>527</v>
      </c>
      <c r="E95" s="1386" t="s">
        <v>536</v>
      </c>
      <c r="F95" s="521"/>
      <c r="G95" s="522"/>
      <c r="H95" s="522"/>
      <c r="I95" s="522"/>
      <c r="J95" s="523"/>
      <c r="K95" s="523"/>
      <c r="L95" s="523"/>
      <c r="M95" s="524"/>
      <c r="N95" s="525"/>
      <c r="O95" s="526" t="s">
        <v>1237</v>
      </c>
      <c r="P95" s="525">
        <f>'Malaria-Key Info'!$F$35*('HPM costs'!F244+'HPM costs'!F590)</f>
        <v>0</v>
      </c>
      <c r="Q95" s="525" t="s">
        <v>1237</v>
      </c>
      <c r="R95" s="525">
        <f>'Malaria-Key Info'!$F$35*('HPM costs'!G244+'HPM costs'!G590)</f>
        <v>0</v>
      </c>
      <c r="S95" s="525" t="s">
        <v>1237</v>
      </c>
      <c r="T95" s="525">
        <f>'Malaria-Key Info'!$F$35*('HPM costs'!H244+'HPM costs'!H590)</f>
        <v>0</v>
      </c>
      <c r="U95" s="525" t="s">
        <v>1237</v>
      </c>
      <c r="V95" s="525">
        <f>'Malaria-Key Info'!$F$35*('HPM costs'!I244+'HPM costs'!I590)</f>
        <v>0</v>
      </c>
      <c r="W95" s="525"/>
      <c r="X95" s="1154">
        <f t="shared" si="12"/>
        <v>0</v>
      </c>
      <c r="Y95" s="1155"/>
      <c r="Z95" s="1156"/>
      <c r="AA95" s="529"/>
      <c r="AB95" s="525"/>
      <c r="AC95" s="525">
        <f>'Malaria-Key Info'!$F$35*('HPM costs'!K244+'HPM costs'!K590)</f>
        <v>0</v>
      </c>
      <c r="AD95" s="525"/>
      <c r="AE95" s="525">
        <f>'Malaria-Key Info'!$F$35*('HPM costs'!L244+'HPM costs'!L590)</f>
        <v>0</v>
      </c>
      <c r="AF95" s="525"/>
      <c r="AG95" s="525">
        <f>'Malaria-Key Info'!$F$35*('HPM costs'!M244+'HPM costs'!M590)</f>
        <v>0</v>
      </c>
      <c r="AH95" s="525"/>
      <c r="AI95" s="525">
        <f>'Malaria-Key Info'!$F$35*('HPM costs'!N244+'HPM costs'!N590)</f>
        <v>0</v>
      </c>
      <c r="AJ95" s="525"/>
      <c r="AK95" s="1154">
        <f t="shared" si="13"/>
        <v>0</v>
      </c>
      <c r="AL95" s="1155"/>
      <c r="AM95" s="1156"/>
      <c r="AN95" s="529"/>
      <c r="AO95" s="525"/>
      <c r="AP95" s="525">
        <f>'Malaria-Key Info'!$F$35*('HPM costs'!P244+'HPM costs'!P590)</f>
        <v>0</v>
      </c>
      <c r="AQ95" s="525"/>
      <c r="AR95" s="1110">
        <f>'Malaria-Key Info'!$F$35*('HPM costs'!Q244+'HPM costs'!Q590)</f>
        <v>0</v>
      </c>
      <c r="AS95" s="525"/>
      <c r="AT95" s="1110">
        <f>'Malaria-Key Info'!$F$35*('HPM costs'!R244+'HPM costs'!R590)</f>
        <v>0</v>
      </c>
      <c r="AU95" s="525"/>
      <c r="AV95" s="1110">
        <f>'Malaria-Key Info'!$F$35*('HPM costs'!S244+'HPM costs'!S590)</f>
        <v>0</v>
      </c>
      <c r="AW95" s="525"/>
      <c r="AX95" s="1154">
        <f t="shared" si="14"/>
        <v>0</v>
      </c>
      <c r="AY95" s="1154"/>
      <c r="AZ95" s="528"/>
      <c r="BA95" s="529"/>
      <c r="BB95" s="527"/>
      <c r="BC95" s="527">
        <v>0</v>
      </c>
      <c r="BD95" s="527">
        <v>0</v>
      </c>
      <c r="BE95" s="527">
        <v>0</v>
      </c>
      <c r="BF95" s="527">
        <v>0</v>
      </c>
      <c r="BG95" s="527">
        <v>0</v>
      </c>
      <c r="BH95" s="527">
        <v>0</v>
      </c>
      <c r="BI95" s="527">
        <v>0</v>
      </c>
      <c r="BJ95" s="527">
        <v>0</v>
      </c>
      <c r="BK95" s="1154">
        <f t="shared" si="15"/>
        <v>0</v>
      </c>
      <c r="BL95" s="1154"/>
      <c r="BM95" s="1154">
        <f t="shared" si="16"/>
        <v>0</v>
      </c>
      <c r="BN95" s="1154">
        <f t="shared" si="17"/>
        <v>0</v>
      </c>
      <c r="BO95" s="527"/>
      <c r="BP95" s="527"/>
      <c r="BQ95" s="1157">
        <v>0</v>
      </c>
      <c r="BR95" s="1157" t="s">
        <v>19</v>
      </c>
      <c r="BS95" s="1157" t="s">
        <v>527</v>
      </c>
      <c r="BT95" s="1376" t="s">
        <v>619</v>
      </c>
    </row>
    <row r="96" spans="1:72" s="512" customFormat="1" ht="13" hidden="1">
      <c r="A96" s="1204">
        <v>131</v>
      </c>
      <c r="B96" s="1205" t="s">
        <v>612</v>
      </c>
      <c r="C96" s="1205" t="s">
        <v>613</v>
      </c>
      <c r="D96" s="1206" t="s">
        <v>527</v>
      </c>
      <c r="E96" s="1386" t="s">
        <v>538</v>
      </c>
      <c r="F96" s="521"/>
      <c r="G96" s="522"/>
      <c r="H96" s="522"/>
      <c r="I96" s="522"/>
      <c r="J96" s="523"/>
      <c r="K96" s="523"/>
      <c r="L96" s="523"/>
      <c r="M96" s="524"/>
      <c r="N96" s="525"/>
      <c r="O96" s="526" t="s">
        <v>1237</v>
      </c>
      <c r="P96" s="525">
        <f>'Malaria-Key Info'!$F$35*'HPM costs'!F330</f>
        <v>0</v>
      </c>
      <c r="Q96" s="525" t="s">
        <v>1237</v>
      </c>
      <c r="R96" s="525">
        <f>'Malaria-Key Info'!$F$35*'HPM costs'!G330</f>
        <v>0</v>
      </c>
      <c r="S96" s="525" t="s">
        <v>1237</v>
      </c>
      <c r="T96" s="525">
        <f>'Malaria-Key Info'!$F$35*'HPM costs'!H330</f>
        <v>0</v>
      </c>
      <c r="U96" s="525" t="s">
        <v>1237</v>
      </c>
      <c r="V96" s="525">
        <f>'Malaria-Key Info'!$F$35*'HPM costs'!I330</f>
        <v>0</v>
      </c>
      <c r="W96" s="525"/>
      <c r="X96" s="1154">
        <f t="shared" si="12"/>
        <v>0</v>
      </c>
      <c r="Y96" s="1155"/>
      <c r="Z96" s="1156"/>
      <c r="AA96" s="529"/>
      <c r="AB96" s="525"/>
      <c r="AC96" s="525">
        <f>'Malaria-Key Info'!$F$35*'HPM costs'!K330</f>
        <v>0</v>
      </c>
      <c r="AD96" s="525"/>
      <c r="AE96" s="525">
        <f>'Malaria-Key Info'!$F$35*'HPM costs'!L330</f>
        <v>0</v>
      </c>
      <c r="AF96" s="525"/>
      <c r="AG96" s="525">
        <f>'Malaria-Key Info'!$F$35*'HPM costs'!M330</f>
        <v>0</v>
      </c>
      <c r="AH96" s="525"/>
      <c r="AI96" s="525">
        <f>'Malaria-Key Info'!$F$35*'HPM costs'!N330</f>
        <v>0</v>
      </c>
      <c r="AJ96" s="525"/>
      <c r="AK96" s="1154">
        <f t="shared" si="13"/>
        <v>0</v>
      </c>
      <c r="AL96" s="1155"/>
      <c r="AM96" s="1156"/>
      <c r="AN96" s="529"/>
      <c r="AO96" s="525"/>
      <c r="AP96" s="525">
        <f>'Malaria-Key Info'!$F$35*'HPM costs'!P330</f>
        <v>0</v>
      </c>
      <c r="AQ96" s="525"/>
      <c r="AR96" s="525">
        <f>'Malaria-Key Info'!$F$35*'HPM costs'!Q330</f>
        <v>0</v>
      </c>
      <c r="AS96" s="525"/>
      <c r="AT96" s="525">
        <f>'Malaria-Key Info'!$F$35*'HPM costs'!R330</f>
        <v>0</v>
      </c>
      <c r="AU96" s="525"/>
      <c r="AV96" s="525">
        <f>'Malaria-Key Info'!$F$35*'HPM costs'!S330</f>
        <v>0</v>
      </c>
      <c r="AW96" s="525"/>
      <c r="AX96" s="1154">
        <f t="shared" si="14"/>
        <v>0</v>
      </c>
      <c r="AY96" s="1154"/>
      <c r="AZ96" s="528"/>
      <c r="BA96" s="529"/>
      <c r="BB96" s="527"/>
      <c r="BC96" s="527">
        <v>0</v>
      </c>
      <c r="BD96" s="527">
        <v>0</v>
      </c>
      <c r="BE96" s="527">
        <v>0</v>
      </c>
      <c r="BF96" s="527">
        <v>0</v>
      </c>
      <c r="BG96" s="527">
        <v>0</v>
      </c>
      <c r="BH96" s="527">
        <v>0</v>
      </c>
      <c r="BI96" s="527">
        <v>0</v>
      </c>
      <c r="BJ96" s="527">
        <v>0</v>
      </c>
      <c r="BK96" s="1154">
        <f t="shared" si="15"/>
        <v>0</v>
      </c>
      <c r="BL96" s="1154"/>
      <c r="BM96" s="1154">
        <f t="shared" si="16"/>
        <v>0</v>
      </c>
      <c r="BN96" s="1154">
        <f t="shared" si="17"/>
        <v>0</v>
      </c>
      <c r="BO96" s="527"/>
      <c r="BP96" s="527"/>
      <c r="BQ96" s="1157">
        <v>0</v>
      </c>
      <c r="BR96" s="1157" t="s">
        <v>19</v>
      </c>
      <c r="BS96" s="1157" t="s">
        <v>527</v>
      </c>
      <c r="BT96" s="1376" t="s">
        <v>620</v>
      </c>
    </row>
    <row r="97" spans="1:72" s="512" customFormat="1" ht="13" hidden="1">
      <c r="A97" s="1204">
        <v>132</v>
      </c>
      <c r="B97" s="1205" t="s">
        <v>612</v>
      </c>
      <c r="C97" s="1205" t="s">
        <v>613</v>
      </c>
      <c r="D97" s="1206" t="s">
        <v>527</v>
      </c>
      <c r="E97" s="1386" t="s">
        <v>540</v>
      </c>
      <c r="F97" s="521"/>
      <c r="G97" s="522"/>
      <c r="H97" s="522"/>
      <c r="I97" s="522"/>
      <c r="J97" s="523"/>
      <c r="K97" s="523"/>
      <c r="L97" s="523"/>
      <c r="M97" s="524"/>
      <c r="N97" s="525"/>
      <c r="O97" s="526" t="s">
        <v>1237</v>
      </c>
      <c r="P97" s="525">
        <f>'Malaria-Key Info'!$F$35*'HPM costs'!F675</f>
        <v>0</v>
      </c>
      <c r="Q97" s="525" t="s">
        <v>1237</v>
      </c>
      <c r="R97" s="525">
        <f>'Malaria-Key Info'!$F$35*'HPM costs'!G675</f>
        <v>0</v>
      </c>
      <c r="S97" s="525" t="s">
        <v>1237</v>
      </c>
      <c r="T97" s="525">
        <f>'Malaria-Key Info'!$F$35*'HPM costs'!H675</f>
        <v>0</v>
      </c>
      <c r="U97" s="525" t="s">
        <v>1237</v>
      </c>
      <c r="V97" s="525">
        <f>'Malaria-Key Info'!$F$35*'HPM costs'!I675</f>
        <v>0</v>
      </c>
      <c r="W97" s="525"/>
      <c r="X97" s="1154">
        <f t="shared" si="12"/>
        <v>0</v>
      </c>
      <c r="Y97" s="1155"/>
      <c r="Z97" s="1156"/>
      <c r="AA97" s="529"/>
      <c r="AB97" s="525"/>
      <c r="AC97" s="525">
        <f>'Malaria-Key Info'!$F$35*'HPM costs'!K675</f>
        <v>0</v>
      </c>
      <c r="AD97" s="525"/>
      <c r="AE97" s="525">
        <f>'Malaria-Key Info'!$F$35*'HPM costs'!L675</f>
        <v>0</v>
      </c>
      <c r="AF97" s="525"/>
      <c r="AG97" s="525">
        <f>'Malaria-Key Info'!$F$35*'HPM costs'!M675</f>
        <v>0</v>
      </c>
      <c r="AH97" s="525"/>
      <c r="AI97" s="525">
        <f>'Malaria-Key Info'!$F$35*'HPM costs'!N675</f>
        <v>0</v>
      </c>
      <c r="AJ97" s="525"/>
      <c r="AK97" s="1154">
        <f t="shared" si="13"/>
        <v>0</v>
      </c>
      <c r="AL97" s="1155"/>
      <c r="AM97" s="1156"/>
      <c r="AN97" s="529"/>
      <c r="AO97" s="525"/>
      <c r="AP97" s="525">
        <f>'Malaria-Key Info'!$F$35*'HPM costs'!P675</f>
        <v>0</v>
      </c>
      <c r="AQ97" s="525"/>
      <c r="AR97" s="525">
        <f>'Malaria-Key Info'!$F$35*'HPM costs'!Q675</f>
        <v>0</v>
      </c>
      <c r="AS97" s="525"/>
      <c r="AT97" s="525">
        <f>'Malaria-Key Info'!$F$35*'HPM costs'!R675</f>
        <v>0</v>
      </c>
      <c r="AU97" s="525"/>
      <c r="AV97" s="525">
        <f>'Malaria-Key Info'!$F$35*'HPM costs'!S675</f>
        <v>0</v>
      </c>
      <c r="AW97" s="525"/>
      <c r="AX97" s="1154">
        <f t="shared" si="14"/>
        <v>0</v>
      </c>
      <c r="AY97" s="1154"/>
      <c r="AZ97" s="528"/>
      <c r="BA97" s="529"/>
      <c r="BB97" s="527"/>
      <c r="BC97" s="527">
        <v>0</v>
      </c>
      <c r="BD97" s="527">
        <v>0</v>
      </c>
      <c r="BE97" s="527">
        <v>0</v>
      </c>
      <c r="BF97" s="527">
        <v>0</v>
      </c>
      <c r="BG97" s="527">
        <v>0</v>
      </c>
      <c r="BH97" s="527">
        <v>0</v>
      </c>
      <c r="BI97" s="527">
        <v>0</v>
      </c>
      <c r="BJ97" s="527">
        <v>0</v>
      </c>
      <c r="BK97" s="1154">
        <f t="shared" si="15"/>
        <v>0</v>
      </c>
      <c r="BL97" s="1154"/>
      <c r="BM97" s="1154">
        <f t="shared" si="16"/>
        <v>0</v>
      </c>
      <c r="BN97" s="1154">
        <f t="shared" si="17"/>
        <v>0</v>
      </c>
      <c r="BO97" s="527"/>
      <c r="BP97" s="527"/>
      <c r="BQ97" s="1157">
        <v>0</v>
      </c>
      <c r="BR97" s="1157" t="s">
        <v>19</v>
      </c>
      <c r="BS97" s="1157" t="s">
        <v>527</v>
      </c>
      <c r="BT97" s="1376" t="s">
        <v>1243</v>
      </c>
    </row>
    <row r="98" spans="1:72" s="512" customFormat="1" ht="13" hidden="1">
      <c r="A98" s="1204">
        <v>133</v>
      </c>
      <c r="B98" s="1205" t="s">
        <v>612</v>
      </c>
      <c r="C98" s="1205" t="s">
        <v>621</v>
      </c>
      <c r="D98" s="1206" t="s">
        <v>2564</v>
      </c>
      <c r="E98" s="1386" t="s">
        <v>600</v>
      </c>
      <c r="F98" s="521"/>
      <c r="G98" s="522" t="str">
        <f>SETUP!$E$3</f>
        <v>El Salvador</v>
      </c>
      <c r="H98" s="522"/>
      <c r="I98" s="522"/>
      <c r="J98" s="523"/>
      <c r="K98" s="523"/>
      <c r="L98" s="523"/>
      <c r="M98" s="524" t="e">
        <f>X98/W98</f>
        <v>#DIV/0!</v>
      </c>
      <c r="N98" s="525" t="e">
        <f>IF(M98&lt;&gt;"",M98/VLOOKUP($K98,SETUP!$C$28:$D$42,2,0),"")</f>
        <v>#DIV/0!</v>
      </c>
      <c r="O98" s="526" t="s">
        <v>1237</v>
      </c>
      <c r="P98" s="525">
        <f>('Malaria-Key Info'!$F$36*'HPM costs'!F158)/'HPM costs'!$E$158</f>
        <v>0</v>
      </c>
      <c r="Q98" s="525" t="s">
        <v>1237</v>
      </c>
      <c r="R98" s="525">
        <f>('Malaria-Key Info'!$F$36*'HPM costs'!G158)/'HPM costs'!$E$158</f>
        <v>0</v>
      </c>
      <c r="S98" s="525" t="s">
        <v>1237</v>
      </c>
      <c r="T98" s="525">
        <f>('Malaria-Key Info'!$F$36*'HPM costs'!H158)/'HPM costs'!$E$158</f>
        <v>0</v>
      </c>
      <c r="U98" s="525" t="s">
        <v>1237</v>
      </c>
      <c r="V98" s="525">
        <f>('Malaria-Key Info'!$F$36*'HPM costs'!I158)/'HPM costs'!$E$158</f>
        <v>0</v>
      </c>
      <c r="W98" s="525"/>
      <c r="X98" s="1154">
        <f t="shared" si="12"/>
        <v>0</v>
      </c>
      <c r="Y98" s="1155"/>
      <c r="Z98" s="1156"/>
      <c r="AA98" s="529"/>
      <c r="AB98" s="525"/>
      <c r="AC98" s="525">
        <f>('Malaria-Key Info'!$F$36*'HPM costs'!K158)/'HPM costs'!$E$158</f>
        <v>0</v>
      </c>
      <c r="AD98" s="525"/>
      <c r="AE98" s="525">
        <f>('Malaria-Key Info'!$F$36*'HPM costs'!L158)/'HPM costs'!$E$158</f>
        <v>0</v>
      </c>
      <c r="AF98" s="525"/>
      <c r="AG98" s="525">
        <f>('Malaria-Key Info'!$F$36*'HPM costs'!M158)/'HPM costs'!$E$158</f>
        <v>0</v>
      </c>
      <c r="AH98" s="525"/>
      <c r="AI98" s="525">
        <f>('Malaria-Key Info'!$F$36*'HPM costs'!N158)/'HPM costs'!$E$158</f>
        <v>0</v>
      </c>
      <c r="AJ98" s="525"/>
      <c r="AK98" s="1154">
        <f t="shared" si="13"/>
        <v>0</v>
      </c>
      <c r="AL98" s="1155"/>
      <c r="AM98" s="1156"/>
      <c r="AN98" s="529"/>
      <c r="AO98" s="525"/>
      <c r="AP98" s="525">
        <f>('Malaria-Key Info'!$F$36*'HPM costs'!P158)/'HPM costs'!$E$158</f>
        <v>0</v>
      </c>
      <c r="AQ98" s="525"/>
      <c r="AR98" s="525">
        <f>('Malaria-Key Info'!$F$36*'HPM costs'!Q158)/'HPM costs'!$E$158</f>
        <v>0</v>
      </c>
      <c r="AS98" s="525"/>
      <c r="AT98" s="525">
        <f>('Malaria-Key Info'!$F$36*'HPM costs'!R158)/'HPM costs'!$E$158</f>
        <v>0</v>
      </c>
      <c r="AU98" s="525"/>
      <c r="AV98" s="525">
        <f>('Malaria-Key Info'!$F$36*'HPM costs'!S158)/'HPM costs'!$E$158</f>
        <v>0</v>
      </c>
      <c r="AW98" s="525"/>
      <c r="AX98" s="1154">
        <f t="shared" si="14"/>
        <v>0</v>
      </c>
      <c r="AY98" s="1154"/>
      <c r="AZ98" s="528"/>
      <c r="BA98" s="529"/>
      <c r="BB98" s="527"/>
      <c r="BC98" s="527">
        <v>0</v>
      </c>
      <c r="BD98" s="527">
        <v>0</v>
      </c>
      <c r="BE98" s="527">
        <v>0</v>
      </c>
      <c r="BF98" s="527">
        <v>0</v>
      </c>
      <c r="BG98" s="527">
        <v>0</v>
      </c>
      <c r="BH98" s="527">
        <v>0</v>
      </c>
      <c r="BI98" s="527">
        <v>0</v>
      </c>
      <c r="BJ98" s="527">
        <v>0</v>
      </c>
      <c r="BK98" s="1154">
        <f t="shared" si="15"/>
        <v>0</v>
      </c>
      <c r="BL98" s="1154"/>
      <c r="BM98" s="1154">
        <f t="shared" si="16"/>
        <v>0</v>
      </c>
      <c r="BN98" s="1154">
        <f t="shared" si="17"/>
        <v>0</v>
      </c>
      <c r="BO98" s="527"/>
      <c r="BP98" s="527"/>
      <c r="BQ98" s="1157">
        <v>0</v>
      </c>
      <c r="BR98" s="1157" t="s">
        <v>19</v>
      </c>
      <c r="BS98" s="1157" t="s">
        <v>2564</v>
      </c>
      <c r="BT98" s="1376" t="s">
        <v>622</v>
      </c>
    </row>
    <row r="99" spans="1:72" s="512" customFormat="1" ht="13" hidden="1">
      <c r="A99" s="1204">
        <v>134</v>
      </c>
      <c r="B99" s="1205" t="s">
        <v>612</v>
      </c>
      <c r="C99" s="1205" t="s">
        <v>621</v>
      </c>
      <c r="D99" s="1206" t="s">
        <v>527</v>
      </c>
      <c r="E99" s="1386" t="s">
        <v>528</v>
      </c>
      <c r="F99" s="521"/>
      <c r="G99" s="522"/>
      <c r="H99" s="522"/>
      <c r="I99" s="522"/>
      <c r="J99" s="523"/>
      <c r="K99" s="523"/>
      <c r="L99" s="523"/>
      <c r="M99" s="524"/>
      <c r="N99" s="525"/>
      <c r="O99" s="526" t="s">
        <v>1237</v>
      </c>
      <c r="P99" s="525">
        <f>'Malaria-Key Info'!$F$36*'HPM costs'!F72</f>
        <v>0</v>
      </c>
      <c r="Q99" s="525" t="s">
        <v>1237</v>
      </c>
      <c r="R99" s="525">
        <f>'Malaria-Key Info'!$F$36*'HPM costs'!G72</f>
        <v>0</v>
      </c>
      <c r="S99" s="525" t="s">
        <v>1237</v>
      </c>
      <c r="T99" s="525">
        <f>'Malaria-Key Info'!$F$36*'HPM costs'!H72</f>
        <v>0</v>
      </c>
      <c r="U99" s="525" t="s">
        <v>1237</v>
      </c>
      <c r="V99" s="525">
        <f>'Malaria-Key Info'!$F$36*'HPM costs'!I72</f>
        <v>0</v>
      </c>
      <c r="W99" s="525"/>
      <c r="X99" s="1154">
        <f t="shared" si="12"/>
        <v>0</v>
      </c>
      <c r="Y99" s="1155"/>
      <c r="Z99" s="1156"/>
      <c r="AA99" s="529"/>
      <c r="AB99" s="525"/>
      <c r="AC99" s="525">
        <f>'Malaria-Key Info'!$F$36*'HPM costs'!K72</f>
        <v>0</v>
      </c>
      <c r="AD99" s="525"/>
      <c r="AE99" s="525">
        <f>'Malaria-Key Info'!$F$36*'HPM costs'!L72</f>
        <v>0</v>
      </c>
      <c r="AF99" s="525"/>
      <c r="AG99" s="525">
        <f>'Malaria-Key Info'!$F$36*'HPM costs'!M72</f>
        <v>0</v>
      </c>
      <c r="AH99" s="525"/>
      <c r="AI99" s="525">
        <f>'Malaria-Key Info'!$F$36*'HPM costs'!N72</f>
        <v>0</v>
      </c>
      <c r="AJ99" s="525"/>
      <c r="AK99" s="1154">
        <f t="shared" si="13"/>
        <v>0</v>
      </c>
      <c r="AL99" s="1155"/>
      <c r="AM99" s="1156"/>
      <c r="AN99" s="529"/>
      <c r="AO99" s="525"/>
      <c r="AP99" s="525">
        <f>'Malaria-Key Info'!$F$36*'HPM costs'!P72</f>
        <v>0</v>
      </c>
      <c r="AQ99" s="525"/>
      <c r="AR99" s="525">
        <f>'Malaria-Key Info'!$F$36*'HPM costs'!Q72</f>
        <v>0</v>
      </c>
      <c r="AS99" s="525"/>
      <c r="AT99" s="525">
        <f>'Malaria-Key Info'!$F$36*'HPM costs'!R72</f>
        <v>0</v>
      </c>
      <c r="AU99" s="525"/>
      <c r="AV99" s="525">
        <f>'Malaria-Key Info'!$F$36*'HPM costs'!S72</f>
        <v>0</v>
      </c>
      <c r="AW99" s="525"/>
      <c r="AX99" s="1154">
        <f t="shared" si="14"/>
        <v>0</v>
      </c>
      <c r="AY99" s="1154"/>
      <c r="AZ99" s="528"/>
      <c r="BA99" s="529"/>
      <c r="BB99" s="527"/>
      <c r="BC99" s="527">
        <v>0</v>
      </c>
      <c r="BD99" s="527">
        <v>0</v>
      </c>
      <c r="BE99" s="527">
        <v>0</v>
      </c>
      <c r="BF99" s="527">
        <v>0</v>
      </c>
      <c r="BG99" s="527">
        <v>0</v>
      </c>
      <c r="BH99" s="527">
        <v>0</v>
      </c>
      <c r="BI99" s="527">
        <v>0</v>
      </c>
      <c r="BJ99" s="527">
        <v>0</v>
      </c>
      <c r="BK99" s="1154">
        <f t="shared" si="15"/>
        <v>0</v>
      </c>
      <c r="BL99" s="1154"/>
      <c r="BM99" s="1154">
        <f t="shared" si="16"/>
        <v>0</v>
      </c>
      <c r="BN99" s="1154">
        <f t="shared" si="17"/>
        <v>0</v>
      </c>
      <c r="BO99" s="527"/>
      <c r="BP99" s="527"/>
      <c r="BQ99" s="1157">
        <v>0</v>
      </c>
      <c r="BR99" s="1157" t="s">
        <v>19</v>
      </c>
      <c r="BS99" s="1157" t="s">
        <v>527</v>
      </c>
      <c r="BT99" s="1376" t="s">
        <v>623</v>
      </c>
    </row>
    <row r="100" spans="1:72" s="512" customFormat="1" ht="13" hidden="1">
      <c r="A100" s="1204">
        <v>135</v>
      </c>
      <c r="B100" s="1205" t="s">
        <v>612</v>
      </c>
      <c r="C100" s="1205" t="s">
        <v>621</v>
      </c>
      <c r="D100" s="1206" t="s">
        <v>527</v>
      </c>
      <c r="E100" s="1386" t="s">
        <v>530</v>
      </c>
      <c r="F100" s="521"/>
      <c r="G100" s="522"/>
      <c r="H100" s="522"/>
      <c r="I100" s="522"/>
      <c r="J100" s="523"/>
      <c r="K100" s="523"/>
      <c r="L100" s="523"/>
      <c r="M100" s="524"/>
      <c r="N100" s="525"/>
      <c r="O100" s="526" t="s">
        <v>1237</v>
      </c>
      <c r="P100" s="525">
        <f>'Malaria-Key Info'!$F$36*'HPM costs'!F158</f>
        <v>0</v>
      </c>
      <c r="Q100" s="525" t="s">
        <v>1237</v>
      </c>
      <c r="R100" s="525">
        <f>'Malaria-Key Info'!$F$36*'HPM costs'!G158</f>
        <v>0</v>
      </c>
      <c r="S100" s="525" t="s">
        <v>1237</v>
      </c>
      <c r="T100" s="525">
        <f>'Malaria-Key Info'!$F$36*'HPM costs'!H158</f>
        <v>0</v>
      </c>
      <c r="U100" s="525" t="s">
        <v>1237</v>
      </c>
      <c r="V100" s="525">
        <f>'Malaria-Key Info'!$F$36*'HPM costs'!I158</f>
        <v>0</v>
      </c>
      <c r="W100" s="525"/>
      <c r="X100" s="1154">
        <f t="shared" si="12"/>
        <v>0</v>
      </c>
      <c r="Y100" s="1155"/>
      <c r="Z100" s="1156"/>
      <c r="AA100" s="529"/>
      <c r="AB100" s="525"/>
      <c r="AC100" s="525">
        <f>'Malaria-Key Info'!$F$36*'HPM costs'!K158</f>
        <v>0</v>
      </c>
      <c r="AD100" s="525"/>
      <c r="AE100" s="525">
        <f>'Malaria-Key Info'!$F$36*'HPM costs'!L158</f>
        <v>0</v>
      </c>
      <c r="AF100" s="525"/>
      <c r="AG100" s="525">
        <f>'Malaria-Key Info'!$F$36*'HPM costs'!M158</f>
        <v>0</v>
      </c>
      <c r="AH100" s="525"/>
      <c r="AI100" s="525">
        <f>'Malaria-Key Info'!$F$36*'HPM costs'!N158</f>
        <v>0</v>
      </c>
      <c r="AJ100" s="525"/>
      <c r="AK100" s="1154">
        <f t="shared" si="13"/>
        <v>0</v>
      </c>
      <c r="AL100" s="1155"/>
      <c r="AM100" s="1156"/>
      <c r="AN100" s="529"/>
      <c r="AO100" s="525"/>
      <c r="AP100" s="525">
        <f>'Malaria-Key Info'!$F$36*'HPM costs'!P158</f>
        <v>0</v>
      </c>
      <c r="AQ100" s="525"/>
      <c r="AR100" s="525">
        <f>'Malaria-Key Info'!$F$36*'HPM costs'!Q158</f>
        <v>0</v>
      </c>
      <c r="AS100" s="525"/>
      <c r="AT100" s="525">
        <f>'Malaria-Key Info'!$F$36*'HPM costs'!R158</f>
        <v>0</v>
      </c>
      <c r="AU100" s="525"/>
      <c r="AV100" s="525">
        <f>'Malaria-Key Info'!$F$36*'HPM costs'!S158</f>
        <v>0</v>
      </c>
      <c r="AW100" s="525"/>
      <c r="AX100" s="1154">
        <f t="shared" si="14"/>
        <v>0</v>
      </c>
      <c r="AY100" s="1154"/>
      <c r="AZ100" s="528"/>
      <c r="BA100" s="529"/>
      <c r="BB100" s="527"/>
      <c r="BC100" s="527">
        <v>0</v>
      </c>
      <c r="BD100" s="527">
        <v>0</v>
      </c>
      <c r="BE100" s="527">
        <v>0</v>
      </c>
      <c r="BF100" s="527">
        <v>0</v>
      </c>
      <c r="BG100" s="527">
        <v>0</v>
      </c>
      <c r="BH100" s="527">
        <v>0</v>
      </c>
      <c r="BI100" s="527">
        <v>0</v>
      </c>
      <c r="BJ100" s="527">
        <v>0</v>
      </c>
      <c r="BK100" s="1154">
        <f t="shared" si="15"/>
        <v>0</v>
      </c>
      <c r="BL100" s="1154"/>
      <c r="BM100" s="1154">
        <f t="shared" si="16"/>
        <v>0</v>
      </c>
      <c r="BN100" s="1154">
        <f t="shared" si="17"/>
        <v>0</v>
      </c>
      <c r="BO100" s="527"/>
      <c r="BP100" s="527"/>
      <c r="BQ100" s="1157">
        <v>0</v>
      </c>
      <c r="BR100" s="1157" t="s">
        <v>19</v>
      </c>
      <c r="BS100" s="1157" t="s">
        <v>527</v>
      </c>
      <c r="BT100" s="1376" t="s">
        <v>624</v>
      </c>
    </row>
    <row r="101" spans="1:72" s="512" customFormat="1" ht="13" hidden="1">
      <c r="A101" s="1204">
        <v>136</v>
      </c>
      <c r="B101" s="1205" t="s">
        <v>612</v>
      </c>
      <c r="C101" s="1205" t="s">
        <v>621</v>
      </c>
      <c r="D101" s="1206" t="s">
        <v>527</v>
      </c>
      <c r="E101" s="1386" t="s">
        <v>532</v>
      </c>
      <c r="F101" s="521"/>
      <c r="G101" s="522"/>
      <c r="H101" s="522"/>
      <c r="I101" s="522"/>
      <c r="J101" s="523"/>
      <c r="K101" s="523"/>
      <c r="L101" s="523"/>
      <c r="M101" s="524"/>
      <c r="N101" s="525"/>
      <c r="O101" s="526" t="s">
        <v>1237</v>
      </c>
      <c r="P101" s="525">
        <f>'Malaria-Key Info'!$F$36*'HPM costs'!F418</f>
        <v>0</v>
      </c>
      <c r="Q101" s="525" t="s">
        <v>1237</v>
      </c>
      <c r="R101" s="525">
        <f>'Malaria-Key Info'!$F$36*'HPM costs'!G418</f>
        <v>0</v>
      </c>
      <c r="S101" s="525" t="s">
        <v>1237</v>
      </c>
      <c r="T101" s="525">
        <f>'Malaria-Key Info'!$F$36*'HPM costs'!H418</f>
        <v>0</v>
      </c>
      <c r="U101" s="525" t="s">
        <v>1237</v>
      </c>
      <c r="V101" s="525">
        <f>'Malaria-Key Info'!$F$36*'HPM costs'!I418</f>
        <v>0</v>
      </c>
      <c r="W101" s="525"/>
      <c r="X101" s="1154">
        <f t="shared" si="12"/>
        <v>0</v>
      </c>
      <c r="Y101" s="1155"/>
      <c r="Z101" s="1156"/>
      <c r="AA101" s="529"/>
      <c r="AB101" s="525"/>
      <c r="AC101" s="525">
        <f>'Malaria-Key Info'!$F$36*'HPM costs'!K418</f>
        <v>0</v>
      </c>
      <c r="AD101" s="525"/>
      <c r="AE101" s="525">
        <f>'Malaria-Key Info'!$F$36*'HPM costs'!L418</f>
        <v>0</v>
      </c>
      <c r="AF101" s="525"/>
      <c r="AG101" s="525">
        <f>'Malaria-Key Info'!$F$36*'HPM costs'!M418</f>
        <v>0</v>
      </c>
      <c r="AH101" s="525"/>
      <c r="AI101" s="525">
        <f>'Malaria-Key Info'!$F$36*'HPM costs'!N418</f>
        <v>0</v>
      </c>
      <c r="AJ101" s="525"/>
      <c r="AK101" s="1154">
        <f t="shared" si="13"/>
        <v>0</v>
      </c>
      <c r="AL101" s="1155"/>
      <c r="AM101" s="1156"/>
      <c r="AN101" s="529"/>
      <c r="AO101" s="525"/>
      <c r="AP101" s="525">
        <f>'Malaria-Key Info'!$F$36*'HPM costs'!P418</f>
        <v>0</v>
      </c>
      <c r="AQ101" s="525"/>
      <c r="AR101" s="525">
        <f>'Malaria-Key Info'!$F$36*'HPM costs'!Q418</f>
        <v>0</v>
      </c>
      <c r="AS101" s="525"/>
      <c r="AT101" s="525">
        <f>'Malaria-Key Info'!$F$36*'HPM costs'!R418</f>
        <v>0</v>
      </c>
      <c r="AU101" s="525"/>
      <c r="AV101" s="525">
        <f>'Malaria-Key Info'!$F$36*'HPM costs'!S418</f>
        <v>0</v>
      </c>
      <c r="AW101" s="525"/>
      <c r="AX101" s="1154">
        <f t="shared" si="14"/>
        <v>0</v>
      </c>
      <c r="AY101" s="1154"/>
      <c r="AZ101" s="528"/>
      <c r="BA101" s="529"/>
      <c r="BB101" s="527"/>
      <c r="BC101" s="527">
        <v>0</v>
      </c>
      <c r="BD101" s="527">
        <v>0</v>
      </c>
      <c r="BE101" s="527">
        <v>0</v>
      </c>
      <c r="BF101" s="527">
        <v>0</v>
      </c>
      <c r="BG101" s="527">
        <v>0</v>
      </c>
      <c r="BH101" s="527">
        <v>0</v>
      </c>
      <c r="BI101" s="527">
        <v>0</v>
      </c>
      <c r="BJ101" s="527">
        <v>0</v>
      </c>
      <c r="BK101" s="1154">
        <f t="shared" si="15"/>
        <v>0</v>
      </c>
      <c r="BL101" s="1154"/>
      <c r="BM101" s="1154">
        <f t="shared" si="16"/>
        <v>0</v>
      </c>
      <c r="BN101" s="1154">
        <f t="shared" si="17"/>
        <v>0</v>
      </c>
      <c r="BO101" s="527"/>
      <c r="BP101" s="527"/>
      <c r="BQ101" s="1157">
        <v>0</v>
      </c>
      <c r="BR101" s="1157" t="s">
        <v>19</v>
      </c>
      <c r="BS101" s="1157" t="s">
        <v>527</v>
      </c>
      <c r="BT101" s="1376" t="s">
        <v>625</v>
      </c>
    </row>
    <row r="102" spans="1:72" s="512" customFormat="1" ht="13" hidden="1">
      <c r="A102" s="1204">
        <v>137</v>
      </c>
      <c r="B102" s="1205" t="s">
        <v>612</v>
      </c>
      <c r="C102" s="1205" t="s">
        <v>621</v>
      </c>
      <c r="D102" s="1206" t="s">
        <v>527</v>
      </c>
      <c r="E102" s="1386" t="s">
        <v>534</v>
      </c>
      <c r="F102" s="521"/>
      <c r="G102" s="522"/>
      <c r="H102" s="522"/>
      <c r="I102" s="522"/>
      <c r="J102" s="523"/>
      <c r="K102" s="523"/>
      <c r="L102" s="523"/>
      <c r="M102" s="524"/>
      <c r="N102" s="525"/>
      <c r="O102" s="526" t="s">
        <v>1237</v>
      </c>
      <c r="P102" s="525">
        <f>'Malaria-Key Info'!$F$36*'HPM costs'!F504</f>
        <v>0</v>
      </c>
      <c r="Q102" s="525" t="s">
        <v>1237</v>
      </c>
      <c r="R102" s="525">
        <f>'Malaria-Key Info'!$F$36*'HPM costs'!G504</f>
        <v>0</v>
      </c>
      <c r="S102" s="525" t="s">
        <v>1237</v>
      </c>
      <c r="T102" s="525">
        <f>'Malaria-Key Info'!$F$36*'HPM costs'!H504</f>
        <v>0</v>
      </c>
      <c r="U102" s="525" t="s">
        <v>1237</v>
      </c>
      <c r="V102" s="525">
        <f>'Malaria-Key Info'!$F$36*'HPM costs'!I504</f>
        <v>0</v>
      </c>
      <c r="W102" s="525"/>
      <c r="X102" s="1154">
        <f t="shared" si="12"/>
        <v>0</v>
      </c>
      <c r="Y102" s="1155"/>
      <c r="Z102" s="1156"/>
      <c r="AA102" s="529"/>
      <c r="AB102" s="525"/>
      <c r="AC102" s="525">
        <f>'Malaria-Key Info'!$F$36*'HPM costs'!K504</f>
        <v>0</v>
      </c>
      <c r="AD102" s="525"/>
      <c r="AE102" s="525">
        <f>'Malaria-Key Info'!$F$36*'HPM costs'!L504</f>
        <v>0</v>
      </c>
      <c r="AF102" s="525"/>
      <c r="AG102" s="525">
        <f>'Malaria-Key Info'!$F$36*'HPM costs'!M504</f>
        <v>0</v>
      </c>
      <c r="AH102" s="525"/>
      <c r="AI102" s="525">
        <f>'Malaria-Key Info'!$F$36*'HPM costs'!N504</f>
        <v>0</v>
      </c>
      <c r="AJ102" s="525"/>
      <c r="AK102" s="1154">
        <f t="shared" si="13"/>
        <v>0</v>
      </c>
      <c r="AL102" s="1155"/>
      <c r="AM102" s="1156"/>
      <c r="AN102" s="529"/>
      <c r="AO102" s="525"/>
      <c r="AP102" s="525">
        <f>'Malaria-Key Info'!$F$36*'HPM costs'!P504</f>
        <v>0</v>
      </c>
      <c r="AQ102" s="525"/>
      <c r="AR102" s="525">
        <f>'Malaria-Key Info'!$F$36*'HPM costs'!Q504</f>
        <v>0</v>
      </c>
      <c r="AS102" s="525"/>
      <c r="AT102" s="525">
        <f>'Malaria-Key Info'!$F$36*'HPM costs'!R504</f>
        <v>0</v>
      </c>
      <c r="AU102" s="525"/>
      <c r="AV102" s="525">
        <f>'Malaria-Key Info'!$F$36*'HPM costs'!S504</f>
        <v>0</v>
      </c>
      <c r="AW102" s="525"/>
      <c r="AX102" s="1154">
        <f t="shared" si="14"/>
        <v>0</v>
      </c>
      <c r="AY102" s="1154"/>
      <c r="AZ102" s="528"/>
      <c r="BA102" s="529"/>
      <c r="BB102" s="527"/>
      <c r="BC102" s="527">
        <v>0</v>
      </c>
      <c r="BD102" s="527">
        <v>0</v>
      </c>
      <c r="BE102" s="527">
        <v>0</v>
      </c>
      <c r="BF102" s="527">
        <v>0</v>
      </c>
      <c r="BG102" s="527">
        <v>0</v>
      </c>
      <c r="BH102" s="527">
        <v>0</v>
      </c>
      <c r="BI102" s="527">
        <v>0</v>
      </c>
      <c r="BJ102" s="527">
        <v>0</v>
      </c>
      <c r="BK102" s="1154">
        <f t="shared" si="15"/>
        <v>0</v>
      </c>
      <c r="BL102" s="1154"/>
      <c r="BM102" s="1154">
        <f t="shared" si="16"/>
        <v>0</v>
      </c>
      <c r="BN102" s="1154">
        <f t="shared" si="17"/>
        <v>0</v>
      </c>
      <c r="BO102" s="527"/>
      <c r="BP102" s="527"/>
      <c r="BQ102" s="1157">
        <v>0</v>
      </c>
      <c r="BR102" s="1157" t="s">
        <v>19</v>
      </c>
      <c r="BS102" s="1157" t="s">
        <v>527</v>
      </c>
      <c r="BT102" s="1376" t="s">
        <v>626</v>
      </c>
    </row>
    <row r="103" spans="1:72" s="512" customFormat="1" ht="13" hidden="1">
      <c r="A103" s="1204">
        <v>138</v>
      </c>
      <c r="B103" s="1205" t="s">
        <v>612</v>
      </c>
      <c r="C103" s="1205" t="s">
        <v>621</v>
      </c>
      <c r="D103" s="1206" t="s">
        <v>527</v>
      </c>
      <c r="E103" s="1386" t="s">
        <v>536</v>
      </c>
      <c r="F103" s="521"/>
      <c r="G103" s="522"/>
      <c r="H103" s="522"/>
      <c r="I103" s="522"/>
      <c r="J103" s="523"/>
      <c r="K103" s="523"/>
      <c r="L103" s="523"/>
      <c r="M103" s="524"/>
      <c r="N103" s="525"/>
      <c r="O103" s="526" t="s">
        <v>1237</v>
      </c>
      <c r="P103" s="525">
        <f>'Malaria-Key Info'!$F$36*('HPM costs'!F244+'HPM costs'!F590)</f>
        <v>0</v>
      </c>
      <c r="Q103" s="525" t="s">
        <v>1237</v>
      </c>
      <c r="R103" s="525">
        <f>'Malaria-Key Info'!$F$36*('HPM costs'!G244+'HPM costs'!G590)</f>
        <v>0</v>
      </c>
      <c r="S103" s="525" t="s">
        <v>1237</v>
      </c>
      <c r="T103" s="525">
        <f>'Malaria-Key Info'!$F$36*('HPM costs'!H244+'HPM costs'!H590)</f>
        <v>0</v>
      </c>
      <c r="U103" s="525" t="s">
        <v>1237</v>
      </c>
      <c r="V103" s="525">
        <f>'Malaria-Key Info'!$F$36*('HPM costs'!I244+'HPM costs'!I590)</f>
        <v>0</v>
      </c>
      <c r="W103" s="525"/>
      <c r="X103" s="1154">
        <f t="shared" si="12"/>
        <v>0</v>
      </c>
      <c r="Y103" s="1155"/>
      <c r="Z103" s="1156"/>
      <c r="AA103" s="529"/>
      <c r="AB103" s="525"/>
      <c r="AC103" s="525">
        <f>'Malaria-Key Info'!$F$36*('HPM costs'!K244+'HPM costs'!K590)</f>
        <v>0</v>
      </c>
      <c r="AD103" s="525"/>
      <c r="AE103" s="525">
        <f>'Malaria-Key Info'!$F$36*('HPM costs'!L244+'HPM costs'!L590)</f>
        <v>0</v>
      </c>
      <c r="AF103" s="525"/>
      <c r="AG103" s="525">
        <f>'Malaria-Key Info'!$F$36*('HPM costs'!M244+'HPM costs'!M590)</f>
        <v>0</v>
      </c>
      <c r="AH103" s="525"/>
      <c r="AI103" s="525">
        <f>'Malaria-Key Info'!$F$36*('HPM costs'!N244+'HPM costs'!N590)</f>
        <v>0</v>
      </c>
      <c r="AJ103" s="525"/>
      <c r="AK103" s="1154">
        <f t="shared" si="13"/>
        <v>0</v>
      </c>
      <c r="AL103" s="1155"/>
      <c r="AM103" s="1156"/>
      <c r="AN103" s="529"/>
      <c r="AO103" s="525"/>
      <c r="AP103" s="525">
        <f>'Malaria-Key Info'!$F$36*('HPM costs'!P244+'HPM costs'!P590)</f>
        <v>0</v>
      </c>
      <c r="AQ103" s="525"/>
      <c r="AR103" s="525">
        <f>'Malaria-Key Info'!$F$36*('HPM costs'!Q244+'HPM costs'!Q590)</f>
        <v>0</v>
      </c>
      <c r="AS103" s="525"/>
      <c r="AT103" s="525">
        <f>'Malaria-Key Info'!$F$36*('HPM costs'!R244+'HPM costs'!R590)</f>
        <v>0</v>
      </c>
      <c r="AU103" s="525"/>
      <c r="AV103" s="525">
        <f>'Malaria-Key Info'!$F$36*('HPM costs'!S244+'HPM costs'!S590)</f>
        <v>0</v>
      </c>
      <c r="AW103" s="525"/>
      <c r="AX103" s="1154">
        <f t="shared" si="14"/>
        <v>0</v>
      </c>
      <c r="AY103" s="1154"/>
      <c r="AZ103" s="528"/>
      <c r="BA103" s="529"/>
      <c r="BB103" s="527"/>
      <c r="BC103" s="527">
        <v>0</v>
      </c>
      <c r="BD103" s="527">
        <v>0</v>
      </c>
      <c r="BE103" s="527">
        <v>0</v>
      </c>
      <c r="BF103" s="527">
        <v>0</v>
      </c>
      <c r="BG103" s="527">
        <v>0</v>
      </c>
      <c r="BH103" s="527">
        <v>0</v>
      </c>
      <c r="BI103" s="527">
        <v>0</v>
      </c>
      <c r="BJ103" s="527">
        <v>0</v>
      </c>
      <c r="BK103" s="1154">
        <f t="shared" si="15"/>
        <v>0</v>
      </c>
      <c r="BL103" s="1154"/>
      <c r="BM103" s="1154">
        <f t="shared" si="16"/>
        <v>0</v>
      </c>
      <c r="BN103" s="1154">
        <f t="shared" si="17"/>
        <v>0</v>
      </c>
      <c r="BO103" s="527"/>
      <c r="BP103" s="527"/>
      <c r="BQ103" s="1157">
        <v>0</v>
      </c>
      <c r="BR103" s="1157" t="s">
        <v>19</v>
      </c>
      <c r="BS103" s="1157" t="s">
        <v>527</v>
      </c>
      <c r="BT103" s="1376" t="s">
        <v>627</v>
      </c>
    </row>
    <row r="104" spans="1:72" s="512" customFormat="1" ht="13" hidden="1">
      <c r="A104" s="1204">
        <v>139</v>
      </c>
      <c r="B104" s="1205" t="s">
        <v>612</v>
      </c>
      <c r="C104" s="1205" t="s">
        <v>621</v>
      </c>
      <c r="D104" s="1206" t="s">
        <v>527</v>
      </c>
      <c r="E104" s="1386" t="s">
        <v>538</v>
      </c>
      <c r="F104" s="521"/>
      <c r="G104" s="522" t="str">
        <f>SETUP!$E$3</f>
        <v>El Salvador</v>
      </c>
      <c r="H104" s="522"/>
      <c r="I104" s="522"/>
      <c r="J104" s="523"/>
      <c r="K104" s="523"/>
      <c r="L104" s="523"/>
      <c r="M104" s="524"/>
      <c r="N104" s="525"/>
      <c r="O104" s="526" t="s">
        <v>1237</v>
      </c>
      <c r="P104" s="525">
        <f>'Malaria-Key Info'!$F$36*'HPM costs'!F330</f>
        <v>0</v>
      </c>
      <c r="Q104" s="525" t="s">
        <v>1237</v>
      </c>
      <c r="R104" s="525">
        <f>'Malaria-Key Info'!$F$36*'HPM costs'!G330</f>
        <v>0</v>
      </c>
      <c r="S104" s="525" t="s">
        <v>1237</v>
      </c>
      <c r="T104" s="525">
        <f>'Malaria-Key Info'!$F$36*'HPM costs'!H330</f>
        <v>0</v>
      </c>
      <c r="U104" s="525" t="s">
        <v>1237</v>
      </c>
      <c r="V104" s="525">
        <f>'Malaria-Key Info'!$F$36*'HPM costs'!I330</f>
        <v>0</v>
      </c>
      <c r="W104" s="525"/>
      <c r="X104" s="1154">
        <f t="shared" si="12"/>
        <v>0</v>
      </c>
      <c r="Y104" s="1155"/>
      <c r="Z104" s="1156"/>
      <c r="AA104" s="529"/>
      <c r="AB104" s="525"/>
      <c r="AC104" s="525">
        <f>'Malaria-Key Info'!$F$36*'HPM costs'!K330</f>
        <v>0</v>
      </c>
      <c r="AD104" s="525"/>
      <c r="AE104" s="525">
        <f>'Malaria-Key Info'!$F$36*'HPM costs'!L330</f>
        <v>0</v>
      </c>
      <c r="AF104" s="525"/>
      <c r="AG104" s="525">
        <f>'Malaria-Key Info'!$F$36*'HPM costs'!M330</f>
        <v>0</v>
      </c>
      <c r="AH104" s="525"/>
      <c r="AI104" s="525">
        <f>'Malaria-Key Info'!$F$36*'HPM costs'!N330</f>
        <v>0</v>
      </c>
      <c r="AJ104" s="525"/>
      <c r="AK104" s="1154">
        <f t="shared" si="13"/>
        <v>0</v>
      </c>
      <c r="AL104" s="1155"/>
      <c r="AM104" s="1156"/>
      <c r="AN104" s="529"/>
      <c r="AO104" s="525"/>
      <c r="AP104" s="525">
        <f>'Malaria-Key Info'!$F$36*'HPM costs'!P330</f>
        <v>0</v>
      </c>
      <c r="AQ104" s="525"/>
      <c r="AR104" s="525">
        <f>'Malaria-Key Info'!$F$36*'HPM costs'!Q330</f>
        <v>0</v>
      </c>
      <c r="AS104" s="525"/>
      <c r="AT104" s="525">
        <f>'Malaria-Key Info'!$F$36*'HPM costs'!R330</f>
        <v>0</v>
      </c>
      <c r="AU104" s="525"/>
      <c r="AV104" s="525">
        <f>'Malaria-Key Info'!$F$36*'HPM costs'!S330</f>
        <v>0</v>
      </c>
      <c r="AW104" s="525"/>
      <c r="AX104" s="1154">
        <f t="shared" si="14"/>
        <v>0</v>
      </c>
      <c r="AY104" s="1154"/>
      <c r="AZ104" s="528"/>
      <c r="BA104" s="529"/>
      <c r="BB104" s="527"/>
      <c r="BC104" s="527">
        <v>0</v>
      </c>
      <c r="BD104" s="527">
        <v>0</v>
      </c>
      <c r="BE104" s="527">
        <v>0</v>
      </c>
      <c r="BF104" s="527">
        <v>0</v>
      </c>
      <c r="BG104" s="527">
        <v>0</v>
      </c>
      <c r="BH104" s="527">
        <v>0</v>
      </c>
      <c r="BI104" s="527">
        <v>0</v>
      </c>
      <c r="BJ104" s="527">
        <v>0</v>
      </c>
      <c r="BK104" s="1154">
        <f t="shared" si="15"/>
        <v>0</v>
      </c>
      <c r="BL104" s="1154"/>
      <c r="BM104" s="1154">
        <f t="shared" si="16"/>
        <v>0</v>
      </c>
      <c r="BN104" s="1154">
        <f t="shared" si="17"/>
        <v>0</v>
      </c>
      <c r="BO104" s="527"/>
      <c r="BP104" s="527"/>
      <c r="BQ104" s="1157">
        <v>0</v>
      </c>
      <c r="BR104" s="1157" t="s">
        <v>19</v>
      </c>
      <c r="BS104" s="1157" t="s">
        <v>527</v>
      </c>
      <c r="BT104" s="1376" t="s">
        <v>628</v>
      </c>
    </row>
    <row r="105" spans="1:72" s="512" customFormat="1" ht="13" hidden="1">
      <c r="A105" s="1204">
        <v>140</v>
      </c>
      <c r="B105" s="1205" t="s">
        <v>612</v>
      </c>
      <c r="C105" s="1205" t="s">
        <v>621</v>
      </c>
      <c r="D105" s="1206" t="s">
        <v>527</v>
      </c>
      <c r="E105" s="1386" t="s">
        <v>540</v>
      </c>
      <c r="F105" s="521"/>
      <c r="G105" s="522" t="str">
        <f>SETUP!$E$3</f>
        <v>El Salvador</v>
      </c>
      <c r="H105" s="522"/>
      <c r="I105" s="522"/>
      <c r="J105" s="523"/>
      <c r="K105" s="523"/>
      <c r="L105" s="523"/>
      <c r="M105" s="524"/>
      <c r="N105" s="525"/>
      <c r="O105" s="526" t="s">
        <v>1237</v>
      </c>
      <c r="P105" s="525">
        <f>'Malaria-Key Info'!$F$36*'HPM costs'!F675</f>
        <v>0</v>
      </c>
      <c r="Q105" s="525" t="s">
        <v>1237</v>
      </c>
      <c r="R105" s="525">
        <f>'Malaria-Key Info'!$F$36*'HPM costs'!G675</f>
        <v>0</v>
      </c>
      <c r="S105" s="525" t="s">
        <v>1237</v>
      </c>
      <c r="T105" s="525">
        <f>'Malaria-Key Info'!$F$36*'HPM costs'!H675</f>
        <v>0</v>
      </c>
      <c r="U105" s="525" t="s">
        <v>1237</v>
      </c>
      <c r="V105" s="525">
        <f>'Malaria-Key Info'!$F$36*'HPM costs'!I675</f>
        <v>0</v>
      </c>
      <c r="W105" s="525"/>
      <c r="X105" s="1154">
        <f t="shared" si="12"/>
        <v>0</v>
      </c>
      <c r="Y105" s="1155"/>
      <c r="Z105" s="1156"/>
      <c r="AA105" s="529"/>
      <c r="AB105" s="525"/>
      <c r="AC105" s="525">
        <f>'Malaria-Key Info'!$F$36*'HPM costs'!K675</f>
        <v>0</v>
      </c>
      <c r="AD105" s="525"/>
      <c r="AE105" s="525">
        <f>'Malaria-Key Info'!$F$36*'HPM costs'!L675</f>
        <v>0</v>
      </c>
      <c r="AF105" s="525"/>
      <c r="AG105" s="525">
        <f>'Malaria-Key Info'!$F$36*'HPM costs'!M675</f>
        <v>0</v>
      </c>
      <c r="AH105" s="525"/>
      <c r="AI105" s="525">
        <f>'Malaria-Key Info'!$F$36*'HPM costs'!N675</f>
        <v>0</v>
      </c>
      <c r="AJ105" s="525"/>
      <c r="AK105" s="1154">
        <f t="shared" si="13"/>
        <v>0</v>
      </c>
      <c r="AL105" s="1155"/>
      <c r="AM105" s="1156"/>
      <c r="AN105" s="529"/>
      <c r="AO105" s="525"/>
      <c r="AP105" s="525">
        <f>'Malaria-Key Info'!$F$36*'HPM costs'!P675</f>
        <v>0</v>
      </c>
      <c r="AQ105" s="525"/>
      <c r="AR105" s="525">
        <f>'Malaria-Key Info'!$F$36*'HPM costs'!Q675</f>
        <v>0</v>
      </c>
      <c r="AS105" s="525"/>
      <c r="AT105" s="525">
        <f>'Malaria-Key Info'!$F$36*'HPM costs'!R675</f>
        <v>0</v>
      </c>
      <c r="AU105" s="525"/>
      <c r="AV105" s="525">
        <f>'Malaria-Key Info'!$F$36*'HPM costs'!S675</f>
        <v>0</v>
      </c>
      <c r="AW105" s="525"/>
      <c r="AX105" s="1154">
        <f t="shared" si="14"/>
        <v>0</v>
      </c>
      <c r="AY105" s="1154"/>
      <c r="AZ105" s="528"/>
      <c r="BA105" s="529"/>
      <c r="BB105" s="527"/>
      <c r="BC105" s="527">
        <v>0</v>
      </c>
      <c r="BD105" s="527">
        <v>0</v>
      </c>
      <c r="BE105" s="527">
        <v>0</v>
      </c>
      <c r="BF105" s="527">
        <v>0</v>
      </c>
      <c r="BG105" s="527">
        <v>0</v>
      </c>
      <c r="BH105" s="527">
        <v>0</v>
      </c>
      <c r="BI105" s="527">
        <v>0</v>
      </c>
      <c r="BJ105" s="527">
        <v>0</v>
      </c>
      <c r="BK105" s="1154">
        <f t="shared" si="15"/>
        <v>0</v>
      </c>
      <c r="BL105" s="1154"/>
      <c r="BM105" s="1154">
        <f t="shared" si="16"/>
        <v>0</v>
      </c>
      <c r="BN105" s="1154">
        <f t="shared" si="17"/>
        <v>0</v>
      </c>
      <c r="BO105" s="527"/>
      <c r="BP105" s="527"/>
      <c r="BQ105" s="1157">
        <v>0</v>
      </c>
      <c r="BR105" s="1157" t="s">
        <v>19</v>
      </c>
      <c r="BS105" s="1157" t="s">
        <v>527</v>
      </c>
      <c r="BT105" s="1376" t="s">
        <v>1244</v>
      </c>
    </row>
    <row r="106" spans="1:72" s="512" customFormat="1" ht="13" hidden="1">
      <c r="A106" s="1204">
        <v>141</v>
      </c>
      <c r="B106" s="1205" t="s">
        <v>612</v>
      </c>
      <c r="C106" s="1205" t="s">
        <v>629</v>
      </c>
      <c r="D106" s="1206" t="s">
        <v>2564</v>
      </c>
      <c r="E106" s="1386" t="s">
        <v>600</v>
      </c>
      <c r="F106" s="521"/>
      <c r="G106" s="522"/>
      <c r="H106" s="522"/>
      <c r="I106" s="522"/>
      <c r="J106" s="523"/>
      <c r="K106" s="523"/>
      <c r="L106" s="523"/>
      <c r="M106" s="524"/>
      <c r="N106" s="525"/>
      <c r="O106" s="526" t="s">
        <v>1237</v>
      </c>
      <c r="P106" s="525">
        <f>('Malaria-Key Info'!$F$37*'HPM costs'!F158)/'HPM costs'!$E$158</f>
        <v>0</v>
      </c>
      <c r="Q106" s="525" t="s">
        <v>1237</v>
      </c>
      <c r="R106" s="525">
        <f>('Malaria-Key Info'!$F$37*'HPM costs'!G158)/'HPM costs'!$E$158</f>
        <v>0</v>
      </c>
      <c r="S106" s="525" t="s">
        <v>1237</v>
      </c>
      <c r="T106" s="525">
        <f>('Malaria-Key Info'!$F$37*'HPM costs'!H158)/'HPM costs'!$E$158</f>
        <v>0</v>
      </c>
      <c r="U106" s="525" t="s">
        <v>1237</v>
      </c>
      <c r="V106" s="525">
        <f>('Malaria-Key Info'!$F$37*'HPM costs'!I158)/'HPM costs'!$E$158</f>
        <v>0</v>
      </c>
      <c r="W106" s="525"/>
      <c r="X106" s="1154">
        <f t="shared" si="12"/>
        <v>0</v>
      </c>
      <c r="Y106" s="1155"/>
      <c r="Z106" s="1156"/>
      <c r="AA106" s="529"/>
      <c r="AB106" s="525"/>
      <c r="AC106" s="525">
        <f>('Malaria-Key Info'!$F$37*'HPM costs'!K158)/'HPM costs'!$E$158</f>
        <v>0</v>
      </c>
      <c r="AD106" s="525"/>
      <c r="AE106" s="525">
        <f>('Malaria-Key Info'!$F$37*'HPM costs'!L158)/'HPM costs'!$E$158</f>
        <v>0</v>
      </c>
      <c r="AF106" s="525"/>
      <c r="AG106" s="525">
        <f>('Malaria-Key Info'!$F$37*'HPM costs'!M158)/'HPM costs'!$E$158</f>
        <v>0</v>
      </c>
      <c r="AH106" s="525"/>
      <c r="AI106" s="525">
        <f>('Malaria-Key Info'!$F$37*'HPM costs'!N158)/'HPM costs'!$E$158</f>
        <v>0</v>
      </c>
      <c r="AJ106" s="525"/>
      <c r="AK106" s="1154">
        <f t="shared" si="13"/>
        <v>0</v>
      </c>
      <c r="AL106" s="1155"/>
      <c r="AM106" s="1156"/>
      <c r="AN106" s="529"/>
      <c r="AO106" s="525"/>
      <c r="AP106" s="525">
        <f>('Malaria-Key Info'!$F$37*'HPM costs'!P158)/'HPM costs'!$E$158</f>
        <v>0</v>
      </c>
      <c r="AQ106" s="525"/>
      <c r="AR106" s="525">
        <f>('Malaria-Key Info'!$F$37*'HPM costs'!Q158)/'HPM costs'!$E$158</f>
        <v>0</v>
      </c>
      <c r="AS106" s="525"/>
      <c r="AT106" s="525">
        <f>('Malaria-Key Info'!$F$37*'HPM costs'!R158)/'HPM costs'!$E$158</f>
        <v>0</v>
      </c>
      <c r="AU106" s="525"/>
      <c r="AV106" s="525">
        <f>('Malaria-Key Info'!$F$37*'HPM costs'!S158)/'HPM costs'!$E$158</f>
        <v>0</v>
      </c>
      <c r="AW106" s="525"/>
      <c r="AX106" s="1154">
        <f t="shared" si="14"/>
        <v>0</v>
      </c>
      <c r="AY106" s="1154"/>
      <c r="AZ106" s="528"/>
      <c r="BA106" s="529"/>
      <c r="BB106" s="527"/>
      <c r="BC106" s="527">
        <v>0</v>
      </c>
      <c r="BD106" s="527">
        <v>0</v>
      </c>
      <c r="BE106" s="527">
        <v>0</v>
      </c>
      <c r="BF106" s="527">
        <v>0</v>
      </c>
      <c r="BG106" s="527">
        <v>0</v>
      </c>
      <c r="BH106" s="527">
        <v>0</v>
      </c>
      <c r="BI106" s="527">
        <v>0</v>
      </c>
      <c r="BJ106" s="527">
        <v>0</v>
      </c>
      <c r="BK106" s="1154">
        <f t="shared" si="15"/>
        <v>0</v>
      </c>
      <c r="BL106" s="1154"/>
      <c r="BM106" s="1154">
        <f t="shared" si="16"/>
        <v>0</v>
      </c>
      <c r="BN106" s="1154">
        <f t="shared" si="17"/>
        <v>0</v>
      </c>
      <c r="BO106" s="527"/>
      <c r="BP106" s="527"/>
      <c r="BQ106" s="1157">
        <v>0</v>
      </c>
      <c r="BR106" s="1157" t="s">
        <v>19</v>
      </c>
      <c r="BS106" s="1157" t="s">
        <v>2564</v>
      </c>
      <c r="BT106" s="1376" t="s">
        <v>630</v>
      </c>
    </row>
    <row r="107" spans="1:72" s="512" customFormat="1" ht="13" hidden="1">
      <c r="A107" s="1204">
        <v>142</v>
      </c>
      <c r="B107" s="1205" t="s">
        <v>612</v>
      </c>
      <c r="C107" s="1205" t="s">
        <v>629</v>
      </c>
      <c r="D107" s="1206" t="s">
        <v>527</v>
      </c>
      <c r="E107" s="1386" t="s">
        <v>528</v>
      </c>
      <c r="F107" s="521"/>
      <c r="G107" s="522"/>
      <c r="H107" s="522"/>
      <c r="I107" s="522"/>
      <c r="J107" s="523"/>
      <c r="K107" s="523"/>
      <c r="L107" s="523"/>
      <c r="M107" s="524"/>
      <c r="N107" s="525"/>
      <c r="O107" s="526" t="s">
        <v>1237</v>
      </c>
      <c r="P107" s="525">
        <f>'Malaria-Key Info'!$F$37*'HPM costs'!F72</f>
        <v>0</v>
      </c>
      <c r="Q107" s="525" t="s">
        <v>1237</v>
      </c>
      <c r="R107" s="525">
        <f>'Malaria-Key Info'!$F$37*'HPM costs'!G72</f>
        <v>0</v>
      </c>
      <c r="S107" s="525" t="s">
        <v>1237</v>
      </c>
      <c r="T107" s="525">
        <f>'Malaria-Key Info'!$F$37*'HPM costs'!H72</f>
        <v>0</v>
      </c>
      <c r="U107" s="525" t="s">
        <v>1237</v>
      </c>
      <c r="V107" s="525">
        <f>'Malaria-Key Info'!$F$37*'HPM costs'!I72</f>
        <v>0</v>
      </c>
      <c r="W107" s="525"/>
      <c r="X107" s="1154">
        <f t="shared" si="12"/>
        <v>0</v>
      </c>
      <c r="Y107" s="1155"/>
      <c r="Z107" s="1156"/>
      <c r="AA107" s="529"/>
      <c r="AB107" s="525"/>
      <c r="AC107" s="525">
        <f>'Malaria-Key Info'!$F$37*'HPM costs'!K72</f>
        <v>0</v>
      </c>
      <c r="AD107" s="525"/>
      <c r="AE107" s="525">
        <f>'Malaria-Key Info'!$F$37*'HPM costs'!L72</f>
        <v>0</v>
      </c>
      <c r="AF107" s="525"/>
      <c r="AG107" s="525">
        <f>'Malaria-Key Info'!$F$37*'HPM costs'!M72</f>
        <v>0</v>
      </c>
      <c r="AH107" s="525"/>
      <c r="AI107" s="525">
        <f>'Malaria-Key Info'!$F$37*'HPM costs'!N72</f>
        <v>0</v>
      </c>
      <c r="AJ107" s="525"/>
      <c r="AK107" s="1154">
        <f t="shared" si="13"/>
        <v>0</v>
      </c>
      <c r="AL107" s="1155"/>
      <c r="AM107" s="1156"/>
      <c r="AN107" s="529"/>
      <c r="AO107" s="525"/>
      <c r="AP107" s="525">
        <f>'Malaria-Key Info'!$F$37*'HPM costs'!P72</f>
        <v>0</v>
      </c>
      <c r="AQ107" s="525"/>
      <c r="AR107" s="525">
        <f>'Malaria-Key Info'!$F$37*'HPM costs'!Q72</f>
        <v>0</v>
      </c>
      <c r="AS107" s="525"/>
      <c r="AT107" s="525">
        <f>'Malaria-Key Info'!$F$37*'HPM costs'!R72</f>
        <v>0</v>
      </c>
      <c r="AU107" s="525"/>
      <c r="AV107" s="525">
        <f>'Malaria-Key Info'!$F$37*'HPM costs'!S72</f>
        <v>0</v>
      </c>
      <c r="AW107" s="525"/>
      <c r="AX107" s="1154">
        <f t="shared" si="14"/>
        <v>0</v>
      </c>
      <c r="AY107" s="1154"/>
      <c r="AZ107" s="528"/>
      <c r="BA107" s="529"/>
      <c r="BB107" s="527"/>
      <c r="BC107" s="527">
        <v>0</v>
      </c>
      <c r="BD107" s="527">
        <v>0</v>
      </c>
      <c r="BE107" s="527">
        <v>0</v>
      </c>
      <c r="BF107" s="527">
        <v>0</v>
      </c>
      <c r="BG107" s="527">
        <v>0</v>
      </c>
      <c r="BH107" s="527">
        <v>0</v>
      </c>
      <c r="BI107" s="527">
        <v>0</v>
      </c>
      <c r="BJ107" s="527">
        <v>0</v>
      </c>
      <c r="BK107" s="1154">
        <f t="shared" si="15"/>
        <v>0</v>
      </c>
      <c r="BL107" s="1154"/>
      <c r="BM107" s="1154">
        <f t="shared" si="16"/>
        <v>0</v>
      </c>
      <c r="BN107" s="1154">
        <f t="shared" si="17"/>
        <v>0</v>
      </c>
      <c r="BO107" s="527"/>
      <c r="BP107" s="527"/>
      <c r="BQ107" s="1157">
        <v>0</v>
      </c>
      <c r="BR107" s="1157" t="s">
        <v>19</v>
      </c>
      <c r="BS107" s="1157" t="s">
        <v>527</v>
      </c>
      <c r="BT107" s="1376" t="s">
        <v>631</v>
      </c>
    </row>
    <row r="108" spans="1:72" s="512" customFormat="1" ht="13" hidden="1">
      <c r="A108" s="1204">
        <v>143</v>
      </c>
      <c r="B108" s="1205" t="s">
        <v>612</v>
      </c>
      <c r="C108" s="1205" t="s">
        <v>629</v>
      </c>
      <c r="D108" s="1206" t="s">
        <v>527</v>
      </c>
      <c r="E108" s="1386" t="s">
        <v>530</v>
      </c>
      <c r="F108" s="521"/>
      <c r="G108" s="522"/>
      <c r="H108" s="522"/>
      <c r="I108" s="522"/>
      <c r="J108" s="523"/>
      <c r="K108" s="523"/>
      <c r="L108" s="523"/>
      <c r="M108" s="524"/>
      <c r="N108" s="525"/>
      <c r="O108" s="526" t="s">
        <v>1237</v>
      </c>
      <c r="P108" s="525">
        <f>'Malaria-Key Info'!$F$37*'HPM costs'!F158</f>
        <v>0</v>
      </c>
      <c r="Q108" s="525" t="s">
        <v>1237</v>
      </c>
      <c r="R108" s="525">
        <f>'Malaria-Key Info'!$F$37*'HPM costs'!G158</f>
        <v>0</v>
      </c>
      <c r="S108" s="525" t="s">
        <v>1237</v>
      </c>
      <c r="T108" s="525">
        <f>'Malaria-Key Info'!$F$37*'HPM costs'!H158</f>
        <v>0</v>
      </c>
      <c r="U108" s="525" t="s">
        <v>1237</v>
      </c>
      <c r="V108" s="525">
        <f>'Malaria-Key Info'!$F$37*'HPM costs'!I158</f>
        <v>0</v>
      </c>
      <c r="W108" s="525"/>
      <c r="X108" s="1154">
        <f t="shared" si="12"/>
        <v>0</v>
      </c>
      <c r="Y108" s="1155"/>
      <c r="Z108" s="1156"/>
      <c r="AA108" s="529"/>
      <c r="AB108" s="525"/>
      <c r="AC108" s="525">
        <f>'Malaria-Key Info'!$F$37*'HPM costs'!K158</f>
        <v>0</v>
      </c>
      <c r="AD108" s="525"/>
      <c r="AE108" s="525">
        <f>'Malaria-Key Info'!$F$37*'HPM costs'!L158</f>
        <v>0</v>
      </c>
      <c r="AF108" s="525"/>
      <c r="AG108" s="525">
        <f>'Malaria-Key Info'!$F$37*'HPM costs'!M158</f>
        <v>0</v>
      </c>
      <c r="AH108" s="525"/>
      <c r="AI108" s="525">
        <f>'Malaria-Key Info'!$F$37*'HPM costs'!N158</f>
        <v>0</v>
      </c>
      <c r="AJ108" s="525"/>
      <c r="AK108" s="1154">
        <f t="shared" si="13"/>
        <v>0</v>
      </c>
      <c r="AL108" s="1155"/>
      <c r="AM108" s="1156"/>
      <c r="AN108" s="529"/>
      <c r="AO108" s="525"/>
      <c r="AP108" s="525">
        <f>'Malaria-Key Info'!$F$37*'HPM costs'!P158</f>
        <v>0</v>
      </c>
      <c r="AQ108" s="525"/>
      <c r="AR108" s="525">
        <f>'Malaria-Key Info'!$F$37*'HPM costs'!Q158</f>
        <v>0</v>
      </c>
      <c r="AS108" s="525"/>
      <c r="AT108" s="525">
        <f>'Malaria-Key Info'!$F$37*'HPM costs'!R158</f>
        <v>0</v>
      </c>
      <c r="AU108" s="525"/>
      <c r="AV108" s="525">
        <f>'Malaria-Key Info'!$F$37*'HPM costs'!S158</f>
        <v>0</v>
      </c>
      <c r="AW108" s="525"/>
      <c r="AX108" s="1154">
        <f t="shared" si="14"/>
        <v>0</v>
      </c>
      <c r="AY108" s="1154"/>
      <c r="AZ108" s="528"/>
      <c r="BA108" s="529"/>
      <c r="BB108" s="527"/>
      <c r="BC108" s="527">
        <v>0</v>
      </c>
      <c r="BD108" s="527">
        <v>0</v>
      </c>
      <c r="BE108" s="527">
        <v>0</v>
      </c>
      <c r="BF108" s="527">
        <v>0</v>
      </c>
      <c r="BG108" s="527">
        <v>0</v>
      </c>
      <c r="BH108" s="527">
        <v>0</v>
      </c>
      <c r="BI108" s="527">
        <v>0</v>
      </c>
      <c r="BJ108" s="527">
        <v>0</v>
      </c>
      <c r="BK108" s="1154">
        <f t="shared" si="15"/>
        <v>0</v>
      </c>
      <c r="BL108" s="1154"/>
      <c r="BM108" s="1154">
        <f t="shared" si="16"/>
        <v>0</v>
      </c>
      <c r="BN108" s="1154">
        <f t="shared" si="17"/>
        <v>0</v>
      </c>
      <c r="BO108" s="527"/>
      <c r="BP108" s="527"/>
      <c r="BQ108" s="1157">
        <v>0</v>
      </c>
      <c r="BR108" s="1157" t="s">
        <v>19</v>
      </c>
      <c r="BS108" s="1157" t="s">
        <v>527</v>
      </c>
      <c r="BT108" s="1376" t="s">
        <v>632</v>
      </c>
    </row>
    <row r="109" spans="1:72" s="512" customFormat="1" ht="13" hidden="1">
      <c r="A109" s="1204">
        <v>144</v>
      </c>
      <c r="B109" s="1205" t="s">
        <v>612</v>
      </c>
      <c r="C109" s="1205" t="s">
        <v>629</v>
      </c>
      <c r="D109" s="1206" t="s">
        <v>527</v>
      </c>
      <c r="E109" s="1386" t="s">
        <v>532</v>
      </c>
      <c r="F109" s="521"/>
      <c r="G109" s="522"/>
      <c r="H109" s="522"/>
      <c r="I109" s="522"/>
      <c r="J109" s="523"/>
      <c r="K109" s="523"/>
      <c r="L109" s="523"/>
      <c r="M109" s="524"/>
      <c r="N109" s="525"/>
      <c r="O109" s="526" t="s">
        <v>1237</v>
      </c>
      <c r="P109" s="525">
        <f>'Malaria-Key Info'!$F$37*'HPM costs'!F418</f>
        <v>0</v>
      </c>
      <c r="Q109" s="525" t="s">
        <v>1237</v>
      </c>
      <c r="R109" s="525">
        <f>'Malaria-Key Info'!$F$37*'HPM costs'!G418</f>
        <v>0</v>
      </c>
      <c r="S109" s="525" t="s">
        <v>1237</v>
      </c>
      <c r="T109" s="525">
        <f>'Malaria-Key Info'!$F$37*'HPM costs'!H418</f>
        <v>0</v>
      </c>
      <c r="U109" s="525" t="s">
        <v>1237</v>
      </c>
      <c r="V109" s="525">
        <f>'Malaria-Key Info'!$F$37*'HPM costs'!I418</f>
        <v>0</v>
      </c>
      <c r="W109" s="525"/>
      <c r="X109" s="1154">
        <f t="shared" si="12"/>
        <v>0</v>
      </c>
      <c r="Y109" s="1155"/>
      <c r="Z109" s="1156"/>
      <c r="AA109" s="529"/>
      <c r="AB109" s="525"/>
      <c r="AC109" s="525">
        <f>'Malaria-Key Info'!$F$37*'HPM costs'!K418</f>
        <v>0</v>
      </c>
      <c r="AD109" s="525"/>
      <c r="AE109" s="525">
        <f>'Malaria-Key Info'!$F$37*'HPM costs'!L418</f>
        <v>0</v>
      </c>
      <c r="AF109" s="525"/>
      <c r="AG109" s="525">
        <f>'Malaria-Key Info'!$F$37*'HPM costs'!M418</f>
        <v>0</v>
      </c>
      <c r="AH109" s="525"/>
      <c r="AI109" s="525">
        <f>'Malaria-Key Info'!$F$37*'HPM costs'!N418</f>
        <v>0</v>
      </c>
      <c r="AJ109" s="525"/>
      <c r="AK109" s="1154">
        <f t="shared" si="13"/>
        <v>0</v>
      </c>
      <c r="AL109" s="1155"/>
      <c r="AM109" s="1156"/>
      <c r="AN109" s="529"/>
      <c r="AO109" s="525"/>
      <c r="AP109" s="525">
        <f>'Malaria-Key Info'!$F$37*'HPM costs'!P418</f>
        <v>0</v>
      </c>
      <c r="AQ109" s="525"/>
      <c r="AR109" s="525">
        <f>'Malaria-Key Info'!$F$37*'HPM costs'!Q418</f>
        <v>0</v>
      </c>
      <c r="AS109" s="525"/>
      <c r="AT109" s="525">
        <f>'Malaria-Key Info'!$F$37*'HPM costs'!R418</f>
        <v>0</v>
      </c>
      <c r="AU109" s="525"/>
      <c r="AV109" s="525">
        <f>'Malaria-Key Info'!$F$37*'HPM costs'!S418</f>
        <v>0</v>
      </c>
      <c r="AW109" s="525"/>
      <c r="AX109" s="1154">
        <f t="shared" si="14"/>
        <v>0</v>
      </c>
      <c r="AY109" s="1154"/>
      <c r="AZ109" s="528"/>
      <c r="BA109" s="529"/>
      <c r="BB109" s="527"/>
      <c r="BC109" s="527">
        <v>0</v>
      </c>
      <c r="BD109" s="527">
        <v>0</v>
      </c>
      <c r="BE109" s="527">
        <v>0</v>
      </c>
      <c r="BF109" s="527">
        <v>0</v>
      </c>
      <c r="BG109" s="527">
        <v>0</v>
      </c>
      <c r="BH109" s="527">
        <v>0</v>
      </c>
      <c r="BI109" s="527">
        <v>0</v>
      </c>
      <c r="BJ109" s="527">
        <v>0</v>
      </c>
      <c r="BK109" s="1154">
        <f t="shared" si="15"/>
        <v>0</v>
      </c>
      <c r="BL109" s="1154"/>
      <c r="BM109" s="1154">
        <f t="shared" si="16"/>
        <v>0</v>
      </c>
      <c r="BN109" s="1154">
        <f t="shared" si="17"/>
        <v>0</v>
      </c>
      <c r="BO109" s="527"/>
      <c r="BP109" s="527"/>
      <c r="BQ109" s="1157">
        <v>0</v>
      </c>
      <c r="BR109" s="1157" t="s">
        <v>19</v>
      </c>
      <c r="BS109" s="1157" t="s">
        <v>527</v>
      </c>
      <c r="BT109" s="1376" t="s">
        <v>633</v>
      </c>
    </row>
    <row r="110" spans="1:72" s="512" customFormat="1" ht="13" hidden="1">
      <c r="A110" s="1204">
        <v>145</v>
      </c>
      <c r="B110" s="1205" t="s">
        <v>612</v>
      </c>
      <c r="C110" s="1205" t="s">
        <v>629</v>
      </c>
      <c r="D110" s="1206" t="s">
        <v>527</v>
      </c>
      <c r="E110" s="1386" t="s">
        <v>534</v>
      </c>
      <c r="F110" s="521"/>
      <c r="G110" s="522"/>
      <c r="H110" s="522"/>
      <c r="I110" s="522"/>
      <c r="J110" s="523"/>
      <c r="K110" s="523"/>
      <c r="L110" s="523"/>
      <c r="M110" s="524"/>
      <c r="N110" s="525"/>
      <c r="O110" s="526" t="s">
        <v>1237</v>
      </c>
      <c r="P110" s="525">
        <f>'Malaria-Key Info'!$F$37*'HPM costs'!F504</f>
        <v>0</v>
      </c>
      <c r="Q110" s="525" t="s">
        <v>1237</v>
      </c>
      <c r="R110" s="525">
        <f>'Malaria-Key Info'!$F$37*'HPM costs'!G504</f>
        <v>0</v>
      </c>
      <c r="S110" s="525" t="s">
        <v>1237</v>
      </c>
      <c r="T110" s="525">
        <f>'Malaria-Key Info'!$F$37*'HPM costs'!H504</f>
        <v>0</v>
      </c>
      <c r="U110" s="525" t="s">
        <v>1237</v>
      </c>
      <c r="V110" s="525">
        <f>'Malaria-Key Info'!$F$37*'HPM costs'!I504</f>
        <v>0</v>
      </c>
      <c r="W110" s="525"/>
      <c r="X110" s="1154">
        <f t="shared" si="12"/>
        <v>0</v>
      </c>
      <c r="Y110" s="1155"/>
      <c r="Z110" s="1156"/>
      <c r="AA110" s="529"/>
      <c r="AB110" s="525"/>
      <c r="AC110" s="525">
        <f>'Malaria-Key Info'!$F$37*'HPM costs'!K504</f>
        <v>0</v>
      </c>
      <c r="AD110" s="525"/>
      <c r="AE110" s="525">
        <f>'Malaria-Key Info'!$F$37*'HPM costs'!L504</f>
        <v>0</v>
      </c>
      <c r="AF110" s="525"/>
      <c r="AG110" s="525">
        <f>'Malaria-Key Info'!$F$37*'HPM costs'!M504</f>
        <v>0</v>
      </c>
      <c r="AH110" s="525"/>
      <c r="AI110" s="525">
        <f>'Malaria-Key Info'!$F$37*'HPM costs'!N504</f>
        <v>0</v>
      </c>
      <c r="AJ110" s="525"/>
      <c r="AK110" s="1154">
        <f t="shared" si="13"/>
        <v>0</v>
      </c>
      <c r="AL110" s="1155"/>
      <c r="AM110" s="1156"/>
      <c r="AN110" s="529"/>
      <c r="AO110" s="525"/>
      <c r="AP110" s="525">
        <f>'Malaria-Key Info'!$F$37*'HPM costs'!P504</f>
        <v>0</v>
      </c>
      <c r="AQ110" s="525"/>
      <c r="AR110" s="525">
        <f>'Malaria-Key Info'!$F$37*'HPM costs'!Q504</f>
        <v>0</v>
      </c>
      <c r="AS110" s="525"/>
      <c r="AT110" s="525">
        <f>'Malaria-Key Info'!$F$37*'HPM costs'!R504</f>
        <v>0</v>
      </c>
      <c r="AU110" s="525"/>
      <c r="AV110" s="525">
        <f>'Malaria-Key Info'!$F$37*'HPM costs'!S504</f>
        <v>0</v>
      </c>
      <c r="AW110" s="525"/>
      <c r="AX110" s="1154">
        <f t="shared" si="14"/>
        <v>0</v>
      </c>
      <c r="AY110" s="1154"/>
      <c r="AZ110" s="528"/>
      <c r="BA110" s="529"/>
      <c r="BB110" s="527"/>
      <c r="BC110" s="527">
        <v>0</v>
      </c>
      <c r="BD110" s="527">
        <v>0</v>
      </c>
      <c r="BE110" s="527">
        <v>0</v>
      </c>
      <c r="BF110" s="527">
        <v>0</v>
      </c>
      <c r="BG110" s="527">
        <v>0</v>
      </c>
      <c r="BH110" s="527">
        <v>0</v>
      </c>
      <c r="BI110" s="527">
        <v>0</v>
      </c>
      <c r="BJ110" s="527">
        <v>0</v>
      </c>
      <c r="BK110" s="1154">
        <f t="shared" si="15"/>
        <v>0</v>
      </c>
      <c r="BL110" s="1154"/>
      <c r="BM110" s="1154">
        <f t="shared" si="16"/>
        <v>0</v>
      </c>
      <c r="BN110" s="1154">
        <f t="shared" si="17"/>
        <v>0</v>
      </c>
      <c r="BO110" s="527"/>
      <c r="BP110" s="527"/>
      <c r="BQ110" s="1157">
        <v>0</v>
      </c>
      <c r="BR110" s="1157" t="s">
        <v>19</v>
      </c>
      <c r="BS110" s="1157" t="s">
        <v>527</v>
      </c>
      <c r="BT110" s="1376" t="s">
        <v>634</v>
      </c>
    </row>
    <row r="111" spans="1:72" s="512" customFormat="1" ht="13" hidden="1">
      <c r="A111" s="1204">
        <v>146</v>
      </c>
      <c r="B111" s="1205" t="s">
        <v>612</v>
      </c>
      <c r="C111" s="1205" t="s">
        <v>629</v>
      </c>
      <c r="D111" s="1206" t="s">
        <v>527</v>
      </c>
      <c r="E111" s="1386" t="s">
        <v>536</v>
      </c>
      <c r="F111" s="521"/>
      <c r="G111" s="522" t="str">
        <f>SETUP!$E$3</f>
        <v>El Salvador</v>
      </c>
      <c r="H111" s="522"/>
      <c r="I111" s="522"/>
      <c r="J111" s="523"/>
      <c r="K111" s="523"/>
      <c r="L111" s="523"/>
      <c r="M111" s="524"/>
      <c r="N111" s="525"/>
      <c r="O111" s="526" t="s">
        <v>1237</v>
      </c>
      <c r="P111" s="525">
        <f>'Malaria-Key Info'!$F$37*('HPM costs'!F244+'HPM costs'!F590)</f>
        <v>0</v>
      </c>
      <c r="Q111" s="525" t="s">
        <v>1237</v>
      </c>
      <c r="R111" s="525">
        <f>'Malaria-Key Info'!$F$37*('HPM costs'!G244+'HPM costs'!G590)</f>
        <v>0</v>
      </c>
      <c r="S111" s="525" t="s">
        <v>1237</v>
      </c>
      <c r="T111" s="525">
        <f>'Malaria-Key Info'!$F$37*('HPM costs'!H244+'HPM costs'!H590)</f>
        <v>0</v>
      </c>
      <c r="U111" s="525" t="s">
        <v>1237</v>
      </c>
      <c r="V111" s="525">
        <f>'Malaria-Key Info'!$F$37*('HPM costs'!I244+'HPM costs'!I590)</f>
        <v>0</v>
      </c>
      <c r="W111" s="525"/>
      <c r="X111" s="1154">
        <f t="shared" si="12"/>
        <v>0</v>
      </c>
      <c r="Y111" s="1155"/>
      <c r="Z111" s="1156"/>
      <c r="AA111" s="529"/>
      <c r="AB111" s="525"/>
      <c r="AC111" s="525">
        <f>'Malaria-Key Info'!$F$37*('HPM costs'!K244+'HPM costs'!K590)</f>
        <v>0</v>
      </c>
      <c r="AD111" s="525"/>
      <c r="AE111" s="525">
        <f>'Malaria-Key Info'!$F$37*('HPM costs'!L244+'HPM costs'!L590)</f>
        <v>0</v>
      </c>
      <c r="AF111" s="525"/>
      <c r="AG111" s="525">
        <f>'Malaria-Key Info'!$F$37*('HPM costs'!M244+'HPM costs'!M590)</f>
        <v>0</v>
      </c>
      <c r="AH111" s="525"/>
      <c r="AI111" s="525">
        <f>'Malaria-Key Info'!$F$37*('HPM costs'!N244+'HPM costs'!N590)</f>
        <v>0</v>
      </c>
      <c r="AJ111" s="525"/>
      <c r="AK111" s="1154">
        <f t="shared" si="13"/>
        <v>0</v>
      </c>
      <c r="AL111" s="1155"/>
      <c r="AM111" s="1156"/>
      <c r="AN111" s="529"/>
      <c r="AO111" s="525"/>
      <c r="AP111" s="525">
        <f>'Malaria-Key Info'!$F$37*('HPM costs'!P244+'HPM costs'!P590)</f>
        <v>0</v>
      </c>
      <c r="AQ111" s="525"/>
      <c r="AR111" s="525">
        <f>'Malaria-Key Info'!$F$37*('HPM costs'!Q244+'HPM costs'!Q590)</f>
        <v>0</v>
      </c>
      <c r="AS111" s="525"/>
      <c r="AT111" s="525">
        <f>'Malaria-Key Info'!$F$37*('HPM costs'!R244+'HPM costs'!R590)</f>
        <v>0</v>
      </c>
      <c r="AU111" s="525"/>
      <c r="AV111" s="525">
        <f>'Malaria-Key Info'!$F$37*('HPM costs'!S244+'HPM costs'!S590)</f>
        <v>0</v>
      </c>
      <c r="AW111" s="525"/>
      <c r="AX111" s="1154">
        <f t="shared" si="14"/>
        <v>0</v>
      </c>
      <c r="AY111" s="1154"/>
      <c r="AZ111" s="528"/>
      <c r="BA111" s="529"/>
      <c r="BB111" s="527"/>
      <c r="BC111" s="527">
        <v>0</v>
      </c>
      <c r="BD111" s="527">
        <v>0</v>
      </c>
      <c r="BE111" s="527">
        <v>0</v>
      </c>
      <c r="BF111" s="527">
        <v>0</v>
      </c>
      <c r="BG111" s="527">
        <v>0</v>
      </c>
      <c r="BH111" s="527">
        <v>0</v>
      </c>
      <c r="BI111" s="527">
        <v>0</v>
      </c>
      <c r="BJ111" s="527">
        <v>0</v>
      </c>
      <c r="BK111" s="1154">
        <f t="shared" si="15"/>
        <v>0</v>
      </c>
      <c r="BL111" s="1154"/>
      <c r="BM111" s="1154">
        <f t="shared" si="16"/>
        <v>0</v>
      </c>
      <c r="BN111" s="1154">
        <f t="shared" si="17"/>
        <v>0</v>
      </c>
      <c r="BO111" s="527"/>
      <c r="BP111" s="527"/>
      <c r="BQ111" s="1157">
        <v>0</v>
      </c>
      <c r="BR111" s="1157" t="s">
        <v>19</v>
      </c>
      <c r="BS111" s="1157" t="s">
        <v>527</v>
      </c>
      <c r="BT111" s="1376" t="s">
        <v>635</v>
      </c>
    </row>
    <row r="112" spans="1:72" s="512" customFormat="1" ht="13" hidden="1">
      <c r="A112" s="1204">
        <v>147</v>
      </c>
      <c r="B112" s="1205" t="s">
        <v>612</v>
      </c>
      <c r="C112" s="1205" t="s">
        <v>629</v>
      </c>
      <c r="D112" s="1206" t="s">
        <v>527</v>
      </c>
      <c r="E112" s="1386" t="s">
        <v>538</v>
      </c>
      <c r="F112" s="521"/>
      <c r="G112" s="522" t="str">
        <f>SETUP!$E$3</f>
        <v>El Salvador</v>
      </c>
      <c r="H112" s="522"/>
      <c r="I112" s="522"/>
      <c r="J112" s="523"/>
      <c r="K112" s="523"/>
      <c r="L112" s="523"/>
      <c r="M112" s="524"/>
      <c r="N112" s="525"/>
      <c r="O112" s="526" t="s">
        <v>1237</v>
      </c>
      <c r="P112" s="525">
        <f>'Malaria-Key Info'!$F$37*'HPM costs'!F330</f>
        <v>0</v>
      </c>
      <c r="Q112" s="525" t="s">
        <v>1237</v>
      </c>
      <c r="R112" s="525">
        <f>'Malaria-Key Info'!$F$37*'HPM costs'!G330</f>
        <v>0</v>
      </c>
      <c r="S112" s="525" t="s">
        <v>1237</v>
      </c>
      <c r="T112" s="525">
        <f>'Malaria-Key Info'!$F$37*'HPM costs'!H330</f>
        <v>0</v>
      </c>
      <c r="U112" s="525" t="s">
        <v>1237</v>
      </c>
      <c r="V112" s="525">
        <f>'Malaria-Key Info'!$F$37*'HPM costs'!I330</f>
        <v>0</v>
      </c>
      <c r="W112" s="525"/>
      <c r="X112" s="1154">
        <f t="shared" si="12"/>
        <v>0</v>
      </c>
      <c r="Y112" s="1155"/>
      <c r="Z112" s="1156"/>
      <c r="AA112" s="529"/>
      <c r="AB112" s="525"/>
      <c r="AC112" s="525">
        <f>'Malaria-Key Info'!$F$37*'HPM costs'!K330</f>
        <v>0</v>
      </c>
      <c r="AD112" s="525"/>
      <c r="AE112" s="525">
        <f>'Malaria-Key Info'!$F$37*'HPM costs'!L330</f>
        <v>0</v>
      </c>
      <c r="AF112" s="525"/>
      <c r="AG112" s="525">
        <f>'Malaria-Key Info'!$F$37*'HPM costs'!M330</f>
        <v>0</v>
      </c>
      <c r="AH112" s="525"/>
      <c r="AI112" s="525">
        <f>'Malaria-Key Info'!$F$37*'HPM costs'!N330</f>
        <v>0</v>
      </c>
      <c r="AJ112" s="525"/>
      <c r="AK112" s="1154">
        <f t="shared" si="13"/>
        <v>0</v>
      </c>
      <c r="AL112" s="1155"/>
      <c r="AM112" s="1156"/>
      <c r="AN112" s="529"/>
      <c r="AO112" s="525"/>
      <c r="AP112" s="525">
        <f>'Malaria-Key Info'!$F$37*'HPM costs'!P330</f>
        <v>0</v>
      </c>
      <c r="AQ112" s="525"/>
      <c r="AR112" s="525">
        <f>'Malaria-Key Info'!$F$37*'HPM costs'!Q330</f>
        <v>0</v>
      </c>
      <c r="AS112" s="525"/>
      <c r="AT112" s="525">
        <f>'Malaria-Key Info'!$F$37*'HPM costs'!R330</f>
        <v>0</v>
      </c>
      <c r="AU112" s="525"/>
      <c r="AV112" s="525">
        <f>'Malaria-Key Info'!$F$37*'HPM costs'!S330</f>
        <v>0</v>
      </c>
      <c r="AW112" s="525"/>
      <c r="AX112" s="1154">
        <f t="shared" si="14"/>
        <v>0</v>
      </c>
      <c r="AY112" s="1154"/>
      <c r="AZ112" s="528"/>
      <c r="BA112" s="529"/>
      <c r="BB112" s="527"/>
      <c r="BC112" s="527">
        <v>0</v>
      </c>
      <c r="BD112" s="527">
        <v>0</v>
      </c>
      <c r="BE112" s="527">
        <v>0</v>
      </c>
      <c r="BF112" s="527">
        <v>0</v>
      </c>
      <c r="BG112" s="527">
        <v>0</v>
      </c>
      <c r="BH112" s="527">
        <v>0</v>
      </c>
      <c r="BI112" s="527">
        <v>0</v>
      </c>
      <c r="BJ112" s="527">
        <v>0</v>
      </c>
      <c r="BK112" s="1154">
        <f t="shared" si="15"/>
        <v>0</v>
      </c>
      <c r="BL112" s="1154"/>
      <c r="BM112" s="1154">
        <f t="shared" si="16"/>
        <v>0</v>
      </c>
      <c r="BN112" s="1154">
        <f t="shared" si="17"/>
        <v>0</v>
      </c>
      <c r="BO112" s="527"/>
      <c r="BP112" s="527"/>
      <c r="BQ112" s="1157">
        <v>0</v>
      </c>
      <c r="BR112" s="1157" t="s">
        <v>19</v>
      </c>
      <c r="BS112" s="1157" t="s">
        <v>527</v>
      </c>
      <c r="BT112" s="1376" t="s">
        <v>636</v>
      </c>
    </row>
    <row r="113" spans="1:72" s="512" customFormat="1" ht="13" hidden="1">
      <c r="A113" s="1204">
        <v>148</v>
      </c>
      <c r="B113" s="1205" t="s">
        <v>612</v>
      </c>
      <c r="C113" s="1205" t="s">
        <v>629</v>
      </c>
      <c r="D113" s="1206" t="s">
        <v>527</v>
      </c>
      <c r="E113" s="1386" t="s">
        <v>540</v>
      </c>
      <c r="F113" s="521"/>
      <c r="G113" s="522"/>
      <c r="H113" s="522"/>
      <c r="I113" s="522"/>
      <c r="J113" s="523"/>
      <c r="K113" s="523"/>
      <c r="L113" s="523"/>
      <c r="M113" s="524"/>
      <c r="N113" s="525"/>
      <c r="O113" s="526" t="s">
        <v>1237</v>
      </c>
      <c r="P113" s="525">
        <f>'Malaria-Key Info'!$F$37*'HPM costs'!F675</f>
        <v>0</v>
      </c>
      <c r="Q113" s="525" t="s">
        <v>1237</v>
      </c>
      <c r="R113" s="525">
        <f>'Malaria-Key Info'!$F$37*'HPM costs'!G675</f>
        <v>0</v>
      </c>
      <c r="S113" s="525" t="s">
        <v>1237</v>
      </c>
      <c r="T113" s="525">
        <f>'Malaria-Key Info'!$F$37*'HPM costs'!H675</f>
        <v>0</v>
      </c>
      <c r="U113" s="525" t="s">
        <v>1237</v>
      </c>
      <c r="V113" s="525">
        <f>'Malaria-Key Info'!$F$37*'HPM costs'!I675</f>
        <v>0</v>
      </c>
      <c r="W113" s="525"/>
      <c r="X113" s="1154">
        <f t="shared" si="12"/>
        <v>0</v>
      </c>
      <c r="Y113" s="1155"/>
      <c r="Z113" s="1156"/>
      <c r="AA113" s="529"/>
      <c r="AB113" s="525"/>
      <c r="AC113" s="525">
        <f>'Malaria-Key Info'!$F$37*'HPM costs'!K675</f>
        <v>0</v>
      </c>
      <c r="AD113" s="525"/>
      <c r="AE113" s="525">
        <f>'Malaria-Key Info'!$F$37*'HPM costs'!L675</f>
        <v>0</v>
      </c>
      <c r="AF113" s="525"/>
      <c r="AG113" s="525">
        <f>'Malaria-Key Info'!$F$37*'HPM costs'!M675</f>
        <v>0</v>
      </c>
      <c r="AH113" s="525"/>
      <c r="AI113" s="525">
        <f>'Malaria-Key Info'!$F$37*'HPM costs'!N675</f>
        <v>0</v>
      </c>
      <c r="AJ113" s="525"/>
      <c r="AK113" s="1154">
        <f t="shared" si="13"/>
        <v>0</v>
      </c>
      <c r="AL113" s="1155"/>
      <c r="AM113" s="1156"/>
      <c r="AN113" s="529"/>
      <c r="AO113" s="525"/>
      <c r="AP113" s="525">
        <f>'Malaria-Key Info'!$F$37*'HPM costs'!P675</f>
        <v>0</v>
      </c>
      <c r="AQ113" s="525"/>
      <c r="AR113" s="525">
        <f>'Malaria-Key Info'!$F$37*'HPM costs'!Q675</f>
        <v>0</v>
      </c>
      <c r="AS113" s="525"/>
      <c r="AT113" s="525">
        <f>'Malaria-Key Info'!$F$37*'HPM costs'!R675</f>
        <v>0</v>
      </c>
      <c r="AU113" s="525"/>
      <c r="AV113" s="525">
        <f>'Malaria-Key Info'!$F$37*'HPM costs'!S675</f>
        <v>0</v>
      </c>
      <c r="AW113" s="525"/>
      <c r="AX113" s="1154">
        <f t="shared" si="14"/>
        <v>0</v>
      </c>
      <c r="AY113" s="1154"/>
      <c r="AZ113" s="528"/>
      <c r="BA113" s="529"/>
      <c r="BB113" s="527"/>
      <c r="BC113" s="527">
        <v>0</v>
      </c>
      <c r="BD113" s="527">
        <v>0</v>
      </c>
      <c r="BE113" s="527">
        <v>0</v>
      </c>
      <c r="BF113" s="527">
        <v>0</v>
      </c>
      <c r="BG113" s="527">
        <v>0</v>
      </c>
      <c r="BH113" s="527">
        <v>0</v>
      </c>
      <c r="BI113" s="527">
        <v>0</v>
      </c>
      <c r="BJ113" s="527">
        <v>0</v>
      </c>
      <c r="BK113" s="1154">
        <f t="shared" si="15"/>
        <v>0</v>
      </c>
      <c r="BL113" s="1154"/>
      <c r="BM113" s="1154">
        <f t="shared" si="16"/>
        <v>0</v>
      </c>
      <c r="BN113" s="1154">
        <f t="shared" si="17"/>
        <v>0</v>
      </c>
      <c r="BO113" s="527"/>
      <c r="BP113" s="527"/>
      <c r="BQ113" s="1157">
        <v>0</v>
      </c>
      <c r="BR113" s="1157" t="s">
        <v>19</v>
      </c>
      <c r="BS113" s="1157" t="s">
        <v>527</v>
      </c>
      <c r="BT113" s="1376" t="s">
        <v>1245</v>
      </c>
    </row>
    <row r="114" spans="1:72" s="512" customFormat="1" ht="13" hidden="1">
      <c r="A114" s="1204">
        <v>149</v>
      </c>
      <c r="B114" s="1205" t="s">
        <v>612</v>
      </c>
      <c r="C114" s="1205" t="s">
        <v>637</v>
      </c>
      <c r="D114" s="1206" t="s">
        <v>2564</v>
      </c>
      <c r="E114" s="1386" t="s">
        <v>600</v>
      </c>
      <c r="F114" s="521"/>
      <c r="G114" s="522"/>
      <c r="H114" s="522"/>
      <c r="I114" s="522"/>
      <c r="J114" s="523"/>
      <c r="K114" s="523"/>
      <c r="L114" s="523"/>
      <c r="M114" s="524"/>
      <c r="N114" s="525"/>
      <c r="O114" s="526" t="s">
        <v>1237</v>
      </c>
      <c r="P114" s="525">
        <f>('Malaria-Key Info'!$F$38*'HPM costs'!F158)/'HPM costs'!$E$158</f>
        <v>0</v>
      </c>
      <c r="Q114" s="525" t="s">
        <v>1237</v>
      </c>
      <c r="R114" s="525">
        <f>('Malaria-Key Info'!$F$38*'HPM costs'!G158)/'HPM costs'!$E$158</f>
        <v>0</v>
      </c>
      <c r="S114" s="525" t="s">
        <v>1237</v>
      </c>
      <c r="T114" s="525">
        <f>('Malaria-Key Info'!$F$38*'HPM costs'!H158)/'HPM costs'!$E$158</f>
        <v>0</v>
      </c>
      <c r="U114" s="525" t="s">
        <v>1237</v>
      </c>
      <c r="V114" s="525">
        <f>('Malaria-Key Info'!$F$38*'HPM costs'!I158)/'HPM costs'!$E$158</f>
        <v>0</v>
      </c>
      <c r="W114" s="525"/>
      <c r="X114" s="1154">
        <f t="shared" si="12"/>
        <v>0</v>
      </c>
      <c r="Y114" s="1155"/>
      <c r="Z114" s="1156"/>
      <c r="AA114" s="529"/>
      <c r="AB114" s="525"/>
      <c r="AC114" s="525">
        <f>('Malaria-Key Info'!$F$38*'HPM costs'!K158)/'HPM costs'!$E$158</f>
        <v>0</v>
      </c>
      <c r="AD114" s="525"/>
      <c r="AE114" s="525">
        <f>('Malaria-Key Info'!$F$38*'HPM costs'!L158)/'HPM costs'!$E$158</f>
        <v>0</v>
      </c>
      <c r="AF114" s="525"/>
      <c r="AG114" s="525">
        <f>('Malaria-Key Info'!$F$38*'HPM costs'!M158)/'HPM costs'!$E$158</f>
        <v>0</v>
      </c>
      <c r="AH114" s="525"/>
      <c r="AI114" s="525">
        <f>('Malaria-Key Info'!$F$38*'HPM costs'!N158)/'HPM costs'!$E$158</f>
        <v>0</v>
      </c>
      <c r="AJ114" s="525"/>
      <c r="AK114" s="1154">
        <f t="shared" si="13"/>
        <v>0</v>
      </c>
      <c r="AL114" s="1155"/>
      <c r="AM114" s="1156"/>
      <c r="AN114" s="529"/>
      <c r="AO114" s="525"/>
      <c r="AP114" s="525">
        <f>('Malaria-Key Info'!$F$38*'HPM costs'!P158)/'HPM costs'!$E$158</f>
        <v>0</v>
      </c>
      <c r="AQ114" s="525"/>
      <c r="AR114" s="525">
        <f>('Malaria-Key Info'!$F$38*'HPM costs'!Q158)/'HPM costs'!$E$158</f>
        <v>0</v>
      </c>
      <c r="AS114" s="525"/>
      <c r="AT114" s="525">
        <f>('Malaria-Key Info'!$F$38*'HPM costs'!R158)/'HPM costs'!$E$158</f>
        <v>0</v>
      </c>
      <c r="AU114" s="525"/>
      <c r="AV114" s="525">
        <f>('Malaria-Key Info'!$F$38*'HPM costs'!S158)/'HPM costs'!$E$158</f>
        <v>0</v>
      </c>
      <c r="AW114" s="525"/>
      <c r="AX114" s="1154">
        <f t="shared" si="14"/>
        <v>0</v>
      </c>
      <c r="AY114" s="1154"/>
      <c r="AZ114" s="528"/>
      <c r="BA114" s="529"/>
      <c r="BB114" s="527"/>
      <c r="BC114" s="527">
        <v>0</v>
      </c>
      <c r="BD114" s="527">
        <v>0</v>
      </c>
      <c r="BE114" s="527">
        <v>0</v>
      </c>
      <c r="BF114" s="527">
        <v>0</v>
      </c>
      <c r="BG114" s="527">
        <v>0</v>
      </c>
      <c r="BH114" s="527">
        <v>0</v>
      </c>
      <c r="BI114" s="527">
        <v>0</v>
      </c>
      <c r="BJ114" s="527">
        <v>0</v>
      </c>
      <c r="BK114" s="1154">
        <f t="shared" si="15"/>
        <v>0</v>
      </c>
      <c r="BL114" s="1154"/>
      <c r="BM114" s="1154">
        <f t="shared" si="16"/>
        <v>0</v>
      </c>
      <c r="BN114" s="1154">
        <f t="shared" si="17"/>
        <v>0</v>
      </c>
      <c r="BO114" s="527"/>
      <c r="BP114" s="527"/>
      <c r="BQ114" s="1157">
        <v>0</v>
      </c>
      <c r="BR114" s="1157" t="s">
        <v>19</v>
      </c>
      <c r="BS114" s="1157" t="s">
        <v>2564</v>
      </c>
      <c r="BT114" s="1376" t="s">
        <v>638</v>
      </c>
    </row>
    <row r="115" spans="1:72" s="512" customFormat="1" ht="13" hidden="1">
      <c r="A115" s="1204">
        <v>150</v>
      </c>
      <c r="B115" s="1205" t="s">
        <v>612</v>
      </c>
      <c r="C115" s="1205" t="s">
        <v>637</v>
      </c>
      <c r="D115" s="1206" t="s">
        <v>527</v>
      </c>
      <c r="E115" s="1386" t="s">
        <v>528</v>
      </c>
      <c r="F115" s="521"/>
      <c r="G115" s="522"/>
      <c r="H115" s="522"/>
      <c r="I115" s="522"/>
      <c r="J115" s="523"/>
      <c r="K115" s="523"/>
      <c r="L115" s="523"/>
      <c r="M115" s="524"/>
      <c r="N115" s="525"/>
      <c r="O115" s="526" t="s">
        <v>1237</v>
      </c>
      <c r="P115" s="525">
        <f>'Malaria-Key Info'!$F$38*'HPM costs'!F72</f>
        <v>0</v>
      </c>
      <c r="Q115" s="525" t="s">
        <v>1237</v>
      </c>
      <c r="R115" s="525">
        <f>'Malaria-Key Info'!$F$38*'HPM costs'!G72</f>
        <v>0</v>
      </c>
      <c r="S115" s="525" t="s">
        <v>1237</v>
      </c>
      <c r="T115" s="525">
        <f>'Malaria-Key Info'!$F$38*'HPM costs'!H72</f>
        <v>0</v>
      </c>
      <c r="U115" s="525" t="s">
        <v>1237</v>
      </c>
      <c r="V115" s="525">
        <f>'Malaria-Key Info'!$F$38*'HPM costs'!I72</f>
        <v>0</v>
      </c>
      <c r="W115" s="525"/>
      <c r="X115" s="1154">
        <f t="shared" si="12"/>
        <v>0</v>
      </c>
      <c r="Y115" s="1155"/>
      <c r="Z115" s="1156"/>
      <c r="AA115" s="529"/>
      <c r="AB115" s="525"/>
      <c r="AC115" s="525">
        <f>'Malaria-Key Info'!$F$38*'HPM costs'!K72</f>
        <v>0</v>
      </c>
      <c r="AD115" s="525"/>
      <c r="AE115" s="525">
        <f>'Malaria-Key Info'!$F$38*'HPM costs'!L72</f>
        <v>0</v>
      </c>
      <c r="AF115" s="525"/>
      <c r="AG115" s="525">
        <f>'Malaria-Key Info'!$F$38*'HPM costs'!M72</f>
        <v>0</v>
      </c>
      <c r="AH115" s="525"/>
      <c r="AI115" s="525">
        <f>'Malaria-Key Info'!$F$38*'HPM costs'!N72</f>
        <v>0</v>
      </c>
      <c r="AJ115" s="525"/>
      <c r="AK115" s="1154">
        <f t="shared" si="13"/>
        <v>0</v>
      </c>
      <c r="AL115" s="1155"/>
      <c r="AM115" s="1156"/>
      <c r="AN115" s="529"/>
      <c r="AO115" s="525"/>
      <c r="AP115" s="525">
        <f>'Malaria-Key Info'!$F$38*'HPM costs'!P72</f>
        <v>0</v>
      </c>
      <c r="AQ115" s="525"/>
      <c r="AR115" s="525">
        <f>'Malaria-Key Info'!$F$38*'HPM costs'!Q72</f>
        <v>0</v>
      </c>
      <c r="AS115" s="525"/>
      <c r="AT115" s="525">
        <f>'Malaria-Key Info'!$F$38*'HPM costs'!R72</f>
        <v>0</v>
      </c>
      <c r="AU115" s="525"/>
      <c r="AV115" s="525">
        <f>'Malaria-Key Info'!$F$38*'HPM costs'!S72</f>
        <v>0</v>
      </c>
      <c r="AW115" s="525"/>
      <c r="AX115" s="1154">
        <f t="shared" si="14"/>
        <v>0</v>
      </c>
      <c r="AY115" s="1154"/>
      <c r="AZ115" s="528"/>
      <c r="BA115" s="529"/>
      <c r="BB115" s="527"/>
      <c r="BC115" s="527">
        <v>0</v>
      </c>
      <c r="BD115" s="527">
        <v>0</v>
      </c>
      <c r="BE115" s="527">
        <v>0</v>
      </c>
      <c r="BF115" s="527">
        <v>0</v>
      </c>
      <c r="BG115" s="527">
        <v>0</v>
      </c>
      <c r="BH115" s="527">
        <v>0</v>
      </c>
      <c r="BI115" s="527">
        <v>0</v>
      </c>
      <c r="BJ115" s="527">
        <v>0</v>
      </c>
      <c r="BK115" s="1154">
        <f t="shared" si="15"/>
        <v>0</v>
      </c>
      <c r="BL115" s="1154"/>
      <c r="BM115" s="1154">
        <f t="shared" si="16"/>
        <v>0</v>
      </c>
      <c r="BN115" s="1154">
        <f t="shared" si="17"/>
        <v>0</v>
      </c>
      <c r="BO115" s="527"/>
      <c r="BP115" s="527"/>
      <c r="BQ115" s="1157">
        <v>0</v>
      </c>
      <c r="BR115" s="1157" t="s">
        <v>19</v>
      </c>
      <c r="BS115" s="1157" t="s">
        <v>527</v>
      </c>
      <c r="BT115" s="1376" t="s">
        <v>639</v>
      </c>
    </row>
    <row r="116" spans="1:72" s="512" customFormat="1" ht="13" hidden="1">
      <c r="A116" s="1204">
        <v>151</v>
      </c>
      <c r="B116" s="1205" t="s">
        <v>612</v>
      </c>
      <c r="C116" s="1205" t="s">
        <v>637</v>
      </c>
      <c r="D116" s="1206" t="s">
        <v>527</v>
      </c>
      <c r="E116" s="1386" t="s">
        <v>530</v>
      </c>
      <c r="F116" s="521"/>
      <c r="G116" s="522"/>
      <c r="H116" s="522"/>
      <c r="I116" s="522"/>
      <c r="J116" s="523"/>
      <c r="K116" s="523"/>
      <c r="L116" s="523"/>
      <c r="M116" s="524"/>
      <c r="N116" s="525"/>
      <c r="O116" s="526" t="s">
        <v>1237</v>
      </c>
      <c r="P116" s="525">
        <f>'Malaria-Key Info'!$F$38*'HPM costs'!F158</f>
        <v>0</v>
      </c>
      <c r="Q116" s="525" t="s">
        <v>1237</v>
      </c>
      <c r="R116" s="525">
        <f>'Malaria-Key Info'!$F$38*'HPM costs'!G158</f>
        <v>0</v>
      </c>
      <c r="S116" s="525" t="s">
        <v>1237</v>
      </c>
      <c r="T116" s="525">
        <f>'Malaria-Key Info'!$F$38*'HPM costs'!H158</f>
        <v>0</v>
      </c>
      <c r="U116" s="525" t="s">
        <v>1237</v>
      </c>
      <c r="V116" s="525">
        <f>'Malaria-Key Info'!$F$38*'HPM costs'!I158</f>
        <v>0</v>
      </c>
      <c r="W116" s="525"/>
      <c r="X116" s="1154">
        <f t="shared" si="12"/>
        <v>0</v>
      </c>
      <c r="Y116" s="1155"/>
      <c r="Z116" s="1156"/>
      <c r="AA116" s="529"/>
      <c r="AB116" s="525"/>
      <c r="AC116" s="525">
        <f>'Malaria-Key Info'!$F$38*'HPM costs'!K158</f>
        <v>0</v>
      </c>
      <c r="AD116" s="525"/>
      <c r="AE116" s="525">
        <f>'Malaria-Key Info'!$F$38*'HPM costs'!L158</f>
        <v>0</v>
      </c>
      <c r="AF116" s="525"/>
      <c r="AG116" s="525">
        <f>'Malaria-Key Info'!$F$38*'HPM costs'!M158</f>
        <v>0</v>
      </c>
      <c r="AH116" s="525"/>
      <c r="AI116" s="525">
        <f>'Malaria-Key Info'!$F$38*'HPM costs'!N158</f>
        <v>0</v>
      </c>
      <c r="AJ116" s="525"/>
      <c r="AK116" s="1154">
        <f t="shared" si="13"/>
        <v>0</v>
      </c>
      <c r="AL116" s="1155"/>
      <c r="AM116" s="1156"/>
      <c r="AN116" s="529"/>
      <c r="AO116" s="525"/>
      <c r="AP116" s="525">
        <f>'Malaria-Key Info'!$F$38*'HPM costs'!P158</f>
        <v>0</v>
      </c>
      <c r="AQ116" s="525"/>
      <c r="AR116" s="525">
        <f>'Malaria-Key Info'!$F$38*'HPM costs'!Q158</f>
        <v>0</v>
      </c>
      <c r="AS116" s="525"/>
      <c r="AT116" s="525">
        <f>'Malaria-Key Info'!$F$38*'HPM costs'!R158</f>
        <v>0</v>
      </c>
      <c r="AU116" s="525"/>
      <c r="AV116" s="525">
        <f>'Malaria-Key Info'!$F$38*'HPM costs'!S158</f>
        <v>0</v>
      </c>
      <c r="AW116" s="525"/>
      <c r="AX116" s="1154">
        <f t="shared" si="14"/>
        <v>0</v>
      </c>
      <c r="AY116" s="1154"/>
      <c r="AZ116" s="528"/>
      <c r="BA116" s="529"/>
      <c r="BB116" s="527"/>
      <c r="BC116" s="527">
        <v>0</v>
      </c>
      <c r="BD116" s="527">
        <v>0</v>
      </c>
      <c r="BE116" s="527">
        <v>0</v>
      </c>
      <c r="BF116" s="527">
        <v>0</v>
      </c>
      <c r="BG116" s="527">
        <v>0</v>
      </c>
      <c r="BH116" s="527">
        <v>0</v>
      </c>
      <c r="BI116" s="527">
        <v>0</v>
      </c>
      <c r="BJ116" s="527">
        <v>0</v>
      </c>
      <c r="BK116" s="1154">
        <f t="shared" si="15"/>
        <v>0</v>
      </c>
      <c r="BL116" s="1154"/>
      <c r="BM116" s="1154">
        <f t="shared" si="16"/>
        <v>0</v>
      </c>
      <c r="BN116" s="1154">
        <f t="shared" si="17"/>
        <v>0</v>
      </c>
      <c r="BO116" s="527"/>
      <c r="BP116" s="527"/>
      <c r="BQ116" s="1157">
        <v>0</v>
      </c>
      <c r="BR116" s="1157" t="s">
        <v>19</v>
      </c>
      <c r="BS116" s="1157" t="s">
        <v>527</v>
      </c>
      <c r="BT116" s="1376" t="s">
        <v>640</v>
      </c>
    </row>
    <row r="117" spans="1:72" s="512" customFormat="1" ht="13" hidden="1">
      <c r="A117" s="1204">
        <v>152</v>
      </c>
      <c r="B117" s="1205" t="s">
        <v>612</v>
      </c>
      <c r="C117" s="1205" t="s">
        <v>637</v>
      </c>
      <c r="D117" s="1206" t="s">
        <v>527</v>
      </c>
      <c r="E117" s="1386" t="s">
        <v>532</v>
      </c>
      <c r="F117" s="521"/>
      <c r="G117" s="522"/>
      <c r="H117" s="522"/>
      <c r="I117" s="522"/>
      <c r="J117" s="523"/>
      <c r="K117" s="523"/>
      <c r="L117" s="523"/>
      <c r="M117" s="524"/>
      <c r="N117" s="525"/>
      <c r="O117" s="526" t="s">
        <v>1237</v>
      </c>
      <c r="P117" s="525">
        <f>'Malaria-Key Info'!$F$38*'HPM costs'!F418</f>
        <v>0</v>
      </c>
      <c r="Q117" s="525" t="s">
        <v>1237</v>
      </c>
      <c r="R117" s="525">
        <f>'Malaria-Key Info'!$F$38*'HPM costs'!G418</f>
        <v>0</v>
      </c>
      <c r="S117" s="525" t="s">
        <v>1237</v>
      </c>
      <c r="T117" s="525">
        <f>'Malaria-Key Info'!$F$38*'HPM costs'!H418</f>
        <v>0</v>
      </c>
      <c r="U117" s="525" t="s">
        <v>1237</v>
      </c>
      <c r="V117" s="525">
        <f>'Malaria-Key Info'!$F$38*'HPM costs'!I418</f>
        <v>0</v>
      </c>
      <c r="W117" s="525"/>
      <c r="X117" s="1154">
        <f t="shared" si="12"/>
        <v>0</v>
      </c>
      <c r="Y117" s="1155"/>
      <c r="Z117" s="1156"/>
      <c r="AA117" s="529"/>
      <c r="AB117" s="525"/>
      <c r="AC117" s="525">
        <f>'Malaria-Key Info'!$F$38*'HPM costs'!K418</f>
        <v>0</v>
      </c>
      <c r="AD117" s="525"/>
      <c r="AE117" s="525">
        <f>'Malaria-Key Info'!$F$38*'HPM costs'!L418</f>
        <v>0</v>
      </c>
      <c r="AF117" s="525"/>
      <c r="AG117" s="525">
        <f>'Malaria-Key Info'!$F$38*'HPM costs'!M418</f>
        <v>0</v>
      </c>
      <c r="AH117" s="525"/>
      <c r="AI117" s="525">
        <f>'Malaria-Key Info'!$F$38*'HPM costs'!N418</f>
        <v>0</v>
      </c>
      <c r="AJ117" s="525"/>
      <c r="AK117" s="1154">
        <f t="shared" si="13"/>
        <v>0</v>
      </c>
      <c r="AL117" s="1155"/>
      <c r="AM117" s="1156"/>
      <c r="AN117" s="529"/>
      <c r="AO117" s="525"/>
      <c r="AP117" s="525">
        <f>'Malaria-Key Info'!$F$38*'HPM costs'!P418</f>
        <v>0</v>
      </c>
      <c r="AQ117" s="525"/>
      <c r="AR117" s="525">
        <f>'Malaria-Key Info'!$F$38*'HPM costs'!Q418</f>
        <v>0</v>
      </c>
      <c r="AS117" s="525"/>
      <c r="AT117" s="525">
        <f>'Malaria-Key Info'!$F$38*'HPM costs'!R418</f>
        <v>0</v>
      </c>
      <c r="AU117" s="525"/>
      <c r="AV117" s="525">
        <f>'Malaria-Key Info'!$F$38*'HPM costs'!S418</f>
        <v>0</v>
      </c>
      <c r="AW117" s="525"/>
      <c r="AX117" s="1154">
        <f t="shared" si="14"/>
        <v>0</v>
      </c>
      <c r="AY117" s="1154"/>
      <c r="AZ117" s="528"/>
      <c r="BA117" s="529"/>
      <c r="BB117" s="527"/>
      <c r="BC117" s="527">
        <v>0</v>
      </c>
      <c r="BD117" s="527">
        <v>0</v>
      </c>
      <c r="BE117" s="527">
        <v>0</v>
      </c>
      <c r="BF117" s="527">
        <v>0</v>
      </c>
      <c r="BG117" s="527">
        <v>0</v>
      </c>
      <c r="BH117" s="527">
        <v>0</v>
      </c>
      <c r="BI117" s="527">
        <v>0</v>
      </c>
      <c r="BJ117" s="527">
        <v>0</v>
      </c>
      <c r="BK117" s="1154">
        <f t="shared" si="15"/>
        <v>0</v>
      </c>
      <c r="BL117" s="1154"/>
      <c r="BM117" s="1154">
        <f t="shared" si="16"/>
        <v>0</v>
      </c>
      <c r="BN117" s="1154">
        <f t="shared" si="17"/>
        <v>0</v>
      </c>
      <c r="BO117" s="527"/>
      <c r="BP117" s="527"/>
      <c r="BQ117" s="1157">
        <v>0</v>
      </c>
      <c r="BR117" s="1157" t="s">
        <v>19</v>
      </c>
      <c r="BS117" s="1157" t="s">
        <v>527</v>
      </c>
      <c r="BT117" s="1376" t="s">
        <v>641</v>
      </c>
    </row>
    <row r="118" spans="1:72" s="512" customFormat="1" ht="13" hidden="1">
      <c r="A118" s="1204">
        <v>153</v>
      </c>
      <c r="B118" s="1205" t="s">
        <v>612</v>
      </c>
      <c r="C118" s="1205" t="s">
        <v>637</v>
      </c>
      <c r="D118" s="1206" t="s">
        <v>527</v>
      </c>
      <c r="E118" s="1386" t="s">
        <v>534</v>
      </c>
      <c r="F118" s="521"/>
      <c r="G118" s="522"/>
      <c r="H118" s="522"/>
      <c r="I118" s="522"/>
      <c r="J118" s="523"/>
      <c r="K118" s="523"/>
      <c r="L118" s="523"/>
      <c r="M118" s="524"/>
      <c r="N118" s="525"/>
      <c r="O118" s="526" t="s">
        <v>1237</v>
      </c>
      <c r="P118" s="525">
        <f>'Malaria-Key Info'!$F$38*'HPM costs'!F504</f>
        <v>0</v>
      </c>
      <c r="Q118" s="525" t="s">
        <v>1237</v>
      </c>
      <c r="R118" s="525">
        <f>'Malaria-Key Info'!$F$38*'HPM costs'!G504</f>
        <v>0</v>
      </c>
      <c r="S118" s="525" t="s">
        <v>1237</v>
      </c>
      <c r="T118" s="525">
        <f>'Malaria-Key Info'!$F$38*'HPM costs'!H504</f>
        <v>0</v>
      </c>
      <c r="U118" s="525" t="s">
        <v>1237</v>
      </c>
      <c r="V118" s="525">
        <f>'Malaria-Key Info'!$F$38*'HPM costs'!I504</f>
        <v>0</v>
      </c>
      <c r="W118" s="525"/>
      <c r="X118" s="1154">
        <f t="shared" si="12"/>
        <v>0</v>
      </c>
      <c r="Y118" s="1155"/>
      <c r="Z118" s="1156"/>
      <c r="AA118" s="529"/>
      <c r="AB118" s="525"/>
      <c r="AC118" s="525">
        <f>'Malaria-Key Info'!$F$38*'HPM costs'!K504</f>
        <v>0</v>
      </c>
      <c r="AD118" s="525"/>
      <c r="AE118" s="525">
        <f>'Malaria-Key Info'!$F$38*'HPM costs'!L504</f>
        <v>0</v>
      </c>
      <c r="AF118" s="525"/>
      <c r="AG118" s="525">
        <f>'Malaria-Key Info'!$F$38*'HPM costs'!M504</f>
        <v>0</v>
      </c>
      <c r="AH118" s="525"/>
      <c r="AI118" s="525">
        <f>'Malaria-Key Info'!$F$38*'HPM costs'!N504</f>
        <v>0</v>
      </c>
      <c r="AJ118" s="525"/>
      <c r="AK118" s="1154">
        <f t="shared" si="13"/>
        <v>0</v>
      </c>
      <c r="AL118" s="1155"/>
      <c r="AM118" s="1156"/>
      <c r="AN118" s="529"/>
      <c r="AO118" s="525"/>
      <c r="AP118" s="525">
        <f>'Malaria-Key Info'!$F$38*'HPM costs'!P504</f>
        <v>0</v>
      </c>
      <c r="AQ118" s="525"/>
      <c r="AR118" s="525">
        <f>'Malaria-Key Info'!$F$38*'HPM costs'!Q504</f>
        <v>0</v>
      </c>
      <c r="AS118" s="525"/>
      <c r="AT118" s="525">
        <f>'Malaria-Key Info'!$F$38*'HPM costs'!R504</f>
        <v>0</v>
      </c>
      <c r="AU118" s="525"/>
      <c r="AV118" s="525">
        <f>'Malaria-Key Info'!$F$38*'HPM costs'!S504</f>
        <v>0</v>
      </c>
      <c r="AW118" s="525"/>
      <c r="AX118" s="1154">
        <f t="shared" si="14"/>
        <v>0</v>
      </c>
      <c r="AY118" s="1154"/>
      <c r="AZ118" s="528"/>
      <c r="BA118" s="529"/>
      <c r="BB118" s="527"/>
      <c r="BC118" s="527">
        <v>0</v>
      </c>
      <c r="BD118" s="527">
        <v>0</v>
      </c>
      <c r="BE118" s="527">
        <v>0</v>
      </c>
      <c r="BF118" s="527">
        <v>0</v>
      </c>
      <c r="BG118" s="527">
        <v>0</v>
      </c>
      <c r="BH118" s="527">
        <v>0</v>
      </c>
      <c r="BI118" s="527">
        <v>0</v>
      </c>
      <c r="BJ118" s="527">
        <v>0</v>
      </c>
      <c r="BK118" s="1154">
        <f t="shared" si="15"/>
        <v>0</v>
      </c>
      <c r="BL118" s="1154"/>
      <c r="BM118" s="1154">
        <f t="shared" si="16"/>
        <v>0</v>
      </c>
      <c r="BN118" s="1154">
        <f t="shared" si="17"/>
        <v>0</v>
      </c>
      <c r="BO118" s="527"/>
      <c r="BP118" s="527"/>
      <c r="BQ118" s="1157">
        <v>0</v>
      </c>
      <c r="BR118" s="1157" t="s">
        <v>19</v>
      </c>
      <c r="BS118" s="1157" t="s">
        <v>527</v>
      </c>
      <c r="BT118" s="1376" t="s">
        <v>642</v>
      </c>
    </row>
    <row r="119" spans="1:72" s="512" customFormat="1" ht="13" hidden="1">
      <c r="A119" s="1204">
        <v>154</v>
      </c>
      <c r="B119" s="1205" t="s">
        <v>612</v>
      </c>
      <c r="C119" s="1205" t="s">
        <v>637</v>
      </c>
      <c r="D119" s="1206" t="s">
        <v>527</v>
      </c>
      <c r="E119" s="1386" t="s">
        <v>536</v>
      </c>
      <c r="F119" s="521"/>
      <c r="G119" s="522" t="str">
        <f>SETUP!$E$3</f>
        <v>El Salvador</v>
      </c>
      <c r="H119" s="522"/>
      <c r="I119" s="522"/>
      <c r="J119" s="523"/>
      <c r="K119" s="523"/>
      <c r="L119" s="523"/>
      <c r="M119" s="524"/>
      <c r="N119" s="525"/>
      <c r="O119" s="526" t="s">
        <v>1237</v>
      </c>
      <c r="P119" s="525">
        <f>'Malaria-Key Info'!$F$38*('HPM costs'!F244+'HPM costs'!F590)</f>
        <v>0</v>
      </c>
      <c r="Q119" s="525" t="s">
        <v>1237</v>
      </c>
      <c r="R119" s="525">
        <f>'Malaria-Key Info'!$F$38*('HPM costs'!G244+'HPM costs'!G590)</f>
        <v>0</v>
      </c>
      <c r="S119" s="525" t="s">
        <v>1237</v>
      </c>
      <c r="T119" s="525">
        <f>'Malaria-Key Info'!$F$38*('HPM costs'!H244+'HPM costs'!H590)</f>
        <v>0</v>
      </c>
      <c r="U119" s="525" t="s">
        <v>1237</v>
      </c>
      <c r="V119" s="525">
        <f>'Malaria-Key Info'!$F$38*('HPM costs'!I244+'HPM costs'!I590)</f>
        <v>0</v>
      </c>
      <c r="W119" s="525"/>
      <c r="X119" s="1154">
        <f t="shared" si="12"/>
        <v>0</v>
      </c>
      <c r="Y119" s="1155"/>
      <c r="Z119" s="1156"/>
      <c r="AA119" s="529"/>
      <c r="AB119" s="525"/>
      <c r="AC119" s="525">
        <f>'Malaria-Key Info'!$F$38*('HPM costs'!K244+'HPM costs'!K590)</f>
        <v>0</v>
      </c>
      <c r="AD119" s="525"/>
      <c r="AE119" s="525">
        <f>'Malaria-Key Info'!$F$38*('HPM costs'!L244+'HPM costs'!L590)</f>
        <v>0</v>
      </c>
      <c r="AF119" s="525"/>
      <c r="AG119" s="525">
        <f>'Malaria-Key Info'!$F$38*('HPM costs'!M244+'HPM costs'!M590)</f>
        <v>0</v>
      </c>
      <c r="AH119" s="525"/>
      <c r="AI119" s="525">
        <f>'Malaria-Key Info'!$F$38*('HPM costs'!N244+'HPM costs'!N590)</f>
        <v>0</v>
      </c>
      <c r="AJ119" s="525"/>
      <c r="AK119" s="1154">
        <f t="shared" si="13"/>
        <v>0</v>
      </c>
      <c r="AL119" s="1155"/>
      <c r="AM119" s="1156"/>
      <c r="AN119" s="529"/>
      <c r="AO119" s="525"/>
      <c r="AP119" s="525">
        <f>'Malaria-Key Info'!$F$38*('HPM costs'!P244+'HPM costs'!P590)</f>
        <v>0</v>
      </c>
      <c r="AQ119" s="525"/>
      <c r="AR119" s="525">
        <f>'Malaria-Key Info'!$F$38*('HPM costs'!Q244+'HPM costs'!Q590)</f>
        <v>0</v>
      </c>
      <c r="AS119" s="525"/>
      <c r="AT119" s="525">
        <f>'Malaria-Key Info'!$F$38*('HPM costs'!R244+'HPM costs'!R590)</f>
        <v>0</v>
      </c>
      <c r="AU119" s="525"/>
      <c r="AV119" s="525">
        <f>'Malaria-Key Info'!$F$38*('HPM costs'!S244+'HPM costs'!S590)</f>
        <v>0</v>
      </c>
      <c r="AW119" s="525"/>
      <c r="AX119" s="1154">
        <f t="shared" si="14"/>
        <v>0</v>
      </c>
      <c r="AY119" s="1154"/>
      <c r="AZ119" s="528"/>
      <c r="BA119" s="529"/>
      <c r="BB119" s="527"/>
      <c r="BC119" s="527">
        <v>0</v>
      </c>
      <c r="BD119" s="527">
        <v>0</v>
      </c>
      <c r="BE119" s="527">
        <v>0</v>
      </c>
      <c r="BF119" s="527">
        <v>0</v>
      </c>
      <c r="BG119" s="527">
        <v>0</v>
      </c>
      <c r="BH119" s="527">
        <v>0</v>
      </c>
      <c r="BI119" s="527">
        <v>0</v>
      </c>
      <c r="BJ119" s="527">
        <v>0</v>
      </c>
      <c r="BK119" s="1154">
        <f t="shared" si="15"/>
        <v>0</v>
      </c>
      <c r="BL119" s="1154"/>
      <c r="BM119" s="1154">
        <f t="shared" si="16"/>
        <v>0</v>
      </c>
      <c r="BN119" s="1154">
        <f t="shared" si="17"/>
        <v>0</v>
      </c>
      <c r="BO119" s="527"/>
      <c r="BP119" s="527"/>
      <c r="BQ119" s="1157">
        <v>0</v>
      </c>
      <c r="BR119" s="1157" t="s">
        <v>19</v>
      </c>
      <c r="BS119" s="1157" t="s">
        <v>527</v>
      </c>
      <c r="BT119" s="1376" t="s">
        <v>643</v>
      </c>
    </row>
    <row r="120" spans="1:72" s="512" customFormat="1" ht="13" hidden="1">
      <c r="A120" s="1204">
        <v>155</v>
      </c>
      <c r="B120" s="1205" t="s">
        <v>612</v>
      </c>
      <c r="C120" s="1205" t="s">
        <v>637</v>
      </c>
      <c r="D120" s="1206" t="s">
        <v>527</v>
      </c>
      <c r="E120" s="1386" t="s">
        <v>538</v>
      </c>
      <c r="F120" s="521"/>
      <c r="G120" s="522"/>
      <c r="H120" s="522"/>
      <c r="I120" s="522"/>
      <c r="J120" s="523"/>
      <c r="K120" s="523"/>
      <c r="L120" s="523"/>
      <c r="M120" s="524"/>
      <c r="N120" s="525"/>
      <c r="O120" s="526" t="s">
        <v>1237</v>
      </c>
      <c r="P120" s="525">
        <f>'Malaria-Key Info'!$F$38*'HPM costs'!F330</f>
        <v>0</v>
      </c>
      <c r="Q120" s="525" t="s">
        <v>1237</v>
      </c>
      <c r="R120" s="525">
        <f>'Malaria-Key Info'!$F$38*'HPM costs'!G330</f>
        <v>0</v>
      </c>
      <c r="S120" s="525" t="s">
        <v>1237</v>
      </c>
      <c r="T120" s="525">
        <f>'Malaria-Key Info'!$F$38*'HPM costs'!H330</f>
        <v>0</v>
      </c>
      <c r="U120" s="525" t="s">
        <v>1237</v>
      </c>
      <c r="V120" s="525">
        <f>'Malaria-Key Info'!$F$38*'HPM costs'!I330</f>
        <v>0</v>
      </c>
      <c r="W120" s="525"/>
      <c r="X120" s="1154">
        <f t="shared" si="12"/>
        <v>0</v>
      </c>
      <c r="Y120" s="1155"/>
      <c r="Z120" s="1156"/>
      <c r="AA120" s="529"/>
      <c r="AB120" s="525"/>
      <c r="AC120" s="525">
        <f>'Malaria-Key Info'!$F$38*'HPM costs'!K330</f>
        <v>0</v>
      </c>
      <c r="AD120" s="525"/>
      <c r="AE120" s="525">
        <f>'Malaria-Key Info'!$F$38*'HPM costs'!L330</f>
        <v>0</v>
      </c>
      <c r="AF120" s="525"/>
      <c r="AG120" s="525">
        <f>'Malaria-Key Info'!$F$38*'HPM costs'!M330</f>
        <v>0</v>
      </c>
      <c r="AH120" s="525"/>
      <c r="AI120" s="525">
        <f>'Malaria-Key Info'!$F$38*'HPM costs'!N330</f>
        <v>0</v>
      </c>
      <c r="AJ120" s="525"/>
      <c r="AK120" s="1154">
        <f t="shared" si="13"/>
        <v>0</v>
      </c>
      <c r="AL120" s="1155"/>
      <c r="AM120" s="1156"/>
      <c r="AN120" s="529"/>
      <c r="AO120" s="525"/>
      <c r="AP120" s="525">
        <f>'Malaria-Key Info'!$F$38*'HPM costs'!P330</f>
        <v>0</v>
      </c>
      <c r="AQ120" s="525"/>
      <c r="AR120" s="525">
        <f>'Malaria-Key Info'!$F$38*'HPM costs'!Q330</f>
        <v>0</v>
      </c>
      <c r="AS120" s="525"/>
      <c r="AT120" s="525">
        <f>'Malaria-Key Info'!$F$38*'HPM costs'!R330</f>
        <v>0</v>
      </c>
      <c r="AU120" s="525"/>
      <c r="AV120" s="525">
        <f>'Malaria-Key Info'!$F$38*'HPM costs'!S330</f>
        <v>0</v>
      </c>
      <c r="AW120" s="525"/>
      <c r="AX120" s="1154">
        <f t="shared" si="14"/>
        <v>0</v>
      </c>
      <c r="AY120" s="1154"/>
      <c r="AZ120" s="528"/>
      <c r="BA120" s="529"/>
      <c r="BB120" s="527"/>
      <c r="BC120" s="527">
        <v>0</v>
      </c>
      <c r="BD120" s="527">
        <v>0</v>
      </c>
      <c r="BE120" s="527">
        <v>0</v>
      </c>
      <c r="BF120" s="527">
        <v>0</v>
      </c>
      <c r="BG120" s="527">
        <v>0</v>
      </c>
      <c r="BH120" s="527">
        <v>0</v>
      </c>
      <c r="BI120" s="527">
        <v>0</v>
      </c>
      <c r="BJ120" s="527">
        <v>0</v>
      </c>
      <c r="BK120" s="1154">
        <f t="shared" si="15"/>
        <v>0</v>
      </c>
      <c r="BL120" s="1154"/>
      <c r="BM120" s="1154">
        <f t="shared" si="16"/>
        <v>0</v>
      </c>
      <c r="BN120" s="1154">
        <f t="shared" si="17"/>
        <v>0</v>
      </c>
      <c r="BO120" s="527"/>
      <c r="BP120" s="527"/>
      <c r="BQ120" s="1157">
        <v>0</v>
      </c>
      <c r="BR120" s="1157" t="s">
        <v>19</v>
      </c>
      <c r="BS120" s="1157" t="s">
        <v>527</v>
      </c>
      <c r="BT120" s="1376" t="s">
        <v>644</v>
      </c>
    </row>
    <row r="121" spans="1:72" s="512" customFormat="1" ht="13" hidden="1">
      <c r="A121" s="1204">
        <v>156</v>
      </c>
      <c r="B121" s="1205" t="s">
        <v>612</v>
      </c>
      <c r="C121" s="1205" t="s">
        <v>637</v>
      </c>
      <c r="D121" s="1206" t="s">
        <v>527</v>
      </c>
      <c r="E121" s="1386" t="s">
        <v>540</v>
      </c>
      <c r="F121" s="521"/>
      <c r="G121" s="522"/>
      <c r="H121" s="522"/>
      <c r="I121" s="522"/>
      <c r="J121" s="523"/>
      <c r="K121" s="523"/>
      <c r="L121" s="523"/>
      <c r="M121" s="524"/>
      <c r="N121" s="525"/>
      <c r="O121" s="526" t="s">
        <v>1237</v>
      </c>
      <c r="P121" s="525">
        <f>'Malaria-Key Info'!$F$38*'HPM costs'!F675</f>
        <v>0</v>
      </c>
      <c r="Q121" s="525" t="s">
        <v>1237</v>
      </c>
      <c r="R121" s="525">
        <f>'Malaria-Key Info'!$F$38*'HPM costs'!G675</f>
        <v>0</v>
      </c>
      <c r="S121" s="525" t="s">
        <v>1237</v>
      </c>
      <c r="T121" s="525">
        <f>'Malaria-Key Info'!$F$38*'HPM costs'!H675</f>
        <v>0</v>
      </c>
      <c r="U121" s="525" t="s">
        <v>1237</v>
      </c>
      <c r="V121" s="525">
        <f>'Malaria-Key Info'!$F$38*'HPM costs'!I675</f>
        <v>0</v>
      </c>
      <c r="W121" s="525"/>
      <c r="X121" s="1154">
        <f t="shared" si="12"/>
        <v>0</v>
      </c>
      <c r="Y121" s="1155"/>
      <c r="Z121" s="1156"/>
      <c r="AA121" s="529"/>
      <c r="AB121" s="525"/>
      <c r="AC121" s="525">
        <f>'Malaria-Key Info'!$F$38*'HPM costs'!K675</f>
        <v>0</v>
      </c>
      <c r="AD121" s="525"/>
      <c r="AE121" s="525">
        <f>'Malaria-Key Info'!$F$38*'HPM costs'!L675</f>
        <v>0</v>
      </c>
      <c r="AF121" s="525"/>
      <c r="AG121" s="525">
        <f>'Malaria-Key Info'!$F$38*'HPM costs'!M675</f>
        <v>0</v>
      </c>
      <c r="AH121" s="525"/>
      <c r="AI121" s="525">
        <f>'Malaria-Key Info'!$F$38*'HPM costs'!N675</f>
        <v>0</v>
      </c>
      <c r="AJ121" s="525"/>
      <c r="AK121" s="1154">
        <f t="shared" si="13"/>
        <v>0</v>
      </c>
      <c r="AL121" s="1155"/>
      <c r="AM121" s="1156"/>
      <c r="AN121" s="529"/>
      <c r="AO121" s="525"/>
      <c r="AP121" s="525">
        <f>'Malaria-Key Info'!$F$38*'HPM costs'!P675</f>
        <v>0</v>
      </c>
      <c r="AQ121" s="525"/>
      <c r="AR121" s="525">
        <f>'Malaria-Key Info'!$F$38*'HPM costs'!Q675</f>
        <v>0</v>
      </c>
      <c r="AS121" s="525"/>
      <c r="AT121" s="525">
        <f>'Malaria-Key Info'!$F$38*'HPM costs'!R675</f>
        <v>0</v>
      </c>
      <c r="AU121" s="525"/>
      <c r="AV121" s="525">
        <f>'Malaria-Key Info'!$F$38*'HPM costs'!S675</f>
        <v>0</v>
      </c>
      <c r="AW121" s="525"/>
      <c r="AX121" s="1154">
        <f t="shared" si="14"/>
        <v>0</v>
      </c>
      <c r="AY121" s="1154"/>
      <c r="AZ121" s="528"/>
      <c r="BA121" s="529"/>
      <c r="BB121" s="527"/>
      <c r="BC121" s="527">
        <v>0</v>
      </c>
      <c r="BD121" s="527">
        <v>0</v>
      </c>
      <c r="BE121" s="527">
        <v>0</v>
      </c>
      <c r="BF121" s="527">
        <v>0</v>
      </c>
      <c r="BG121" s="527">
        <v>0</v>
      </c>
      <c r="BH121" s="527">
        <v>0</v>
      </c>
      <c r="BI121" s="527">
        <v>0</v>
      </c>
      <c r="BJ121" s="527">
        <v>0</v>
      </c>
      <c r="BK121" s="1154">
        <f t="shared" si="15"/>
        <v>0</v>
      </c>
      <c r="BL121" s="1154"/>
      <c r="BM121" s="1154">
        <f t="shared" si="16"/>
        <v>0</v>
      </c>
      <c r="BN121" s="1154">
        <f t="shared" si="17"/>
        <v>0</v>
      </c>
      <c r="BO121" s="527"/>
      <c r="BP121" s="527"/>
      <c r="BQ121" s="1157">
        <v>0</v>
      </c>
      <c r="BR121" s="1157" t="s">
        <v>19</v>
      </c>
      <c r="BS121" s="1157" t="s">
        <v>527</v>
      </c>
      <c r="BT121" s="1376" t="s">
        <v>1246</v>
      </c>
    </row>
    <row r="122" spans="1:72" s="512" customFormat="1" ht="13" hidden="1">
      <c r="A122" s="1204">
        <v>157</v>
      </c>
      <c r="B122" s="1205" t="s">
        <v>645</v>
      </c>
      <c r="C122" s="1205" t="s">
        <v>646</v>
      </c>
      <c r="D122" s="1206" t="s">
        <v>2563</v>
      </c>
      <c r="E122" s="1386" t="s">
        <v>1896</v>
      </c>
      <c r="F122" s="521"/>
      <c r="G122" s="522"/>
      <c r="H122" s="522"/>
      <c r="I122" s="522"/>
      <c r="J122" s="523"/>
      <c r="K122" s="523"/>
      <c r="L122" s="523"/>
      <c r="M122" s="524"/>
      <c r="N122" s="525"/>
      <c r="O122" s="526" t="s">
        <v>1237</v>
      </c>
      <c r="P122" s="525">
        <f>IFERROR('TB-Key Info'!$L$15*(INDEX('TB-EQUIPMENT &amp; OTHER HPs'!$AX$26:$BI$43,MATCH("6.3"&amp;"1",INDEX('TB-EQUIPMENT &amp; OTHER HPs'!$AW$26:$AW$43&amp;'TB-EQUIPMENT &amp; OTHER HPs'!$AU$26:$AU$43,0),0),MID(LEFT(P$1,SEARCH(" ",P$1)-1),2,3)-INDEX('TB-EQUIPMENT &amp; OTHER HPs'!$AV$26:$AV$43,MATCH("6.3"&amp;"1",INDEX('TB-EQUIPMENT &amp; OTHER HPs'!$AW$26:$AW$43&amp;'TB-EQUIPMENT &amp; OTHER HPs'!$AU$26:$AU$43,0),0)))),)</f>
        <v>0</v>
      </c>
      <c r="Q122" s="525" t="s">
        <v>1237</v>
      </c>
      <c r="R122" s="525">
        <f>IFERROR('TB-Key Info'!$L$15*(INDEX('TB-EQUIPMENT &amp; OTHER HPs'!$AX$26:$BI$43,MATCH("6.3"&amp;"1",INDEX('TB-EQUIPMENT &amp; OTHER HPs'!$AW$26:$AW$43&amp;'TB-EQUIPMENT &amp; OTHER HPs'!$AU$26:$AU$43,0),0),MID(LEFT(R$1,SEARCH(" ",R$1)-1),2,3)-INDEX('TB-EQUIPMENT &amp; OTHER HPs'!$AV$26:$AV$43,MATCH("6.3"&amp;"1",INDEX('TB-EQUIPMENT &amp; OTHER HPs'!$AW$26:$AW$43&amp;'TB-EQUIPMENT &amp; OTHER HPs'!$AU$26:$AU$43,0),0)))),)</f>
        <v>0</v>
      </c>
      <c r="S122" s="525" t="s">
        <v>1237</v>
      </c>
      <c r="T122" s="525">
        <f>IFERROR('TB-Key Info'!$L$15*(INDEX('TB-EQUIPMENT &amp; OTHER HPs'!$AX$26:$BI$43,MATCH("6.3"&amp;"1",INDEX('TB-EQUIPMENT &amp; OTHER HPs'!$AW$26:$AW$43&amp;'TB-EQUIPMENT &amp; OTHER HPs'!$AU$26:$AU$43,0),0),MID(LEFT(T$1,SEARCH(" ",T$1)-1),2,3)-INDEX('TB-EQUIPMENT &amp; OTHER HPs'!$AV$26:$AV$43,MATCH("6.3"&amp;"1",INDEX('TB-EQUIPMENT &amp; OTHER HPs'!$AW$26:$AW$43&amp;'TB-EQUIPMENT &amp; OTHER HPs'!$AU$26:$AU$43,0),0)))),)</f>
        <v>0</v>
      </c>
      <c r="U122" s="525" t="s">
        <v>1237</v>
      </c>
      <c r="V122" s="525">
        <f>IFERROR('TB-Key Info'!$L$15*(INDEX('TB-EQUIPMENT &amp; OTHER HPs'!$AX$26:$BI$43,MATCH("6.3"&amp;"1",INDEX('TB-EQUIPMENT &amp; OTHER HPs'!$AW$26:$AW$43&amp;'TB-EQUIPMENT &amp; OTHER HPs'!$AU$26:$AU$43,0),0),MID(LEFT(V$1,SEARCH(" ",V$1)-1),2,3)-INDEX('TB-EQUIPMENT &amp; OTHER HPs'!$AV$26:$AV$43,MATCH("6.3"&amp;"1",INDEX('TB-EQUIPMENT &amp; OTHER HPs'!$AW$26:$AW$43&amp;'TB-EQUIPMENT &amp; OTHER HPs'!$AU$26:$AU$43,0),0)))),)</f>
        <v>0</v>
      </c>
      <c r="W122" s="525"/>
      <c r="X122" s="1154">
        <f t="shared" si="12"/>
        <v>0</v>
      </c>
      <c r="Y122" s="1155"/>
      <c r="Z122" s="1156"/>
      <c r="AA122" s="529"/>
      <c r="AB122" s="525"/>
      <c r="AC122" s="525">
        <f>IFERROR('TB-Key Info'!$L$15*(INDEX('TB-EQUIPMENT &amp; OTHER HPs'!$AX$26:$BI$43,MATCH("6.3"&amp;"1",INDEX('TB-EQUIPMENT &amp; OTHER HPs'!$AW$26:$AW$43&amp;'TB-EQUIPMENT &amp; OTHER HPs'!$AU$26:$AU$43,0),0),MID(LEFT(AC$1,SEARCH(" ",AC$1)-1),2,3)-INDEX('TB-EQUIPMENT &amp; OTHER HPs'!$AV$26:$AV$43,MATCH("6.3"&amp;"1",INDEX('TB-EQUIPMENT &amp; OTHER HPs'!$AW$26:$AW$43&amp;'TB-EQUIPMENT &amp; OTHER HPs'!$AU$26:$AU$43,0),0)))),)</f>
        <v>0</v>
      </c>
      <c r="AD122" s="525"/>
      <c r="AE122" s="525">
        <f>IFERROR('TB-Key Info'!$L$15*(INDEX('TB-EQUIPMENT &amp; OTHER HPs'!$AX$26:$BI$43,MATCH("6.3"&amp;"1",INDEX('TB-EQUIPMENT &amp; OTHER HPs'!$AW$26:$AW$43&amp;'TB-EQUIPMENT &amp; OTHER HPs'!$AU$26:$AU$43,0),0),MID(LEFT(AE$1,SEARCH(" ",AE$1)-1),2,3)-INDEX('TB-EQUIPMENT &amp; OTHER HPs'!$AV$26:$AV$43,MATCH("6.3"&amp;"1",INDEX('TB-EQUIPMENT &amp; OTHER HPs'!$AW$26:$AW$43&amp;'TB-EQUIPMENT &amp; OTHER HPs'!$AU$26:$AU$43,0),0)))),)</f>
        <v>0</v>
      </c>
      <c r="AF122" s="525"/>
      <c r="AG122" s="525">
        <f>IFERROR('TB-Key Info'!$L$15*(INDEX('TB-EQUIPMENT &amp; OTHER HPs'!$AX$26:$BI$43,MATCH("6.3"&amp;"1",INDEX('TB-EQUIPMENT &amp; OTHER HPs'!$AW$26:$AW$43&amp;'TB-EQUIPMENT &amp; OTHER HPs'!$AU$26:$AU$43,0),0),MID(LEFT(AG$1,SEARCH(" ",AG$1)-1),2,3)-INDEX('TB-EQUIPMENT &amp; OTHER HPs'!$AV$26:$AV$43,MATCH("6.3"&amp;"1",INDEX('TB-EQUIPMENT &amp; OTHER HPs'!$AW$26:$AW$43&amp;'TB-EQUIPMENT &amp; OTHER HPs'!$AU$26:$AU$43,0),0)))),)</f>
        <v>0</v>
      </c>
      <c r="AH122" s="525"/>
      <c r="AI122" s="525">
        <f>IFERROR('TB-Key Info'!$L$15*(INDEX('TB-EQUIPMENT &amp; OTHER HPs'!$AX$26:$BI$43,MATCH("6.3"&amp;"1",INDEX('TB-EQUIPMENT &amp; OTHER HPs'!$AW$26:$AW$43&amp;'TB-EQUIPMENT &amp; OTHER HPs'!$AU$26:$AU$43,0),0),MID(LEFT(AI$1,SEARCH(" ",AI$1)-1),2,3)-INDEX('TB-EQUIPMENT &amp; OTHER HPs'!$AV$26:$AV$43,MATCH("6.3"&amp;"1",INDEX('TB-EQUIPMENT &amp; OTHER HPs'!$AW$26:$AW$43&amp;'TB-EQUIPMENT &amp; OTHER HPs'!$AU$26:$AU$43,0),0)))),)</f>
        <v>0</v>
      </c>
      <c r="AJ122" s="525"/>
      <c r="AK122" s="1154">
        <f t="shared" si="13"/>
        <v>0</v>
      </c>
      <c r="AL122" s="1155"/>
      <c r="AM122" s="1156"/>
      <c r="AN122" s="529"/>
      <c r="AO122" s="525"/>
      <c r="AP122" s="525">
        <f>IFERROR('TB-Key Info'!$L$15*(INDEX('TB-EQUIPMENT &amp; OTHER HPs'!$AX$26:$BI$43,MATCH("6.3"&amp;"1",INDEX('TB-EQUIPMENT &amp; OTHER HPs'!$AW$26:$AW$43&amp;'TB-EQUIPMENT &amp; OTHER HPs'!$AU$26:$AU$43,0),0),MID(LEFT(AP$1,SEARCH(" ",AP$1)-1),2,3)-INDEX('TB-EQUIPMENT &amp; OTHER HPs'!$AV$26:$AV$43,MATCH("6.3"&amp;"1",INDEX('TB-EQUIPMENT &amp; OTHER HPs'!$AW$26:$AW$43&amp;'TB-EQUIPMENT &amp; OTHER HPs'!$AU$26:$AU$43,0),0)))),)</f>
        <v>0</v>
      </c>
      <c r="AQ122" s="525"/>
      <c r="AR122" s="525">
        <f>IFERROR('TB-Key Info'!$L$15*(INDEX('TB-EQUIPMENT &amp; OTHER HPs'!$AX$26:$BI$43,MATCH("6.3"&amp;"1",INDEX('TB-EQUIPMENT &amp; OTHER HPs'!$AW$26:$AW$43&amp;'TB-EQUIPMENT &amp; OTHER HPs'!$AU$26:$AU$43,0),0),MID(LEFT(AR$1,SEARCH(" ",AR$1)-1),2,3)-INDEX('TB-EQUIPMENT &amp; OTHER HPs'!$AV$26:$AV$43,MATCH("6.3"&amp;"1",INDEX('TB-EQUIPMENT &amp; OTHER HPs'!$AW$26:$AW$43&amp;'TB-EQUIPMENT &amp; OTHER HPs'!$AU$26:$AU$43,0),0)))),)</f>
        <v>0</v>
      </c>
      <c r="AS122" s="525"/>
      <c r="AT122" s="525">
        <f>IFERROR('TB-Key Info'!$L$15*(INDEX('TB-EQUIPMENT &amp; OTHER HPs'!$AX$26:$BI$43,MATCH("6.3"&amp;"1",INDEX('TB-EQUIPMENT &amp; OTHER HPs'!$AW$26:$AW$43&amp;'TB-EQUIPMENT &amp; OTHER HPs'!$AU$26:$AU$43,0),0),MID(LEFT(AT$1,SEARCH(" ",AT$1)-1),2,3)-INDEX('TB-EQUIPMENT &amp; OTHER HPs'!$AV$26:$AV$43,MATCH("6.3"&amp;"1",INDEX('TB-EQUIPMENT &amp; OTHER HPs'!$AW$26:$AW$43&amp;'TB-EQUIPMENT &amp; OTHER HPs'!$AU$26:$AU$43,0),0)))),)</f>
        <v>0</v>
      </c>
      <c r="AU122" s="525"/>
      <c r="AV122" s="525">
        <f>IFERROR('TB-Key Info'!$L$15*(INDEX('TB-EQUIPMENT &amp; OTHER HPs'!$BJ$26:$BJ$43,MATCH("6.3"&amp;"1",INDEX('TB-EQUIPMENT &amp; OTHER HPs'!$AW$26:$AW$43&amp;'TB-EQUIPMENT &amp; OTHER HPs'!$AU$26:$AU$43,0),0),))-SUM(X122,AK122,AP122,AR122,AT122),)</f>
        <v>0</v>
      </c>
      <c r="AW122" s="525"/>
      <c r="AX122" s="1154">
        <f t="shared" si="14"/>
        <v>0</v>
      </c>
      <c r="AY122" s="1154"/>
      <c r="AZ122" s="528"/>
      <c r="BA122" s="529"/>
      <c r="BB122" s="527"/>
      <c r="BC122" s="527">
        <v>0</v>
      </c>
      <c r="BD122" s="527">
        <v>0</v>
      </c>
      <c r="BE122" s="527">
        <v>0</v>
      </c>
      <c r="BF122" s="527">
        <v>0</v>
      </c>
      <c r="BG122" s="527">
        <v>0</v>
      </c>
      <c r="BH122" s="527">
        <v>0</v>
      </c>
      <c r="BI122" s="527">
        <v>0</v>
      </c>
      <c r="BJ122" s="527">
        <v>0</v>
      </c>
      <c r="BK122" s="1154">
        <f t="shared" si="15"/>
        <v>0</v>
      </c>
      <c r="BL122" s="1154"/>
      <c r="BM122" s="1154">
        <f t="shared" si="16"/>
        <v>0</v>
      </c>
      <c r="BN122" s="1154">
        <f t="shared" si="17"/>
        <v>0</v>
      </c>
      <c r="BO122" s="527"/>
      <c r="BP122" s="527"/>
      <c r="BQ122" s="1157">
        <v>0</v>
      </c>
      <c r="BR122" s="1157" t="s">
        <v>688</v>
      </c>
      <c r="BS122" s="1157" t="s">
        <v>2563</v>
      </c>
      <c r="BT122" s="1376" t="s">
        <v>1440</v>
      </c>
    </row>
    <row r="123" spans="1:72" s="512" customFormat="1" ht="13" hidden="1">
      <c r="A123" s="1204">
        <v>158</v>
      </c>
      <c r="B123" s="1205" t="s">
        <v>645</v>
      </c>
      <c r="C123" s="1205" t="s">
        <v>646</v>
      </c>
      <c r="D123" s="1206" t="s">
        <v>2565</v>
      </c>
      <c r="E123" s="1386" t="s">
        <v>603</v>
      </c>
      <c r="F123" s="521"/>
      <c r="G123" s="522"/>
      <c r="H123" s="522"/>
      <c r="I123" s="522"/>
      <c r="J123" s="523"/>
      <c r="K123" s="523"/>
      <c r="L123" s="523"/>
      <c r="M123" s="524"/>
      <c r="N123" s="525"/>
      <c r="O123" s="526" t="s">
        <v>1237</v>
      </c>
      <c r="P123" s="525">
        <f>IFERROR('TB-Key Info'!$L$15*(IFERROR(INDEX('TB-EQUIPMENT &amp; OTHER HPs'!$AX$26:$BI$43,MATCH("5.4"&amp;"2",INDEX('TB-EQUIPMENT &amp; OTHER HPs'!$AW$26:$AW$43&amp;'TB-EQUIPMENT &amp; OTHER HPs'!$AU$26:$AU$43,0),0),MID(LEFT(P$1,SEARCH(" ",P$1)-1),2,3)-INDEX('TB-EQUIPMENT &amp; OTHER HPs'!$AV$26:$AV$43,MATCH("5.4"&amp;"2",INDEX('TB-EQUIPMENT &amp; OTHER HPs'!$AW$26:$AW$43&amp;'TB-EQUIPMENT &amp; OTHER HPs'!$AU$26:$AU$43,0),0))),)+IFERROR(INDEX('TB-EQUIPMENT &amp; OTHER HPs'!$AX$26:$BI$43,MATCH("5.4"&amp;"4",INDEX('TB-EQUIPMENT &amp; OTHER HPs'!$AW$26:$AW$43&amp;'TB-EQUIPMENT &amp; OTHER HPs'!$AU$26:$AU$43,0),0),MID(LEFT(P$1,SEARCH(" ",P$1)-1),2,3)-INDEX('TB-EQUIPMENT &amp; OTHER HPs'!$AV$26:$AV$43,MATCH("5.4"&amp;"4",INDEX('TB-EQUIPMENT &amp; OTHER HPs'!$AW$26:$AW$43&amp;'TB-EQUIPMENT &amp; OTHER HPs'!$AU$26:$AU$43,0),0))),)),)</f>
        <v>0</v>
      </c>
      <c r="Q123" s="525"/>
      <c r="R123" s="525">
        <f>IFERROR('TB-Key Info'!$L$15*(IFERROR(INDEX('TB-EQUIPMENT &amp; OTHER HPs'!$AX$26:$BI$43,MATCH("5.4"&amp;"2",INDEX('TB-EQUIPMENT &amp; OTHER HPs'!$AW$26:$AW$43&amp;'TB-EQUIPMENT &amp; OTHER HPs'!$AU$26:$AU$43,0),0),MID(LEFT(R$1,SEARCH(" ",R$1)-1),2,3)-INDEX('TB-EQUIPMENT &amp; OTHER HPs'!$AV$26:$AV$43,MATCH("5.4"&amp;"2",INDEX('TB-EQUIPMENT &amp; OTHER HPs'!$AW$26:$AW$43&amp;'TB-EQUIPMENT &amp; OTHER HPs'!$AU$26:$AU$43,0),0))),)+IFERROR(INDEX('TB-EQUIPMENT &amp; OTHER HPs'!$AX$26:$BI$43,MATCH("5.4"&amp;"4",INDEX('TB-EQUIPMENT &amp; OTHER HPs'!$AW$26:$AW$43&amp;'TB-EQUIPMENT &amp; OTHER HPs'!$AU$26:$AU$43,0),0),MID(LEFT(R$1,SEARCH(" ",R$1)-1),2,3)-INDEX('TB-EQUIPMENT &amp; OTHER HPs'!$AV$26:$AV$43,MATCH("5.4"&amp;"4",INDEX('TB-EQUIPMENT &amp; OTHER HPs'!$AW$26:$AW$43&amp;'TB-EQUIPMENT &amp; OTHER HPs'!$AU$26:$AU$43,0),0))),)),)</f>
        <v>0</v>
      </c>
      <c r="S123" s="525"/>
      <c r="T123" s="525">
        <f>IFERROR('TB-Key Info'!$L$15*(IFERROR(INDEX('TB-EQUIPMENT &amp; OTHER HPs'!$AX$26:$BI$43,MATCH("5.4"&amp;"2",INDEX('TB-EQUIPMENT &amp; OTHER HPs'!$AW$26:$AW$43&amp;'TB-EQUIPMENT &amp; OTHER HPs'!$AU$26:$AU$43,0),0),MID(LEFT(T$1,SEARCH(" ",T$1)-1),2,3)-INDEX('TB-EQUIPMENT &amp; OTHER HPs'!$AV$26:$AV$43,MATCH("5.4"&amp;"2",INDEX('TB-EQUIPMENT &amp; OTHER HPs'!$AW$26:$AW$43&amp;'TB-EQUIPMENT &amp; OTHER HPs'!$AU$26:$AU$43,0),0))),)+IFERROR(INDEX('TB-EQUIPMENT &amp; OTHER HPs'!$AX$26:$BI$43,MATCH("5.4"&amp;"4",INDEX('TB-EQUIPMENT &amp; OTHER HPs'!$AW$26:$AW$43&amp;'TB-EQUIPMENT &amp; OTHER HPs'!$AU$26:$AU$43,0),0),MID(LEFT(T$1,SEARCH(" ",T$1)-1),2,3)-INDEX('TB-EQUIPMENT &amp; OTHER HPs'!$AV$26:$AV$43,MATCH("5.4"&amp;"4",INDEX('TB-EQUIPMENT &amp; OTHER HPs'!$AW$26:$AW$43&amp;'TB-EQUIPMENT &amp; OTHER HPs'!$AU$26:$AU$43,0),0))),)),)</f>
        <v>0</v>
      </c>
      <c r="U123" s="525"/>
      <c r="V123" s="525">
        <f>IFERROR('TB-Key Info'!$L$15*(IFERROR(INDEX('TB-EQUIPMENT &amp; OTHER HPs'!$AX$26:$BI$43,MATCH("5.4"&amp;"2",INDEX('TB-EQUIPMENT &amp; OTHER HPs'!$AW$26:$AW$43&amp;'TB-EQUIPMENT &amp; OTHER HPs'!$AU$26:$AU$43,0),0),MID(LEFT(V$1,SEARCH(" ",V$1)-1),2,3)-INDEX('TB-EQUIPMENT &amp; OTHER HPs'!$AV$26:$AV$43,MATCH("5.4"&amp;"2",INDEX('TB-EQUIPMENT &amp; OTHER HPs'!$AW$26:$AW$43&amp;'TB-EQUIPMENT &amp; OTHER HPs'!$AU$26:$AU$43,0),0))),)+IFERROR(INDEX('TB-EQUIPMENT &amp; OTHER HPs'!$AX$26:$BI$43,MATCH("5.4"&amp;"4",INDEX('TB-EQUIPMENT &amp; OTHER HPs'!$AW$26:$AW$43&amp;'TB-EQUIPMENT &amp; OTHER HPs'!$AU$26:$AU$43,0),0),MID(LEFT(V$1,SEARCH(" ",V$1)-1),2,3)-INDEX('TB-EQUIPMENT &amp; OTHER HPs'!$AV$26:$AV$43,MATCH("5.4"&amp;"4",INDEX('TB-EQUIPMENT &amp; OTHER HPs'!$AW$26:$AW$43&amp;'TB-EQUIPMENT &amp; OTHER HPs'!$AU$26:$AU$43,0),0))),)),)</f>
        <v>0</v>
      </c>
      <c r="W123" s="525"/>
      <c r="X123" s="1154">
        <f t="shared" si="12"/>
        <v>0</v>
      </c>
      <c r="Y123" s="1155"/>
      <c r="Z123" s="1156"/>
      <c r="AA123" s="529"/>
      <c r="AB123" s="525"/>
      <c r="AC123" s="525">
        <f>IFERROR('TB-Key Info'!$L$15*(IFERROR(INDEX('TB-EQUIPMENT &amp; OTHER HPs'!$AX$26:$BI$43,MATCH("5.4"&amp;"2",INDEX('TB-EQUIPMENT &amp; OTHER HPs'!$AW$26:$AW$43&amp;'TB-EQUIPMENT &amp; OTHER HPs'!$AU$26:$AU$43,0),0),MID(LEFT(AC$1,SEARCH(" ",AC$1)-1),2,3)-INDEX('TB-EQUIPMENT &amp; OTHER HPs'!$AV$26:$AV$43,MATCH("5.4"&amp;"2",INDEX('TB-EQUIPMENT &amp; OTHER HPs'!$AW$26:$AW$43&amp;'TB-EQUIPMENT &amp; OTHER HPs'!$AU$26:$AU$43,0),0))),)+IFERROR(INDEX('TB-EQUIPMENT &amp; OTHER HPs'!$AX$26:$BI$43,MATCH("5.4"&amp;"4",INDEX('TB-EQUIPMENT &amp; OTHER HPs'!$AW$26:$AW$43&amp;'TB-EQUIPMENT &amp; OTHER HPs'!$AU$26:$AU$43,0),0),MID(LEFT(AC$1,SEARCH(" ",AC$1)-1),2,3)-INDEX('TB-EQUIPMENT &amp; OTHER HPs'!$AV$26:$AV$43,MATCH("5.4"&amp;"4",INDEX('TB-EQUIPMENT &amp; OTHER HPs'!$AW$26:$AW$43&amp;'TB-EQUIPMENT &amp; OTHER HPs'!$AU$26:$AU$43,0),0))),)),)</f>
        <v>0</v>
      </c>
      <c r="AD123" s="525"/>
      <c r="AE123" s="525">
        <f>IFERROR('TB-Key Info'!$L$15*(IFERROR(INDEX('TB-EQUIPMENT &amp; OTHER HPs'!$AX$26:$BI$43,MATCH("5.4"&amp;"2",INDEX('TB-EQUIPMENT &amp; OTHER HPs'!$AW$26:$AW$43&amp;'TB-EQUIPMENT &amp; OTHER HPs'!$AU$26:$AU$43,0),0),MID(LEFT(AE$1,SEARCH(" ",AE$1)-1),2,3)-INDEX('TB-EQUIPMENT &amp; OTHER HPs'!$AV$26:$AV$43,MATCH("5.4"&amp;"2",INDEX('TB-EQUIPMENT &amp; OTHER HPs'!$AW$26:$AW$43&amp;'TB-EQUIPMENT &amp; OTHER HPs'!$AU$26:$AU$43,0),0))),)+IFERROR(INDEX('TB-EQUIPMENT &amp; OTHER HPs'!$AX$26:$BI$43,MATCH("5.4"&amp;"4",INDEX('TB-EQUIPMENT &amp; OTHER HPs'!$AW$26:$AW$43&amp;'TB-EQUIPMENT &amp; OTHER HPs'!$AU$26:$AU$43,0),0),MID(LEFT(AE$1,SEARCH(" ",AE$1)-1),2,3)-INDEX('TB-EQUIPMENT &amp; OTHER HPs'!$AV$26:$AV$43,MATCH("5.4"&amp;"4",INDEX('TB-EQUIPMENT &amp; OTHER HPs'!$AW$26:$AW$43&amp;'TB-EQUIPMENT &amp; OTHER HPs'!$AU$26:$AU$43,0),0))),)),)</f>
        <v>0</v>
      </c>
      <c r="AF123" s="525"/>
      <c r="AG123" s="525">
        <f>IFERROR('TB-Key Info'!$L$15*(IFERROR(INDEX('TB-EQUIPMENT &amp; OTHER HPs'!$AX$26:$BI$43,MATCH("5.4"&amp;"2",INDEX('TB-EQUIPMENT &amp; OTHER HPs'!$AW$26:$AW$43&amp;'TB-EQUIPMENT &amp; OTHER HPs'!$AU$26:$AU$43,0),0),MID(LEFT(AG$1,SEARCH(" ",AG$1)-1),2,3)-INDEX('TB-EQUIPMENT &amp; OTHER HPs'!$AV$26:$AV$43,MATCH("5.4"&amp;"2",INDEX('TB-EQUIPMENT &amp; OTHER HPs'!$AW$26:$AW$43&amp;'TB-EQUIPMENT &amp; OTHER HPs'!$AU$26:$AU$43,0),0))),)+IFERROR(INDEX('TB-EQUIPMENT &amp; OTHER HPs'!$AX$26:$BI$43,MATCH("5.4"&amp;"4",INDEX('TB-EQUIPMENT &amp; OTHER HPs'!$AW$26:$AW$43&amp;'TB-EQUIPMENT &amp; OTHER HPs'!$AU$26:$AU$43,0),0),MID(LEFT(AG$1,SEARCH(" ",AG$1)-1),2,3)-INDEX('TB-EQUIPMENT &amp; OTHER HPs'!$AV$26:$AV$43,MATCH("5.4"&amp;"4",INDEX('TB-EQUIPMENT &amp; OTHER HPs'!$AW$26:$AW$43&amp;'TB-EQUIPMENT &amp; OTHER HPs'!$AU$26:$AU$43,0),0))),)),)</f>
        <v>0</v>
      </c>
      <c r="AH123" s="525"/>
      <c r="AI123" s="525">
        <f>IFERROR('TB-Key Info'!$L$15*(IFERROR(INDEX('TB-EQUIPMENT &amp; OTHER HPs'!$AX$26:$BI$43,MATCH("5.4"&amp;"2",INDEX('TB-EQUIPMENT &amp; OTHER HPs'!$AW$26:$AW$43&amp;'TB-EQUIPMENT &amp; OTHER HPs'!$AU$26:$AU$43,0),0),MID(LEFT(AI$1,SEARCH(" ",AI$1)-1),2,3)-INDEX('TB-EQUIPMENT &amp; OTHER HPs'!$AV$26:$AV$43,MATCH("5.4"&amp;"2",INDEX('TB-EQUIPMENT &amp; OTHER HPs'!$AW$26:$AW$43&amp;'TB-EQUIPMENT &amp; OTHER HPs'!$AU$26:$AU$43,0),0))),)+IFERROR(INDEX('TB-EQUIPMENT &amp; OTHER HPs'!$AX$26:$BI$43,MATCH("5.4"&amp;"4",INDEX('TB-EQUIPMENT &amp; OTHER HPs'!$AW$26:$AW$43&amp;'TB-EQUIPMENT &amp; OTHER HPs'!$AU$26:$AU$43,0),0),MID(LEFT(AI$1,SEARCH(" ",AI$1)-1),2,3)-INDEX('TB-EQUIPMENT &amp; OTHER HPs'!$AV$26:$AV$43,MATCH("5.4"&amp;"4",INDEX('TB-EQUIPMENT &amp; OTHER HPs'!$AW$26:$AW$43&amp;'TB-EQUIPMENT &amp; OTHER HPs'!$AU$26:$AU$43,0),0))),)),)</f>
        <v>0</v>
      </c>
      <c r="AJ123" s="525"/>
      <c r="AK123" s="1154">
        <f t="shared" si="13"/>
        <v>0</v>
      </c>
      <c r="AL123" s="1155"/>
      <c r="AM123" s="1156"/>
      <c r="AN123" s="529"/>
      <c r="AO123" s="525"/>
      <c r="AP123" s="525">
        <f>IFERROR('TB-Key Info'!$L$15*(IFERROR(INDEX('TB-EQUIPMENT &amp; OTHER HPs'!$AX$26:$BI$43,MATCH("5.4"&amp;"2",INDEX('TB-EQUIPMENT &amp; OTHER HPs'!$AW$26:$AW$43&amp;'TB-EQUIPMENT &amp; OTHER HPs'!$AU$26:$AU$43,0),0),MID(LEFT(AP$1,SEARCH(" ",AP$1)-1),2,3)-INDEX('TB-EQUIPMENT &amp; OTHER HPs'!$AV$26:$AV$43,MATCH("5.4"&amp;"2",INDEX('TB-EQUIPMENT &amp; OTHER HPs'!$AW$26:$AW$43&amp;'TB-EQUIPMENT &amp; OTHER HPs'!$AU$26:$AU$43,0),0))),)+IFERROR(INDEX('TB-EQUIPMENT &amp; OTHER HPs'!$AX$26:$BI$43,MATCH("5.4"&amp;"4",INDEX('TB-EQUIPMENT &amp; OTHER HPs'!$AW$26:$AW$43&amp;'TB-EQUIPMENT &amp; OTHER HPs'!$AU$26:$AU$43,0),0),MID(LEFT(AP$1,SEARCH(" ",AP$1)-1),2,3)-INDEX('TB-EQUIPMENT &amp; OTHER HPs'!$AV$26:$AV$43,MATCH("5.4"&amp;"4",INDEX('TB-EQUIPMENT &amp; OTHER HPs'!$AW$26:$AW$43&amp;'TB-EQUIPMENT &amp; OTHER HPs'!$AU$26:$AU$43,0),0))),)),)</f>
        <v>0</v>
      </c>
      <c r="AQ123" s="525"/>
      <c r="AR123" s="525">
        <f>IFERROR('TB-Key Info'!$L$15*(IFERROR(INDEX('TB-EQUIPMENT &amp; OTHER HPs'!$AX$26:$BI$43,MATCH("5.4"&amp;"2",INDEX('TB-EQUIPMENT &amp; OTHER HPs'!$AW$26:$AW$43&amp;'TB-EQUIPMENT &amp; OTHER HPs'!$AU$26:$AU$43,0),0),MID(LEFT(AR$1,SEARCH(" ",AR$1)-1),2,3)-INDEX('TB-EQUIPMENT &amp; OTHER HPs'!$AV$26:$AV$43,MATCH("5.4"&amp;"2",INDEX('TB-EQUIPMENT &amp; OTHER HPs'!$AW$26:$AW$43&amp;'TB-EQUIPMENT &amp; OTHER HPs'!$AU$26:$AU$43,0),0))),)+IFERROR(INDEX('TB-EQUIPMENT &amp; OTHER HPs'!$AX$26:$BI$43,MATCH("5.4"&amp;"4",INDEX('TB-EQUIPMENT &amp; OTHER HPs'!$AW$26:$AW$43&amp;'TB-EQUIPMENT &amp; OTHER HPs'!$AU$26:$AU$43,0),0),MID(LEFT(AR$1,SEARCH(" ",AR$1)-1),2,3)-INDEX('TB-EQUIPMENT &amp; OTHER HPs'!$AV$26:$AV$43,MATCH("5.4"&amp;"4",INDEX('TB-EQUIPMENT &amp; OTHER HPs'!$AW$26:$AW$43&amp;'TB-EQUIPMENT &amp; OTHER HPs'!$AU$26:$AU$43,0),0))),)),)</f>
        <v>0</v>
      </c>
      <c r="AS123" s="525"/>
      <c r="AT123" s="525">
        <f>IFERROR('TB-Key Info'!$L$15*(IFERROR(INDEX('TB-EQUIPMENT &amp; OTHER HPs'!$AX$26:$BI$43,MATCH("5.4"&amp;"2",INDEX('TB-EQUIPMENT &amp; OTHER HPs'!$AW$26:$AW$43&amp;'TB-EQUIPMENT &amp; OTHER HPs'!$AU$26:$AU$43,0),0),MID(LEFT(AT$1,SEARCH(" ",AT$1)-1),2,3)-INDEX('TB-EQUIPMENT &amp; OTHER HPs'!$AV$26:$AV$43,MATCH("5.4"&amp;"2",INDEX('TB-EQUIPMENT &amp; OTHER HPs'!$AW$26:$AW$43&amp;'TB-EQUIPMENT &amp; OTHER HPs'!$AU$26:$AU$43,0),0))),)+IFERROR(INDEX('TB-EQUIPMENT &amp; OTHER HPs'!$AX$26:$BI$43,MATCH("5.4"&amp;"4",INDEX('TB-EQUIPMENT &amp; OTHER HPs'!$AW$26:$AW$43&amp;'TB-EQUIPMENT &amp; OTHER HPs'!$AU$26:$AU$43,0),0),MID(LEFT(AT$1,SEARCH(" ",AT$1)-1),2,3)-INDEX('TB-EQUIPMENT &amp; OTHER HPs'!$AV$26:$AV$43,MATCH("5.4"&amp;"4",INDEX('TB-EQUIPMENT &amp; OTHER HPs'!$AW$26:$AW$43&amp;'TB-EQUIPMENT &amp; OTHER HPs'!$AU$26:$AU$43,0),0))),)),)</f>
        <v>0</v>
      </c>
      <c r="AU123" s="525"/>
      <c r="AV123" s="525">
        <f>IFERROR('TB-Key Info'!$L$15*((INDEX('TB-EQUIPMENT &amp; OTHER HPs'!$BJ$26:$BJ$43,MATCH("5.4"&amp;"2",INDEX('TB-EQUIPMENT &amp; OTHER HPs'!$AW$26:$AW$43&amp;'TB-EQUIPMENT &amp; OTHER HPs'!$AU$26:$AU$43,0),0)))+(INDEX('TB-EQUIPMENT &amp; OTHER HPs'!$BJ$26:$BJ$43,MATCH("5.4"&amp;"4",INDEX('TB-EQUIPMENT &amp; OTHER HPs'!$AW$26:$AW$43&amp;'TB-EQUIPMENT &amp; OTHER HPs'!$AU$26:$AU$43,0),0))))-SUM(X123,AK123,AP123,AR123,AT123),0)</f>
        <v>0</v>
      </c>
      <c r="AW123" s="525"/>
      <c r="AX123" s="1154">
        <f t="shared" si="14"/>
        <v>0</v>
      </c>
      <c r="AY123" s="1154"/>
      <c r="AZ123" s="528"/>
      <c r="BA123" s="529"/>
      <c r="BB123" s="527"/>
      <c r="BC123" s="527">
        <v>0</v>
      </c>
      <c r="BD123" s="527">
        <v>0</v>
      </c>
      <c r="BE123" s="527">
        <v>0</v>
      </c>
      <c r="BF123" s="527">
        <v>0</v>
      </c>
      <c r="BG123" s="527">
        <v>0</v>
      </c>
      <c r="BH123" s="527">
        <v>0</v>
      </c>
      <c r="BI123" s="527">
        <v>0</v>
      </c>
      <c r="BJ123" s="527">
        <v>0</v>
      </c>
      <c r="BK123" s="1154">
        <f t="shared" si="15"/>
        <v>0</v>
      </c>
      <c r="BL123" s="1154"/>
      <c r="BM123" s="1154">
        <f t="shared" si="16"/>
        <v>0</v>
      </c>
      <c r="BN123" s="1154">
        <f t="shared" si="17"/>
        <v>0</v>
      </c>
      <c r="BO123" s="527"/>
      <c r="BP123" s="527"/>
      <c r="BQ123" s="1157">
        <v>0</v>
      </c>
      <c r="BR123" s="1157" t="s">
        <v>688</v>
      </c>
      <c r="BS123" s="1157" t="s">
        <v>2565</v>
      </c>
      <c r="BT123" s="1376" t="s">
        <v>1435</v>
      </c>
    </row>
    <row r="124" spans="1:72" s="512" customFormat="1" ht="13" hidden="1">
      <c r="A124" s="1204">
        <v>159</v>
      </c>
      <c r="B124" s="1205" t="s">
        <v>645</v>
      </c>
      <c r="C124" s="1205" t="s">
        <v>646</v>
      </c>
      <c r="D124" s="1206" t="s">
        <v>594</v>
      </c>
      <c r="E124" s="1386" t="s">
        <v>595</v>
      </c>
      <c r="F124" s="521"/>
      <c r="G124" s="522"/>
      <c r="H124" s="522"/>
      <c r="I124" s="522"/>
      <c r="J124" s="523"/>
      <c r="K124" s="523"/>
      <c r="L124" s="523"/>
      <c r="M124" s="524"/>
      <c r="N124" s="525"/>
      <c r="O124" s="526" t="s">
        <v>1237</v>
      </c>
      <c r="P124" s="525">
        <f>IFERROR('TB-Key Info'!$L$15*(IFERROR(INDEX('TB-EQUIPMENT &amp; OTHER HPs'!$AX$26:$BI$43,MATCH("5.6"&amp;"1",INDEX('TB-EQUIPMENT &amp; OTHER HPs'!$AW$26:$AW$43&amp;'TB-EQUIPMENT &amp; OTHER HPs'!$AU$26:$AU$43,0),0),MID(LEFT(P$1,SEARCH(" ",P$1)-1),2,3)-INDEX('TB-EQUIPMENT &amp; OTHER HPs'!$AV$26:$AV$43,MATCH("5.6"&amp;"1",INDEX('TB-EQUIPMENT &amp; OTHER HPs'!$AW$26:$AW$43&amp;'TB-EQUIPMENT &amp; OTHER HPs'!$AU$26:$AU$43,0),0))),)+IFERROR(INDEX('TB-EQUIPMENT &amp; OTHER HPs'!$AX$26:$BI$43,MATCH("5.6"&amp;"3",INDEX('TB-EQUIPMENT &amp; OTHER HPs'!$AW$26:$AW$43&amp;'TB-EQUIPMENT &amp; OTHER HPs'!$AU$26:$AU$43,0),0),MID(LEFT(P$1,SEARCH(" ",P$1)-1),2,3)-INDEX('TB-EQUIPMENT &amp; OTHER HPs'!$AV$26:$AV$43,MATCH("5.6"&amp;"3",INDEX('TB-EQUIPMENT &amp; OTHER HPs'!$AW$26:$AW$43&amp;'TB-EQUIPMENT &amp; OTHER HPs'!$AU$26:$AU$43,0),0))),)+IFERROR(INDEX('TB-EQUIPMENT &amp; OTHER HPs'!$AX$26:$BI$43,MATCH("5.6"&amp;"4",INDEX('TB-EQUIPMENT &amp; OTHER HPs'!$AW$26:$AW$43&amp;'TB-EQUIPMENT &amp; OTHER HPs'!$AU$26:$AU$43,0),0),MID(LEFT(P$1,SEARCH(" ",P$1)-1),2,3)-INDEX('TB-EQUIPMENT &amp; OTHER HPs'!$AV$26:$AV$43,MATCH("5.6"&amp;"4",INDEX('TB-EQUIPMENT &amp; OTHER HPs'!$AW$26:$AW$43&amp;'TB-EQUIPMENT &amp; OTHER HPs'!$AU$26:$AU$43,0),0))),)),0)</f>
        <v>0</v>
      </c>
      <c r="Q124" s="525" t="s">
        <v>1237</v>
      </c>
      <c r="R124" s="525">
        <f>IFERROR('TB-Key Info'!$L$15*(IFERROR(INDEX('TB-EQUIPMENT &amp; OTHER HPs'!$AX$26:$BI$43,MATCH("5.6"&amp;"1",INDEX('TB-EQUIPMENT &amp; OTHER HPs'!$AW$26:$AW$43&amp;'TB-EQUIPMENT &amp; OTHER HPs'!$AU$26:$AU$43,0),0),MID(LEFT(R$1,SEARCH(" ",R$1)-1),2,3)-INDEX('TB-EQUIPMENT &amp; OTHER HPs'!$AV$26:$AV$43,MATCH("5.6"&amp;"1",INDEX('TB-EQUIPMENT &amp; OTHER HPs'!$AW$26:$AW$43&amp;'TB-EQUIPMENT &amp; OTHER HPs'!$AU$26:$AU$43,0),0))),)+IFERROR(INDEX('TB-EQUIPMENT &amp; OTHER HPs'!$AX$26:$BI$43,MATCH("5.6"&amp;"3",INDEX('TB-EQUIPMENT &amp; OTHER HPs'!$AW$26:$AW$43&amp;'TB-EQUIPMENT &amp; OTHER HPs'!$AU$26:$AU$43,0),0),MID(LEFT(R$1,SEARCH(" ",R$1)-1),2,3)-INDEX('TB-EQUIPMENT &amp; OTHER HPs'!$AV$26:$AV$43,MATCH("5.6"&amp;"3",INDEX('TB-EQUIPMENT &amp; OTHER HPs'!$AW$26:$AW$43&amp;'TB-EQUIPMENT &amp; OTHER HPs'!$AU$26:$AU$43,0),0))),)+IFERROR(INDEX('TB-EQUIPMENT &amp; OTHER HPs'!$AX$26:$BI$43,MATCH("5.6"&amp;"4",INDEX('TB-EQUIPMENT &amp; OTHER HPs'!$AW$26:$AW$43&amp;'TB-EQUIPMENT &amp; OTHER HPs'!$AU$26:$AU$43,0),0),MID(LEFT(R$1,SEARCH(" ",R$1)-1),2,3)-INDEX('TB-EQUIPMENT &amp; OTHER HPs'!$AV$26:$AV$43,MATCH("5.6"&amp;"4",INDEX('TB-EQUIPMENT &amp; OTHER HPs'!$AW$26:$AW$43&amp;'TB-EQUIPMENT &amp; OTHER HPs'!$AU$26:$AU$43,0),0))),)),0)</f>
        <v>0</v>
      </c>
      <c r="S124" s="525" t="s">
        <v>1237</v>
      </c>
      <c r="T124" s="525">
        <f>IFERROR('TB-Key Info'!$L$15*(IFERROR(INDEX('TB-EQUIPMENT &amp; OTHER HPs'!$AX$26:$BI$43,MATCH("5.6"&amp;"1",INDEX('TB-EQUIPMENT &amp; OTHER HPs'!$AW$26:$AW$43&amp;'TB-EQUIPMENT &amp; OTHER HPs'!$AU$26:$AU$43,0),0),MID(LEFT(T$1,SEARCH(" ",T$1)-1),2,3)-INDEX('TB-EQUIPMENT &amp; OTHER HPs'!$AV$26:$AV$43,MATCH("5.6"&amp;"1",INDEX('TB-EQUIPMENT &amp; OTHER HPs'!$AW$26:$AW$43&amp;'TB-EQUIPMENT &amp; OTHER HPs'!$AU$26:$AU$43,0),0))),)+IFERROR(INDEX('TB-EQUIPMENT &amp; OTHER HPs'!$AX$26:$BI$43,MATCH("5.6"&amp;"3",INDEX('TB-EQUIPMENT &amp; OTHER HPs'!$AW$26:$AW$43&amp;'TB-EQUIPMENT &amp; OTHER HPs'!$AU$26:$AU$43,0),0),MID(LEFT(T$1,SEARCH(" ",T$1)-1),2,3)-INDEX('TB-EQUIPMENT &amp; OTHER HPs'!$AV$26:$AV$43,MATCH("5.6"&amp;"3",INDEX('TB-EQUIPMENT &amp; OTHER HPs'!$AW$26:$AW$43&amp;'TB-EQUIPMENT &amp; OTHER HPs'!$AU$26:$AU$43,0),0))),)+IFERROR(INDEX('TB-EQUIPMENT &amp; OTHER HPs'!$AX$26:$BI$43,MATCH("5.6"&amp;"4",INDEX('TB-EQUIPMENT &amp; OTHER HPs'!$AW$26:$AW$43&amp;'TB-EQUIPMENT &amp; OTHER HPs'!$AU$26:$AU$43,0),0),MID(LEFT(T$1,SEARCH(" ",T$1)-1),2,3)-INDEX('TB-EQUIPMENT &amp; OTHER HPs'!$AV$26:$AV$43,MATCH("5.6"&amp;"4",INDEX('TB-EQUIPMENT &amp; OTHER HPs'!$AW$26:$AW$43&amp;'TB-EQUIPMENT &amp; OTHER HPs'!$AU$26:$AU$43,0),0))),)),0)</f>
        <v>0</v>
      </c>
      <c r="U124" s="525" t="s">
        <v>1237</v>
      </c>
      <c r="V124" s="525">
        <f>IFERROR('TB-Key Info'!$L$15*(IFERROR(INDEX('TB-EQUIPMENT &amp; OTHER HPs'!$AX$26:$BI$43,MATCH("5.6"&amp;"1",INDEX('TB-EQUIPMENT &amp; OTHER HPs'!$AW$26:$AW$43&amp;'TB-EQUIPMENT &amp; OTHER HPs'!$AU$26:$AU$43,0),0),MID(LEFT(V$1,SEARCH(" ",V$1)-1),2,3)-INDEX('TB-EQUIPMENT &amp; OTHER HPs'!$AV$26:$AV$43,MATCH("5.6"&amp;"1",INDEX('TB-EQUIPMENT &amp; OTHER HPs'!$AW$26:$AW$43&amp;'TB-EQUIPMENT &amp; OTHER HPs'!$AU$26:$AU$43,0),0))),)+IFERROR(INDEX('TB-EQUIPMENT &amp; OTHER HPs'!$AX$26:$BI$43,MATCH("5.6"&amp;"3",INDEX('TB-EQUIPMENT &amp; OTHER HPs'!$AW$26:$AW$43&amp;'TB-EQUIPMENT &amp; OTHER HPs'!$AU$26:$AU$43,0),0),MID(LEFT(V$1,SEARCH(" ",V$1)-1),2,3)-INDEX('TB-EQUIPMENT &amp; OTHER HPs'!$AV$26:$AV$43,MATCH("5.6"&amp;"3",INDEX('TB-EQUIPMENT &amp; OTHER HPs'!$AW$26:$AW$43&amp;'TB-EQUIPMENT &amp; OTHER HPs'!$AU$26:$AU$43,0),0))),)+IFERROR(INDEX('TB-EQUIPMENT &amp; OTHER HPs'!$AX$26:$BI$43,MATCH("5.6"&amp;"4",INDEX('TB-EQUIPMENT &amp; OTHER HPs'!$AW$26:$AW$43&amp;'TB-EQUIPMENT &amp; OTHER HPs'!$AU$26:$AU$43,0),0),MID(LEFT(V$1,SEARCH(" ",V$1)-1),2,3)-INDEX('TB-EQUIPMENT &amp; OTHER HPs'!$AV$26:$AV$43,MATCH("5.6"&amp;"4",INDEX('TB-EQUIPMENT &amp; OTHER HPs'!$AW$26:$AW$43&amp;'TB-EQUIPMENT &amp; OTHER HPs'!$AU$26:$AU$43,0),0))),)),0)</f>
        <v>0</v>
      </c>
      <c r="W124" s="525"/>
      <c r="X124" s="1154">
        <f t="shared" si="12"/>
        <v>0</v>
      </c>
      <c r="Y124" s="1155"/>
      <c r="Z124" s="1156"/>
      <c r="AA124" s="529"/>
      <c r="AB124" s="525"/>
      <c r="AC124" s="525">
        <f>IFERROR('TB-Key Info'!$L$15*(IFERROR(INDEX('TB-EQUIPMENT &amp; OTHER HPs'!$AX$26:$BI$43,MATCH("5.6"&amp;"1",INDEX('TB-EQUIPMENT &amp; OTHER HPs'!$AW$26:$AW$43&amp;'TB-EQUIPMENT &amp; OTHER HPs'!$AU$26:$AU$43,0),0),MID(LEFT(AC$1,SEARCH(" ",AC$1)-1),2,3)-INDEX('TB-EQUIPMENT &amp; OTHER HPs'!$AV$26:$AV$43,MATCH("5.6"&amp;"1",INDEX('TB-EQUIPMENT &amp; OTHER HPs'!$AW$26:$AW$43&amp;'TB-EQUIPMENT &amp; OTHER HPs'!$AU$26:$AU$43,0),0))),)+IFERROR(INDEX('TB-EQUIPMENT &amp; OTHER HPs'!$AX$26:$BI$43,MATCH("5.6"&amp;"3",INDEX('TB-EQUIPMENT &amp; OTHER HPs'!$AW$26:$AW$43&amp;'TB-EQUIPMENT &amp; OTHER HPs'!$AU$26:$AU$43,0),0),MID(LEFT(AC$1,SEARCH(" ",AC$1)-1),2,3)-INDEX('TB-EQUIPMENT &amp; OTHER HPs'!$AV$26:$AV$43,MATCH("5.6"&amp;"3",INDEX('TB-EQUIPMENT &amp; OTHER HPs'!$AW$26:$AW$43&amp;'TB-EQUIPMENT &amp; OTHER HPs'!$AU$26:$AU$43,0),0))),)+IFERROR(INDEX('TB-EQUIPMENT &amp; OTHER HPs'!$AX$26:$BI$43,MATCH("5.6"&amp;"4",INDEX('TB-EQUIPMENT &amp; OTHER HPs'!$AW$26:$AW$43&amp;'TB-EQUIPMENT &amp; OTHER HPs'!$AU$26:$AU$43,0),0),MID(LEFT(AC$1,SEARCH(" ",AC$1)-1),2,3)-INDEX('TB-EQUIPMENT &amp; OTHER HPs'!$AV$26:$AV$43,MATCH("5.6"&amp;"4",INDEX('TB-EQUIPMENT &amp; OTHER HPs'!$AW$26:$AW$43&amp;'TB-EQUIPMENT &amp; OTHER HPs'!$AU$26:$AU$43,0),0))),)),0)</f>
        <v>0</v>
      </c>
      <c r="AD124" s="525"/>
      <c r="AE124" s="525">
        <f>IFERROR('TB-Key Info'!$L$15*(IFERROR(INDEX('TB-EQUIPMENT &amp; OTHER HPs'!$AX$26:$BI$43,MATCH("5.6"&amp;"1",INDEX('TB-EQUIPMENT &amp; OTHER HPs'!$AW$26:$AW$43&amp;'TB-EQUIPMENT &amp; OTHER HPs'!$AU$26:$AU$43,0),0),MID(LEFT(AE$1,SEARCH(" ",AE$1)-1),2,3)-INDEX('TB-EQUIPMENT &amp; OTHER HPs'!$AV$26:$AV$43,MATCH("5.6"&amp;"1",INDEX('TB-EQUIPMENT &amp; OTHER HPs'!$AW$26:$AW$43&amp;'TB-EQUIPMENT &amp; OTHER HPs'!$AU$26:$AU$43,0),0))),)+IFERROR(INDEX('TB-EQUIPMENT &amp; OTHER HPs'!$AX$26:$BI$43,MATCH("5.6"&amp;"3",INDEX('TB-EQUIPMENT &amp; OTHER HPs'!$AW$26:$AW$43&amp;'TB-EQUIPMENT &amp; OTHER HPs'!$AU$26:$AU$43,0),0),MID(LEFT(AE$1,SEARCH(" ",AE$1)-1),2,3)-INDEX('TB-EQUIPMENT &amp; OTHER HPs'!$AV$26:$AV$43,MATCH("5.6"&amp;"3",INDEX('TB-EQUIPMENT &amp; OTHER HPs'!$AW$26:$AW$43&amp;'TB-EQUIPMENT &amp; OTHER HPs'!$AU$26:$AU$43,0),0))),)+IFERROR(INDEX('TB-EQUIPMENT &amp; OTHER HPs'!$AX$26:$BI$43,MATCH("5.6"&amp;"4",INDEX('TB-EQUIPMENT &amp; OTHER HPs'!$AW$26:$AW$43&amp;'TB-EQUIPMENT &amp; OTHER HPs'!$AU$26:$AU$43,0),0),MID(LEFT(AE$1,SEARCH(" ",AE$1)-1),2,3)-INDEX('TB-EQUIPMENT &amp; OTHER HPs'!$AV$26:$AV$43,MATCH("5.6"&amp;"4",INDEX('TB-EQUIPMENT &amp; OTHER HPs'!$AW$26:$AW$43&amp;'TB-EQUIPMENT &amp; OTHER HPs'!$AU$26:$AU$43,0),0))),)),0)</f>
        <v>0</v>
      </c>
      <c r="AF124" s="525"/>
      <c r="AG124" s="525">
        <f>IFERROR('TB-Key Info'!$L$15*(IFERROR(INDEX('TB-EQUIPMENT &amp; OTHER HPs'!$AX$26:$BI$43,MATCH("5.6"&amp;"1",INDEX('TB-EQUIPMENT &amp; OTHER HPs'!$AW$26:$AW$43&amp;'TB-EQUIPMENT &amp; OTHER HPs'!$AU$26:$AU$43,0),0),MID(LEFT(AG$1,SEARCH(" ",AG$1)-1),2,3)-INDEX('TB-EQUIPMENT &amp; OTHER HPs'!$AV$26:$AV$43,MATCH("5.6"&amp;"1",INDEX('TB-EQUIPMENT &amp; OTHER HPs'!$AW$26:$AW$43&amp;'TB-EQUIPMENT &amp; OTHER HPs'!$AU$26:$AU$43,0),0))),)+IFERROR(INDEX('TB-EQUIPMENT &amp; OTHER HPs'!$AX$26:$BI$43,MATCH("5.6"&amp;"3",INDEX('TB-EQUIPMENT &amp; OTHER HPs'!$AW$26:$AW$43&amp;'TB-EQUIPMENT &amp; OTHER HPs'!$AU$26:$AU$43,0),0),MID(LEFT(AG$1,SEARCH(" ",AG$1)-1),2,3)-INDEX('TB-EQUIPMENT &amp; OTHER HPs'!$AV$26:$AV$43,MATCH("5.6"&amp;"3",INDEX('TB-EQUIPMENT &amp; OTHER HPs'!$AW$26:$AW$43&amp;'TB-EQUIPMENT &amp; OTHER HPs'!$AU$26:$AU$43,0),0))),)+IFERROR(INDEX('TB-EQUIPMENT &amp; OTHER HPs'!$AX$26:$BI$43,MATCH("5.6"&amp;"4",INDEX('TB-EQUIPMENT &amp; OTHER HPs'!$AW$26:$AW$43&amp;'TB-EQUIPMENT &amp; OTHER HPs'!$AU$26:$AU$43,0),0),MID(LEFT(AG$1,SEARCH(" ",AG$1)-1),2,3)-INDEX('TB-EQUIPMENT &amp; OTHER HPs'!$AV$26:$AV$43,MATCH("5.6"&amp;"4",INDEX('TB-EQUIPMENT &amp; OTHER HPs'!$AW$26:$AW$43&amp;'TB-EQUIPMENT &amp; OTHER HPs'!$AU$26:$AU$43,0),0))),)),0)</f>
        <v>0</v>
      </c>
      <c r="AH124" s="525"/>
      <c r="AI124" s="525">
        <f>IFERROR('TB-Key Info'!$L$15*(IFERROR(INDEX('TB-EQUIPMENT &amp; OTHER HPs'!$AX$26:$BI$43,MATCH("5.6"&amp;"1",INDEX('TB-EQUIPMENT &amp; OTHER HPs'!$AW$26:$AW$43&amp;'TB-EQUIPMENT &amp; OTHER HPs'!$AU$26:$AU$43,0),0),MID(LEFT(AI$1,SEARCH(" ",AI$1)-1),2,3)-INDEX('TB-EQUIPMENT &amp; OTHER HPs'!$AV$26:$AV$43,MATCH("5.6"&amp;"1",INDEX('TB-EQUIPMENT &amp; OTHER HPs'!$AW$26:$AW$43&amp;'TB-EQUIPMENT &amp; OTHER HPs'!$AU$26:$AU$43,0),0))),)+IFERROR(INDEX('TB-EQUIPMENT &amp; OTHER HPs'!$AX$26:$BI$43,MATCH("5.6"&amp;"3",INDEX('TB-EQUIPMENT &amp; OTHER HPs'!$AW$26:$AW$43&amp;'TB-EQUIPMENT &amp; OTHER HPs'!$AU$26:$AU$43,0),0),MID(LEFT(AI$1,SEARCH(" ",AI$1)-1),2,3)-INDEX('TB-EQUIPMENT &amp; OTHER HPs'!$AV$26:$AV$43,MATCH("5.6"&amp;"3",INDEX('TB-EQUIPMENT &amp; OTHER HPs'!$AW$26:$AW$43&amp;'TB-EQUIPMENT &amp; OTHER HPs'!$AU$26:$AU$43,0),0))),)+IFERROR(INDEX('TB-EQUIPMENT &amp; OTHER HPs'!$AX$26:$BI$43,MATCH("5.6"&amp;"4",INDEX('TB-EQUIPMENT &amp; OTHER HPs'!$AW$26:$AW$43&amp;'TB-EQUIPMENT &amp; OTHER HPs'!$AU$26:$AU$43,0),0),MID(LEFT(AI$1,SEARCH(" ",AI$1)-1),2,3)-INDEX('TB-EQUIPMENT &amp; OTHER HPs'!$AV$26:$AV$43,MATCH("5.6"&amp;"4",INDEX('TB-EQUIPMENT &amp; OTHER HPs'!$AW$26:$AW$43&amp;'TB-EQUIPMENT &amp; OTHER HPs'!$AU$26:$AU$43,0),0))),)),0)</f>
        <v>0</v>
      </c>
      <c r="AJ124" s="525"/>
      <c r="AK124" s="1154">
        <f t="shared" si="13"/>
        <v>0</v>
      </c>
      <c r="AL124" s="1155"/>
      <c r="AM124" s="1156"/>
      <c r="AN124" s="529"/>
      <c r="AO124" s="525"/>
      <c r="AP124" s="525">
        <f>IFERROR('TB-Key Info'!$L$15*(IFERROR(INDEX('TB-EQUIPMENT &amp; OTHER HPs'!$AX$26:$BI$43,MATCH("5.6"&amp;"1",INDEX('TB-EQUIPMENT &amp; OTHER HPs'!$AW$26:$AW$43&amp;'TB-EQUIPMENT &amp; OTHER HPs'!$AU$26:$AU$43,0),0),MID(LEFT(AP$1,SEARCH(" ",AP$1)-1),2,3)-INDEX('TB-EQUIPMENT &amp; OTHER HPs'!$AV$26:$AV$43,MATCH("5.6"&amp;"1",INDEX('TB-EQUIPMENT &amp; OTHER HPs'!$AW$26:$AW$43&amp;'TB-EQUIPMENT &amp; OTHER HPs'!$AU$26:$AU$43,0),0))),)+IFERROR(INDEX('TB-EQUIPMENT &amp; OTHER HPs'!$AX$26:$BI$43,MATCH("5.6"&amp;"3",INDEX('TB-EQUIPMENT &amp; OTHER HPs'!$AW$26:$AW$43&amp;'TB-EQUIPMENT &amp; OTHER HPs'!$AU$26:$AU$43,0),0),MID(LEFT(AP$1,SEARCH(" ",AP$1)-1),2,3)-INDEX('TB-EQUIPMENT &amp; OTHER HPs'!$AV$26:$AV$43,MATCH("5.6"&amp;"3",INDEX('TB-EQUIPMENT &amp; OTHER HPs'!$AW$26:$AW$43&amp;'TB-EQUIPMENT &amp; OTHER HPs'!$AU$26:$AU$43,0),0))),)+IFERROR(INDEX('TB-EQUIPMENT &amp; OTHER HPs'!$AX$26:$BI$43,MATCH("5.6"&amp;"4",INDEX('TB-EQUIPMENT &amp; OTHER HPs'!$AW$26:$AW$43&amp;'TB-EQUIPMENT &amp; OTHER HPs'!$AU$26:$AU$43,0),0),MID(LEFT(AP$1,SEARCH(" ",AP$1)-1),2,3)-INDEX('TB-EQUIPMENT &amp; OTHER HPs'!$AV$26:$AV$43,MATCH("5.6"&amp;"4",INDEX('TB-EQUIPMENT &amp; OTHER HPs'!$AW$26:$AW$43&amp;'TB-EQUIPMENT &amp; OTHER HPs'!$AU$26:$AU$43,0),0))),)),0)</f>
        <v>0</v>
      </c>
      <c r="AQ124" s="525"/>
      <c r="AR124" s="525">
        <f>IFERROR('TB-Key Info'!$L$15*(IFERROR(INDEX('TB-EQUIPMENT &amp; OTHER HPs'!$AX$26:$BI$43,MATCH("5.6"&amp;"1",INDEX('TB-EQUIPMENT &amp; OTHER HPs'!$AW$26:$AW$43&amp;'TB-EQUIPMENT &amp; OTHER HPs'!$AU$26:$AU$43,0),0),MID(LEFT(AR$1,SEARCH(" ",AR$1)-1),2,3)-INDEX('TB-EQUIPMENT &amp; OTHER HPs'!$AV$26:$AV$43,MATCH("5.6"&amp;"1",INDEX('TB-EQUIPMENT &amp; OTHER HPs'!$AW$26:$AW$43&amp;'TB-EQUIPMENT &amp; OTHER HPs'!$AU$26:$AU$43,0),0))),)+IFERROR(INDEX('TB-EQUIPMENT &amp; OTHER HPs'!$AX$26:$BI$43,MATCH("5.6"&amp;"3",INDEX('TB-EQUIPMENT &amp; OTHER HPs'!$AW$26:$AW$43&amp;'TB-EQUIPMENT &amp; OTHER HPs'!$AU$26:$AU$43,0),0),MID(LEFT(AR$1,SEARCH(" ",AR$1)-1),2,3)-INDEX('TB-EQUIPMENT &amp; OTHER HPs'!$AV$26:$AV$43,MATCH("5.6"&amp;"3",INDEX('TB-EQUIPMENT &amp; OTHER HPs'!$AW$26:$AW$43&amp;'TB-EQUIPMENT &amp; OTHER HPs'!$AU$26:$AU$43,0),0))),)+IFERROR(INDEX('TB-EQUIPMENT &amp; OTHER HPs'!$AX$26:$BI$43,MATCH("5.6"&amp;"4",INDEX('TB-EQUIPMENT &amp; OTHER HPs'!$AW$26:$AW$43&amp;'TB-EQUIPMENT &amp; OTHER HPs'!$AU$26:$AU$43,0),0),MID(LEFT(AR$1,SEARCH(" ",AR$1)-1),2,3)-INDEX('TB-EQUIPMENT &amp; OTHER HPs'!$AV$26:$AV$43,MATCH("5.6"&amp;"4",INDEX('TB-EQUIPMENT &amp; OTHER HPs'!$AW$26:$AW$43&amp;'TB-EQUIPMENT &amp; OTHER HPs'!$AU$26:$AU$43,0),0))),)),0)</f>
        <v>0</v>
      </c>
      <c r="AS124" s="525"/>
      <c r="AT124" s="525">
        <f>IFERROR('TB-Key Info'!$L$15*(IFERROR(INDEX('TB-EQUIPMENT &amp; OTHER HPs'!$AX$26:$BI$43,MATCH("5.6"&amp;"1",INDEX('TB-EQUIPMENT &amp; OTHER HPs'!$AW$26:$AW$43&amp;'TB-EQUIPMENT &amp; OTHER HPs'!$AU$26:$AU$43,0),0),MID(LEFT(AT$1,SEARCH(" ",AT$1)-1),2,3)-INDEX('TB-EQUIPMENT &amp; OTHER HPs'!$AV$26:$AV$43,MATCH("5.6"&amp;"1",INDEX('TB-EQUIPMENT &amp; OTHER HPs'!$AW$26:$AW$43&amp;'TB-EQUIPMENT &amp; OTHER HPs'!$AU$26:$AU$43,0),0))),)+IFERROR(INDEX('TB-EQUIPMENT &amp; OTHER HPs'!$AX$26:$BI$43,MATCH("5.6"&amp;"3",INDEX('TB-EQUIPMENT &amp; OTHER HPs'!$AW$26:$AW$43&amp;'TB-EQUIPMENT &amp; OTHER HPs'!$AU$26:$AU$43,0),0),MID(LEFT(AT$1,SEARCH(" ",AT$1)-1),2,3)-INDEX('TB-EQUIPMENT &amp; OTHER HPs'!$AV$26:$AV$43,MATCH("5.6"&amp;"3",INDEX('TB-EQUIPMENT &amp; OTHER HPs'!$AW$26:$AW$43&amp;'TB-EQUIPMENT &amp; OTHER HPs'!$AU$26:$AU$43,0),0))),)+IFERROR(INDEX('TB-EQUIPMENT &amp; OTHER HPs'!$AX$26:$BI$43,MATCH("5.6"&amp;"4",INDEX('TB-EQUIPMENT &amp; OTHER HPs'!$AW$26:$AW$43&amp;'TB-EQUIPMENT &amp; OTHER HPs'!$AU$26:$AU$43,0),0),MID(LEFT(AT$1,SEARCH(" ",AT$1)-1),2,3)-INDEX('TB-EQUIPMENT &amp; OTHER HPs'!$AV$26:$AV$43,MATCH("5.6"&amp;"4",INDEX('TB-EQUIPMENT &amp; OTHER HPs'!$AW$26:$AW$43&amp;'TB-EQUIPMENT &amp; OTHER HPs'!$AU$26:$AU$43,0),0))),)),0)</f>
        <v>0</v>
      </c>
      <c r="AU124" s="525"/>
      <c r="AV124" s="525">
        <f>IFERROR('TB-Key Info'!$L$15*((INDEX('TB-EQUIPMENT &amp; OTHER HPs'!$BJ$26:$BJ$43,MATCH("5.6"&amp;"1",INDEX('TB-EQUIPMENT &amp; OTHER HPs'!$AW$26:$AW$43&amp;'TB-EQUIPMENT &amp; OTHER HPs'!$AU$26:$AU$43,0),0)))+(INDEX('TB-EQUIPMENT &amp; OTHER HPs'!$BJ$26:$BJ$43,MATCH("5.6"&amp;"3",INDEX('TB-EQUIPMENT &amp; OTHER HPs'!$AW$26:$AW$43&amp;'TB-EQUIPMENT &amp; OTHER HPs'!$AU$26:$AU$43,0),0)))+(INDEX('TB-EQUIPMENT &amp; OTHER HPs'!$BJ$26:$BJ$43,MATCH("5.6"&amp;"4",INDEX('TB-EQUIPMENT &amp; OTHER HPs'!$AW$26:$AW$43&amp;'TB-EQUIPMENT &amp; OTHER HPs'!$AU$26:$AU$43,0),0),)))-SUM(X124,AK124,AP124,AR124,AT124),0)</f>
        <v>0</v>
      </c>
      <c r="AW124" s="525"/>
      <c r="AX124" s="1154">
        <f t="shared" si="14"/>
        <v>0</v>
      </c>
      <c r="AY124" s="1154"/>
      <c r="AZ124" s="528"/>
      <c r="BA124" s="529"/>
      <c r="BB124" s="527"/>
      <c r="BC124" s="527">
        <v>0</v>
      </c>
      <c r="BD124" s="527">
        <v>0</v>
      </c>
      <c r="BE124" s="527">
        <v>0</v>
      </c>
      <c r="BF124" s="527">
        <v>0</v>
      </c>
      <c r="BG124" s="527">
        <v>0</v>
      </c>
      <c r="BH124" s="527">
        <v>0</v>
      </c>
      <c r="BI124" s="527">
        <v>0</v>
      </c>
      <c r="BJ124" s="527">
        <v>0</v>
      </c>
      <c r="BK124" s="1154">
        <f t="shared" si="15"/>
        <v>0</v>
      </c>
      <c r="BL124" s="1154"/>
      <c r="BM124" s="1154">
        <f t="shared" si="16"/>
        <v>0</v>
      </c>
      <c r="BN124" s="1154">
        <f>BK124+AX124+AK124+X124</f>
        <v>0</v>
      </c>
      <c r="BO124" s="527"/>
      <c r="BP124" s="527"/>
      <c r="BQ124" s="1157">
        <v>0</v>
      </c>
      <c r="BR124" s="1157" t="s">
        <v>688</v>
      </c>
      <c r="BS124" s="1157" t="s">
        <v>594</v>
      </c>
      <c r="BT124" s="1376" t="s">
        <v>1438</v>
      </c>
    </row>
    <row r="125" spans="1:72" s="512" customFormat="1" ht="13" hidden="1">
      <c r="A125" s="1204">
        <v>160</v>
      </c>
      <c r="B125" s="1205" t="s">
        <v>645</v>
      </c>
      <c r="C125" s="1205" t="s">
        <v>646</v>
      </c>
      <c r="D125" s="1206" t="s">
        <v>596</v>
      </c>
      <c r="E125" s="1386" t="s">
        <v>597</v>
      </c>
      <c r="F125" s="521"/>
      <c r="G125" s="522"/>
      <c r="H125" s="522"/>
      <c r="I125" s="522"/>
      <c r="J125" s="523"/>
      <c r="K125" s="523"/>
      <c r="L125" s="523"/>
      <c r="M125" s="524" t="e">
        <f>X125/W125</f>
        <v>#DIV/0!</v>
      </c>
      <c r="N125" s="525"/>
      <c r="O125" s="526" t="s">
        <v>1237</v>
      </c>
      <c r="P125" s="525">
        <f>IFERROR('TB-Key Info'!$L$15*(INDEX('TB-EQUIPMENT &amp; OTHER HPs'!$AX$26:$BI$43,MATCH("5.8"&amp;"4",INDEX('TB-EQUIPMENT &amp; OTHER HPs'!$AW$26:$AW$43&amp;'TB-EQUIPMENT &amp; OTHER HPs'!$AU$26:$AU$43,0),0),MID(LEFT(P$1,SEARCH(" ",P$1)-1),2,3)-INDEX('TB-EQUIPMENT &amp; OTHER HPs'!$AV$26:$AV$43,MATCH("5.8"&amp;"4",INDEX('TB-EQUIPMENT &amp; OTHER HPs'!$AW$26:$AW$43&amp;'TB-EQUIPMENT &amp; OTHER HPs'!$AU$26:$AU$43,0),0)))),)</f>
        <v>0</v>
      </c>
      <c r="Q125" s="525" t="s">
        <v>1237</v>
      </c>
      <c r="R125" s="525">
        <f>IFERROR('TB-Key Info'!$L$15*(INDEX('TB-EQUIPMENT &amp; OTHER HPs'!$AX$26:$BI$43,MATCH("5.8"&amp;"4",INDEX('TB-EQUIPMENT &amp; OTHER HPs'!$AW$26:$AW$43&amp;'TB-EQUIPMENT &amp; OTHER HPs'!$AU$26:$AU$43,0),0),MID(LEFT(R$1,SEARCH(" ",R$1)-1),2,3)-INDEX('TB-EQUIPMENT &amp; OTHER HPs'!$AV$26:$AV$43,MATCH("5.8"&amp;"4",INDEX('TB-EQUIPMENT &amp; OTHER HPs'!$AW$26:$AW$43&amp;'TB-EQUIPMENT &amp; OTHER HPs'!$AU$26:$AU$43,0),0)))),)</f>
        <v>0</v>
      </c>
      <c r="S125" s="525" t="s">
        <v>1237</v>
      </c>
      <c r="T125" s="525">
        <f>IFERROR('TB-Key Info'!$L$15*(INDEX('TB-EQUIPMENT &amp; OTHER HPs'!$AX$26:$BI$43,MATCH("5.8"&amp;"4",INDEX('TB-EQUIPMENT &amp; OTHER HPs'!$AW$26:$AW$43&amp;'TB-EQUIPMENT &amp; OTHER HPs'!$AU$26:$AU$43,0),0),MID(LEFT(T$1,SEARCH(" ",T$1)-1),2,3)-INDEX('TB-EQUIPMENT &amp; OTHER HPs'!$AV$26:$AV$43,MATCH("5.8"&amp;"4",INDEX('TB-EQUIPMENT &amp; OTHER HPs'!$AW$26:$AW$43&amp;'TB-EQUIPMENT &amp; OTHER HPs'!$AU$26:$AU$43,0),0)))),)</f>
        <v>0</v>
      </c>
      <c r="U125" s="525" t="s">
        <v>1237</v>
      </c>
      <c r="V125" s="525">
        <f>IFERROR('TB-Key Info'!$L$15*(INDEX('TB-EQUIPMENT &amp; OTHER HPs'!$AX$26:$BI$43,MATCH("5.8"&amp;"4",INDEX('TB-EQUIPMENT &amp; OTHER HPs'!$AW$26:$AW$43&amp;'TB-EQUIPMENT &amp; OTHER HPs'!$AU$26:$AU$43,0),0),MID(LEFT(V$1,SEARCH(" ",V$1)-1),2,3)-INDEX('TB-EQUIPMENT &amp; OTHER HPs'!$AV$26:$AV$43,MATCH("5.8"&amp;"4",INDEX('TB-EQUIPMENT &amp; OTHER HPs'!$AW$26:$AW$43&amp;'TB-EQUIPMENT &amp; OTHER HPs'!$AU$26:$AU$43,0),0)))),)</f>
        <v>0</v>
      </c>
      <c r="W125" s="525"/>
      <c r="X125" s="1154">
        <f t="shared" si="12"/>
        <v>0</v>
      </c>
      <c r="Y125" s="1155"/>
      <c r="Z125" s="1156"/>
      <c r="AA125" s="529"/>
      <c r="AB125" s="525"/>
      <c r="AC125" s="525">
        <f>IFERROR('TB-Key Info'!$L$15*(INDEX('TB-EQUIPMENT &amp; OTHER HPs'!$AX$26:$BI$43,MATCH("5.8"&amp;"4",INDEX('TB-EQUIPMENT &amp; OTHER HPs'!$AW$26:$AW$43&amp;'TB-EQUIPMENT &amp; OTHER HPs'!$AU$26:$AU$43,0),0),MID(LEFT(AC$1,SEARCH(" ",AC$1)-1),2,3)-INDEX('TB-EQUIPMENT &amp; OTHER HPs'!$AV$26:$AV$43,MATCH("5.8"&amp;"4",INDEX('TB-EQUIPMENT &amp; OTHER HPs'!$AW$26:$AW$43&amp;'TB-EQUIPMENT &amp; OTHER HPs'!$AU$26:$AU$43,0),0)))),)</f>
        <v>0</v>
      </c>
      <c r="AD125" s="525"/>
      <c r="AE125" s="525">
        <f>IFERROR('TB-Key Info'!$L$15*(INDEX('TB-EQUIPMENT &amp; OTHER HPs'!$AX$26:$BI$43,MATCH("5.8"&amp;"4",INDEX('TB-EQUIPMENT &amp; OTHER HPs'!$AW$26:$AW$43&amp;'TB-EQUIPMENT &amp; OTHER HPs'!$AU$26:$AU$43,0),0),MID(LEFT(AE$1,SEARCH(" ",AE$1)-1),2,3)-INDEX('TB-EQUIPMENT &amp; OTHER HPs'!$AV$26:$AV$43,MATCH("5.8"&amp;"4",INDEX('TB-EQUIPMENT &amp; OTHER HPs'!$AW$26:$AW$43&amp;'TB-EQUIPMENT &amp; OTHER HPs'!$AU$26:$AU$43,0),0)))),)</f>
        <v>0</v>
      </c>
      <c r="AF125" s="525"/>
      <c r="AG125" s="525">
        <f>IFERROR('TB-Key Info'!$L$15*(INDEX('TB-EQUIPMENT &amp; OTHER HPs'!$AX$26:$BI$43,MATCH("5.8"&amp;"4",INDEX('TB-EQUIPMENT &amp; OTHER HPs'!$AW$26:$AW$43&amp;'TB-EQUIPMENT &amp; OTHER HPs'!$AU$26:$AU$43,0),0),MID(LEFT(AG$1,SEARCH(" ",AG$1)-1),2,3)-INDEX('TB-EQUIPMENT &amp; OTHER HPs'!$AV$26:$AV$43,MATCH("5.8"&amp;"4",INDEX('TB-EQUIPMENT &amp; OTHER HPs'!$AW$26:$AW$43&amp;'TB-EQUIPMENT &amp; OTHER HPs'!$AU$26:$AU$43,0),0)))),)</f>
        <v>0</v>
      </c>
      <c r="AH125" s="525"/>
      <c r="AI125" s="525">
        <f>IFERROR('TB-Key Info'!$L$15*(INDEX('TB-EQUIPMENT &amp; OTHER HPs'!$AX$26:$BI$43,MATCH("5.8"&amp;"4",INDEX('TB-EQUIPMENT &amp; OTHER HPs'!$AW$26:$AW$43&amp;'TB-EQUIPMENT &amp; OTHER HPs'!$AU$26:$AU$43,0),0),MID(LEFT(AI$1,SEARCH(" ",AI$1)-1),2,3)-INDEX('TB-EQUIPMENT &amp; OTHER HPs'!$AV$26:$AV$43,MATCH("5.8"&amp;"4",INDEX('TB-EQUIPMENT &amp; OTHER HPs'!$AW$26:$AW$43&amp;'TB-EQUIPMENT &amp; OTHER HPs'!$AU$26:$AU$43,0),0)))),)</f>
        <v>0</v>
      </c>
      <c r="AJ125" s="525"/>
      <c r="AK125" s="1154">
        <f t="shared" si="13"/>
        <v>0</v>
      </c>
      <c r="AL125" s="1155"/>
      <c r="AM125" s="1156"/>
      <c r="AN125" s="529"/>
      <c r="AO125" s="525"/>
      <c r="AP125" s="525">
        <f>IFERROR('TB-Key Info'!$L$15*(INDEX('TB-EQUIPMENT &amp; OTHER HPs'!$AX$26:$BI$43,MATCH("5.8"&amp;"4",INDEX('TB-EQUIPMENT &amp; OTHER HPs'!$AW$26:$AW$43&amp;'TB-EQUIPMENT &amp; OTHER HPs'!$AU$26:$AU$43,0),0),MID(LEFT(AP$1,SEARCH(" ",AP$1)-1),2,3)-INDEX('TB-EQUIPMENT &amp; OTHER HPs'!$AV$26:$AV$43,MATCH("5.8"&amp;"4",INDEX('TB-EQUIPMENT &amp; OTHER HPs'!$AW$26:$AW$43&amp;'TB-EQUIPMENT &amp; OTHER HPs'!$AU$26:$AU$43,0),0)))),)</f>
        <v>0</v>
      </c>
      <c r="AQ125" s="525"/>
      <c r="AR125" s="525">
        <f>IFERROR('TB-Key Info'!$L$15*(INDEX('TB-EQUIPMENT &amp; OTHER HPs'!$AX$26:$BI$43,MATCH("5.8"&amp;"4",INDEX('TB-EQUIPMENT &amp; OTHER HPs'!$AW$26:$AW$43&amp;'TB-EQUIPMENT &amp; OTHER HPs'!$AU$26:$AU$43,0),0),MID(LEFT(AR$1,SEARCH(" ",AR$1)-1),2,3)-INDEX('TB-EQUIPMENT &amp; OTHER HPs'!$AV$26:$AV$43,MATCH("5.8"&amp;"4",INDEX('TB-EQUIPMENT &amp; OTHER HPs'!$AW$26:$AW$43&amp;'TB-EQUIPMENT &amp; OTHER HPs'!$AU$26:$AU$43,0),0)))),)</f>
        <v>0</v>
      </c>
      <c r="AS125" s="525"/>
      <c r="AT125" s="525">
        <f>IFERROR('TB-Key Info'!$L$15*(INDEX('TB-EQUIPMENT &amp; OTHER HPs'!$AX$26:$BI$43,MATCH("5.8"&amp;"4",INDEX('TB-EQUIPMENT &amp; OTHER HPs'!$AW$26:$AW$43&amp;'TB-EQUIPMENT &amp; OTHER HPs'!$AU$26:$AU$43,0),0),MID(LEFT(AT$1,SEARCH(" ",AT$1)-1),2,3)-INDEX('TB-EQUIPMENT &amp; OTHER HPs'!$AV$26:$AV$43,MATCH("5.8"&amp;"4",INDEX('TB-EQUIPMENT &amp; OTHER HPs'!$AW$26:$AW$43&amp;'TB-EQUIPMENT &amp; OTHER HPs'!$AU$26:$AU$43,0),0)))),)</f>
        <v>0</v>
      </c>
      <c r="AU125" s="525"/>
      <c r="AV125" s="525">
        <f>IFERROR('TB-Key Info'!$L$15*(INDEX('TB-EQUIPMENT &amp; OTHER HPs'!$BJ$26:$BJ$43,MATCH("5.8"&amp;"4",INDEX('TB-EQUIPMENT &amp; OTHER HPs'!$AW$26:$AW$43&amp;'TB-EQUIPMENT &amp; OTHER HPs'!$AU$26:$AU$43,0),0)))-SUM(X125,AK125,AP125,AR125,AT125),)</f>
        <v>0</v>
      </c>
      <c r="AW125" s="525"/>
      <c r="AX125" s="1154">
        <f t="shared" si="14"/>
        <v>0</v>
      </c>
      <c r="AY125" s="1154"/>
      <c r="AZ125" s="528"/>
      <c r="BA125" s="529"/>
      <c r="BB125" s="527"/>
      <c r="BC125" s="527">
        <v>0</v>
      </c>
      <c r="BD125" s="527">
        <v>0</v>
      </c>
      <c r="BE125" s="527">
        <v>0</v>
      </c>
      <c r="BF125" s="527">
        <v>0</v>
      </c>
      <c r="BG125" s="527">
        <v>0</v>
      </c>
      <c r="BH125" s="527">
        <v>0</v>
      </c>
      <c r="BI125" s="527">
        <v>0</v>
      </c>
      <c r="BJ125" s="527">
        <v>0</v>
      </c>
      <c r="BK125" s="1154">
        <f t="shared" si="15"/>
        <v>0</v>
      </c>
      <c r="BL125" s="1154"/>
      <c r="BM125" s="1154">
        <f t="shared" si="16"/>
        <v>0</v>
      </c>
      <c r="BN125" s="1154">
        <f t="shared" si="17"/>
        <v>0</v>
      </c>
      <c r="BO125" s="527"/>
      <c r="BP125" s="527"/>
      <c r="BQ125" s="1157">
        <v>0</v>
      </c>
      <c r="BR125" s="1157" t="s">
        <v>688</v>
      </c>
      <c r="BS125" s="1157" t="s">
        <v>596</v>
      </c>
      <c r="BT125" s="1376" t="s">
        <v>1393</v>
      </c>
    </row>
    <row r="126" spans="1:72" s="512" customFormat="1" ht="13" hidden="1">
      <c r="A126" s="1204">
        <v>161</v>
      </c>
      <c r="B126" s="1205" t="s">
        <v>645</v>
      </c>
      <c r="C126" s="1205" t="s">
        <v>646</v>
      </c>
      <c r="D126" s="1206" t="s">
        <v>2566</v>
      </c>
      <c r="E126" s="1386" t="s">
        <v>654</v>
      </c>
      <c r="F126" s="521"/>
      <c r="G126" s="522"/>
      <c r="H126" s="522"/>
      <c r="I126" s="522"/>
      <c r="J126" s="523"/>
      <c r="K126" s="523"/>
      <c r="L126" s="523"/>
      <c r="M126" s="524" t="e">
        <f>X126/W126</f>
        <v>#DIV/0!</v>
      </c>
      <c r="N126" s="525" t="e">
        <f>IF(M126&lt;&gt;"",M126/VLOOKUP($K126,SETUP!$C$28:$D$42,2,0),"")</f>
        <v>#DIV/0!</v>
      </c>
      <c r="O126" s="526" t="s">
        <v>1237</v>
      </c>
      <c r="P126" s="525">
        <f>IFERROR('TB-Key Info'!$L$15*(IFERROR(INDEX('TB-EQUIPMENT &amp; OTHER HPs'!$AX$26:$BI$43,MATCH("6.4"&amp;"2",INDEX('TB-EQUIPMENT &amp; OTHER HPs'!$AW$26:$AW$43&amp;'TB-EQUIPMENT &amp; OTHER HPs'!$AU$26:$AU$43,0),0),MID(LEFT(P$1,SEARCH(" ",P$1)-1),2,3)-INDEX('TB-EQUIPMENT &amp; OTHER HPs'!$AV$26:$AV$43,MATCH("6.4"&amp;"2",INDEX('TB-EQUIPMENT &amp; OTHER HPs'!$AW$26:$AW$43&amp;'TB-EQUIPMENT &amp; OTHER HPs'!$AU$26:$AU$43,0),0))),)+IFERROR(INDEX('TB-EQUIPMENT &amp; OTHER HPs'!$AX$26:$BI$43,MATCH("6.4"&amp;"3",INDEX('TB-EQUIPMENT &amp; OTHER HPs'!$AW$26:$AW$43&amp;'TB-EQUIPMENT &amp; OTHER HPs'!$AU$26:$AU$43,0),0),MID(LEFT(P$1,SEARCH(" ",P$1)-1),2,3)-INDEX('TB-EQUIPMENT &amp; OTHER HPs'!$AV$26:$AV$43,MATCH("6.4"&amp;"3",INDEX('TB-EQUIPMENT &amp; OTHER HPs'!$AW$26:$AW$43&amp;'TB-EQUIPMENT &amp; OTHER HPs'!$AU$26:$AU$43,0),0))),)),)</f>
        <v>0</v>
      </c>
      <c r="Q126" s="525" t="s">
        <v>1237</v>
      </c>
      <c r="R126" s="525">
        <f>IFERROR('TB-Key Info'!$L$15*(IFERROR(INDEX('TB-EQUIPMENT &amp; OTHER HPs'!$AX$26:$BI$43,MATCH("6.4"&amp;"2",INDEX('TB-EQUIPMENT &amp; OTHER HPs'!$AW$26:$AW$43&amp;'TB-EQUIPMENT &amp; OTHER HPs'!$AU$26:$AU$43,0),0),MID(LEFT(R$1,SEARCH(" ",R$1)-1),2,3)-INDEX('TB-EQUIPMENT &amp; OTHER HPs'!$AV$26:$AV$43,MATCH("6.4"&amp;"2",INDEX('TB-EQUIPMENT &amp; OTHER HPs'!$AW$26:$AW$43&amp;'TB-EQUIPMENT &amp; OTHER HPs'!$AU$26:$AU$43,0),0))),)+IFERROR(INDEX('TB-EQUIPMENT &amp; OTHER HPs'!$AX$26:$BI$43,MATCH("6.4"&amp;"3",INDEX('TB-EQUIPMENT &amp; OTHER HPs'!$AW$26:$AW$43&amp;'TB-EQUIPMENT &amp; OTHER HPs'!$AU$26:$AU$43,0),0),MID(LEFT(R$1,SEARCH(" ",R$1)-1),2,3)-INDEX('TB-EQUIPMENT &amp; OTHER HPs'!$AV$26:$AV$43,MATCH("6.4"&amp;"3",INDEX('TB-EQUIPMENT &amp; OTHER HPs'!$AW$26:$AW$43&amp;'TB-EQUIPMENT &amp; OTHER HPs'!$AU$26:$AU$43,0),0))),)),)</f>
        <v>0</v>
      </c>
      <c r="S126" s="525" t="s">
        <v>1237</v>
      </c>
      <c r="T126" s="525">
        <f>IFERROR('TB-Key Info'!$L$15*(IFERROR(INDEX('TB-EQUIPMENT &amp; OTHER HPs'!$AX$26:$BI$43,MATCH("6.4"&amp;"2",INDEX('TB-EQUIPMENT &amp; OTHER HPs'!$AW$26:$AW$43&amp;'TB-EQUIPMENT &amp; OTHER HPs'!$AU$26:$AU$43,0),0),MID(LEFT(T$1,SEARCH(" ",T$1)-1),2,3)-INDEX('TB-EQUIPMENT &amp; OTHER HPs'!$AV$26:$AV$43,MATCH("6.4"&amp;"2",INDEX('TB-EQUIPMENT &amp; OTHER HPs'!$AW$26:$AW$43&amp;'TB-EQUIPMENT &amp; OTHER HPs'!$AU$26:$AU$43,0),0))),)+IFERROR(INDEX('TB-EQUIPMENT &amp; OTHER HPs'!$AX$26:$BI$43,MATCH("6.4"&amp;"3",INDEX('TB-EQUIPMENT &amp; OTHER HPs'!$AW$26:$AW$43&amp;'TB-EQUIPMENT &amp; OTHER HPs'!$AU$26:$AU$43,0),0),MID(LEFT(T$1,SEARCH(" ",T$1)-1),2,3)-INDEX('TB-EQUIPMENT &amp; OTHER HPs'!$AV$26:$AV$43,MATCH("6.4"&amp;"3",INDEX('TB-EQUIPMENT &amp; OTHER HPs'!$AW$26:$AW$43&amp;'TB-EQUIPMENT &amp; OTHER HPs'!$AU$26:$AU$43,0),0))),)),)</f>
        <v>0</v>
      </c>
      <c r="U126" s="525" t="s">
        <v>1237</v>
      </c>
      <c r="V126" s="525">
        <f>IFERROR('TB-Key Info'!$L$15*(IFERROR(INDEX('TB-EQUIPMENT &amp; OTHER HPs'!$AX$26:$BI$43,MATCH("6.4"&amp;"2",INDEX('TB-EQUIPMENT &amp; OTHER HPs'!$AW$26:$AW$43&amp;'TB-EQUIPMENT &amp; OTHER HPs'!$AU$26:$AU$43,0),0),MID(LEFT(V$1,SEARCH(" ",V$1)-1),2,3)-INDEX('TB-EQUIPMENT &amp; OTHER HPs'!$AV$26:$AV$43,MATCH("6.4"&amp;"2",INDEX('TB-EQUIPMENT &amp; OTHER HPs'!$AW$26:$AW$43&amp;'TB-EQUIPMENT &amp; OTHER HPs'!$AU$26:$AU$43,0),0))),)+IFERROR(INDEX('TB-EQUIPMENT &amp; OTHER HPs'!$AX$26:$BI$43,MATCH("6.4"&amp;"3",INDEX('TB-EQUIPMENT &amp; OTHER HPs'!$AW$26:$AW$43&amp;'TB-EQUIPMENT &amp; OTHER HPs'!$AU$26:$AU$43,0),0),MID(LEFT(V$1,SEARCH(" ",V$1)-1),2,3)-INDEX('TB-EQUIPMENT &amp; OTHER HPs'!$AV$26:$AV$43,MATCH("6.4"&amp;"3",INDEX('TB-EQUIPMENT &amp; OTHER HPs'!$AW$26:$AW$43&amp;'TB-EQUIPMENT &amp; OTHER HPs'!$AU$26:$AU$43,0),0))),)),)</f>
        <v>0</v>
      </c>
      <c r="W126" s="525"/>
      <c r="X126" s="1154">
        <f t="shared" si="12"/>
        <v>0</v>
      </c>
      <c r="Y126" s="1155"/>
      <c r="Z126" s="1156"/>
      <c r="AA126" s="529"/>
      <c r="AB126" s="525"/>
      <c r="AC126" s="525">
        <f>IFERROR('TB-Key Info'!$L$15*(IFERROR(INDEX('TB-EQUIPMENT &amp; OTHER HPs'!$AX$26:$BI$43,MATCH("6.4"&amp;"2",INDEX('TB-EQUIPMENT &amp; OTHER HPs'!$AW$26:$AW$43&amp;'TB-EQUIPMENT &amp; OTHER HPs'!$AU$26:$AU$43,0),0),MID(LEFT(AC$1,SEARCH(" ",AC$1)-1),2,3)-INDEX('TB-EQUIPMENT &amp; OTHER HPs'!$AV$26:$AV$43,MATCH("6.4"&amp;"2",INDEX('TB-EQUIPMENT &amp; OTHER HPs'!$AW$26:$AW$43&amp;'TB-EQUIPMENT &amp; OTHER HPs'!$AU$26:$AU$43,0),0))),)+IFERROR(INDEX('TB-EQUIPMENT &amp; OTHER HPs'!$AX$26:$BI$43,MATCH("6.4"&amp;"3",INDEX('TB-EQUIPMENT &amp; OTHER HPs'!$AW$26:$AW$43&amp;'TB-EQUIPMENT &amp; OTHER HPs'!$AU$26:$AU$43,0),0),MID(LEFT(AC$1,SEARCH(" ",AC$1)-1),2,3)-INDEX('TB-EQUIPMENT &amp; OTHER HPs'!$AV$26:$AV$43,MATCH("6.4"&amp;"3",INDEX('TB-EQUIPMENT &amp; OTHER HPs'!$AW$26:$AW$43&amp;'TB-EQUIPMENT &amp; OTHER HPs'!$AU$26:$AU$43,0),0))),)),)</f>
        <v>0</v>
      </c>
      <c r="AD126" s="525"/>
      <c r="AE126" s="525">
        <f>IFERROR('TB-Key Info'!$L$15*(IFERROR(INDEX('TB-EQUIPMENT &amp; OTHER HPs'!$AX$26:$BI$43,MATCH("6.4"&amp;"2",INDEX('TB-EQUIPMENT &amp; OTHER HPs'!$AW$26:$AW$43&amp;'TB-EQUIPMENT &amp; OTHER HPs'!$AU$26:$AU$43,0),0),MID(LEFT(AE$1,SEARCH(" ",AE$1)-1),2,3)-INDEX('TB-EQUIPMENT &amp; OTHER HPs'!$AV$26:$AV$43,MATCH("6.4"&amp;"2",INDEX('TB-EQUIPMENT &amp; OTHER HPs'!$AW$26:$AW$43&amp;'TB-EQUIPMENT &amp; OTHER HPs'!$AU$26:$AU$43,0),0))),)+IFERROR(INDEX('TB-EQUIPMENT &amp; OTHER HPs'!$AX$26:$BI$43,MATCH("6.4"&amp;"3",INDEX('TB-EQUIPMENT &amp; OTHER HPs'!$AW$26:$AW$43&amp;'TB-EQUIPMENT &amp; OTHER HPs'!$AU$26:$AU$43,0),0),MID(LEFT(AE$1,SEARCH(" ",AE$1)-1),2,3)-INDEX('TB-EQUIPMENT &amp; OTHER HPs'!$AV$26:$AV$43,MATCH("6.4"&amp;"3",INDEX('TB-EQUIPMENT &amp; OTHER HPs'!$AW$26:$AW$43&amp;'TB-EQUIPMENT &amp; OTHER HPs'!$AU$26:$AU$43,0),0))),)),)</f>
        <v>0</v>
      </c>
      <c r="AF126" s="525"/>
      <c r="AG126" s="525">
        <f>IFERROR('TB-Key Info'!$L$15*(IFERROR(INDEX('TB-EQUIPMENT &amp; OTHER HPs'!$AX$26:$BI$43,MATCH("6.4"&amp;"2",INDEX('TB-EQUIPMENT &amp; OTHER HPs'!$AW$26:$AW$43&amp;'TB-EQUIPMENT &amp; OTHER HPs'!$AU$26:$AU$43,0),0),MID(LEFT(AG$1,SEARCH(" ",AG$1)-1),2,3)-INDEX('TB-EQUIPMENT &amp; OTHER HPs'!$AV$26:$AV$43,MATCH("6.4"&amp;"2",INDEX('TB-EQUIPMENT &amp; OTHER HPs'!$AW$26:$AW$43&amp;'TB-EQUIPMENT &amp; OTHER HPs'!$AU$26:$AU$43,0),0))),)+IFERROR(INDEX('TB-EQUIPMENT &amp; OTHER HPs'!$AX$26:$BI$43,MATCH("6.4"&amp;"3",INDEX('TB-EQUIPMENT &amp; OTHER HPs'!$AW$26:$AW$43&amp;'TB-EQUIPMENT &amp; OTHER HPs'!$AU$26:$AU$43,0),0),MID(LEFT(AG$1,SEARCH(" ",AG$1)-1),2,3)-INDEX('TB-EQUIPMENT &amp; OTHER HPs'!$AV$26:$AV$43,MATCH("6.4"&amp;"3",INDEX('TB-EQUIPMENT &amp; OTHER HPs'!$AW$26:$AW$43&amp;'TB-EQUIPMENT &amp; OTHER HPs'!$AU$26:$AU$43,0),0))),)),)</f>
        <v>0</v>
      </c>
      <c r="AH126" s="525"/>
      <c r="AI126" s="525">
        <f>IFERROR('TB-Key Info'!$L$15*(IFERROR(INDEX('TB-EQUIPMENT &amp; OTHER HPs'!$AX$26:$BI$43,MATCH("6.4"&amp;"2",INDEX('TB-EQUIPMENT &amp; OTHER HPs'!$AW$26:$AW$43&amp;'TB-EQUIPMENT &amp; OTHER HPs'!$AU$26:$AU$43,0),0),MID(LEFT(AI$1,SEARCH(" ",AI$1)-1),2,3)-INDEX('TB-EQUIPMENT &amp; OTHER HPs'!$AV$26:$AV$43,MATCH("6.4"&amp;"2",INDEX('TB-EQUIPMENT &amp; OTHER HPs'!$AW$26:$AW$43&amp;'TB-EQUIPMENT &amp; OTHER HPs'!$AU$26:$AU$43,0),0))),)+IFERROR(INDEX('TB-EQUIPMENT &amp; OTHER HPs'!$AX$26:$BI$43,MATCH("6.4"&amp;"3",INDEX('TB-EQUIPMENT &amp; OTHER HPs'!$AW$26:$AW$43&amp;'TB-EQUIPMENT &amp; OTHER HPs'!$AU$26:$AU$43,0),0),MID(LEFT(AI$1,SEARCH(" ",AI$1)-1),2,3)-INDEX('TB-EQUIPMENT &amp; OTHER HPs'!$AV$26:$AV$43,MATCH("6.4"&amp;"3",INDEX('TB-EQUIPMENT &amp; OTHER HPs'!$AW$26:$AW$43&amp;'TB-EQUIPMENT &amp; OTHER HPs'!$AU$26:$AU$43,0),0))),)),)</f>
        <v>0</v>
      </c>
      <c r="AJ126" s="525"/>
      <c r="AK126" s="1154">
        <f t="shared" si="13"/>
        <v>0</v>
      </c>
      <c r="AL126" s="1155"/>
      <c r="AM126" s="1156"/>
      <c r="AN126" s="529"/>
      <c r="AO126" s="525"/>
      <c r="AP126" s="525">
        <f>IFERROR('TB-Key Info'!$L$15*(IFERROR(INDEX('TB-EQUIPMENT &amp; OTHER HPs'!$AX$26:$BI$43,MATCH("6.4"&amp;"2",INDEX('TB-EQUIPMENT &amp; OTHER HPs'!$AW$26:$AW$43&amp;'TB-EQUIPMENT &amp; OTHER HPs'!$AU$26:$AU$43,0),0),MID(LEFT(AP$1,SEARCH(" ",AP$1)-1),2,3)-INDEX('TB-EQUIPMENT &amp; OTHER HPs'!$AV$26:$AV$43,MATCH("6.4"&amp;"2",INDEX('TB-EQUIPMENT &amp; OTHER HPs'!$AW$26:$AW$43&amp;'TB-EQUIPMENT &amp; OTHER HPs'!$AU$26:$AU$43,0),0))),)+IFERROR(INDEX('TB-EQUIPMENT &amp; OTHER HPs'!$AX$26:$BI$43,MATCH("6.4"&amp;"3",INDEX('TB-EQUIPMENT &amp; OTHER HPs'!$AW$26:$AW$43&amp;'TB-EQUIPMENT &amp; OTHER HPs'!$AU$26:$AU$43,0),0),MID(LEFT(AP$1,SEARCH(" ",AP$1)-1),2,3)-INDEX('TB-EQUIPMENT &amp; OTHER HPs'!$AV$26:$AV$43,MATCH("6.4"&amp;"3",INDEX('TB-EQUIPMENT &amp; OTHER HPs'!$AW$26:$AW$43&amp;'TB-EQUIPMENT &amp; OTHER HPs'!$AU$26:$AU$43,0),0))),)),)</f>
        <v>0</v>
      </c>
      <c r="AQ126" s="525"/>
      <c r="AR126" s="525">
        <f>IFERROR('TB-Key Info'!$L$15*(IFERROR(INDEX('TB-EQUIPMENT &amp; OTHER HPs'!$AX$26:$BI$43,MATCH("6.4"&amp;"2",INDEX('TB-EQUIPMENT &amp; OTHER HPs'!$AW$26:$AW$43&amp;'TB-EQUIPMENT &amp; OTHER HPs'!$AU$26:$AU$43,0),0),MID(LEFT(AR$1,SEARCH(" ",AR$1)-1),2,3)-INDEX('TB-EQUIPMENT &amp; OTHER HPs'!$AV$26:$AV$43,MATCH("6.4"&amp;"2",INDEX('TB-EQUIPMENT &amp; OTHER HPs'!$AW$26:$AW$43&amp;'TB-EQUIPMENT &amp; OTHER HPs'!$AU$26:$AU$43,0),0))),)+IFERROR(INDEX('TB-EQUIPMENT &amp; OTHER HPs'!$AX$26:$BI$43,MATCH("6.4"&amp;"3",INDEX('TB-EQUIPMENT &amp; OTHER HPs'!$AW$26:$AW$43&amp;'TB-EQUIPMENT &amp; OTHER HPs'!$AU$26:$AU$43,0),0),MID(LEFT(AR$1,SEARCH(" ",AR$1)-1),2,3)-INDEX('TB-EQUIPMENT &amp; OTHER HPs'!$AV$26:$AV$43,MATCH("6.4"&amp;"3",INDEX('TB-EQUIPMENT &amp; OTHER HPs'!$AW$26:$AW$43&amp;'TB-EQUIPMENT &amp; OTHER HPs'!$AU$26:$AU$43,0),0))),)),)</f>
        <v>0</v>
      </c>
      <c r="AS126" s="525"/>
      <c r="AT126" s="525">
        <f>IFERROR('TB-Key Info'!$L$15*(IFERROR(INDEX('TB-EQUIPMENT &amp; OTHER HPs'!$AX$26:$BI$43,MATCH("6.4"&amp;"2",INDEX('TB-EQUIPMENT &amp; OTHER HPs'!$AW$26:$AW$43&amp;'TB-EQUIPMENT &amp; OTHER HPs'!$AU$26:$AU$43,0),0),MID(LEFT(AT$1,SEARCH(" ",AT$1)-1),2,3)-INDEX('TB-EQUIPMENT &amp; OTHER HPs'!$AV$26:$AV$43,MATCH("6.4"&amp;"2",INDEX('TB-EQUIPMENT &amp; OTHER HPs'!$AW$26:$AW$43&amp;'TB-EQUIPMENT &amp; OTHER HPs'!$AU$26:$AU$43,0),0))),)+IFERROR(INDEX('TB-EQUIPMENT &amp; OTHER HPs'!$AX$26:$BI$43,MATCH("6.4"&amp;"3",INDEX('TB-EQUIPMENT &amp; OTHER HPs'!$AW$26:$AW$43&amp;'TB-EQUIPMENT &amp; OTHER HPs'!$AU$26:$AU$43,0),0),MID(LEFT(AT$1,SEARCH(" ",AT$1)-1),2,3)-INDEX('TB-EQUIPMENT &amp; OTHER HPs'!$AV$26:$AV$43,MATCH("6.4"&amp;"3",INDEX('TB-EQUIPMENT &amp; OTHER HPs'!$AW$26:$AW$43&amp;'TB-EQUIPMENT &amp; OTHER HPs'!$AU$26:$AU$43,0),0))),)),)</f>
        <v>0</v>
      </c>
      <c r="AU126" s="525"/>
      <c r="AV126" s="525">
        <f>IFERROR('TB-Key Info'!$L$15*((INDEX('TB-EQUIPMENT &amp; OTHER HPs'!$BJ$26:$BJ$43,MATCH("6.4"&amp;"2",INDEX('TB-EQUIPMENT &amp; OTHER HPs'!$AW$26:$AW$43&amp;'TB-EQUIPMENT &amp; OTHER HPs'!$AU$26:$AU$43,0),0)))+(INDEX('TB-EQUIPMENT &amp; OTHER HPs'!$BJ$26:$BJ$43,MATCH("6.4"&amp;"3",INDEX('TB-EQUIPMENT &amp; OTHER HPs'!$AW$26:$AW$43&amp;'TB-EQUIPMENT &amp; OTHER HPs'!$AU$26:$AU$43,0),0))))-SUM(X126,AK126,AP126,AR126,AT126),)</f>
        <v>0</v>
      </c>
      <c r="AW126" s="525"/>
      <c r="AX126" s="1154">
        <f t="shared" si="14"/>
        <v>0</v>
      </c>
      <c r="AY126" s="1154"/>
      <c r="AZ126" s="528"/>
      <c r="BA126" s="529"/>
      <c r="BB126" s="527"/>
      <c r="BC126" s="527">
        <v>0</v>
      </c>
      <c r="BD126" s="527">
        <v>0</v>
      </c>
      <c r="BE126" s="527">
        <v>0</v>
      </c>
      <c r="BF126" s="527">
        <v>0</v>
      </c>
      <c r="BG126" s="527">
        <v>0</v>
      </c>
      <c r="BH126" s="527">
        <v>0</v>
      </c>
      <c r="BI126" s="527">
        <v>0</v>
      </c>
      <c r="BJ126" s="527">
        <v>0</v>
      </c>
      <c r="BK126" s="1154">
        <f t="shared" si="15"/>
        <v>0</v>
      </c>
      <c r="BL126" s="1154"/>
      <c r="BM126" s="1154">
        <f t="shared" si="16"/>
        <v>0</v>
      </c>
      <c r="BN126" s="1154">
        <f t="shared" si="17"/>
        <v>0</v>
      </c>
      <c r="BO126" s="527"/>
      <c r="BP126" s="527"/>
      <c r="BQ126" s="1157">
        <v>0</v>
      </c>
      <c r="BR126" s="1157" t="s">
        <v>688</v>
      </c>
      <c r="BS126" s="1157" t="s">
        <v>2566</v>
      </c>
      <c r="BT126" s="1376" t="s">
        <v>1394</v>
      </c>
    </row>
    <row r="127" spans="1:72" s="512" customFormat="1" ht="13" hidden="1">
      <c r="A127" s="1204">
        <v>162</v>
      </c>
      <c r="B127" s="1205" t="s">
        <v>645</v>
      </c>
      <c r="C127" s="1205" t="s">
        <v>646</v>
      </c>
      <c r="D127" s="1206" t="s">
        <v>2567</v>
      </c>
      <c r="E127" s="1386" t="s">
        <v>593</v>
      </c>
      <c r="F127" s="521"/>
      <c r="G127" s="522" t="str">
        <f>SETUP!$E$3</f>
        <v>El Salvador</v>
      </c>
      <c r="H127" s="522"/>
      <c r="I127" s="522"/>
      <c r="J127" s="523"/>
      <c r="K127" s="523"/>
      <c r="L127" s="523"/>
      <c r="M127" s="524" t="e">
        <f>X127/W127</f>
        <v>#DIV/0!</v>
      </c>
      <c r="N127" s="525" t="e">
        <f>IF(M127&lt;&gt;"",M127/VLOOKUP($K127,SETUP!$C$28:$D$42,2,0),"")</f>
        <v>#DIV/0!</v>
      </c>
      <c r="O127" s="526" t="s">
        <v>1237</v>
      </c>
      <c r="P127" s="525">
        <f>IFERROR('TB-Key Info'!$L$15*(IFERROR(INDEX('TB-EQUIPMENT &amp; OTHER HPs'!$AX$26:$BI$43,MATCH("6.5"&amp;"4",INDEX('TB-EQUIPMENT &amp; OTHER HPs'!$AW$26:$AW$43&amp;'TB-EQUIPMENT &amp; OTHER HPs'!$AU$26:$AU$43,0),0),MID(LEFT(P$1,SEARCH(" ",P$1)-1),2,3)-INDEX('TB-EQUIPMENT &amp; OTHER HPs'!$AV$26:$AV$43,MATCH("6.5"&amp;"4",INDEX('TB-EQUIPMENT &amp; OTHER HPs'!$AW$26:$AW$43&amp;'TB-EQUIPMENT &amp; OTHER HPs'!$AU$26:$AU$43,0),0))),)+IFERROR(INDEX('TB-EQUIPMENT &amp; OTHER HPs'!$AX$26:$BI$43,MATCH("6.5"&amp;"1",INDEX('TB-EQUIPMENT &amp; OTHER HPs'!$AW$26:$AW$43&amp;'TB-EQUIPMENT &amp; OTHER HPs'!$AU$26:$AU$43,0),0),MID(LEFT(P$1,SEARCH(" ",P$1)-1),2,3)-INDEX('TB-EQUIPMENT &amp; OTHER HPs'!$AV$26:$AV$43,MATCH("6.5"&amp;"1",INDEX('TB-EQUIPMENT &amp; OTHER HPs'!$AW$26:$AW$43&amp;'TB-EQUIPMENT &amp; OTHER HPs'!$AU$26:$AU$43,0),0))),)+IFERROR(INDEX('TB-EQUIPMENT &amp; OTHER HPs'!$AX$26:$BI$43,MATCH("6.5"&amp;"2",INDEX('TB-EQUIPMENT &amp; OTHER HPs'!$AW$26:$AW$43&amp;'TB-EQUIPMENT &amp; OTHER HPs'!$AU$26:$AU$43,0),0),MID(LEFT(P$1,SEARCH(" ",P$1)-1),2,3)-INDEX('TB-EQUIPMENT &amp; OTHER HPs'!$AV$26:$AV$43,MATCH("6.5"&amp;"2",INDEX('TB-EQUIPMENT &amp; OTHER HPs'!$AW$26:$AW$43&amp;'TB-EQUIPMENT &amp; OTHER HPs'!$AU$26:$AU$43,0),0))),)+IFERROR(INDEX('TB-EQUIPMENT &amp; OTHER HPs'!$AX$26:$BI$43,MATCH("6.5"&amp;"3",INDEX('TB-EQUIPMENT &amp; OTHER HPs'!$AW$26:$AW$43&amp;'TB-EQUIPMENT &amp; OTHER HPs'!$AU$26:$AU$43,0),0),MID(LEFT(P$1,SEARCH(" ",P$1)-1),2,3)-INDEX('TB-EQUIPMENT &amp; OTHER HPs'!$AV$26:$AV$43,MATCH("6.5"&amp;"3",INDEX('TB-EQUIPMENT &amp; OTHER HPs'!$AW$26:$AW$43&amp;'TB-EQUIPMENT &amp; OTHER HPs'!$AU$26:$AU$43,0),0))),)),)</f>
        <v>0</v>
      </c>
      <c r="Q127" s="525" t="s">
        <v>1237</v>
      </c>
      <c r="R127" s="525">
        <f>IFERROR('TB-Key Info'!$L$15*(IFERROR(INDEX('TB-EQUIPMENT &amp; OTHER HPs'!$AX$26:$BI$43,MATCH("6.5"&amp;"4",INDEX('TB-EQUIPMENT &amp; OTHER HPs'!$AW$26:$AW$43&amp;'TB-EQUIPMENT &amp; OTHER HPs'!$AU$26:$AU$43,0),0),MID(LEFT(R$1,SEARCH(" ",R$1)-1),2,3)-INDEX('TB-EQUIPMENT &amp; OTHER HPs'!$AV$26:$AV$43,MATCH("6.5"&amp;"4",INDEX('TB-EQUIPMENT &amp; OTHER HPs'!$AW$26:$AW$43&amp;'TB-EQUIPMENT &amp; OTHER HPs'!$AU$26:$AU$43,0),0))),)+IFERROR(INDEX('TB-EQUIPMENT &amp; OTHER HPs'!$AX$26:$BI$43,MATCH("6.5"&amp;"1",INDEX('TB-EQUIPMENT &amp; OTHER HPs'!$AW$26:$AW$43&amp;'TB-EQUIPMENT &amp; OTHER HPs'!$AU$26:$AU$43,0),0),MID(LEFT(R$1,SEARCH(" ",R$1)-1),2,3)-INDEX('TB-EQUIPMENT &amp; OTHER HPs'!$AV$26:$AV$43,MATCH("6.5"&amp;"1",INDEX('TB-EQUIPMENT &amp; OTHER HPs'!$AW$26:$AW$43&amp;'TB-EQUIPMENT &amp; OTHER HPs'!$AU$26:$AU$43,0),0))),)+IFERROR(INDEX('TB-EQUIPMENT &amp; OTHER HPs'!$AX$26:$BI$43,MATCH("6.5"&amp;"2",INDEX('TB-EQUIPMENT &amp; OTHER HPs'!$AW$26:$AW$43&amp;'TB-EQUIPMENT &amp; OTHER HPs'!$AU$26:$AU$43,0),0),MID(LEFT(R$1,SEARCH(" ",R$1)-1),2,3)-INDEX('TB-EQUIPMENT &amp; OTHER HPs'!$AV$26:$AV$43,MATCH("6.5"&amp;"2",INDEX('TB-EQUIPMENT &amp; OTHER HPs'!$AW$26:$AW$43&amp;'TB-EQUIPMENT &amp; OTHER HPs'!$AU$26:$AU$43,0),0))),)+IFERROR(INDEX('TB-EQUIPMENT &amp; OTHER HPs'!$AX$26:$BI$43,MATCH("6.5"&amp;"3",INDEX('TB-EQUIPMENT &amp; OTHER HPs'!$AW$26:$AW$43&amp;'TB-EQUIPMENT &amp; OTHER HPs'!$AU$26:$AU$43,0),0),MID(LEFT(R$1,SEARCH(" ",R$1)-1),2,3)-INDEX('TB-EQUIPMENT &amp; OTHER HPs'!$AV$26:$AV$43,MATCH("6.5"&amp;"3",INDEX('TB-EQUIPMENT &amp; OTHER HPs'!$AW$26:$AW$43&amp;'TB-EQUIPMENT &amp; OTHER HPs'!$AU$26:$AU$43,0),0))),)),)</f>
        <v>0</v>
      </c>
      <c r="S127" s="525" t="s">
        <v>1237</v>
      </c>
      <c r="T127" s="525">
        <f>IFERROR('TB-Key Info'!$L$15*(IFERROR(INDEX('TB-EQUIPMENT &amp; OTHER HPs'!$AX$26:$BI$43,MATCH("6.5"&amp;"4",INDEX('TB-EQUIPMENT &amp; OTHER HPs'!$AW$26:$AW$43&amp;'TB-EQUIPMENT &amp; OTHER HPs'!$AU$26:$AU$43,0),0),MID(LEFT(T$1,SEARCH(" ",T$1)-1),2,3)-INDEX('TB-EQUIPMENT &amp; OTHER HPs'!$AV$26:$AV$43,MATCH("6.5"&amp;"4",INDEX('TB-EQUIPMENT &amp; OTHER HPs'!$AW$26:$AW$43&amp;'TB-EQUIPMENT &amp; OTHER HPs'!$AU$26:$AU$43,0),0))),)+IFERROR(INDEX('TB-EQUIPMENT &amp; OTHER HPs'!$AX$26:$BI$43,MATCH("6.5"&amp;"1",INDEX('TB-EQUIPMENT &amp; OTHER HPs'!$AW$26:$AW$43&amp;'TB-EQUIPMENT &amp; OTHER HPs'!$AU$26:$AU$43,0),0),MID(LEFT(T$1,SEARCH(" ",T$1)-1),2,3)-INDEX('TB-EQUIPMENT &amp; OTHER HPs'!$AV$26:$AV$43,MATCH("6.5"&amp;"1",INDEX('TB-EQUIPMENT &amp; OTHER HPs'!$AW$26:$AW$43&amp;'TB-EQUIPMENT &amp; OTHER HPs'!$AU$26:$AU$43,0),0))),)+IFERROR(INDEX('TB-EQUIPMENT &amp; OTHER HPs'!$AX$26:$BI$43,MATCH("6.5"&amp;"2",INDEX('TB-EQUIPMENT &amp; OTHER HPs'!$AW$26:$AW$43&amp;'TB-EQUIPMENT &amp; OTHER HPs'!$AU$26:$AU$43,0),0),MID(LEFT(T$1,SEARCH(" ",T$1)-1),2,3)-INDEX('TB-EQUIPMENT &amp; OTHER HPs'!$AV$26:$AV$43,MATCH("6.5"&amp;"2",INDEX('TB-EQUIPMENT &amp; OTHER HPs'!$AW$26:$AW$43&amp;'TB-EQUIPMENT &amp; OTHER HPs'!$AU$26:$AU$43,0),0))),)+IFERROR(INDEX('TB-EQUIPMENT &amp; OTHER HPs'!$AX$26:$BI$43,MATCH("6.5"&amp;"3",INDEX('TB-EQUIPMENT &amp; OTHER HPs'!$AW$26:$AW$43&amp;'TB-EQUIPMENT &amp; OTHER HPs'!$AU$26:$AU$43,0),0),MID(LEFT(T$1,SEARCH(" ",T$1)-1),2,3)-INDEX('TB-EQUIPMENT &amp; OTHER HPs'!$AV$26:$AV$43,MATCH("6.5"&amp;"3",INDEX('TB-EQUIPMENT &amp; OTHER HPs'!$AW$26:$AW$43&amp;'TB-EQUIPMENT &amp; OTHER HPs'!$AU$26:$AU$43,0),0))),)),)</f>
        <v>0</v>
      </c>
      <c r="U127" s="525" t="s">
        <v>1237</v>
      </c>
      <c r="V127" s="525">
        <f>IFERROR('TB-Key Info'!$L$15*(IFERROR(INDEX('TB-EQUIPMENT &amp; OTHER HPs'!$AX$26:$BI$43,MATCH("6.5"&amp;"4",INDEX('TB-EQUIPMENT &amp; OTHER HPs'!$AW$26:$AW$43&amp;'TB-EQUIPMENT &amp; OTHER HPs'!$AU$26:$AU$43,0),0),MID(LEFT(V$1,SEARCH(" ",V$1)-1),2,3)-INDEX('TB-EQUIPMENT &amp; OTHER HPs'!$AV$26:$AV$43,MATCH("6.5"&amp;"4",INDEX('TB-EQUIPMENT &amp; OTHER HPs'!$AW$26:$AW$43&amp;'TB-EQUIPMENT &amp; OTHER HPs'!$AU$26:$AU$43,0),0))),)+IFERROR(INDEX('TB-EQUIPMENT &amp; OTHER HPs'!$AX$26:$BI$43,MATCH("6.5"&amp;"1",INDEX('TB-EQUIPMENT &amp; OTHER HPs'!$AW$26:$AW$43&amp;'TB-EQUIPMENT &amp; OTHER HPs'!$AU$26:$AU$43,0),0),MID(LEFT(V$1,SEARCH(" ",V$1)-1),2,3)-INDEX('TB-EQUIPMENT &amp; OTHER HPs'!$AV$26:$AV$43,MATCH("6.5"&amp;"1",INDEX('TB-EQUIPMENT &amp; OTHER HPs'!$AW$26:$AW$43&amp;'TB-EQUIPMENT &amp; OTHER HPs'!$AU$26:$AU$43,0),0))),)+IFERROR(INDEX('TB-EQUIPMENT &amp; OTHER HPs'!$AX$26:$BI$43,MATCH("6.5"&amp;"2",INDEX('TB-EQUIPMENT &amp; OTHER HPs'!$AW$26:$AW$43&amp;'TB-EQUIPMENT &amp; OTHER HPs'!$AU$26:$AU$43,0),0),MID(LEFT(V$1,SEARCH(" ",V$1)-1),2,3)-INDEX('TB-EQUIPMENT &amp; OTHER HPs'!$AV$26:$AV$43,MATCH("6.5"&amp;"2",INDEX('TB-EQUIPMENT &amp; OTHER HPs'!$AW$26:$AW$43&amp;'TB-EQUIPMENT &amp; OTHER HPs'!$AU$26:$AU$43,0),0))),)+IFERROR(INDEX('TB-EQUIPMENT &amp; OTHER HPs'!$AX$26:$BI$43,MATCH("6.5"&amp;"3",INDEX('TB-EQUIPMENT &amp; OTHER HPs'!$AW$26:$AW$43&amp;'TB-EQUIPMENT &amp; OTHER HPs'!$AU$26:$AU$43,0),0),MID(LEFT(V$1,SEARCH(" ",V$1)-1),2,3)-INDEX('TB-EQUIPMENT &amp; OTHER HPs'!$AV$26:$AV$43,MATCH("6.5"&amp;"3",INDEX('TB-EQUIPMENT &amp; OTHER HPs'!$AW$26:$AW$43&amp;'TB-EQUIPMENT &amp; OTHER HPs'!$AU$26:$AU$43,0),0))),)),)</f>
        <v>0</v>
      </c>
      <c r="W127" s="525"/>
      <c r="X127" s="1154">
        <f t="shared" si="12"/>
        <v>0</v>
      </c>
      <c r="Y127" s="1155"/>
      <c r="Z127" s="1156"/>
      <c r="AA127" s="529"/>
      <c r="AB127" s="525"/>
      <c r="AC127" s="525">
        <f>IFERROR('TB-Key Info'!$L$15*(IFERROR(INDEX('TB-EQUIPMENT &amp; OTHER HPs'!$AX$26:$BI$43,MATCH("6.5"&amp;"4",INDEX('TB-EQUIPMENT &amp; OTHER HPs'!$AW$26:$AW$43&amp;'TB-EQUIPMENT &amp; OTHER HPs'!$AU$26:$AU$43,0),0),MID(LEFT(AC$1,SEARCH(" ",AC$1)-1),2,3)-INDEX('TB-EQUIPMENT &amp; OTHER HPs'!$AV$26:$AV$43,MATCH("6.5"&amp;"4",INDEX('TB-EQUIPMENT &amp; OTHER HPs'!$AW$26:$AW$43&amp;'TB-EQUIPMENT &amp; OTHER HPs'!$AU$26:$AU$43,0),0))),)+IFERROR(INDEX('TB-EQUIPMENT &amp; OTHER HPs'!$AX$26:$BI$43,MATCH("6.5"&amp;"1",INDEX('TB-EQUIPMENT &amp; OTHER HPs'!$AW$26:$AW$43&amp;'TB-EQUIPMENT &amp; OTHER HPs'!$AU$26:$AU$43,0),0),MID(LEFT(AC$1,SEARCH(" ",AC$1)-1),2,3)-INDEX('TB-EQUIPMENT &amp; OTHER HPs'!$AV$26:$AV$43,MATCH("6.5"&amp;"1",INDEX('TB-EQUIPMENT &amp; OTHER HPs'!$AW$26:$AW$43&amp;'TB-EQUIPMENT &amp; OTHER HPs'!$AU$26:$AU$43,0),0))),)+IFERROR(INDEX('TB-EQUIPMENT &amp; OTHER HPs'!$AX$26:$BI$43,MATCH("6.5"&amp;"2",INDEX('TB-EQUIPMENT &amp; OTHER HPs'!$AW$26:$AW$43&amp;'TB-EQUIPMENT &amp; OTHER HPs'!$AU$26:$AU$43,0),0),MID(LEFT(AC$1,SEARCH(" ",AC$1)-1),2,3)-INDEX('TB-EQUIPMENT &amp; OTHER HPs'!$AV$26:$AV$43,MATCH("6.5"&amp;"2",INDEX('TB-EQUIPMENT &amp; OTHER HPs'!$AW$26:$AW$43&amp;'TB-EQUIPMENT &amp; OTHER HPs'!$AU$26:$AU$43,0),0))),)+IFERROR(INDEX('TB-EQUIPMENT &amp; OTHER HPs'!$AX$26:$BI$43,MATCH("6.5"&amp;"3",INDEX('TB-EQUIPMENT &amp; OTHER HPs'!$AW$26:$AW$43&amp;'TB-EQUIPMENT &amp; OTHER HPs'!$AU$26:$AU$43,0),0),MID(LEFT(AC$1,SEARCH(" ",AC$1)-1),2,3)-INDEX('TB-EQUIPMENT &amp; OTHER HPs'!$AV$26:$AV$43,MATCH("6.5"&amp;"3",INDEX('TB-EQUIPMENT &amp; OTHER HPs'!$AW$26:$AW$43&amp;'TB-EQUIPMENT &amp; OTHER HPs'!$AU$26:$AU$43,0),0))),)),)</f>
        <v>0</v>
      </c>
      <c r="AD127" s="525"/>
      <c r="AE127" s="525">
        <f>IFERROR('TB-Key Info'!$L$15*(IFERROR(INDEX('TB-EQUIPMENT &amp; OTHER HPs'!$AX$26:$BI$43,MATCH("6.5"&amp;"4",INDEX('TB-EQUIPMENT &amp; OTHER HPs'!$AW$26:$AW$43&amp;'TB-EQUIPMENT &amp; OTHER HPs'!$AU$26:$AU$43,0),0),MID(LEFT(AE$1,SEARCH(" ",AE$1)-1),2,3)-INDEX('TB-EQUIPMENT &amp; OTHER HPs'!$AV$26:$AV$43,MATCH("6.5"&amp;"4",INDEX('TB-EQUIPMENT &amp; OTHER HPs'!$AW$26:$AW$43&amp;'TB-EQUIPMENT &amp; OTHER HPs'!$AU$26:$AU$43,0),0))),)+IFERROR(INDEX('TB-EQUIPMENT &amp; OTHER HPs'!$AX$26:$BI$43,MATCH("6.5"&amp;"1",INDEX('TB-EQUIPMENT &amp; OTHER HPs'!$AW$26:$AW$43&amp;'TB-EQUIPMENT &amp; OTHER HPs'!$AU$26:$AU$43,0),0),MID(LEFT(AE$1,SEARCH(" ",AE$1)-1),2,3)-INDEX('TB-EQUIPMENT &amp; OTHER HPs'!$AV$26:$AV$43,MATCH("6.5"&amp;"1",INDEX('TB-EQUIPMENT &amp; OTHER HPs'!$AW$26:$AW$43&amp;'TB-EQUIPMENT &amp; OTHER HPs'!$AU$26:$AU$43,0),0))),)+IFERROR(INDEX('TB-EQUIPMENT &amp; OTHER HPs'!$AX$26:$BI$43,MATCH("6.5"&amp;"2",INDEX('TB-EQUIPMENT &amp; OTHER HPs'!$AW$26:$AW$43&amp;'TB-EQUIPMENT &amp; OTHER HPs'!$AU$26:$AU$43,0),0),MID(LEFT(AE$1,SEARCH(" ",AE$1)-1),2,3)-INDEX('TB-EQUIPMENT &amp; OTHER HPs'!$AV$26:$AV$43,MATCH("6.5"&amp;"2",INDEX('TB-EQUIPMENT &amp; OTHER HPs'!$AW$26:$AW$43&amp;'TB-EQUIPMENT &amp; OTHER HPs'!$AU$26:$AU$43,0),0))),)+IFERROR(INDEX('TB-EQUIPMENT &amp; OTHER HPs'!$AX$26:$BI$43,MATCH("6.5"&amp;"3",INDEX('TB-EQUIPMENT &amp; OTHER HPs'!$AW$26:$AW$43&amp;'TB-EQUIPMENT &amp; OTHER HPs'!$AU$26:$AU$43,0),0),MID(LEFT(AE$1,SEARCH(" ",AE$1)-1),2,3)-INDEX('TB-EQUIPMENT &amp; OTHER HPs'!$AV$26:$AV$43,MATCH("6.5"&amp;"3",INDEX('TB-EQUIPMENT &amp; OTHER HPs'!$AW$26:$AW$43&amp;'TB-EQUIPMENT &amp; OTHER HPs'!$AU$26:$AU$43,0),0))),)),)</f>
        <v>0</v>
      </c>
      <c r="AF127" s="525"/>
      <c r="AG127" s="525">
        <f>IFERROR('TB-Key Info'!$L$15*(IFERROR(INDEX('TB-EQUIPMENT &amp; OTHER HPs'!$AX$26:$BI$43,MATCH("6.5"&amp;"4",INDEX('TB-EQUIPMENT &amp; OTHER HPs'!$AW$26:$AW$43&amp;'TB-EQUIPMENT &amp; OTHER HPs'!$AU$26:$AU$43,0),0),MID(LEFT(AG$1,SEARCH(" ",AG$1)-1),2,3)-INDEX('TB-EQUIPMENT &amp; OTHER HPs'!$AV$26:$AV$43,MATCH("6.5"&amp;"4",INDEX('TB-EQUIPMENT &amp; OTHER HPs'!$AW$26:$AW$43&amp;'TB-EQUIPMENT &amp; OTHER HPs'!$AU$26:$AU$43,0),0))),)+IFERROR(INDEX('TB-EQUIPMENT &amp; OTHER HPs'!$AX$26:$BI$43,MATCH("6.5"&amp;"1",INDEX('TB-EQUIPMENT &amp; OTHER HPs'!$AW$26:$AW$43&amp;'TB-EQUIPMENT &amp; OTHER HPs'!$AU$26:$AU$43,0),0),MID(LEFT(AG$1,SEARCH(" ",AG$1)-1),2,3)-INDEX('TB-EQUIPMENT &amp; OTHER HPs'!$AV$26:$AV$43,MATCH("6.5"&amp;"1",INDEX('TB-EQUIPMENT &amp; OTHER HPs'!$AW$26:$AW$43&amp;'TB-EQUIPMENT &amp; OTHER HPs'!$AU$26:$AU$43,0),0))),)+IFERROR(INDEX('TB-EQUIPMENT &amp; OTHER HPs'!$AX$26:$BI$43,MATCH("6.5"&amp;"2",INDEX('TB-EQUIPMENT &amp; OTHER HPs'!$AW$26:$AW$43&amp;'TB-EQUIPMENT &amp; OTHER HPs'!$AU$26:$AU$43,0),0),MID(LEFT(AG$1,SEARCH(" ",AG$1)-1),2,3)-INDEX('TB-EQUIPMENT &amp; OTHER HPs'!$AV$26:$AV$43,MATCH("6.5"&amp;"2",INDEX('TB-EQUIPMENT &amp; OTHER HPs'!$AW$26:$AW$43&amp;'TB-EQUIPMENT &amp; OTHER HPs'!$AU$26:$AU$43,0),0))),)+IFERROR(INDEX('TB-EQUIPMENT &amp; OTHER HPs'!$AX$26:$BI$43,MATCH("6.5"&amp;"3",INDEX('TB-EQUIPMENT &amp; OTHER HPs'!$AW$26:$AW$43&amp;'TB-EQUIPMENT &amp; OTHER HPs'!$AU$26:$AU$43,0),0),MID(LEFT(AG$1,SEARCH(" ",AG$1)-1),2,3)-INDEX('TB-EQUIPMENT &amp; OTHER HPs'!$AV$26:$AV$43,MATCH("6.5"&amp;"3",INDEX('TB-EQUIPMENT &amp; OTHER HPs'!$AW$26:$AW$43&amp;'TB-EQUIPMENT &amp; OTHER HPs'!$AU$26:$AU$43,0),0))),)),)</f>
        <v>0</v>
      </c>
      <c r="AH127" s="525"/>
      <c r="AI127" s="525">
        <f>IFERROR('TB-Key Info'!$L$15*(IFERROR(INDEX('TB-EQUIPMENT &amp; OTHER HPs'!$AX$26:$BI$43,MATCH("6.5"&amp;"4",INDEX('TB-EQUIPMENT &amp; OTHER HPs'!$AW$26:$AW$43&amp;'TB-EQUIPMENT &amp; OTHER HPs'!$AU$26:$AU$43,0),0),MID(LEFT(AI$1,SEARCH(" ",AI$1)-1),2,3)-INDEX('TB-EQUIPMENT &amp; OTHER HPs'!$AV$26:$AV$43,MATCH("6.5"&amp;"4",INDEX('TB-EQUIPMENT &amp; OTHER HPs'!$AW$26:$AW$43&amp;'TB-EQUIPMENT &amp; OTHER HPs'!$AU$26:$AU$43,0),0))),)+IFERROR(INDEX('TB-EQUIPMENT &amp; OTHER HPs'!$AX$26:$BI$43,MATCH("6.5"&amp;"1",INDEX('TB-EQUIPMENT &amp; OTHER HPs'!$AW$26:$AW$43&amp;'TB-EQUIPMENT &amp; OTHER HPs'!$AU$26:$AU$43,0),0),MID(LEFT(AI$1,SEARCH(" ",AI$1)-1),2,3)-INDEX('TB-EQUIPMENT &amp; OTHER HPs'!$AV$26:$AV$43,MATCH("6.5"&amp;"1",INDEX('TB-EQUIPMENT &amp; OTHER HPs'!$AW$26:$AW$43&amp;'TB-EQUIPMENT &amp; OTHER HPs'!$AU$26:$AU$43,0),0))),)+IFERROR(INDEX('TB-EQUIPMENT &amp; OTHER HPs'!$AX$26:$BI$43,MATCH("6.5"&amp;"2",INDEX('TB-EQUIPMENT &amp; OTHER HPs'!$AW$26:$AW$43&amp;'TB-EQUIPMENT &amp; OTHER HPs'!$AU$26:$AU$43,0),0),MID(LEFT(AI$1,SEARCH(" ",AI$1)-1),2,3)-INDEX('TB-EQUIPMENT &amp; OTHER HPs'!$AV$26:$AV$43,MATCH("6.5"&amp;"2",INDEX('TB-EQUIPMENT &amp; OTHER HPs'!$AW$26:$AW$43&amp;'TB-EQUIPMENT &amp; OTHER HPs'!$AU$26:$AU$43,0),0))),)+IFERROR(INDEX('TB-EQUIPMENT &amp; OTHER HPs'!$AX$26:$BI$43,MATCH("6.5"&amp;"3",INDEX('TB-EQUIPMENT &amp; OTHER HPs'!$AW$26:$AW$43&amp;'TB-EQUIPMENT &amp; OTHER HPs'!$AU$26:$AU$43,0),0),MID(LEFT(AI$1,SEARCH(" ",AI$1)-1),2,3)-INDEX('TB-EQUIPMENT &amp; OTHER HPs'!$AV$26:$AV$43,MATCH("6.5"&amp;"3",INDEX('TB-EQUIPMENT &amp; OTHER HPs'!$AW$26:$AW$43&amp;'TB-EQUIPMENT &amp; OTHER HPs'!$AU$26:$AU$43,0),0))),)),)</f>
        <v>0</v>
      </c>
      <c r="AJ127" s="525"/>
      <c r="AK127" s="1154">
        <f t="shared" si="13"/>
        <v>0</v>
      </c>
      <c r="AL127" s="1155"/>
      <c r="AM127" s="1156"/>
      <c r="AN127" s="529"/>
      <c r="AO127" s="525"/>
      <c r="AP127" s="525">
        <f>IFERROR('TB-Key Info'!$L$15*(IFERROR(INDEX('TB-EQUIPMENT &amp; OTHER HPs'!$AX$26:$BI$43,MATCH("6.5"&amp;"4",INDEX('TB-EQUIPMENT &amp; OTHER HPs'!$AW$26:$AW$43&amp;'TB-EQUIPMENT &amp; OTHER HPs'!$AU$26:$AU$43,0),0),MID(LEFT(AP$1,SEARCH(" ",AP$1)-1),2,3)-INDEX('TB-EQUIPMENT &amp; OTHER HPs'!$AV$26:$AV$43,MATCH("6.5"&amp;"4",INDEX('TB-EQUIPMENT &amp; OTHER HPs'!$AW$26:$AW$43&amp;'TB-EQUIPMENT &amp; OTHER HPs'!$AU$26:$AU$43,0),0))),)+IFERROR(INDEX('TB-EQUIPMENT &amp; OTHER HPs'!$AX$26:$BI$43,MATCH("6.5"&amp;"1",INDEX('TB-EQUIPMENT &amp; OTHER HPs'!$AW$26:$AW$43&amp;'TB-EQUIPMENT &amp; OTHER HPs'!$AU$26:$AU$43,0),0),MID(LEFT(AP$1,SEARCH(" ",AP$1)-1),2,3)-INDEX('TB-EQUIPMENT &amp; OTHER HPs'!$AV$26:$AV$43,MATCH("6.5"&amp;"1",INDEX('TB-EQUIPMENT &amp; OTHER HPs'!$AW$26:$AW$43&amp;'TB-EQUIPMENT &amp; OTHER HPs'!$AU$26:$AU$43,0),0))),)+IFERROR(INDEX('TB-EQUIPMENT &amp; OTHER HPs'!$AX$26:$BI$43,MATCH("6.5"&amp;"2",INDEX('TB-EQUIPMENT &amp; OTHER HPs'!$AW$26:$AW$43&amp;'TB-EQUIPMENT &amp; OTHER HPs'!$AU$26:$AU$43,0),0),MID(LEFT(AP$1,SEARCH(" ",AP$1)-1),2,3)-INDEX('TB-EQUIPMENT &amp; OTHER HPs'!$AV$26:$AV$43,MATCH("6.5"&amp;"2",INDEX('TB-EQUIPMENT &amp; OTHER HPs'!$AW$26:$AW$43&amp;'TB-EQUIPMENT &amp; OTHER HPs'!$AU$26:$AU$43,0),0))),)+IFERROR(INDEX('TB-EQUIPMENT &amp; OTHER HPs'!$AX$26:$BI$43,MATCH("6.5"&amp;"3",INDEX('TB-EQUIPMENT &amp; OTHER HPs'!$AW$26:$AW$43&amp;'TB-EQUIPMENT &amp; OTHER HPs'!$AU$26:$AU$43,0),0),MID(LEFT(AP$1,SEARCH(" ",AP$1)-1),2,3)-INDEX('TB-EQUIPMENT &amp; OTHER HPs'!$AV$26:$AV$43,MATCH("6.5"&amp;"3",INDEX('TB-EQUIPMENT &amp; OTHER HPs'!$AW$26:$AW$43&amp;'TB-EQUIPMENT &amp; OTHER HPs'!$AU$26:$AU$43,0),0))),)),)</f>
        <v>0</v>
      </c>
      <c r="AQ127" s="525"/>
      <c r="AR127" s="525">
        <f>IFERROR('TB-Key Info'!$L$15*(IFERROR(INDEX('TB-EQUIPMENT &amp; OTHER HPs'!$AX$26:$BI$43,MATCH("6.5"&amp;"4",INDEX('TB-EQUIPMENT &amp; OTHER HPs'!$AW$26:$AW$43&amp;'TB-EQUIPMENT &amp; OTHER HPs'!$AU$26:$AU$43,0),0),MID(LEFT(AR$1,SEARCH(" ",AR$1)-1),2,3)-INDEX('TB-EQUIPMENT &amp; OTHER HPs'!$AV$26:$AV$43,MATCH("6.5"&amp;"4",INDEX('TB-EQUIPMENT &amp; OTHER HPs'!$AW$26:$AW$43&amp;'TB-EQUIPMENT &amp; OTHER HPs'!$AU$26:$AU$43,0),0))),)+IFERROR(INDEX('TB-EQUIPMENT &amp; OTHER HPs'!$AX$26:$BI$43,MATCH("6.5"&amp;"1",INDEX('TB-EQUIPMENT &amp; OTHER HPs'!$AW$26:$AW$43&amp;'TB-EQUIPMENT &amp; OTHER HPs'!$AU$26:$AU$43,0),0),MID(LEFT(AR$1,SEARCH(" ",AR$1)-1),2,3)-INDEX('TB-EQUIPMENT &amp; OTHER HPs'!$AV$26:$AV$43,MATCH("6.5"&amp;"1",INDEX('TB-EQUIPMENT &amp; OTHER HPs'!$AW$26:$AW$43&amp;'TB-EQUIPMENT &amp; OTHER HPs'!$AU$26:$AU$43,0),0))),)+IFERROR(INDEX('TB-EQUIPMENT &amp; OTHER HPs'!$AX$26:$BI$43,MATCH("6.5"&amp;"2",INDEX('TB-EQUIPMENT &amp; OTHER HPs'!$AW$26:$AW$43&amp;'TB-EQUIPMENT &amp; OTHER HPs'!$AU$26:$AU$43,0),0),MID(LEFT(AR$1,SEARCH(" ",AR$1)-1),2,3)-INDEX('TB-EQUIPMENT &amp; OTHER HPs'!$AV$26:$AV$43,MATCH("6.5"&amp;"2",INDEX('TB-EQUIPMENT &amp; OTHER HPs'!$AW$26:$AW$43&amp;'TB-EQUIPMENT &amp; OTHER HPs'!$AU$26:$AU$43,0),0))),)+IFERROR(INDEX('TB-EQUIPMENT &amp; OTHER HPs'!$AX$26:$BI$43,MATCH("6.5"&amp;"3",INDEX('TB-EQUIPMENT &amp; OTHER HPs'!$AW$26:$AW$43&amp;'TB-EQUIPMENT &amp; OTHER HPs'!$AU$26:$AU$43,0),0),MID(LEFT(AR$1,SEARCH(" ",AR$1)-1),2,3)-INDEX('TB-EQUIPMENT &amp; OTHER HPs'!$AV$26:$AV$43,MATCH("6.5"&amp;"3",INDEX('TB-EQUIPMENT &amp; OTHER HPs'!$AW$26:$AW$43&amp;'TB-EQUIPMENT &amp; OTHER HPs'!$AU$26:$AU$43,0),0))),)),)</f>
        <v>0</v>
      </c>
      <c r="AS127" s="525"/>
      <c r="AT127" s="525">
        <f>IFERROR('TB-Key Info'!$L$15*(IFERROR(INDEX('TB-EQUIPMENT &amp; OTHER HPs'!$AX$26:$BI$43,MATCH("6.5"&amp;"4",INDEX('TB-EQUIPMENT &amp; OTHER HPs'!$AW$26:$AW$43&amp;'TB-EQUIPMENT &amp; OTHER HPs'!$AU$26:$AU$43,0),0),MID(LEFT(AT$1,SEARCH(" ",AT$1)-1),2,3)-INDEX('TB-EQUIPMENT &amp; OTHER HPs'!$AV$26:$AV$43,MATCH("6.5"&amp;"4",INDEX('TB-EQUIPMENT &amp; OTHER HPs'!$AW$26:$AW$43&amp;'TB-EQUIPMENT &amp; OTHER HPs'!$AU$26:$AU$43,0),0))),)+IFERROR(INDEX('TB-EQUIPMENT &amp; OTHER HPs'!$AX$26:$BI$43,MATCH("6.5"&amp;"1",INDEX('TB-EQUIPMENT &amp; OTHER HPs'!$AW$26:$AW$43&amp;'TB-EQUIPMENT &amp; OTHER HPs'!$AU$26:$AU$43,0),0),MID(LEFT(AT$1,SEARCH(" ",AT$1)-1),2,3)-INDEX('TB-EQUIPMENT &amp; OTHER HPs'!$AV$26:$AV$43,MATCH("6.5"&amp;"1",INDEX('TB-EQUIPMENT &amp; OTHER HPs'!$AW$26:$AW$43&amp;'TB-EQUIPMENT &amp; OTHER HPs'!$AU$26:$AU$43,0),0))),)+IFERROR(INDEX('TB-EQUIPMENT &amp; OTHER HPs'!$AX$26:$BI$43,MATCH("6.5"&amp;"2",INDEX('TB-EQUIPMENT &amp; OTHER HPs'!$AW$26:$AW$43&amp;'TB-EQUIPMENT &amp; OTHER HPs'!$AU$26:$AU$43,0),0),MID(LEFT(AT$1,SEARCH(" ",AT$1)-1),2,3)-INDEX('TB-EQUIPMENT &amp; OTHER HPs'!$AV$26:$AV$43,MATCH("6.5"&amp;"2",INDEX('TB-EQUIPMENT &amp; OTHER HPs'!$AW$26:$AW$43&amp;'TB-EQUIPMENT &amp; OTHER HPs'!$AU$26:$AU$43,0),0))),)+IFERROR(INDEX('TB-EQUIPMENT &amp; OTHER HPs'!$AX$26:$BI$43,MATCH("6.5"&amp;"3",INDEX('TB-EQUIPMENT &amp; OTHER HPs'!$AW$26:$AW$43&amp;'TB-EQUIPMENT &amp; OTHER HPs'!$AU$26:$AU$43,0),0),MID(LEFT(AT$1,SEARCH(" ",AT$1)-1),2,3)-INDEX('TB-EQUIPMENT &amp; OTHER HPs'!$AV$26:$AV$43,MATCH("6.5"&amp;"3",INDEX('TB-EQUIPMENT &amp; OTHER HPs'!$AW$26:$AW$43&amp;'TB-EQUIPMENT &amp; OTHER HPs'!$AU$26:$AU$43,0),0))),)),)</f>
        <v>0</v>
      </c>
      <c r="AU127" s="525"/>
      <c r="AV127" s="525">
        <f>IFERROR('TB-Key Info'!$L$15*((INDEX('TB-EQUIPMENT &amp; OTHER HPs'!$BJ$26:$BJ$43,MATCH("6.5"&amp;"4",INDEX('TB-EQUIPMENT &amp; OTHER HPs'!$AW$26:$AW$43&amp;'TB-EQUIPMENT &amp; OTHER HPs'!$AU$26:$AU$43,0),0)))+(INDEX('TB-EQUIPMENT &amp; OTHER HPs'!$BJ$26:$BJ$43,MATCH("6.5"&amp;"1",INDEX('TB-EQUIPMENT &amp; OTHER HPs'!$AW$26:$AW$43&amp;'TB-EQUIPMENT &amp; OTHER HPs'!$AU$26:$AU$43,0),0)))+(INDEX('TB-EQUIPMENT &amp; OTHER HPs'!$BJ$26:$BJ$43,MATCH("6.5"&amp;"2",INDEX('TB-EQUIPMENT &amp; OTHER HPs'!$AW$26:$AW$43&amp;'TB-EQUIPMENT &amp; OTHER HPs'!$AU$26:$AU$43,0),0)))+(INDEX('TB-EQUIPMENT &amp; OTHER HPs'!$BJ$26:$BJ$43,MATCH("6.5"&amp;"3",INDEX('TB-EQUIPMENT &amp; OTHER HPs'!$AW$26:$AW$43&amp;'TB-EQUIPMENT &amp; OTHER HPs'!$AU$26:$AU$43,0),0))))-SUM(X127,AK127,AP127,AR127,AT127),)</f>
        <v>0</v>
      </c>
      <c r="AW127" s="525"/>
      <c r="AX127" s="1154">
        <f t="shared" si="14"/>
        <v>0</v>
      </c>
      <c r="AY127" s="1154"/>
      <c r="AZ127" s="528"/>
      <c r="BA127" s="529"/>
      <c r="BB127" s="527"/>
      <c r="BC127" s="527">
        <v>0</v>
      </c>
      <c r="BD127" s="527">
        <v>0</v>
      </c>
      <c r="BE127" s="527">
        <v>0</v>
      </c>
      <c r="BF127" s="527">
        <v>0</v>
      </c>
      <c r="BG127" s="527">
        <v>0</v>
      </c>
      <c r="BH127" s="527">
        <v>0</v>
      </c>
      <c r="BI127" s="527">
        <v>0</v>
      </c>
      <c r="BJ127" s="527">
        <v>0</v>
      </c>
      <c r="BK127" s="1154">
        <f t="shared" si="15"/>
        <v>0</v>
      </c>
      <c r="BL127" s="1154"/>
      <c r="BM127" s="1154">
        <f t="shared" si="16"/>
        <v>0</v>
      </c>
      <c r="BN127" s="1154">
        <f t="shared" si="17"/>
        <v>0</v>
      </c>
      <c r="BO127" s="527"/>
      <c r="BP127" s="527"/>
      <c r="BQ127" s="1157">
        <v>0</v>
      </c>
      <c r="BR127" s="1157" t="s">
        <v>688</v>
      </c>
      <c r="BS127" s="1157" t="s">
        <v>2567</v>
      </c>
      <c r="BT127" s="1376" t="s">
        <v>1395</v>
      </c>
    </row>
    <row r="128" spans="1:72" s="512" customFormat="1" ht="13" hidden="1">
      <c r="A128" s="1204">
        <v>163</v>
      </c>
      <c r="B128" s="1205" t="s">
        <v>645</v>
      </c>
      <c r="C128" s="1205" t="s">
        <v>646</v>
      </c>
      <c r="D128" s="1206" t="s">
        <v>1883</v>
      </c>
      <c r="E128" s="1386" t="s">
        <v>586</v>
      </c>
      <c r="F128" s="521"/>
      <c r="G128" s="522" t="str">
        <f>SETUP!$E$3</f>
        <v>El Salvador</v>
      </c>
      <c r="H128" s="522"/>
      <c r="I128" s="522"/>
      <c r="J128" s="523"/>
      <c r="K128" s="523"/>
      <c r="L128" s="523"/>
      <c r="M128" s="524" t="e">
        <f>X128/W128</f>
        <v>#DIV/0!</v>
      </c>
      <c r="N128" s="525" t="e">
        <f>IF(M128&lt;&gt;"",M128/VLOOKUP($K128,SETUP!$C$28:$D$42,2,0),"")</f>
        <v>#DIV/0!</v>
      </c>
      <c r="O128" s="526" t="s">
        <v>1237</v>
      </c>
      <c r="P128" s="525">
        <f>IFERROR('TB-Key Info'!$L$15*(IFERROR(INDEX('TB-EQUIPMENT &amp; OTHER HPs'!$AX$26:$BI$43,MATCH("6.6"&amp;"2",INDEX('TB-EQUIPMENT &amp; OTHER HPs'!$AW$26:$AW$43&amp;'TB-EQUIPMENT &amp; OTHER HPs'!$AU$26:$AU$43,0),0),MID(LEFT(P$1,SEARCH(" ",P$1)-1),2,3)-INDEX('TB-EQUIPMENT &amp; OTHER HPs'!$AV$26:$AV$43,MATCH("6.6"&amp;"2",INDEX('TB-EQUIPMENT &amp; OTHER HPs'!$AW$26:$AW$43&amp;'TB-EQUIPMENT &amp; OTHER HPs'!$AU$26:$AU$43,0),0))),)+IFERROR(INDEX('TB-EQUIPMENT &amp; OTHER HPs'!$AX$26:$BI$43,MATCH("6.6"&amp;"3",INDEX('TB-EQUIPMENT &amp; OTHER HPs'!$AW$26:$AW$43&amp;'TB-EQUIPMENT &amp; OTHER HPs'!$AU$26:$AU$43,0),0),MID(LEFT(P$1,SEARCH(" ",P$1)-1),2,3)-INDEX('TB-EQUIPMENT &amp; OTHER HPs'!$AV$26:$AV$43,MATCH("6.6"&amp;"3",INDEX('TB-EQUIPMENT &amp; OTHER HPs'!$AW$26:$AW$43&amp;'TB-EQUIPMENT &amp; OTHER HPs'!$AU$26:$AU$43,0),0))),)+IFERROR(INDEX('TB-EQUIPMENT &amp; OTHER HPs'!$AX$26:$BI$43,MATCH("6.6"&amp;"4",INDEX('TB-EQUIPMENT &amp; OTHER HPs'!$AW$26:$AW$43&amp;'TB-EQUIPMENT &amp; OTHER HPs'!$AU$26:$AU$43,0),0),MID(LEFT(P$1,SEARCH(" ",P$1)-1),2,3)-INDEX('TB-EQUIPMENT &amp; OTHER HPs'!$AV$26:$AV$43,MATCH("6.6"&amp;"4",INDEX('TB-EQUIPMENT &amp; OTHER HPs'!$AW$26:$AW$43&amp;'TB-EQUIPMENT &amp; OTHER HPs'!$AU$26:$AU$43,0),0))),)),0)</f>
        <v>0</v>
      </c>
      <c r="Q128" s="525" t="s">
        <v>1237</v>
      </c>
      <c r="R128" s="525">
        <f>IFERROR('TB-Key Info'!$L$15*(IFERROR(INDEX('TB-EQUIPMENT &amp; OTHER HPs'!$AX$26:$BI$43,MATCH("6.6"&amp;"2",INDEX('TB-EQUIPMENT &amp; OTHER HPs'!$AW$26:$AW$43&amp;'TB-EQUIPMENT &amp; OTHER HPs'!$AU$26:$AU$43,0),0),MID(LEFT(R$1,SEARCH(" ",R$1)-1),2,3)-INDEX('TB-EQUIPMENT &amp; OTHER HPs'!$AV$26:$AV$43,MATCH("6.6"&amp;"2",INDEX('TB-EQUIPMENT &amp; OTHER HPs'!$AW$26:$AW$43&amp;'TB-EQUIPMENT &amp; OTHER HPs'!$AU$26:$AU$43,0),0))),)+IFERROR(INDEX('TB-EQUIPMENT &amp; OTHER HPs'!$AX$26:$BI$43,MATCH("6.6"&amp;"3",INDEX('TB-EQUIPMENT &amp; OTHER HPs'!$AW$26:$AW$43&amp;'TB-EQUIPMENT &amp; OTHER HPs'!$AU$26:$AU$43,0),0),MID(LEFT(R$1,SEARCH(" ",R$1)-1),2,3)-INDEX('TB-EQUIPMENT &amp; OTHER HPs'!$AV$26:$AV$43,MATCH("6.6"&amp;"3",INDEX('TB-EQUIPMENT &amp; OTHER HPs'!$AW$26:$AW$43&amp;'TB-EQUIPMENT &amp; OTHER HPs'!$AU$26:$AU$43,0),0))),)+IFERROR(INDEX('TB-EQUIPMENT &amp; OTHER HPs'!$AX$26:$BI$43,MATCH("6.6"&amp;"4",INDEX('TB-EQUIPMENT &amp; OTHER HPs'!$AW$26:$AW$43&amp;'TB-EQUIPMENT &amp; OTHER HPs'!$AU$26:$AU$43,0),0),MID(LEFT(R$1,SEARCH(" ",R$1)-1),2,3)-INDEX('TB-EQUIPMENT &amp; OTHER HPs'!$AV$26:$AV$43,MATCH("6.6"&amp;"4",INDEX('TB-EQUIPMENT &amp; OTHER HPs'!$AW$26:$AW$43&amp;'TB-EQUIPMENT &amp; OTHER HPs'!$AU$26:$AU$43,0),0))),)),0)</f>
        <v>0</v>
      </c>
      <c r="S128" s="525" t="s">
        <v>1237</v>
      </c>
      <c r="T128" s="525">
        <f>IFERROR('TB-Key Info'!$L$15*(IFERROR(INDEX('TB-EQUIPMENT &amp; OTHER HPs'!$AX$26:$BI$43,MATCH("6.6"&amp;"2",INDEX('TB-EQUIPMENT &amp; OTHER HPs'!$AW$26:$AW$43&amp;'TB-EQUIPMENT &amp; OTHER HPs'!$AU$26:$AU$43,0),0),MID(LEFT(T$1,SEARCH(" ",T$1)-1),2,3)-INDEX('TB-EQUIPMENT &amp; OTHER HPs'!$AV$26:$AV$43,MATCH("6.6"&amp;"2",INDEX('TB-EQUIPMENT &amp; OTHER HPs'!$AW$26:$AW$43&amp;'TB-EQUIPMENT &amp; OTHER HPs'!$AU$26:$AU$43,0),0))),)+IFERROR(INDEX('TB-EQUIPMENT &amp; OTHER HPs'!$AX$26:$BI$43,MATCH("6.6"&amp;"3",INDEX('TB-EQUIPMENT &amp; OTHER HPs'!$AW$26:$AW$43&amp;'TB-EQUIPMENT &amp; OTHER HPs'!$AU$26:$AU$43,0),0),MID(LEFT(T$1,SEARCH(" ",T$1)-1),2,3)-INDEX('TB-EQUIPMENT &amp; OTHER HPs'!$AV$26:$AV$43,MATCH("6.6"&amp;"3",INDEX('TB-EQUIPMENT &amp; OTHER HPs'!$AW$26:$AW$43&amp;'TB-EQUIPMENT &amp; OTHER HPs'!$AU$26:$AU$43,0),0))),)+IFERROR(INDEX('TB-EQUIPMENT &amp; OTHER HPs'!$AX$26:$BI$43,MATCH("6.6"&amp;"4",INDEX('TB-EQUIPMENT &amp; OTHER HPs'!$AW$26:$AW$43&amp;'TB-EQUIPMENT &amp; OTHER HPs'!$AU$26:$AU$43,0),0),MID(LEFT(T$1,SEARCH(" ",T$1)-1),2,3)-INDEX('TB-EQUIPMENT &amp; OTHER HPs'!$AV$26:$AV$43,MATCH("6.6"&amp;"4",INDEX('TB-EQUIPMENT &amp; OTHER HPs'!$AW$26:$AW$43&amp;'TB-EQUIPMENT &amp; OTHER HPs'!$AU$26:$AU$43,0),0))),)),0)</f>
        <v>0</v>
      </c>
      <c r="U128" s="525" t="s">
        <v>1237</v>
      </c>
      <c r="V128" s="525">
        <f>IFERROR('TB-Key Info'!$L$15*(IFERROR(INDEX('TB-EQUIPMENT &amp; OTHER HPs'!$AX$26:$BI$43,MATCH("6.6"&amp;"2",INDEX('TB-EQUIPMENT &amp; OTHER HPs'!$AW$26:$AW$43&amp;'TB-EQUIPMENT &amp; OTHER HPs'!$AU$26:$AU$43,0),0),MID(LEFT(V$1,SEARCH(" ",V$1)-1),2,3)-INDEX('TB-EQUIPMENT &amp; OTHER HPs'!$AV$26:$AV$43,MATCH("6.6"&amp;"2",INDEX('TB-EQUIPMENT &amp; OTHER HPs'!$AW$26:$AW$43&amp;'TB-EQUIPMENT &amp; OTHER HPs'!$AU$26:$AU$43,0),0))),)+IFERROR(INDEX('TB-EQUIPMENT &amp; OTHER HPs'!$AX$26:$BI$43,MATCH("6.6"&amp;"3",INDEX('TB-EQUIPMENT &amp; OTHER HPs'!$AW$26:$AW$43&amp;'TB-EQUIPMENT &amp; OTHER HPs'!$AU$26:$AU$43,0),0),MID(LEFT(V$1,SEARCH(" ",V$1)-1),2,3)-INDEX('TB-EQUIPMENT &amp; OTHER HPs'!$AV$26:$AV$43,MATCH("6.6"&amp;"3",INDEX('TB-EQUIPMENT &amp; OTHER HPs'!$AW$26:$AW$43&amp;'TB-EQUIPMENT &amp; OTHER HPs'!$AU$26:$AU$43,0),0))),)+IFERROR(INDEX('TB-EQUIPMENT &amp; OTHER HPs'!$AX$26:$BI$43,MATCH("6.6"&amp;"4",INDEX('TB-EQUIPMENT &amp; OTHER HPs'!$AW$26:$AW$43&amp;'TB-EQUIPMENT &amp; OTHER HPs'!$AU$26:$AU$43,0),0),MID(LEFT(V$1,SEARCH(" ",V$1)-1),2,3)-INDEX('TB-EQUIPMENT &amp; OTHER HPs'!$AV$26:$AV$43,MATCH("6.6"&amp;"4",INDEX('TB-EQUIPMENT &amp; OTHER HPs'!$AW$26:$AW$43&amp;'TB-EQUIPMENT &amp; OTHER HPs'!$AU$26:$AU$43,0),0))),)),0)</f>
        <v>0</v>
      </c>
      <c r="W128" s="525"/>
      <c r="X128" s="1154">
        <f t="shared" si="12"/>
        <v>0</v>
      </c>
      <c r="Y128" s="1155"/>
      <c r="Z128" s="1156"/>
      <c r="AA128" s="529"/>
      <c r="AB128" s="525"/>
      <c r="AC128" s="525">
        <f>IFERROR('TB-Key Info'!$L$15*(IFERROR(INDEX('TB-EQUIPMENT &amp; OTHER HPs'!$AX$26:$BI$43,MATCH("6.6"&amp;"2",INDEX('TB-EQUIPMENT &amp; OTHER HPs'!$AW$26:$AW$43&amp;'TB-EQUIPMENT &amp; OTHER HPs'!$AU$26:$AU$43,0),0),MID(LEFT(AC$1,SEARCH(" ",AC$1)-1),2,3)-INDEX('TB-EQUIPMENT &amp; OTHER HPs'!$AV$26:$AV$43,MATCH("6.6"&amp;"2",INDEX('TB-EQUIPMENT &amp; OTHER HPs'!$AW$26:$AW$43&amp;'TB-EQUIPMENT &amp; OTHER HPs'!$AU$26:$AU$43,0),0))),)+IFERROR(INDEX('TB-EQUIPMENT &amp; OTHER HPs'!$AX$26:$BI$43,MATCH("6.6"&amp;"3",INDEX('TB-EQUIPMENT &amp; OTHER HPs'!$AW$26:$AW$43&amp;'TB-EQUIPMENT &amp; OTHER HPs'!$AU$26:$AU$43,0),0),MID(LEFT(AC$1,SEARCH(" ",AC$1)-1),2,3)-INDEX('TB-EQUIPMENT &amp; OTHER HPs'!$AV$26:$AV$43,MATCH("6.6"&amp;"3",INDEX('TB-EQUIPMENT &amp; OTHER HPs'!$AW$26:$AW$43&amp;'TB-EQUIPMENT &amp; OTHER HPs'!$AU$26:$AU$43,0),0))),)+IFERROR(INDEX('TB-EQUIPMENT &amp; OTHER HPs'!$AX$26:$BI$43,MATCH("6.6"&amp;"4",INDEX('TB-EQUIPMENT &amp; OTHER HPs'!$AW$26:$AW$43&amp;'TB-EQUIPMENT &amp; OTHER HPs'!$AU$26:$AU$43,0),0),MID(LEFT(AC$1,SEARCH(" ",AC$1)-1),2,3)-INDEX('TB-EQUIPMENT &amp; OTHER HPs'!$AV$26:$AV$43,MATCH("6.6"&amp;"4",INDEX('TB-EQUIPMENT &amp; OTHER HPs'!$AW$26:$AW$43&amp;'TB-EQUIPMENT &amp; OTHER HPs'!$AU$26:$AU$43,0),0))),)),0)</f>
        <v>0</v>
      </c>
      <c r="AD128" s="525"/>
      <c r="AE128" s="525">
        <f>IFERROR('TB-Key Info'!$L$15*(IFERROR(INDEX('TB-EQUIPMENT &amp; OTHER HPs'!$AX$26:$BI$43,MATCH("6.6"&amp;"2",INDEX('TB-EQUIPMENT &amp; OTHER HPs'!$AW$26:$AW$43&amp;'TB-EQUIPMENT &amp; OTHER HPs'!$AU$26:$AU$43,0),0),MID(LEFT(AE$1,SEARCH(" ",AE$1)-1),2,3)-INDEX('TB-EQUIPMENT &amp; OTHER HPs'!$AV$26:$AV$43,MATCH("6.6"&amp;"2",INDEX('TB-EQUIPMENT &amp; OTHER HPs'!$AW$26:$AW$43&amp;'TB-EQUIPMENT &amp; OTHER HPs'!$AU$26:$AU$43,0),0))),)+IFERROR(INDEX('TB-EQUIPMENT &amp; OTHER HPs'!$AX$26:$BI$43,MATCH("6.6"&amp;"3",INDEX('TB-EQUIPMENT &amp; OTHER HPs'!$AW$26:$AW$43&amp;'TB-EQUIPMENT &amp; OTHER HPs'!$AU$26:$AU$43,0),0),MID(LEFT(AE$1,SEARCH(" ",AE$1)-1),2,3)-INDEX('TB-EQUIPMENT &amp; OTHER HPs'!$AV$26:$AV$43,MATCH("6.6"&amp;"3",INDEX('TB-EQUIPMENT &amp; OTHER HPs'!$AW$26:$AW$43&amp;'TB-EQUIPMENT &amp; OTHER HPs'!$AU$26:$AU$43,0),0))),)+IFERROR(INDEX('TB-EQUIPMENT &amp; OTHER HPs'!$AX$26:$BI$43,MATCH("6.6"&amp;"4",INDEX('TB-EQUIPMENT &amp; OTHER HPs'!$AW$26:$AW$43&amp;'TB-EQUIPMENT &amp; OTHER HPs'!$AU$26:$AU$43,0),0),MID(LEFT(AE$1,SEARCH(" ",AE$1)-1),2,3)-INDEX('TB-EQUIPMENT &amp; OTHER HPs'!$AV$26:$AV$43,MATCH("6.6"&amp;"4",INDEX('TB-EQUIPMENT &amp; OTHER HPs'!$AW$26:$AW$43&amp;'TB-EQUIPMENT &amp; OTHER HPs'!$AU$26:$AU$43,0),0))),)),0)</f>
        <v>0</v>
      </c>
      <c r="AF128" s="525"/>
      <c r="AG128" s="525">
        <f>IFERROR('TB-Key Info'!$L$15*(IFERROR(INDEX('TB-EQUIPMENT &amp; OTHER HPs'!$AX$26:$BI$43,MATCH("6.6"&amp;"2",INDEX('TB-EQUIPMENT &amp; OTHER HPs'!$AW$26:$AW$43&amp;'TB-EQUIPMENT &amp; OTHER HPs'!$AU$26:$AU$43,0),0),MID(LEFT(AG$1,SEARCH(" ",AG$1)-1),2,3)-INDEX('TB-EQUIPMENT &amp; OTHER HPs'!$AV$26:$AV$43,MATCH("6.6"&amp;"2",INDEX('TB-EQUIPMENT &amp; OTHER HPs'!$AW$26:$AW$43&amp;'TB-EQUIPMENT &amp; OTHER HPs'!$AU$26:$AU$43,0),0))),)+IFERROR(INDEX('TB-EQUIPMENT &amp; OTHER HPs'!$AX$26:$BI$43,MATCH("6.6"&amp;"3",INDEX('TB-EQUIPMENT &amp; OTHER HPs'!$AW$26:$AW$43&amp;'TB-EQUIPMENT &amp; OTHER HPs'!$AU$26:$AU$43,0),0),MID(LEFT(AG$1,SEARCH(" ",AG$1)-1),2,3)-INDEX('TB-EQUIPMENT &amp; OTHER HPs'!$AV$26:$AV$43,MATCH("6.6"&amp;"3",INDEX('TB-EQUIPMENT &amp; OTHER HPs'!$AW$26:$AW$43&amp;'TB-EQUIPMENT &amp; OTHER HPs'!$AU$26:$AU$43,0),0))),)+IFERROR(INDEX('TB-EQUIPMENT &amp; OTHER HPs'!$AX$26:$BI$43,MATCH("6.6"&amp;"4",INDEX('TB-EQUIPMENT &amp; OTHER HPs'!$AW$26:$AW$43&amp;'TB-EQUIPMENT &amp; OTHER HPs'!$AU$26:$AU$43,0),0),MID(LEFT(AG$1,SEARCH(" ",AG$1)-1),2,3)-INDEX('TB-EQUIPMENT &amp; OTHER HPs'!$AV$26:$AV$43,MATCH("6.6"&amp;"4",INDEX('TB-EQUIPMENT &amp; OTHER HPs'!$AW$26:$AW$43&amp;'TB-EQUIPMENT &amp; OTHER HPs'!$AU$26:$AU$43,0),0))),)),0)</f>
        <v>0</v>
      </c>
      <c r="AH128" s="525"/>
      <c r="AI128" s="525">
        <f>IFERROR('TB-Key Info'!$L$15*(IFERROR(INDEX('TB-EQUIPMENT &amp; OTHER HPs'!$AX$26:$BI$43,MATCH("6.6"&amp;"2",INDEX('TB-EQUIPMENT &amp; OTHER HPs'!$AW$26:$AW$43&amp;'TB-EQUIPMENT &amp; OTHER HPs'!$AU$26:$AU$43,0),0),MID(LEFT(AI$1,SEARCH(" ",AI$1)-1),2,3)-INDEX('TB-EQUIPMENT &amp; OTHER HPs'!$AV$26:$AV$43,MATCH("6.6"&amp;"2",INDEX('TB-EQUIPMENT &amp; OTHER HPs'!$AW$26:$AW$43&amp;'TB-EQUIPMENT &amp; OTHER HPs'!$AU$26:$AU$43,0),0))),)+IFERROR(INDEX('TB-EQUIPMENT &amp; OTHER HPs'!$AX$26:$BI$43,MATCH("6.6"&amp;"3",INDEX('TB-EQUIPMENT &amp; OTHER HPs'!$AW$26:$AW$43&amp;'TB-EQUIPMENT &amp; OTHER HPs'!$AU$26:$AU$43,0),0),MID(LEFT(AI$1,SEARCH(" ",AI$1)-1),2,3)-INDEX('TB-EQUIPMENT &amp; OTHER HPs'!$AV$26:$AV$43,MATCH("6.6"&amp;"3",INDEX('TB-EQUIPMENT &amp; OTHER HPs'!$AW$26:$AW$43&amp;'TB-EQUIPMENT &amp; OTHER HPs'!$AU$26:$AU$43,0),0))),)+IFERROR(INDEX('TB-EQUIPMENT &amp; OTHER HPs'!$AX$26:$BI$43,MATCH("6.6"&amp;"4",INDEX('TB-EQUIPMENT &amp; OTHER HPs'!$AW$26:$AW$43&amp;'TB-EQUIPMENT &amp; OTHER HPs'!$AU$26:$AU$43,0),0),MID(LEFT(AI$1,SEARCH(" ",AI$1)-1),2,3)-INDEX('TB-EQUIPMENT &amp; OTHER HPs'!$AV$26:$AV$43,MATCH("6.6"&amp;"4",INDEX('TB-EQUIPMENT &amp; OTHER HPs'!$AW$26:$AW$43&amp;'TB-EQUIPMENT &amp; OTHER HPs'!$AU$26:$AU$43,0),0))),)),0)</f>
        <v>0</v>
      </c>
      <c r="AJ128" s="525"/>
      <c r="AK128" s="1154">
        <f t="shared" si="13"/>
        <v>0</v>
      </c>
      <c r="AL128" s="1155"/>
      <c r="AM128" s="1156"/>
      <c r="AN128" s="529"/>
      <c r="AO128" s="525"/>
      <c r="AP128" s="525">
        <f>IFERROR('TB-Key Info'!$L$15*(IFERROR(INDEX('TB-EQUIPMENT &amp; OTHER HPs'!$AX$26:$BI$43,MATCH("6.6"&amp;"2",INDEX('TB-EQUIPMENT &amp; OTHER HPs'!$AW$26:$AW$43&amp;'TB-EQUIPMENT &amp; OTHER HPs'!$AU$26:$AU$43,0),0),MID(LEFT(AP$1,SEARCH(" ",AP$1)-1),2,3)-INDEX('TB-EQUIPMENT &amp; OTHER HPs'!$AV$26:$AV$43,MATCH("6.6"&amp;"2",INDEX('TB-EQUIPMENT &amp; OTHER HPs'!$AW$26:$AW$43&amp;'TB-EQUIPMENT &amp; OTHER HPs'!$AU$26:$AU$43,0),0))),)+IFERROR(INDEX('TB-EQUIPMENT &amp; OTHER HPs'!$AX$26:$BI$43,MATCH("6.6"&amp;"3",INDEX('TB-EQUIPMENT &amp; OTHER HPs'!$AW$26:$AW$43&amp;'TB-EQUIPMENT &amp; OTHER HPs'!$AU$26:$AU$43,0),0),MID(LEFT(AP$1,SEARCH(" ",AP$1)-1),2,3)-INDEX('TB-EQUIPMENT &amp; OTHER HPs'!$AV$26:$AV$43,MATCH("6.6"&amp;"3",INDEX('TB-EQUIPMENT &amp; OTHER HPs'!$AW$26:$AW$43&amp;'TB-EQUIPMENT &amp; OTHER HPs'!$AU$26:$AU$43,0),0))),)+IFERROR(INDEX('TB-EQUIPMENT &amp; OTHER HPs'!$AX$26:$BI$43,MATCH("6.6"&amp;"4",INDEX('TB-EQUIPMENT &amp; OTHER HPs'!$AW$26:$AW$43&amp;'TB-EQUIPMENT &amp; OTHER HPs'!$AU$26:$AU$43,0),0),MID(LEFT(AP$1,SEARCH(" ",AP$1)-1),2,3)-INDEX('TB-EQUIPMENT &amp; OTHER HPs'!$AV$26:$AV$43,MATCH("6.6"&amp;"4",INDEX('TB-EQUIPMENT &amp; OTHER HPs'!$AW$26:$AW$43&amp;'TB-EQUIPMENT &amp; OTHER HPs'!$AU$26:$AU$43,0),0))),)),0)</f>
        <v>0</v>
      </c>
      <c r="AQ128" s="525"/>
      <c r="AR128" s="525">
        <f>IFERROR('TB-Key Info'!$L$15*(IFERROR(INDEX('TB-EQUIPMENT &amp; OTHER HPs'!$AX$26:$BI$43,MATCH("6.6"&amp;"2",INDEX('TB-EQUIPMENT &amp; OTHER HPs'!$AW$26:$AW$43&amp;'TB-EQUIPMENT &amp; OTHER HPs'!$AU$26:$AU$43,0),0),MID(LEFT(AR$1,SEARCH(" ",AR$1)-1),2,3)-INDEX('TB-EQUIPMENT &amp; OTHER HPs'!$AV$26:$AV$43,MATCH("6.6"&amp;"2",INDEX('TB-EQUIPMENT &amp; OTHER HPs'!$AW$26:$AW$43&amp;'TB-EQUIPMENT &amp; OTHER HPs'!$AU$26:$AU$43,0),0))),)+IFERROR(INDEX('TB-EQUIPMENT &amp; OTHER HPs'!$AX$26:$BI$43,MATCH("6.6"&amp;"3",INDEX('TB-EQUIPMENT &amp; OTHER HPs'!$AW$26:$AW$43&amp;'TB-EQUIPMENT &amp; OTHER HPs'!$AU$26:$AU$43,0),0),MID(LEFT(AR$1,SEARCH(" ",AR$1)-1),2,3)-INDEX('TB-EQUIPMENT &amp; OTHER HPs'!$AV$26:$AV$43,MATCH("6.6"&amp;"3",INDEX('TB-EQUIPMENT &amp; OTHER HPs'!$AW$26:$AW$43&amp;'TB-EQUIPMENT &amp; OTHER HPs'!$AU$26:$AU$43,0),0))),)+IFERROR(INDEX('TB-EQUIPMENT &amp; OTHER HPs'!$AX$26:$BI$43,MATCH("6.6"&amp;"4",INDEX('TB-EQUIPMENT &amp; OTHER HPs'!$AW$26:$AW$43&amp;'TB-EQUIPMENT &amp; OTHER HPs'!$AU$26:$AU$43,0),0),MID(LEFT(AR$1,SEARCH(" ",AR$1)-1),2,3)-INDEX('TB-EQUIPMENT &amp; OTHER HPs'!$AV$26:$AV$43,MATCH("6.6"&amp;"4",INDEX('TB-EQUIPMENT &amp; OTHER HPs'!$AW$26:$AW$43&amp;'TB-EQUIPMENT &amp; OTHER HPs'!$AU$26:$AU$43,0),0))),)),0)</f>
        <v>0</v>
      </c>
      <c r="AS128" s="525"/>
      <c r="AT128" s="525">
        <f>IFERROR('TB-Key Info'!$L$15*(IFERROR(INDEX('TB-EQUIPMENT &amp; OTHER HPs'!$AX$26:$BI$43,MATCH("6.6"&amp;"2",INDEX('TB-EQUIPMENT &amp; OTHER HPs'!$AW$26:$AW$43&amp;'TB-EQUIPMENT &amp; OTHER HPs'!$AU$26:$AU$43,0),0),MID(LEFT(AT$1,SEARCH(" ",AT$1)-1),2,3)-INDEX('TB-EQUIPMENT &amp; OTHER HPs'!$AV$26:$AV$43,MATCH("6.6"&amp;"2",INDEX('TB-EQUIPMENT &amp; OTHER HPs'!$AW$26:$AW$43&amp;'TB-EQUIPMENT &amp; OTHER HPs'!$AU$26:$AU$43,0),0))),)+IFERROR(INDEX('TB-EQUIPMENT &amp; OTHER HPs'!$AX$26:$BI$43,MATCH("6.6"&amp;"3",INDEX('TB-EQUIPMENT &amp; OTHER HPs'!$AW$26:$AW$43&amp;'TB-EQUIPMENT &amp; OTHER HPs'!$AU$26:$AU$43,0),0),MID(LEFT(AT$1,SEARCH(" ",AT$1)-1),2,3)-INDEX('TB-EQUIPMENT &amp; OTHER HPs'!$AV$26:$AV$43,MATCH("6.6"&amp;"3",INDEX('TB-EQUIPMENT &amp; OTHER HPs'!$AW$26:$AW$43&amp;'TB-EQUIPMENT &amp; OTHER HPs'!$AU$26:$AU$43,0),0))),)+IFERROR(INDEX('TB-EQUIPMENT &amp; OTHER HPs'!$AX$26:$BI$43,MATCH("6.6"&amp;"4",INDEX('TB-EQUIPMENT &amp; OTHER HPs'!$AW$26:$AW$43&amp;'TB-EQUIPMENT &amp; OTHER HPs'!$AU$26:$AU$43,0),0),MID(LEFT(AT$1,SEARCH(" ",AT$1)-1),2,3)-INDEX('TB-EQUIPMENT &amp; OTHER HPs'!$AV$26:$AV$43,MATCH("6.6"&amp;"4",INDEX('TB-EQUIPMENT &amp; OTHER HPs'!$AW$26:$AW$43&amp;'TB-EQUIPMENT &amp; OTHER HPs'!$AU$26:$AU$43,0),0))),)),0)</f>
        <v>0</v>
      </c>
      <c r="AU128" s="525"/>
      <c r="AV128" s="525">
        <f>IFERROR('TB-Key Info'!$L$15*((INDEX('TB-EQUIPMENT &amp; OTHER HPs'!$BJ$26:$BJ$43,MATCH("6.6"&amp;"2",INDEX('TB-EQUIPMENT &amp; OTHER HPs'!$AW$26:$AW$43&amp;'TB-EQUIPMENT &amp; OTHER HPs'!$AU$26:$AU$43,0),0)))+(INDEX('TB-EQUIPMENT &amp; OTHER HPs'!$BJ$26:$BJ$43,MATCH("6.6"&amp;"3",INDEX('TB-EQUIPMENT &amp; OTHER HPs'!$AW$26:$AW$43&amp;'TB-EQUIPMENT &amp; OTHER HPs'!$AU$26:$AU$43,0),0)))+(INDEX('TB-EQUIPMENT &amp; OTHER HPs'!$BJ$26:$BJ$43,MATCH("6.6"&amp;"4",INDEX('TB-EQUIPMENT &amp; OTHER HPs'!$AW$26:$AW$43&amp;'TB-EQUIPMENT &amp; OTHER HPs'!$AU$26:$AU$43,0),0),)))-SUM(X128,AK128,AP128,AR128,AT128),0)</f>
        <v>0</v>
      </c>
      <c r="AW128" s="525"/>
      <c r="AX128" s="1154">
        <f t="shared" si="14"/>
        <v>0</v>
      </c>
      <c r="AY128" s="1154"/>
      <c r="AZ128" s="528"/>
      <c r="BA128" s="529"/>
      <c r="BB128" s="527"/>
      <c r="BC128" s="527">
        <v>0</v>
      </c>
      <c r="BD128" s="527">
        <v>0</v>
      </c>
      <c r="BE128" s="527">
        <v>0</v>
      </c>
      <c r="BF128" s="527">
        <v>0</v>
      </c>
      <c r="BG128" s="527">
        <v>0</v>
      </c>
      <c r="BH128" s="527">
        <v>0</v>
      </c>
      <c r="BI128" s="527">
        <v>0</v>
      </c>
      <c r="BJ128" s="527">
        <v>0</v>
      </c>
      <c r="BK128" s="1154">
        <f t="shared" si="15"/>
        <v>0</v>
      </c>
      <c r="BL128" s="1154"/>
      <c r="BM128" s="1154">
        <f t="shared" si="16"/>
        <v>0</v>
      </c>
      <c r="BN128" s="1154">
        <f t="shared" si="17"/>
        <v>0</v>
      </c>
      <c r="BO128" s="527"/>
      <c r="BP128" s="527"/>
      <c r="BQ128" s="1157">
        <v>0</v>
      </c>
      <c r="BR128" s="1157" t="s">
        <v>688</v>
      </c>
      <c r="BS128" s="1157" t="s">
        <v>1883</v>
      </c>
      <c r="BT128" s="1376" t="s">
        <v>1436</v>
      </c>
    </row>
    <row r="129" spans="1:72" s="512" customFormat="1" ht="13" hidden="1">
      <c r="A129" s="1204">
        <v>164</v>
      </c>
      <c r="B129" s="1205" t="s">
        <v>645</v>
      </c>
      <c r="C129" s="1205" t="s">
        <v>646</v>
      </c>
      <c r="D129" s="1206" t="s">
        <v>527</v>
      </c>
      <c r="E129" s="1386" t="s">
        <v>528</v>
      </c>
      <c r="F129" s="521"/>
      <c r="G129" s="522"/>
      <c r="H129" s="522"/>
      <c r="I129" s="522"/>
      <c r="J129" s="523"/>
      <c r="K129" s="523"/>
      <c r="L129" s="523"/>
      <c r="M129" s="524"/>
      <c r="N129" s="525"/>
      <c r="O129" s="526" t="s">
        <v>1237</v>
      </c>
      <c r="P129" s="525">
        <f>'TB-Key Info'!$L$15*('HPM costs'!F57+'HPM costs'!F60+'HPM costs'!F63+'HPM costs'!F66)</f>
        <v>0</v>
      </c>
      <c r="Q129" s="525" t="s">
        <v>1237</v>
      </c>
      <c r="R129" s="525">
        <f>'TB-Key Info'!$L$15*('HPM costs'!G57+'HPM costs'!G60+'HPM costs'!G63+'HPM costs'!G66)</f>
        <v>0</v>
      </c>
      <c r="S129" s="525" t="s">
        <v>1237</v>
      </c>
      <c r="T129" s="525">
        <f>'TB-Key Info'!$L$15*('HPM costs'!H57+'HPM costs'!H60+'HPM costs'!H63+'HPM costs'!H66)</f>
        <v>0</v>
      </c>
      <c r="U129" s="525" t="s">
        <v>1237</v>
      </c>
      <c r="V129" s="525">
        <f>'TB-Key Info'!$L$15*('HPM costs'!I57+'HPM costs'!I60+'HPM costs'!I63+'HPM costs'!I66)</f>
        <v>0</v>
      </c>
      <c r="W129" s="525"/>
      <c r="X129" s="1154">
        <f t="shared" ref="X129:X192" si="18">P129+R129+T129+V129</f>
        <v>0</v>
      </c>
      <c r="Y129" s="1155"/>
      <c r="Z129" s="1156"/>
      <c r="AA129" s="529"/>
      <c r="AB129" s="525"/>
      <c r="AC129" s="525">
        <f>'TB-Key Info'!$L$15*('HPM costs'!K57+'HPM costs'!K60+'HPM costs'!K63+'HPM costs'!K66)</f>
        <v>0</v>
      </c>
      <c r="AD129" s="525"/>
      <c r="AE129" s="525">
        <f>'TB-Key Info'!$L$15*('HPM costs'!L57+'HPM costs'!L60+'HPM costs'!L63+'HPM costs'!L66)</f>
        <v>0</v>
      </c>
      <c r="AF129" s="525"/>
      <c r="AG129" s="525">
        <f>'TB-Key Info'!$L$15*('HPM costs'!M57+'HPM costs'!M60+'HPM costs'!M63+'HPM costs'!M66)</f>
        <v>0</v>
      </c>
      <c r="AH129" s="525"/>
      <c r="AI129" s="525">
        <f>'TB-Key Info'!$L$15*('HPM costs'!N57+'HPM costs'!N60+'HPM costs'!N63+'HPM costs'!N66)</f>
        <v>0</v>
      </c>
      <c r="AJ129" s="525"/>
      <c r="AK129" s="1154">
        <f t="shared" ref="AK129:AK192" si="19">AI129+AG129+AE129+AC129</f>
        <v>0</v>
      </c>
      <c r="AL129" s="1155"/>
      <c r="AM129" s="1156"/>
      <c r="AN129" s="529"/>
      <c r="AO129" s="525"/>
      <c r="AP129" s="525">
        <f>'TB-Key Info'!$L$15*('HPM costs'!P57+'HPM costs'!P60+'HPM costs'!P63+'HPM costs'!P66)</f>
        <v>0</v>
      </c>
      <c r="AQ129" s="525"/>
      <c r="AR129" s="525">
        <f>'TB-Key Info'!$L$15*('HPM costs'!Q57+'HPM costs'!Q60+'HPM costs'!Q63+'HPM costs'!Q66)</f>
        <v>0</v>
      </c>
      <c r="AS129" s="525"/>
      <c r="AT129" s="525">
        <f>'TB-Key Info'!$L$15*('HPM costs'!R57+'HPM costs'!R60+'HPM costs'!R63+'HPM costs'!R66)</f>
        <v>0</v>
      </c>
      <c r="AU129" s="525"/>
      <c r="AV129" s="525">
        <f>'TB-Key Info'!$L$15*('HPM costs'!S57+'HPM costs'!S60+'HPM costs'!S63+'HPM costs'!S66)</f>
        <v>0</v>
      </c>
      <c r="AW129" s="525"/>
      <c r="AX129" s="1154">
        <f t="shared" ref="AX129:AX192" si="20">AV129+AT129+AR129+AP129</f>
        <v>0</v>
      </c>
      <c r="AY129" s="1154"/>
      <c r="AZ129" s="528"/>
      <c r="BA129" s="529"/>
      <c r="BB129" s="527"/>
      <c r="BC129" s="527">
        <v>0</v>
      </c>
      <c r="BD129" s="527">
        <v>0</v>
      </c>
      <c r="BE129" s="527">
        <v>0</v>
      </c>
      <c r="BF129" s="527">
        <v>0</v>
      </c>
      <c r="BG129" s="527">
        <v>0</v>
      </c>
      <c r="BH129" s="527">
        <v>0</v>
      </c>
      <c r="BI129" s="527">
        <v>0</v>
      </c>
      <c r="BJ129" s="527">
        <v>0</v>
      </c>
      <c r="BK129" s="1154">
        <f t="shared" ref="BK129:BK192" si="21">BI129+BG129+BE129+BC129</f>
        <v>0</v>
      </c>
      <c r="BL129" s="1154"/>
      <c r="BM129" s="1154">
        <f t="shared" si="16"/>
        <v>0</v>
      </c>
      <c r="BN129" s="1154">
        <f t="shared" si="17"/>
        <v>0</v>
      </c>
      <c r="BO129" s="527"/>
      <c r="BP129" s="527"/>
      <c r="BQ129" s="1157">
        <v>0</v>
      </c>
      <c r="BR129" s="1157" t="s">
        <v>688</v>
      </c>
      <c r="BS129" s="1157" t="s">
        <v>527</v>
      </c>
      <c r="BT129" s="1376" t="s">
        <v>1396</v>
      </c>
    </row>
    <row r="130" spans="1:72" s="512" customFormat="1" ht="13" hidden="1">
      <c r="A130" s="1204">
        <v>165</v>
      </c>
      <c r="B130" s="1205" t="s">
        <v>645</v>
      </c>
      <c r="C130" s="1205" t="s">
        <v>646</v>
      </c>
      <c r="D130" s="1206" t="s">
        <v>527</v>
      </c>
      <c r="E130" s="1386" t="s">
        <v>530</v>
      </c>
      <c r="F130" s="521"/>
      <c r="G130" s="522"/>
      <c r="H130" s="522"/>
      <c r="I130" s="522"/>
      <c r="J130" s="523"/>
      <c r="K130" s="523"/>
      <c r="L130" s="523"/>
      <c r="M130" s="524"/>
      <c r="N130" s="525"/>
      <c r="O130" s="526" t="s">
        <v>1237</v>
      </c>
      <c r="P130" s="525">
        <f>'TB-Key Info'!$L$15*('HPM costs'!F143+'HPM costs'!F146+'HPM costs'!F149+'HPM costs'!F152)</f>
        <v>0</v>
      </c>
      <c r="Q130" s="525" t="s">
        <v>1237</v>
      </c>
      <c r="R130" s="525">
        <f>'TB-Key Info'!$L$15*('HPM costs'!G143+'HPM costs'!G146+'HPM costs'!G149+'HPM costs'!G152)</f>
        <v>0</v>
      </c>
      <c r="S130" s="525" t="s">
        <v>1237</v>
      </c>
      <c r="T130" s="525">
        <f>'TB-Key Info'!$L$15*('HPM costs'!H143+'HPM costs'!H146+'HPM costs'!H149+'HPM costs'!H152)</f>
        <v>0</v>
      </c>
      <c r="U130" s="525" t="s">
        <v>1237</v>
      </c>
      <c r="V130" s="525">
        <f>'TB-Key Info'!$L$15*('HPM costs'!I143+'HPM costs'!I146+'HPM costs'!I149+'HPM costs'!I152)</f>
        <v>0</v>
      </c>
      <c r="W130" s="525"/>
      <c r="X130" s="1154">
        <f t="shared" si="18"/>
        <v>0</v>
      </c>
      <c r="Y130" s="1155"/>
      <c r="Z130" s="1156"/>
      <c r="AA130" s="529"/>
      <c r="AB130" s="525"/>
      <c r="AC130" s="525">
        <f>'TB-Key Info'!$L$15*('HPM costs'!K143+'HPM costs'!K146+'HPM costs'!K149+'HPM costs'!K152)</f>
        <v>0</v>
      </c>
      <c r="AD130" s="525"/>
      <c r="AE130" s="525">
        <f>'TB-Key Info'!$L$15*('HPM costs'!L143+'HPM costs'!L146+'HPM costs'!L149+'HPM costs'!L152)</f>
        <v>0</v>
      </c>
      <c r="AF130" s="525"/>
      <c r="AG130" s="525">
        <f>'TB-Key Info'!$L$15*('HPM costs'!M143+'HPM costs'!M146+'HPM costs'!M149+'HPM costs'!M152)</f>
        <v>0</v>
      </c>
      <c r="AH130" s="525"/>
      <c r="AI130" s="525">
        <f>'TB-Key Info'!$L$15*('HPM costs'!N143+'HPM costs'!N146+'HPM costs'!N149+'HPM costs'!N152)</f>
        <v>0</v>
      </c>
      <c r="AJ130" s="525"/>
      <c r="AK130" s="1154">
        <f t="shared" si="19"/>
        <v>0</v>
      </c>
      <c r="AL130" s="1155"/>
      <c r="AM130" s="1156"/>
      <c r="AN130" s="529"/>
      <c r="AO130" s="525"/>
      <c r="AP130" s="525">
        <f>'TB-Key Info'!$L$15*('HPM costs'!P143+'HPM costs'!P146+'HPM costs'!P149+'HPM costs'!P152)</f>
        <v>0</v>
      </c>
      <c r="AQ130" s="525"/>
      <c r="AR130" s="525">
        <f>'TB-Key Info'!$L$15*('HPM costs'!Q143+'HPM costs'!Q146+'HPM costs'!Q149+'HPM costs'!Q152)</f>
        <v>0</v>
      </c>
      <c r="AS130" s="525"/>
      <c r="AT130" s="525">
        <f>'TB-Key Info'!$L$15*('HPM costs'!R143+'HPM costs'!R146+'HPM costs'!R149+'HPM costs'!R152)</f>
        <v>0</v>
      </c>
      <c r="AU130" s="525"/>
      <c r="AV130" s="525">
        <f>'TB-Key Info'!$L$15*('HPM costs'!S143+'HPM costs'!S146+'HPM costs'!S149+'HPM costs'!S152)</f>
        <v>0</v>
      </c>
      <c r="AW130" s="525"/>
      <c r="AX130" s="1154">
        <f t="shared" si="20"/>
        <v>0</v>
      </c>
      <c r="AY130" s="1154"/>
      <c r="AZ130" s="528"/>
      <c r="BA130" s="529"/>
      <c r="BB130" s="527"/>
      <c r="BC130" s="527">
        <v>0</v>
      </c>
      <c r="BD130" s="527">
        <v>0</v>
      </c>
      <c r="BE130" s="527">
        <v>0</v>
      </c>
      <c r="BF130" s="527">
        <v>0</v>
      </c>
      <c r="BG130" s="527">
        <v>0</v>
      </c>
      <c r="BH130" s="527">
        <v>0</v>
      </c>
      <c r="BI130" s="527">
        <v>0</v>
      </c>
      <c r="BJ130" s="527">
        <v>0</v>
      </c>
      <c r="BK130" s="1154">
        <f t="shared" si="21"/>
        <v>0</v>
      </c>
      <c r="BL130" s="1154"/>
      <c r="BM130" s="1154">
        <f t="shared" ref="BM130:BM193" si="22">BJ130+AW130+AJ130+W130</f>
        <v>0</v>
      </c>
      <c r="BN130" s="1154">
        <f t="shared" ref="BN130:BN193" si="23">BK130+AX130+AK130+X130</f>
        <v>0</v>
      </c>
      <c r="BO130" s="527"/>
      <c r="BP130" s="527"/>
      <c r="BQ130" s="1157">
        <v>0</v>
      </c>
      <c r="BR130" s="1157" t="s">
        <v>688</v>
      </c>
      <c r="BS130" s="1157" t="s">
        <v>527</v>
      </c>
      <c r="BT130" s="1376" t="s">
        <v>1397</v>
      </c>
    </row>
    <row r="131" spans="1:72" s="512" customFormat="1" ht="13" hidden="1">
      <c r="A131" s="1204">
        <v>166</v>
      </c>
      <c r="B131" s="1205" t="s">
        <v>645</v>
      </c>
      <c r="C131" s="1205" t="s">
        <v>646</v>
      </c>
      <c r="D131" s="1206" t="s">
        <v>527</v>
      </c>
      <c r="E131" s="1386" t="s">
        <v>532</v>
      </c>
      <c r="F131" s="521"/>
      <c r="G131" s="522"/>
      <c r="H131" s="522"/>
      <c r="I131" s="522"/>
      <c r="J131" s="523"/>
      <c r="K131" s="523"/>
      <c r="L131" s="523"/>
      <c r="M131" s="524"/>
      <c r="N131" s="525"/>
      <c r="O131" s="526" t="s">
        <v>1237</v>
      </c>
      <c r="P131" s="525">
        <f>'TB-Key Info'!$L$15*('HPM costs'!F403+'HPM costs'!F406+'HPM costs'!F409+'HPM costs'!F412)</f>
        <v>0</v>
      </c>
      <c r="Q131" s="525" t="s">
        <v>1237</v>
      </c>
      <c r="R131" s="525">
        <f>'TB-Key Info'!$L$15*('HPM costs'!G403+'HPM costs'!G406+'HPM costs'!G409+'HPM costs'!G412)</f>
        <v>0</v>
      </c>
      <c r="S131" s="525" t="s">
        <v>1237</v>
      </c>
      <c r="T131" s="525">
        <f>'TB-Key Info'!$L$15*('HPM costs'!H403+'HPM costs'!H406+'HPM costs'!H409+'HPM costs'!H412)</f>
        <v>0</v>
      </c>
      <c r="U131" s="525" t="s">
        <v>1237</v>
      </c>
      <c r="V131" s="525">
        <f>'TB-Key Info'!$L$15*('HPM costs'!I403+'HPM costs'!I406+'HPM costs'!I409+'HPM costs'!I412)</f>
        <v>0</v>
      </c>
      <c r="W131" s="525"/>
      <c r="X131" s="1154">
        <f t="shared" si="18"/>
        <v>0</v>
      </c>
      <c r="Y131" s="1155"/>
      <c r="Z131" s="1156"/>
      <c r="AA131" s="529"/>
      <c r="AB131" s="525"/>
      <c r="AC131" s="525">
        <f>'TB-Key Info'!$L$15*('HPM costs'!K403+'HPM costs'!K406+'HPM costs'!K409+'HPM costs'!K412)</f>
        <v>0</v>
      </c>
      <c r="AD131" s="525"/>
      <c r="AE131" s="525">
        <f>'TB-Key Info'!$L$15*('HPM costs'!L403+'HPM costs'!L406+'HPM costs'!L409+'HPM costs'!L412)</f>
        <v>0</v>
      </c>
      <c r="AF131" s="525"/>
      <c r="AG131" s="525">
        <f>'TB-Key Info'!$L$15*('HPM costs'!M403+'HPM costs'!M406+'HPM costs'!M409+'HPM costs'!M412)</f>
        <v>0</v>
      </c>
      <c r="AH131" s="525"/>
      <c r="AI131" s="525">
        <f>'TB-Key Info'!$L$15*('HPM costs'!N403+'HPM costs'!N406+'HPM costs'!N409+'HPM costs'!N412)</f>
        <v>0</v>
      </c>
      <c r="AJ131" s="525"/>
      <c r="AK131" s="1154">
        <f t="shared" si="19"/>
        <v>0</v>
      </c>
      <c r="AL131" s="1155"/>
      <c r="AM131" s="1156"/>
      <c r="AN131" s="529"/>
      <c r="AO131" s="525"/>
      <c r="AP131" s="525">
        <f>'TB-Key Info'!$L$15*('HPM costs'!P403+'HPM costs'!P406+'HPM costs'!P409+'HPM costs'!P412)</f>
        <v>0</v>
      </c>
      <c r="AQ131" s="525"/>
      <c r="AR131" s="525">
        <f>'TB-Key Info'!$L$15*('HPM costs'!Q403+'HPM costs'!Q406+'HPM costs'!Q409+'HPM costs'!Q412)</f>
        <v>0</v>
      </c>
      <c r="AS131" s="525"/>
      <c r="AT131" s="525">
        <f>'TB-Key Info'!$L$15*('HPM costs'!R403+'HPM costs'!R406+'HPM costs'!R409+'HPM costs'!R412)</f>
        <v>0</v>
      </c>
      <c r="AU131" s="525"/>
      <c r="AV131" s="525">
        <f>'TB-Key Info'!$L$15*('HPM costs'!S403+'HPM costs'!S406+'HPM costs'!S409+'HPM costs'!S412)</f>
        <v>0</v>
      </c>
      <c r="AW131" s="525"/>
      <c r="AX131" s="1154">
        <f t="shared" si="20"/>
        <v>0</v>
      </c>
      <c r="AY131" s="1154"/>
      <c r="AZ131" s="528"/>
      <c r="BA131" s="529"/>
      <c r="BB131" s="527"/>
      <c r="BC131" s="527">
        <v>0</v>
      </c>
      <c r="BD131" s="527">
        <v>0</v>
      </c>
      <c r="BE131" s="527">
        <v>0</v>
      </c>
      <c r="BF131" s="527">
        <v>0</v>
      </c>
      <c r="BG131" s="527">
        <v>0</v>
      </c>
      <c r="BH131" s="527">
        <v>0</v>
      </c>
      <c r="BI131" s="527">
        <v>0</v>
      </c>
      <c r="BJ131" s="527">
        <v>0</v>
      </c>
      <c r="BK131" s="1154">
        <f t="shared" si="21"/>
        <v>0</v>
      </c>
      <c r="BL131" s="1154"/>
      <c r="BM131" s="1154">
        <f t="shared" si="22"/>
        <v>0</v>
      </c>
      <c r="BN131" s="1154">
        <f t="shared" si="23"/>
        <v>0</v>
      </c>
      <c r="BO131" s="527"/>
      <c r="BP131" s="527"/>
      <c r="BQ131" s="1157">
        <v>0</v>
      </c>
      <c r="BR131" s="1157" t="s">
        <v>688</v>
      </c>
      <c r="BS131" s="1157" t="s">
        <v>527</v>
      </c>
      <c r="BT131" s="1376" t="s">
        <v>1398</v>
      </c>
    </row>
    <row r="132" spans="1:72" s="512" customFormat="1" ht="13" hidden="1">
      <c r="A132" s="1204">
        <v>167</v>
      </c>
      <c r="B132" s="1205" t="s">
        <v>645</v>
      </c>
      <c r="C132" s="1205" t="s">
        <v>646</v>
      </c>
      <c r="D132" s="1206" t="s">
        <v>527</v>
      </c>
      <c r="E132" s="1386" t="s">
        <v>534</v>
      </c>
      <c r="F132" s="521"/>
      <c r="G132" s="522"/>
      <c r="H132" s="522"/>
      <c r="I132" s="522"/>
      <c r="J132" s="523"/>
      <c r="K132" s="523"/>
      <c r="L132" s="523"/>
      <c r="M132" s="524"/>
      <c r="N132" s="525"/>
      <c r="O132" s="526" t="s">
        <v>1237</v>
      </c>
      <c r="P132" s="525">
        <f>'TB-Key Info'!$L$15*('HPM costs'!F489+'HPM costs'!F492+'HPM costs'!F495+'HPM costs'!F498)</f>
        <v>0</v>
      </c>
      <c r="Q132" s="525" t="s">
        <v>1237</v>
      </c>
      <c r="R132" s="525">
        <f>'TB-Key Info'!$L$15*('HPM costs'!G489+'HPM costs'!G492+'HPM costs'!G495+'HPM costs'!G498)</f>
        <v>0</v>
      </c>
      <c r="S132" s="525" t="s">
        <v>1237</v>
      </c>
      <c r="T132" s="525">
        <f>'TB-Key Info'!$L$15*('HPM costs'!H489+'HPM costs'!H492+'HPM costs'!H495+'HPM costs'!H498)</f>
        <v>0</v>
      </c>
      <c r="U132" s="525" t="s">
        <v>1237</v>
      </c>
      <c r="V132" s="525">
        <f>'TB-Key Info'!$L$15*('HPM costs'!I489+'HPM costs'!I492+'HPM costs'!I495+'HPM costs'!I498)</f>
        <v>0</v>
      </c>
      <c r="W132" s="525"/>
      <c r="X132" s="1154">
        <f t="shared" si="18"/>
        <v>0</v>
      </c>
      <c r="Y132" s="1155"/>
      <c r="Z132" s="1156"/>
      <c r="AA132" s="529"/>
      <c r="AB132" s="525"/>
      <c r="AC132" s="525">
        <f>'TB-Key Info'!$L$15*('HPM costs'!K489+'HPM costs'!K492+'HPM costs'!K495+'HPM costs'!K498)</f>
        <v>0</v>
      </c>
      <c r="AD132" s="525"/>
      <c r="AE132" s="525">
        <f>'TB-Key Info'!$L$15*('HPM costs'!L489+'HPM costs'!L492+'HPM costs'!L495+'HPM costs'!L498)</f>
        <v>0</v>
      </c>
      <c r="AF132" s="525"/>
      <c r="AG132" s="525">
        <f>'TB-Key Info'!$L$15*('HPM costs'!M489+'HPM costs'!M492+'HPM costs'!M495+'HPM costs'!M498)</f>
        <v>0</v>
      </c>
      <c r="AH132" s="525"/>
      <c r="AI132" s="525">
        <f>'TB-Key Info'!$L$15*('HPM costs'!N489+'HPM costs'!N492+'HPM costs'!N495+'HPM costs'!N498)</f>
        <v>0</v>
      </c>
      <c r="AJ132" s="525"/>
      <c r="AK132" s="1154">
        <f t="shared" si="19"/>
        <v>0</v>
      </c>
      <c r="AL132" s="1155"/>
      <c r="AM132" s="1156"/>
      <c r="AN132" s="529"/>
      <c r="AO132" s="525"/>
      <c r="AP132" s="525">
        <f>'TB-Key Info'!$L$15*('HPM costs'!P489+'HPM costs'!P492+'HPM costs'!P495+'HPM costs'!P498)</f>
        <v>0</v>
      </c>
      <c r="AQ132" s="525"/>
      <c r="AR132" s="525">
        <f>'TB-Key Info'!$L$15*('HPM costs'!Q489+'HPM costs'!Q492+'HPM costs'!Q495+'HPM costs'!Q498)</f>
        <v>0</v>
      </c>
      <c r="AS132" s="525"/>
      <c r="AT132" s="525">
        <f>'TB-Key Info'!$L$15*('HPM costs'!R489+'HPM costs'!R492+'HPM costs'!R495+'HPM costs'!R498)</f>
        <v>0</v>
      </c>
      <c r="AU132" s="525"/>
      <c r="AV132" s="525">
        <f>'TB-Key Info'!$L$15*('HPM costs'!S489+'HPM costs'!S492+'HPM costs'!S495+'HPM costs'!S498)</f>
        <v>0</v>
      </c>
      <c r="AW132" s="525"/>
      <c r="AX132" s="1154">
        <f t="shared" si="20"/>
        <v>0</v>
      </c>
      <c r="AY132" s="1154"/>
      <c r="AZ132" s="528"/>
      <c r="BA132" s="529"/>
      <c r="BB132" s="527"/>
      <c r="BC132" s="527">
        <v>0</v>
      </c>
      <c r="BD132" s="527">
        <v>0</v>
      </c>
      <c r="BE132" s="527">
        <v>0</v>
      </c>
      <c r="BF132" s="527">
        <v>0</v>
      </c>
      <c r="BG132" s="527">
        <v>0</v>
      </c>
      <c r="BH132" s="527">
        <v>0</v>
      </c>
      <c r="BI132" s="527">
        <v>0</v>
      </c>
      <c r="BJ132" s="527">
        <v>0</v>
      </c>
      <c r="BK132" s="1154">
        <f t="shared" si="21"/>
        <v>0</v>
      </c>
      <c r="BL132" s="1154"/>
      <c r="BM132" s="1154">
        <f t="shared" si="22"/>
        <v>0</v>
      </c>
      <c r="BN132" s="1154">
        <f t="shared" si="23"/>
        <v>0</v>
      </c>
      <c r="BO132" s="527"/>
      <c r="BP132" s="527"/>
      <c r="BQ132" s="1157">
        <v>0</v>
      </c>
      <c r="BR132" s="1157" t="s">
        <v>688</v>
      </c>
      <c r="BS132" s="1157" t="s">
        <v>527</v>
      </c>
      <c r="BT132" s="1376" t="s">
        <v>1399</v>
      </c>
    </row>
    <row r="133" spans="1:72" s="512" customFormat="1" ht="13" hidden="1">
      <c r="A133" s="1204">
        <v>168</v>
      </c>
      <c r="B133" s="1205" t="s">
        <v>645</v>
      </c>
      <c r="C133" s="1205" t="s">
        <v>646</v>
      </c>
      <c r="D133" s="1206" t="s">
        <v>527</v>
      </c>
      <c r="E133" s="1386" t="s">
        <v>536</v>
      </c>
      <c r="F133" s="521"/>
      <c r="G133" s="522"/>
      <c r="H133" s="522"/>
      <c r="I133" s="522"/>
      <c r="J133" s="523"/>
      <c r="K133" s="523"/>
      <c r="L133" s="523"/>
      <c r="M133" s="524" t="e">
        <f>X133/W133</f>
        <v>#DIV/0!</v>
      </c>
      <c r="N133" s="525" t="e">
        <f>IF(M133&lt;&gt;"",M133/VLOOKUP($K133,SETUP!$C$28:$D$42,2,0),"")</f>
        <v>#DIV/0!</v>
      </c>
      <c r="O133" s="526" t="s">
        <v>1237</v>
      </c>
      <c r="P133" s="525">
        <f>'TB-Key Info'!$L$15*('HPM costs'!F229+'HPM costs'!F232+'HPM costs'!F235+'HPM costs'!F238+'HPM costs'!F575+'HPM costs'!F578+'HPM costs'!F581+'HPM costs'!F584)</f>
        <v>0</v>
      </c>
      <c r="Q133" s="525"/>
      <c r="R133" s="525">
        <f>'TB-Key Info'!$L$15*('HPM costs'!G229+'HPM costs'!G232+'HPM costs'!G235+'HPM costs'!G238+'HPM costs'!G575+'HPM costs'!G578+'HPM costs'!G581+'HPM costs'!G584)</f>
        <v>0</v>
      </c>
      <c r="S133" s="525" t="s">
        <v>1237</v>
      </c>
      <c r="T133" s="525">
        <f>'TB-Key Info'!$L$15*('HPM costs'!H229+'HPM costs'!H232+'HPM costs'!H235+'HPM costs'!H238+'HPM costs'!H575+'HPM costs'!H578+'HPM costs'!H581+'HPM costs'!H584)</f>
        <v>0</v>
      </c>
      <c r="U133" s="525" t="s">
        <v>1237</v>
      </c>
      <c r="V133" s="525">
        <f>'TB-Key Info'!$L$15*('HPM costs'!I229+'HPM costs'!I232+'HPM costs'!I235+'HPM costs'!I238+'HPM costs'!I575+'HPM costs'!I578+'HPM costs'!I581+'HPM costs'!I584)</f>
        <v>0</v>
      </c>
      <c r="W133" s="525"/>
      <c r="X133" s="1154">
        <f t="shared" si="18"/>
        <v>0</v>
      </c>
      <c r="Y133" s="1155"/>
      <c r="Z133" s="1156"/>
      <c r="AA133" s="529"/>
      <c r="AB133" s="525"/>
      <c r="AC133" s="525">
        <f>'TB-Key Info'!$L$15*('HPM costs'!K229+'HPM costs'!K232+'HPM costs'!K235+'HPM costs'!K238+'HPM costs'!K575+'HPM costs'!K578+'HPM costs'!K581+'HPM costs'!K584)</f>
        <v>0</v>
      </c>
      <c r="AD133" s="525"/>
      <c r="AE133" s="525">
        <f>'TB-Key Info'!$L$15*('HPM costs'!L229+'HPM costs'!L232+'HPM costs'!L235+'HPM costs'!L238+'HPM costs'!L575+'HPM costs'!L578+'HPM costs'!L581+'HPM costs'!L584)</f>
        <v>0</v>
      </c>
      <c r="AF133" s="525"/>
      <c r="AG133" s="525">
        <f>'TB-Key Info'!$L$15*('HPM costs'!M229+'HPM costs'!M232+'HPM costs'!M235+'HPM costs'!M238+'HPM costs'!M575+'HPM costs'!M578+'HPM costs'!M581+'HPM costs'!M584)</f>
        <v>0</v>
      </c>
      <c r="AH133" s="525"/>
      <c r="AI133" s="525">
        <f>'TB-Key Info'!$L$15*('HPM costs'!N229+'HPM costs'!N232+'HPM costs'!N235+'HPM costs'!N238+'HPM costs'!N575+'HPM costs'!N578+'HPM costs'!N581+'HPM costs'!N584)</f>
        <v>0</v>
      </c>
      <c r="AJ133" s="525"/>
      <c r="AK133" s="1154">
        <f t="shared" si="19"/>
        <v>0</v>
      </c>
      <c r="AL133" s="1155"/>
      <c r="AM133" s="1156"/>
      <c r="AN133" s="529"/>
      <c r="AO133" s="525"/>
      <c r="AP133" s="525">
        <f>'TB-Key Info'!$L$15*('HPM costs'!P229+'HPM costs'!P232+'HPM costs'!P235+'HPM costs'!P238+'HPM costs'!P575+'HPM costs'!P578+'HPM costs'!P581+'HPM costs'!P584)</f>
        <v>0</v>
      </c>
      <c r="AQ133" s="525"/>
      <c r="AR133" s="525">
        <f>'TB-Key Info'!$L$15*('HPM costs'!Q229+'HPM costs'!Q232+'HPM costs'!Q235+'HPM costs'!Q238+'HPM costs'!Q575+'HPM costs'!Q578+'HPM costs'!Q581+'HPM costs'!Q584)</f>
        <v>0</v>
      </c>
      <c r="AS133" s="525"/>
      <c r="AT133" s="525">
        <f>'TB-Key Info'!$L$15*('HPM costs'!R229+'HPM costs'!R232+'HPM costs'!R235+'HPM costs'!R238+'HPM costs'!R575+'HPM costs'!R578+'HPM costs'!R581+'HPM costs'!R584)</f>
        <v>0</v>
      </c>
      <c r="AU133" s="525"/>
      <c r="AV133" s="525">
        <f>'TB-Key Info'!$L$15*('HPM costs'!S229+'HPM costs'!S232+'HPM costs'!S235+'HPM costs'!S238+'HPM costs'!S575+'HPM costs'!S578+'HPM costs'!S581+'HPM costs'!S584)</f>
        <v>0</v>
      </c>
      <c r="AW133" s="525"/>
      <c r="AX133" s="1154">
        <f t="shared" si="20"/>
        <v>0</v>
      </c>
      <c r="AY133" s="1154"/>
      <c r="AZ133" s="528"/>
      <c r="BA133" s="529"/>
      <c r="BB133" s="527"/>
      <c r="BC133" s="527">
        <v>0</v>
      </c>
      <c r="BD133" s="527">
        <v>0</v>
      </c>
      <c r="BE133" s="527">
        <v>0</v>
      </c>
      <c r="BF133" s="527">
        <v>0</v>
      </c>
      <c r="BG133" s="527">
        <v>0</v>
      </c>
      <c r="BH133" s="527">
        <v>0</v>
      </c>
      <c r="BI133" s="527">
        <v>0</v>
      </c>
      <c r="BJ133" s="527">
        <v>0</v>
      </c>
      <c r="BK133" s="1154">
        <f t="shared" si="21"/>
        <v>0</v>
      </c>
      <c r="BL133" s="1154"/>
      <c r="BM133" s="1154">
        <f t="shared" si="22"/>
        <v>0</v>
      </c>
      <c r="BN133" s="1154">
        <f t="shared" si="23"/>
        <v>0</v>
      </c>
      <c r="BO133" s="527"/>
      <c r="BP133" s="527"/>
      <c r="BQ133" s="1157">
        <v>0</v>
      </c>
      <c r="BR133" s="1157" t="s">
        <v>688</v>
      </c>
      <c r="BS133" s="1157" t="s">
        <v>527</v>
      </c>
      <c r="BT133" s="1376" t="s">
        <v>1400</v>
      </c>
    </row>
    <row r="134" spans="1:72" s="512" customFormat="1" ht="13" hidden="1">
      <c r="A134" s="1204">
        <v>169</v>
      </c>
      <c r="B134" s="1205" t="s">
        <v>645</v>
      </c>
      <c r="C134" s="1205" t="s">
        <v>646</v>
      </c>
      <c r="D134" s="1206" t="s">
        <v>527</v>
      </c>
      <c r="E134" s="1386" t="s">
        <v>538</v>
      </c>
      <c r="F134" s="521"/>
      <c r="G134" s="522"/>
      <c r="H134" s="522"/>
      <c r="I134" s="522"/>
      <c r="J134" s="523"/>
      <c r="K134" s="523"/>
      <c r="L134" s="523"/>
      <c r="M134" s="524"/>
      <c r="N134" s="525"/>
      <c r="O134" s="526" t="s">
        <v>1237</v>
      </c>
      <c r="P134" s="525">
        <f>'TB-Key Info'!$L$15*('HPM costs'!F315+'HPM costs'!F318+'HPM costs'!F321+'HPM costs'!F324)</f>
        <v>0</v>
      </c>
      <c r="Q134" s="525" t="s">
        <v>1237</v>
      </c>
      <c r="R134" s="525">
        <f>'TB-Key Info'!$L$15*('HPM costs'!G315+'HPM costs'!G318+'HPM costs'!G321+'HPM costs'!G324)</f>
        <v>0</v>
      </c>
      <c r="S134" s="525" t="s">
        <v>1237</v>
      </c>
      <c r="T134" s="525">
        <f>'TB-Key Info'!$L$15*('HPM costs'!H315+'HPM costs'!H318+'HPM costs'!H321+'HPM costs'!H324)</f>
        <v>0</v>
      </c>
      <c r="U134" s="525" t="s">
        <v>1237</v>
      </c>
      <c r="V134" s="525">
        <f>'TB-Key Info'!$L$15*('HPM costs'!I315+'HPM costs'!I318+'HPM costs'!I321+'HPM costs'!I324)</f>
        <v>0</v>
      </c>
      <c r="W134" s="525"/>
      <c r="X134" s="1154">
        <f t="shared" si="18"/>
        <v>0</v>
      </c>
      <c r="Y134" s="1155"/>
      <c r="Z134" s="1156"/>
      <c r="AA134" s="529"/>
      <c r="AB134" s="525"/>
      <c r="AC134" s="525">
        <f>'TB-Key Info'!$L$15*('HPM costs'!K315+'HPM costs'!K318+'HPM costs'!K321+'HPM costs'!K324)</f>
        <v>0</v>
      </c>
      <c r="AD134" s="525"/>
      <c r="AE134" s="525">
        <f>'TB-Key Info'!$L$15*('HPM costs'!L315+'HPM costs'!L318+'HPM costs'!L321+'HPM costs'!L324)</f>
        <v>0</v>
      </c>
      <c r="AF134" s="525"/>
      <c r="AG134" s="525">
        <f>'TB-Key Info'!$L$15*('HPM costs'!M315+'HPM costs'!M318+'HPM costs'!M321+'HPM costs'!M324)</f>
        <v>0</v>
      </c>
      <c r="AH134" s="525"/>
      <c r="AI134" s="525">
        <f>'TB-Key Info'!$L$15*('HPM costs'!N315+'HPM costs'!N318+'HPM costs'!N321+'HPM costs'!N324)</f>
        <v>0</v>
      </c>
      <c r="AJ134" s="525"/>
      <c r="AK134" s="1154">
        <f t="shared" si="19"/>
        <v>0</v>
      </c>
      <c r="AL134" s="1155"/>
      <c r="AM134" s="1156"/>
      <c r="AN134" s="529"/>
      <c r="AO134" s="525"/>
      <c r="AP134" s="525">
        <f>'TB-Key Info'!$L$15*('HPM costs'!P315+'HPM costs'!P318+'HPM costs'!P321+'HPM costs'!P324)</f>
        <v>0</v>
      </c>
      <c r="AQ134" s="525"/>
      <c r="AR134" s="525">
        <f>'TB-Key Info'!$L$15*('HPM costs'!Q315+'HPM costs'!Q318+'HPM costs'!Q321+'HPM costs'!Q324)</f>
        <v>0</v>
      </c>
      <c r="AS134" s="525"/>
      <c r="AT134" s="525">
        <f>'TB-Key Info'!$L$15*('HPM costs'!R315+'HPM costs'!R318+'HPM costs'!R321+'HPM costs'!R324)</f>
        <v>0</v>
      </c>
      <c r="AU134" s="525"/>
      <c r="AV134" s="525">
        <f>'TB-Key Info'!$L$15*('HPM costs'!S315+'HPM costs'!S318+'HPM costs'!S321+'HPM costs'!S324)</f>
        <v>0</v>
      </c>
      <c r="AW134" s="525"/>
      <c r="AX134" s="1154">
        <f t="shared" si="20"/>
        <v>0</v>
      </c>
      <c r="AY134" s="1154"/>
      <c r="AZ134" s="528"/>
      <c r="BA134" s="529"/>
      <c r="BB134" s="527"/>
      <c r="BC134" s="527">
        <v>0</v>
      </c>
      <c r="BD134" s="527">
        <v>0</v>
      </c>
      <c r="BE134" s="527">
        <v>0</v>
      </c>
      <c r="BF134" s="527">
        <v>0</v>
      </c>
      <c r="BG134" s="527">
        <v>0</v>
      </c>
      <c r="BH134" s="527">
        <v>0</v>
      </c>
      <c r="BI134" s="527">
        <v>0</v>
      </c>
      <c r="BJ134" s="527">
        <v>0</v>
      </c>
      <c r="BK134" s="1154">
        <f t="shared" si="21"/>
        <v>0</v>
      </c>
      <c r="BL134" s="1154"/>
      <c r="BM134" s="1154">
        <f t="shared" si="22"/>
        <v>0</v>
      </c>
      <c r="BN134" s="1154">
        <f t="shared" si="23"/>
        <v>0</v>
      </c>
      <c r="BO134" s="527"/>
      <c r="BP134" s="527"/>
      <c r="BQ134" s="1157">
        <v>0</v>
      </c>
      <c r="BR134" s="1157" t="s">
        <v>688</v>
      </c>
      <c r="BS134" s="1157" t="s">
        <v>527</v>
      </c>
      <c r="BT134" s="1376" t="s">
        <v>1401</v>
      </c>
    </row>
    <row r="135" spans="1:72" s="512" customFormat="1" ht="13" hidden="1">
      <c r="A135" s="1204">
        <v>170</v>
      </c>
      <c r="B135" s="1205" t="s">
        <v>645</v>
      </c>
      <c r="C135" s="1205" t="s">
        <v>646</v>
      </c>
      <c r="D135" s="1206" t="s">
        <v>527</v>
      </c>
      <c r="E135" s="1386" t="s">
        <v>540</v>
      </c>
      <c r="F135" s="521"/>
      <c r="G135" s="522"/>
      <c r="H135" s="522"/>
      <c r="I135" s="522"/>
      <c r="J135" s="523"/>
      <c r="K135" s="523"/>
      <c r="L135" s="523"/>
      <c r="M135" s="524"/>
      <c r="N135" s="525"/>
      <c r="O135" s="526" t="s">
        <v>1237</v>
      </c>
      <c r="P135" s="525">
        <f>'TB-Key Info'!$L$15*('HPM costs'!F660+'HPM costs'!F663+'HPM costs'!F666+'HPM costs'!F669)</f>
        <v>0</v>
      </c>
      <c r="Q135" s="525" t="s">
        <v>1237</v>
      </c>
      <c r="R135" s="525">
        <f>'TB-Key Info'!$L$15*('HPM costs'!G660+'HPM costs'!G663+'HPM costs'!G666+'HPM costs'!G669)</f>
        <v>0</v>
      </c>
      <c r="S135" s="525" t="s">
        <v>1237</v>
      </c>
      <c r="T135" s="525">
        <f>'TB-Key Info'!$L$15*('HPM costs'!H660+'HPM costs'!H663+'HPM costs'!H666+'HPM costs'!H669)</f>
        <v>0</v>
      </c>
      <c r="U135" s="525" t="s">
        <v>1237</v>
      </c>
      <c r="V135" s="525">
        <f>'TB-Key Info'!$L$15*('HPM costs'!I660+'HPM costs'!I663+'HPM costs'!I666+'HPM costs'!I669)</f>
        <v>0</v>
      </c>
      <c r="W135" s="525"/>
      <c r="X135" s="1154">
        <f t="shared" si="18"/>
        <v>0</v>
      </c>
      <c r="Y135" s="1155"/>
      <c r="Z135" s="1156"/>
      <c r="AA135" s="529"/>
      <c r="AB135" s="525"/>
      <c r="AC135" s="525">
        <f>'TB-Key Info'!$L$15*('HPM costs'!K660+'HPM costs'!K663+'HPM costs'!K666+'HPM costs'!K669)</f>
        <v>0</v>
      </c>
      <c r="AD135" s="525"/>
      <c r="AE135" s="525">
        <f>'TB-Key Info'!$L$15*('HPM costs'!L660+'HPM costs'!L663+'HPM costs'!L666+'HPM costs'!L669)</f>
        <v>0</v>
      </c>
      <c r="AF135" s="525"/>
      <c r="AG135" s="525">
        <f>'TB-Key Info'!$L$15*('HPM costs'!M660+'HPM costs'!M663+'HPM costs'!M666+'HPM costs'!M669)</f>
        <v>0</v>
      </c>
      <c r="AH135" s="525"/>
      <c r="AI135" s="525">
        <f>'TB-Key Info'!$L$15*('HPM costs'!N660+'HPM costs'!N663+'HPM costs'!N666+'HPM costs'!N669)</f>
        <v>0</v>
      </c>
      <c r="AJ135" s="525"/>
      <c r="AK135" s="1154">
        <f t="shared" si="19"/>
        <v>0</v>
      </c>
      <c r="AL135" s="1155"/>
      <c r="AM135" s="1156"/>
      <c r="AN135" s="529"/>
      <c r="AO135" s="525"/>
      <c r="AP135" s="525">
        <f>'TB-Key Info'!$L$15*('HPM costs'!P660+'HPM costs'!P663+'HPM costs'!P666+'HPM costs'!P669)</f>
        <v>0</v>
      </c>
      <c r="AQ135" s="525"/>
      <c r="AR135" s="525">
        <f>'TB-Key Info'!$L$15*('HPM costs'!Q660+'HPM costs'!Q663+'HPM costs'!Q666+'HPM costs'!Q669)</f>
        <v>0</v>
      </c>
      <c r="AS135" s="525"/>
      <c r="AT135" s="525">
        <f>'TB-Key Info'!$L$15*('HPM costs'!R660+'HPM costs'!R663+'HPM costs'!R666+'HPM costs'!R669)</f>
        <v>0</v>
      </c>
      <c r="AU135" s="525"/>
      <c r="AV135" s="525">
        <f>'TB-Key Info'!$L$15*('HPM costs'!S660+'HPM costs'!S663+'HPM costs'!S666+'HPM costs'!S669)</f>
        <v>0</v>
      </c>
      <c r="AW135" s="525"/>
      <c r="AX135" s="1154">
        <f t="shared" si="20"/>
        <v>0</v>
      </c>
      <c r="AY135" s="1154"/>
      <c r="AZ135" s="528"/>
      <c r="BA135" s="529"/>
      <c r="BB135" s="527"/>
      <c r="BC135" s="527">
        <v>0</v>
      </c>
      <c r="BD135" s="527">
        <v>0</v>
      </c>
      <c r="BE135" s="527">
        <v>0</v>
      </c>
      <c r="BF135" s="527">
        <v>0</v>
      </c>
      <c r="BG135" s="527">
        <v>0</v>
      </c>
      <c r="BH135" s="527">
        <v>0</v>
      </c>
      <c r="BI135" s="527">
        <v>0</v>
      </c>
      <c r="BJ135" s="527">
        <v>0</v>
      </c>
      <c r="BK135" s="1154">
        <f t="shared" si="21"/>
        <v>0</v>
      </c>
      <c r="BL135" s="1154"/>
      <c r="BM135" s="1154">
        <f t="shared" si="22"/>
        <v>0</v>
      </c>
      <c r="BN135" s="1154">
        <f t="shared" si="23"/>
        <v>0</v>
      </c>
      <c r="BO135" s="527"/>
      <c r="BP135" s="527"/>
      <c r="BQ135" s="1157">
        <v>0</v>
      </c>
      <c r="BR135" s="1157" t="s">
        <v>688</v>
      </c>
      <c r="BS135" s="1157" t="s">
        <v>527</v>
      </c>
      <c r="BT135" s="1376" t="s">
        <v>1402</v>
      </c>
    </row>
    <row r="136" spans="1:72" s="512" customFormat="1" ht="13" hidden="1">
      <c r="A136" s="1204">
        <v>171</v>
      </c>
      <c r="B136" s="1205" t="s">
        <v>645</v>
      </c>
      <c r="C136" s="1205" t="s">
        <v>647</v>
      </c>
      <c r="D136" s="1206" t="s">
        <v>648</v>
      </c>
      <c r="E136" s="1386" t="s">
        <v>649</v>
      </c>
      <c r="F136" s="521"/>
      <c r="G136" s="522"/>
      <c r="H136" s="522"/>
      <c r="I136" s="522"/>
      <c r="J136" s="523"/>
      <c r="K136" s="523"/>
      <c r="L136" s="523"/>
      <c r="M136" s="524"/>
      <c r="N136" s="525"/>
      <c r="O136" s="526" t="s">
        <v>1237</v>
      </c>
      <c r="P136" s="1157">
        <f>IFERROR(INDEX('TB-Pharmaceuticals'!$AX$24:$BI$33,MATCH("4.2"&amp;"1",INDEX('TB-Pharmaceuticals'!$AW$24:$AW$33&amp;'TB-Pharmaceuticals'!$AU$24:$AU$33,0),0),MID(LEFT(P$1,SEARCH(" ",P$1)-1),2,3)-INDEX('TB-Pharmaceuticals'!$AV$24:$AV$33,MATCH("4.2"&amp;"1",INDEX('TB-Pharmaceuticals'!$AW$24:$AW$33&amp;'TB-Pharmaceuticals'!$AU$24:$AU$33,0),0))),0)</f>
        <v>0</v>
      </c>
      <c r="Q136" s="1157" t="s">
        <v>1237</v>
      </c>
      <c r="R136" s="1157">
        <f>IFERROR(INDEX('TB-Pharmaceuticals'!$AX$24:$BI$33,MATCH("4.2"&amp;"1",INDEX('TB-Pharmaceuticals'!$AW$24:$AW$33&amp;'TB-Pharmaceuticals'!$AU$24:$AU$33,0),0),MID(LEFT(R$1,SEARCH(" ",R$1)-1),2,3)-INDEX('TB-Pharmaceuticals'!$AV$24:$AV$33,MATCH("4.2"&amp;"1",INDEX('TB-Pharmaceuticals'!$AW$24:$AW$33&amp;'TB-Pharmaceuticals'!$AU$24:$AU$33,0),0))),0)</f>
        <v>0</v>
      </c>
      <c r="S136" s="1157" t="s">
        <v>1237</v>
      </c>
      <c r="T136" s="1157">
        <f>IFERROR(INDEX('TB-Pharmaceuticals'!$AX$24:$BI$33,MATCH("4.2"&amp;"1",INDEX('TB-Pharmaceuticals'!$AW$24:$AW$33&amp;'TB-Pharmaceuticals'!$AU$24:$AU$33,0),0),MID(LEFT(T$1,SEARCH(" ",T$1)-1),2,3)-INDEX('TB-Pharmaceuticals'!$AV$24:$AV$33,MATCH("4.2"&amp;"1",INDEX('TB-Pharmaceuticals'!$AW$24:$AW$33&amp;'TB-Pharmaceuticals'!$AU$24:$AU$33,0),0))),0)</f>
        <v>0</v>
      </c>
      <c r="U136" s="1157" t="s">
        <v>1237</v>
      </c>
      <c r="V136" s="1157">
        <f>IFERROR(INDEX('TB-Pharmaceuticals'!$AX$24:$BI$33,MATCH("4.2"&amp;"1",INDEX('TB-Pharmaceuticals'!$AW$24:$AW$33&amp;'TB-Pharmaceuticals'!$AU$24:$AU$33,0),0),MID(LEFT(V$1,SEARCH(" ",V$1)-1),2,3)-INDEX('TB-Pharmaceuticals'!$AV$24:$AV$33,MATCH("4.2"&amp;"1",INDEX('TB-Pharmaceuticals'!$AW$24:$AW$33&amp;'TB-Pharmaceuticals'!$AU$24:$AU$33,0),0))),0)</f>
        <v>0</v>
      </c>
      <c r="W136" s="1157"/>
      <c r="X136" s="1154">
        <f t="shared" si="18"/>
        <v>0</v>
      </c>
      <c r="Y136" s="1158"/>
      <c r="Z136" s="1159"/>
      <c r="AA136" s="1104"/>
      <c r="AB136" s="1157"/>
      <c r="AC136" s="1157">
        <f>IFERROR(INDEX('TB-Pharmaceuticals'!$AX$24:$BI$33,MATCH("4.2"&amp;"1",INDEX('TB-Pharmaceuticals'!$AW$24:$AW$33&amp;'TB-Pharmaceuticals'!$AU$24:$AU$33,0),0),MID(LEFT(AC$1,SEARCH(" ",AC$1)-1),2,3)-INDEX('TB-Pharmaceuticals'!$AV$24:$AV$33,MATCH("4.2"&amp;"1",INDEX('TB-Pharmaceuticals'!$AW$24:$AW$33&amp;'TB-Pharmaceuticals'!$AU$24:$AU$33,0),0))),0)</f>
        <v>0</v>
      </c>
      <c r="AD136" s="1157"/>
      <c r="AE136" s="1157">
        <f>IFERROR(INDEX('TB-Pharmaceuticals'!$AX$24:$BI$33,MATCH("4.2"&amp;"1",INDEX('TB-Pharmaceuticals'!$AW$24:$AW$33&amp;'TB-Pharmaceuticals'!$AU$24:$AU$33,0),0),MID(LEFT(AE$1,SEARCH(" ",AE$1)-1),2,3)-INDEX('TB-Pharmaceuticals'!$AV$24:$AV$33,MATCH("4.2"&amp;"1",INDEX('TB-Pharmaceuticals'!$AW$24:$AW$33&amp;'TB-Pharmaceuticals'!$AU$24:$AU$33,0),0))),0)</f>
        <v>0</v>
      </c>
      <c r="AF136" s="1157"/>
      <c r="AG136" s="1157">
        <f>IFERROR(INDEX('TB-Pharmaceuticals'!$AX$24:$BI$33,MATCH("4.2"&amp;"1",INDEX('TB-Pharmaceuticals'!$AW$24:$AW$33&amp;'TB-Pharmaceuticals'!$AU$24:$AU$33,0),0),MID(LEFT(AG$1,SEARCH(" ",AG$1)-1),2,3)-INDEX('TB-Pharmaceuticals'!$AV$24:$AV$33,MATCH("4.2"&amp;"1",INDEX('TB-Pharmaceuticals'!$AW$24:$AW$33&amp;'TB-Pharmaceuticals'!$AU$24:$AU$33,0),0))),0)</f>
        <v>0</v>
      </c>
      <c r="AH136" s="1157"/>
      <c r="AI136" s="1157">
        <f>IFERROR(INDEX('TB-Pharmaceuticals'!$AX$24:$BI$33,MATCH("4.2"&amp;"1",INDEX('TB-Pharmaceuticals'!$AW$24:$AW$33&amp;'TB-Pharmaceuticals'!$AU$24:$AU$33,0),0),MID(LEFT(AI$1,SEARCH(" ",AI$1)-1),2,3)-INDEX('TB-Pharmaceuticals'!$AV$24:$AV$33,MATCH("4.2"&amp;"1",INDEX('TB-Pharmaceuticals'!$AW$24:$AW$33&amp;'TB-Pharmaceuticals'!$AU$24:$AU$33,0),0))),0)</f>
        <v>0</v>
      </c>
      <c r="AJ136" s="1157"/>
      <c r="AK136" s="1154">
        <f t="shared" si="19"/>
        <v>0</v>
      </c>
      <c r="AL136" s="1158"/>
      <c r="AM136" s="1159"/>
      <c r="AN136" s="1104"/>
      <c r="AO136" s="1157"/>
      <c r="AP136" s="1157">
        <f>IFERROR(INDEX('TB-Pharmaceuticals'!$AX$24:$BI$33,MATCH("4.2"&amp;"1",INDEX('TB-Pharmaceuticals'!$AW$24:$AW$33&amp;'TB-Pharmaceuticals'!$AU$24:$AU$33,0),0),MID(LEFT(AP$1,SEARCH(" ",AP$1)-1),2,3)-INDEX('TB-Pharmaceuticals'!$AV$24:$AV$33,MATCH("4.2"&amp;"1",INDEX('TB-Pharmaceuticals'!$AW$24:$AW$33&amp;'TB-Pharmaceuticals'!$AU$24:$AU$33,0),0))),0)</f>
        <v>0</v>
      </c>
      <c r="AQ136" s="1157"/>
      <c r="AR136" s="1157">
        <f>IFERROR(INDEX('TB-Pharmaceuticals'!$AX$24:$BI$33,MATCH("4.2"&amp;"1",INDEX('TB-Pharmaceuticals'!$AW$24:$AW$33&amp;'TB-Pharmaceuticals'!$AU$24:$AU$33,0),0),MID(LEFT(AR$1,SEARCH(" ",AR$1)-1),2,3)-INDEX('TB-Pharmaceuticals'!$AV$24:$AV$33,MATCH("4.2"&amp;"1",INDEX('TB-Pharmaceuticals'!$AW$24:$AW$33&amp;'TB-Pharmaceuticals'!$AU$24:$AU$33,0),0))),0)</f>
        <v>0</v>
      </c>
      <c r="AS136" s="1157"/>
      <c r="AT136" s="1157">
        <f>IFERROR(INDEX('TB-Pharmaceuticals'!$AX$24:$BI$33,MATCH("4.2"&amp;"1",INDEX('TB-Pharmaceuticals'!$AW$24:$AW$33&amp;'TB-Pharmaceuticals'!$AU$24:$AU$33,0),0),MID(LEFT(AT$1,SEARCH(" ",AT$1)-1),2,3)-INDEX('TB-Pharmaceuticals'!$AV$24:$AV$33,MATCH("4.2"&amp;"1",INDEX('TB-Pharmaceuticals'!$AW$24:$AW$33&amp;'TB-Pharmaceuticals'!$AU$24:$AU$33,0),0))),0)</f>
        <v>0</v>
      </c>
      <c r="AU136" s="1157"/>
      <c r="AV136" s="1157">
        <f>IFERROR((INDEX('TB-Pharmaceuticals'!$BJ$24:$BJ$33,MATCH("4.2"&amp;"1",INDEX('TB-Pharmaceuticals'!$AW$24:$AW$33&amp;'TB-Pharmaceuticals'!$AU$24:$AU$33,0),0),0))-SUM(X136,AK136,AP136,AR136,AT136),)</f>
        <v>0</v>
      </c>
      <c r="AW136" s="1157"/>
      <c r="AX136" s="1154">
        <f t="shared" si="20"/>
        <v>0</v>
      </c>
      <c r="AY136" s="1154"/>
      <c r="AZ136" s="1103"/>
      <c r="BA136" s="1104"/>
      <c r="BB136" s="1102"/>
      <c r="BC136" s="1102">
        <v>0</v>
      </c>
      <c r="BD136" s="1102">
        <v>0</v>
      </c>
      <c r="BE136" s="1102">
        <v>0</v>
      </c>
      <c r="BF136" s="1102">
        <v>0</v>
      </c>
      <c r="BG136" s="1102">
        <v>0</v>
      </c>
      <c r="BH136" s="1102">
        <v>0</v>
      </c>
      <c r="BI136" s="1102">
        <v>0</v>
      </c>
      <c r="BJ136" s="1102">
        <v>0</v>
      </c>
      <c r="BK136" s="1154">
        <f t="shared" si="21"/>
        <v>0</v>
      </c>
      <c r="BL136" s="1154"/>
      <c r="BM136" s="1154">
        <f t="shared" si="22"/>
        <v>0</v>
      </c>
      <c r="BN136" s="1154">
        <f t="shared" si="23"/>
        <v>0</v>
      </c>
      <c r="BO136" s="527"/>
      <c r="BP136" s="527"/>
      <c r="BQ136" s="1157">
        <v>0</v>
      </c>
      <c r="BR136" s="1157" t="s">
        <v>688</v>
      </c>
      <c r="BS136" s="1157" t="s">
        <v>648</v>
      </c>
      <c r="BT136" s="1376" t="s">
        <v>650</v>
      </c>
    </row>
    <row r="137" spans="1:72" s="512" customFormat="1" ht="13" hidden="1">
      <c r="A137" s="1204">
        <v>173</v>
      </c>
      <c r="B137" s="1205" t="s">
        <v>645</v>
      </c>
      <c r="C137" s="1205" t="s">
        <v>647</v>
      </c>
      <c r="D137" s="1206" t="s">
        <v>527</v>
      </c>
      <c r="E137" s="1386" t="s">
        <v>528</v>
      </c>
      <c r="F137" s="521"/>
      <c r="G137" s="522"/>
      <c r="H137" s="522"/>
      <c r="I137" s="522"/>
      <c r="J137" s="523"/>
      <c r="K137" s="523"/>
      <c r="L137" s="523"/>
      <c r="M137" s="524"/>
      <c r="N137" s="525"/>
      <c r="O137" s="526" t="s">
        <v>1237</v>
      </c>
      <c r="P137" s="525">
        <f>'HPM costs'!F48</f>
        <v>0</v>
      </c>
      <c r="Q137" s="525" t="s">
        <v>1237</v>
      </c>
      <c r="R137" s="525">
        <f>'HPM costs'!G48</f>
        <v>0</v>
      </c>
      <c r="S137" s="525" t="s">
        <v>1237</v>
      </c>
      <c r="T137" s="525">
        <f>'HPM costs'!H48</f>
        <v>0</v>
      </c>
      <c r="U137" s="525" t="s">
        <v>1237</v>
      </c>
      <c r="V137" s="525">
        <f>'HPM costs'!I48</f>
        <v>0</v>
      </c>
      <c r="W137" s="525"/>
      <c r="X137" s="1154">
        <f t="shared" si="18"/>
        <v>0</v>
      </c>
      <c r="Y137" s="1155"/>
      <c r="Z137" s="1156"/>
      <c r="AA137" s="529"/>
      <c r="AB137" s="525"/>
      <c r="AC137" s="525">
        <f>'HPM costs'!K48</f>
        <v>0</v>
      </c>
      <c r="AD137" s="525"/>
      <c r="AE137" s="525">
        <f>'HPM costs'!L48</f>
        <v>0</v>
      </c>
      <c r="AF137" s="525"/>
      <c r="AG137" s="525">
        <f>'HPM costs'!M48</f>
        <v>0</v>
      </c>
      <c r="AH137" s="525"/>
      <c r="AI137" s="525">
        <f>'HPM costs'!N48</f>
        <v>0</v>
      </c>
      <c r="AJ137" s="525"/>
      <c r="AK137" s="1154">
        <f t="shared" si="19"/>
        <v>0</v>
      </c>
      <c r="AL137" s="1155"/>
      <c r="AM137" s="1156"/>
      <c r="AN137" s="529"/>
      <c r="AO137" s="525"/>
      <c r="AP137" s="525">
        <f>'HPM costs'!P48</f>
        <v>0</v>
      </c>
      <c r="AQ137" s="525"/>
      <c r="AR137" s="525">
        <f>'HPM costs'!Q48</f>
        <v>0</v>
      </c>
      <c r="AS137" s="525"/>
      <c r="AT137" s="525">
        <f>'HPM costs'!R48</f>
        <v>0</v>
      </c>
      <c r="AU137" s="525"/>
      <c r="AV137" s="525">
        <f>'HPM costs'!S48</f>
        <v>0</v>
      </c>
      <c r="AW137" s="525"/>
      <c r="AX137" s="1154">
        <f t="shared" si="20"/>
        <v>0</v>
      </c>
      <c r="AY137" s="1154"/>
      <c r="AZ137" s="528"/>
      <c r="BA137" s="529"/>
      <c r="BB137" s="527"/>
      <c r="BC137" s="527">
        <v>0</v>
      </c>
      <c r="BD137" s="527">
        <v>0</v>
      </c>
      <c r="BE137" s="527">
        <v>0</v>
      </c>
      <c r="BF137" s="527">
        <v>0</v>
      </c>
      <c r="BG137" s="527">
        <v>0</v>
      </c>
      <c r="BH137" s="527">
        <v>0</v>
      </c>
      <c r="BI137" s="527">
        <v>0</v>
      </c>
      <c r="BJ137" s="527">
        <v>0</v>
      </c>
      <c r="BK137" s="1154">
        <f t="shared" si="21"/>
        <v>0</v>
      </c>
      <c r="BL137" s="1154"/>
      <c r="BM137" s="1154">
        <f t="shared" si="22"/>
        <v>0</v>
      </c>
      <c r="BN137" s="1154">
        <f t="shared" si="23"/>
        <v>0</v>
      </c>
      <c r="BO137" s="527"/>
      <c r="BP137" s="527"/>
      <c r="BQ137" s="1157">
        <v>0</v>
      </c>
      <c r="BR137" s="1157" t="s">
        <v>688</v>
      </c>
      <c r="BS137" s="1157" t="s">
        <v>527</v>
      </c>
      <c r="BT137" s="1376" t="s">
        <v>1403</v>
      </c>
    </row>
    <row r="138" spans="1:72" s="512" customFormat="1" ht="13" hidden="1">
      <c r="A138" s="1204">
        <v>174</v>
      </c>
      <c r="B138" s="1205" t="s">
        <v>645</v>
      </c>
      <c r="C138" s="1205" t="s">
        <v>647</v>
      </c>
      <c r="D138" s="1206" t="s">
        <v>527</v>
      </c>
      <c r="E138" s="1386" t="s">
        <v>530</v>
      </c>
      <c r="F138" s="521"/>
      <c r="G138" s="522"/>
      <c r="H138" s="522"/>
      <c r="I138" s="522"/>
      <c r="J138" s="523"/>
      <c r="K138" s="523"/>
      <c r="L138" s="523"/>
      <c r="M138" s="524"/>
      <c r="N138" s="525"/>
      <c r="O138" s="526" t="s">
        <v>1237</v>
      </c>
      <c r="P138" s="525">
        <f>'HPM costs'!F134</f>
        <v>0</v>
      </c>
      <c r="Q138" s="525" t="s">
        <v>1237</v>
      </c>
      <c r="R138" s="525">
        <f>'HPM costs'!G134</f>
        <v>0</v>
      </c>
      <c r="S138" s="525" t="s">
        <v>1237</v>
      </c>
      <c r="T138" s="525">
        <f>'HPM costs'!H134</f>
        <v>0</v>
      </c>
      <c r="U138" s="525" t="s">
        <v>1237</v>
      </c>
      <c r="V138" s="525">
        <f>'HPM costs'!I134</f>
        <v>0</v>
      </c>
      <c r="W138" s="525"/>
      <c r="X138" s="1154">
        <f t="shared" si="18"/>
        <v>0</v>
      </c>
      <c r="Y138" s="1155"/>
      <c r="Z138" s="1156"/>
      <c r="AA138" s="529"/>
      <c r="AB138" s="525"/>
      <c r="AC138" s="525">
        <f>'HPM costs'!K134</f>
        <v>0</v>
      </c>
      <c r="AD138" s="525"/>
      <c r="AE138" s="525">
        <f>'HPM costs'!L134</f>
        <v>0</v>
      </c>
      <c r="AF138" s="525"/>
      <c r="AG138" s="525">
        <f>'HPM costs'!M134</f>
        <v>0</v>
      </c>
      <c r="AH138" s="525"/>
      <c r="AI138" s="525">
        <f>'HPM costs'!N134</f>
        <v>0</v>
      </c>
      <c r="AJ138" s="525"/>
      <c r="AK138" s="1154">
        <f t="shared" si="19"/>
        <v>0</v>
      </c>
      <c r="AL138" s="1155"/>
      <c r="AM138" s="1156"/>
      <c r="AN138" s="529"/>
      <c r="AO138" s="525"/>
      <c r="AP138" s="525">
        <f>'HPM costs'!P134</f>
        <v>0</v>
      </c>
      <c r="AQ138" s="525"/>
      <c r="AR138" s="525">
        <f>'HPM costs'!Q134</f>
        <v>0</v>
      </c>
      <c r="AS138" s="525"/>
      <c r="AT138" s="525">
        <f>'HPM costs'!R134</f>
        <v>0</v>
      </c>
      <c r="AU138" s="525"/>
      <c r="AV138" s="525">
        <f>'HPM costs'!S134</f>
        <v>0</v>
      </c>
      <c r="AW138" s="525"/>
      <c r="AX138" s="1154">
        <f t="shared" si="20"/>
        <v>0</v>
      </c>
      <c r="AY138" s="1154"/>
      <c r="AZ138" s="528"/>
      <c r="BA138" s="529"/>
      <c r="BB138" s="527"/>
      <c r="BC138" s="527">
        <v>0</v>
      </c>
      <c r="BD138" s="527">
        <v>0</v>
      </c>
      <c r="BE138" s="527">
        <v>0</v>
      </c>
      <c r="BF138" s="527">
        <v>0</v>
      </c>
      <c r="BG138" s="527">
        <v>0</v>
      </c>
      <c r="BH138" s="527">
        <v>0</v>
      </c>
      <c r="BI138" s="527">
        <v>0</v>
      </c>
      <c r="BJ138" s="527">
        <v>0</v>
      </c>
      <c r="BK138" s="1154">
        <f t="shared" si="21"/>
        <v>0</v>
      </c>
      <c r="BL138" s="1154"/>
      <c r="BM138" s="1154">
        <f t="shared" si="22"/>
        <v>0</v>
      </c>
      <c r="BN138" s="1154">
        <f t="shared" si="23"/>
        <v>0</v>
      </c>
      <c r="BO138" s="527"/>
      <c r="BP138" s="527"/>
      <c r="BQ138" s="1157">
        <v>0</v>
      </c>
      <c r="BR138" s="1157" t="s">
        <v>688</v>
      </c>
      <c r="BS138" s="1157" t="s">
        <v>527</v>
      </c>
      <c r="BT138" s="1376" t="s">
        <v>1404</v>
      </c>
    </row>
    <row r="139" spans="1:72" s="512" customFormat="1" ht="13" hidden="1">
      <c r="A139" s="1204">
        <v>175</v>
      </c>
      <c r="B139" s="1205" t="s">
        <v>645</v>
      </c>
      <c r="C139" s="1205" t="s">
        <v>647</v>
      </c>
      <c r="D139" s="1206" t="s">
        <v>527</v>
      </c>
      <c r="E139" s="1386" t="s">
        <v>532</v>
      </c>
      <c r="F139" s="521"/>
      <c r="G139" s="522"/>
      <c r="H139" s="522"/>
      <c r="I139" s="522"/>
      <c r="J139" s="523"/>
      <c r="K139" s="523"/>
      <c r="L139" s="523"/>
      <c r="M139" s="524"/>
      <c r="N139" s="525"/>
      <c r="O139" s="526" t="s">
        <v>1237</v>
      </c>
      <c r="P139" s="525">
        <f>'HPM costs'!F394</f>
        <v>0</v>
      </c>
      <c r="Q139" s="525" t="s">
        <v>1237</v>
      </c>
      <c r="R139" s="525">
        <f>'HPM costs'!G394</f>
        <v>0</v>
      </c>
      <c r="S139" s="525" t="s">
        <v>1237</v>
      </c>
      <c r="T139" s="525">
        <f>'HPM costs'!H394</f>
        <v>0</v>
      </c>
      <c r="U139" s="525" t="s">
        <v>1237</v>
      </c>
      <c r="V139" s="525">
        <f>'HPM costs'!I394</f>
        <v>0</v>
      </c>
      <c r="W139" s="525"/>
      <c r="X139" s="1154">
        <f t="shared" si="18"/>
        <v>0</v>
      </c>
      <c r="Y139" s="1155"/>
      <c r="Z139" s="1156"/>
      <c r="AA139" s="529"/>
      <c r="AB139" s="525"/>
      <c r="AC139" s="525">
        <f>'HPM costs'!K394</f>
        <v>0</v>
      </c>
      <c r="AD139" s="525"/>
      <c r="AE139" s="525">
        <f>'HPM costs'!L394</f>
        <v>0</v>
      </c>
      <c r="AF139" s="525"/>
      <c r="AG139" s="525">
        <f>'HPM costs'!M394</f>
        <v>0</v>
      </c>
      <c r="AH139" s="525"/>
      <c r="AI139" s="525">
        <f>'HPM costs'!N394</f>
        <v>0</v>
      </c>
      <c r="AJ139" s="525"/>
      <c r="AK139" s="1154">
        <f t="shared" si="19"/>
        <v>0</v>
      </c>
      <c r="AL139" s="1155"/>
      <c r="AM139" s="1156"/>
      <c r="AN139" s="529"/>
      <c r="AO139" s="525"/>
      <c r="AP139" s="525">
        <f>'HPM costs'!P394</f>
        <v>0</v>
      </c>
      <c r="AQ139" s="525"/>
      <c r="AR139" s="525">
        <f>'HPM costs'!Q394</f>
        <v>0</v>
      </c>
      <c r="AS139" s="525"/>
      <c r="AT139" s="525">
        <f>'HPM costs'!R394</f>
        <v>0</v>
      </c>
      <c r="AU139" s="525"/>
      <c r="AV139" s="525">
        <f>'HPM costs'!S394</f>
        <v>0</v>
      </c>
      <c r="AW139" s="525"/>
      <c r="AX139" s="1154">
        <f t="shared" si="20"/>
        <v>0</v>
      </c>
      <c r="AY139" s="1154"/>
      <c r="AZ139" s="528"/>
      <c r="BA139" s="529"/>
      <c r="BB139" s="527"/>
      <c r="BC139" s="527">
        <v>0</v>
      </c>
      <c r="BD139" s="527">
        <v>0</v>
      </c>
      <c r="BE139" s="527">
        <v>0</v>
      </c>
      <c r="BF139" s="527">
        <v>0</v>
      </c>
      <c r="BG139" s="527">
        <v>0</v>
      </c>
      <c r="BH139" s="527">
        <v>0</v>
      </c>
      <c r="BI139" s="527">
        <v>0</v>
      </c>
      <c r="BJ139" s="527">
        <v>0</v>
      </c>
      <c r="BK139" s="1154">
        <f t="shared" si="21"/>
        <v>0</v>
      </c>
      <c r="BL139" s="1154"/>
      <c r="BM139" s="1154">
        <f t="shared" si="22"/>
        <v>0</v>
      </c>
      <c r="BN139" s="1154">
        <f t="shared" si="23"/>
        <v>0</v>
      </c>
      <c r="BO139" s="527"/>
      <c r="BP139" s="527"/>
      <c r="BQ139" s="1157">
        <v>0</v>
      </c>
      <c r="BR139" s="1157" t="s">
        <v>688</v>
      </c>
      <c r="BS139" s="1157" t="s">
        <v>527</v>
      </c>
      <c r="BT139" s="1376" t="s">
        <v>1405</v>
      </c>
    </row>
    <row r="140" spans="1:72" s="512" customFormat="1" ht="13" hidden="1">
      <c r="A140" s="1204">
        <v>176</v>
      </c>
      <c r="B140" s="1205" t="s">
        <v>645</v>
      </c>
      <c r="C140" s="1205" t="s">
        <v>647</v>
      </c>
      <c r="D140" s="1206" t="s">
        <v>527</v>
      </c>
      <c r="E140" s="1386" t="s">
        <v>534</v>
      </c>
      <c r="F140" s="521"/>
      <c r="G140" s="522"/>
      <c r="H140" s="522"/>
      <c r="I140" s="522"/>
      <c r="J140" s="523"/>
      <c r="K140" s="523"/>
      <c r="L140" s="523"/>
      <c r="M140" s="524"/>
      <c r="N140" s="525"/>
      <c r="O140" s="526" t="s">
        <v>1237</v>
      </c>
      <c r="P140" s="525">
        <f>'HPM costs'!F480</f>
        <v>0</v>
      </c>
      <c r="Q140" s="525" t="s">
        <v>1237</v>
      </c>
      <c r="R140" s="525">
        <f>'HPM costs'!G480</f>
        <v>0</v>
      </c>
      <c r="S140" s="525" t="s">
        <v>1237</v>
      </c>
      <c r="T140" s="525">
        <f>'HPM costs'!H480</f>
        <v>0</v>
      </c>
      <c r="U140" s="525" t="s">
        <v>1237</v>
      </c>
      <c r="V140" s="525">
        <f>'HPM costs'!I480</f>
        <v>0</v>
      </c>
      <c r="W140" s="525"/>
      <c r="X140" s="1154">
        <f t="shared" si="18"/>
        <v>0</v>
      </c>
      <c r="Y140" s="1155"/>
      <c r="Z140" s="1156"/>
      <c r="AA140" s="529"/>
      <c r="AB140" s="525"/>
      <c r="AC140" s="525">
        <f>'HPM costs'!K480</f>
        <v>0</v>
      </c>
      <c r="AD140" s="525"/>
      <c r="AE140" s="525">
        <f>'HPM costs'!L480</f>
        <v>0</v>
      </c>
      <c r="AF140" s="525"/>
      <c r="AG140" s="525">
        <f>'HPM costs'!M480</f>
        <v>0</v>
      </c>
      <c r="AH140" s="525"/>
      <c r="AI140" s="525">
        <f>'HPM costs'!N480</f>
        <v>0</v>
      </c>
      <c r="AJ140" s="525"/>
      <c r="AK140" s="1154">
        <f t="shared" si="19"/>
        <v>0</v>
      </c>
      <c r="AL140" s="1155"/>
      <c r="AM140" s="1156"/>
      <c r="AN140" s="529"/>
      <c r="AO140" s="525"/>
      <c r="AP140" s="525">
        <f>'HPM costs'!P480</f>
        <v>0</v>
      </c>
      <c r="AQ140" s="525"/>
      <c r="AR140" s="525">
        <f>'HPM costs'!Q480</f>
        <v>0</v>
      </c>
      <c r="AS140" s="525"/>
      <c r="AT140" s="525">
        <f>'HPM costs'!R480</f>
        <v>0</v>
      </c>
      <c r="AU140" s="525"/>
      <c r="AV140" s="525">
        <f>'HPM costs'!S480</f>
        <v>0</v>
      </c>
      <c r="AW140" s="525"/>
      <c r="AX140" s="1154">
        <f t="shared" si="20"/>
        <v>0</v>
      </c>
      <c r="AY140" s="1154"/>
      <c r="AZ140" s="528"/>
      <c r="BA140" s="529"/>
      <c r="BB140" s="527"/>
      <c r="BC140" s="527">
        <v>0</v>
      </c>
      <c r="BD140" s="527">
        <v>0</v>
      </c>
      <c r="BE140" s="527">
        <v>0</v>
      </c>
      <c r="BF140" s="527">
        <v>0</v>
      </c>
      <c r="BG140" s="527">
        <v>0</v>
      </c>
      <c r="BH140" s="527">
        <v>0</v>
      </c>
      <c r="BI140" s="527">
        <v>0</v>
      </c>
      <c r="BJ140" s="527">
        <v>0</v>
      </c>
      <c r="BK140" s="1154">
        <f t="shared" si="21"/>
        <v>0</v>
      </c>
      <c r="BL140" s="1154"/>
      <c r="BM140" s="1154">
        <f t="shared" si="22"/>
        <v>0</v>
      </c>
      <c r="BN140" s="1154">
        <f t="shared" si="23"/>
        <v>0</v>
      </c>
      <c r="BO140" s="527"/>
      <c r="BP140" s="527"/>
      <c r="BQ140" s="1157">
        <v>0</v>
      </c>
      <c r="BR140" s="1157" t="s">
        <v>688</v>
      </c>
      <c r="BS140" s="1157" t="s">
        <v>527</v>
      </c>
      <c r="BT140" s="1376" t="s">
        <v>1406</v>
      </c>
    </row>
    <row r="141" spans="1:72" s="512" customFormat="1" ht="13" hidden="1">
      <c r="A141" s="1204">
        <v>177</v>
      </c>
      <c r="B141" s="1205" t="s">
        <v>645</v>
      </c>
      <c r="C141" s="1205" t="s">
        <v>647</v>
      </c>
      <c r="D141" s="1206" t="s">
        <v>527</v>
      </c>
      <c r="E141" s="1386" t="s">
        <v>536</v>
      </c>
      <c r="F141" s="521"/>
      <c r="G141" s="522"/>
      <c r="H141" s="522"/>
      <c r="I141" s="522"/>
      <c r="J141" s="523"/>
      <c r="K141" s="523"/>
      <c r="L141" s="523"/>
      <c r="M141" s="524"/>
      <c r="N141" s="525"/>
      <c r="O141" s="526" t="s">
        <v>1237</v>
      </c>
      <c r="P141" s="525">
        <f>'HPM costs'!F220+'HPM costs'!F566</f>
        <v>0</v>
      </c>
      <c r="Q141" s="525" t="s">
        <v>1237</v>
      </c>
      <c r="R141" s="525">
        <f>'HPM costs'!G220+'HPM costs'!G566</f>
        <v>0</v>
      </c>
      <c r="S141" s="525" t="s">
        <v>1237</v>
      </c>
      <c r="T141" s="525">
        <f>'HPM costs'!H220+'HPM costs'!H566</f>
        <v>0</v>
      </c>
      <c r="U141" s="525" t="s">
        <v>1237</v>
      </c>
      <c r="V141" s="525">
        <f>'HPM costs'!I220+'HPM costs'!I566</f>
        <v>0</v>
      </c>
      <c r="W141" s="525"/>
      <c r="X141" s="1154">
        <f t="shared" si="18"/>
        <v>0</v>
      </c>
      <c r="Y141" s="1155"/>
      <c r="Z141" s="1156"/>
      <c r="AA141" s="529"/>
      <c r="AB141" s="525"/>
      <c r="AC141" s="525">
        <f>'HPM costs'!K220+'HPM costs'!K566</f>
        <v>0</v>
      </c>
      <c r="AD141" s="525"/>
      <c r="AE141" s="525">
        <f>'HPM costs'!L220+'HPM costs'!L566</f>
        <v>0</v>
      </c>
      <c r="AF141" s="525"/>
      <c r="AG141" s="525">
        <f>'HPM costs'!M220+'HPM costs'!M566</f>
        <v>0</v>
      </c>
      <c r="AH141" s="525"/>
      <c r="AI141" s="525">
        <f>'HPM costs'!N220+'HPM costs'!N566</f>
        <v>0</v>
      </c>
      <c r="AJ141" s="525"/>
      <c r="AK141" s="1154">
        <f t="shared" si="19"/>
        <v>0</v>
      </c>
      <c r="AL141" s="1155"/>
      <c r="AM141" s="1156"/>
      <c r="AN141" s="529"/>
      <c r="AO141" s="525"/>
      <c r="AP141" s="525">
        <f>'HPM costs'!P220+'HPM costs'!P566</f>
        <v>0</v>
      </c>
      <c r="AQ141" s="525"/>
      <c r="AR141" s="525">
        <f>'HPM costs'!Q220+'HPM costs'!Q566</f>
        <v>0</v>
      </c>
      <c r="AS141" s="525"/>
      <c r="AT141" s="525">
        <f>'HPM costs'!R220+'HPM costs'!R566</f>
        <v>0</v>
      </c>
      <c r="AU141" s="525"/>
      <c r="AV141" s="525">
        <f>'HPM costs'!S220+'HPM costs'!S566</f>
        <v>0</v>
      </c>
      <c r="AW141" s="525"/>
      <c r="AX141" s="1154">
        <f t="shared" si="20"/>
        <v>0</v>
      </c>
      <c r="AY141" s="1154"/>
      <c r="AZ141" s="528"/>
      <c r="BA141" s="529"/>
      <c r="BB141" s="527"/>
      <c r="BC141" s="527">
        <v>0</v>
      </c>
      <c r="BD141" s="527">
        <v>0</v>
      </c>
      <c r="BE141" s="527">
        <v>0</v>
      </c>
      <c r="BF141" s="527">
        <v>0</v>
      </c>
      <c r="BG141" s="527">
        <v>0</v>
      </c>
      <c r="BH141" s="527">
        <v>0</v>
      </c>
      <c r="BI141" s="527">
        <v>0</v>
      </c>
      <c r="BJ141" s="527">
        <v>0</v>
      </c>
      <c r="BK141" s="1154">
        <f t="shared" si="21"/>
        <v>0</v>
      </c>
      <c r="BL141" s="1154"/>
      <c r="BM141" s="1154">
        <f t="shared" si="22"/>
        <v>0</v>
      </c>
      <c r="BN141" s="1154">
        <f t="shared" si="23"/>
        <v>0</v>
      </c>
      <c r="BO141" s="527"/>
      <c r="BP141" s="527"/>
      <c r="BQ141" s="1157">
        <v>0</v>
      </c>
      <c r="BR141" s="1157" t="s">
        <v>688</v>
      </c>
      <c r="BS141" s="1157" t="s">
        <v>527</v>
      </c>
      <c r="BT141" s="1376" t="s">
        <v>1407</v>
      </c>
    </row>
    <row r="142" spans="1:72" s="512" customFormat="1" ht="13" hidden="1">
      <c r="A142" s="1204">
        <v>178</v>
      </c>
      <c r="B142" s="1205" t="s">
        <v>645</v>
      </c>
      <c r="C142" s="1205" t="s">
        <v>647</v>
      </c>
      <c r="D142" s="1206" t="s">
        <v>527</v>
      </c>
      <c r="E142" s="1386" t="s">
        <v>538</v>
      </c>
      <c r="F142" s="521"/>
      <c r="G142" s="522"/>
      <c r="H142" s="522"/>
      <c r="I142" s="522"/>
      <c r="J142" s="523"/>
      <c r="K142" s="523"/>
      <c r="L142" s="523"/>
      <c r="M142" s="524"/>
      <c r="N142" s="525"/>
      <c r="O142" s="526" t="s">
        <v>1237</v>
      </c>
      <c r="P142" s="525">
        <f>'HPM costs'!F306</f>
        <v>0</v>
      </c>
      <c r="Q142" s="525" t="s">
        <v>1237</v>
      </c>
      <c r="R142" s="525">
        <f>'HPM costs'!G306</f>
        <v>0</v>
      </c>
      <c r="S142" s="525" t="s">
        <v>1237</v>
      </c>
      <c r="T142" s="525">
        <f>'HPM costs'!H306</f>
        <v>0</v>
      </c>
      <c r="U142" s="525" t="s">
        <v>1237</v>
      </c>
      <c r="V142" s="525">
        <f>'HPM costs'!I306</f>
        <v>0</v>
      </c>
      <c r="W142" s="525"/>
      <c r="X142" s="1154">
        <f t="shared" si="18"/>
        <v>0</v>
      </c>
      <c r="Y142" s="1155"/>
      <c r="Z142" s="1156"/>
      <c r="AA142" s="529"/>
      <c r="AB142" s="525"/>
      <c r="AC142" s="525">
        <f>'HPM costs'!K306</f>
        <v>0</v>
      </c>
      <c r="AD142" s="525"/>
      <c r="AE142" s="525">
        <f>'HPM costs'!L306</f>
        <v>0</v>
      </c>
      <c r="AF142" s="525"/>
      <c r="AG142" s="525">
        <f>'HPM costs'!M306</f>
        <v>0</v>
      </c>
      <c r="AH142" s="525"/>
      <c r="AI142" s="525">
        <f>'HPM costs'!N306</f>
        <v>0</v>
      </c>
      <c r="AJ142" s="525"/>
      <c r="AK142" s="1154">
        <f t="shared" si="19"/>
        <v>0</v>
      </c>
      <c r="AL142" s="1155"/>
      <c r="AM142" s="1156"/>
      <c r="AN142" s="529"/>
      <c r="AO142" s="525"/>
      <c r="AP142" s="525">
        <f>'HPM costs'!P306</f>
        <v>0</v>
      </c>
      <c r="AQ142" s="525"/>
      <c r="AR142" s="525">
        <f>'HPM costs'!Q306</f>
        <v>0</v>
      </c>
      <c r="AS142" s="525"/>
      <c r="AT142" s="525">
        <f>'HPM costs'!R306</f>
        <v>0</v>
      </c>
      <c r="AU142" s="525"/>
      <c r="AV142" s="525">
        <f>'HPM costs'!S306</f>
        <v>0</v>
      </c>
      <c r="AW142" s="525"/>
      <c r="AX142" s="1154">
        <f t="shared" si="20"/>
        <v>0</v>
      </c>
      <c r="AY142" s="1154"/>
      <c r="AZ142" s="528"/>
      <c r="BA142" s="529"/>
      <c r="BB142" s="527"/>
      <c r="BC142" s="527">
        <v>0</v>
      </c>
      <c r="BD142" s="527">
        <v>0</v>
      </c>
      <c r="BE142" s="527">
        <v>0</v>
      </c>
      <c r="BF142" s="527">
        <v>0</v>
      </c>
      <c r="BG142" s="527">
        <v>0</v>
      </c>
      <c r="BH142" s="527">
        <v>0</v>
      </c>
      <c r="BI142" s="527">
        <v>0</v>
      </c>
      <c r="BJ142" s="527">
        <v>0</v>
      </c>
      <c r="BK142" s="1154">
        <f t="shared" si="21"/>
        <v>0</v>
      </c>
      <c r="BL142" s="1154"/>
      <c r="BM142" s="1154">
        <f t="shared" si="22"/>
        <v>0</v>
      </c>
      <c r="BN142" s="1154">
        <f t="shared" si="23"/>
        <v>0</v>
      </c>
      <c r="BO142" s="527"/>
      <c r="BP142" s="527"/>
      <c r="BQ142" s="1157">
        <v>0</v>
      </c>
      <c r="BR142" s="1157" t="s">
        <v>688</v>
      </c>
      <c r="BS142" s="1157" t="s">
        <v>527</v>
      </c>
      <c r="BT142" s="1376" t="s">
        <v>1408</v>
      </c>
    </row>
    <row r="143" spans="1:72" s="512" customFormat="1" ht="13" hidden="1">
      <c r="A143" s="1204">
        <v>179</v>
      </c>
      <c r="B143" s="1205" t="s">
        <v>645</v>
      </c>
      <c r="C143" s="1205" t="s">
        <v>647</v>
      </c>
      <c r="D143" s="1206" t="s">
        <v>527</v>
      </c>
      <c r="E143" s="1386" t="s">
        <v>540</v>
      </c>
      <c r="F143" s="521"/>
      <c r="G143" s="522"/>
      <c r="H143" s="522"/>
      <c r="I143" s="522"/>
      <c r="J143" s="523"/>
      <c r="K143" s="523"/>
      <c r="L143" s="523"/>
      <c r="M143" s="524"/>
      <c r="N143" s="525"/>
      <c r="O143" s="526" t="s">
        <v>1237</v>
      </c>
      <c r="P143" s="525">
        <f>'HPM costs'!F651</f>
        <v>0</v>
      </c>
      <c r="Q143" s="525" t="s">
        <v>1237</v>
      </c>
      <c r="R143" s="525">
        <f>'HPM costs'!G651</f>
        <v>0</v>
      </c>
      <c r="S143" s="525" t="s">
        <v>1237</v>
      </c>
      <c r="T143" s="525">
        <f>'HPM costs'!H651</f>
        <v>0</v>
      </c>
      <c r="U143" s="525" t="s">
        <v>1237</v>
      </c>
      <c r="V143" s="525">
        <f>'HPM costs'!I651</f>
        <v>0</v>
      </c>
      <c r="W143" s="525"/>
      <c r="X143" s="1154">
        <f t="shared" si="18"/>
        <v>0</v>
      </c>
      <c r="Y143" s="1155"/>
      <c r="Z143" s="1156"/>
      <c r="AA143" s="529"/>
      <c r="AB143" s="525"/>
      <c r="AC143" s="525">
        <f>'HPM costs'!K651</f>
        <v>0</v>
      </c>
      <c r="AD143" s="525"/>
      <c r="AE143" s="525">
        <f>'HPM costs'!L651</f>
        <v>0</v>
      </c>
      <c r="AF143" s="525"/>
      <c r="AG143" s="525">
        <f>'HPM costs'!M651</f>
        <v>0</v>
      </c>
      <c r="AH143" s="525"/>
      <c r="AI143" s="525">
        <f>'HPM costs'!N651</f>
        <v>0</v>
      </c>
      <c r="AJ143" s="525"/>
      <c r="AK143" s="1154">
        <f t="shared" si="19"/>
        <v>0</v>
      </c>
      <c r="AL143" s="1155"/>
      <c r="AM143" s="1156"/>
      <c r="AN143" s="529"/>
      <c r="AO143" s="525"/>
      <c r="AP143" s="525">
        <f>'HPM costs'!P651</f>
        <v>0</v>
      </c>
      <c r="AQ143" s="525"/>
      <c r="AR143" s="525">
        <f>'HPM costs'!Q651</f>
        <v>0</v>
      </c>
      <c r="AS143" s="525"/>
      <c r="AT143" s="525">
        <f>'HPM costs'!R651</f>
        <v>0</v>
      </c>
      <c r="AU143" s="525"/>
      <c r="AV143" s="525">
        <f>'HPM costs'!S651</f>
        <v>0</v>
      </c>
      <c r="AW143" s="525"/>
      <c r="AX143" s="1154">
        <f t="shared" si="20"/>
        <v>0</v>
      </c>
      <c r="AY143" s="1154"/>
      <c r="AZ143" s="528"/>
      <c r="BA143" s="529"/>
      <c r="BB143" s="527"/>
      <c r="BC143" s="527">
        <v>0</v>
      </c>
      <c r="BD143" s="527">
        <v>0</v>
      </c>
      <c r="BE143" s="527">
        <v>0</v>
      </c>
      <c r="BF143" s="527">
        <v>0</v>
      </c>
      <c r="BG143" s="527">
        <v>0</v>
      </c>
      <c r="BH143" s="527">
        <v>0</v>
      </c>
      <c r="BI143" s="527">
        <v>0</v>
      </c>
      <c r="BJ143" s="527">
        <v>0</v>
      </c>
      <c r="BK143" s="1154">
        <f t="shared" si="21"/>
        <v>0</v>
      </c>
      <c r="BL143" s="1154"/>
      <c r="BM143" s="1154">
        <f t="shared" si="22"/>
        <v>0</v>
      </c>
      <c r="BN143" s="1154">
        <f t="shared" si="23"/>
        <v>0</v>
      </c>
      <c r="BO143" s="527"/>
      <c r="BP143" s="527"/>
      <c r="BQ143" s="1157">
        <v>0</v>
      </c>
      <c r="BR143" s="1157" t="s">
        <v>688</v>
      </c>
      <c r="BS143" s="1157" t="s">
        <v>527</v>
      </c>
      <c r="BT143" s="1376" t="s">
        <v>1409</v>
      </c>
    </row>
    <row r="144" spans="1:72" s="1228" customFormat="1" ht="13" hidden="1">
      <c r="A144" s="1221">
        <v>180</v>
      </c>
      <c r="B144" s="1222" t="s">
        <v>645</v>
      </c>
      <c r="C144" s="1222" t="s">
        <v>652</v>
      </c>
      <c r="D144" s="1223" t="s">
        <v>2568</v>
      </c>
      <c r="E144" s="1386" t="s">
        <v>649</v>
      </c>
      <c r="F144" s="1224"/>
      <c r="G144" s="1191"/>
      <c r="H144" s="1191"/>
      <c r="I144" s="1191"/>
      <c r="J144" s="1097"/>
      <c r="K144" s="1097"/>
      <c r="L144" s="1097"/>
      <c r="M144" s="1192"/>
      <c r="N144" s="1193"/>
      <c r="O144" s="1194" t="s">
        <v>1237</v>
      </c>
      <c r="P144" s="1157">
        <f>IFERROR(INDEX('TB-Pharmaceuticals'!$AX$24:$BI$33,MATCH("4.2"&amp;"3",INDEX('TB-Pharmaceuticals'!$AW$24:$AW$33&amp;'TB-Pharmaceuticals'!$AU$24:$AU$33,0),0),MID(LEFT(P$1,SEARCH(" ",P$1)-1),2,3)-INDEX('TB-Pharmaceuticals'!$AV$24:$AV$33,MATCH("4.2"&amp;"3",INDEX('TB-Pharmaceuticals'!$AW$24:$AW$33&amp;'TB-Pharmaceuticals'!$AU$24:$AU$33,0),0))),0)</f>
        <v>0</v>
      </c>
      <c r="Q144" s="1193" t="s">
        <v>1237</v>
      </c>
      <c r="R144" s="1157">
        <f>IFERROR(INDEX('TB-Pharmaceuticals'!$AX$24:$BI$33,MATCH("4.2"&amp;"3",INDEX('TB-Pharmaceuticals'!$AW$24:$AW$33&amp;'TB-Pharmaceuticals'!$AU$24:$AU$33,0),0),MID(LEFT(R$1,SEARCH(" ",R$1)-1),2,3)-INDEX('TB-Pharmaceuticals'!$AV$24:$AV$33,MATCH("4.2"&amp;"3",INDEX('TB-Pharmaceuticals'!$AW$24:$AW$33&amp;'TB-Pharmaceuticals'!$AU$24:$AU$33,0),0))),0)</f>
        <v>0</v>
      </c>
      <c r="S144" s="1193" t="s">
        <v>1237</v>
      </c>
      <c r="T144" s="1157">
        <f>IFERROR(INDEX('TB-Pharmaceuticals'!$AX$24:$BI$33,MATCH("4.2"&amp;"3",INDEX('TB-Pharmaceuticals'!$AW$24:$AW$33&amp;'TB-Pharmaceuticals'!$AU$24:$AU$33,0),0),MID(LEFT(T$1,SEARCH(" ",T$1)-1),2,3)-INDEX('TB-Pharmaceuticals'!$AV$24:$AV$33,MATCH("4.2"&amp;"3",INDEX('TB-Pharmaceuticals'!$AW$24:$AW$33&amp;'TB-Pharmaceuticals'!$AU$24:$AU$33,0),0))),0)</f>
        <v>0</v>
      </c>
      <c r="U144" s="1193" t="s">
        <v>1237</v>
      </c>
      <c r="V144" s="1157">
        <f>IFERROR(INDEX('TB-Pharmaceuticals'!$AX$24:$BI$33,MATCH("4.2"&amp;"3",INDEX('TB-Pharmaceuticals'!$AW$24:$AW$33&amp;'TB-Pharmaceuticals'!$AU$24:$AU$33,0),0),MID(LEFT(V$1,SEARCH(" ",V$1)-1),2,3)-INDEX('TB-Pharmaceuticals'!$AV$24:$AV$33,MATCH("4.2"&amp;"3",INDEX('TB-Pharmaceuticals'!$AW$24:$AW$33&amp;'TB-Pharmaceuticals'!$AU$24:$AU$33,0),0))),0)</f>
        <v>0</v>
      </c>
      <c r="W144" s="1193"/>
      <c r="X144" s="1203">
        <f t="shared" si="18"/>
        <v>0</v>
      </c>
      <c r="Y144" s="1196"/>
      <c r="Z144" s="1197"/>
      <c r="AA144" s="1098"/>
      <c r="AB144" s="1193"/>
      <c r="AC144" s="1157">
        <f>IFERROR(INDEX('TB-Pharmaceuticals'!$AX$24:$BI$33,MATCH("4.2"&amp;"3",INDEX('TB-Pharmaceuticals'!$AW$24:$AW$33&amp;'TB-Pharmaceuticals'!$AU$24:$AU$33,0),0),MID(LEFT(AC$1,SEARCH(" ",AC$1)-1),2,3)-INDEX('TB-Pharmaceuticals'!$AV$24:$AV$33,MATCH("4.2"&amp;"3",INDEX('TB-Pharmaceuticals'!$AW$24:$AW$33&amp;'TB-Pharmaceuticals'!$AU$24:$AU$33,0),0))),0)</f>
        <v>0</v>
      </c>
      <c r="AD144" s="1193"/>
      <c r="AE144" s="1157">
        <f>IFERROR(INDEX('TB-Pharmaceuticals'!$AX$24:$BI$33,MATCH("4.2"&amp;"3",INDEX('TB-Pharmaceuticals'!$AW$24:$AW$33&amp;'TB-Pharmaceuticals'!$AU$24:$AU$33,0),0),MID(LEFT(AE$1,SEARCH(" ",AE$1)-1),2,3)-INDEX('TB-Pharmaceuticals'!$AV$24:$AV$33,MATCH("4.2"&amp;"3",INDEX('TB-Pharmaceuticals'!$AW$24:$AW$33&amp;'TB-Pharmaceuticals'!$AU$24:$AU$33,0),0))),0)</f>
        <v>0</v>
      </c>
      <c r="AF144" s="1193"/>
      <c r="AG144" s="1157">
        <f>IFERROR(INDEX('TB-Pharmaceuticals'!$AX$24:$BI$33,MATCH("4.2"&amp;"3",INDEX('TB-Pharmaceuticals'!$AW$24:$AW$33&amp;'TB-Pharmaceuticals'!$AU$24:$AU$33,0),0),MID(LEFT(AG$1,SEARCH(" ",AG$1)-1),2,3)-INDEX('TB-Pharmaceuticals'!$AV$24:$AV$33,MATCH("4.2"&amp;"3",INDEX('TB-Pharmaceuticals'!$AW$24:$AW$33&amp;'TB-Pharmaceuticals'!$AU$24:$AU$33,0),0))),0)</f>
        <v>0</v>
      </c>
      <c r="AH144" s="1193"/>
      <c r="AI144" s="1157">
        <f>IFERROR(INDEX('TB-Pharmaceuticals'!$AX$24:$BI$33,MATCH("4.2"&amp;"3",INDEX('TB-Pharmaceuticals'!$AW$24:$AW$33&amp;'TB-Pharmaceuticals'!$AU$24:$AU$33,0),0),MID(LEFT(AI$1,SEARCH(" ",AI$1)-1),2,3)-INDEX('TB-Pharmaceuticals'!$AV$24:$AV$33,MATCH("4.2"&amp;"3",INDEX('TB-Pharmaceuticals'!$AW$24:$AW$33&amp;'TB-Pharmaceuticals'!$AU$24:$AU$33,0),0))),0)</f>
        <v>0</v>
      </c>
      <c r="AJ144" s="1193"/>
      <c r="AK144" s="1203">
        <f t="shared" si="19"/>
        <v>0</v>
      </c>
      <c r="AL144" s="1196"/>
      <c r="AM144" s="1197"/>
      <c r="AN144" s="1098"/>
      <c r="AO144" s="1193"/>
      <c r="AP144" s="1157">
        <f>IFERROR(INDEX('TB-Pharmaceuticals'!$AX$24:$BI$33,MATCH("4.2"&amp;"3",INDEX('TB-Pharmaceuticals'!$AW$24:$AW$33&amp;'TB-Pharmaceuticals'!$AU$24:$AU$33,0),0),MID(LEFT(AP$1,SEARCH(" ",AP$1)-1),2,3)-INDEX('TB-Pharmaceuticals'!$AV$24:$AV$33,MATCH("4.2"&amp;"3",INDEX('TB-Pharmaceuticals'!$AW$24:$AW$33&amp;'TB-Pharmaceuticals'!$AU$24:$AU$33,0),0))),0)</f>
        <v>0</v>
      </c>
      <c r="AQ144" s="1193"/>
      <c r="AR144" s="1157">
        <f>IFERROR(INDEX('TB-Pharmaceuticals'!$AX$24:$BI$33,MATCH("4.2"&amp;"3",INDEX('TB-Pharmaceuticals'!$AW$24:$AW$33&amp;'TB-Pharmaceuticals'!$AU$24:$AU$33,0),0),MID(LEFT(AR$1,SEARCH(" ",AR$1)-1),2,3)-INDEX('TB-Pharmaceuticals'!$AV$24:$AV$33,MATCH("4.2"&amp;"3",INDEX('TB-Pharmaceuticals'!$AW$24:$AW$33&amp;'TB-Pharmaceuticals'!$AU$24:$AU$33,0),0))),0)</f>
        <v>0</v>
      </c>
      <c r="AS144" s="1193"/>
      <c r="AT144" s="1157">
        <f>IFERROR(INDEX('TB-Pharmaceuticals'!$AX$24:$BI$33,MATCH("4.2"&amp;"3",INDEX('TB-Pharmaceuticals'!$AW$24:$AW$33&amp;'TB-Pharmaceuticals'!$AU$24:$AU$33,0),0),MID(LEFT(AT$1,SEARCH(" ",AT$1)-1),2,3)-INDEX('TB-Pharmaceuticals'!$AV$24:$AV$33,MATCH("4.2"&amp;"3",INDEX('TB-Pharmaceuticals'!$AW$24:$AW$33&amp;'TB-Pharmaceuticals'!$AU$24:$AU$33,0),0))),0)</f>
        <v>0</v>
      </c>
      <c r="AU144" s="1193"/>
      <c r="AV144" s="1157">
        <f>IFERROR((INDEX('TB-Pharmaceuticals'!$BJ$24:$BJ$33,MATCH("4.2"&amp;"3",INDEX('TB-Pharmaceuticals'!$AW$24:$AW$33&amp;'TB-Pharmaceuticals'!$AU$24:$AU$33,0),0),0))-SUM(X144,AK144,AP144,AR144,AT144),)</f>
        <v>0</v>
      </c>
      <c r="AW144" s="1193"/>
      <c r="AX144" s="1203">
        <f t="shared" si="20"/>
        <v>0</v>
      </c>
      <c r="AY144" s="1203"/>
      <c r="AZ144" s="1225"/>
      <c r="BA144" s="1098"/>
      <c r="BB144" s="1198"/>
      <c r="BC144" s="1226">
        <v>0</v>
      </c>
      <c r="BD144" s="1198">
        <v>0</v>
      </c>
      <c r="BE144" s="1226">
        <v>0</v>
      </c>
      <c r="BF144" s="1198">
        <v>0</v>
      </c>
      <c r="BG144" s="1226">
        <v>0</v>
      </c>
      <c r="BH144" s="1198">
        <v>0</v>
      </c>
      <c r="BI144" s="1226">
        <v>0</v>
      </c>
      <c r="BJ144" s="1226">
        <v>0</v>
      </c>
      <c r="BK144" s="1203">
        <f t="shared" si="21"/>
        <v>0</v>
      </c>
      <c r="BL144" s="1203"/>
      <c r="BM144" s="1195">
        <f t="shared" si="22"/>
        <v>0</v>
      </c>
      <c r="BN144" s="1203">
        <f t="shared" si="23"/>
        <v>0</v>
      </c>
      <c r="BO144" s="1226"/>
      <c r="BP144" s="1226"/>
      <c r="BQ144" s="1227">
        <v>0</v>
      </c>
      <c r="BR144" s="1227" t="s">
        <v>688</v>
      </c>
      <c r="BS144" s="1227" t="s">
        <v>2568</v>
      </c>
      <c r="BT144" s="2065" t="s">
        <v>1410</v>
      </c>
    </row>
    <row r="145" spans="1:73" s="512" customFormat="1" ht="13" hidden="1">
      <c r="A145" s="1204">
        <v>354</v>
      </c>
      <c r="B145" s="1205" t="s">
        <v>657</v>
      </c>
      <c r="C145" s="1205" t="s">
        <v>658</v>
      </c>
      <c r="D145" s="1206" t="s">
        <v>2563</v>
      </c>
      <c r="E145" s="1386" t="s">
        <v>1896</v>
      </c>
      <c r="F145" s="521"/>
      <c r="G145" s="522"/>
      <c r="H145" s="522"/>
      <c r="I145" s="522"/>
      <c r="J145" s="523"/>
      <c r="K145" s="523"/>
      <c r="L145" s="523"/>
      <c r="M145" s="524"/>
      <c r="N145" s="525"/>
      <c r="O145" s="526" t="s">
        <v>1237</v>
      </c>
      <c r="P145" s="525">
        <f>IFERROR('TB-Key Info'!$L$16*(INDEX('TB-EQUIPMENT &amp; OTHER HPs'!$AX$26:$BI$43,MATCH("6.3"&amp;"1",INDEX('TB-EQUIPMENT &amp; OTHER HPs'!$AW$26:$AW$43&amp;'TB-EQUIPMENT &amp; OTHER HPs'!$AU$26:$AU$43,0),0),MID(LEFT(P$1,SEARCH(" ",P$1)-1),2,3)-INDEX('TB-EQUIPMENT &amp; OTHER HPs'!$AV$26:$AV$43,MATCH("6.3"&amp;"1",INDEX('TB-EQUIPMENT &amp; OTHER HPs'!$AW$26:$AW$43&amp;'TB-EQUIPMENT &amp; OTHER HPs'!$AU$26:$AU$43,0),0)))),)</f>
        <v>0</v>
      </c>
      <c r="Q145" s="525" t="s">
        <v>1237</v>
      </c>
      <c r="R145" s="525">
        <f>IFERROR('TB-Key Info'!$L$16*(INDEX('TB-EQUIPMENT &amp; OTHER HPs'!$AX$26:$BI$43,MATCH("6.3"&amp;"1",INDEX('TB-EQUIPMENT &amp; OTHER HPs'!$AW$26:$AW$43&amp;'TB-EQUIPMENT &amp; OTHER HPs'!$AU$26:$AU$43,0),0),MID(LEFT(R$1,SEARCH(" ",R$1)-1),2,3)-INDEX('TB-EQUIPMENT &amp; OTHER HPs'!$AV$26:$AV$43,MATCH("6.3"&amp;"1",INDEX('TB-EQUIPMENT &amp; OTHER HPs'!$AW$26:$AW$43&amp;'TB-EQUIPMENT &amp; OTHER HPs'!$AU$26:$AU$43,0),0)))),)</f>
        <v>0</v>
      </c>
      <c r="S145" s="525" t="s">
        <v>1237</v>
      </c>
      <c r="T145" s="525">
        <f>IFERROR('TB-Key Info'!$L$16*(INDEX('TB-EQUIPMENT &amp; OTHER HPs'!$AX$26:$BI$43,MATCH("6.3"&amp;"1",INDEX('TB-EQUIPMENT &amp; OTHER HPs'!$AW$26:$AW$43&amp;'TB-EQUIPMENT &amp; OTHER HPs'!$AU$26:$AU$43,0),0),MID(LEFT(T$1,SEARCH(" ",T$1)-1),2,3)-INDEX('TB-EQUIPMENT &amp; OTHER HPs'!$AV$26:$AV$43,MATCH("6.3"&amp;"1",INDEX('TB-EQUIPMENT &amp; OTHER HPs'!$AW$26:$AW$43&amp;'TB-EQUIPMENT &amp; OTHER HPs'!$AU$26:$AU$43,0),0)))),)</f>
        <v>0</v>
      </c>
      <c r="U145" s="525" t="s">
        <v>1237</v>
      </c>
      <c r="V145" s="525">
        <f>IFERROR('TB-Key Info'!$L$16*(INDEX('TB-EQUIPMENT &amp; OTHER HPs'!$AX$26:$BI$43,MATCH("6.3"&amp;"1",INDEX('TB-EQUIPMENT &amp; OTHER HPs'!$AW$26:$AW$43&amp;'TB-EQUIPMENT &amp; OTHER HPs'!$AU$26:$AU$43,0),0),MID(LEFT(V$1,SEARCH(" ",V$1)-1),2,3)-INDEX('TB-EQUIPMENT &amp; OTHER HPs'!$AV$26:$AV$43,MATCH("6.3"&amp;"1",INDEX('TB-EQUIPMENT &amp; OTHER HPs'!$AW$26:$AW$43&amp;'TB-EQUIPMENT &amp; OTHER HPs'!$AU$26:$AU$43,0),0)))),)</f>
        <v>0</v>
      </c>
      <c r="W145" s="525"/>
      <c r="X145" s="1154">
        <f t="shared" si="18"/>
        <v>0</v>
      </c>
      <c r="Y145" s="1155"/>
      <c r="Z145" s="1156"/>
      <c r="AA145" s="529"/>
      <c r="AB145" s="525"/>
      <c r="AC145" s="525">
        <f>IFERROR('TB-Key Info'!$L$16*(INDEX('TB-EQUIPMENT &amp; OTHER HPs'!$AX$26:$BI$43,MATCH("6.3"&amp;"1",INDEX('TB-EQUIPMENT &amp; OTHER HPs'!$AW$26:$AW$43&amp;'TB-EQUIPMENT &amp; OTHER HPs'!$AU$26:$AU$43,0),0),MID(LEFT(AC$1,SEARCH(" ",AC$1)-1),2,3)-INDEX('TB-EQUIPMENT &amp; OTHER HPs'!$AV$26:$AV$43,MATCH("6.3"&amp;"1",INDEX('TB-EQUIPMENT &amp; OTHER HPs'!$AW$26:$AW$43&amp;'TB-EQUIPMENT &amp; OTHER HPs'!$AU$26:$AU$43,0),0)))),)</f>
        <v>0</v>
      </c>
      <c r="AD145" s="525"/>
      <c r="AE145" s="525">
        <f>IFERROR('TB-Key Info'!$L$16*(INDEX('TB-EQUIPMENT &amp; OTHER HPs'!$AX$26:$BI$43,MATCH("6.3"&amp;"1",INDEX('TB-EQUIPMENT &amp; OTHER HPs'!$AW$26:$AW$43&amp;'TB-EQUIPMENT &amp; OTHER HPs'!$AU$26:$AU$43,0),0),MID(LEFT(AE$1,SEARCH(" ",AE$1)-1),2,3)-INDEX('TB-EQUIPMENT &amp; OTHER HPs'!$AV$26:$AV$43,MATCH("6.3"&amp;"1",INDEX('TB-EQUIPMENT &amp; OTHER HPs'!$AW$26:$AW$43&amp;'TB-EQUIPMENT &amp; OTHER HPs'!$AU$26:$AU$43,0),0)))),)</f>
        <v>0</v>
      </c>
      <c r="AF145" s="525"/>
      <c r="AG145" s="525">
        <f>IFERROR('TB-Key Info'!$L$16*(INDEX('TB-EQUIPMENT &amp; OTHER HPs'!$AX$26:$BI$43,MATCH("6.3"&amp;"1",INDEX('TB-EQUIPMENT &amp; OTHER HPs'!$AW$26:$AW$43&amp;'TB-EQUIPMENT &amp; OTHER HPs'!$AU$26:$AU$43,0),0),MID(LEFT(AG$1,SEARCH(" ",AG$1)-1),2,3)-INDEX('TB-EQUIPMENT &amp; OTHER HPs'!$AV$26:$AV$43,MATCH("6.3"&amp;"1",INDEX('TB-EQUIPMENT &amp; OTHER HPs'!$AW$26:$AW$43&amp;'TB-EQUIPMENT &amp; OTHER HPs'!$AU$26:$AU$43,0),0)))),)</f>
        <v>0</v>
      </c>
      <c r="AH145" s="525"/>
      <c r="AI145" s="525">
        <f>IFERROR('TB-Key Info'!$L$16*(INDEX('TB-EQUIPMENT &amp; OTHER HPs'!$AX$26:$BI$43,MATCH("6.3"&amp;"1",INDEX('TB-EQUIPMENT &amp; OTHER HPs'!$AW$26:$AW$43&amp;'TB-EQUIPMENT &amp; OTHER HPs'!$AU$26:$AU$43,0),0),MID(LEFT(AI$1,SEARCH(" ",AI$1)-1),2,3)-INDEX('TB-EQUIPMENT &amp; OTHER HPs'!$AV$26:$AV$43,MATCH("6.3"&amp;"1",INDEX('TB-EQUIPMENT &amp; OTHER HPs'!$AW$26:$AW$43&amp;'TB-EQUIPMENT &amp; OTHER HPs'!$AU$26:$AU$43,0),0)))),)</f>
        <v>0</v>
      </c>
      <c r="AJ145" s="525"/>
      <c r="AK145" s="1154">
        <f t="shared" si="19"/>
        <v>0</v>
      </c>
      <c r="AL145" s="1155"/>
      <c r="AM145" s="1156"/>
      <c r="AN145" s="529"/>
      <c r="AO145" s="525"/>
      <c r="AP145" s="525">
        <f>IFERROR('TB-Key Info'!$L$16*(INDEX('TB-EQUIPMENT &amp; OTHER HPs'!$AX$26:$BI$43,MATCH("6.3"&amp;"1",INDEX('TB-EQUIPMENT &amp; OTHER HPs'!$AW$26:$AW$43&amp;'TB-EQUIPMENT &amp; OTHER HPs'!$AU$26:$AU$43,0),0),MID(LEFT(AP$1,SEARCH(" ",AP$1)-1),2,3)-INDEX('TB-EQUIPMENT &amp; OTHER HPs'!$AV$26:$AV$43,MATCH("6.3"&amp;"1",INDEX('TB-EQUIPMENT &amp; OTHER HPs'!$AW$26:$AW$43&amp;'TB-EQUIPMENT &amp; OTHER HPs'!$AU$26:$AU$43,0),0)))),)</f>
        <v>0</v>
      </c>
      <c r="AQ145" s="525"/>
      <c r="AR145" s="525">
        <f>IFERROR('TB-Key Info'!$L$16*(INDEX('TB-EQUIPMENT &amp; OTHER HPs'!$AX$26:$BI$43,MATCH("6.3"&amp;"1",INDEX('TB-EQUIPMENT &amp; OTHER HPs'!$AW$26:$AW$43&amp;'TB-EQUIPMENT &amp; OTHER HPs'!$AU$26:$AU$43,0),0),MID(LEFT(AR$1,SEARCH(" ",AR$1)-1),2,3)-INDEX('TB-EQUIPMENT &amp; OTHER HPs'!$AV$26:$AV$43,MATCH("6.3"&amp;"1",INDEX('TB-EQUIPMENT &amp; OTHER HPs'!$AW$26:$AW$43&amp;'TB-EQUIPMENT &amp; OTHER HPs'!$AU$26:$AU$43,0),0)))),)</f>
        <v>0</v>
      </c>
      <c r="AS145" s="525"/>
      <c r="AT145" s="525">
        <f>IFERROR('TB-Key Info'!$L$16*(INDEX('TB-EQUIPMENT &amp; OTHER HPs'!$AX$26:$BI$43,MATCH("6.3"&amp;"1",INDEX('TB-EQUIPMENT &amp; OTHER HPs'!$AW$26:$AW$43&amp;'TB-EQUIPMENT &amp; OTHER HPs'!$AU$26:$AU$43,0),0),MID(LEFT(AT$1,SEARCH(" ",AT$1)-1),2,3)-INDEX('TB-EQUIPMENT &amp; OTHER HPs'!$AV$26:$AV$43,MATCH("6.3"&amp;"1",INDEX('TB-EQUIPMENT &amp; OTHER HPs'!$AW$26:$AW$43&amp;'TB-EQUIPMENT &amp; OTHER HPs'!$AU$26:$AU$43,0),0)))),)</f>
        <v>0</v>
      </c>
      <c r="AU145" s="525"/>
      <c r="AV145" s="525">
        <f>IFERROR('TB-Key Info'!$L$16*(INDEX('TB-EQUIPMENT &amp; OTHER HPs'!$BJ$26:$BJ$43,MATCH("6.3"&amp;"1",INDEX('TB-EQUIPMENT &amp; OTHER HPs'!$AW$26:$AW$43&amp;'TB-EQUIPMENT &amp; OTHER HPs'!$AU$26:$AU$43,0),0),))-SUM(X145,AK145,AP145,AR145,AT145),)</f>
        <v>0</v>
      </c>
      <c r="AW145" s="525"/>
      <c r="AX145" s="1154">
        <f t="shared" si="20"/>
        <v>0</v>
      </c>
      <c r="AY145" s="1154"/>
      <c r="AZ145" s="528"/>
      <c r="BA145" s="529"/>
      <c r="BB145" s="527"/>
      <c r="BC145" s="527">
        <v>0</v>
      </c>
      <c r="BD145" s="527">
        <v>0</v>
      </c>
      <c r="BE145" s="527">
        <v>0</v>
      </c>
      <c r="BF145" s="527">
        <v>0</v>
      </c>
      <c r="BG145" s="527">
        <v>0</v>
      </c>
      <c r="BH145" s="527">
        <v>0</v>
      </c>
      <c r="BI145" s="527">
        <v>0</v>
      </c>
      <c r="BJ145" s="527">
        <v>0</v>
      </c>
      <c r="BK145" s="1154">
        <f t="shared" si="21"/>
        <v>0</v>
      </c>
      <c r="BL145" s="1154"/>
      <c r="BM145" s="1154">
        <f t="shared" si="22"/>
        <v>0</v>
      </c>
      <c r="BN145" s="1154">
        <f t="shared" si="23"/>
        <v>0</v>
      </c>
      <c r="BO145" s="527"/>
      <c r="BP145" s="527"/>
      <c r="BQ145" s="1157">
        <v>0</v>
      </c>
      <c r="BR145" s="1157" t="s">
        <v>688</v>
      </c>
      <c r="BS145" s="1157" t="s">
        <v>2563</v>
      </c>
      <c r="BT145" s="1376" t="s">
        <v>1441</v>
      </c>
    </row>
    <row r="146" spans="1:73" s="512" customFormat="1" ht="13" hidden="1">
      <c r="A146" s="1204">
        <v>355</v>
      </c>
      <c r="B146" s="1205" t="s">
        <v>657</v>
      </c>
      <c r="C146" s="1205" t="s">
        <v>658</v>
      </c>
      <c r="D146" s="1206" t="s">
        <v>2565</v>
      </c>
      <c r="E146" s="1386" t="s">
        <v>603</v>
      </c>
      <c r="F146" s="521"/>
      <c r="G146" s="522"/>
      <c r="H146" s="522"/>
      <c r="I146" s="522"/>
      <c r="J146" s="523"/>
      <c r="K146" s="523"/>
      <c r="L146" s="523"/>
      <c r="M146" s="524"/>
      <c r="N146" s="525"/>
      <c r="O146" s="526" t="s">
        <v>1237</v>
      </c>
      <c r="P146" s="525">
        <f>IFERROR('TB-Key Info'!$L$16*(IFERROR(INDEX('TB-EQUIPMENT &amp; OTHER HPs'!$AX$26:$BI$43,MATCH("5.4"&amp;"2",INDEX('TB-EQUIPMENT &amp; OTHER HPs'!$AW$26:$AW$43&amp;'TB-EQUIPMENT &amp; OTHER HPs'!$AU$26:$AU$43,0),0),MID(LEFT(P$1,SEARCH(" ",P$1)-1),2,3)-INDEX('TB-EQUIPMENT &amp; OTHER HPs'!$AV$26:$AV$43,MATCH("5.4"&amp;"2",INDEX('TB-EQUIPMENT &amp; OTHER HPs'!$AW$26:$AW$43&amp;'TB-EQUIPMENT &amp; OTHER HPs'!$AU$26:$AU$43,0),0))),)+IFERROR(INDEX('TB-EQUIPMENT &amp; OTHER HPs'!$AX$26:$BI$43,MATCH("5.4"&amp;"4",INDEX('TB-EQUIPMENT &amp; OTHER HPs'!$AW$26:$AW$43&amp;'TB-EQUIPMENT &amp; OTHER HPs'!$AU$26:$AU$43,0),0),MID(LEFT(P$1,SEARCH(" ",P$1)-1),2,3)-INDEX('TB-EQUIPMENT &amp; OTHER HPs'!$AV$26:$AV$43,MATCH("5.4"&amp;"4",INDEX('TB-EQUIPMENT &amp; OTHER HPs'!$AW$26:$AW$43&amp;'TB-EQUIPMENT &amp; OTHER HPs'!$AU$26:$AU$43,0),0))),)),)</f>
        <v>0</v>
      </c>
      <c r="Q146" s="525"/>
      <c r="R146" s="525">
        <f>IFERROR('TB-Key Info'!$L$16*(IFERROR(INDEX('TB-EQUIPMENT &amp; OTHER HPs'!$AX$26:$BI$43,MATCH("5.4"&amp;"2",INDEX('TB-EQUIPMENT &amp; OTHER HPs'!$AW$26:$AW$43&amp;'TB-EQUIPMENT &amp; OTHER HPs'!$AU$26:$AU$43,0),0),MID(LEFT(R$1,SEARCH(" ",R$1)-1),2,3)-INDEX('TB-EQUIPMENT &amp; OTHER HPs'!$AV$26:$AV$43,MATCH("5.4"&amp;"2",INDEX('TB-EQUIPMENT &amp; OTHER HPs'!$AW$26:$AW$43&amp;'TB-EQUIPMENT &amp; OTHER HPs'!$AU$26:$AU$43,0),0))),)+IFERROR(INDEX('TB-EQUIPMENT &amp; OTHER HPs'!$AX$26:$BI$43,MATCH("5.4"&amp;"4",INDEX('TB-EQUIPMENT &amp; OTHER HPs'!$AW$26:$AW$43&amp;'TB-EQUIPMENT &amp; OTHER HPs'!$AU$26:$AU$43,0),0),MID(LEFT(R$1,SEARCH(" ",R$1)-1),2,3)-INDEX('TB-EQUIPMENT &amp; OTHER HPs'!$AV$26:$AV$43,MATCH("5.4"&amp;"4",INDEX('TB-EQUIPMENT &amp; OTHER HPs'!$AW$26:$AW$43&amp;'TB-EQUIPMENT &amp; OTHER HPs'!$AU$26:$AU$43,0),0))),)),)</f>
        <v>0</v>
      </c>
      <c r="S146" s="525"/>
      <c r="T146" s="525">
        <f>IFERROR('TB-Key Info'!$L$16*(IFERROR(INDEX('TB-EQUIPMENT &amp; OTHER HPs'!$AX$26:$BI$43,MATCH("5.4"&amp;"2",INDEX('TB-EQUIPMENT &amp; OTHER HPs'!$AW$26:$AW$43&amp;'TB-EQUIPMENT &amp; OTHER HPs'!$AU$26:$AU$43,0),0),MID(LEFT(T$1,SEARCH(" ",T$1)-1),2,3)-INDEX('TB-EQUIPMENT &amp; OTHER HPs'!$AV$26:$AV$43,MATCH("5.4"&amp;"2",INDEX('TB-EQUIPMENT &amp; OTHER HPs'!$AW$26:$AW$43&amp;'TB-EQUIPMENT &amp; OTHER HPs'!$AU$26:$AU$43,0),0))),)+IFERROR(INDEX('TB-EQUIPMENT &amp; OTHER HPs'!$AX$26:$BI$43,MATCH("5.4"&amp;"4",INDEX('TB-EQUIPMENT &amp; OTHER HPs'!$AW$26:$AW$43&amp;'TB-EQUIPMENT &amp; OTHER HPs'!$AU$26:$AU$43,0),0),MID(LEFT(T$1,SEARCH(" ",T$1)-1),2,3)-INDEX('TB-EQUIPMENT &amp; OTHER HPs'!$AV$26:$AV$43,MATCH("5.4"&amp;"4",INDEX('TB-EQUIPMENT &amp; OTHER HPs'!$AW$26:$AW$43&amp;'TB-EQUIPMENT &amp; OTHER HPs'!$AU$26:$AU$43,0),0))),)),)</f>
        <v>0</v>
      </c>
      <c r="U146" s="525"/>
      <c r="V146" s="525">
        <f>IFERROR('TB-Key Info'!$L$16*(IFERROR(INDEX('TB-EQUIPMENT &amp; OTHER HPs'!$AX$26:$BI$43,MATCH("5.4"&amp;"2",INDEX('TB-EQUIPMENT &amp; OTHER HPs'!$AW$26:$AW$43&amp;'TB-EQUIPMENT &amp; OTHER HPs'!$AU$26:$AU$43,0),0),MID(LEFT(V$1,SEARCH(" ",V$1)-1),2,3)-INDEX('TB-EQUIPMENT &amp; OTHER HPs'!$AV$26:$AV$43,MATCH("5.4"&amp;"2",INDEX('TB-EQUIPMENT &amp; OTHER HPs'!$AW$26:$AW$43&amp;'TB-EQUIPMENT &amp; OTHER HPs'!$AU$26:$AU$43,0),0))),)+IFERROR(INDEX('TB-EQUIPMENT &amp; OTHER HPs'!$AX$26:$BI$43,MATCH("5.4"&amp;"4",INDEX('TB-EQUIPMENT &amp; OTHER HPs'!$AW$26:$AW$43&amp;'TB-EQUIPMENT &amp; OTHER HPs'!$AU$26:$AU$43,0),0),MID(LEFT(V$1,SEARCH(" ",V$1)-1),2,3)-INDEX('TB-EQUIPMENT &amp; OTHER HPs'!$AV$26:$AV$43,MATCH("5.4"&amp;"4",INDEX('TB-EQUIPMENT &amp; OTHER HPs'!$AW$26:$AW$43&amp;'TB-EQUIPMENT &amp; OTHER HPs'!$AU$26:$AU$43,0),0))),)),)</f>
        <v>0</v>
      </c>
      <c r="W146" s="525"/>
      <c r="X146" s="1154">
        <f t="shared" si="18"/>
        <v>0</v>
      </c>
      <c r="Y146" s="1155"/>
      <c r="Z146" s="1156"/>
      <c r="AA146" s="529"/>
      <c r="AB146" s="525"/>
      <c r="AC146" s="525">
        <f>IFERROR('TB-Key Info'!$L$16*(IFERROR(INDEX('TB-EQUIPMENT &amp; OTHER HPs'!$AX$26:$BI$43,MATCH("5.4"&amp;"2",INDEX('TB-EQUIPMENT &amp; OTHER HPs'!$AW$26:$AW$43&amp;'TB-EQUIPMENT &amp; OTHER HPs'!$AU$26:$AU$43,0),0),MID(LEFT(AC$1,SEARCH(" ",AC$1)-1),2,3)-INDEX('TB-EQUIPMENT &amp; OTHER HPs'!$AV$26:$AV$43,MATCH("5.4"&amp;"2",INDEX('TB-EQUIPMENT &amp; OTHER HPs'!$AW$26:$AW$43&amp;'TB-EQUIPMENT &amp; OTHER HPs'!$AU$26:$AU$43,0),0))),)+IFERROR(INDEX('TB-EQUIPMENT &amp; OTHER HPs'!$AX$26:$BI$43,MATCH("5.4"&amp;"4",INDEX('TB-EQUIPMENT &amp; OTHER HPs'!$AW$26:$AW$43&amp;'TB-EQUIPMENT &amp; OTHER HPs'!$AU$26:$AU$43,0),0),MID(LEFT(AC$1,SEARCH(" ",AC$1)-1),2,3)-INDEX('TB-EQUIPMENT &amp; OTHER HPs'!$AV$26:$AV$43,MATCH("5.4"&amp;"4",INDEX('TB-EQUIPMENT &amp; OTHER HPs'!$AW$26:$AW$43&amp;'TB-EQUIPMENT &amp; OTHER HPs'!$AU$26:$AU$43,0),0))),)),)</f>
        <v>0</v>
      </c>
      <c r="AD146" s="525"/>
      <c r="AE146" s="525">
        <f>IFERROR('TB-Key Info'!$L$16*(IFERROR(INDEX('TB-EQUIPMENT &amp; OTHER HPs'!$AX$26:$BI$43,MATCH("5.4"&amp;"2",INDEX('TB-EQUIPMENT &amp; OTHER HPs'!$AW$26:$AW$43&amp;'TB-EQUIPMENT &amp; OTHER HPs'!$AU$26:$AU$43,0),0),MID(LEFT(AE$1,SEARCH(" ",AE$1)-1),2,3)-INDEX('TB-EQUIPMENT &amp; OTHER HPs'!$AV$26:$AV$43,MATCH("5.4"&amp;"2",INDEX('TB-EQUIPMENT &amp; OTHER HPs'!$AW$26:$AW$43&amp;'TB-EQUIPMENT &amp; OTHER HPs'!$AU$26:$AU$43,0),0))),)+IFERROR(INDEX('TB-EQUIPMENT &amp; OTHER HPs'!$AX$26:$BI$43,MATCH("5.4"&amp;"4",INDEX('TB-EQUIPMENT &amp; OTHER HPs'!$AW$26:$AW$43&amp;'TB-EQUIPMENT &amp; OTHER HPs'!$AU$26:$AU$43,0),0),MID(LEFT(AE$1,SEARCH(" ",AE$1)-1),2,3)-INDEX('TB-EQUIPMENT &amp; OTHER HPs'!$AV$26:$AV$43,MATCH("5.4"&amp;"4",INDEX('TB-EQUIPMENT &amp; OTHER HPs'!$AW$26:$AW$43&amp;'TB-EQUIPMENT &amp; OTHER HPs'!$AU$26:$AU$43,0),0))),)),)</f>
        <v>0</v>
      </c>
      <c r="AF146" s="525"/>
      <c r="AG146" s="525">
        <f>IFERROR('TB-Key Info'!$L$16*(IFERROR(INDEX('TB-EQUIPMENT &amp; OTHER HPs'!$AX$26:$BI$43,MATCH("5.4"&amp;"2",INDEX('TB-EQUIPMENT &amp; OTHER HPs'!$AW$26:$AW$43&amp;'TB-EQUIPMENT &amp; OTHER HPs'!$AU$26:$AU$43,0),0),MID(LEFT(AG$1,SEARCH(" ",AG$1)-1),2,3)-INDEX('TB-EQUIPMENT &amp; OTHER HPs'!$AV$26:$AV$43,MATCH("5.4"&amp;"2",INDEX('TB-EQUIPMENT &amp; OTHER HPs'!$AW$26:$AW$43&amp;'TB-EQUIPMENT &amp; OTHER HPs'!$AU$26:$AU$43,0),0))),)+IFERROR(INDEX('TB-EQUIPMENT &amp; OTHER HPs'!$AX$26:$BI$43,MATCH("5.4"&amp;"4",INDEX('TB-EQUIPMENT &amp; OTHER HPs'!$AW$26:$AW$43&amp;'TB-EQUIPMENT &amp; OTHER HPs'!$AU$26:$AU$43,0),0),MID(LEFT(AG$1,SEARCH(" ",AG$1)-1),2,3)-INDEX('TB-EQUIPMENT &amp; OTHER HPs'!$AV$26:$AV$43,MATCH("5.4"&amp;"4",INDEX('TB-EQUIPMENT &amp; OTHER HPs'!$AW$26:$AW$43&amp;'TB-EQUIPMENT &amp; OTHER HPs'!$AU$26:$AU$43,0),0))),)),)</f>
        <v>0</v>
      </c>
      <c r="AH146" s="525"/>
      <c r="AI146" s="525">
        <f>IFERROR('TB-Key Info'!$L$16*(IFERROR(INDEX('TB-EQUIPMENT &amp; OTHER HPs'!$AX$26:$BI$43,MATCH("5.4"&amp;"2",INDEX('TB-EQUIPMENT &amp; OTHER HPs'!$AW$26:$AW$43&amp;'TB-EQUIPMENT &amp; OTHER HPs'!$AU$26:$AU$43,0),0),MID(LEFT(AI$1,SEARCH(" ",AI$1)-1),2,3)-INDEX('TB-EQUIPMENT &amp; OTHER HPs'!$AV$26:$AV$43,MATCH("5.4"&amp;"2",INDEX('TB-EQUIPMENT &amp; OTHER HPs'!$AW$26:$AW$43&amp;'TB-EQUIPMENT &amp; OTHER HPs'!$AU$26:$AU$43,0),0))),)+IFERROR(INDEX('TB-EQUIPMENT &amp; OTHER HPs'!$AX$26:$BI$43,MATCH("5.4"&amp;"4",INDEX('TB-EQUIPMENT &amp; OTHER HPs'!$AW$26:$AW$43&amp;'TB-EQUIPMENT &amp; OTHER HPs'!$AU$26:$AU$43,0),0),MID(LEFT(AI$1,SEARCH(" ",AI$1)-1),2,3)-INDEX('TB-EQUIPMENT &amp; OTHER HPs'!$AV$26:$AV$43,MATCH("5.4"&amp;"4",INDEX('TB-EQUIPMENT &amp; OTHER HPs'!$AW$26:$AW$43&amp;'TB-EQUIPMENT &amp; OTHER HPs'!$AU$26:$AU$43,0),0))),)),)</f>
        <v>0</v>
      </c>
      <c r="AJ146" s="525"/>
      <c r="AK146" s="1154">
        <f t="shared" si="19"/>
        <v>0</v>
      </c>
      <c r="AL146" s="1155"/>
      <c r="AM146" s="1156"/>
      <c r="AN146" s="529"/>
      <c r="AO146" s="525"/>
      <c r="AP146" s="525">
        <f>IFERROR('TB-Key Info'!$L$16*(IFERROR(INDEX('TB-EQUIPMENT &amp; OTHER HPs'!$AX$26:$BI$43,MATCH("5.4"&amp;"2",INDEX('TB-EQUIPMENT &amp; OTHER HPs'!$AW$26:$AW$43&amp;'TB-EQUIPMENT &amp; OTHER HPs'!$AU$26:$AU$43,0),0),MID(LEFT(AP$1,SEARCH(" ",AP$1)-1),2,3)-INDEX('TB-EQUIPMENT &amp; OTHER HPs'!$AV$26:$AV$43,MATCH("5.4"&amp;"2",INDEX('TB-EQUIPMENT &amp; OTHER HPs'!$AW$26:$AW$43&amp;'TB-EQUIPMENT &amp; OTHER HPs'!$AU$26:$AU$43,0),0))),)+IFERROR(INDEX('TB-EQUIPMENT &amp; OTHER HPs'!$AX$26:$BI$43,MATCH("5.4"&amp;"4",INDEX('TB-EQUIPMENT &amp; OTHER HPs'!$AW$26:$AW$43&amp;'TB-EQUIPMENT &amp; OTHER HPs'!$AU$26:$AU$43,0),0),MID(LEFT(AP$1,SEARCH(" ",AP$1)-1),2,3)-INDEX('TB-EQUIPMENT &amp; OTHER HPs'!$AV$26:$AV$43,MATCH("5.4"&amp;"4",INDEX('TB-EQUIPMENT &amp; OTHER HPs'!$AW$26:$AW$43&amp;'TB-EQUIPMENT &amp; OTHER HPs'!$AU$26:$AU$43,0),0))),)),)</f>
        <v>0</v>
      </c>
      <c r="AQ146" s="525"/>
      <c r="AR146" s="525">
        <f>IFERROR('TB-Key Info'!$L$16*(IFERROR(INDEX('TB-EQUIPMENT &amp; OTHER HPs'!$AX$26:$BI$43,MATCH("5.4"&amp;"2",INDEX('TB-EQUIPMENT &amp; OTHER HPs'!$AW$26:$AW$43&amp;'TB-EQUIPMENT &amp; OTHER HPs'!$AU$26:$AU$43,0),0),MID(LEFT(AR$1,SEARCH(" ",AR$1)-1),2,3)-INDEX('TB-EQUIPMENT &amp; OTHER HPs'!$AV$26:$AV$43,MATCH("5.4"&amp;"2",INDEX('TB-EQUIPMENT &amp; OTHER HPs'!$AW$26:$AW$43&amp;'TB-EQUIPMENT &amp; OTHER HPs'!$AU$26:$AU$43,0),0))),)+IFERROR(INDEX('TB-EQUIPMENT &amp; OTHER HPs'!$AX$26:$BI$43,MATCH("5.4"&amp;"4",INDEX('TB-EQUIPMENT &amp; OTHER HPs'!$AW$26:$AW$43&amp;'TB-EQUIPMENT &amp; OTHER HPs'!$AU$26:$AU$43,0),0),MID(LEFT(AR$1,SEARCH(" ",AR$1)-1),2,3)-INDEX('TB-EQUIPMENT &amp; OTHER HPs'!$AV$26:$AV$43,MATCH("5.4"&amp;"4",INDEX('TB-EQUIPMENT &amp; OTHER HPs'!$AW$26:$AW$43&amp;'TB-EQUIPMENT &amp; OTHER HPs'!$AU$26:$AU$43,0),0))),)),)</f>
        <v>0</v>
      </c>
      <c r="AS146" s="525"/>
      <c r="AT146" s="525">
        <f>IFERROR('TB-Key Info'!$L$16*(IFERROR(INDEX('TB-EQUIPMENT &amp; OTHER HPs'!$AX$26:$BI$43,MATCH("5.4"&amp;"2",INDEX('TB-EQUIPMENT &amp; OTHER HPs'!$AW$26:$AW$43&amp;'TB-EQUIPMENT &amp; OTHER HPs'!$AU$26:$AU$43,0),0),MID(LEFT(AT$1,SEARCH(" ",AT$1)-1),2,3)-INDEX('TB-EQUIPMENT &amp; OTHER HPs'!$AV$26:$AV$43,MATCH("5.4"&amp;"2",INDEX('TB-EQUIPMENT &amp; OTHER HPs'!$AW$26:$AW$43&amp;'TB-EQUIPMENT &amp; OTHER HPs'!$AU$26:$AU$43,0),0))),)+IFERROR(INDEX('TB-EQUIPMENT &amp; OTHER HPs'!$AX$26:$BI$43,MATCH("5.4"&amp;"4",INDEX('TB-EQUIPMENT &amp; OTHER HPs'!$AW$26:$AW$43&amp;'TB-EQUIPMENT &amp; OTHER HPs'!$AU$26:$AU$43,0),0),MID(LEFT(AT$1,SEARCH(" ",AT$1)-1),2,3)-INDEX('TB-EQUIPMENT &amp; OTHER HPs'!$AV$26:$AV$43,MATCH("5.4"&amp;"4",INDEX('TB-EQUIPMENT &amp; OTHER HPs'!$AW$26:$AW$43&amp;'TB-EQUIPMENT &amp; OTHER HPs'!$AU$26:$AU$43,0),0))),)),)</f>
        <v>0</v>
      </c>
      <c r="AU146" s="525"/>
      <c r="AV146" s="525">
        <f>IFERROR('TB-Key Info'!$L$16*((INDEX('TB-EQUIPMENT &amp; OTHER HPs'!$BJ$26:$BJ$43,MATCH("5.4"&amp;"2",INDEX('TB-EQUIPMENT &amp; OTHER HPs'!$AW$26:$AW$43&amp;'TB-EQUIPMENT &amp; OTHER HPs'!$AU$26:$AU$43,0),0)))+(INDEX('TB-EQUIPMENT &amp; OTHER HPs'!$BJ$26:$BJ$43,MATCH("5.4"&amp;"4",INDEX('TB-EQUIPMENT &amp; OTHER HPs'!$AW$26:$AW$43&amp;'TB-EQUIPMENT &amp; OTHER HPs'!$AU$26:$AU$43,0),0))))-SUM(X146,AK146,AP146,AR146,AT146),0)</f>
        <v>0</v>
      </c>
      <c r="AW146" s="525"/>
      <c r="AX146" s="1154">
        <f t="shared" si="20"/>
        <v>0</v>
      </c>
      <c r="AY146" s="1154"/>
      <c r="AZ146" s="528"/>
      <c r="BA146" s="529"/>
      <c r="BB146" s="527"/>
      <c r="BC146" s="527">
        <v>0</v>
      </c>
      <c r="BD146" s="527">
        <v>0</v>
      </c>
      <c r="BE146" s="527">
        <v>0</v>
      </c>
      <c r="BF146" s="527">
        <v>0</v>
      </c>
      <c r="BG146" s="527">
        <v>0</v>
      </c>
      <c r="BH146" s="527">
        <v>0</v>
      </c>
      <c r="BI146" s="527">
        <v>0</v>
      </c>
      <c r="BJ146" s="527">
        <v>0</v>
      </c>
      <c r="BK146" s="1154">
        <f t="shared" si="21"/>
        <v>0</v>
      </c>
      <c r="BL146" s="1154"/>
      <c r="BM146" s="1154">
        <f t="shared" si="22"/>
        <v>0</v>
      </c>
      <c r="BN146" s="1154">
        <f t="shared" si="23"/>
        <v>0</v>
      </c>
      <c r="BO146" s="527"/>
      <c r="BP146" s="527"/>
      <c r="BQ146" s="1157">
        <v>0</v>
      </c>
      <c r="BR146" s="1157" t="s">
        <v>688</v>
      </c>
      <c r="BS146" s="1157" t="s">
        <v>2565</v>
      </c>
      <c r="BT146" s="1376" t="s">
        <v>1411</v>
      </c>
    </row>
    <row r="147" spans="1:73" s="512" customFormat="1" ht="13" hidden="1">
      <c r="A147" s="1204">
        <v>356</v>
      </c>
      <c r="B147" s="1205" t="s">
        <v>657</v>
      </c>
      <c r="C147" s="1205" t="s">
        <v>658</v>
      </c>
      <c r="D147" s="1206" t="s">
        <v>594</v>
      </c>
      <c r="E147" s="1386" t="s">
        <v>595</v>
      </c>
      <c r="F147" s="521"/>
      <c r="G147" s="522"/>
      <c r="H147" s="522"/>
      <c r="I147" s="522"/>
      <c r="J147" s="523"/>
      <c r="K147" s="523"/>
      <c r="L147" s="523"/>
      <c r="M147" s="524"/>
      <c r="N147" s="525"/>
      <c r="O147" s="526" t="s">
        <v>1237</v>
      </c>
      <c r="P147" s="525">
        <f>IFERROR('TB-Key Info'!$L$16*(IFERROR(INDEX('TB-EQUIPMENT &amp; OTHER HPs'!$AX$26:$BI$43,MATCH("5.6"&amp;"1",INDEX('TB-EQUIPMENT &amp; OTHER HPs'!$AW$26:$AW$43&amp;'TB-EQUIPMENT &amp; OTHER HPs'!$AU$26:$AU$43,0),0),MID(LEFT(P$1,SEARCH(" ",P$1)-1),2,3)-INDEX('TB-EQUIPMENT &amp; OTHER HPs'!$AV$26:$AV$43,MATCH("5.6"&amp;"1",INDEX('TB-EQUIPMENT &amp; OTHER HPs'!$AW$26:$AW$43&amp;'TB-EQUIPMENT &amp; OTHER HPs'!$AU$26:$AU$43,0),0))),)+IFERROR(INDEX('TB-EQUIPMENT &amp; OTHER HPs'!$AX$26:$BI$43,MATCH("5.6"&amp;"3",INDEX('TB-EQUIPMENT &amp; OTHER HPs'!$AW$26:$AW$43&amp;'TB-EQUIPMENT &amp; OTHER HPs'!$AU$26:$AU$43,0),0),MID(LEFT(P$1,SEARCH(" ",P$1)-1),2,3)-INDEX('TB-EQUIPMENT &amp; OTHER HPs'!$AV$26:$AV$43,MATCH("5.6"&amp;"3",INDEX('TB-EQUIPMENT &amp; OTHER HPs'!$AW$26:$AW$43&amp;'TB-EQUIPMENT &amp; OTHER HPs'!$AU$26:$AU$43,0),0))),)+IFERROR(INDEX('TB-EQUIPMENT &amp; OTHER HPs'!$AX$26:$BI$43,MATCH("5.6"&amp;"4",INDEX('TB-EQUIPMENT &amp; OTHER HPs'!$AW$26:$AW$43&amp;'TB-EQUIPMENT &amp; OTHER HPs'!$AU$26:$AU$43,0),0),MID(LEFT(P$1,SEARCH(" ",P$1)-1),2,3)-INDEX('TB-EQUIPMENT &amp; OTHER HPs'!$AV$26:$AV$43,MATCH("5.6"&amp;"4",INDEX('TB-EQUIPMENT &amp; OTHER HPs'!$AW$26:$AW$43&amp;'TB-EQUIPMENT &amp; OTHER HPs'!$AU$26:$AU$43,0),0))),)),0)</f>
        <v>0</v>
      </c>
      <c r="Q147" s="525" t="s">
        <v>1237</v>
      </c>
      <c r="R147" s="525">
        <f>IFERROR('TB-Key Info'!$L$16*(IFERROR(INDEX('TB-EQUIPMENT &amp; OTHER HPs'!$AX$26:$BI$43,MATCH("5.6"&amp;"1",INDEX('TB-EQUIPMENT &amp; OTHER HPs'!$AW$26:$AW$43&amp;'TB-EQUIPMENT &amp; OTHER HPs'!$AU$26:$AU$43,0),0),MID(LEFT(R$1,SEARCH(" ",R$1)-1),2,3)-INDEX('TB-EQUIPMENT &amp; OTHER HPs'!$AV$26:$AV$43,MATCH("5.6"&amp;"1",INDEX('TB-EQUIPMENT &amp; OTHER HPs'!$AW$26:$AW$43&amp;'TB-EQUIPMENT &amp; OTHER HPs'!$AU$26:$AU$43,0),0))),)+IFERROR(INDEX('TB-EQUIPMENT &amp; OTHER HPs'!$AX$26:$BI$43,MATCH("5.6"&amp;"3",INDEX('TB-EQUIPMENT &amp; OTHER HPs'!$AW$26:$AW$43&amp;'TB-EQUIPMENT &amp; OTHER HPs'!$AU$26:$AU$43,0),0),MID(LEFT(R$1,SEARCH(" ",R$1)-1),2,3)-INDEX('TB-EQUIPMENT &amp; OTHER HPs'!$AV$26:$AV$43,MATCH("5.6"&amp;"3",INDEX('TB-EQUIPMENT &amp; OTHER HPs'!$AW$26:$AW$43&amp;'TB-EQUIPMENT &amp; OTHER HPs'!$AU$26:$AU$43,0),0))),)+IFERROR(INDEX('TB-EQUIPMENT &amp; OTHER HPs'!$AX$26:$BI$43,MATCH("5.6"&amp;"4",INDEX('TB-EQUIPMENT &amp; OTHER HPs'!$AW$26:$AW$43&amp;'TB-EQUIPMENT &amp; OTHER HPs'!$AU$26:$AU$43,0),0),MID(LEFT(R$1,SEARCH(" ",R$1)-1),2,3)-INDEX('TB-EQUIPMENT &amp; OTHER HPs'!$AV$26:$AV$43,MATCH("5.6"&amp;"4",INDEX('TB-EQUIPMENT &amp; OTHER HPs'!$AW$26:$AW$43&amp;'TB-EQUIPMENT &amp; OTHER HPs'!$AU$26:$AU$43,0),0))),)),0)</f>
        <v>0</v>
      </c>
      <c r="S147" s="525" t="s">
        <v>1237</v>
      </c>
      <c r="T147" s="525">
        <f>IFERROR('TB-Key Info'!$L$16*(IFERROR(INDEX('TB-EQUIPMENT &amp; OTHER HPs'!$AX$26:$BI$43,MATCH("5.6"&amp;"1",INDEX('TB-EQUIPMENT &amp; OTHER HPs'!$AW$26:$AW$43&amp;'TB-EQUIPMENT &amp; OTHER HPs'!$AU$26:$AU$43,0),0),MID(LEFT(T$1,SEARCH(" ",T$1)-1),2,3)-INDEX('TB-EQUIPMENT &amp; OTHER HPs'!$AV$26:$AV$43,MATCH("5.6"&amp;"1",INDEX('TB-EQUIPMENT &amp; OTHER HPs'!$AW$26:$AW$43&amp;'TB-EQUIPMENT &amp; OTHER HPs'!$AU$26:$AU$43,0),0))),)+IFERROR(INDEX('TB-EQUIPMENT &amp; OTHER HPs'!$AX$26:$BI$43,MATCH("5.6"&amp;"3",INDEX('TB-EQUIPMENT &amp; OTHER HPs'!$AW$26:$AW$43&amp;'TB-EQUIPMENT &amp; OTHER HPs'!$AU$26:$AU$43,0),0),MID(LEFT(T$1,SEARCH(" ",T$1)-1),2,3)-INDEX('TB-EQUIPMENT &amp; OTHER HPs'!$AV$26:$AV$43,MATCH("5.6"&amp;"3",INDEX('TB-EQUIPMENT &amp; OTHER HPs'!$AW$26:$AW$43&amp;'TB-EQUIPMENT &amp; OTHER HPs'!$AU$26:$AU$43,0),0))),)+IFERROR(INDEX('TB-EQUIPMENT &amp; OTHER HPs'!$AX$26:$BI$43,MATCH("5.6"&amp;"4",INDEX('TB-EQUIPMENT &amp; OTHER HPs'!$AW$26:$AW$43&amp;'TB-EQUIPMENT &amp; OTHER HPs'!$AU$26:$AU$43,0),0),MID(LEFT(T$1,SEARCH(" ",T$1)-1),2,3)-INDEX('TB-EQUIPMENT &amp; OTHER HPs'!$AV$26:$AV$43,MATCH("5.6"&amp;"4",INDEX('TB-EQUIPMENT &amp; OTHER HPs'!$AW$26:$AW$43&amp;'TB-EQUIPMENT &amp; OTHER HPs'!$AU$26:$AU$43,0),0))),)),0)</f>
        <v>0</v>
      </c>
      <c r="U147" s="525" t="s">
        <v>1237</v>
      </c>
      <c r="V147" s="525">
        <f>IFERROR('TB-Key Info'!$L$16*(IFERROR(INDEX('TB-EQUIPMENT &amp; OTHER HPs'!$AX$26:$BI$43,MATCH("5.6"&amp;"1",INDEX('TB-EQUIPMENT &amp; OTHER HPs'!$AW$26:$AW$43&amp;'TB-EQUIPMENT &amp; OTHER HPs'!$AU$26:$AU$43,0),0),MID(LEFT(V$1,SEARCH(" ",V$1)-1),2,3)-INDEX('TB-EQUIPMENT &amp; OTHER HPs'!$AV$26:$AV$43,MATCH("5.6"&amp;"1",INDEX('TB-EQUIPMENT &amp; OTHER HPs'!$AW$26:$AW$43&amp;'TB-EQUIPMENT &amp; OTHER HPs'!$AU$26:$AU$43,0),0))),)+IFERROR(INDEX('TB-EQUIPMENT &amp; OTHER HPs'!$AX$26:$BI$43,MATCH("5.6"&amp;"3",INDEX('TB-EQUIPMENT &amp; OTHER HPs'!$AW$26:$AW$43&amp;'TB-EQUIPMENT &amp; OTHER HPs'!$AU$26:$AU$43,0),0),MID(LEFT(V$1,SEARCH(" ",V$1)-1),2,3)-INDEX('TB-EQUIPMENT &amp; OTHER HPs'!$AV$26:$AV$43,MATCH("5.6"&amp;"3",INDEX('TB-EQUIPMENT &amp; OTHER HPs'!$AW$26:$AW$43&amp;'TB-EQUIPMENT &amp; OTHER HPs'!$AU$26:$AU$43,0),0))),)+IFERROR(INDEX('TB-EQUIPMENT &amp; OTHER HPs'!$AX$26:$BI$43,MATCH("5.6"&amp;"4",INDEX('TB-EQUIPMENT &amp; OTHER HPs'!$AW$26:$AW$43&amp;'TB-EQUIPMENT &amp; OTHER HPs'!$AU$26:$AU$43,0),0),MID(LEFT(V$1,SEARCH(" ",V$1)-1),2,3)-INDEX('TB-EQUIPMENT &amp; OTHER HPs'!$AV$26:$AV$43,MATCH("5.6"&amp;"4",INDEX('TB-EQUIPMENT &amp; OTHER HPs'!$AW$26:$AW$43&amp;'TB-EQUIPMENT &amp; OTHER HPs'!$AU$26:$AU$43,0),0))),)),0)</f>
        <v>0</v>
      </c>
      <c r="W147" s="525"/>
      <c r="X147" s="1154">
        <f t="shared" si="18"/>
        <v>0</v>
      </c>
      <c r="Y147" s="1155"/>
      <c r="Z147" s="1156"/>
      <c r="AA147" s="529"/>
      <c r="AB147" s="525"/>
      <c r="AC147" s="525">
        <f>IFERROR('TB-Key Info'!$L$16*(IFERROR(INDEX('TB-EQUIPMENT &amp; OTHER HPs'!$AX$26:$BI$43,MATCH("5.6"&amp;"1",INDEX('TB-EQUIPMENT &amp; OTHER HPs'!$AW$26:$AW$43&amp;'TB-EQUIPMENT &amp; OTHER HPs'!$AU$26:$AU$43,0),0),MID(LEFT(AC$1,SEARCH(" ",AC$1)-1),2,3)-INDEX('TB-EQUIPMENT &amp; OTHER HPs'!$AV$26:$AV$43,MATCH("5.6"&amp;"1",INDEX('TB-EQUIPMENT &amp; OTHER HPs'!$AW$26:$AW$43&amp;'TB-EQUIPMENT &amp; OTHER HPs'!$AU$26:$AU$43,0),0))),)+IFERROR(INDEX('TB-EQUIPMENT &amp; OTHER HPs'!$AX$26:$BI$43,MATCH("5.6"&amp;"3",INDEX('TB-EQUIPMENT &amp; OTHER HPs'!$AW$26:$AW$43&amp;'TB-EQUIPMENT &amp; OTHER HPs'!$AU$26:$AU$43,0),0),MID(LEFT(AC$1,SEARCH(" ",AC$1)-1),2,3)-INDEX('TB-EQUIPMENT &amp; OTHER HPs'!$AV$26:$AV$43,MATCH("5.6"&amp;"3",INDEX('TB-EQUIPMENT &amp; OTHER HPs'!$AW$26:$AW$43&amp;'TB-EQUIPMENT &amp; OTHER HPs'!$AU$26:$AU$43,0),0))),)+IFERROR(INDEX('TB-EQUIPMENT &amp; OTHER HPs'!$AX$26:$BI$43,MATCH("5.6"&amp;"4",INDEX('TB-EQUIPMENT &amp; OTHER HPs'!$AW$26:$AW$43&amp;'TB-EQUIPMENT &amp; OTHER HPs'!$AU$26:$AU$43,0),0),MID(LEFT(AC$1,SEARCH(" ",AC$1)-1),2,3)-INDEX('TB-EQUIPMENT &amp; OTHER HPs'!$AV$26:$AV$43,MATCH("5.6"&amp;"4",INDEX('TB-EQUIPMENT &amp; OTHER HPs'!$AW$26:$AW$43&amp;'TB-EQUIPMENT &amp; OTHER HPs'!$AU$26:$AU$43,0),0))),)),0)</f>
        <v>0</v>
      </c>
      <c r="AD147" s="525"/>
      <c r="AE147" s="525">
        <f>IFERROR('TB-Key Info'!$L$16*(IFERROR(INDEX('TB-EQUIPMENT &amp; OTHER HPs'!$AX$26:$BI$43,MATCH("5.6"&amp;"1",INDEX('TB-EQUIPMENT &amp; OTHER HPs'!$AW$26:$AW$43&amp;'TB-EQUIPMENT &amp; OTHER HPs'!$AU$26:$AU$43,0),0),MID(LEFT(AE$1,SEARCH(" ",AE$1)-1),2,3)-INDEX('TB-EQUIPMENT &amp; OTHER HPs'!$AV$26:$AV$43,MATCH("5.6"&amp;"1",INDEX('TB-EQUIPMENT &amp; OTHER HPs'!$AW$26:$AW$43&amp;'TB-EQUIPMENT &amp; OTHER HPs'!$AU$26:$AU$43,0),0))),)+IFERROR(INDEX('TB-EQUIPMENT &amp; OTHER HPs'!$AX$26:$BI$43,MATCH("5.6"&amp;"3",INDEX('TB-EQUIPMENT &amp; OTHER HPs'!$AW$26:$AW$43&amp;'TB-EQUIPMENT &amp; OTHER HPs'!$AU$26:$AU$43,0),0),MID(LEFT(AE$1,SEARCH(" ",AE$1)-1),2,3)-INDEX('TB-EQUIPMENT &amp; OTHER HPs'!$AV$26:$AV$43,MATCH("5.6"&amp;"3",INDEX('TB-EQUIPMENT &amp; OTHER HPs'!$AW$26:$AW$43&amp;'TB-EQUIPMENT &amp; OTHER HPs'!$AU$26:$AU$43,0),0))),)+IFERROR(INDEX('TB-EQUIPMENT &amp; OTHER HPs'!$AX$26:$BI$43,MATCH("5.6"&amp;"4",INDEX('TB-EQUIPMENT &amp; OTHER HPs'!$AW$26:$AW$43&amp;'TB-EQUIPMENT &amp; OTHER HPs'!$AU$26:$AU$43,0),0),MID(LEFT(AE$1,SEARCH(" ",AE$1)-1),2,3)-INDEX('TB-EQUIPMENT &amp; OTHER HPs'!$AV$26:$AV$43,MATCH("5.6"&amp;"4",INDEX('TB-EQUIPMENT &amp; OTHER HPs'!$AW$26:$AW$43&amp;'TB-EQUIPMENT &amp; OTHER HPs'!$AU$26:$AU$43,0),0))),)),0)</f>
        <v>0</v>
      </c>
      <c r="AF147" s="525"/>
      <c r="AG147" s="525">
        <f>IFERROR('TB-Key Info'!$L$16*(IFERROR(INDEX('TB-EQUIPMENT &amp; OTHER HPs'!$AX$26:$BI$43,MATCH("5.6"&amp;"1",INDEX('TB-EQUIPMENT &amp; OTHER HPs'!$AW$26:$AW$43&amp;'TB-EQUIPMENT &amp; OTHER HPs'!$AU$26:$AU$43,0),0),MID(LEFT(AG$1,SEARCH(" ",AG$1)-1),2,3)-INDEX('TB-EQUIPMENT &amp; OTHER HPs'!$AV$26:$AV$43,MATCH("5.6"&amp;"1",INDEX('TB-EQUIPMENT &amp; OTHER HPs'!$AW$26:$AW$43&amp;'TB-EQUIPMENT &amp; OTHER HPs'!$AU$26:$AU$43,0),0))),)+IFERROR(INDEX('TB-EQUIPMENT &amp; OTHER HPs'!$AX$26:$BI$43,MATCH("5.6"&amp;"3",INDEX('TB-EQUIPMENT &amp; OTHER HPs'!$AW$26:$AW$43&amp;'TB-EQUIPMENT &amp; OTHER HPs'!$AU$26:$AU$43,0),0),MID(LEFT(AG$1,SEARCH(" ",AG$1)-1),2,3)-INDEX('TB-EQUIPMENT &amp; OTHER HPs'!$AV$26:$AV$43,MATCH("5.6"&amp;"3",INDEX('TB-EQUIPMENT &amp; OTHER HPs'!$AW$26:$AW$43&amp;'TB-EQUIPMENT &amp; OTHER HPs'!$AU$26:$AU$43,0),0))),)+IFERROR(INDEX('TB-EQUIPMENT &amp; OTHER HPs'!$AX$26:$BI$43,MATCH("5.6"&amp;"4",INDEX('TB-EQUIPMENT &amp; OTHER HPs'!$AW$26:$AW$43&amp;'TB-EQUIPMENT &amp; OTHER HPs'!$AU$26:$AU$43,0),0),MID(LEFT(AG$1,SEARCH(" ",AG$1)-1),2,3)-INDEX('TB-EQUIPMENT &amp; OTHER HPs'!$AV$26:$AV$43,MATCH("5.6"&amp;"4",INDEX('TB-EQUIPMENT &amp; OTHER HPs'!$AW$26:$AW$43&amp;'TB-EQUIPMENT &amp; OTHER HPs'!$AU$26:$AU$43,0),0))),)),0)</f>
        <v>0</v>
      </c>
      <c r="AH147" s="525"/>
      <c r="AI147" s="525">
        <f>IFERROR('TB-Key Info'!$L$16*(IFERROR(INDEX('TB-EQUIPMENT &amp; OTHER HPs'!$AX$26:$BI$43,MATCH("5.6"&amp;"1",INDEX('TB-EQUIPMENT &amp; OTHER HPs'!$AW$26:$AW$43&amp;'TB-EQUIPMENT &amp; OTHER HPs'!$AU$26:$AU$43,0),0),MID(LEFT(AI$1,SEARCH(" ",AI$1)-1),2,3)-INDEX('TB-EQUIPMENT &amp; OTHER HPs'!$AV$26:$AV$43,MATCH("5.6"&amp;"1",INDEX('TB-EQUIPMENT &amp; OTHER HPs'!$AW$26:$AW$43&amp;'TB-EQUIPMENT &amp; OTHER HPs'!$AU$26:$AU$43,0),0))),)+IFERROR(INDEX('TB-EQUIPMENT &amp; OTHER HPs'!$AX$26:$BI$43,MATCH("5.6"&amp;"3",INDEX('TB-EQUIPMENT &amp; OTHER HPs'!$AW$26:$AW$43&amp;'TB-EQUIPMENT &amp; OTHER HPs'!$AU$26:$AU$43,0),0),MID(LEFT(AI$1,SEARCH(" ",AI$1)-1),2,3)-INDEX('TB-EQUIPMENT &amp; OTHER HPs'!$AV$26:$AV$43,MATCH("5.6"&amp;"3",INDEX('TB-EQUIPMENT &amp; OTHER HPs'!$AW$26:$AW$43&amp;'TB-EQUIPMENT &amp; OTHER HPs'!$AU$26:$AU$43,0),0))),)+IFERROR(INDEX('TB-EQUIPMENT &amp; OTHER HPs'!$AX$26:$BI$43,MATCH("5.6"&amp;"4",INDEX('TB-EQUIPMENT &amp; OTHER HPs'!$AW$26:$AW$43&amp;'TB-EQUIPMENT &amp; OTHER HPs'!$AU$26:$AU$43,0),0),MID(LEFT(AI$1,SEARCH(" ",AI$1)-1),2,3)-INDEX('TB-EQUIPMENT &amp; OTHER HPs'!$AV$26:$AV$43,MATCH("5.6"&amp;"4",INDEX('TB-EQUIPMENT &amp; OTHER HPs'!$AW$26:$AW$43&amp;'TB-EQUIPMENT &amp; OTHER HPs'!$AU$26:$AU$43,0),0))),)),0)</f>
        <v>0</v>
      </c>
      <c r="AJ147" s="525"/>
      <c r="AK147" s="1154">
        <f t="shared" si="19"/>
        <v>0</v>
      </c>
      <c r="AL147" s="1155"/>
      <c r="AM147" s="1156"/>
      <c r="AN147" s="529"/>
      <c r="AO147" s="525"/>
      <c r="AP147" s="525">
        <f>IFERROR('TB-Key Info'!$L$16*(IFERROR(INDEX('TB-EQUIPMENT &amp; OTHER HPs'!$AX$26:$BI$43,MATCH("5.6"&amp;"1",INDEX('TB-EQUIPMENT &amp; OTHER HPs'!$AW$26:$AW$43&amp;'TB-EQUIPMENT &amp; OTHER HPs'!$AU$26:$AU$43,0),0),MID(LEFT(AP$1,SEARCH(" ",AP$1)-1),2,3)-INDEX('TB-EQUIPMENT &amp; OTHER HPs'!$AV$26:$AV$43,MATCH("5.6"&amp;"1",INDEX('TB-EQUIPMENT &amp; OTHER HPs'!$AW$26:$AW$43&amp;'TB-EQUIPMENT &amp; OTHER HPs'!$AU$26:$AU$43,0),0))),)+IFERROR(INDEX('TB-EQUIPMENT &amp; OTHER HPs'!$AX$26:$BI$43,MATCH("5.6"&amp;"3",INDEX('TB-EQUIPMENT &amp; OTHER HPs'!$AW$26:$AW$43&amp;'TB-EQUIPMENT &amp; OTHER HPs'!$AU$26:$AU$43,0),0),MID(LEFT(AP$1,SEARCH(" ",AP$1)-1),2,3)-INDEX('TB-EQUIPMENT &amp; OTHER HPs'!$AV$26:$AV$43,MATCH("5.6"&amp;"3",INDEX('TB-EQUIPMENT &amp; OTHER HPs'!$AW$26:$AW$43&amp;'TB-EQUIPMENT &amp; OTHER HPs'!$AU$26:$AU$43,0),0))),)+IFERROR(INDEX('TB-EQUIPMENT &amp; OTHER HPs'!$AX$26:$BI$43,MATCH("5.6"&amp;"4",INDEX('TB-EQUIPMENT &amp; OTHER HPs'!$AW$26:$AW$43&amp;'TB-EQUIPMENT &amp; OTHER HPs'!$AU$26:$AU$43,0),0),MID(LEFT(AP$1,SEARCH(" ",AP$1)-1),2,3)-INDEX('TB-EQUIPMENT &amp; OTHER HPs'!$AV$26:$AV$43,MATCH("5.6"&amp;"4",INDEX('TB-EQUIPMENT &amp; OTHER HPs'!$AW$26:$AW$43&amp;'TB-EQUIPMENT &amp; OTHER HPs'!$AU$26:$AU$43,0),0))),)),0)</f>
        <v>0</v>
      </c>
      <c r="AQ147" s="525"/>
      <c r="AR147" s="525">
        <f>IFERROR('TB-Key Info'!$L$16*(IFERROR(INDEX('TB-EQUIPMENT &amp; OTHER HPs'!$AX$26:$BI$43,MATCH("5.6"&amp;"1",INDEX('TB-EQUIPMENT &amp; OTHER HPs'!$AW$26:$AW$43&amp;'TB-EQUIPMENT &amp; OTHER HPs'!$AU$26:$AU$43,0),0),MID(LEFT(AR$1,SEARCH(" ",AR$1)-1),2,3)-INDEX('TB-EQUIPMENT &amp; OTHER HPs'!$AV$26:$AV$43,MATCH("5.6"&amp;"1",INDEX('TB-EQUIPMENT &amp; OTHER HPs'!$AW$26:$AW$43&amp;'TB-EQUIPMENT &amp; OTHER HPs'!$AU$26:$AU$43,0),0))),)+IFERROR(INDEX('TB-EQUIPMENT &amp; OTHER HPs'!$AX$26:$BI$43,MATCH("5.6"&amp;"3",INDEX('TB-EQUIPMENT &amp; OTHER HPs'!$AW$26:$AW$43&amp;'TB-EQUIPMENT &amp; OTHER HPs'!$AU$26:$AU$43,0),0),MID(LEFT(AR$1,SEARCH(" ",AR$1)-1),2,3)-INDEX('TB-EQUIPMENT &amp; OTHER HPs'!$AV$26:$AV$43,MATCH("5.6"&amp;"3",INDEX('TB-EQUIPMENT &amp; OTHER HPs'!$AW$26:$AW$43&amp;'TB-EQUIPMENT &amp; OTHER HPs'!$AU$26:$AU$43,0),0))),)+IFERROR(INDEX('TB-EQUIPMENT &amp; OTHER HPs'!$AX$26:$BI$43,MATCH("5.6"&amp;"4",INDEX('TB-EQUIPMENT &amp; OTHER HPs'!$AW$26:$AW$43&amp;'TB-EQUIPMENT &amp; OTHER HPs'!$AU$26:$AU$43,0),0),MID(LEFT(AR$1,SEARCH(" ",AR$1)-1),2,3)-INDEX('TB-EQUIPMENT &amp; OTHER HPs'!$AV$26:$AV$43,MATCH("5.6"&amp;"4",INDEX('TB-EQUIPMENT &amp; OTHER HPs'!$AW$26:$AW$43&amp;'TB-EQUIPMENT &amp; OTHER HPs'!$AU$26:$AU$43,0),0))),)),0)</f>
        <v>0</v>
      </c>
      <c r="AS147" s="525"/>
      <c r="AT147" s="525">
        <f>IFERROR('TB-Key Info'!$L$16*(IFERROR(INDEX('TB-EQUIPMENT &amp; OTHER HPs'!$AX$26:$BI$43,MATCH("5.6"&amp;"1",INDEX('TB-EQUIPMENT &amp; OTHER HPs'!$AW$26:$AW$43&amp;'TB-EQUIPMENT &amp; OTHER HPs'!$AU$26:$AU$43,0),0),MID(LEFT(AT$1,SEARCH(" ",AT$1)-1),2,3)-INDEX('TB-EQUIPMENT &amp; OTHER HPs'!$AV$26:$AV$43,MATCH("5.6"&amp;"1",INDEX('TB-EQUIPMENT &amp; OTHER HPs'!$AW$26:$AW$43&amp;'TB-EQUIPMENT &amp; OTHER HPs'!$AU$26:$AU$43,0),0))),)+IFERROR(INDEX('TB-EQUIPMENT &amp; OTHER HPs'!$AX$26:$BI$43,MATCH("5.6"&amp;"3",INDEX('TB-EQUIPMENT &amp; OTHER HPs'!$AW$26:$AW$43&amp;'TB-EQUIPMENT &amp; OTHER HPs'!$AU$26:$AU$43,0),0),MID(LEFT(AT$1,SEARCH(" ",AT$1)-1),2,3)-INDEX('TB-EQUIPMENT &amp; OTHER HPs'!$AV$26:$AV$43,MATCH("5.6"&amp;"3",INDEX('TB-EQUIPMENT &amp; OTHER HPs'!$AW$26:$AW$43&amp;'TB-EQUIPMENT &amp; OTHER HPs'!$AU$26:$AU$43,0),0))),)+IFERROR(INDEX('TB-EQUIPMENT &amp; OTHER HPs'!$AX$26:$BI$43,MATCH("5.6"&amp;"4",INDEX('TB-EQUIPMENT &amp; OTHER HPs'!$AW$26:$AW$43&amp;'TB-EQUIPMENT &amp; OTHER HPs'!$AU$26:$AU$43,0),0),MID(LEFT(AT$1,SEARCH(" ",AT$1)-1),2,3)-INDEX('TB-EQUIPMENT &amp; OTHER HPs'!$AV$26:$AV$43,MATCH("5.6"&amp;"4",INDEX('TB-EQUIPMENT &amp; OTHER HPs'!$AW$26:$AW$43&amp;'TB-EQUIPMENT &amp; OTHER HPs'!$AU$26:$AU$43,0),0))),)),0)</f>
        <v>0</v>
      </c>
      <c r="AU147" s="525"/>
      <c r="AV147" s="525">
        <f>IFERROR('TB-Key Info'!$L$16*((INDEX('TB-EQUIPMENT &amp; OTHER HPs'!$BJ$26:$BJ$43,MATCH("5.6"&amp;"1",INDEX('TB-EQUIPMENT &amp; OTHER HPs'!$AW$26:$AW$43&amp;'TB-EQUIPMENT &amp; OTHER HPs'!$AU$26:$AU$43,0),0)))+(INDEX('TB-EQUIPMENT &amp; OTHER HPs'!$BJ$26:$BJ$43,MATCH("5.6"&amp;"3",INDEX('TB-EQUIPMENT &amp; OTHER HPs'!$AW$26:$AW$43&amp;'TB-EQUIPMENT &amp; OTHER HPs'!$AU$26:$AU$43,0),0)))+(INDEX('TB-EQUIPMENT &amp; OTHER HPs'!$BJ$26:$BJ$43,MATCH("5.6"&amp;"4",INDEX('TB-EQUIPMENT &amp; OTHER HPs'!$AW$26:$AW$43&amp;'TB-EQUIPMENT &amp; OTHER HPs'!$AU$26:$AU$43,0),0),)))-SUM(X147,AK147,AP147,AR147,AT147),0)</f>
        <v>0</v>
      </c>
      <c r="AW147" s="525"/>
      <c r="AX147" s="1154">
        <f t="shared" si="20"/>
        <v>0</v>
      </c>
      <c r="AY147" s="1154"/>
      <c r="AZ147" s="528"/>
      <c r="BA147" s="529"/>
      <c r="BB147" s="527"/>
      <c r="BC147" s="527">
        <v>0</v>
      </c>
      <c r="BD147" s="527">
        <v>0</v>
      </c>
      <c r="BE147" s="527">
        <v>0</v>
      </c>
      <c r="BF147" s="527">
        <v>0</v>
      </c>
      <c r="BG147" s="527">
        <v>0</v>
      </c>
      <c r="BH147" s="527">
        <v>0</v>
      </c>
      <c r="BI147" s="527">
        <v>0</v>
      </c>
      <c r="BJ147" s="527">
        <v>0</v>
      </c>
      <c r="BK147" s="1154">
        <f t="shared" si="21"/>
        <v>0</v>
      </c>
      <c r="BL147" s="1154"/>
      <c r="BM147" s="1154">
        <f t="shared" si="22"/>
        <v>0</v>
      </c>
      <c r="BN147" s="1154">
        <f t="shared" si="23"/>
        <v>0</v>
      </c>
      <c r="BO147" s="527"/>
      <c r="BP147" s="527"/>
      <c r="BQ147" s="1157">
        <v>0</v>
      </c>
      <c r="BR147" s="1157" t="s">
        <v>688</v>
      </c>
      <c r="BS147" s="1157" t="s">
        <v>594</v>
      </c>
      <c r="BT147" s="1376" t="s">
        <v>1439</v>
      </c>
    </row>
    <row r="148" spans="1:73" s="512" customFormat="1" ht="13" hidden="1">
      <c r="A148" s="1204">
        <v>357</v>
      </c>
      <c r="B148" s="1205" t="s">
        <v>657</v>
      </c>
      <c r="C148" s="1205" t="s">
        <v>658</v>
      </c>
      <c r="D148" s="1206" t="s">
        <v>596</v>
      </c>
      <c r="E148" s="1386" t="s">
        <v>597</v>
      </c>
      <c r="F148" s="521"/>
      <c r="G148" s="522"/>
      <c r="H148" s="522"/>
      <c r="I148" s="522"/>
      <c r="J148" s="523"/>
      <c r="K148" s="523"/>
      <c r="L148" s="523"/>
      <c r="M148" s="524"/>
      <c r="N148" s="525"/>
      <c r="O148" s="526" t="s">
        <v>1237</v>
      </c>
      <c r="P148" s="525">
        <f>IFERROR('TB-Key Info'!$L$16*(INDEX('TB-EQUIPMENT &amp; OTHER HPs'!$AX$26:$BI$43,MATCH("5.8"&amp;"4",INDEX('TB-EQUIPMENT &amp; OTHER HPs'!$AW$26:$AW$43&amp;'TB-EQUIPMENT &amp; OTHER HPs'!$AU$26:$AU$43,0),0),MID(LEFT(P$1,SEARCH(" ",P$1)-1),2,3)-INDEX('TB-EQUIPMENT &amp; OTHER HPs'!$AV$26:$AV$43,MATCH("5.8"&amp;"4",INDEX('TB-EQUIPMENT &amp; OTHER HPs'!$AW$26:$AW$43&amp;'TB-EQUIPMENT &amp; OTHER HPs'!$AU$26:$AU$43,0),0)))),)</f>
        <v>0</v>
      </c>
      <c r="Q148" s="525" t="s">
        <v>1237</v>
      </c>
      <c r="R148" s="525">
        <f>IFERROR('TB-Key Info'!$L$16*(INDEX('TB-EQUIPMENT &amp; OTHER HPs'!$AX$26:$BI$43,MATCH("5.8"&amp;"4",INDEX('TB-EQUIPMENT &amp; OTHER HPs'!$AW$26:$AW$43&amp;'TB-EQUIPMENT &amp; OTHER HPs'!$AU$26:$AU$43,0),0),MID(LEFT(R$1,SEARCH(" ",R$1)-1),2,3)-INDEX('TB-EQUIPMENT &amp; OTHER HPs'!$AV$26:$AV$43,MATCH("5.8"&amp;"4",INDEX('TB-EQUIPMENT &amp; OTHER HPs'!$AW$26:$AW$43&amp;'TB-EQUIPMENT &amp; OTHER HPs'!$AU$26:$AU$43,0),0)))),)</f>
        <v>0</v>
      </c>
      <c r="S148" s="525" t="s">
        <v>1237</v>
      </c>
      <c r="T148" s="525">
        <f>IFERROR('TB-Key Info'!$L$16*(INDEX('TB-EQUIPMENT &amp; OTHER HPs'!$AX$26:$BI$43,MATCH("5.8"&amp;"4",INDEX('TB-EQUIPMENT &amp; OTHER HPs'!$AW$26:$AW$43&amp;'TB-EQUIPMENT &amp; OTHER HPs'!$AU$26:$AU$43,0),0),MID(LEFT(T$1,SEARCH(" ",T$1)-1),2,3)-INDEX('TB-EQUIPMENT &amp; OTHER HPs'!$AV$26:$AV$43,MATCH("5.8"&amp;"4",INDEX('TB-EQUIPMENT &amp; OTHER HPs'!$AW$26:$AW$43&amp;'TB-EQUIPMENT &amp; OTHER HPs'!$AU$26:$AU$43,0),0)))),)</f>
        <v>0</v>
      </c>
      <c r="U148" s="525" t="s">
        <v>1237</v>
      </c>
      <c r="V148" s="525">
        <f>IFERROR('TB-Key Info'!$L$16*(INDEX('TB-EQUIPMENT &amp; OTHER HPs'!$AX$26:$BI$43,MATCH("5.8"&amp;"4",INDEX('TB-EQUIPMENT &amp; OTHER HPs'!$AW$26:$AW$43&amp;'TB-EQUIPMENT &amp; OTHER HPs'!$AU$26:$AU$43,0),0),MID(LEFT(V$1,SEARCH(" ",V$1)-1),2,3)-INDEX('TB-EQUIPMENT &amp; OTHER HPs'!$AV$26:$AV$43,MATCH("5.8"&amp;"4",INDEX('TB-EQUIPMENT &amp; OTHER HPs'!$AW$26:$AW$43&amp;'TB-EQUIPMENT &amp; OTHER HPs'!$AU$26:$AU$43,0),0)))),)</f>
        <v>0</v>
      </c>
      <c r="W148" s="525"/>
      <c r="X148" s="1154">
        <f t="shared" si="18"/>
        <v>0</v>
      </c>
      <c r="Y148" s="1155"/>
      <c r="Z148" s="1156"/>
      <c r="AA148" s="529"/>
      <c r="AB148" s="525"/>
      <c r="AC148" s="525">
        <f>IFERROR('TB-Key Info'!$L$16*(INDEX('TB-EQUIPMENT &amp; OTHER HPs'!$AX$26:$BI$43,MATCH("5.8"&amp;"4",INDEX('TB-EQUIPMENT &amp; OTHER HPs'!$AW$26:$AW$43&amp;'TB-EQUIPMENT &amp; OTHER HPs'!$AU$26:$AU$43,0),0),MID(LEFT(AC$1,SEARCH(" ",AC$1)-1),2,3)-INDEX('TB-EQUIPMENT &amp; OTHER HPs'!$AV$26:$AV$43,MATCH("5.8"&amp;"4",INDEX('TB-EQUIPMENT &amp; OTHER HPs'!$AW$26:$AW$43&amp;'TB-EQUIPMENT &amp; OTHER HPs'!$AU$26:$AU$43,0),0)))),)</f>
        <v>0</v>
      </c>
      <c r="AD148" s="525"/>
      <c r="AE148" s="525">
        <f>IFERROR('TB-Key Info'!$L$16*(INDEX('TB-EQUIPMENT &amp; OTHER HPs'!$AX$26:$BI$43,MATCH("5.8"&amp;"4",INDEX('TB-EQUIPMENT &amp; OTHER HPs'!$AW$26:$AW$43&amp;'TB-EQUIPMENT &amp; OTHER HPs'!$AU$26:$AU$43,0),0),MID(LEFT(AE$1,SEARCH(" ",AE$1)-1),2,3)-INDEX('TB-EQUIPMENT &amp; OTHER HPs'!$AV$26:$AV$43,MATCH("5.8"&amp;"4",INDEX('TB-EQUIPMENT &amp; OTHER HPs'!$AW$26:$AW$43&amp;'TB-EQUIPMENT &amp; OTHER HPs'!$AU$26:$AU$43,0),0)))),)</f>
        <v>0</v>
      </c>
      <c r="AF148" s="525"/>
      <c r="AG148" s="525">
        <f>IFERROR('TB-Key Info'!$L$16*(INDEX('TB-EQUIPMENT &amp; OTHER HPs'!$AX$26:$BI$43,MATCH("5.8"&amp;"4",INDEX('TB-EQUIPMENT &amp; OTHER HPs'!$AW$26:$AW$43&amp;'TB-EQUIPMENT &amp; OTHER HPs'!$AU$26:$AU$43,0),0),MID(LEFT(AG$1,SEARCH(" ",AG$1)-1),2,3)-INDEX('TB-EQUIPMENT &amp; OTHER HPs'!$AV$26:$AV$43,MATCH("5.8"&amp;"4",INDEX('TB-EQUIPMENT &amp; OTHER HPs'!$AW$26:$AW$43&amp;'TB-EQUIPMENT &amp; OTHER HPs'!$AU$26:$AU$43,0),0)))),)</f>
        <v>0</v>
      </c>
      <c r="AH148" s="525"/>
      <c r="AI148" s="525">
        <f>IFERROR('TB-Key Info'!$L$16*(INDEX('TB-EQUIPMENT &amp; OTHER HPs'!$AX$26:$BI$43,MATCH("5.8"&amp;"4",INDEX('TB-EQUIPMENT &amp; OTHER HPs'!$AW$26:$AW$43&amp;'TB-EQUIPMENT &amp; OTHER HPs'!$AU$26:$AU$43,0),0),MID(LEFT(AI$1,SEARCH(" ",AI$1)-1),2,3)-INDEX('TB-EQUIPMENT &amp; OTHER HPs'!$AV$26:$AV$43,MATCH("5.8"&amp;"4",INDEX('TB-EQUIPMENT &amp; OTHER HPs'!$AW$26:$AW$43&amp;'TB-EQUIPMENT &amp; OTHER HPs'!$AU$26:$AU$43,0),0)))),)</f>
        <v>0</v>
      </c>
      <c r="AJ148" s="525"/>
      <c r="AK148" s="1154">
        <f t="shared" si="19"/>
        <v>0</v>
      </c>
      <c r="AL148" s="1155"/>
      <c r="AM148" s="1156"/>
      <c r="AN148" s="529"/>
      <c r="AO148" s="525"/>
      <c r="AP148" s="525">
        <f>IFERROR('TB-Key Info'!$L$16*(INDEX('TB-EQUIPMENT &amp; OTHER HPs'!$AX$26:$BI$43,MATCH("5.8"&amp;"4",INDEX('TB-EQUIPMENT &amp; OTHER HPs'!$AW$26:$AW$43&amp;'TB-EQUIPMENT &amp; OTHER HPs'!$AU$26:$AU$43,0),0),MID(LEFT(AP$1,SEARCH(" ",AP$1)-1),2,3)-INDEX('TB-EQUIPMENT &amp; OTHER HPs'!$AV$26:$AV$43,MATCH("5.8"&amp;"4",INDEX('TB-EQUIPMENT &amp; OTHER HPs'!$AW$26:$AW$43&amp;'TB-EQUIPMENT &amp; OTHER HPs'!$AU$26:$AU$43,0),0)))),)</f>
        <v>0</v>
      </c>
      <c r="AQ148" s="525"/>
      <c r="AR148" s="525">
        <f>IFERROR('TB-Key Info'!$L$16*(INDEX('TB-EQUIPMENT &amp; OTHER HPs'!$AX$26:$BI$43,MATCH("5.8"&amp;"4",INDEX('TB-EQUIPMENT &amp; OTHER HPs'!$AW$26:$AW$43&amp;'TB-EQUIPMENT &amp; OTHER HPs'!$AU$26:$AU$43,0),0),MID(LEFT(AR$1,SEARCH(" ",AR$1)-1),2,3)-INDEX('TB-EQUIPMENT &amp; OTHER HPs'!$AV$26:$AV$43,MATCH("5.8"&amp;"4",INDEX('TB-EQUIPMENT &amp; OTHER HPs'!$AW$26:$AW$43&amp;'TB-EQUIPMENT &amp; OTHER HPs'!$AU$26:$AU$43,0),0)))),)</f>
        <v>0</v>
      </c>
      <c r="AS148" s="525"/>
      <c r="AT148" s="525">
        <f>IFERROR('TB-Key Info'!$L$16*(INDEX('TB-EQUIPMENT &amp; OTHER HPs'!$AX$26:$BI$43,MATCH("5.8"&amp;"4",INDEX('TB-EQUIPMENT &amp; OTHER HPs'!$AW$26:$AW$43&amp;'TB-EQUIPMENT &amp; OTHER HPs'!$AU$26:$AU$43,0),0),MID(LEFT(AT$1,SEARCH(" ",AT$1)-1),2,3)-INDEX('TB-EQUIPMENT &amp; OTHER HPs'!$AV$26:$AV$43,MATCH("5.8"&amp;"4",INDEX('TB-EQUIPMENT &amp; OTHER HPs'!$AW$26:$AW$43&amp;'TB-EQUIPMENT &amp; OTHER HPs'!$AU$26:$AU$43,0),0)))),)</f>
        <v>0</v>
      </c>
      <c r="AU148" s="525"/>
      <c r="AV148" s="525">
        <f>IFERROR('TB-Key Info'!$L$16*(INDEX('TB-EQUIPMENT &amp; OTHER HPs'!$BJ$26:$BJ$43,MATCH("5.8"&amp;"4",INDEX('TB-EQUIPMENT &amp; OTHER HPs'!$AW$26:$AW$43&amp;'TB-EQUIPMENT &amp; OTHER HPs'!$AU$26:$AU$43,0),0)))-SUM(X148,AK148,AP148,AR148,AT148),)</f>
        <v>0</v>
      </c>
      <c r="AW148" s="525"/>
      <c r="AX148" s="1154">
        <f t="shared" si="20"/>
        <v>0</v>
      </c>
      <c r="AY148" s="1154"/>
      <c r="AZ148" s="528"/>
      <c r="BA148" s="529"/>
      <c r="BB148" s="527"/>
      <c r="BC148" s="527">
        <v>0</v>
      </c>
      <c r="BD148" s="527">
        <v>0</v>
      </c>
      <c r="BE148" s="527">
        <v>0</v>
      </c>
      <c r="BF148" s="527">
        <v>0</v>
      </c>
      <c r="BG148" s="527">
        <v>0</v>
      </c>
      <c r="BH148" s="527">
        <v>0</v>
      </c>
      <c r="BI148" s="527">
        <v>0</v>
      </c>
      <c r="BJ148" s="527">
        <v>0</v>
      </c>
      <c r="BK148" s="1154">
        <f t="shared" si="21"/>
        <v>0</v>
      </c>
      <c r="BL148" s="1154"/>
      <c r="BM148" s="1154">
        <f t="shared" si="22"/>
        <v>0</v>
      </c>
      <c r="BN148" s="1154">
        <f t="shared" si="23"/>
        <v>0</v>
      </c>
      <c r="BO148" s="527"/>
      <c r="BP148" s="527"/>
      <c r="BQ148" s="1157">
        <v>0</v>
      </c>
      <c r="BR148" s="1157" t="s">
        <v>688</v>
      </c>
      <c r="BS148" s="1157" t="s">
        <v>596</v>
      </c>
      <c r="BT148" s="1376" t="s">
        <v>1412</v>
      </c>
    </row>
    <row r="149" spans="1:73" s="512" customFormat="1" ht="13" hidden="1">
      <c r="A149" s="1204">
        <v>358</v>
      </c>
      <c r="B149" s="1205" t="s">
        <v>657</v>
      </c>
      <c r="C149" s="1205" t="s">
        <v>658</v>
      </c>
      <c r="D149" s="1206" t="s">
        <v>2566</v>
      </c>
      <c r="E149" s="1386" t="s">
        <v>654</v>
      </c>
      <c r="F149" s="521"/>
      <c r="G149" s="522"/>
      <c r="H149" s="522"/>
      <c r="I149" s="522"/>
      <c r="J149" s="523"/>
      <c r="K149" s="523"/>
      <c r="L149" s="523"/>
      <c r="M149" s="524"/>
      <c r="N149" s="525"/>
      <c r="O149" s="526" t="s">
        <v>1237</v>
      </c>
      <c r="P149" s="525">
        <f>IFERROR('TB-Key Info'!$L$16*(IFERROR(INDEX('TB-EQUIPMENT &amp; OTHER HPs'!$AX$26:$BI$43,MATCH("6.4"&amp;"2",INDEX('TB-EQUIPMENT &amp; OTHER HPs'!$AW$26:$AW$43&amp;'TB-EQUIPMENT &amp; OTHER HPs'!$AU$26:$AU$43,0),0),MID(LEFT(P$1,SEARCH(" ",P$1)-1),2,3)-INDEX('TB-EQUIPMENT &amp; OTHER HPs'!$AV$26:$AV$43,MATCH("6.4"&amp;"2",INDEX('TB-EQUIPMENT &amp; OTHER HPs'!$AW$26:$AW$43&amp;'TB-EQUIPMENT &amp; OTHER HPs'!$AU$26:$AU$43,0),0))),)+IFERROR(INDEX('TB-EQUIPMENT &amp; OTHER HPs'!$AX$26:$BI$43,MATCH("6.4"&amp;"3",INDEX('TB-EQUIPMENT &amp; OTHER HPs'!$AW$26:$AW$43&amp;'TB-EQUIPMENT &amp; OTHER HPs'!$AU$26:$AU$43,0),0),MID(LEFT(P$1,SEARCH(" ",P$1)-1),2,3)-INDEX('TB-EQUIPMENT &amp; OTHER HPs'!$AV$26:$AV$43,MATCH("6.4"&amp;"3",INDEX('TB-EQUIPMENT &amp; OTHER HPs'!$AW$26:$AW$43&amp;'TB-EQUIPMENT &amp; OTHER HPs'!$AU$26:$AU$43,0),0))),)),)</f>
        <v>0</v>
      </c>
      <c r="Q149" s="525" t="s">
        <v>1237</v>
      </c>
      <c r="R149" s="525">
        <f>IFERROR('TB-Key Info'!$L$16*(IFERROR(INDEX('TB-EQUIPMENT &amp; OTHER HPs'!$AX$26:$BI$43,MATCH("6.4"&amp;"2",INDEX('TB-EQUIPMENT &amp; OTHER HPs'!$AW$26:$AW$43&amp;'TB-EQUIPMENT &amp; OTHER HPs'!$AU$26:$AU$43,0),0),MID(LEFT(R$1,SEARCH(" ",R$1)-1),2,3)-INDEX('TB-EQUIPMENT &amp; OTHER HPs'!$AV$26:$AV$43,MATCH("6.4"&amp;"2",INDEX('TB-EQUIPMENT &amp; OTHER HPs'!$AW$26:$AW$43&amp;'TB-EQUIPMENT &amp; OTHER HPs'!$AU$26:$AU$43,0),0))),)+IFERROR(INDEX('TB-EQUIPMENT &amp; OTHER HPs'!$AX$26:$BI$43,MATCH("6.4"&amp;"3",INDEX('TB-EQUIPMENT &amp; OTHER HPs'!$AW$26:$AW$43&amp;'TB-EQUIPMENT &amp; OTHER HPs'!$AU$26:$AU$43,0),0),MID(LEFT(R$1,SEARCH(" ",R$1)-1),2,3)-INDEX('TB-EQUIPMENT &amp; OTHER HPs'!$AV$26:$AV$43,MATCH("6.4"&amp;"3",INDEX('TB-EQUIPMENT &amp; OTHER HPs'!$AW$26:$AW$43&amp;'TB-EQUIPMENT &amp; OTHER HPs'!$AU$26:$AU$43,0),0))),)),)</f>
        <v>0</v>
      </c>
      <c r="S149" s="525" t="s">
        <v>1237</v>
      </c>
      <c r="T149" s="525">
        <f>IFERROR('TB-Key Info'!$L$16*(IFERROR(INDEX('TB-EQUIPMENT &amp; OTHER HPs'!$AX$26:$BI$43,MATCH("6.4"&amp;"2",INDEX('TB-EQUIPMENT &amp; OTHER HPs'!$AW$26:$AW$43&amp;'TB-EQUIPMENT &amp; OTHER HPs'!$AU$26:$AU$43,0),0),MID(LEFT(T$1,SEARCH(" ",T$1)-1),2,3)-INDEX('TB-EQUIPMENT &amp; OTHER HPs'!$AV$26:$AV$43,MATCH("6.4"&amp;"2",INDEX('TB-EQUIPMENT &amp; OTHER HPs'!$AW$26:$AW$43&amp;'TB-EQUIPMENT &amp; OTHER HPs'!$AU$26:$AU$43,0),0))),)+IFERROR(INDEX('TB-EQUIPMENT &amp; OTHER HPs'!$AX$26:$BI$43,MATCH("6.4"&amp;"3",INDEX('TB-EQUIPMENT &amp; OTHER HPs'!$AW$26:$AW$43&amp;'TB-EQUIPMENT &amp; OTHER HPs'!$AU$26:$AU$43,0),0),MID(LEFT(T$1,SEARCH(" ",T$1)-1),2,3)-INDEX('TB-EQUIPMENT &amp; OTHER HPs'!$AV$26:$AV$43,MATCH("6.4"&amp;"3",INDEX('TB-EQUIPMENT &amp; OTHER HPs'!$AW$26:$AW$43&amp;'TB-EQUIPMENT &amp; OTHER HPs'!$AU$26:$AU$43,0),0))),)),)</f>
        <v>0</v>
      </c>
      <c r="U149" s="525" t="s">
        <v>1237</v>
      </c>
      <c r="V149" s="525">
        <f>IFERROR('TB-Key Info'!$L$16*(IFERROR(INDEX('TB-EQUIPMENT &amp; OTHER HPs'!$AX$26:$BI$43,MATCH("6.4"&amp;"2",INDEX('TB-EQUIPMENT &amp; OTHER HPs'!$AW$26:$AW$43&amp;'TB-EQUIPMENT &amp; OTHER HPs'!$AU$26:$AU$43,0),0),MID(LEFT(V$1,SEARCH(" ",V$1)-1),2,3)-INDEX('TB-EQUIPMENT &amp; OTHER HPs'!$AV$26:$AV$43,MATCH("6.4"&amp;"2",INDEX('TB-EQUIPMENT &amp; OTHER HPs'!$AW$26:$AW$43&amp;'TB-EQUIPMENT &amp; OTHER HPs'!$AU$26:$AU$43,0),0))),)+IFERROR(INDEX('TB-EQUIPMENT &amp; OTHER HPs'!$AX$26:$BI$43,MATCH("6.4"&amp;"3",INDEX('TB-EQUIPMENT &amp; OTHER HPs'!$AW$26:$AW$43&amp;'TB-EQUIPMENT &amp; OTHER HPs'!$AU$26:$AU$43,0),0),MID(LEFT(V$1,SEARCH(" ",V$1)-1),2,3)-INDEX('TB-EQUIPMENT &amp; OTHER HPs'!$AV$26:$AV$43,MATCH("6.4"&amp;"3",INDEX('TB-EQUIPMENT &amp; OTHER HPs'!$AW$26:$AW$43&amp;'TB-EQUIPMENT &amp; OTHER HPs'!$AU$26:$AU$43,0),0))),)),)</f>
        <v>0</v>
      </c>
      <c r="W149" s="525"/>
      <c r="X149" s="1154">
        <f t="shared" si="18"/>
        <v>0</v>
      </c>
      <c r="Y149" s="1155"/>
      <c r="Z149" s="1156"/>
      <c r="AA149" s="529"/>
      <c r="AB149" s="525"/>
      <c r="AC149" s="525">
        <f>IFERROR('TB-Key Info'!$L$16*(IFERROR(INDEX('TB-EQUIPMENT &amp; OTHER HPs'!$AX$26:$BI$43,MATCH("6.4"&amp;"2",INDEX('TB-EQUIPMENT &amp; OTHER HPs'!$AW$26:$AW$43&amp;'TB-EQUIPMENT &amp; OTHER HPs'!$AU$26:$AU$43,0),0),MID(LEFT(AC$1,SEARCH(" ",AC$1)-1),2,3)-INDEX('TB-EQUIPMENT &amp; OTHER HPs'!$AV$26:$AV$43,MATCH("6.4"&amp;"2",INDEX('TB-EQUIPMENT &amp; OTHER HPs'!$AW$26:$AW$43&amp;'TB-EQUIPMENT &amp; OTHER HPs'!$AU$26:$AU$43,0),0))),)+IFERROR(INDEX('TB-EQUIPMENT &amp; OTHER HPs'!$AX$26:$BI$43,MATCH("6.4"&amp;"3",INDEX('TB-EQUIPMENT &amp; OTHER HPs'!$AW$26:$AW$43&amp;'TB-EQUIPMENT &amp; OTHER HPs'!$AU$26:$AU$43,0),0),MID(LEFT(AC$1,SEARCH(" ",AC$1)-1),2,3)-INDEX('TB-EQUIPMENT &amp; OTHER HPs'!$AV$26:$AV$43,MATCH("6.4"&amp;"3",INDEX('TB-EQUIPMENT &amp; OTHER HPs'!$AW$26:$AW$43&amp;'TB-EQUIPMENT &amp; OTHER HPs'!$AU$26:$AU$43,0),0))),)),)</f>
        <v>0</v>
      </c>
      <c r="AD149" s="525"/>
      <c r="AE149" s="525">
        <f>IFERROR('TB-Key Info'!$L$16*(IFERROR(INDEX('TB-EQUIPMENT &amp; OTHER HPs'!$AX$26:$BI$43,MATCH("6.4"&amp;"2",INDEX('TB-EQUIPMENT &amp; OTHER HPs'!$AW$26:$AW$43&amp;'TB-EQUIPMENT &amp; OTHER HPs'!$AU$26:$AU$43,0),0),MID(LEFT(AE$1,SEARCH(" ",AE$1)-1),2,3)-INDEX('TB-EQUIPMENT &amp; OTHER HPs'!$AV$26:$AV$43,MATCH("6.4"&amp;"2",INDEX('TB-EQUIPMENT &amp; OTHER HPs'!$AW$26:$AW$43&amp;'TB-EQUIPMENT &amp; OTHER HPs'!$AU$26:$AU$43,0),0))),)+IFERROR(INDEX('TB-EQUIPMENT &amp; OTHER HPs'!$AX$26:$BI$43,MATCH("6.4"&amp;"3",INDEX('TB-EQUIPMENT &amp; OTHER HPs'!$AW$26:$AW$43&amp;'TB-EQUIPMENT &amp; OTHER HPs'!$AU$26:$AU$43,0),0),MID(LEFT(AE$1,SEARCH(" ",AE$1)-1),2,3)-INDEX('TB-EQUIPMENT &amp; OTHER HPs'!$AV$26:$AV$43,MATCH("6.4"&amp;"3",INDEX('TB-EQUIPMENT &amp; OTHER HPs'!$AW$26:$AW$43&amp;'TB-EQUIPMENT &amp; OTHER HPs'!$AU$26:$AU$43,0),0))),)),)</f>
        <v>0</v>
      </c>
      <c r="AF149" s="525"/>
      <c r="AG149" s="525">
        <f>IFERROR('TB-Key Info'!$L$16*(IFERROR(INDEX('TB-EQUIPMENT &amp; OTHER HPs'!$AX$26:$BI$43,MATCH("6.4"&amp;"2",INDEX('TB-EQUIPMENT &amp; OTHER HPs'!$AW$26:$AW$43&amp;'TB-EQUIPMENT &amp; OTHER HPs'!$AU$26:$AU$43,0),0),MID(LEFT(AG$1,SEARCH(" ",AG$1)-1),2,3)-INDEX('TB-EQUIPMENT &amp; OTHER HPs'!$AV$26:$AV$43,MATCH("6.4"&amp;"2",INDEX('TB-EQUIPMENT &amp; OTHER HPs'!$AW$26:$AW$43&amp;'TB-EQUIPMENT &amp; OTHER HPs'!$AU$26:$AU$43,0),0))),)+IFERROR(INDEX('TB-EQUIPMENT &amp; OTHER HPs'!$AX$26:$BI$43,MATCH("6.4"&amp;"3",INDEX('TB-EQUIPMENT &amp; OTHER HPs'!$AW$26:$AW$43&amp;'TB-EQUIPMENT &amp; OTHER HPs'!$AU$26:$AU$43,0),0),MID(LEFT(AG$1,SEARCH(" ",AG$1)-1),2,3)-INDEX('TB-EQUIPMENT &amp; OTHER HPs'!$AV$26:$AV$43,MATCH("6.4"&amp;"3",INDEX('TB-EQUIPMENT &amp; OTHER HPs'!$AW$26:$AW$43&amp;'TB-EQUIPMENT &amp; OTHER HPs'!$AU$26:$AU$43,0),0))),)),)</f>
        <v>0</v>
      </c>
      <c r="AH149" s="525"/>
      <c r="AI149" s="525">
        <f>IFERROR('TB-Key Info'!$L$16*(IFERROR(INDEX('TB-EQUIPMENT &amp; OTHER HPs'!$AX$26:$BI$43,MATCH("6.4"&amp;"2",INDEX('TB-EQUIPMENT &amp; OTHER HPs'!$AW$26:$AW$43&amp;'TB-EQUIPMENT &amp; OTHER HPs'!$AU$26:$AU$43,0),0),MID(LEFT(AI$1,SEARCH(" ",AI$1)-1),2,3)-INDEX('TB-EQUIPMENT &amp; OTHER HPs'!$AV$26:$AV$43,MATCH("6.4"&amp;"2",INDEX('TB-EQUIPMENT &amp; OTHER HPs'!$AW$26:$AW$43&amp;'TB-EQUIPMENT &amp; OTHER HPs'!$AU$26:$AU$43,0),0))),)+IFERROR(INDEX('TB-EQUIPMENT &amp; OTHER HPs'!$AX$26:$BI$43,MATCH("6.4"&amp;"3",INDEX('TB-EQUIPMENT &amp; OTHER HPs'!$AW$26:$AW$43&amp;'TB-EQUIPMENT &amp; OTHER HPs'!$AU$26:$AU$43,0),0),MID(LEFT(AI$1,SEARCH(" ",AI$1)-1),2,3)-INDEX('TB-EQUIPMENT &amp; OTHER HPs'!$AV$26:$AV$43,MATCH("6.4"&amp;"3",INDEX('TB-EQUIPMENT &amp; OTHER HPs'!$AW$26:$AW$43&amp;'TB-EQUIPMENT &amp; OTHER HPs'!$AU$26:$AU$43,0),0))),)),)</f>
        <v>0</v>
      </c>
      <c r="AJ149" s="525"/>
      <c r="AK149" s="1154">
        <f t="shared" si="19"/>
        <v>0</v>
      </c>
      <c r="AL149" s="1155"/>
      <c r="AM149" s="1156"/>
      <c r="AN149" s="529"/>
      <c r="AO149" s="525"/>
      <c r="AP149" s="525">
        <f>IFERROR('TB-Key Info'!$L$16*(IFERROR(INDEX('TB-EQUIPMENT &amp; OTHER HPs'!$AX$26:$BI$43,MATCH("6.4"&amp;"2",INDEX('TB-EQUIPMENT &amp; OTHER HPs'!$AW$26:$AW$43&amp;'TB-EQUIPMENT &amp; OTHER HPs'!$AU$26:$AU$43,0),0),MID(LEFT(AP$1,SEARCH(" ",AP$1)-1),2,3)-INDEX('TB-EQUIPMENT &amp; OTHER HPs'!$AV$26:$AV$43,MATCH("6.4"&amp;"2",INDEX('TB-EQUIPMENT &amp; OTHER HPs'!$AW$26:$AW$43&amp;'TB-EQUIPMENT &amp; OTHER HPs'!$AU$26:$AU$43,0),0))),)+IFERROR(INDEX('TB-EQUIPMENT &amp; OTHER HPs'!$AX$26:$BI$43,MATCH("6.4"&amp;"3",INDEX('TB-EQUIPMENT &amp; OTHER HPs'!$AW$26:$AW$43&amp;'TB-EQUIPMENT &amp; OTHER HPs'!$AU$26:$AU$43,0),0),MID(LEFT(AP$1,SEARCH(" ",AP$1)-1),2,3)-INDEX('TB-EQUIPMENT &amp; OTHER HPs'!$AV$26:$AV$43,MATCH("6.4"&amp;"3",INDEX('TB-EQUIPMENT &amp; OTHER HPs'!$AW$26:$AW$43&amp;'TB-EQUIPMENT &amp; OTHER HPs'!$AU$26:$AU$43,0),0))),)),)</f>
        <v>0</v>
      </c>
      <c r="AQ149" s="525"/>
      <c r="AR149" s="525">
        <f>IFERROR('TB-Key Info'!$L$16*(IFERROR(INDEX('TB-EQUIPMENT &amp; OTHER HPs'!$AX$26:$BI$43,MATCH("6.4"&amp;"2",INDEX('TB-EQUIPMENT &amp; OTHER HPs'!$AW$26:$AW$43&amp;'TB-EQUIPMENT &amp; OTHER HPs'!$AU$26:$AU$43,0),0),MID(LEFT(AR$1,SEARCH(" ",AR$1)-1),2,3)-INDEX('TB-EQUIPMENT &amp; OTHER HPs'!$AV$26:$AV$43,MATCH("6.4"&amp;"2",INDEX('TB-EQUIPMENT &amp; OTHER HPs'!$AW$26:$AW$43&amp;'TB-EQUIPMENT &amp; OTHER HPs'!$AU$26:$AU$43,0),0))),)+IFERROR(INDEX('TB-EQUIPMENT &amp; OTHER HPs'!$AX$26:$BI$43,MATCH("6.4"&amp;"3",INDEX('TB-EQUIPMENT &amp; OTHER HPs'!$AW$26:$AW$43&amp;'TB-EQUIPMENT &amp; OTHER HPs'!$AU$26:$AU$43,0),0),MID(LEFT(AR$1,SEARCH(" ",AR$1)-1),2,3)-INDEX('TB-EQUIPMENT &amp; OTHER HPs'!$AV$26:$AV$43,MATCH("6.4"&amp;"3",INDEX('TB-EQUIPMENT &amp; OTHER HPs'!$AW$26:$AW$43&amp;'TB-EQUIPMENT &amp; OTHER HPs'!$AU$26:$AU$43,0),0))),)),)</f>
        <v>0</v>
      </c>
      <c r="AS149" s="525"/>
      <c r="AT149" s="525">
        <f>IFERROR('TB-Key Info'!$L$16*(IFERROR(INDEX('TB-EQUIPMENT &amp; OTHER HPs'!$AX$26:$BI$43,MATCH("6.4"&amp;"2",INDEX('TB-EQUIPMENT &amp; OTHER HPs'!$AW$26:$AW$43&amp;'TB-EQUIPMENT &amp; OTHER HPs'!$AU$26:$AU$43,0),0),MID(LEFT(AT$1,SEARCH(" ",AT$1)-1),2,3)-INDEX('TB-EQUIPMENT &amp; OTHER HPs'!$AV$26:$AV$43,MATCH("6.4"&amp;"2",INDEX('TB-EQUIPMENT &amp; OTHER HPs'!$AW$26:$AW$43&amp;'TB-EQUIPMENT &amp; OTHER HPs'!$AU$26:$AU$43,0),0))),)+IFERROR(INDEX('TB-EQUIPMENT &amp; OTHER HPs'!$AX$26:$BI$43,MATCH("6.4"&amp;"3",INDEX('TB-EQUIPMENT &amp; OTHER HPs'!$AW$26:$AW$43&amp;'TB-EQUIPMENT &amp; OTHER HPs'!$AU$26:$AU$43,0),0),MID(LEFT(AT$1,SEARCH(" ",AT$1)-1),2,3)-INDEX('TB-EQUIPMENT &amp; OTHER HPs'!$AV$26:$AV$43,MATCH("6.4"&amp;"3",INDEX('TB-EQUIPMENT &amp; OTHER HPs'!$AW$26:$AW$43&amp;'TB-EQUIPMENT &amp; OTHER HPs'!$AU$26:$AU$43,0),0))),)),)</f>
        <v>0</v>
      </c>
      <c r="AU149" s="525"/>
      <c r="AV149" s="525">
        <f>IFERROR('TB-Key Info'!$L$16*((INDEX('TB-EQUIPMENT &amp; OTHER HPs'!$BJ$26:$BJ$43,MATCH("6.4"&amp;"2",INDEX('TB-EQUIPMENT &amp; OTHER HPs'!$AW$26:$AW$43&amp;'TB-EQUIPMENT &amp; OTHER HPs'!$AU$26:$AU$43,0),0)))+(INDEX('TB-EQUIPMENT &amp; OTHER HPs'!$BJ$26:$BJ$43,MATCH("6.4"&amp;"3",INDEX('TB-EQUIPMENT &amp; OTHER HPs'!$AW$26:$AW$43&amp;'TB-EQUIPMENT &amp; OTHER HPs'!$AU$26:$AU$43,0),0))))-SUM(X149,AK149,AP149,AR149,AT149),)</f>
        <v>0</v>
      </c>
      <c r="AW149" s="525"/>
      <c r="AX149" s="1154">
        <f t="shared" si="20"/>
        <v>0</v>
      </c>
      <c r="AY149" s="1154"/>
      <c r="AZ149" s="528"/>
      <c r="BA149" s="529"/>
      <c r="BB149" s="527"/>
      <c r="BC149" s="527">
        <v>0</v>
      </c>
      <c r="BD149" s="527">
        <v>0</v>
      </c>
      <c r="BE149" s="527">
        <v>0</v>
      </c>
      <c r="BF149" s="527">
        <v>0</v>
      </c>
      <c r="BG149" s="527">
        <v>0</v>
      </c>
      <c r="BH149" s="527">
        <v>0</v>
      </c>
      <c r="BI149" s="527">
        <v>0</v>
      </c>
      <c r="BJ149" s="527">
        <v>0</v>
      </c>
      <c r="BK149" s="1154">
        <f t="shared" si="21"/>
        <v>0</v>
      </c>
      <c r="BL149" s="1154"/>
      <c r="BM149" s="1154">
        <f t="shared" si="22"/>
        <v>0</v>
      </c>
      <c r="BN149" s="1154">
        <f t="shared" si="23"/>
        <v>0</v>
      </c>
      <c r="BO149" s="527"/>
      <c r="BP149" s="527"/>
      <c r="BQ149" s="1157">
        <v>0</v>
      </c>
      <c r="BR149" s="1157" t="s">
        <v>688</v>
      </c>
      <c r="BS149" s="1157" t="s">
        <v>2566</v>
      </c>
      <c r="BT149" s="1376" t="s">
        <v>1413</v>
      </c>
    </row>
    <row r="150" spans="1:73" s="512" customFormat="1" ht="13" hidden="1">
      <c r="A150" s="1204">
        <v>359</v>
      </c>
      <c r="B150" s="1205" t="s">
        <v>657</v>
      </c>
      <c r="C150" s="1205" t="s">
        <v>658</v>
      </c>
      <c r="D150" s="1206" t="s">
        <v>2567</v>
      </c>
      <c r="E150" s="1386" t="s">
        <v>593</v>
      </c>
      <c r="F150" s="521"/>
      <c r="G150" s="522"/>
      <c r="H150" s="522"/>
      <c r="I150" s="522"/>
      <c r="J150" s="523"/>
      <c r="K150" s="523"/>
      <c r="L150" s="523"/>
      <c r="M150" s="524" t="e">
        <f>X150/W150</f>
        <v>#DIV/0!</v>
      </c>
      <c r="N150" s="525"/>
      <c r="O150" s="526" t="s">
        <v>1237</v>
      </c>
      <c r="P150" s="525">
        <f>IFERROR('TB-Key Info'!$L$16*(IFERROR(INDEX('TB-EQUIPMENT &amp; OTHER HPs'!$AX$26:$BI$43,MATCH("6.5"&amp;"4",INDEX('TB-EQUIPMENT &amp; OTHER HPs'!$AW$26:$AW$43&amp;'TB-EQUIPMENT &amp; OTHER HPs'!$AU$26:$AU$43,0),0),MID(LEFT(P$1,SEARCH(" ",P$1)-1),2,3)-INDEX('TB-EQUIPMENT &amp; OTHER HPs'!$AV$26:$AV$43,MATCH("6.5"&amp;"4",INDEX('TB-EQUIPMENT &amp; OTHER HPs'!$AW$26:$AW$43&amp;'TB-EQUIPMENT &amp; OTHER HPs'!$AU$26:$AU$43,0),0))),)+IFERROR(INDEX('TB-EQUIPMENT &amp; OTHER HPs'!$AX$26:$BI$43,MATCH("6.5"&amp;"1",INDEX('TB-EQUIPMENT &amp; OTHER HPs'!$AW$26:$AW$43&amp;'TB-EQUIPMENT &amp; OTHER HPs'!$AU$26:$AU$43,0),0),MID(LEFT(P$1,SEARCH(" ",P$1)-1),2,3)-INDEX('TB-EQUIPMENT &amp; OTHER HPs'!$AV$26:$AV$43,MATCH("6.5"&amp;"1",INDEX('TB-EQUIPMENT &amp; OTHER HPs'!$AW$26:$AW$43&amp;'TB-EQUIPMENT &amp; OTHER HPs'!$AU$26:$AU$43,0),0))),)+IFERROR(INDEX('TB-EQUIPMENT &amp; OTHER HPs'!$AX$26:$BI$43,MATCH("6.5"&amp;"2",INDEX('TB-EQUIPMENT &amp; OTHER HPs'!$AW$26:$AW$43&amp;'TB-EQUIPMENT &amp; OTHER HPs'!$AU$26:$AU$43,0),0),MID(LEFT(P$1,SEARCH(" ",P$1)-1),2,3)-INDEX('TB-EQUIPMENT &amp; OTHER HPs'!$AV$26:$AV$43,MATCH("6.5"&amp;"2",INDEX('TB-EQUIPMENT &amp; OTHER HPs'!$AW$26:$AW$43&amp;'TB-EQUIPMENT &amp; OTHER HPs'!$AU$26:$AU$43,0),0))),)+IFERROR(INDEX('TB-EQUIPMENT &amp; OTHER HPs'!$AX$26:$BI$43,MATCH("6.5"&amp;"3",INDEX('TB-EQUIPMENT &amp; OTHER HPs'!$AW$26:$AW$43&amp;'TB-EQUIPMENT &amp; OTHER HPs'!$AU$26:$AU$43,0),0),MID(LEFT(P$1,SEARCH(" ",P$1)-1),2,3)-INDEX('TB-EQUIPMENT &amp; OTHER HPs'!$AV$26:$AV$43,MATCH("6.5"&amp;"3",INDEX('TB-EQUIPMENT &amp; OTHER HPs'!$AW$26:$AW$43&amp;'TB-EQUIPMENT &amp; OTHER HPs'!$AU$26:$AU$43,0),0))),)),)</f>
        <v>0</v>
      </c>
      <c r="Q150" s="525"/>
      <c r="R150" s="525">
        <f>IFERROR('TB-Key Info'!$L$16*(IFERROR(INDEX('TB-EQUIPMENT &amp; OTHER HPs'!$AX$26:$BI$43,MATCH("6.5"&amp;"4",INDEX('TB-EQUIPMENT &amp; OTHER HPs'!$AW$26:$AW$43&amp;'TB-EQUIPMENT &amp; OTHER HPs'!$AU$26:$AU$43,0),0),MID(LEFT(R$1,SEARCH(" ",R$1)-1),2,3)-INDEX('TB-EQUIPMENT &amp; OTHER HPs'!$AV$26:$AV$43,MATCH("6.5"&amp;"4",INDEX('TB-EQUIPMENT &amp; OTHER HPs'!$AW$26:$AW$43&amp;'TB-EQUIPMENT &amp; OTHER HPs'!$AU$26:$AU$43,0),0))),)+IFERROR(INDEX('TB-EQUIPMENT &amp; OTHER HPs'!$AX$26:$BI$43,MATCH("6.5"&amp;"1",INDEX('TB-EQUIPMENT &amp; OTHER HPs'!$AW$26:$AW$43&amp;'TB-EQUIPMENT &amp; OTHER HPs'!$AU$26:$AU$43,0),0),MID(LEFT(R$1,SEARCH(" ",R$1)-1),2,3)-INDEX('TB-EQUIPMENT &amp; OTHER HPs'!$AV$26:$AV$43,MATCH("6.5"&amp;"1",INDEX('TB-EQUIPMENT &amp; OTHER HPs'!$AW$26:$AW$43&amp;'TB-EQUIPMENT &amp; OTHER HPs'!$AU$26:$AU$43,0),0))),)+IFERROR(INDEX('TB-EQUIPMENT &amp; OTHER HPs'!$AX$26:$BI$43,MATCH("6.5"&amp;"2",INDEX('TB-EQUIPMENT &amp; OTHER HPs'!$AW$26:$AW$43&amp;'TB-EQUIPMENT &amp; OTHER HPs'!$AU$26:$AU$43,0),0),MID(LEFT(R$1,SEARCH(" ",R$1)-1),2,3)-INDEX('TB-EQUIPMENT &amp; OTHER HPs'!$AV$26:$AV$43,MATCH("6.5"&amp;"2",INDEX('TB-EQUIPMENT &amp; OTHER HPs'!$AW$26:$AW$43&amp;'TB-EQUIPMENT &amp; OTHER HPs'!$AU$26:$AU$43,0),0))),)+IFERROR(INDEX('TB-EQUIPMENT &amp; OTHER HPs'!$AX$26:$BI$43,MATCH("6.5"&amp;"3",INDEX('TB-EQUIPMENT &amp; OTHER HPs'!$AW$26:$AW$43&amp;'TB-EQUIPMENT &amp; OTHER HPs'!$AU$26:$AU$43,0),0),MID(LEFT(R$1,SEARCH(" ",R$1)-1),2,3)-INDEX('TB-EQUIPMENT &amp; OTHER HPs'!$AV$26:$AV$43,MATCH("6.5"&amp;"3",INDEX('TB-EQUIPMENT &amp; OTHER HPs'!$AW$26:$AW$43&amp;'TB-EQUIPMENT &amp; OTHER HPs'!$AU$26:$AU$43,0),0))),)),)</f>
        <v>0</v>
      </c>
      <c r="S150" s="525" t="s">
        <v>1237</v>
      </c>
      <c r="T150" s="525">
        <f>IFERROR('TB-Key Info'!$L$16*(IFERROR(INDEX('TB-EQUIPMENT &amp; OTHER HPs'!$AX$26:$BI$43,MATCH("6.5"&amp;"4",INDEX('TB-EQUIPMENT &amp; OTHER HPs'!$AW$26:$AW$43&amp;'TB-EQUIPMENT &amp; OTHER HPs'!$AU$26:$AU$43,0),0),MID(LEFT(T$1,SEARCH(" ",T$1)-1),2,3)-INDEX('TB-EQUIPMENT &amp; OTHER HPs'!$AV$26:$AV$43,MATCH("6.5"&amp;"4",INDEX('TB-EQUIPMENT &amp; OTHER HPs'!$AW$26:$AW$43&amp;'TB-EQUIPMENT &amp; OTHER HPs'!$AU$26:$AU$43,0),0))),)+IFERROR(INDEX('TB-EQUIPMENT &amp; OTHER HPs'!$AX$26:$BI$43,MATCH("6.5"&amp;"1",INDEX('TB-EQUIPMENT &amp; OTHER HPs'!$AW$26:$AW$43&amp;'TB-EQUIPMENT &amp; OTHER HPs'!$AU$26:$AU$43,0),0),MID(LEFT(T$1,SEARCH(" ",T$1)-1),2,3)-INDEX('TB-EQUIPMENT &amp; OTHER HPs'!$AV$26:$AV$43,MATCH("6.5"&amp;"1",INDEX('TB-EQUIPMENT &amp; OTHER HPs'!$AW$26:$AW$43&amp;'TB-EQUIPMENT &amp; OTHER HPs'!$AU$26:$AU$43,0),0))),)+IFERROR(INDEX('TB-EQUIPMENT &amp; OTHER HPs'!$AX$26:$BI$43,MATCH("6.5"&amp;"2",INDEX('TB-EQUIPMENT &amp; OTHER HPs'!$AW$26:$AW$43&amp;'TB-EQUIPMENT &amp; OTHER HPs'!$AU$26:$AU$43,0),0),MID(LEFT(T$1,SEARCH(" ",T$1)-1),2,3)-INDEX('TB-EQUIPMENT &amp; OTHER HPs'!$AV$26:$AV$43,MATCH("6.5"&amp;"2",INDEX('TB-EQUIPMENT &amp; OTHER HPs'!$AW$26:$AW$43&amp;'TB-EQUIPMENT &amp; OTHER HPs'!$AU$26:$AU$43,0),0))),)+IFERROR(INDEX('TB-EQUIPMENT &amp; OTHER HPs'!$AX$26:$BI$43,MATCH("6.5"&amp;"3",INDEX('TB-EQUIPMENT &amp; OTHER HPs'!$AW$26:$AW$43&amp;'TB-EQUIPMENT &amp; OTHER HPs'!$AU$26:$AU$43,0),0),MID(LEFT(T$1,SEARCH(" ",T$1)-1),2,3)-INDEX('TB-EQUIPMENT &amp; OTHER HPs'!$AV$26:$AV$43,MATCH("6.5"&amp;"3",INDEX('TB-EQUIPMENT &amp; OTHER HPs'!$AW$26:$AW$43&amp;'TB-EQUIPMENT &amp; OTHER HPs'!$AU$26:$AU$43,0),0))),)),)</f>
        <v>0</v>
      </c>
      <c r="U150" s="525" t="s">
        <v>1237</v>
      </c>
      <c r="V150" s="525">
        <f>IFERROR('TB-Key Info'!$L$16*(IFERROR(INDEX('TB-EQUIPMENT &amp; OTHER HPs'!$AX$26:$BI$43,MATCH("6.5"&amp;"4",INDEX('TB-EQUIPMENT &amp; OTHER HPs'!$AW$26:$AW$43&amp;'TB-EQUIPMENT &amp; OTHER HPs'!$AU$26:$AU$43,0),0),MID(LEFT(V$1,SEARCH(" ",V$1)-1),2,3)-INDEX('TB-EQUIPMENT &amp; OTHER HPs'!$AV$26:$AV$43,MATCH("6.5"&amp;"4",INDEX('TB-EQUIPMENT &amp; OTHER HPs'!$AW$26:$AW$43&amp;'TB-EQUIPMENT &amp; OTHER HPs'!$AU$26:$AU$43,0),0))),)+IFERROR(INDEX('TB-EQUIPMENT &amp; OTHER HPs'!$AX$26:$BI$43,MATCH("6.5"&amp;"1",INDEX('TB-EQUIPMENT &amp; OTHER HPs'!$AW$26:$AW$43&amp;'TB-EQUIPMENT &amp; OTHER HPs'!$AU$26:$AU$43,0),0),MID(LEFT(V$1,SEARCH(" ",V$1)-1),2,3)-INDEX('TB-EQUIPMENT &amp; OTHER HPs'!$AV$26:$AV$43,MATCH("6.5"&amp;"1",INDEX('TB-EQUIPMENT &amp; OTHER HPs'!$AW$26:$AW$43&amp;'TB-EQUIPMENT &amp; OTHER HPs'!$AU$26:$AU$43,0),0))),)+IFERROR(INDEX('TB-EQUIPMENT &amp; OTHER HPs'!$AX$26:$BI$43,MATCH("6.5"&amp;"2",INDEX('TB-EQUIPMENT &amp; OTHER HPs'!$AW$26:$AW$43&amp;'TB-EQUIPMENT &amp; OTHER HPs'!$AU$26:$AU$43,0),0),MID(LEFT(V$1,SEARCH(" ",V$1)-1),2,3)-INDEX('TB-EQUIPMENT &amp; OTHER HPs'!$AV$26:$AV$43,MATCH("6.5"&amp;"2",INDEX('TB-EQUIPMENT &amp; OTHER HPs'!$AW$26:$AW$43&amp;'TB-EQUIPMENT &amp; OTHER HPs'!$AU$26:$AU$43,0),0))),)+IFERROR(INDEX('TB-EQUIPMENT &amp; OTHER HPs'!$AX$26:$BI$43,MATCH("6.5"&amp;"3",INDEX('TB-EQUIPMENT &amp; OTHER HPs'!$AW$26:$AW$43&amp;'TB-EQUIPMENT &amp; OTHER HPs'!$AU$26:$AU$43,0),0),MID(LEFT(V$1,SEARCH(" ",V$1)-1),2,3)-INDEX('TB-EQUIPMENT &amp; OTHER HPs'!$AV$26:$AV$43,MATCH("6.5"&amp;"3",INDEX('TB-EQUIPMENT &amp; OTHER HPs'!$AW$26:$AW$43&amp;'TB-EQUIPMENT &amp; OTHER HPs'!$AU$26:$AU$43,0),0))),)),)</f>
        <v>0</v>
      </c>
      <c r="W150" s="525"/>
      <c r="X150" s="1154">
        <f t="shared" si="18"/>
        <v>0</v>
      </c>
      <c r="Y150" s="1155"/>
      <c r="Z150" s="1156"/>
      <c r="AA150" s="529"/>
      <c r="AB150" s="525"/>
      <c r="AC150" s="525">
        <f>IFERROR('TB-Key Info'!$L$16*(IFERROR(INDEX('TB-EQUIPMENT &amp; OTHER HPs'!$AX$26:$BI$43,MATCH("6.5"&amp;"4",INDEX('TB-EQUIPMENT &amp; OTHER HPs'!$AW$26:$AW$43&amp;'TB-EQUIPMENT &amp; OTHER HPs'!$AU$26:$AU$43,0),0),MID(LEFT(AC$1,SEARCH(" ",AC$1)-1),2,3)-INDEX('TB-EQUIPMENT &amp; OTHER HPs'!$AV$26:$AV$43,MATCH("6.5"&amp;"4",INDEX('TB-EQUIPMENT &amp; OTHER HPs'!$AW$26:$AW$43&amp;'TB-EQUIPMENT &amp; OTHER HPs'!$AU$26:$AU$43,0),0))),)+IFERROR(INDEX('TB-EQUIPMENT &amp; OTHER HPs'!$AX$26:$BI$43,MATCH("6.5"&amp;"1",INDEX('TB-EQUIPMENT &amp; OTHER HPs'!$AW$26:$AW$43&amp;'TB-EQUIPMENT &amp; OTHER HPs'!$AU$26:$AU$43,0),0),MID(LEFT(AC$1,SEARCH(" ",AC$1)-1),2,3)-INDEX('TB-EQUIPMENT &amp; OTHER HPs'!$AV$26:$AV$43,MATCH("6.5"&amp;"1",INDEX('TB-EQUIPMENT &amp; OTHER HPs'!$AW$26:$AW$43&amp;'TB-EQUIPMENT &amp; OTHER HPs'!$AU$26:$AU$43,0),0))),)+IFERROR(INDEX('TB-EQUIPMENT &amp; OTHER HPs'!$AX$26:$BI$43,MATCH("6.5"&amp;"2",INDEX('TB-EQUIPMENT &amp; OTHER HPs'!$AW$26:$AW$43&amp;'TB-EQUIPMENT &amp; OTHER HPs'!$AU$26:$AU$43,0),0),MID(LEFT(AC$1,SEARCH(" ",AC$1)-1),2,3)-INDEX('TB-EQUIPMENT &amp; OTHER HPs'!$AV$26:$AV$43,MATCH("6.5"&amp;"2",INDEX('TB-EQUIPMENT &amp; OTHER HPs'!$AW$26:$AW$43&amp;'TB-EQUIPMENT &amp; OTHER HPs'!$AU$26:$AU$43,0),0))),)+IFERROR(INDEX('TB-EQUIPMENT &amp; OTHER HPs'!$AX$26:$BI$43,MATCH("6.5"&amp;"3",INDEX('TB-EQUIPMENT &amp; OTHER HPs'!$AW$26:$AW$43&amp;'TB-EQUIPMENT &amp; OTHER HPs'!$AU$26:$AU$43,0),0),MID(LEFT(AC$1,SEARCH(" ",AC$1)-1),2,3)-INDEX('TB-EQUIPMENT &amp; OTHER HPs'!$AV$26:$AV$43,MATCH("6.5"&amp;"3",INDEX('TB-EQUIPMENT &amp; OTHER HPs'!$AW$26:$AW$43&amp;'TB-EQUIPMENT &amp; OTHER HPs'!$AU$26:$AU$43,0),0))),)),)</f>
        <v>0</v>
      </c>
      <c r="AD150" s="525"/>
      <c r="AE150" s="525">
        <f>IFERROR('TB-Key Info'!$L$16*(IFERROR(INDEX('TB-EQUIPMENT &amp; OTHER HPs'!$AX$26:$BI$43,MATCH("6.5"&amp;"4",INDEX('TB-EQUIPMENT &amp; OTHER HPs'!$AW$26:$AW$43&amp;'TB-EQUIPMENT &amp; OTHER HPs'!$AU$26:$AU$43,0),0),MID(LEFT(AE$1,SEARCH(" ",AE$1)-1),2,3)-INDEX('TB-EQUIPMENT &amp; OTHER HPs'!$AV$26:$AV$43,MATCH("6.5"&amp;"4",INDEX('TB-EQUIPMENT &amp; OTHER HPs'!$AW$26:$AW$43&amp;'TB-EQUIPMENT &amp; OTHER HPs'!$AU$26:$AU$43,0),0))),)+IFERROR(INDEX('TB-EQUIPMENT &amp; OTHER HPs'!$AX$26:$BI$43,MATCH("6.5"&amp;"1",INDEX('TB-EQUIPMENT &amp; OTHER HPs'!$AW$26:$AW$43&amp;'TB-EQUIPMENT &amp; OTHER HPs'!$AU$26:$AU$43,0),0),MID(LEFT(AE$1,SEARCH(" ",AE$1)-1),2,3)-INDEX('TB-EQUIPMENT &amp; OTHER HPs'!$AV$26:$AV$43,MATCH("6.5"&amp;"1",INDEX('TB-EQUIPMENT &amp; OTHER HPs'!$AW$26:$AW$43&amp;'TB-EQUIPMENT &amp; OTHER HPs'!$AU$26:$AU$43,0),0))),)+IFERROR(INDEX('TB-EQUIPMENT &amp; OTHER HPs'!$AX$26:$BI$43,MATCH("6.5"&amp;"2",INDEX('TB-EQUIPMENT &amp; OTHER HPs'!$AW$26:$AW$43&amp;'TB-EQUIPMENT &amp; OTHER HPs'!$AU$26:$AU$43,0),0),MID(LEFT(AE$1,SEARCH(" ",AE$1)-1),2,3)-INDEX('TB-EQUIPMENT &amp; OTHER HPs'!$AV$26:$AV$43,MATCH("6.5"&amp;"2",INDEX('TB-EQUIPMENT &amp; OTHER HPs'!$AW$26:$AW$43&amp;'TB-EQUIPMENT &amp; OTHER HPs'!$AU$26:$AU$43,0),0))),)+IFERROR(INDEX('TB-EQUIPMENT &amp; OTHER HPs'!$AX$26:$BI$43,MATCH("6.5"&amp;"3",INDEX('TB-EQUIPMENT &amp; OTHER HPs'!$AW$26:$AW$43&amp;'TB-EQUIPMENT &amp; OTHER HPs'!$AU$26:$AU$43,0),0),MID(LEFT(AE$1,SEARCH(" ",AE$1)-1),2,3)-INDEX('TB-EQUIPMENT &amp; OTHER HPs'!$AV$26:$AV$43,MATCH("6.5"&amp;"3",INDEX('TB-EQUIPMENT &amp; OTHER HPs'!$AW$26:$AW$43&amp;'TB-EQUIPMENT &amp; OTHER HPs'!$AU$26:$AU$43,0),0))),)),)</f>
        <v>0</v>
      </c>
      <c r="AF150" s="525"/>
      <c r="AG150" s="525">
        <f>IFERROR('TB-Key Info'!$L$16*(IFERROR(INDEX('TB-EQUIPMENT &amp; OTHER HPs'!$AX$26:$BI$43,MATCH("6.5"&amp;"4",INDEX('TB-EQUIPMENT &amp; OTHER HPs'!$AW$26:$AW$43&amp;'TB-EQUIPMENT &amp; OTHER HPs'!$AU$26:$AU$43,0),0),MID(LEFT(AG$1,SEARCH(" ",AG$1)-1),2,3)-INDEX('TB-EQUIPMENT &amp; OTHER HPs'!$AV$26:$AV$43,MATCH("6.5"&amp;"4",INDEX('TB-EQUIPMENT &amp; OTHER HPs'!$AW$26:$AW$43&amp;'TB-EQUIPMENT &amp; OTHER HPs'!$AU$26:$AU$43,0),0))),)+IFERROR(INDEX('TB-EQUIPMENT &amp; OTHER HPs'!$AX$26:$BI$43,MATCH("6.5"&amp;"1",INDEX('TB-EQUIPMENT &amp; OTHER HPs'!$AW$26:$AW$43&amp;'TB-EQUIPMENT &amp; OTHER HPs'!$AU$26:$AU$43,0),0),MID(LEFT(AG$1,SEARCH(" ",AG$1)-1),2,3)-INDEX('TB-EQUIPMENT &amp; OTHER HPs'!$AV$26:$AV$43,MATCH("6.5"&amp;"1",INDEX('TB-EQUIPMENT &amp; OTHER HPs'!$AW$26:$AW$43&amp;'TB-EQUIPMENT &amp; OTHER HPs'!$AU$26:$AU$43,0),0))),)+IFERROR(INDEX('TB-EQUIPMENT &amp; OTHER HPs'!$AX$26:$BI$43,MATCH("6.5"&amp;"2",INDEX('TB-EQUIPMENT &amp; OTHER HPs'!$AW$26:$AW$43&amp;'TB-EQUIPMENT &amp; OTHER HPs'!$AU$26:$AU$43,0),0),MID(LEFT(AG$1,SEARCH(" ",AG$1)-1),2,3)-INDEX('TB-EQUIPMENT &amp; OTHER HPs'!$AV$26:$AV$43,MATCH("6.5"&amp;"2",INDEX('TB-EQUIPMENT &amp; OTHER HPs'!$AW$26:$AW$43&amp;'TB-EQUIPMENT &amp; OTHER HPs'!$AU$26:$AU$43,0),0))),)+IFERROR(INDEX('TB-EQUIPMENT &amp; OTHER HPs'!$AX$26:$BI$43,MATCH("6.5"&amp;"3",INDEX('TB-EQUIPMENT &amp; OTHER HPs'!$AW$26:$AW$43&amp;'TB-EQUIPMENT &amp; OTHER HPs'!$AU$26:$AU$43,0),0),MID(LEFT(AG$1,SEARCH(" ",AG$1)-1),2,3)-INDEX('TB-EQUIPMENT &amp; OTHER HPs'!$AV$26:$AV$43,MATCH("6.5"&amp;"3",INDEX('TB-EQUIPMENT &amp; OTHER HPs'!$AW$26:$AW$43&amp;'TB-EQUIPMENT &amp; OTHER HPs'!$AU$26:$AU$43,0),0))),)),)</f>
        <v>0</v>
      </c>
      <c r="AH150" s="525"/>
      <c r="AI150" s="525">
        <f>IFERROR('TB-Key Info'!$L$16*(IFERROR(INDEX('TB-EQUIPMENT &amp; OTHER HPs'!$AX$26:$BI$43,MATCH("6.5"&amp;"4",INDEX('TB-EQUIPMENT &amp; OTHER HPs'!$AW$26:$AW$43&amp;'TB-EQUIPMENT &amp; OTHER HPs'!$AU$26:$AU$43,0),0),MID(LEFT(AI$1,SEARCH(" ",AI$1)-1),2,3)-INDEX('TB-EQUIPMENT &amp; OTHER HPs'!$AV$26:$AV$43,MATCH("6.5"&amp;"4",INDEX('TB-EQUIPMENT &amp; OTHER HPs'!$AW$26:$AW$43&amp;'TB-EQUIPMENT &amp; OTHER HPs'!$AU$26:$AU$43,0),0))),)+IFERROR(INDEX('TB-EQUIPMENT &amp; OTHER HPs'!$AX$26:$BI$43,MATCH("6.5"&amp;"1",INDEX('TB-EQUIPMENT &amp; OTHER HPs'!$AW$26:$AW$43&amp;'TB-EQUIPMENT &amp; OTHER HPs'!$AU$26:$AU$43,0),0),MID(LEFT(AI$1,SEARCH(" ",AI$1)-1),2,3)-INDEX('TB-EQUIPMENT &amp; OTHER HPs'!$AV$26:$AV$43,MATCH("6.5"&amp;"1",INDEX('TB-EQUIPMENT &amp; OTHER HPs'!$AW$26:$AW$43&amp;'TB-EQUIPMENT &amp; OTHER HPs'!$AU$26:$AU$43,0),0))),)+IFERROR(INDEX('TB-EQUIPMENT &amp; OTHER HPs'!$AX$26:$BI$43,MATCH("6.5"&amp;"2",INDEX('TB-EQUIPMENT &amp; OTHER HPs'!$AW$26:$AW$43&amp;'TB-EQUIPMENT &amp; OTHER HPs'!$AU$26:$AU$43,0),0),MID(LEFT(AI$1,SEARCH(" ",AI$1)-1),2,3)-INDEX('TB-EQUIPMENT &amp; OTHER HPs'!$AV$26:$AV$43,MATCH("6.5"&amp;"2",INDEX('TB-EQUIPMENT &amp; OTHER HPs'!$AW$26:$AW$43&amp;'TB-EQUIPMENT &amp; OTHER HPs'!$AU$26:$AU$43,0),0))),)+IFERROR(INDEX('TB-EQUIPMENT &amp; OTHER HPs'!$AX$26:$BI$43,MATCH("6.5"&amp;"3",INDEX('TB-EQUIPMENT &amp; OTHER HPs'!$AW$26:$AW$43&amp;'TB-EQUIPMENT &amp; OTHER HPs'!$AU$26:$AU$43,0),0),MID(LEFT(AI$1,SEARCH(" ",AI$1)-1),2,3)-INDEX('TB-EQUIPMENT &amp; OTHER HPs'!$AV$26:$AV$43,MATCH("6.5"&amp;"3",INDEX('TB-EQUIPMENT &amp; OTHER HPs'!$AW$26:$AW$43&amp;'TB-EQUIPMENT &amp; OTHER HPs'!$AU$26:$AU$43,0),0))),)),)</f>
        <v>0</v>
      </c>
      <c r="AJ150" s="525"/>
      <c r="AK150" s="1154">
        <f t="shared" si="19"/>
        <v>0</v>
      </c>
      <c r="AL150" s="1155"/>
      <c r="AM150" s="1156"/>
      <c r="AN150" s="529"/>
      <c r="AO150" s="525"/>
      <c r="AP150" s="525">
        <f>IFERROR('TB-Key Info'!$L$16*(IFERROR(INDEX('TB-EQUIPMENT &amp; OTHER HPs'!$AX$26:$BI$43,MATCH("6.5"&amp;"4",INDEX('TB-EQUIPMENT &amp; OTHER HPs'!$AW$26:$AW$43&amp;'TB-EQUIPMENT &amp; OTHER HPs'!$AU$26:$AU$43,0),0),MID(LEFT(AP$1,SEARCH(" ",AP$1)-1),2,3)-INDEX('TB-EQUIPMENT &amp; OTHER HPs'!$AV$26:$AV$43,MATCH("6.5"&amp;"4",INDEX('TB-EQUIPMENT &amp; OTHER HPs'!$AW$26:$AW$43&amp;'TB-EQUIPMENT &amp; OTHER HPs'!$AU$26:$AU$43,0),0))),)+IFERROR(INDEX('TB-EQUIPMENT &amp; OTHER HPs'!$AX$26:$BI$43,MATCH("6.5"&amp;"1",INDEX('TB-EQUIPMENT &amp; OTHER HPs'!$AW$26:$AW$43&amp;'TB-EQUIPMENT &amp; OTHER HPs'!$AU$26:$AU$43,0),0),MID(LEFT(AP$1,SEARCH(" ",AP$1)-1),2,3)-INDEX('TB-EQUIPMENT &amp; OTHER HPs'!$AV$26:$AV$43,MATCH("6.5"&amp;"1",INDEX('TB-EQUIPMENT &amp; OTHER HPs'!$AW$26:$AW$43&amp;'TB-EQUIPMENT &amp; OTHER HPs'!$AU$26:$AU$43,0),0))),)+IFERROR(INDEX('TB-EQUIPMENT &amp; OTHER HPs'!$AX$26:$BI$43,MATCH("6.5"&amp;"2",INDEX('TB-EQUIPMENT &amp; OTHER HPs'!$AW$26:$AW$43&amp;'TB-EQUIPMENT &amp; OTHER HPs'!$AU$26:$AU$43,0),0),MID(LEFT(AP$1,SEARCH(" ",AP$1)-1),2,3)-INDEX('TB-EQUIPMENT &amp; OTHER HPs'!$AV$26:$AV$43,MATCH("6.5"&amp;"2",INDEX('TB-EQUIPMENT &amp; OTHER HPs'!$AW$26:$AW$43&amp;'TB-EQUIPMENT &amp; OTHER HPs'!$AU$26:$AU$43,0),0))),)+IFERROR(INDEX('TB-EQUIPMENT &amp; OTHER HPs'!$AX$26:$BI$43,MATCH("6.5"&amp;"3",INDEX('TB-EQUIPMENT &amp; OTHER HPs'!$AW$26:$AW$43&amp;'TB-EQUIPMENT &amp; OTHER HPs'!$AU$26:$AU$43,0),0),MID(LEFT(AP$1,SEARCH(" ",AP$1)-1),2,3)-INDEX('TB-EQUIPMENT &amp; OTHER HPs'!$AV$26:$AV$43,MATCH("6.5"&amp;"3",INDEX('TB-EQUIPMENT &amp; OTHER HPs'!$AW$26:$AW$43&amp;'TB-EQUIPMENT &amp; OTHER HPs'!$AU$26:$AU$43,0),0))),)),)</f>
        <v>0</v>
      </c>
      <c r="AQ150" s="525"/>
      <c r="AR150" s="525">
        <f>IFERROR('TB-Key Info'!$L$16*(IFERROR(INDEX('TB-EQUIPMENT &amp; OTHER HPs'!$AX$26:$BI$43,MATCH("6.5"&amp;"4",INDEX('TB-EQUIPMENT &amp; OTHER HPs'!$AW$26:$AW$43&amp;'TB-EQUIPMENT &amp; OTHER HPs'!$AU$26:$AU$43,0),0),MID(LEFT(AR$1,SEARCH(" ",AR$1)-1),2,3)-INDEX('TB-EQUIPMENT &amp; OTHER HPs'!$AV$26:$AV$43,MATCH("6.5"&amp;"4",INDEX('TB-EQUIPMENT &amp; OTHER HPs'!$AW$26:$AW$43&amp;'TB-EQUIPMENT &amp; OTHER HPs'!$AU$26:$AU$43,0),0))),)+IFERROR(INDEX('TB-EQUIPMENT &amp; OTHER HPs'!$AX$26:$BI$43,MATCH("6.5"&amp;"1",INDEX('TB-EQUIPMENT &amp; OTHER HPs'!$AW$26:$AW$43&amp;'TB-EQUIPMENT &amp; OTHER HPs'!$AU$26:$AU$43,0),0),MID(LEFT(AR$1,SEARCH(" ",AR$1)-1),2,3)-INDEX('TB-EQUIPMENT &amp; OTHER HPs'!$AV$26:$AV$43,MATCH("6.5"&amp;"1",INDEX('TB-EQUIPMENT &amp; OTHER HPs'!$AW$26:$AW$43&amp;'TB-EQUIPMENT &amp; OTHER HPs'!$AU$26:$AU$43,0),0))),)+IFERROR(INDEX('TB-EQUIPMENT &amp; OTHER HPs'!$AX$26:$BI$43,MATCH("6.5"&amp;"2",INDEX('TB-EQUIPMENT &amp; OTHER HPs'!$AW$26:$AW$43&amp;'TB-EQUIPMENT &amp; OTHER HPs'!$AU$26:$AU$43,0),0),MID(LEFT(AR$1,SEARCH(" ",AR$1)-1),2,3)-INDEX('TB-EQUIPMENT &amp; OTHER HPs'!$AV$26:$AV$43,MATCH("6.5"&amp;"2",INDEX('TB-EQUIPMENT &amp; OTHER HPs'!$AW$26:$AW$43&amp;'TB-EQUIPMENT &amp; OTHER HPs'!$AU$26:$AU$43,0),0))),)+IFERROR(INDEX('TB-EQUIPMENT &amp; OTHER HPs'!$AX$26:$BI$43,MATCH("6.5"&amp;"3",INDEX('TB-EQUIPMENT &amp; OTHER HPs'!$AW$26:$AW$43&amp;'TB-EQUIPMENT &amp; OTHER HPs'!$AU$26:$AU$43,0),0),MID(LEFT(AR$1,SEARCH(" ",AR$1)-1),2,3)-INDEX('TB-EQUIPMENT &amp; OTHER HPs'!$AV$26:$AV$43,MATCH("6.5"&amp;"3",INDEX('TB-EQUIPMENT &amp; OTHER HPs'!$AW$26:$AW$43&amp;'TB-EQUIPMENT &amp; OTHER HPs'!$AU$26:$AU$43,0),0))),)),)</f>
        <v>0</v>
      </c>
      <c r="AS150" s="525"/>
      <c r="AT150" s="525">
        <f>IFERROR('TB-Key Info'!$L$16*(IFERROR(INDEX('TB-EQUIPMENT &amp; OTHER HPs'!$AX$26:$BI$43,MATCH("6.5"&amp;"4",INDEX('TB-EQUIPMENT &amp; OTHER HPs'!$AW$26:$AW$43&amp;'TB-EQUIPMENT &amp; OTHER HPs'!$AU$26:$AU$43,0),0),MID(LEFT(AT$1,SEARCH(" ",AT$1)-1),2,3)-INDEX('TB-EQUIPMENT &amp; OTHER HPs'!$AV$26:$AV$43,MATCH("6.5"&amp;"4",INDEX('TB-EQUIPMENT &amp; OTHER HPs'!$AW$26:$AW$43&amp;'TB-EQUIPMENT &amp; OTHER HPs'!$AU$26:$AU$43,0),0))),)+IFERROR(INDEX('TB-EQUIPMENT &amp; OTHER HPs'!$AX$26:$BI$43,MATCH("6.5"&amp;"1",INDEX('TB-EQUIPMENT &amp; OTHER HPs'!$AW$26:$AW$43&amp;'TB-EQUIPMENT &amp; OTHER HPs'!$AU$26:$AU$43,0),0),MID(LEFT(AT$1,SEARCH(" ",AT$1)-1),2,3)-INDEX('TB-EQUIPMENT &amp; OTHER HPs'!$AV$26:$AV$43,MATCH("6.5"&amp;"1",INDEX('TB-EQUIPMENT &amp; OTHER HPs'!$AW$26:$AW$43&amp;'TB-EQUIPMENT &amp; OTHER HPs'!$AU$26:$AU$43,0),0))),)+IFERROR(INDEX('TB-EQUIPMENT &amp; OTHER HPs'!$AX$26:$BI$43,MATCH("6.5"&amp;"2",INDEX('TB-EQUIPMENT &amp; OTHER HPs'!$AW$26:$AW$43&amp;'TB-EQUIPMENT &amp; OTHER HPs'!$AU$26:$AU$43,0),0),MID(LEFT(AT$1,SEARCH(" ",AT$1)-1),2,3)-INDEX('TB-EQUIPMENT &amp; OTHER HPs'!$AV$26:$AV$43,MATCH("6.5"&amp;"2",INDEX('TB-EQUIPMENT &amp; OTHER HPs'!$AW$26:$AW$43&amp;'TB-EQUIPMENT &amp; OTHER HPs'!$AU$26:$AU$43,0),0))),)+IFERROR(INDEX('TB-EQUIPMENT &amp; OTHER HPs'!$AX$26:$BI$43,MATCH("6.5"&amp;"3",INDEX('TB-EQUIPMENT &amp; OTHER HPs'!$AW$26:$AW$43&amp;'TB-EQUIPMENT &amp; OTHER HPs'!$AU$26:$AU$43,0),0),MID(LEFT(AT$1,SEARCH(" ",AT$1)-1),2,3)-INDEX('TB-EQUIPMENT &amp; OTHER HPs'!$AV$26:$AV$43,MATCH("6.5"&amp;"3",INDEX('TB-EQUIPMENT &amp; OTHER HPs'!$AW$26:$AW$43&amp;'TB-EQUIPMENT &amp; OTHER HPs'!$AU$26:$AU$43,0),0))),)),)</f>
        <v>0</v>
      </c>
      <c r="AU150" s="525"/>
      <c r="AV150" s="525">
        <f>IFERROR('TB-Key Info'!$L$16*((INDEX('TB-EQUIPMENT &amp; OTHER HPs'!$BJ$26:$BJ$43,MATCH("6.5"&amp;"4",INDEX('TB-EQUIPMENT &amp; OTHER HPs'!$AW$26:$AW$43&amp;'TB-EQUIPMENT &amp; OTHER HPs'!$AU$26:$AU$43,0),0)))+(INDEX('TB-EQUIPMENT &amp; OTHER HPs'!$BJ$26:$BJ$43,MATCH("6.5"&amp;"1",INDEX('TB-EQUIPMENT &amp; OTHER HPs'!$AW$26:$AW$43&amp;'TB-EQUIPMENT &amp; OTHER HPs'!$AU$26:$AU$43,0),0)))+(INDEX('TB-EQUIPMENT &amp; OTHER HPs'!$BJ$26:$BJ$43,MATCH("6.5"&amp;"2",INDEX('TB-EQUIPMENT &amp; OTHER HPs'!$AW$26:$AW$43&amp;'TB-EQUIPMENT &amp; OTHER HPs'!$AU$26:$AU$43,0),0)))+(INDEX('TB-EQUIPMENT &amp; OTHER HPs'!$BJ$26:$BJ$43,MATCH("6.5"&amp;"3",INDEX('TB-EQUIPMENT &amp; OTHER HPs'!$AW$26:$AW$43&amp;'TB-EQUIPMENT &amp; OTHER HPs'!$AU$26:$AU$43,0),0))))-SUM(X150,AK150,AP150,AR150,AT150),)</f>
        <v>0</v>
      </c>
      <c r="AW150" s="525"/>
      <c r="AX150" s="1154">
        <f t="shared" si="20"/>
        <v>0</v>
      </c>
      <c r="AY150" s="1154"/>
      <c r="AZ150" s="528"/>
      <c r="BA150" s="529"/>
      <c r="BB150" s="527"/>
      <c r="BC150" s="527">
        <v>0</v>
      </c>
      <c r="BD150" s="527">
        <v>0</v>
      </c>
      <c r="BE150" s="527">
        <v>0</v>
      </c>
      <c r="BF150" s="527">
        <v>0</v>
      </c>
      <c r="BG150" s="527">
        <v>0</v>
      </c>
      <c r="BH150" s="527">
        <v>0</v>
      </c>
      <c r="BI150" s="527">
        <v>0</v>
      </c>
      <c r="BJ150" s="527">
        <v>0</v>
      </c>
      <c r="BK150" s="1154">
        <f t="shared" si="21"/>
        <v>0</v>
      </c>
      <c r="BL150" s="1154"/>
      <c r="BM150" s="1154">
        <f t="shared" si="22"/>
        <v>0</v>
      </c>
      <c r="BN150" s="1154">
        <f t="shared" si="23"/>
        <v>0</v>
      </c>
      <c r="BO150" s="527"/>
      <c r="BP150" s="527"/>
      <c r="BQ150" s="1157">
        <v>0</v>
      </c>
      <c r="BR150" s="1157" t="s">
        <v>688</v>
      </c>
      <c r="BS150" s="1157" t="s">
        <v>2567</v>
      </c>
      <c r="BT150" s="1376" t="s">
        <v>1414</v>
      </c>
    </row>
    <row r="151" spans="1:73" s="1115" customFormat="1" ht="13" hidden="1">
      <c r="A151" s="1204">
        <v>360</v>
      </c>
      <c r="B151" s="1207" t="s">
        <v>657</v>
      </c>
      <c r="C151" s="1207" t="s">
        <v>658</v>
      </c>
      <c r="D151" s="1206" t="s">
        <v>1883</v>
      </c>
      <c r="E151" s="1386" t="s">
        <v>586</v>
      </c>
      <c r="F151" s="1107"/>
      <c r="G151" s="1106"/>
      <c r="H151" s="1106"/>
      <c r="I151" s="1106"/>
      <c r="J151" s="1108"/>
      <c r="K151" s="1108"/>
      <c r="L151" s="1108"/>
      <c r="M151" s="1109"/>
      <c r="N151" s="1110"/>
      <c r="O151" s="1111" t="s">
        <v>1237</v>
      </c>
      <c r="P151" s="1110">
        <f>IFERROR('TB-Key Info'!$L$16*(IFERROR(INDEX('TB-EQUIPMENT &amp; OTHER HPs'!$AX$26:$BI$43,MATCH("6.6"&amp;"2",INDEX('TB-EQUIPMENT &amp; OTHER HPs'!$AW$26:$AW$43&amp;'TB-EQUIPMENT &amp; OTHER HPs'!$AU$26:$AU$43,0),0),MID(LEFT(P$1,SEARCH(" ",P$1)-1),2,3)-INDEX('TB-EQUIPMENT &amp; OTHER HPs'!$AV$26:$AV$43,MATCH("6.6"&amp;"2",INDEX('TB-EQUIPMENT &amp; OTHER HPs'!$AW$26:$AW$43&amp;'TB-EQUIPMENT &amp; OTHER HPs'!$AU$26:$AU$43,0),0))),)+IFERROR(INDEX('TB-EQUIPMENT &amp; OTHER HPs'!$AX$26:$BI$43,MATCH("6.6"&amp;"3",INDEX('TB-EQUIPMENT &amp; OTHER HPs'!$AW$26:$AW$43&amp;'TB-EQUIPMENT &amp; OTHER HPs'!$AU$26:$AU$43,0),0),MID(LEFT(P$1,SEARCH(" ",P$1)-1),2,3)-INDEX('TB-EQUIPMENT &amp; OTHER HPs'!$AV$26:$AV$43,MATCH("6.6"&amp;"3",INDEX('TB-EQUIPMENT &amp; OTHER HPs'!$AW$26:$AW$43&amp;'TB-EQUIPMENT &amp; OTHER HPs'!$AU$26:$AU$43,0),0))),)+IFERROR(INDEX('TB-EQUIPMENT &amp; OTHER HPs'!$AX$26:$BI$43,MATCH("6.6"&amp;"4",INDEX('TB-EQUIPMENT &amp; OTHER HPs'!$AW$26:$AW$43&amp;'TB-EQUIPMENT &amp; OTHER HPs'!$AU$26:$AU$43,0),0),MID(LEFT(P$1,SEARCH(" ",P$1)-1),2,3)-INDEX('TB-EQUIPMENT &amp; OTHER HPs'!$AV$26:$AV$43,MATCH("6.6"&amp;"4",INDEX('TB-EQUIPMENT &amp; OTHER HPs'!$AW$26:$AW$43&amp;'TB-EQUIPMENT &amp; OTHER HPs'!$AU$26:$AU$43,0),0))),)),0)</f>
        <v>0</v>
      </c>
      <c r="Q151" s="1110" t="s">
        <v>1237</v>
      </c>
      <c r="R151" s="1110">
        <f>IFERROR('TB-Key Info'!$L$16*(IFERROR(INDEX('TB-EQUIPMENT &amp; OTHER HPs'!$AX$26:$BI$43,MATCH("6.6"&amp;"2",INDEX('TB-EQUIPMENT &amp; OTHER HPs'!$AW$26:$AW$43&amp;'TB-EQUIPMENT &amp; OTHER HPs'!$AU$26:$AU$43,0),0),MID(LEFT(R$1,SEARCH(" ",R$1)-1),2,3)-INDEX('TB-EQUIPMENT &amp; OTHER HPs'!$AV$26:$AV$43,MATCH("6.6"&amp;"2",INDEX('TB-EQUIPMENT &amp; OTHER HPs'!$AW$26:$AW$43&amp;'TB-EQUIPMENT &amp; OTHER HPs'!$AU$26:$AU$43,0),0))),)+IFERROR(INDEX('TB-EQUIPMENT &amp; OTHER HPs'!$AX$26:$BI$43,MATCH("6.6"&amp;"3",INDEX('TB-EQUIPMENT &amp; OTHER HPs'!$AW$26:$AW$43&amp;'TB-EQUIPMENT &amp; OTHER HPs'!$AU$26:$AU$43,0),0),MID(LEFT(R$1,SEARCH(" ",R$1)-1),2,3)-INDEX('TB-EQUIPMENT &amp; OTHER HPs'!$AV$26:$AV$43,MATCH("6.6"&amp;"3",INDEX('TB-EQUIPMENT &amp; OTHER HPs'!$AW$26:$AW$43&amp;'TB-EQUIPMENT &amp; OTHER HPs'!$AU$26:$AU$43,0),0))),)+IFERROR(INDEX('TB-EQUIPMENT &amp; OTHER HPs'!$AX$26:$BI$43,MATCH("6.6"&amp;"4",INDEX('TB-EQUIPMENT &amp; OTHER HPs'!$AW$26:$AW$43&amp;'TB-EQUIPMENT &amp; OTHER HPs'!$AU$26:$AU$43,0),0),MID(LEFT(R$1,SEARCH(" ",R$1)-1),2,3)-INDEX('TB-EQUIPMENT &amp; OTHER HPs'!$AV$26:$AV$43,MATCH("6.6"&amp;"4",INDEX('TB-EQUIPMENT &amp; OTHER HPs'!$AW$26:$AW$43&amp;'TB-EQUIPMENT &amp; OTHER HPs'!$AU$26:$AU$43,0),0))),)),0)</f>
        <v>0</v>
      </c>
      <c r="S151" s="1110" t="s">
        <v>1237</v>
      </c>
      <c r="T151" s="1110">
        <f>IFERROR('TB-Key Info'!$L$16*(IFERROR(INDEX('TB-EQUIPMENT &amp; OTHER HPs'!$AX$26:$BI$43,MATCH("6.6"&amp;"2",INDEX('TB-EQUIPMENT &amp; OTHER HPs'!$AW$26:$AW$43&amp;'TB-EQUIPMENT &amp; OTHER HPs'!$AU$26:$AU$43,0),0),MID(LEFT(T$1,SEARCH(" ",T$1)-1),2,3)-INDEX('TB-EQUIPMENT &amp; OTHER HPs'!$AV$26:$AV$43,MATCH("6.6"&amp;"2",INDEX('TB-EQUIPMENT &amp; OTHER HPs'!$AW$26:$AW$43&amp;'TB-EQUIPMENT &amp; OTHER HPs'!$AU$26:$AU$43,0),0))),)+IFERROR(INDEX('TB-EQUIPMENT &amp; OTHER HPs'!$AX$26:$BI$43,MATCH("6.6"&amp;"3",INDEX('TB-EQUIPMENT &amp; OTHER HPs'!$AW$26:$AW$43&amp;'TB-EQUIPMENT &amp; OTHER HPs'!$AU$26:$AU$43,0),0),MID(LEFT(T$1,SEARCH(" ",T$1)-1),2,3)-INDEX('TB-EQUIPMENT &amp; OTHER HPs'!$AV$26:$AV$43,MATCH("6.6"&amp;"3",INDEX('TB-EQUIPMENT &amp; OTHER HPs'!$AW$26:$AW$43&amp;'TB-EQUIPMENT &amp; OTHER HPs'!$AU$26:$AU$43,0),0))),)+IFERROR(INDEX('TB-EQUIPMENT &amp; OTHER HPs'!$AX$26:$BI$43,MATCH("6.6"&amp;"4",INDEX('TB-EQUIPMENT &amp; OTHER HPs'!$AW$26:$AW$43&amp;'TB-EQUIPMENT &amp; OTHER HPs'!$AU$26:$AU$43,0),0),MID(LEFT(T$1,SEARCH(" ",T$1)-1),2,3)-INDEX('TB-EQUIPMENT &amp; OTHER HPs'!$AV$26:$AV$43,MATCH("6.6"&amp;"4",INDEX('TB-EQUIPMENT &amp; OTHER HPs'!$AW$26:$AW$43&amp;'TB-EQUIPMENT &amp; OTHER HPs'!$AU$26:$AU$43,0),0))),)),0)</f>
        <v>0</v>
      </c>
      <c r="U151" s="1110" t="s">
        <v>1237</v>
      </c>
      <c r="V151" s="1110">
        <f>IFERROR('TB-Key Info'!$L$16*(IFERROR(INDEX('TB-EQUIPMENT &amp; OTHER HPs'!$AX$26:$BI$43,MATCH("6.6"&amp;"2",INDEX('TB-EQUIPMENT &amp; OTHER HPs'!$AW$26:$AW$43&amp;'TB-EQUIPMENT &amp; OTHER HPs'!$AU$26:$AU$43,0),0),MID(LEFT(V$1,SEARCH(" ",V$1)-1),2,3)-INDEX('TB-EQUIPMENT &amp; OTHER HPs'!$AV$26:$AV$43,MATCH("6.6"&amp;"2",INDEX('TB-EQUIPMENT &amp; OTHER HPs'!$AW$26:$AW$43&amp;'TB-EQUIPMENT &amp; OTHER HPs'!$AU$26:$AU$43,0),0))),)+IFERROR(INDEX('TB-EQUIPMENT &amp; OTHER HPs'!$AX$26:$BI$43,MATCH("6.6"&amp;"3",INDEX('TB-EQUIPMENT &amp; OTHER HPs'!$AW$26:$AW$43&amp;'TB-EQUIPMENT &amp; OTHER HPs'!$AU$26:$AU$43,0),0),MID(LEFT(V$1,SEARCH(" ",V$1)-1),2,3)-INDEX('TB-EQUIPMENT &amp; OTHER HPs'!$AV$26:$AV$43,MATCH("6.6"&amp;"3",INDEX('TB-EQUIPMENT &amp; OTHER HPs'!$AW$26:$AW$43&amp;'TB-EQUIPMENT &amp; OTHER HPs'!$AU$26:$AU$43,0),0))),)+IFERROR(INDEX('TB-EQUIPMENT &amp; OTHER HPs'!$AX$26:$BI$43,MATCH("6.6"&amp;"4",INDEX('TB-EQUIPMENT &amp; OTHER HPs'!$AW$26:$AW$43&amp;'TB-EQUIPMENT &amp; OTHER HPs'!$AU$26:$AU$43,0),0),MID(LEFT(V$1,SEARCH(" ",V$1)-1),2,3)-INDEX('TB-EQUIPMENT &amp; OTHER HPs'!$AV$26:$AV$43,MATCH("6.6"&amp;"4",INDEX('TB-EQUIPMENT &amp; OTHER HPs'!$AW$26:$AW$43&amp;'TB-EQUIPMENT &amp; OTHER HPs'!$AU$26:$AU$43,0),0))),)),0)</f>
        <v>0</v>
      </c>
      <c r="W151" s="1110"/>
      <c r="X151" s="1160">
        <f t="shared" si="18"/>
        <v>0</v>
      </c>
      <c r="Y151" s="1161"/>
      <c r="Z151" s="1162"/>
      <c r="AA151" s="1114"/>
      <c r="AB151" s="1110"/>
      <c r="AC151" s="1110">
        <f>IFERROR('TB-Key Info'!$L$16*(IFERROR(INDEX('TB-EQUIPMENT &amp; OTHER HPs'!$AX$26:$BI$43,MATCH("6.6"&amp;"2",INDEX('TB-EQUIPMENT &amp; OTHER HPs'!$AW$26:$AW$43&amp;'TB-EQUIPMENT &amp; OTHER HPs'!$AU$26:$AU$43,0),0),MID(LEFT(AC$1,SEARCH(" ",AC$1)-1),2,3)-INDEX('TB-EQUIPMENT &amp; OTHER HPs'!$AV$26:$AV$43,MATCH("6.6"&amp;"2",INDEX('TB-EQUIPMENT &amp; OTHER HPs'!$AW$26:$AW$43&amp;'TB-EQUIPMENT &amp; OTHER HPs'!$AU$26:$AU$43,0),0))),)+IFERROR(INDEX('TB-EQUIPMENT &amp; OTHER HPs'!$AX$26:$BI$43,MATCH("6.6"&amp;"3",INDEX('TB-EQUIPMENT &amp; OTHER HPs'!$AW$26:$AW$43&amp;'TB-EQUIPMENT &amp; OTHER HPs'!$AU$26:$AU$43,0),0),MID(LEFT(AC$1,SEARCH(" ",AC$1)-1),2,3)-INDEX('TB-EQUIPMENT &amp; OTHER HPs'!$AV$26:$AV$43,MATCH("6.6"&amp;"3",INDEX('TB-EQUIPMENT &amp; OTHER HPs'!$AW$26:$AW$43&amp;'TB-EQUIPMENT &amp; OTHER HPs'!$AU$26:$AU$43,0),0))),)+IFERROR(INDEX('TB-EQUIPMENT &amp; OTHER HPs'!$AX$26:$BI$43,MATCH("6.6"&amp;"4",INDEX('TB-EQUIPMENT &amp; OTHER HPs'!$AW$26:$AW$43&amp;'TB-EQUIPMENT &amp; OTHER HPs'!$AU$26:$AU$43,0),0),MID(LEFT(AC$1,SEARCH(" ",AC$1)-1),2,3)-INDEX('TB-EQUIPMENT &amp; OTHER HPs'!$AV$26:$AV$43,MATCH("6.6"&amp;"4",INDEX('TB-EQUIPMENT &amp; OTHER HPs'!$AW$26:$AW$43&amp;'TB-EQUIPMENT &amp; OTHER HPs'!$AU$26:$AU$43,0),0))),)),0)</f>
        <v>0</v>
      </c>
      <c r="AD151" s="1110"/>
      <c r="AE151" s="1110">
        <f>IFERROR('TB-Key Info'!$L$16*(IFERROR(INDEX('TB-EQUIPMENT &amp; OTHER HPs'!$AX$26:$BI$43,MATCH("6.6"&amp;"2",INDEX('TB-EQUIPMENT &amp; OTHER HPs'!$AW$26:$AW$43&amp;'TB-EQUIPMENT &amp; OTHER HPs'!$AU$26:$AU$43,0),0),MID(LEFT(AE$1,SEARCH(" ",AE$1)-1),2,3)-INDEX('TB-EQUIPMENT &amp; OTHER HPs'!$AV$26:$AV$43,MATCH("6.6"&amp;"2",INDEX('TB-EQUIPMENT &amp; OTHER HPs'!$AW$26:$AW$43&amp;'TB-EQUIPMENT &amp; OTHER HPs'!$AU$26:$AU$43,0),0))),)+IFERROR(INDEX('TB-EQUIPMENT &amp; OTHER HPs'!$AX$26:$BI$43,MATCH("6.6"&amp;"3",INDEX('TB-EQUIPMENT &amp; OTHER HPs'!$AW$26:$AW$43&amp;'TB-EQUIPMENT &amp; OTHER HPs'!$AU$26:$AU$43,0),0),MID(LEFT(AE$1,SEARCH(" ",AE$1)-1),2,3)-INDEX('TB-EQUIPMENT &amp; OTHER HPs'!$AV$26:$AV$43,MATCH("6.6"&amp;"3",INDEX('TB-EQUIPMENT &amp; OTHER HPs'!$AW$26:$AW$43&amp;'TB-EQUIPMENT &amp; OTHER HPs'!$AU$26:$AU$43,0),0))),)+IFERROR(INDEX('TB-EQUIPMENT &amp; OTHER HPs'!$AX$26:$BI$43,MATCH("6.6"&amp;"4",INDEX('TB-EQUIPMENT &amp; OTHER HPs'!$AW$26:$AW$43&amp;'TB-EQUIPMENT &amp; OTHER HPs'!$AU$26:$AU$43,0),0),MID(LEFT(AE$1,SEARCH(" ",AE$1)-1),2,3)-INDEX('TB-EQUIPMENT &amp; OTHER HPs'!$AV$26:$AV$43,MATCH("6.6"&amp;"4",INDEX('TB-EQUIPMENT &amp; OTHER HPs'!$AW$26:$AW$43&amp;'TB-EQUIPMENT &amp; OTHER HPs'!$AU$26:$AU$43,0),0))),)),0)</f>
        <v>0</v>
      </c>
      <c r="AF151" s="1110"/>
      <c r="AG151" s="1110">
        <f>IFERROR('TB-Key Info'!$L$16*(IFERROR(INDEX('TB-EQUIPMENT &amp; OTHER HPs'!$AX$26:$BI$43,MATCH("6.6"&amp;"2",INDEX('TB-EQUIPMENT &amp; OTHER HPs'!$AW$26:$AW$43&amp;'TB-EQUIPMENT &amp; OTHER HPs'!$AU$26:$AU$43,0),0),MID(LEFT(AG$1,SEARCH(" ",AG$1)-1),2,3)-INDEX('TB-EQUIPMENT &amp; OTHER HPs'!$AV$26:$AV$43,MATCH("6.6"&amp;"2",INDEX('TB-EQUIPMENT &amp; OTHER HPs'!$AW$26:$AW$43&amp;'TB-EQUIPMENT &amp; OTHER HPs'!$AU$26:$AU$43,0),0))),)+IFERROR(INDEX('TB-EQUIPMENT &amp; OTHER HPs'!$AX$26:$BI$43,MATCH("6.6"&amp;"3",INDEX('TB-EQUIPMENT &amp; OTHER HPs'!$AW$26:$AW$43&amp;'TB-EQUIPMENT &amp; OTHER HPs'!$AU$26:$AU$43,0),0),MID(LEFT(AG$1,SEARCH(" ",AG$1)-1),2,3)-INDEX('TB-EQUIPMENT &amp; OTHER HPs'!$AV$26:$AV$43,MATCH("6.6"&amp;"3",INDEX('TB-EQUIPMENT &amp; OTHER HPs'!$AW$26:$AW$43&amp;'TB-EQUIPMENT &amp; OTHER HPs'!$AU$26:$AU$43,0),0))),)+IFERROR(INDEX('TB-EQUIPMENT &amp; OTHER HPs'!$AX$26:$BI$43,MATCH("6.6"&amp;"4",INDEX('TB-EQUIPMENT &amp; OTHER HPs'!$AW$26:$AW$43&amp;'TB-EQUIPMENT &amp; OTHER HPs'!$AU$26:$AU$43,0),0),MID(LEFT(AG$1,SEARCH(" ",AG$1)-1),2,3)-INDEX('TB-EQUIPMENT &amp; OTHER HPs'!$AV$26:$AV$43,MATCH("6.6"&amp;"4",INDEX('TB-EQUIPMENT &amp; OTHER HPs'!$AW$26:$AW$43&amp;'TB-EQUIPMENT &amp; OTHER HPs'!$AU$26:$AU$43,0),0))),)),0)</f>
        <v>0</v>
      </c>
      <c r="AH151" s="1110"/>
      <c r="AI151" s="1110">
        <f>IFERROR('TB-Key Info'!$L$16*(IFERROR(INDEX('TB-EQUIPMENT &amp; OTHER HPs'!$AX$26:$BI$43,MATCH("6.6"&amp;"2",INDEX('TB-EQUIPMENT &amp; OTHER HPs'!$AW$26:$AW$43&amp;'TB-EQUIPMENT &amp; OTHER HPs'!$AU$26:$AU$43,0),0),MID(LEFT(AI$1,SEARCH(" ",AI$1)-1),2,3)-INDEX('TB-EQUIPMENT &amp; OTHER HPs'!$AV$26:$AV$43,MATCH("6.6"&amp;"2",INDEX('TB-EQUIPMENT &amp; OTHER HPs'!$AW$26:$AW$43&amp;'TB-EQUIPMENT &amp; OTHER HPs'!$AU$26:$AU$43,0),0))),)+IFERROR(INDEX('TB-EQUIPMENT &amp; OTHER HPs'!$AX$26:$BI$43,MATCH("6.6"&amp;"3",INDEX('TB-EQUIPMENT &amp; OTHER HPs'!$AW$26:$AW$43&amp;'TB-EQUIPMENT &amp; OTHER HPs'!$AU$26:$AU$43,0),0),MID(LEFT(AI$1,SEARCH(" ",AI$1)-1),2,3)-INDEX('TB-EQUIPMENT &amp; OTHER HPs'!$AV$26:$AV$43,MATCH("6.6"&amp;"3",INDEX('TB-EQUIPMENT &amp; OTHER HPs'!$AW$26:$AW$43&amp;'TB-EQUIPMENT &amp; OTHER HPs'!$AU$26:$AU$43,0),0))),)+IFERROR(INDEX('TB-EQUIPMENT &amp; OTHER HPs'!$AX$26:$BI$43,MATCH("6.6"&amp;"4",INDEX('TB-EQUIPMENT &amp; OTHER HPs'!$AW$26:$AW$43&amp;'TB-EQUIPMENT &amp; OTHER HPs'!$AU$26:$AU$43,0),0),MID(LEFT(AI$1,SEARCH(" ",AI$1)-1),2,3)-INDEX('TB-EQUIPMENT &amp; OTHER HPs'!$AV$26:$AV$43,MATCH("6.6"&amp;"4",INDEX('TB-EQUIPMENT &amp; OTHER HPs'!$AW$26:$AW$43&amp;'TB-EQUIPMENT &amp; OTHER HPs'!$AU$26:$AU$43,0),0))),)),0)</f>
        <v>0</v>
      </c>
      <c r="AJ151" s="1110"/>
      <c r="AK151" s="1160">
        <f t="shared" si="19"/>
        <v>0</v>
      </c>
      <c r="AL151" s="1161"/>
      <c r="AM151" s="1162"/>
      <c r="AN151" s="1114"/>
      <c r="AO151" s="1110"/>
      <c r="AP151" s="1110">
        <f>IFERROR('TB-Key Info'!$L$16*(IFERROR(INDEX('TB-EQUIPMENT &amp; OTHER HPs'!$AX$26:$BI$43,MATCH("6.6"&amp;"2",INDEX('TB-EQUIPMENT &amp; OTHER HPs'!$AW$26:$AW$43&amp;'TB-EQUIPMENT &amp; OTHER HPs'!$AU$26:$AU$43,0),0),MID(LEFT(AP$1,SEARCH(" ",AP$1)-1),2,3)-INDEX('TB-EQUIPMENT &amp; OTHER HPs'!$AV$26:$AV$43,MATCH("6.6"&amp;"2",INDEX('TB-EQUIPMENT &amp; OTHER HPs'!$AW$26:$AW$43&amp;'TB-EQUIPMENT &amp; OTHER HPs'!$AU$26:$AU$43,0),0))),)+IFERROR(INDEX('TB-EQUIPMENT &amp; OTHER HPs'!$AX$26:$BI$43,MATCH("6.6"&amp;"3",INDEX('TB-EQUIPMENT &amp; OTHER HPs'!$AW$26:$AW$43&amp;'TB-EQUIPMENT &amp; OTHER HPs'!$AU$26:$AU$43,0),0),MID(LEFT(AP$1,SEARCH(" ",AP$1)-1),2,3)-INDEX('TB-EQUIPMENT &amp; OTHER HPs'!$AV$26:$AV$43,MATCH("6.6"&amp;"3",INDEX('TB-EQUIPMENT &amp; OTHER HPs'!$AW$26:$AW$43&amp;'TB-EQUIPMENT &amp; OTHER HPs'!$AU$26:$AU$43,0),0))),)+IFERROR(INDEX('TB-EQUIPMENT &amp; OTHER HPs'!$AX$26:$BI$43,MATCH("6.6"&amp;"4",INDEX('TB-EQUIPMENT &amp; OTHER HPs'!$AW$26:$AW$43&amp;'TB-EQUIPMENT &amp; OTHER HPs'!$AU$26:$AU$43,0),0),MID(LEFT(AP$1,SEARCH(" ",AP$1)-1),2,3)-INDEX('TB-EQUIPMENT &amp; OTHER HPs'!$AV$26:$AV$43,MATCH("6.6"&amp;"4",INDEX('TB-EQUIPMENT &amp; OTHER HPs'!$AW$26:$AW$43&amp;'TB-EQUIPMENT &amp; OTHER HPs'!$AU$26:$AU$43,0),0))),)),0)</f>
        <v>0</v>
      </c>
      <c r="AQ151" s="1110"/>
      <c r="AR151" s="1110">
        <f>IFERROR('TB-Key Info'!$L$16*(IFERROR(INDEX('TB-EQUIPMENT &amp; OTHER HPs'!$AX$26:$BI$43,MATCH("6.6"&amp;"2",INDEX('TB-EQUIPMENT &amp; OTHER HPs'!$AW$26:$AW$43&amp;'TB-EQUIPMENT &amp; OTHER HPs'!$AU$26:$AU$43,0),0),MID(LEFT(AR$1,SEARCH(" ",AR$1)-1),2,3)-INDEX('TB-EQUIPMENT &amp; OTHER HPs'!$AV$26:$AV$43,MATCH("6.6"&amp;"2",INDEX('TB-EQUIPMENT &amp; OTHER HPs'!$AW$26:$AW$43&amp;'TB-EQUIPMENT &amp; OTHER HPs'!$AU$26:$AU$43,0),0))),)+IFERROR(INDEX('TB-EQUIPMENT &amp; OTHER HPs'!$AX$26:$BI$43,MATCH("6.6"&amp;"3",INDEX('TB-EQUIPMENT &amp; OTHER HPs'!$AW$26:$AW$43&amp;'TB-EQUIPMENT &amp; OTHER HPs'!$AU$26:$AU$43,0),0),MID(LEFT(AR$1,SEARCH(" ",AR$1)-1),2,3)-INDEX('TB-EQUIPMENT &amp; OTHER HPs'!$AV$26:$AV$43,MATCH("6.6"&amp;"3",INDEX('TB-EQUIPMENT &amp; OTHER HPs'!$AW$26:$AW$43&amp;'TB-EQUIPMENT &amp; OTHER HPs'!$AU$26:$AU$43,0),0))),)+IFERROR(INDEX('TB-EQUIPMENT &amp; OTHER HPs'!$AX$26:$BI$43,MATCH("6.6"&amp;"4",INDEX('TB-EQUIPMENT &amp; OTHER HPs'!$AW$26:$AW$43&amp;'TB-EQUIPMENT &amp; OTHER HPs'!$AU$26:$AU$43,0),0),MID(LEFT(AR$1,SEARCH(" ",AR$1)-1),2,3)-INDEX('TB-EQUIPMENT &amp; OTHER HPs'!$AV$26:$AV$43,MATCH("6.6"&amp;"4",INDEX('TB-EQUIPMENT &amp; OTHER HPs'!$AW$26:$AW$43&amp;'TB-EQUIPMENT &amp; OTHER HPs'!$AU$26:$AU$43,0),0))),)),0)</f>
        <v>0</v>
      </c>
      <c r="AS151" s="1110"/>
      <c r="AT151" s="1110">
        <f>IFERROR('TB-Key Info'!$L$16*(IFERROR(INDEX('TB-EQUIPMENT &amp; OTHER HPs'!$AX$26:$BI$43,MATCH("6.6"&amp;"2",INDEX('TB-EQUIPMENT &amp; OTHER HPs'!$AW$26:$AW$43&amp;'TB-EQUIPMENT &amp; OTHER HPs'!$AU$26:$AU$43,0),0),MID(LEFT(AT$1,SEARCH(" ",AT$1)-1),2,3)-INDEX('TB-EQUIPMENT &amp; OTHER HPs'!$AV$26:$AV$43,MATCH("6.6"&amp;"2",INDEX('TB-EQUIPMENT &amp; OTHER HPs'!$AW$26:$AW$43&amp;'TB-EQUIPMENT &amp; OTHER HPs'!$AU$26:$AU$43,0),0))),)+IFERROR(INDEX('TB-EQUIPMENT &amp; OTHER HPs'!$AX$26:$BI$43,MATCH("6.6"&amp;"3",INDEX('TB-EQUIPMENT &amp; OTHER HPs'!$AW$26:$AW$43&amp;'TB-EQUIPMENT &amp; OTHER HPs'!$AU$26:$AU$43,0),0),MID(LEFT(AT$1,SEARCH(" ",AT$1)-1),2,3)-INDEX('TB-EQUIPMENT &amp; OTHER HPs'!$AV$26:$AV$43,MATCH("6.6"&amp;"3",INDEX('TB-EQUIPMENT &amp; OTHER HPs'!$AW$26:$AW$43&amp;'TB-EQUIPMENT &amp; OTHER HPs'!$AU$26:$AU$43,0),0))),)+IFERROR(INDEX('TB-EQUIPMENT &amp; OTHER HPs'!$AX$26:$BI$43,MATCH("6.6"&amp;"4",INDEX('TB-EQUIPMENT &amp; OTHER HPs'!$AW$26:$AW$43&amp;'TB-EQUIPMENT &amp; OTHER HPs'!$AU$26:$AU$43,0),0),MID(LEFT(AT$1,SEARCH(" ",AT$1)-1),2,3)-INDEX('TB-EQUIPMENT &amp; OTHER HPs'!$AV$26:$AV$43,MATCH("6.6"&amp;"4",INDEX('TB-EQUIPMENT &amp; OTHER HPs'!$AW$26:$AW$43&amp;'TB-EQUIPMENT &amp; OTHER HPs'!$AU$26:$AU$43,0),0))),)),0)</f>
        <v>0</v>
      </c>
      <c r="AU151" s="1110"/>
      <c r="AV151" s="525">
        <f>IFERROR('TB-Key Info'!$L$16*((INDEX('TB-EQUIPMENT &amp; OTHER HPs'!$BJ$26:$BJ$43,MATCH("6.6"&amp;"2",INDEX('TB-EQUIPMENT &amp; OTHER HPs'!$AW$26:$AW$43&amp;'TB-EQUIPMENT &amp; OTHER HPs'!$AU$26:$AU$43,0),0)))+(INDEX('TB-EQUIPMENT &amp; OTHER HPs'!$BJ$26:$BJ$43,MATCH("6.6"&amp;"3",INDEX('TB-EQUIPMENT &amp; OTHER HPs'!$AW$26:$AW$43&amp;'TB-EQUIPMENT &amp; OTHER HPs'!$AU$26:$AU$43,0),0)))+(INDEX('TB-EQUIPMENT &amp; OTHER HPs'!$BJ$26:$BJ$43,MATCH("6.6"&amp;"4",INDEX('TB-EQUIPMENT &amp; OTHER HPs'!$AW$26:$AW$43&amp;'TB-EQUIPMENT &amp; OTHER HPs'!$AU$26:$AU$43,0),0),)))-SUM(X151,AK151,AP151,AR151,AT151),0)</f>
        <v>0</v>
      </c>
      <c r="AW151" s="1110"/>
      <c r="AX151" s="1160">
        <f t="shared" si="20"/>
        <v>0</v>
      </c>
      <c r="AY151" s="1160"/>
      <c r="AZ151" s="1113"/>
      <c r="BA151" s="1114"/>
      <c r="BB151" s="1112"/>
      <c r="BC151" s="1112">
        <v>0</v>
      </c>
      <c r="BD151" s="1112">
        <v>0</v>
      </c>
      <c r="BE151" s="1112">
        <v>0</v>
      </c>
      <c r="BF151" s="1112">
        <v>0</v>
      </c>
      <c r="BG151" s="1112">
        <v>0</v>
      </c>
      <c r="BH151" s="1112">
        <v>0</v>
      </c>
      <c r="BI151" s="1112">
        <v>0</v>
      </c>
      <c r="BJ151" s="1112">
        <v>0</v>
      </c>
      <c r="BK151" s="1160">
        <f t="shared" si="21"/>
        <v>0</v>
      </c>
      <c r="BL151" s="1160"/>
      <c r="BM151" s="1160">
        <f t="shared" si="22"/>
        <v>0</v>
      </c>
      <c r="BN151" s="1160">
        <f t="shared" si="23"/>
        <v>0</v>
      </c>
      <c r="BO151" s="1112"/>
      <c r="BP151" s="1112"/>
      <c r="BQ151" s="1157">
        <v>0</v>
      </c>
      <c r="BR151" s="1157" t="s">
        <v>688</v>
      </c>
      <c r="BS151" s="1157" t="s">
        <v>1883</v>
      </c>
      <c r="BT151" s="2066" t="s">
        <v>1437</v>
      </c>
    </row>
    <row r="152" spans="1:73" s="512" customFormat="1" ht="13" hidden="1">
      <c r="A152" s="1204">
        <v>361</v>
      </c>
      <c r="B152" s="1205" t="s">
        <v>657</v>
      </c>
      <c r="C152" s="1205" t="s">
        <v>658</v>
      </c>
      <c r="D152" s="1206" t="s">
        <v>2547</v>
      </c>
      <c r="E152" s="1386" t="s">
        <v>528</v>
      </c>
      <c r="F152" s="521"/>
      <c r="G152" s="522"/>
      <c r="H152" s="522"/>
      <c r="I152" s="522"/>
      <c r="J152" s="523"/>
      <c r="K152" s="523"/>
      <c r="L152" s="523"/>
      <c r="M152" s="524"/>
      <c r="N152" s="525"/>
      <c r="O152" s="526" t="s">
        <v>1237</v>
      </c>
      <c r="P152" s="525">
        <f>'TB-Key Info'!$L$16*('HPM costs'!F57+'HPM costs'!F60+'HPM costs'!F63+'HPM costs'!F66)</f>
        <v>0</v>
      </c>
      <c r="Q152" s="525" t="s">
        <v>1237</v>
      </c>
      <c r="R152" s="525">
        <f>'TB-Key Info'!$L$16*('HPM costs'!G57+'HPM costs'!G60+'HPM costs'!G63+'HPM costs'!G66)</f>
        <v>0</v>
      </c>
      <c r="S152" s="525" t="s">
        <v>1237</v>
      </c>
      <c r="T152" s="525">
        <f>'TB-Key Info'!$L$16*('HPM costs'!H57+'HPM costs'!H60+'HPM costs'!H63+'HPM costs'!H66)</f>
        <v>0</v>
      </c>
      <c r="U152" s="525" t="s">
        <v>1237</v>
      </c>
      <c r="V152" s="525">
        <f>'TB-Key Info'!$L$16*('HPM costs'!I57+'HPM costs'!I60+'HPM costs'!I63+'HPM costs'!I66)</f>
        <v>0</v>
      </c>
      <c r="W152" s="525"/>
      <c r="X152" s="1154">
        <f t="shared" si="18"/>
        <v>0</v>
      </c>
      <c r="Y152" s="1155"/>
      <c r="Z152" s="1156"/>
      <c r="AA152" s="529"/>
      <c r="AB152" s="525"/>
      <c r="AC152" s="525">
        <f>'TB-Key Info'!$L$16*('HPM costs'!K57+'HPM costs'!K60+'HPM costs'!K63+'HPM costs'!K66)</f>
        <v>0</v>
      </c>
      <c r="AD152" s="525"/>
      <c r="AE152" s="525">
        <f>'TB-Key Info'!$L$16*('HPM costs'!L57+'HPM costs'!L60+'HPM costs'!L63+'HPM costs'!L66)</f>
        <v>0</v>
      </c>
      <c r="AF152" s="525"/>
      <c r="AG152" s="525">
        <f>'TB-Key Info'!$L$16*('HPM costs'!M57+'HPM costs'!M60+'HPM costs'!M63+'HPM costs'!M66)</f>
        <v>0</v>
      </c>
      <c r="AH152" s="525"/>
      <c r="AI152" s="525">
        <f>'TB-Key Info'!$L$16*('HPM costs'!N57+'HPM costs'!N60+'HPM costs'!N63+'HPM costs'!N66)</f>
        <v>0</v>
      </c>
      <c r="AJ152" s="525"/>
      <c r="AK152" s="1154">
        <f t="shared" si="19"/>
        <v>0</v>
      </c>
      <c r="AL152" s="1155"/>
      <c r="AM152" s="1156"/>
      <c r="AN152" s="529"/>
      <c r="AO152" s="525"/>
      <c r="AP152" s="525">
        <f>'TB-Key Info'!$L$16*('HPM costs'!P57+'HPM costs'!P60+'HPM costs'!P63+'HPM costs'!P66)</f>
        <v>0</v>
      </c>
      <c r="AQ152" s="525"/>
      <c r="AR152" s="525">
        <f>'TB-Key Info'!$L$16*('HPM costs'!Q57+'HPM costs'!Q60+'HPM costs'!Q63+'HPM costs'!Q66)</f>
        <v>0</v>
      </c>
      <c r="AS152" s="525"/>
      <c r="AT152" s="525">
        <f>'TB-Key Info'!$L$16*('HPM costs'!R57+'HPM costs'!R60+'HPM costs'!R63+'HPM costs'!R66)</f>
        <v>0</v>
      </c>
      <c r="AU152" s="525"/>
      <c r="AV152" s="525">
        <f>'TB-Key Info'!$L$16*('HPM costs'!S57+'HPM costs'!S60+'HPM costs'!S63+'HPM costs'!S66)</f>
        <v>0</v>
      </c>
      <c r="AW152" s="525"/>
      <c r="AX152" s="1154">
        <f t="shared" si="20"/>
        <v>0</v>
      </c>
      <c r="AY152" s="1154"/>
      <c r="AZ152" s="528"/>
      <c r="BA152" s="529"/>
      <c r="BB152" s="527"/>
      <c r="BC152" s="527">
        <v>0</v>
      </c>
      <c r="BD152" s="527">
        <v>0</v>
      </c>
      <c r="BE152" s="527">
        <v>0</v>
      </c>
      <c r="BF152" s="527">
        <v>0</v>
      </c>
      <c r="BG152" s="527">
        <v>0</v>
      </c>
      <c r="BH152" s="527">
        <v>0</v>
      </c>
      <c r="BI152" s="527">
        <v>0</v>
      </c>
      <c r="BJ152" s="527">
        <v>0</v>
      </c>
      <c r="BK152" s="1154">
        <f t="shared" si="21"/>
        <v>0</v>
      </c>
      <c r="BL152" s="1154"/>
      <c r="BM152" s="1154">
        <f t="shared" si="22"/>
        <v>0</v>
      </c>
      <c r="BN152" s="1154">
        <f t="shared" si="23"/>
        <v>0</v>
      </c>
      <c r="BO152" s="527"/>
      <c r="BP152" s="527"/>
      <c r="BQ152" s="1157">
        <v>0</v>
      </c>
      <c r="BR152" s="1157" t="s">
        <v>688</v>
      </c>
      <c r="BS152" s="1157" t="s">
        <v>2547</v>
      </c>
      <c r="BT152" s="1376" t="s">
        <v>1415</v>
      </c>
    </row>
    <row r="153" spans="1:73" s="512" customFormat="1" ht="13" hidden="1">
      <c r="A153" s="1204">
        <v>362</v>
      </c>
      <c r="B153" s="1205" t="s">
        <v>657</v>
      </c>
      <c r="C153" s="1205" t="s">
        <v>658</v>
      </c>
      <c r="D153" s="1206" t="s">
        <v>2547</v>
      </c>
      <c r="E153" s="1386" t="s">
        <v>530</v>
      </c>
      <c r="F153" s="521"/>
      <c r="G153" s="522"/>
      <c r="H153" s="522"/>
      <c r="I153" s="522"/>
      <c r="J153" s="523"/>
      <c r="K153" s="523"/>
      <c r="L153" s="523"/>
      <c r="M153" s="524"/>
      <c r="N153" s="525"/>
      <c r="O153" s="526" t="s">
        <v>1237</v>
      </c>
      <c r="P153" s="525">
        <f>'TB-Key Info'!$L$16*('HPM costs'!F143+'HPM costs'!F146+'HPM costs'!F149+'HPM costs'!F152)</f>
        <v>0</v>
      </c>
      <c r="Q153" s="525" t="s">
        <v>1237</v>
      </c>
      <c r="R153" s="525">
        <f>'TB-Key Info'!$L$16*('HPM costs'!G143+'HPM costs'!G146+'HPM costs'!G149+'HPM costs'!G152)</f>
        <v>0</v>
      </c>
      <c r="S153" s="525" t="s">
        <v>1237</v>
      </c>
      <c r="T153" s="525">
        <f>'TB-Key Info'!$L$16*('HPM costs'!H143+'HPM costs'!H146+'HPM costs'!H149+'HPM costs'!H152)</f>
        <v>0</v>
      </c>
      <c r="U153" s="525" t="s">
        <v>1237</v>
      </c>
      <c r="V153" s="525">
        <f>'TB-Key Info'!$L$16*('HPM costs'!I143+'HPM costs'!I146+'HPM costs'!I149+'HPM costs'!I152)</f>
        <v>0</v>
      </c>
      <c r="W153" s="525"/>
      <c r="X153" s="1154">
        <f t="shared" si="18"/>
        <v>0</v>
      </c>
      <c r="Y153" s="1155"/>
      <c r="Z153" s="1156"/>
      <c r="AA153" s="529"/>
      <c r="AB153" s="525"/>
      <c r="AC153" s="525">
        <f>'TB-Key Info'!$L$16*('HPM costs'!K143+'HPM costs'!K146+'HPM costs'!K149+'HPM costs'!K152)</f>
        <v>0</v>
      </c>
      <c r="AD153" s="525"/>
      <c r="AE153" s="525">
        <f>'TB-Key Info'!$L$16*('HPM costs'!L143+'HPM costs'!L146+'HPM costs'!L149+'HPM costs'!L152)</f>
        <v>0</v>
      </c>
      <c r="AF153" s="525"/>
      <c r="AG153" s="525">
        <f>'TB-Key Info'!$L$16*('HPM costs'!M143+'HPM costs'!M146+'HPM costs'!M149+'HPM costs'!M152)</f>
        <v>0</v>
      </c>
      <c r="AH153" s="525"/>
      <c r="AI153" s="525">
        <f>'TB-Key Info'!$L$16*('HPM costs'!N143+'HPM costs'!N146+'HPM costs'!N149+'HPM costs'!N152)</f>
        <v>0</v>
      </c>
      <c r="AJ153" s="525"/>
      <c r="AK153" s="1154">
        <f t="shared" si="19"/>
        <v>0</v>
      </c>
      <c r="AL153" s="1155"/>
      <c r="AM153" s="1156"/>
      <c r="AN153" s="529"/>
      <c r="AO153" s="525"/>
      <c r="AP153" s="525">
        <f>'TB-Key Info'!$L$16*('HPM costs'!P143+'HPM costs'!P146+'HPM costs'!P149+'HPM costs'!P152)</f>
        <v>0</v>
      </c>
      <c r="AQ153" s="525"/>
      <c r="AR153" s="525">
        <f>'TB-Key Info'!$L$16*('HPM costs'!Q143+'HPM costs'!Q146+'HPM costs'!Q149+'HPM costs'!Q152)</f>
        <v>0</v>
      </c>
      <c r="AS153" s="525"/>
      <c r="AT153" s="525">
        <f>'TB-Key Info'!$L$16*('HPM costs'!R143+'HPM costs'!R146+'HPM costs'!R149+'HPM costs'!R152)</f>
        <v>0</v>
      </c>
      <c r="AU153" s="525"/>
      <c r="AV153" s="525">
        <f>'TB-Key Info'!$L$16*('HPM costs'!S143+'HPM costs'!S146+'HPM costs'!S149+'HPM costs'!S152)</f>
        <v>0</v>
      </c>
      <c r="AW153" s="525"/>
      <c r="AX153" s="1154">
        <f t="shared" si="20"/>
        <v>0</v>
      </c>
      <c r="AY153" s="1154"/>
      <c r="AZ153" s="528"/>
      <c r="BA153" s="529"/>
      <c r="BB153" s="527"/>
      <c r="BC153" s="527">
        <v>0</v>
      </c>
      <c r="BD153" s="527">
        <v>0</v>
      </c>
      <c r="BE153" s="527">
        <v>0</v>
      </c>
      <c r="BF153" s="527">
        <v>0</v>
      </c>
      <c r="BG153" s="527">
        <v>0</v>
      </c>
      <c r="BH153" s="527">
        <v>0</v>
      </c>
      <c r="BI153" s="527">
        <v>0</v>
      </c>
      <c r="BJ153" s="527">
        <v>0</v>
      </c>
      <c r="BK153" s="1154">
        <f t="shared" si="21"/>
        <v>0</v>
      </c>
      <c r="BL153" s="1154"/>
      <c r="BM153" s="1154">
        <f t="shared" si="22"/>
        <v>0</v>
      </c>
      <c r="BN153" s="1154">
        <f t="shared" si="23"/>
        <v>0</v>
      </c>
      <c r="BO153" s="527"/>
      <c r="BP153" s="527"/>
      <c r="BQ153" s="1157">
        <v>0</v>
      </c>
      <c r="BR153" s="1157" t="s">
        <v>688</v>
      </c>
      <c r="BS153" s="1157" t="s">
        <v>2547</v>
      </c>
      <c r="BT153" s="1376" t="s">
        <v>1416</v>
      </c>
    </row>
    <row r="154" spans="1:73" s="512" customFormat="1" ht="13" hidden="1">
      <c r="A154" s="1204">
        <v>363</v>
      </c>
      <c r="B154" s="1205" t="s">
        <v>657</v>
      </c>
      <c r="C154" s="1205" t="s">
        <v>658</v>
      </c>
      <c r="D154" s="1206" t="s">
        <v>2547</v>
      </c>
      <c r="E154" s="1386" t="s">
        <v>532</v>
      </c>
      <c r="F154" s="521"/>
      <c r="G154" s="522"/>
      <c r="H154" s="522"/>
      <c r="I154" s="522"/>
      <c r="J154" s="523"/>
      <c r="K154" s="523"/>
      <c r="L154" s="523"/>
      <c r="M154" s="524"/>
      <c r="N154" s="525"/>
      <c r="O154" s="526" t="s">
        <v>1237</v>
      </c>
      <c r="P154" s="525">
        <f>'TB-Key Info'!$L$16*('HPM costs'!F403+'HPM costs'!F406+'HPM costs'!F409+'HPM costs'!F412)</f>
        <v>0</v>
      </c>
      <c r="Q154" s="525" t="s">
        <v>1237</v>
      </c>
      <c r="R154" s="525">
        <f>'TB-Key Info'!$L$16*('HPM costs'!G403+'HPM costs'!G406+'HPM costs'!G409+'HPM costs'!G412)</f>
        <v>0</v>
      </c>
      <c r="S154" s="525" t="s">
        <v>1237</v>
      </c>
      <c r="T154" s="525">
        <f>'TB-Key Info'!$L$16*('HPM costs'!H403+'HPM costs'!H406+'HPM costs'!H409+'HPM costs'!H412)</f>
        <v>0</v>
      </c>
      <c r="U154" s="525" t="s">
        <v>1237</v>
      </c>
      <c r="V154" s="525">
        <f>'TB-Key Info'!$L$16*('HPM costs'!I403+'HPM costs'!I406+'HPM costs'!I409+'HPM costs'!I412)</f>
        <v>0</v>
      </c>
      <c r="W154" s="525"/>
      <c r="X154" s="1154">
        <f t="shared" si="18"/>
        <v>0</v>
      </c>
      <c r="Y154" s="1155"/>
      <c r="Z154" s="1156"/>
      <c r="AA154" s="529"/>
      <c r="AB154" s="525"/>
      <c r="AC154" s="525">
        <f>'TB-Key Info'!$L$16*('HPM costs'!K403+'HPM costs'!K406+'HPM costs'!K409+'HPM costs'!K412)</f>
        <v>0</v>
      </c>
      <c r="AD154" s="525"/>
      <c r="AE154" s="525">
        <f>'TB-Key Info'!$L$16*('HPM costs'!L403+'HPM costs'!L406+'HPM costs'!L409+'HPM costs'!L412)</f>
        <v>0</v>
      </c>
      <c r="AF154" s="525"/>
      <c r="AG154" s="525">
        <f>'TB-Key Info'!$L$16*('HPM costs'!M403+'HPM costs'!M406+'HPM costs'!M409+'HPM costs'!M412)</f>
        <v>0</v>
      </c>
      <c r="AH154" s="525"/>
      <c r="AI154" s="525">
        <f>'TB-Key Info'!$L$16*('HPM costs'!N403+'HPM costs'!N406+'HPM costs'!N409+'HPM costs'!N412)</f>
        <v>0</v>
      </c>
      <c r="AJ154" s="525"/>
      <c r="AK154" s="1154">
        <f t="shared" si="19"/>
        <v>0</v>
      </c>
      <c r="AL154" s="1155"/>
      <c r="AM154" s="1156"/>
      <c r="AN154" s="529"/>
      <c r="AO154" s="525"/>
      <c r="AP154" s="525">
        <f>'TB-Key Info'!$L$16*('HPM costs'!P403+'HPM costs'!P406+'HPM costs'!P409+'HPM costs'!P412)</f>
        <v>0</v>
      </c>
      <c r="AQ154" s="525"/>
      <c r="AR154" s="525">
        <f>'TB-Key Info'!$L$16*('HPM costs'!Q403+'HPM costs'!Q406+'HPM costs'!Q409+'HPM costs'!Q412)</f>
        <v>0</v>
      </c>
      <c r="AS154" s="525"/>
      <c r="AT154" s="525">
        <f>'TB-Key Info'!$L$16*('HPM costs'!R403+'HPM costs'!R406+'HPM costs'!R409+'HPM costs'!R412)</f>
        <v>0</v>
      </c>
      <c r="AU154" s="525"/>
      <c r="AV154" s="525">
        <f>'TB-Key Info'!$L$16*('HPM costs'!S403+'HPM costs'!S406+'HPM costs'!S409+'HPM costs'!S412)</f>
        <v>0</v>
      </c>
      <c r="AW154" s="525"/>
      <c r="AX154" s="1154">
        <f t="shared" si="20"/>
        <v>0</v>
      </c>
      <c r="AY154" s="1154"/>
      <c r="AZ154" s="528"/>
      <c r="BA154" s="529"/>
      <c r="BB154" s="527"/>
      <c r="BC154" s="527">
        <v>0</v>
      </c>
      <c r="BD154" s="527">
        <v>0</v>
      </c>
      <c r="BE154" s="527">
        <v>0</v>
      </c>
      <c r="BF154" s="527">
        <v>0</v>
      </c>
      <c r="BG154" s="527">
        <v>0</v>
      </c>
      <c r="BH154" s="527">
        <v>0</v>
      </c>
      <c r="BI154" s="527">
        <v>0</v>
      </c>
      <c r="BJ154" s="527">
        <v>0</v>
      </c>
      <c r="BK154" s="1154">
        <f t="shared" si="21"/>
        <v>0</v>
      </c>
      <c r="BL154" s="1154"/>
      <c r="BM154" s="1154">
        <f t="shared" si="22"/>
        <v>0</v>
      </c>
      <c r="BN154" s="1154">
        <f t="shared" si="23"/>
        <v>0</v>
      </c>
      <c r="BO154" s="527"/>
      <c r="BP154" s="527"/>
      <c r="BQ154" s="1157">
        <v>0</v>
      </c>
      <c r="BR154" s="1157" t="s">
        <v>688</v>
      </c>
      <c r="BS154" s="1157" t="s">
        <v>2547</v>
      </c>
      <c r="BT154" s="1376" t="s">
        <v>1417</v>
      </c>
    </row>
    <row r="155" spans="1:73" s="512" customFormat="1" ht="13" hidden="1">
      <c r="A155" s="1204">
        <v>364</v>
      </c>
      <c r="B155" s="1205" t="s">
        <v>657</v>
      </c>
      <c r="C155" s="1205" t="s">
        <v>658</v>
      </c>
      <c r="D155" s="1206" t="s">
        <v>2547</v>
      </c>
      <c r="E155" s="1386" t="s">
        <v>534</v>
      </c>
      <c r="F155" s="521"/>
      <c r="G155" s="522"/>
      <c r="H155" s="522"/>
      <c r="I155" s="522"/>
      <c r="J155" s="523"/>
      <c r="K155" s="523"/>
      <c r="L155" s="523"/>
      <c r="M155" s="524" t="e">
        <f>X155/W155</f>
        <v>#DIV/0!</v>
      </c>
      <c r="N155" s="525" t="e">
        <f>IF(M155&lt;&gt;"",M155/VLOOKUP($K155,SETUP!$C$28:$D$42,2,0),"")</f>
        <v>#DIV/0!</v>
      </c>
      <c r="O155" s="526" t="s">
        <v>1237</v>
      </c>
      <c r="P155" s="525">
        <f>'TB-Key Info'!$L$16*('HPM costs'!F489+'HPM costs'!F492+'HPM costs'!F495+'HPM costs'!F498)</f>
        <v>0</v>
      </c>
      <c r="Q155" s="525"/>
      <c r="R155" s="525">
        <f>'TB-Key Info'!$L$16*('HPM costs'!G489+'HPM costs'!G492+'HPM costs'!G495+'HPM costs'!G498)</f>
        <v>0</v>
      </c>
      <c r="S155" s="525"/>
      <c r="T155" s="525">
        <f>'TB-Key Info'!$L$16*('HPM costs'!H489+'HPM costs'!H492+'HPM costs'!H495+'HPM costs'!H498)</f>
        <v>0</v>
      </c>
      <c r="U155" s="525"/>
      <c r="V155" s="525">
        <f>'TB-Key Info'!$L$16*('HPM costs'!I489+'HPM costs'!I492+'HPM costs'!I495+'HPM costs'!I498)</f>
        <v>0</v>
      </c>
      <c r="W155" s="525"/>
      <c r="X155" s="1154">
        <f t="shared" si="18"/>
        <v>0</v>
      </c>
      <c r="Y155" s="1155"/>
      <c r="Z155" s="1156"/>
      <c r="AA155" s="529"/>
      <c r="AB155" s="525"/>
      <c r="AC155" s="525">
        <f>'TB-Key Info'!$L$16*('HPM costs'!K489+'HPM costs'!K492+'HPM costs'!K495+'HPM costs'!K498)</f>
        <v>0</v>
      </c>
      <c r="AD155" s="525"/>
      <c r="AE155" s="525">
        <f>'TB-Key Info'!$L$16*('HPM costs'!L489+'HPM costs'!L492+'HPM costs'!L495+'HPM costs'!L498)</f>
        <v>0</v>
      </c>
      <c r="AF155" s="525"/>
      <c r="AG155" s="525">
        <f>'TB-Key Info'!$L$16*('HPM costs'!M489+'HPM costs'!M492+'HPM costs'!M495+'HPM costs'!M498)</f>
        <v>0</v>
      </c>
      <c r="AH155" s="525"/>
      <c r="AI155" s="525">
        <f>'TB-Key Info'!$L$16*('HPM costs'!N489+'HPM costs'!N492+'HPM costs'!N495+'HPM costs'!N498)</f>
        <v>0</v>
      </c>
      <c r="AJ155" s="525"/>
      <c r="AK155" s="1154">
        <f t="shared" si="19"/>
        <v>0</v>
      </c>
      <c r="AL155" s="1155"/>
      <c r="AM155" s="1156"/>
      <c r="AN155" s="529"/>
      <c r="AO155" s="525"/>
      <c r="AP155" s="525">
        <f>'TB-Key Info'!$L$16*('HPM costs'!P489+'HPM costs'!P492+'HPM costs'!P495+'HPM costs'!P498)</f>
        <v>0</v>
      </c>
      <c r="AQ155" s="525"/>
      <c r="AR155" s="525">
        <f>'TB-Key Info'!$L$16*('HPM costs'!Q489+'HPM costs'!Q492+'HPM costs'!Q495+'HPM costs'!Q498)</f>
        <v>0</v>
      </c>
      <c r="AS155" s="525"/>
      <c r="AT155" s="525">
        <f>'TB-Key Info'!$L$16*('HPM costs'!R489+'HPM costs'!R492+'HPM costs'!R495+'HPM costs'!R498)</f>
        <v>0</v>
      </c>
      <c r="AU155" s="525"/>
      <c r="AV155" s="525">
        <f>'TB-Key Info'!$L$16*('HPM costs'!S489+'HPM costs'!S492+'HPM costs'!S495+'HPM costs'!S498)</f>
        <v>0</v>
      </c>
      <c r="AW155" s="525"/>
      <c r="AX155" s="1154">
        <f t="shared" si="20"/>
        <v>0</v>
      </c>
      <c r="AY155" s="1154"/>
      <c r="AZ155" s="528"/>
      <c r="BA155" s="529"/>
      <c r="BB155" s="527"/>
      <c r="BC155" s="527">
        <v>0</v>
      </c>
      <c r="BD155" s="527">
        <v>0</v>
      </c>
      <c r="BE155" s="527">
        <v>0</v>
      </c>
      <c r="BF155" s="527">
        <v>0</v>
      </c>
      <c r="BG155" s="527">
        <v>0</v>
      </c>
      <c r="BH155" s="527">
        <v>0</v>
      </c>
      <c r="BI155" s="527">
        <v>0</v>
      </c>
      <c r="BJ155" s="527">
        <v>0</v>
      </c>
      <c r="BK155" s="1154">
        <f t="shared" si="21"/>
        <v>0</v>
      </c>
      <c r="BL155" s="1154"/>
      <c r="BM155" s="1154">
        <f t="shared" si="22"/>
        <v>0</v>
      </c>
      <c r="BN155" s="1154">
        <f t="shared" si="23"/>
        <v>0</v>
      </c>
      <c r="BO155" s="527"/>
      <c r="BP155" s="527"/>
      <c r="BQ155" s="1157">
        <v>0</v>
      </c>
      <c r="BR155" s="1157" t="s">
        <v>688</v>
      </c>
      <c r="BS155" s="1157" t="s">
        <v>2547</v>
      </c>
      <c r="BT155" s="1376" t="s">
        <v>1418</v>
      </c>
    </row>
    <row r="156" spans="1:73" s="512" customFormat="1" ht="13" hidden="1">
      <c r="A156" s="1204">
        <v>365</v>
      </c>
      <c r="B156" s="1205" t="s">
        <v>657</v>
      </c>
      <c r="C156" s="1205" t="s">
        <v>658</v>
      </c>
      <c r="D156" s="1206" t="s">
        <v>2547</v>
      </c>
      <c r="E156" s="1386" t="s">
        <v>536</v>
      </c>
      <c r="F156" s="521"/>
      <c r="G156" s="522"/>
      <c r="H156" s="522"/>
      <c r="I156" s="522"/>
      <c r="J156" s="523"/>
      <c r="K156" s="523"/>
      <c r="L156" s="523"/>
      <c r="M156" s="524"/>
      <c r="N156" s="525"/>
      <c r="O156" s="526" t="s">
        <v>1237</v>
      </c>
      <c r="P156" s="525">
        <f>'TB-Key Info'!$L$16*('HPM costs'!F229+'HPM costs'!F232+'HPM costs'!F235+'HPM costs'!F238+'HPM costs'!F575+'HPM costs'!F578+'HPM costs'!F581+'HPM costs'!F584)</f>
        <v>0</v>
      </c>
      <c r="Q156" s="525" t="s">
        <v>1237</v>
      </c>
      <c r="R156" s="525">
        <f>'TB-Key Info'!$L$16*('HPM costs'!G229+'HPM costs'!G232+'HPM costs'!G235+'HPM costs'!G238+'HPM costs'!G575+'HPM costs'!G578+'HPM costs'!G581+'HPM costs'!G584)</f>
        <v>0</v>
      </c>
      <c r="S156" s="525" t="s">
        <v>1237</v>
      </c>
      <c r="T156" s="525">
        <f>'TB-Key Info'!$L$16*('HPM costs'!H229+'HPM costs'!H232+'HPM costs'!H235+'HPM costs'!H238+'HPM costs'!H575+'HPM costs'!H578+'HPM costs'!H581+'HPM costs'!H584)</f>
        <v>0</v>
      </c>
      <c r="U156" s="525" t="s">
        <v>1237</v>
      </c>
      <c r="V156" s="525">
        <f>'TB-Key Info'!$L$16*('HPM costs'!I229+'HPM costs'!I232+'HPM costs'!I235+'HPM costs'!I238+'HPM costs'!I575+'HPM costs'!I578+'HPM costs'!I581+'HPM costs'!I584)</f>
        <v>0</v>
      </c>
      <c r="W156" s="525"/>
      <c r="X156" s="1154">
        <f t="shared" si="18"/>
        <v>0</v>
      </c>
      <c r="Y156" s="1155"/>
      <c r="Z156" s="1156"/>
      <c r="AA156" s="529"/>
      <c r="AB156" s="525"/>
      <c r="AC156" s="525">
        <f>'TB-Key Info'!$L$16*('HPM costs'!K229+'HPM costs'!K232+'HPM costs'!K235+'HPM costs'!K238+'HPM costs'!K575+'HPM costs'!K578+'HPM costs'!K581+'HPM costs'!K584)</f>
        <v>0</v>
      </c>
      <c r="AD156" s="525"/>
      <c r="AE156" s="525">
        <f>'TB-Key Info'!$L$16*('HPM costs'!L229+'HPM costs'!L232+'HPM costs'!L235+'HPM costs'!L238+'HPM costs'!L575+'HPM costs'!L578+'HPM costs'!L581+'HPM costs'!L584)</f>
        <v>0</v>
      </c>
      <c r="AF156" s="525"/>
      <c r="AG156" s="525">
        <f>'TB-Key Info'!$L$16*('HPM costs'!M229+'HPM costs'!M232+'HPM costs'!M235+'HPM costs'!M238+'HPM costs'!M575+'HPM costs'!M578+'HPM costs'!M581+'HPM costs'!M584)</f>
        <v>0</v>
      </c>
      <c r="AH156" s="525"/>
      <c r="AI156" s="525">
        <f>'TB-Key Info'!$L$16*('HPM costs'!N229+'HPM costs'!N232+'HPM costs'!N235+'HPM costs'!N238+'HPM costs'!N575+'HPM costs'!N578+'HPM costs'!N581+'HPM costs'!N584)</f>
        <v>0</v>
      </c>
      <c r="AJ156" s="525"/>
      <c r="AK156" s="1154">
        <f t="shared" si="19"/>
        <v>0</v>
      </c>
      <c r="AL156" s="1155"/>
      <c r="AM156" s="1156"/>
      <c r="AN156" s="529"/>
      <c r="AO156" s="525"/>
      <c r="AP156" s="525">
        <f>'TB-Key Info'!$L$16*('HPM costs'!P229+'HPM costs'!P232+'HPM costs'!P235+'HPM costs'!P238+'HPM costs'!P575+'HPM costs'!P578+'HPM costs'!P581+'HPM costs'!P584)</f>
        <v>0</v>
      </c>
      <c r="AQ156" s="525"/>
      <c r="AR156" s="525">
        <f>'TB-Key Info'!$L$16*('HPM costs'!Q229+'HPM costs'!Q232+'HPM costs'!Q235+'HPM costs'!Q238+'HPM costs'!Q575+'HPM costs'!Q578+'HPM costs'!Q581+'HPM costs'!Q584)</f>
        <v>0</v>
      </c>
      <c r="AS156" s="525"/>
      <c r="AT156" s="525">
        <f>'TB-Key Info'!$L$16*('HPM costs'!R229+'HPM costs'!R232+'HPM costs'!R235+'HPM costs'!R238+'HPM costs'!R575+'HPM costs'!R578+'HPM costs'!R581+'HPM costs'!R584)</f>
        <v>0</v>
      </c>
      <c r="AU156" s="525"/>
      <c r="AV156" s="525">
        <f>'TB-Key Info'!$L$16*('HPM costs'!S229+'HPM costs'!S232+'HPM costs'!S235+'HPM costs'!S238+'HPM costs'!S575+'HPM costs'!S578+'HPM costs'!S581+'HPM costs'!S584)</f>
        <v>0</v>
      </c>
      <c r="AW156" s="525"/>
      <c r="AX156" s="1154">
        <f t="shared" si="20"/>
        <v>0</v>
      </c>
      <c r="AY156" s="1154"/>
      <c r="AZ156" s="528"/>
      <c r="BA156" s="529"/>
      <c r="BB156" s="527"/>
      <c r="BC156" s="527">
        <v>0</v>
      </c>
      <c r="BD156" s="527">
        <v>0</v>
      </c>
      <c r="BE156" s="527">
        <v>0</v>
      </c>
      <c r="BF156" s="527">
        <v>0</v>
      </c>
      <c r="BG156" s="527">
        <v>0</v>
      </c>
      <c r="BH156" s="527">
        <v>0</v>
      </c>
      <c r="BI156" s="527">
        <v>0</v>
      </c>
      <c r="BJ156" s="527">
        <v>0</v>
      </c>
      <c r="BK156" s="1154">
        <f t="shared" si="21"/>
        <v>0</v>
      </c>
      <c r="BL156" s="1154"/>
      <c r="BM156" s="1154">
        <f t="shared" si="22"/>
        <v>0</v>
      </c>
      <c r="BN156" s="1154">
        <f t="shared" si="23"/>
        <v>0</v>
      </c>
      <c r="BO156" s="527"/>
      <c r="BP156" s="527"/>
      <c r="BQ156" s="1157">
        <v>0</v>
      </c>
      <c r="BR156" s="1157" t="s">
        <v>688</v>
      </c>
      <c r="BS156" s="1157" t="s">
        <v>2547</v>
      </c>
      <c r="BT156" s="1376" t="s">
        <v>1419</v>
      </c>
    </row>
    <row r="157" spans="1:73" s="512" customFormat="1" ht="13" hidden="1">
      <c r="A157" s="1204">
        <v>366</v>
      </c>
      <c r="B157" s="1205" t="s">
        <v>657</v>
      </c>
      <c r="C157" s="1205" t="s">
        <v>658</v>
      </c>
      <c r="D157" s="1206" t="s">
        <v>2547</v>
      </c>
      <c r="E157" s="1386" t="s">
        <v>538</v>
      </c>
      <c r="F157" s="521"/>
      <c r="G157" s="522"/>
      <c r="H157" s="522"/>
      <c r="I157" s="522"/>
      <c r="J157" s="523"/>
      <c r="K157" s="523"/>
      <c r="L157" s="523"/>
      <c r="M157" s="524"/>
      <c r="N157" s="525"/>
      <c r="O157" s="526" t="s">
        <v>1237</v>
      </c>
      <c r="P157" s="525">
        <f>'TB-Key Info'!$L$16*('HPM costs'!F315+'HPM costs'!F318+'HPM costs'!F321+'HPM costs'!F324)</f>
        <v>0</v>
      </c>
      <c r="Q157" s="525" t="s">
        <v>1237</v>
      </c>
      <c r="R157" s="525">
        <f>'TB-Key Info'!$L$16*('HPM costs'!G315+'HPM costs'!G318+'HPM costs'!G321+'HPM costs'!G324)</f>
        <v>0</v>
      </c>
      <c r="S157" s="525" t="s">
        <v>1237</v>
      </c>
      <c r="T157" s="525">
        <f>'TB-Key Info'!$L$16*('HPM costs'!H315+'HPM costs'!H318+'HPM costs'!H321+'HPM costs'!H324)</f>
        <v>0</v>
      </c>
      <c r="U157" s="525" t="s">
        <v>1237</v>
      </c>
      <c r="V157" s="525">
        <f>'TB-Key Info'!$L$16*('HPM costs'!I315+'HPM costs'!I318+'HPM costs'!I321+'HPM costs'!I324)</f>
        <v>0</v>
      </c>
      <c r="W157" s="525"/>
      <c r="X157" s="1154">
        <f t="shared" si="18"/>
        <v>0</v>
      </c>
      <c r="Y157" s="1155"/>
      <c r="Z157" s="1156"/>
      <c r="AA157" s="529"/>
      <c r="AB157" s="525"/>
      <c r="AC157" s="525">
        <f>'TB-Key Info'!$L$16*('HPM costs'!K315+'HPM costs'!K318+'HPM costs'!K321+'HPM costs'!K324)</f>
        <v>0</v>
      </c>
      <c r="AD157" s="525"/>
      <c r="AE157" s="525">
        <f>'TB-Key Info'!$L$16*('HPM costs'!L315+'HPM costs'!L318+'HPM costs'!L321+'HPM costs'!L324)</f>
        <v>0</v>
      </c>
      <c r="AF157" s="525"/>
      <c r="AG157" s="525">
        <f>'TB-Key Info'!$L$16*('HPM costs'!M315+'HPM costs'!M318+'HPM costs'!M321+'HPM costs'!M324)</f>
        <v>0</v>
      </c>
      <c r="AH157" s="525"/>
      <c r="AI157" s="525">
        <f>'TB-Key Info'!$L$16*('HPM costs'!N315+'HPM costs'!N318+'HPM costs'!N321+'HPM costs'!N324)</f>
        <v>0</v>
      </c>
      <c r="AJ157" s="525"/>
      <c r="AK157" s="1154">
        <f t="shared" si="19"/>
        <v>0</v>
      </c>
      <c r="AL157" s="1155"/>
      <c r="AM157" s="1156"/>
      <c r="AN157" s="529"/>
      <c r="AO157" s="525"/>
      <c r="AP157" s="525">
        <f>'TB-Key Info'!$L$16*('HPM costs'!P315+'HPM costs'!P318+'HPM costs'!P321+'HPM costs'!P324)</f>
        <v>0</v>
      </c>
      <c r="AQ157" s="525"/>
      <c r="AR157" s="525">
        <f>'TB-Key Info'!$L$16*('HPM costs'!Q315+'HPM costs'!Q318+'HPM costs'!Q321+'HPM costs'!Q324)</f>
        <v>0</v>
      </c>
      <c r="AS157" s="525"/>
      <c r="AT157" s="525">
        <f>'TB-Key Info'!$L$16*('HPM costs'!R315+'HPM costs'!R318+'HPM costs'!R321+'HPM costs'!R324)</f>
        <v>0</v>
      </c>
      <c r="AU157" s="525"/>
      <c r="AV157" s="525">
        <f>'TB-Key Info'!$L$16*('HPM costs'!S315+'HPM costs'!S318+'HPM costs'!S321+'HPM costs'!S324)</f>
        <v>0</v>
      </c>
      <c r="AW157" s="525"/>
      <c r="AX157" s="1154">
        <f t="shared" si="20"/>
        <v>0</v>
      </c>
      <c r="AY157" s="1154"/>
      <c r="AZ157" s="528"/>
      <c r="BA157" s="529"/>
      <c r="BB157" s="527"/>
      <c r="BC157" s="527">
        <v>0</v>
      </c>
      <c r="BD157" s="527">
        <v>0</v>
      </c>
      <c r="BE157" s="527">
        <v>0</v>
      </c>
      <c r="BF157" s="527">
        <v>0</v>
      </c>
      <c r="BG157" s="527">
        <v>0</v>
      </c>
      <c r="BH157" s="527">
        <v>0</v>
      </c>
      <c r="BI157" s="527">
        <v>0</v>
      </c>
      <c r="BJ157" s="527">
        <v>0</v>
      </c>
      <c r="BK157" s="1154">
        <f t="shared" si="21"/>
        <v>0</v>
      </c>
      <c r="BL157" s="1154"/>
      <c r="BM157" s="1154">
        <f t="shared" si="22"/>
        <v>0</v>
      </c>
      <c r="BN157" s="1154">
        <f t="shared" si="23"/>
        <v>0</v>
      </c>
      <c r="BO157" s="527"/>
      <c r="BP157" s="527"/>
      <c r="BQ157" s="1157">
        <v>0</v>
      </c>
      <c r="BR157" s="1157" t="s">
        <v>688</v>
      </c>
      <c r="BS157" s="1157" t="s">
        <v>2547</v>
      </c>
      <c r="BT157" s="1376" t="s">
        <v>1420</v>
      </c>
    </row>
    <row r="158" spans="1:73" s="512" customFormat="1" ht="13" hidden="1">
      <c r="A158" s="1204">
        <v>367</v>
      </c>
      <c r="B158" s="1205" t="s">
        <v>657</v>
      </c>
      <c r="C158" s="1205" t="s">
        <v>658</v>
      </c>
      <c r="D158" s="1206" t="s">
        <v>2547</v>
      </c>
      <c r="E158" s="1386" t="s">
        <v>540</v>
      </c>
      <c r="F158" s="521"/>
      <c r="G158" s="522"/>
      <c r="H158" s="522"/>
      <c r="I158" s="522"/>
      <c r="J158" s="523"/>
      <c r="K158" s="523"/>
      <c r="L158" s="523"/>
      <c r="M158" s="524"/>
      <c r="N158" s="525"/>
      <c r="O158" s="526" t="s">
        <v>1237</v>
      </c>
      <c r="P158" s="525">
        <f>'TB-Key Info'!$L$16*('HPM costs'!F660+'HPM costs'!F663+'HPM costs'!F666+'HPM costs'!F669)</f>
        <v>0</v>
      </c>
      <c r="Q158" s="525" t="s">
        <v>1237</v>
      </c>
      <c r="R158" s="525">
        <f>'TB-Key Info'!$L$16*('HPM costs'!G660+'HPM costs'!G663+'HPM costs'!G666+'HPM costs'!G669)</f>
        <v>0</v>
      </c>
      <c r="S158" s="525" t="s">
        <v>1237</v>
      </c>
      <c r="T158" s="525">
        <f>'TB-Key Info'!$L$16*('HPM costs'!H660+'HPM costs'!H663+'HPM costs'!H666+'HPM costs'!H669)</f>
        <v>0</v>
      </c>
      <c r="U158" s="525" t="s">
        <v>1237</v>
      </c>
      <c r="V158" s="525">
        <f>'TB-Key Info'!$L$16*('HPM costs'!I660+'HPM costs'!I663+'HPM costs'!I666+'HPM costs'!I669)</f>
        <v>0</v>
      </c>
      <c r="W158" s="525"/>
      <c r="X158" s="1154">
        <f t="shared" si="18"/>
        <v>0</v>
      </c>
      <c r="Y158" s="1155"/>
      <c r="Z158" s="1156"/>
      <c r="AA158" s="529"/>
      <c r="AB158" s="525"/>
      <c r="AC158" s="525">
        <f>'TB-Key Info'!$L$16*('HPM costs'!K660+'HPM costs'!K663+'HPM costs'!K666+'HPM costs'!K669)</f>
        <v>0</v>
      </c>
      <c r="AD158" s="525"/>
      <c r="AE158" s="525">
        <f>'TB-Key Info'!$L$16*('HPM costs'!L660+'HPM costs'!L663+'HPM costs'!L666+'HPM costs'!L669)</f>
        <v>0</v>
      </c>
      <c r="AF158" s="525"/>
      <c r="AG158" s="525">
        <f>'TB-Key Info'!$L$16*('HPM costs'!M660+'HPM costs'!M663+'HPM costs'!M666+'HPM costs'!M669)</f>
        <v>0</v>
      </c>
      <c r="AH158" s="525"/>
      <c r="AI158" s="525">
        <f>'TB-Key Info'!$L$16*('HPM costs'!N660+'HPM costs'!N663+'HPM costs'!N666+'HPM costs'!N669)</f>
        <v>0</v>
      </c>
      <c r="AJ158" s="525"/>
      <c r="AK158" s="1154">
        <f t="shared" si="19"/>
        <v>0</v>
      </c>
      <c r="AL158" s="1155"/>
      <c r="AM158" s="1156"/>
      <c r="AN158" s="529"/>
      <c r="AO158" s="525"/>
      <c r="AP158" s="525">
        <f>'TB-Key Info'!$L$16*('HPM costs'!P660+'HPM costs'!P663+'HPM costs'!P666+'HPM costs'!P669)</f>
        <v>0</v>
      </c>
      <c r="AQ158" s="525"/>
      <c r="AR158" s="525">
        <f>'TB-Key Info'!$L$16*('HPM costs'!Q660+'HPM costs'!Q663+'HPM costs'!Q666+'HPM costs'!Q669)</f>
        <v>0</v>
      </c>
      <c r="AS158" s="525"/>
      <c r="AT158" s="525">
        <f>'TB-Key Info'!$L$16*('HPM costs'!R660+'HPM costs'!R663+'HPM costs'!R666+'HPM costs'!R669)</f>
        <v>0</v>
      </c>
      <c r="AU158" s="525"/>
      <c r="AV158" s="525">
        <f>'TB-Key Info'!$L$16*('HPM costs'!S660+'HPM costs'!S663+'HPM costs'!S666+'HPM costs'!S669)</f>
        <v>0</v>
      </c>
      <c r="AW158" s="525"/>
      <c r="AX158" s="1154">
        <f t="shared" si="20"/>
        <v>0</v>
      </c>
      <c r="AY158" s="1154"/>
      <c r="AZ158" s="528"/>
      <c r="BA158" s="529"/>
      <c r="BB158" s="527"/>
      <c r="BC158" s="527">
        <v>0</v>
      </c>
      <c r="BD158" s="527">
        <v>0</v>
      </c>
      <c r="BE158" s="527">
        <v>0</v>
      </c>
      <c r="BF158" s="527">
        <v>0</v>
      </c>
      <c r="BG158" s="527">
        <v>0</v>
      </c>
      <c r="BH158" s="527">
        <v>0</v>
      </c>
      <c r="BI158" s="527">
        <v>0</v>
      </c>
      <c r="BJ158" s="527">
        <v>0</v>
      </c>
      <c r="BK158" s="1154">
        <f t="shared" si="21"/>
        <v>0</v>
      </c>
      <c r="BL158" s="1154"/>
      <c r="BM158" s="1154">
        <f t="shared" si="22"/>
        <v>0</v>
      </c>
      <c r="BN158" s="1154">
        <f t="shared" si="23"/>
        <v>0</v>
      </c>
      <c r="BO158" s="527"/>
      <c r="BP158" s="527"/>
      <c r="BQ158" s="1157">
        <v>0</v>
      </c>
      <c r="BR158" s="1157" t="s">
        <v>688</v>
      </c>
      <c r="BS158" s="1157" t="s">
        <v>2547</v>
      </c>
      <c r="BT158" s="1376" t="s">
        <v>1421</v>
      </c>
    </row>
    <row r="159" spans="1:73" s="512" customFormat="1" ht="13" hidden="1">
      <c r="A159" s="1204">
        <v>368</v>
      </c>
      <c r="B159" s="1205" t="s">
        <v>657</v>
      </c>
      <c r="C159" s="1205" t="s">
        <v>659</v>
      </c>
      <c r="D159" s="1206" t="s">
        <v>660</v>
      </c>
      <c r="E159" s="1386" t="s">
        <v>649</v>
      </c>
      <c r="F159" s="521"/>
      <c r="G159" s="522"/>
      <c r="H159" s="522"/>
      <c r="I159" s="522"/>
      <c r="J159" s="523"/>
      <c r="K159" s="523"/>
      <c r="L159" s="523"/>
      <c r="M159" s="524"/>
      <c r="N159" s="525"/>
      <c r="O159" s="526" t="s">
        <v>1237</v>
      </c>
      <c r="P159" s="1157">
        <f>IFERROR(INDEX('TB-Pharmaceuticals'!$AX$24:$BI$33,MATCH("4.2"&amp;"2",INDEX('TB-Pharmaceuticals'!$AW$24:$AW$33&amp;'TB-Pharmaceuticals'!$AU$24:$AU$33,0),0),MID(LEFT(P$1,SEARCH(" ",P$1)-1),2,3)-INDEX('TB-Pharmaceuticals'!$AV$24:$AV$33,MATCH("4.2"&amp;"2",INDEX('TB-Pharmaceuticals'!$AW$24:$AW$33&amp;'TB-Pharmaceuticals'!$AU$24:$AU$33,0),0))),0)</f>
        <v>0</v>
      </c>
      <c r="Q159" s="525" t="s">
        <v>1237</v>
      </c>
      <c r="R159" s="1157">
        <f>IFERROR(INDEX('TB-Pharmaceuticals'!$AX$24:$BI$33,MATCH("4.2"&amp;"2",INDEX('TB-Pharmaceuticals'!$AW$24:$AW$33&amp;'TB-Pharmaceuticals'!$AU$24:$AU$33,0),0),MID(LEFT(R$1,SEARCH(" ",R$1)-1),2,3)-INDEX('TB-Pharmaceuticals'!$AV$24:$AV$33,MATCH("4.2"&amp;"2",INDEX('TB-Pharmaceuticals'!$AW$24:$AW$33&amp;'TB-Pharmaceuticals'!$AU$24:$AU$33,0),0))),0)</f>
        <v>0</v>
      </c>
      <c r="S159" s="525" t="s">
        <v>1237</v>
      </c>
      <c r="T159" s="1157">
        <f>IFERROR(INDEX('TB-Pharmaceuticals'!$AX$24:$BI$33,MATCH("4.2"&amp;"2",INDEX('TB-Pharmaceuticals'!$AW$24:$AW$33&amp;'TB-Pharmaceuticals'!$AU$24:$AU$33,0),0),MID(LEFT(T$1,SEARCH(" ",T$1)-1),2,3)-INDEX('TB-Pharmaceuticals'!$AV$24:$AV$33,MATCH("4.2"&amp;"2",INDEX('TB-Pharmaceuticals'!$AW$24:$AW$33&amp;'TB-Pharmaceuticals'!$AU$24:$AU$33,0),0))),0)</f>
        <v>0</v>
      </c>
      <c r="U159" s="525" t="s">
        <v>1237</v>
      </c>
      <c r="V159" s="1157">
        <f>IFERROR(INDEX('TB-Pharmaceuticals'!$AX$24:$BI$33,MATCH("4.2"&amp;"2",INDEX('TB-Pharmaceuticals'!$AW$24:$AW$33&amp;'TB-Pharmaceuticals'!$AU$24:$AU$33,0),0),MID(LEFT(V$1,SEARCH(" ",V$1)-1),2,3)-INDEX('TB-Pharmaceuticals'!$AV$24:$AV$33,MATCH("4.2"&amp;"2",INDEX('TB-Pharmaceuticals'!$AW$24:$AW$33&amp;'TB-Pharmaceuticals'!$AU$24:$AU$33,0),0))),0)</f>
        <v>0</v>
      </c>
      <c r="W159" s="525"/>
      <c r="X159" s="1154">
        <f t="shared" si="18"/>
        <v>0</v>
      </c>
      <c r="Y159" s="1155"/>
      <c r="Z159" s="1156"/>
      <c r="AA159" s="529"/>
      <c r="AB159" s="525"/>
      <c r="AC159" s="1157">
        <f>IFERROR(INDEX('TB-Pharmaceuticals'!$AX$24:$BI$33,MATCH("4.2"&amp;"2",INDEX('TB-Pharmaceuticals'!$AW$24:$AW$33&amp;'TB-Pharmaceuticals'!$AU$24:$AU$33,0),0),MID(LEFT(AC$1,SEARCH(" ",AC$1)-1),2,3)-INDEX('TB-Pharmaceuticals'!$AV$24:$AV$33,MATCH("4.2"&amp;"2",INDEX('TB-Pharmaceuticals'!$AW$24:$AW$33&amp;'TB-Pharmaceuticals'!$AU$24:$AU$33,0),0))),0)</f>
        <v>0</v>
      </c>
      <c r="AD159" s="525"/>
      <c r="AE159" s="1157">
        <f>IFERROR(INDEX('TB-Pharmaceuticals'!$AX$24:$BI$33,MATCH("4.2"&amp;"2",INDEX('TB-Pharmaceuticals'!$AW$24:$AW$33&amp;'TB-Pharmaceuticals'!$AU$24:$AU$33,0),0),MID(LEFT(AE$1,SEARCH(" ",AE$1)-1),2,3)-INDEX('TB-Pharmaceuticals'!$AV$24:$AV$33,MATCH("4.2"&amp;"2",INDEX('TB-Pharmaceuticals'!$AW$24:$AW$33&amp;'TB-Pharmaceuticals'!$AU$24:$AU$33,0),0))),0)</f>
        <v>0</v>
      </c>
      <c r="AF159" s="525"/>
      <c r="AG159" s="1157">
        <f>IFERROR(INDEX('TB-Pharmaceuticals'!$AX$24:$BI$33,MATCH("4.2"&amp;"2",INDEX('TB-Pharmaceuticals'!$AW$24:$AW$33&amp;'TB-Pharmaceuticals'!$AU$24:$AU$33,0),0),MID(LEFT(AG$1,SEARCH(" ",AG$1)-1),2,3)-INDEX('TB-Pharmaceuticals'!$AV$24:$AV$33,MATCH("4.2"&amp;"2",INDEX('TB-Pharmaceuticals'!$AW$24:$AW$33&amp;'TB-Pharmaceuticals'!$AU$24:$AU$33,0),0))),0)</f>
        <v>0</v>
      </c>
      <c r="AH159" s="525"/>
      <c r="AI159" s="1157">
        <f>IFERROR(INDEX('TB-Pharmaceuticals'!$AX$24:$BI$33,MATCH("4.2"&amp;"2",INDEX('TB-Pharmaceuticals'!$AW$24:$AW$33&amp;'TB-Pharmaceuticals'!$AU$24:$AU$33,0),0),MID(LEFT(AI$1,SEARCH(" ",AI$1)-1),2,3)-INDEX('TB-Pharmaceuticals'!$AV$24:$AV$33,MATCH("4.2"&amp;"2",INDEX('TB-Pharmaceuticals'!$AW$24:$AW$33&amp;'TB-Pharmaceuticals'!$AU$24:$AU$33,0),0))),0)</f>
        <v>0</v>
      </c>
      <c r="AJ159" s="525"/>
      <c r="AK159" s="1154">
        <f t="shared" si="19"/>
        <v>0</v>
      </c>
      <c r="AL159" s="1155"/>
      <c r="AM159" s="1156"/>
      <c r="AN159" s="529"/>
      <c r="AO159" s="525"/>
      <c r="AP159" s="1157">
        <f>IFERROR(INDEX('TB-Pharmaceuticals'!$AX$24:$BI$33,MATCH("4.2"&amp;"2",INDEX('TB-Pharmaceuticals'!$AW$24:$AW$33&amp;'TB-Pharmaceuticals'!$AU$24:$AU$33,0),0),MID(LEFT(AP$1,SEARCH(" ",AP$1)-1),2,3)-INDEX('TB-Pharmaceuticals'!$AV$24:$AV$33,MATCH("4.2"&amp;"2",INDEX('TB-Pharmaceuticals'!$AW$24:$AW$33&amp;'TB-Pharmaceuticals'!$AU$24:$AU$33,0),0))),0)</f>
        <v>0</v>
      </c>
      <c r="AQ159" s="525"/>
      <c r="AR159" s="1157">
        <f>IFERROR(INDEX('TB-Pharmaceuticals'!$AX$24:$BI$33,MATCH("4.2"&amp;"2",INDEX('TB-Pharmaceuticals'!$AW$24:$AW$33&amp;'TB-Pharmaceuticals'!$AU$24:$AU$33,0),0),MID(LEFT(AR$1,SEARCH(" ",AR$1)-1),2,3)-INDEX('TB-Pharmaceuticals'!$AV$24:$AV$33,MATCH("4.2"&amp;"2",INDEX('TB-Pharmaceuticals'!$AW$24:$AW$33&amp;'TB-Pharmaceuticals'!$AU$24:$AU$33,0),0))),0)</f>
        <v>0</v>
      </c>
      <c r="AS159" s="525"/>
      <c r="AT159" s="1157">
        <f>IFERROR(INDEX('TB-Pharmaceuticals'!$AX$24:$BI$33,MATCH("4.2"&amp;"2",INDEX('TB-Pharmaceuticals'!$AW$24:$AW$33&amp;'TB-Pharmaceuticals'!$AU$24:$AU$33,0),0),MID(LEFT(AT$1,SEARCH(" ",AT$1)-1),2,3)-INDEX('TB-Pharmaceuticals'!$AV$24:$AV$33,MATCH("4.2"&amp;"2",INDEX('TB-Pharmaceuticals'!$AW$24:$AW$33&amp;'TB-Pharmaceuticals'!$AU$24:$AU$33,0),0))),0)</f>
        <v>0</v>
      </c>
      <c r="AU159" s="525"/>
      <c r="AV159" s="525">
        <f>IFERROR((INDEX('TB-Pharmaceuticals'!$BJ$24:$BJ$33,MATCH("4.2"&amp;"2",INDEX('TB-Pharmaceuticals'!$AW$24:$AW$33&amp;'TB-Pharmaceuticals'!$AU$24:$AU$33,0),0)))-SUM(X159,AK159,AP159,AR159,AT159),)</f>
        <v>0</v>
      </c>
      <c r="AW159" s="525"/>
      <c r="AX159" s="1154">
        <f t="shared" si="20"/>
        <v>0</v>
      </c>
      <c r="AY159" s="1154"/>
      <c r="AZ159" s="528"/>
      <c r="BA159" s="529"/>
      <c r="BB159" s="527"/>
      <c r="BC159" s="527">
        <v>0</v>
      </c>
      <c r="BD159" s="527">
        <v>0</v>
      </c>
      <c r="BE159" s="527">
        <v>0</v>
      </c>
      <c r="BF159" s="527">
        <v>0</v>
      </c>
      <c r="BG159" s="527">
        <v>0</v>
      </c>
      <c r="BH159" s="527">
        <v>0</v>
      </c>
      <c r="BI159" s="527">
        <v>0</v>
      </c>
      <c r="BJ159" s="527">
        <v>0</v>
      </c>
      <c r="BK159" s="1154">
        <f t="shared" si="21"/>
        <v>0</v>
      </c>
      <c r="BL159" s="1154"/>
      <c r="BM159" s="1154">
        <f t="shared" si="22"/>
        <v>0</v>
      </c>
      <c r="BN159" s="1154">
        <f t="shared" si="23"/>
        <v>0</v>
      </c>
      <c r="BO159" s="527"/>
      <c r="BP159" s="527"/>
      <c r="BQ159" s="1157">
        <v>0</v>
      </c>
      <c r="BR159" s="1157" t="s">
        <v>688</v>
      </c>
      <c r="BS159" s="1157" t="s">
        <v>660</v>
      </c>
      <c r="BT159" s="1376" t="s">
        <v>1422</v>
      </c>
    </row>
    <row r="160" spans="1:73" s="512" customFormat="1" ht="13" hidden="1">
      <c r="A160" s="1204">
        <v>369</v>
      </c>
      <c r="B160" s="1205" t="s">
        <v>657</v>
      </c>
      <c r="C160" s="1205" t="s">
        <v>659</v>
      </c>
      <c r="D160" s="1206" t="s">
        <v>2569</v>
      </c>
      <c r="E160" s="1386" t="s">
        <v>651</v>
      </c>
      <c r="F160" s="521"/>
      <c r="G160" s="522"/>
      <c r="H160" s="522"/>
      <c r="I160" s="522"/>
      <c r="J160" s="523"/>
      <c r="K160" s="523"/>
      <c r="L160" s="523"/>
      <c r="M160" s="524" t="e">
        <f>X160/W160</f>
        <v>#DIV/0!</v>
      </c>
      <c r="N160" s="525" t="e">
        <f>IF(M160&lt;&gt;"",M160/VLOOKUP($K160,SETUP!$C$28:$D$42,2,0),"")</f>
        <v>#DIV/0!</v>
      </c>
      <c r="O160" s="526" t="s">
        <v>1237</v>
      </c>
      <c r="P160" s="1157">
        <f>IFERROR(INDEX('TB-Pharmaceuticals'!$AX$24:$BI$33,MATCH("4.7"&amp;"4",INDEX('TB-Pharmaceuticals'!$AW$24:$AW$33&amp;'TB-Pharmaceuticals'!$AU$24:$AU$33,0),0),MID(LEFT(P$1,SEARCH(" ",P$1)-1),2,3)-INDEX('TB-Pharmaceuticals'!$AV$24:$AV$33,MATCH("4.7"&amp;"4",INDEX('TB-Pharmaceuticals'!$AW$24:$AW$33&amp;'TB-Pharmaceuticals'!$AU$24:$AU$33,0),0))),0)+IFERROR(INDEX('TB-Pharmaceuticals'!$AX$24:$BI$33,MATCH("4.7"&amp;"2",INDEX('TB-Pharmaceuticals'!$AW$24:$AW$33&amp;'TB-Pharmaceuticals'!$AU$24:$AU$33,0),0),MID(LEFT(P$1,SEARCH(" ",P$1)-1),2,3)-INDEX('TB-Pharmaceuticals'!$AV$24:$AV$33,MATCH("4.7"&amp;"2",INDEX('TB-Pharmaceuticals'!$AW$24:$AW$33&amp;'TB-Pharmaceuticals'!$AU$24:$AU$33,0),0))),0)</f>
        <v>0</v>
      </c>
      <c r="Q160" s="525"/>
      <c r="R160" s="1157">
        <f>IFERROR(INDEX('TB-Pharmaceuticals'!$AX$24:$BI$33,MATCH("4.7"&amp;"4",INDEX('TB-Pharmaceuticals'!$AW$24:$AW$33&amp;'TB-Pharmaceuticals'!$AU$24:$AU$33,0),0),MID(LEFT(R$1,SEARCH(" ",R$1)-1),2,3)-INDEX('TB-Pharmaceuticals'!$AV$24:$AV$33,MATCH("4.7"&amp;"4",INDEX('TB-Pharmaceuticals'!$AW$24:$AW$33&amp;'TB-Pharmaceuticals'!$AU$24:$AU$33,0),0))),0)+IFERROR(INDEX('TB-Pharmaceuticals'!$AX$24:$BI$33,MATCH("4.7"&amp;"2",INDEX('TB-Pharmaceuticals'!$AW$24:$AW$33&amp;'TB-Pharmaceuticals'!$AU$24:$AU$33,0),0),MID(LEFT(R$1,SEARCH(" ",R$1)-1),2,3)-INDEX('TB-Pharmaceuticals'!$AV$24:$AV$33,MATCH("4.7"&amp;"2",INDEX('TB-Pharmaceuticals'!$AW$24:$AW$33&amp;'TB-Pharmaceuticals'!$AU$24:$AU$33,0),0))),0)</f>
        <v>0</v>
      </c>
      <c r="S160" s="525"/>
      <c r="T160" s="1157">
        <f>IFERROR(INDEX('TB-Pharmaceuticals'!$AX$24:$BI$33,MATCH("4.7"&amp;"4",INDEX('TB-Pharmaceuticals'!$AW$24:$AW$33&amp;'TB-Pharmaceuticals'!$AU$24:$AU$33,0),0),MID(LEFT(T$1,SEARCH(" ",T$1)-1),2,3)-INDEX('TB-Pharmaceuticals'!$AV$24:$AV$33,MATCH("4.7"&amp;"4",INDEX('TB-Pharmaceuticals'!$AW$24:$AW$33&amp;'TB-Pharmaceuticals'!$AU$24:$AU$33,0),0))),0)+IFERROR(INDEX('TB-Pharmaceuticals'!$AX$24:$BI$33,MATCH("4.7"&amp;"2",INDEX('TB-Pharmaceuticals'!$AW$24:$AW$33&amp;'TB-Pharmaceuticals'!$AU$24:$AU$33,0),0),MID(LEFT(T$1,SEARCH(" ",T$1)-1),2,3)-INDEX('TB-Pharmaceuticals'!$AV$24:$AV$33,MATCH("4.7"&amp;"2",INDEX('TB-Pharmaceuticals'!$AW$24:$AW$33&amp;'TB-Pharmaceuticals'!$AU$24:$AU$33,0),0))),0)</f>
        <v>0</v>
      </c>
      <c r="U160" s="525"/>
      <c r="V160" s="1157">
        <f>IFERROR(INDEX('TB-Pharmaceuticals'!$AX$24:$BI$33,MATCH("4.7"&amp;"4",INDEX('TB-Pharmaceuticals'!$AW$24:$AW$33&amp;'TB-Pharmaceuticals'!$AU$24:$AU$33,0),0),MID(LEFT(V$1,SEARCH(" ",V$1)-1),2,3)-INDEX('TB-Pharmaceuticals'!$AV$24:$AV$33,MATCH("4.7"&amp;"4",INDEX('TB-Pharmaceuticals'!$AW$24:$AW$33&amp;'TB-Pharmaceuticals'!$AU$24:$AU$33,0),0))),0)+IFERROR(INDEX('TB-Pharmaceuticals'!$AX$24:$BI$33,MATCH("4.7"&amp;"2",INDEX('TB-Pharmaceuticals'!$AW$24:$AW$33&amp;'TB-Pharmaceuticals'!$AU$24:$AU$33,0),0),MID(LEFT(V$1,SEARCH(" ",V$1)-1),2,3)-INDEX('TB-Pharmaceuticals'!$AV$24:$AV$33,MATCH("4.7"&amp;"2",INDEX('TB-Pharmaceuticals'!$AW$24:$AW$33&amp;'TB-Pharmaceuticals'!$AU$24:$AU$33,0),0))),0)</f>
        <v>0</v>
      </c>
      <c r="W160" s="525"/>
      <c r="X160" s="1154">
        <f t="shared" si="18"/>
        <v>0</v>
      </c>
      <c r="Y160" s="1155"/>
      <c r="Z160" s="1156"/>
      <c r="AA160" s="529"/>
      <c r="AB160" s="525"/>
      <c r="AC160" s="1157">
        <f>IFERROR(INDEX('TB-Pharmaceuticals'!$AX$24:$BI$33,MATCH("4.7"&amp;"4",INDEX('TB-Pharmaceuticals'!$AW$24:$AW$33&amp;'TB-Pharmaceuticals'!$AU$24:$AU$33,0),0),MID(LEFT(AC$1,SEARCH(" ",AC$1)-1),2,3)-INDEX('TB-Pharmaceuticals'!$AV$24:$AV$33,MATCH("4.7"&amp;"4",INDEX('TB-Pharmaceuticals'!$AW$24:$AW$33&amp;'TB-Pharmaceuticals'!$AU$24:$AU$33,0),0))),0)+IFERROR(INDEX('TB-Pharmaceuticals'!$AX$24:$BI$33,MATCH("4.7"&amp;"2",INDEX('TB-Pharmaceuticals'!$AW$24:$AW$33&amp;'TB-Pharmaceuticals'!$AU$24:$AU$33,0),0),MID(LEFT(AC$1,SEARCH(" ",AC$1)-1),2,3)-INDEX('TB-Pharmaceuticals'!$AV$24:$AV$33,MATCH("4.7"&amp;"2",INDEX('TB-Pharmaceuticals'!$AW$24:$AW$33&amp;'TB-Pharmaceuticals'!$AU$24:$AU$33,0),0))),0)</f>
        <v>0</v>
      </c>
      <c r="AD160" s="525"/>
      <c r="AE160" s="1157">
        <f>IFERROR(INDEX('TB-Pharmaceuticals'!$AX$24:$BI$33,MATCH("4.7"&amp;"4",INDEX('TB-Pharmaceuticals'!$AW$24:$AW$33&amp;'TB-Pharmaceuticals'!$AU$24:$AU$33,0),0),MID(LEFT(AE$1,SEARCH(" ",AE$1)-1),2,3)-INDEX('TB-Pharmaceuticals'!$AV$24:$AV$33,MATCH("4.7"&amp;"4",INDEX('TB-Pharmaceuticals'!$AW$24:$AW$33&amp;'TB-Pharmaceuticals'!$AU$24:$AU$33,0),0))),0)+IFERROR(INDEX('TB-Pharmaceuticals'!$AX$24:$BI$33,MATCH("4.7"&amp;"2",INDEX('TB-Pharmaceuticals'!$AW$24:$AW$33&amp;'TB-Pharmaceuticals'!$AU$24:$AU$33,0),0),MID(LEFT(AE$1,SEARCH(" ",AE$1)-1),2,3)-INDEX('TB-Pharmaceuticals'!$AV$24:$AV$33,MATCH("4.7"&amp;"2",INDEX('TB-Pharmaceuticals'!$AW$24:$AW$33&amp;'TB-Pharmaceuticals'!$AU$24:$AU$33,0),0))),0)</f>
        <v>0</v>
      </c>
      <c r="AF160" s="525"/>
      <c r="AG160" s="1157">
        <f>IFERROR(INDEX('TB-Pharmaceuticals'!$AX$24:$BI$33,MATCH("4.7"&amp;"4",INDEX('TB-Pharmaceuticals'!$AW$24:$AW$33&amp;'TB-Pharmaceuticals'!$AU$24:$AU$33,0),0),MID(LEFT(AG$1,SEARCH(" ",AG$1)-1),2,3)-INDEX('TB-Pharmaceuticals'!$AV$24:$AV$33,MATCH("4.7"&amp;"4",INDEX('TB-Pharmaceuticals'!$AW$24:$AW$33&amp;'TB-Pharmaceuticals'!$AU$24:$AU$33,0),0))),0)+IFERROR(INDEX('TB-Pharmaceuticals'!$AX$24:$BI$33,MATCH("4.7"&amp;"2",INDEX('TB-Pharmaceuticals'!$AW$24:$AW$33&amp;'TB-Pharmaceuticals'!$AU$24:$AU$33,0),0),MID(LEFT(AG$1,SEARCH(" ",AG$1)-1),2,3)-INDEX('TB-Pharmaceuticals'!$AV$24:$AV$33,MATCH("4.7"&amp;"2",INDEX('TB-Pharmaceuticals'!$AW$24:$AW$33&amp;'TB-Pharmaceuticals'!$AU$24:$AU$33,0),0))),0)</f>
        <v>0</v>
      </c>
      <c r="AH160" s="525"/>
      <c r="AI160" s="1157">
        <f>IFERROR(INDEX('TB-Pharmaceuticals'!$AX$24:$BI$33,MATCH("4.7"&amp;"4",INDEX('TB-Pharmaceuticals'!$AW$24:$AW$33&amp;'TB-Pharmaceuticals'!$AU$24:$AU$33,0),0),MID(LEFT(AI$1,SEARCH(" ",AI$1)-1),2,3)-INDEX('TB-Pharmaceuticals'!$AV$24:$AV$33,MATCH("4.7"&amp;"4",INDEX('TB-Pharmaceuticals'!$AW$24:$AW$33&amp;'TB-Pharmaceuticals'!$AU$24:$AU$33,0),0))),0)+IFERROR(INDEX('TB-Pharmaceuticals'!$AX$24:$BI$33,MATCH("4.7"&amp;"2",INDEX('TB-Pharmaceuticals'!$AW$24:$AW$33&amp;'TB-Pharmaceuticals'!$AU$24:$AU$33,0),0),MID(LEFT(AI$1,SEARCH(" ",AI$1)-1),2,3)-INDEX('TB-Pharmaceuticals'!$AV$24:$AV$33,MATCH("4.7"&amp;"2",INDEX('TB-Pharmaceuticals'!$AW$24:$AW$33&amp;'TB-Pharmaceuticals'!$AU$24:$AU$33,0),0))),0)</f>
        <v>0</v>
      </c>
      <c r="AJ160" s="525"/>
      <c r="AK160" s="1154">
        <f t="shared" si="19"/>
        <v>0</v>
      </c>
      <c r="AL160" s="1155"/>
      <c r="AM160" s="1156"/>
      <c r="AN160" s="529"/>
      <c r="AO160" s="525"/>
      <c r="AP160" s="1157">
        <f>IFERROR(INDEX('TB-Pharmaceuticals'!$AX$24:$BI$33,MATCH("4.7"&amp;"4",INDEX('TB-Pharmaceuticals'!$AW$24:$AW$33&amp;'TB-Pharmaceuticals'!$AU$24:$AU$33,0),0),MID(LEFT(AP$1,SEARCH(" ",AP$1)-1),2,3)-INDEX('TB-Pharmaceuticals'!$AV$24:$AV$33,MATCH("4.7"&amp;"4",INDEX('TB-Pharmaceuticals'!$AW$24:$AW$33&amp;'TB-Pharmaceuticals'!$AU$24:$AU$33,0),0))),0)+IFERROR(INDEX('TB-Pharmaceuticals'!$AX$24:$BI$33,MATCH("4.7"&amp;"2",INDEX('TB-Pharmaceuticals'!$AW$24:$AW$33&amp;'TB-Pharmaceuticals'!$AU$24:$AU$33,0),0),MID(LEFT(AP$1,SEARCH(" ",AP$1)-1),2,3)-INDEX('TB-Pharmaceuticals'!$AV$24:$AV$33,MATCH("4.7"&amp;"2",INDEX('TB-Pharmaceuticals'!$AW$24:$AW$33&amp;'TB-Pharmaceuticals'!$AU$24:$AU$33,0),0))),0)</f>
        <v>0</v>
      </c>
      <c r="AQ160" s="525"/>
      <c r="AR160" s="1157">
        <f>IFERROR(INDEX('TB-Pharmaceuticals'!$AX$24:$BI$33,MATCH("4.7"&amp;"4",INDEX('TB-Pharmaceuticals'!$AW$24:$AW$33&amp;'TB-Pharmaceuticals'!$AU$24:$AU$33,0),0),MID(LEFT(AR$1,SEARCH(" ",AR$1)-1),2,3)-INDEX('TB-Pharmaceuticals'!$AV$24:$AV$33,MATCH("4.7"&amp;"4",INDEX('TB-Pharmaceuticals'!$AW$24:$AW$33&amp;'TB-Pharmaceuticals'!$AU$24:$AU$33,0),0))),0)+IFERROR(INDEX('TB-Pharmaceuticals'!$AX$24:$BI$33,MATCH("4.7"&amp;"2",INDEX('TB-Pharmaceuticals'!$AW$24:$AW$33&amp;'TB-Pharmaceuticals'!$AU$24:$AU$33,0),0),MID(LEFT(AR$1,SEARCH(" ",AR$1)-1),2,3)-INDEX('TB-Pharmaceuticals'!$AV$24:$AV$33,MATCH("4.7"&amp;"2",INDEX('TB-Pharmaceuticals'!$AW$24:$AW$33&amp;'TB-Pharmaceuticals'!$AU$24:$AU$33,0),0))),0)</f>
        <v>0</v>
      </c>
      <c r="AS160" s="525"/>
      <c r="AT160" s="1157">
        <f>IFERROR(INDEX('TB-Pharmaceuticals'!$AX$24:$BI$33,MATCH("4.7"&amp;"4",INDEX('TB-Pharmaceuticals'!$AW$24:$AW$33&amp;'TB-Pharmaceuticals'!$AU$24:$AU$33,0),0),MID(LEFT(AT$1,SEARCH(" ",AT$1)-1),2,3)-INDEX('TB-Pharmaceuticals'!$AV$24:$AV$33,MATCH("4.7"&amp;"4",INDEX('TB-Pharmaceuticals'!$AW$24:$AW$33&amp;'TB-Pharmaceuticals'!$AU$24:$AU$33,0),0))),0)+IFERROR(INDEX('TB-Pharmaceuticals'!$AX$24:$BI$33,MATCH("4.7"&amp;"2",INDEX('TB-Pharmaceuticals'!$AW$24:$AW$33&amp;'TB-Pharmaceuticals'!$AU$24:$AU$33,0),0),MID(LEFT(AT$1,SEARCH(" ",AT$1)-1),2,3)-INDEX('TB-Pharmaceuticals'!$AV$24:$AV$33,MATCH("4.7"&amp;"2",INDEX('TB-Pharmaceuticals'!$AW$24:$AW$33&amp;'TB-Pharmaceuticals'!$AU$24:$AU$33,0),0))),0)</f>
        <v>0</v>
      </c>
      <c r="AU160" s="525"/>
      <c r="AV160" s="1157">
        <f>IFERROR((INDEX('TB-Pharmaceuticals'!$BJ$24:$BJ$33,MATCH("4.7"&amp;"4",INDEX('TB-Pharmaceuticals'!$AW$24:$AW$33&amp;'TB-Pharmaceuticals'!$AU$24:$AU$33,0),0),0)),)+IFERROR((INDEX('TB-Pharmaceuticals'!$BJ$24:$BJ$33,MATCH("4.7"&amp;"2",INDEX('TB-Pharmaceuticals'!$AW$24:$AW$33&amp;'TB-Pharmaceuticals'!$AU$24:$AU$33,0),0),0)),)-SUM(X160,AK160,AP160,AR160,AT160)</f>
        <v>0</v>
      </c>
      <c r="AW160" s="525"/>
      <c r="AX160" s="1154">
        <f t="shared" si="20"/>
        <v>0</v>
      </c>
      <c r="AY160" s="1154"/>
      <c r="AZ160" s="528"/>
      <c r="BA160" s="529"/>
      <c r="BB160" s="527"/>
      <c r="BC160" s="527">
        <v>0</v>
      </c>
      <c r="BD160" s="527">
        <v>0</v>
      </c>
      <c r="BE160" s="527">
        <v>0</v>
      </c>
      <c r="BF160" s="527">
        <v>0</v>
      </c>
      <c r="BG160" s="527">
        <v>0</v>
      </c>
      <c r="BH160" s="527">
        <v>0</v>
      </c>
      <c r="BI160" s="527">
        <v>0</v>
      </c>
      <c r="BJ160" s="527">
        <v>0</v>
      </c>
      <c r="BK160" s="1154">
        <f t="shared" si="21"/>
        <v>0</v>
      </c>
      <c r="BL160" s="1154"/>
      <c r="BM160" s="1154">
        <f t="shared" si="22"/>
        <v>0</v>
      </c>
      <c r="BN160" s="1154">
        <f t="shared" si="23"/>
        <v>0</v>
      </c>
      <c r="BO160" s="527"/>
      <c r="BP160" s="527"/>
      <c r="BQ160" s="1157">
        <v>0</v>
      </c>
      <c r="BR160" s="1157" t="s">
        <v>688</v>
      </c>
      <c r="BS160" s="1157" t="s">
        <v>2569</v>
      </c>
      <c r="BT160" s="2067" t="s">
        <v>1423</v>
      </c>
      <c r="BU160" s="1436"/>
    </row>
    <row r="161" spans="1:72" s="512" customFormat="1" ht="13" hidden="1">
      <c r="A161" s="1204">
        <v>370</v>
      </c>
      <c r="B161" s="1205" t="s">
        <v>657</v>
      </c>
      <c r="C161" s="1205" t="s">
        <v>659</v>
      </c>
      <c r="D161" s="1206" t="s">
        <v>660</v>
      </c>
      <c r="E161" s="1386" t="s">
        <v>653</v>
      </c>
      <c r="F161" s="521"/>
      <c r="G161" s="522"/>
      <c r="H161" s="522"/>
      <c r="I161" s="522"/>
      <c r="J161" s="523"/>
      <c r="K161" s="523"/>
      <c r="L161" s="523"/>
      <c r="M161" s="524"/>
      <c r="N161" s="525"/>
      <c r="O161" s="526" t="s">
        <v>1237</v>
      </c>
      <c r="P161" s="525">
        <f>IFERROR((INDEX('TB-Pharmaceuticals'!$AX$26:$BI$42,MATCH("5.7"&amp;"2",INDEX('TB-Pharmaceuticals'!$AW$26:$AW$42&amp;'TB-Pharmaceuticals'!$AU$26:$AU$42,0),0),MID(LEFT(P$1,SEARCH(" ",P$1)-1),2,3)-INDEX('TB-Pharmaceuticals'!$AV$26:$AV$42,MATCH("5.7"&amp;"2",INDEX('TB-Pharmaceuticals'!$AW$26:$AW$42&amp;'TB-Pharmaceuticals'!$AU$26:$AU$42,0),0)))),)</f>
        <v>0</v>
      </c>
      <c r="Q161" s="525" t="s">
        <v>1237</v>
      </c>
      <c r="R161" s="525">
        <f>IFERROR((INDEX('TB-Pharmaceuticals'!$AX$26:$BI$42,MATCH("5.7"&amp;"2",INDEX('TB-Pharmaceuticals'!$AW$26:$AW$42&amp;'TB-Pharmaceuticals'!$AU$26:$AU$42,0),0),MID(LEFT(R$1,SEARCH(" ",R$1)-1),2,3)-INDEX('TB-Pharmaceuticals'!$AV$26:$AV$42,MATCH("5.7"&amp;"2",INDEX('TB-Pharmaceuticals'!$AW$26:$AW$42&amp;'TB-Pharmaceuticals'!$AU$26:$AU$42,0),0)))),)</f>
        <v>0</v>
      </c>
      <c r="S161" s="525" t="s">
        <v>1237</v>
      </c>
      <c r="T161" s="525">
        <f>IFERROR((INDEX('TB-Pharmaceuticals'!$AX$26:$BI$42,MATCH("5.7"&amp;"2",INDEX('TB-Pharmaceuticals'!$AW$26:$AW$42&amp;'TB-Pharmaceuticals'!$AU$26:$AU$42,0),0),MID(LEFT(T$1,SEARCH(" ",T$1)-1),2,3)-INDEX('TB-Pharmaceuticals'!$AV$26:$AV$42,MATCH("5.7"&amp;"2",INDEX('TB-Pharmaceuticals'!$AW$26:$AW$42&amp;'TB-Pharmaceuticals'!$AU$26:$AU$42,0),0)))),)</f>
        <v>0</v>
      </c>
      <c r="U161" s="525" t="s">
        <v>1237</v>
      </c>
      <c r="V161" s="525">
        <f>IFERROR((INDEX('TB-Pharmaceuticals'!$AX$26:$BI$42,MATCH("5.7"&amp;"2",INDEX('TB-Pharmaceuticals'!$AW$26:$AW$42&amp;'TB-Pharmaceuticals'!$AU$26:$AU$42,0),0),MID(LEFT(V$1,SEARCH(" ",V$1)-1),2,3)-INDEX('TB-Pharmaceuticals'!$AV$26:$AV$42,MATCH("5.7"&amp;"2",INDEX('TB-Pharmaceuticals'!$AW$26:$AW$42&amp;'TB-Pharmaceuticals'!$AU$26:$AU$42,0),0)))),)</f>
        <v>0</v>
      </c>
      <c r="W161" s="525"/>
      <c r="X161" s="1154">
        <f t="shared" si="18"/>
        <v>0</v>
      </c>
      <c r="Y161" s="1155"/>
      <c r="Z161" s="1156"/>
      <c r="AA161" s="529"/>
      <c r="AB161" s="525"/>
      <c r="AC161" s="525">
        <f>IFERROR((INDEX('TB-Pharmaceuticals'!$AX$26:$BI$42,MATCH("5.7"&amp;"2",INDEX('TB-Pharmaceuticals'!$AW$26:$AW$42&amp;'TB-Pharmaceuticals'!$AU$26:$AU$42,0),0),MID(LEFT(AC$1,SEARCH(" ",AC$1)-1),2,3)-INDEX('TB-Pharmaceuticals'!$AV$26:$AV$42,MATCH("5.7"&amp;"2",INDEX('TB-Pharmaceuticals'!$AW$26:$AW$42&amp;'TB-Pharmaceuticals'!$AU$26:$AU$42,0),0)))),)</f>
        <v>0</v>
      </c>
      <c r="AD161" s="525"/>
      <c r="AE161" s="525">
        <f>IFERROR((INDEX('TB-Pharmaceuticals'!$AX$26:$BI$42,MATCH("5.7"&amp;"2",INDEX('TB-Pharmaceuticals'!$AW$26:$AW$42&amp;'TB-Pharmaceuticals'!$AU$26:$AU$42,0),0),MID(LEFT(AE$1,SEARCH(" ",AE$1)-1),2,3)-INDEX('TB-Pharmaceuticals'!$AV$26:$AV$42,MATCH("5.7"&amp;"2",INDEX('TB-Pharmaceuticals'!$AW$26:$AW$42&amp;'TB-Pharmaceuticals'!$AU$26:$AU$42,0),0)))),)</f>
        <v>0</v>
      </c>
      <c r="AF161" s="525"/>
      <c r="AG161" s="525">
        <f>IFERROR((INDEX('TB-Pharmaceuticals'!$AX$26:$BI$42,MATCH("5.7"&amp;"2",INDEX('TB-Pharmaceuticals'!$AW$26:$AW$42&amp;'TB-Pharmaceuticals'!$AU$26:$AU$42,0),0),MID(LEFT(AG$1,SEARCH(" ",AG$1)-1),2,3)-INDEX('TB-Pharmaceuticals'!$AV$26:$AV$42,MATCH("5.7"&amp;"2",INDEX('TB-Pharmaceuticals'!$AW$26:$AW$42&amp;'TB-Pharmaceuticals'!$AU$26:$AU$42,0),0)))),)</f>
        <v>0</v>
      </c>
      <c r="AH161" s="525"/>
      <c r="AI161" s="525">
        <f>IFERROR((INDEX('TB-Pharmaceuticals'!$AX$26:$BI$42,MATCH("5.7"&amp;"2",INDEX('TB-Pharmaceuticals'!$AW$26:$AW$42&amp;'TB-Pharmaceuticals'!$AU$26:$AU$42,0),0),MID(LEFT(AI$1,SEARCH(" ",AI$1)-1),2,3)-INDEX('TB-Pharmaceuticals'!$AV$26:$AV$42,MATCH("5.7"&amp;"2",INDEX('TB-Pharmaceuticals'!$AW$26:$AW$42&amp;'TB-Pharmaceuticals'!$AU$26:$AU$42,0),0)))),)</f>
        <v>0</v>
      </c>
      <c r="AJ161" s="525"/>
      <c r="AK161" s="1154">
        <f t="shared" si="19"/>
        <v>0</v>
      </c>
      <c r="AL161" s="1155"/>
      <c r="AM161" s="1156"/>
      <c r="AN161" s="529"/>
      <c r="AO161" s="525"/>
      <c r="AP161" s="525">
        <f>IFERROR((INDEX('TB-Pharmaceuticals'!$AX$26:$BI$42,MATCH("5.7"&amp;"2",INDEX('TB-Pharmaceuticals'!$AW$26:$AW$42&amp;'TB-Pharmaceuticals'!$AU$26:$AU$42,0),0),MID(LEFT(AP$1,SEARCH(" ",AP$1)-1),2,3)-INDEX('TB-Pharmaceuticals'!$AV$26:$AV$42,MATCH("5.7"&amp;"2",INDEX('TB-Pharmaceuticals'!$AW$26:$AW$42&amp;'TB-Pharmaceuticals'!$AU$26:$AU$42,0),0)))),)</f>
        <v>0</v>
      </c>
      <c r="AQ161" s="525"/>
      <c r="AR161" s="525">
        <f>IFERROR((INDEX('TB-Pharmaceuticals'!$AX$26:$BI$42,MATCH("5.7"&amp;"2",INDEX('TB-Pharmaceuticals'!$AW$26:$AW$42&amp;'TB-Pharmaceuticals'!$AU$26:$AU$42,0),0),MID(LEFT(AR$1,SEARCH(" ",AR$1)-1),2,3)-INDEX('TB-Pharmaceuticals'!$AV$26:$AV$42,MATCH("5.7"&amp;"2",INDEX('TB-Pharmaceuticals'!$AW$26:$AW$42&amp;'TB-Pharmaceuticals'!$AU$26:$AU$42,0),0)))),)</f>
        <v>0</v>
      </c>
      <c r="AS161" s="525"/>
      <c r="AT161" s="525">
        <f>IFERROR((INDEX('TB-Pharmaceuticals'!$AX$26:$BI$42,MATCH("5.7"&amp;"2",INDEX('TB-Pharmaceuticals'!$AW$26:$AW$42&amp;'TB-Pharmaceuticals'!$AU$26:$AU$42,0),0),MID(LEFT(AT$1,SEARCH(" ",AT$1)-1),2,3)-INDEX('TB-Pharmaceuticals'!$AV$26:$AV$42,MATCH("5.7"&amp;"2",INDEX('TB-Pharmaceuticals'!$AW$26:$AW$42&amp;'TB-Pharmaceuticals'!$AU$26:$AU$42,0),0)))),)</f>
        <v>0</v>
      </c>
      <c r="AU161" s="525"/>
      <c r="AV161" s="525">
        <f>IFERROR((INDEX('TB-Pharmaceuticals'!$BJ$26:$BJ$42,MATCH("5.7"&amp;"2",INDEX('TB-Pharmaceuticals'!$AW$26:$AW$42&amp;'TB-Pharmaceuticals'!$AU$26:$AU$42,0),0)))-SUM(X161,AK161,AP161,AR161,AT161),)</f>
        <v>0</v>
      </c>
      <c r="AW161" s="525"/>
      <c r="AX161" s="1154">
        <f t="shared" si="20"/>
        <v>0</v>
      </c>
      <c r="AY161" s="1154"/>
      <c r="AZ161" s="528"/>
      <c r="BA161" s="529"/>
      <c r="BB161" s="527"/>
      <c r="BC161" s="527">
        <v>0</v>
      </c>
      <c r="BD161" s="527">
        <v>0</v>
      </c>
      <c r="BE161" s="527">
        <v>0</v>
      </c>
      <c r="BF161" s="527">
        <v>0</v>
      </c>
      <c r="BG161" s="527">
        <v>0</v>
      </c>
      <c r="BH161" s="527">
        <v>0</v>
      </c>
      <c r="BI161" s="527">
        <v>0</v>
      </c>
      <c r="BJ161" s="527">
        <v>0</v>
      </c>
      <c r="BK161" s="1154">
        <f t="shared" si="21"/>
        <v>0</v>
      </c>
      <c r="BL161" s="1154"/>
      <c r="BM161" s="1154">
        <f t="shared" si="22"/>
        <v>0</v>
      </c>
      <c r="BN161" s="1154">
        <f t="shared" si="23"/>
        <v>0</v>
      </c>
      <c r="BO161" s="527"/>
      <c r="BP161" s="527"/>
      <c r="BQ161" s="1157">
        <v>0</v>
      </c>
      <c r="BR161" s="1157" t="s">
        <v>688</v>
      </c>
      <c r="BS161" s="1157" t="s">
        <v>660</v>
      </c>
      <c r="BT161" s="1376" t="s">
        <v>1424</v>
      </c>
    </row>
    <row r="162" spans="1:72" s="512" customFormat="1" ht="13" hidden="1">
      <c r="A162" s="1204">
        <v>371</v>
      </c>
      <c r="B162" s="1205" t="s">
        <v>657</v>
      </c>
      <c r="C162" s="1205" t="s">
        <v>659</v>
      </c>
      <c r="D162" s="1206" t="s">
        <v>2547</v>
      </c>
      <c r="E162" s="1386" t="s">
        <v>528</v>
      </c>
      <c r="F162" s="521"/>
      <c r="G162" s="522"/>
      <c r="H162" s="522"/>
      <c r="I162" s="522"/>
      <c r="J162" s="523"/>
      <c r="K162" s="523"/>
      <c r="L162" s="523"/>
      <c r="M162" s="524"/>
      <c r="N162" s="525"/>
      <c r="O162" s="526" t="s">
        <v>1237</v>
      </c>
      <c r="P162" s="525">
        <f>'HPM costs'!F51+'HPM costs'!F54</f>
        <v>0</v>
      </c>
      <c r="Q162" s="525" t="s">
        <v>1237</v>
      </c>
      <c r="R162" s="525">
        <f>'HPM costs'!G51+'HPM costs'!G54</f>
        <v>0</v>
      </c>
      <c r="S162" s="525" t="s">
        <v>1237</v>
      </c>
      <c r="T162" s="525">
        <f>'HPM costs'!H51+'HPM costs'!H54</f>
        <v>0</v>
      </c>
      <c r="U162" s="525" t="s">
        <v>1237</v>
      </c>
      <c r="V162" s="525">
        <f>'HPM costs'!I51+'HPM costs'!I54</f>
        <v>0</v>
      </c>
      <c r="W162" s="525"/>
      <c r="X162" s="1154">
        <f t="shared" si="18"/>
        <v>0</v>
      </c>
      <c r="Y162" s="1155"/>
      <c r="Z162" s="1156"/>
      <c r="AA162" s="529"/>
      <c r="AB162" s="525"/>
      <c r="AC162" s="525">
        <f>'HPM costs'!K51+'HPM costs'!K54</f>
        <v>0</v>
      </c>
      <c r="AD162" s="525"/>
      <c r="AE162" s="525">
        <f>'HPM costs'!L51+'HPM costs'!L54</f>
        <v>0</v>
      </c>
      <c r="AF162" s="525"/>
      <c r="AG162" s="525">
        <f>'HPM costs'!M51+'HPM costs'!M54</f>
        <v>0</v>
      </c>
      <c r="AH162" s="525"/>
      <c r="AI162" s="525">
        <f>'HPM costs'!N51+'HPM costs'!N54</f>
        <v>0</v>
      </c>
      <c r="AJ162" s="525"/>
      <c r="AK162" s="1154">
        <f t="shared" si="19"/>
        <v>0</v>
      </c>
      <c r="AL162" s="1155"/>
      <c r="AM162" s="1156"/>
      <c r="AN162" s="529"/>
      <c r="AO162" s="525"/>
      <c r="AP162" s="525">
        <f>'HPM costs'!P51+'HPM costs'!P54</f>
        <v>0</v>
      </c>
      <c r="AQ162" s="525"/>
      <c r="AR162" s="525">
        <f>'HPM costs'!Q51+'HPM costs'!Q54</f>
        <v>0</v>
      </c>
      <c r="AS162" s="525"/>
      <c r="AT162" s="525">
        <f>'HPM costs'!R51+'HPM costs'!R54</f>
        <v>0</v>
      </c>
      <c r="AU162" s="525"/>
      <c r="AV162" s="525">
        <f>'HPM costs'!S51+'HPM costs'!S54</f>
        <v>0</v>
      </c>
      <c r="AW162" s="525"/>
      <c r="AX162" s="1154">
        <f t="shared" si="20"/>
        <v>0</v>
      </c>
      <c r="AY162" s="1154"/>
      <c r="AZ162" s="528"/>
      <c r="BA162" s="529"/>
      <c r="BB162" s="527"/>
      <c r="BC162" s="527">
        <v>0</v>
      </c>
      <c r="BD162" s="527">
        <v>0</v>
      </c>
      <c r="BE162" s="527">
        <v>0</v>
      </c>
      <c r="BF162" s="527">
        <v>0</v>
      </c>
      <c r="BG162" s="527">
        <v>0</v>
      </c>
      <c r="BH162" s="527">
        <v>0</v>
      </c>
      <c r="BI162" s="527">
        <v>0</v>
      </c>
      <c r="BJ162" s="527">
        <v>0</v>
      </c>
      <c r="BK162" s="1154">
        <f t="shared" si="21"/>
        <v>0</v>
      </c>
      <c r="BL162" s="1154"/>
      <c r="BM162" s="1154">
        <f t="shared" si="22"/>
        <v>0</v>
      </c>
      <c r="BN162" s="1154">
        <f t="shared" si="23"/>
        <v>0</v>
      </c>
      <c r="BO162" s="527"/>
      <c r="BP162" s="527"/>
      <c r="BQ162" s="1157">
        <v>0</v>
      </c>
      <c r="BR162" s="1157" t="s">
        <v>688</v>
      </c>
      <c r="BS162" s="1157" t="s">
        <v>2547</v>
      </c>
      <c r="BT162" s="1376" t="s">
        <v>1425</v>
      </c>
    </row>
    <row r="163" spans="1:72" s="512" customFormat="1" ht="13" hidden="1">
      <c r="A163" s="1204">
        <v>372</v>
      </c>
      <c r="B163" s="1205" t="s">
        <v>657</v>
      </c>
      <c r="C163" s="1205" t="s">
        <v>659</v>
      </c>
      <c r="D163" s="1206" t="s">
        <v>2547</v>
      </c>
      <c r="E163" s="1386" t="s">
        <v>530</v>
      </c>
      <c r="F163" s="521"/>
      <c r="G163" s="522"/>
      <c r="H163" s="522"/>
      <c r="I163" s="522"/>
      <c r="J163" s="523"/>
      <c r="K163" s="523"/>
      <c r="L163" s="523"/>
      <c r="M163" s="524"/>
      <c r="N163" s="525"/>
      <c r="O163" s="526" t="s">
        <v>1237</v>
      </c>
      <c r="P163" s="525">
        <f>'HPM costs'!F137+'HPM costs'!F140</f>
        <v>0</v>
      </c>
      <c r="Q163" s="525" t="s">
        <v>1237</v>
      </c>
      <c r="R163" s="525">
        <f>'HPM costs'!G137+'HPM costs'!G140</f>
        <v>0</v>
      </c>
      <c r="S163" s="525" t="s">
        <v>1237</v>
      </c>
      <c r="T163" s="525">
        <f>'HPM costs'!H137+'HPM costs'!H140</f>
        <v>0</v>
      </c>
      <c r="U163" s="525" t="s">
        <v>1237</v>
      </c>
      <c r="V163" s="525">
        <f>'HPM costs'!I137+'HPM costs'!I140</f>
        <v>0</v>
      </c>
      <c r="W163" s="525"/>
      <c r="X163" s="1154">
        <f t="shared" si="18"/>
        <v>0</v>
      </c>
      <c r="Y163" s="1155"/>
      <c r="Z163" s="1156"/>
      <c r="AA163" s="529"/>
      <c r="AB163" s="525"/>
      <c r="AC163" s="525">
        <f>'HPM costs'!K137+'HPM costs'!K140</f>
        <v>0</v>
      </c>
      <c r="AD163" s="525"/>
      <c r="AE163" s="525">
        <f>'HPM costs'!L137+'HPM costs'!L140</f>
        <v>0</v>
      </c>
      <c r="AF163" s="525"/>
      <c r="AG163" s="525">
        <f>'HPM costs'!M137+'HPM costs'!M140</f>
        <v>0</v>
      </c>
      <c r="AH163" s="525"/>
      <c r="AI163" s="525">
        <f>'HPM costs'!N137+'HPM costs'!N140</f>
        <v>0</v>
      </c>
      <c r="AJ163" s="525"/>
      <c r="AK163" s="1154">
        <f t="shared" si="19"/>
        <v>0</v>
      </c>
      <c r="AL163" s="1155"/>
      <c r="AM163" s="1156"/>
      <c r="AN163" s="529"/>
      <c r="AO163" s="525"/>
      <c r="AP163" s="525">
        <f>'HPM costs'!P137+'HPM costs'!P140</f>
        <v>0</v>
      </c>
      <c r="AQ163" s="525"/>
      <c r="AR163" s="525">
        <f>'HPM costs'!Q137+'HPM costs'!Q140</f>
        <v>0</v>
      </c>
      <c r="AS163" s="525"/>
      <c r="AT163" s="525">
        <f>'HPM costs'!R137+'HPM costs'!R140</f>
        <v>0</v>
      </c>
      <c r="AU163" s="525"/>
      <c r="AV163" s="525">
        <f>'HPM costs'!S137+'HPM costs'!S140</f>
        <v>0</v>
      </c>
      <c r="AW163" s="525"/>
      <c r="AX163" s="1154">
        <f t="shared" si="20"/>
        <v>0</v>
      </c>
      <c r="AY163" s="1154"/>
      <c r="AZ163" s="528"/>
      <c r="BA163" s="529"/>
      <c r="BB163" s="527"/>
      <c r="BC163" s="527">
        <v>0</v>
      </c>
      <c r="BD163" s="527">
        <v>0</v>
      </c>
      <c r="BE163" s="527">
        <v>0</v>
      </c>
      <c r="BF163" s="527">
        <v>0</v>
      </c>
      <c r="BG163" s="527">
        <v>0</v>
      </c>
      <c r="BH163" s="527">
        <v>0</v>
      </c>
      <c r="BI163" s="527">
        <v>0</v>
      </c>
      <c r="BJ163" s="527">
        <v>0</v>
      </c>
      <c r="BK163" s="1154">
        <f t="shared" si="21"/>
        <v>0</v>
      </c>
      <c r="BL163" s="1154"/>
      <c r="BM163" s="1154">
        <f t="shared" si="22"/>
        <v>0</v>
      </c>
      <c r="BN163" s="1154">
        <f t="shared" si="23"/>
        <v>0</v>
      </c>
      <c r="BO163" s="527"/>
      <c r="BP163" s="527"/>
      <c r="BQ163" s="1157">
        <v>0</v>
      </c>
      <c r="BR163" s="1157" t="s">
        <v>688</v>
      </c>
      <c r="BS163" s="1157" t="s">
        <v>2547</v>
      </c>
      <c r="BT163" s="1376" t="s">
        <v>1426</v>
      </c>
    </row>
    <row r="164" spans="1:72" s="512" customFormat="1" ht="13" hidden="1">
      <c r="A164" s="1204">
        <v>373</v>
      </c>
      <c r="B164" s="1205" t="s">
        <v>657</v>
      </c>
      <c r="C164" s="1205" t="s">
        <v>659</v>
      </c>
      <c r="D164" s="1206" t="s">
        <v>2547</v>
      </c>
      <c r="E164" s="1386" t="s">
        <v>532</v>
      </c>
      <c r="F164" s="521"/>
      <c r="G164" s="522"/>
      <c r="H164" s="522"/>
      <c r="I164" s="522"/>
      <c r="J164" s="523"/>
      <c r="K164" s="523"/>
      <c r="L164" s="523"/>
      <c r="M164" s="524"/>
      <c r="N164" s="525"/>
      <c r="O164" s="526" t="s">
        <v>1237</v>
      </c>
      <c r="P164" s="525">
        <f>'HPM costs'!F397+'HPM costs'!F400</f>
        <v>0</v>
      </c>
      <c r="Q164" s="525" t="s">
        <v>1237</v>
      </c>
      <c r="R164" s="525">
        <f>'HPM costs'!G397+'HPM costs'!G400</f>
        <v>0</v>
      </c>
      <c r="S164" s="525" t="s">
        <v>1237</v>
      </c>
      <c r="T164" s="525">
        <f>'HPM costs'!H397+'HPM costs'!H400</f>
        <v>0</v>
      </c>
      <c r="U164" s="525" t="s">
        <v>1237</v>
      </c>
      <c r="V164" s="525">
        <f>'HPM costs'!I397+'HPM costs'!I400</f>
        <v>0</v>
      </c>
      <c r="W164" s="525"/>
      <c r="X164" s="1154">
        <f t="shared" si="18"/>
        <v>0</v>
      </c>
      <c r="Y164" s="1155"/>
      <c r="Z164" s="1156"/>
      <c r="AA164" s="529"/>
      <c r="AB164" s="525"/>
      <c r="AC164" s="525">
        <f>'HPM costs'!K397+'HPM costs'!K400</f>
        <v>0</v>
      </c>
      <c r="AD164" s="525"/>
      <c r="AE164" s="525">
        <f>'HPM costs'!L397+'HPM costs'!L400</f>
        <v>0</v>
      </c>
      <c r="AF164" s="525"/>
      <c r="AG164" s="525">
        <f>'HPM costs'!M397+'HPM costs'!M400</f>
        <v>0</v>
      </c>
      <c r="AH164" s="525"/>
      <c r="AI164" s="525">
        <f>'HPM costs'!N397+'HPM costs'!N400</f>
        <v>0</v>
      </c>
      <c r="AJ164" s="525"/>
      <c r="AK164" s="1154">
        <f t="shared" si="19"/>
        <v>0</v>
      </c>
      <c r="AL164" s="1155"/>
      <c r="AM164" s="1156"/>
      <c r="AN164" s="529"/>
      <c r="AO164" s="525"/>
      <c r="AP164" s="525">
        <f>'HPM costs'!P397+'HPM costs'!P400</f>
        <v>0</v>
      </c>
      <c r="AQ164" s="525"/>
      <c r="AR164" s="525">
        <f>'HPM costs'!Q397+'HPM costs'!Q400</f>
        <v>0</v>
      </c>
      <c r="AS164" s="525"/>
      <c r="AT164" s="525">
        <f>'HPM costs'!R397+'HPM costs'!R400</f>
        <v>0</v>
      </c>
      <c r="AU164" s="525"/>
      <c r="AV164" s="525">
        <f>'HPM costs'!S397+'HPM costs'!S400</f>
        <v>0</v>
      </c>
      <c r="AW164" s="525"/>
      <c r="AX164" s="1154">
        <f t="shared" si="20"/>
        <v>0</v>
      </c>
      <c r="AY164" s="1154"/>
      <c r="AZ164" s="528"/>
      <c r="BA164" s="529"/>
      <c r="BB164" s="527"/>
      <c r="BC164" s="527">
        <v>0</v>
      </c>
      <c r="BD164" s="527">
        <v>0</v>
      </c>
      <c r="BE164" s="527">
        <v>0</v>
      </c>
      <c r="BF164" s="527">
        <v>0</v>
      </c>
      <c r="BG164" s="527">
        <v>0</v>
      </c>
      <c r="BH164" s="527">
        <v>0</v>
      </c>
      <c r="BI164" s="527">
        <v>0</v>
      </c>
      <c r="BJ164" s="527">
        <v>0</v>
      </c>
      <c r="BK164" s="1154">
        <f t="shared" si="21"/>
        <v>0</v>
      </c>
      <c r="BL164" s="1154"/>
      <c r="BM164" s="1154">
        <f t="shared" si="22"/>
        <v>0</v>
      </c>
      <c r="BN164" s="1154">
        <f t="shared" si="23"/>
        <v>0</v>
      </c>
      <c r="BO164" s="527"/>
      <c r="BP164" s="527"/>
      <c r="BQ164" s="1157">
        <v>0</v>
      </c>
      <c r="BR164" s="1157" t="s">
        <v>688</v>
      </c>
      <c r="BS164" s="1157" t="s">
        <v>2547</v>
      </c>
      <c r="BT164" s="1376" t="s">
        <v>1427</v>
      </c>
    </row>
    <row r="165" spans="1:72" s="512" customFormat="1" ht="13" hidden="1">
      <c r="A165" s="1204">
        <v>374</v>
      </c>
      <c r="B165" s="1205" t="s">
        <v>657</v>
      </c>
      <c r="C165" s="1205" t="s">
        <v>659</v>
      </c>
      <c r="D165" s="1206" t="s">
        <v>2547</v>
      </c>
      <c r="E165" s="1386" t="s">
        <v>534</v>
      </c>
      <c r="F165" s="521"/>
      <c r="G165" s="522"/>
      <c r="H165" s="522"/>
      <c r="I165" s="522"/>
      <c r="J165" s="523"/>
      <c r="K165" s="523"/>
      <c r="L165" s="523"/>
      <c r="M165" s="524" t="e">
        <f>X165/W165</f>
        <v>#DIV/0!</v>
      </c>
      <c r="N165" s="525" t="e">
        <f>IF(M165&lt;&gt;"",M165/VLOOKUP($K165,SETUP!$C$28:$D$42,2,0),"")</f>
        <v>#DIV/0!</v>
      </c>
      <c r="O165" s="526" t="s">
        <v>1237</v>
      </c>
      <c r="P165" s="525">
        <f>'HPM costs'!F483+'HPM costs'!F486</f>
        <v>0</v>
      </c>
      <c r="Q165" s="525" t="s">
        <v>1237</v>
      </c>
      <c r="R165" s="525">
        <f>'HPM costs'!G483+'HPM costs'!G486</f>
        <v>0</v>
      </c>
      <c r="S165" s="525" t="s">
        <v>1237</v>
      </c>
      <c r="T165" s="525">
        <f>'HPM costs'!H483+'HPM costs'!H486</f>
        <v>0</v>
      </c>
      <c r="U165" s="525" t="s">
        <v>1237</v>
      </c>
      <c r="V165" s="525">
        <f>'HPM costs'!I483+'HPM costs'!I486</f>
        <v>0</v>
      </c>
      <c r="W165" s="525"/>
      <c r="X165" s="1154">
        <f t="shared" si="18"/>
        <v>0</v>
      </c>
      <c r="Y165" s="1155"/>
      <c r="Z165" s="1156"/>
      <c r="AA165" s="529"/>
      <c r="AB165" s="525"/>
      <c r="AC165" s="525">
        <f>'HPM costs'!K483+'HPM costs'!K486</f>
        <v>0</v>
      </c>
      <c r="AD165" s="525"/>
      <c r="AE165" s="525">
        <f>'HPM costs'!L483+'HPM costs'!L486</f>
        <v>0</v>
      </c>
      <c r="AF165" s="525"/>
      <c r="AG165" s="525">
        <f>'HPM costs'!M483+'HPM costs'!M486</f>
        <v>0</v>
      </c>
      <c r="AH165" s="525"/>
      <c r="AI165" s="525">
        <f>'HPM costs'!N483+'HPM costs'!N486</f>
        <v>0</v>
      </c>
      <c r="AJ165" s="525"/>
      <c r="AK165" s="1154">
        <f t="shared" si="19"/>
        <v>0</v>
      </c>
      <c r="AL165" s="1155"/>
      <c r="AM165" s="1156"/>
      <c r="AN165" s="529"/>
      <c r="AO165" s="525"/>
      <c r="AP165" s="525">
        <f>'HPM costs'!P483+'HPM costs'!P486</f>
        <v>0</v>
      </c>
      <c r="AQ165" s="525"/>
      <c r="AR165" s="525">
        <f>'HPM costs'!Q483+'HPM costs'!Q486</f>
        <v>0</v>
      </c>
      <c r="AS165" s="525"/>
      <c r="AT165" s="525">
        <f>'HPM costs'!R483+'HPM costs'!R486</f>
        <v>0</v>
      </c>
      <c r="AU165" s="525"/>
      <c r="AV165" s="525">
        <f>'HPM costs'!S483+'HPM costs'!S486</f>
        <v>0</v>
      </c>
      <c r="AW165" s="525"/>
      <c r="AX165" s="1154">
        <f t="shared" si="20"/>
        <v>0</v>
      </c>
      <c r="AY165" s="1154"/>
      <c r="AZ165" s="528"/>
      <c r="BA165" s="529"/>
      <c r="BB165" s="527"/>
      <c r="BC165" s="527">
        <v>0</v>
      </c>
      <c r="BD165" s="527">
        <v>0</v>
      </c>
      <c r="BE165" s="527">
        <v>0</v>
      </c>
      <c r="BF165" s="527">
        <v>0</v>
      </c>
      <c r="BG165" s="527">
        <v>0</v>
      </c>
      <c r="BH165" s="527">
        <v>0</v>
      </c>
      <c r="BI165" s="527">
        <v>0</v>
      </c>
      <c r="BJ165" s="527">
        <v>0</v>
      </c>
      <c r="BK165" s="1154">
        <f t="shared" si="21"/>
        <v>0</v>
      </c>
      <c r="BL165" s="1154"/>
      <c r="BM165" s="1154">
        <f t="shared" si="22"/>
        <v>0</v>
      </c>
      <c r="BN165" s="1154">
        <f t="shared" si="23"/>
        <v>0</v>
      </c>
      <c r="BO165" s="527"/>
      <c r="BP165" s="527"/>
      <c r="BQ165" s="1157">
        <v>0</v>
      </c>
      <c r="BR165" s="1157" t="s">
        <v>688</v>
      </c>
      <c r="BS165" s="1157" t="s">
        <v>2547</v>
      </c>
      <c r="BT165" s="1376" t="s">
        <v>1428</v>
      </c>
    </row>
    <row r="166" spans="1:72" s="512" customFormat="1" ht="13" hidden="1">
      <c r="A166" s="1204">
        <v>375</v>
      </c>
      <c r="B166" s="1205" t="s">
        <v>657</v>
      </c>
      <c r="C166" s="1205" t="s">
        <v>659</v>
      </c>
      <c r="D166" s="1206" t="s">
        <v>2547</v>
      </c>
      <c r="E166" s="1386" t="s">
        <v>536</v>
      </c>
      <c r="F166" s="521"/>
      <c r="G166" s="522"/>
      <c r="H166" s="522"/>
      <c r="I166" s="522"/>
      <c r="J166" s="523"/>
      <c r="K166" s="523"/>
      <c r="L166" s="523"/>
      <c r="M166" s="524"/>
      <c r="N166" s="525"/>
      <c r="O166" s="526" t="s">
        <v>1237</v>
      </c>
      <c r="P166" s="525">
        <f>'HPM costs'!F223+'HPM costs'!F226+'HPM costs'!F569+'HPM costs'!F572</f>
        <v>0</v>
      </c>
      <c r="Q166" s="525" t="s">
        <v>1237</v>
      </c>
      <c r="R166" s="525">
        <f>'HPM costs'!G223+'HPM costs'!G226+'HPM costs'!G569+'HPM costs'!G572</f>
        <v>0</v>
      </c>
      <c r="S166" s="525" t="s">
        <v>1237</v>
      </c>
      <c r="T166" s="525">
        <f>'HPM costs'!H223+'HPM costs'!H226+'HPM costs'!H569+'HPM costs'!H572</f>
        <v>0</v>
      </c>
      <c r="U166" s="525" t="s">
        <v>1237</v>
      </c>
      <c r="V166" s="525">
        <f>'HPM costs'!I223+'HPM costs'!I226+'HPM costs'!I569+'HPM costs'!I572</f>
        <v>0</v>
      </c>
      <c r="W166" s="525"/>
      <c r="X166" s="1154">
        <f t="shared" si="18"/>
        <v>0</v>
      </c>
      <c r="Y166" s="1155"/>
      <c r="Z166" s="1156"/>
      <c r="AA166" s="529"/>
      <c r="AB166" s="525"/>
      <c r="AC166" s="525">
        <f>'HPM costs'!K223+'HPM costs'!K226+'HPM costs'!K569+'HPM costs'!K572</f>
        <v>0</v>
      </c>
      <c r="AD166" s="525"/>
      <c r="AE166" s="525">
        <f>'HPM costs'!L223+'HPM costs'!L226+'HPM costs'!L569+'HPM costs'!L572</f>
        <v>0</v>
      </c>
      <c r="AF166" s="525"/>
      <c r="AG166" s="525">
        <f>'HPM costs'!M223+'HPM costs'!M226+'HPM costs'!M569+'HPM costs'!M572</f>
        <v>0</v>
      </c>
      <c r="AH166" s="525"/>
      <c r="AI166" s="525">
        <f>'HPM costs'!N223+'HPM costs'!N226+'HPM costs'!N569+'HPM costs'!N572</f>
        <v>0</v>
      </c>
      <c r="AJ166" s="525"/>
      <c r="AK166" s="1154">
        <f t="shared" si="19"/>
        <v>0</v>
      </c>
      <c r="AL166" s="1155"/>
      <c r="AM166" s="1156"/>
      <c r="AN166" s="529"/>
      <c r="AO166" s="525"/>
      <c r="AP166" s="525">
        <f>'HPM costs'!P223+'HPM costs'!P226+'HPM costs'!P569+'HPM costs'!P572</f>
        <v>0</v>
      </c>
      <c r="AQ166" s="525"/>
      <c r="AR166" s="525">
        <f>'HPM costs'!Q223+'HPM costs'!Q226+'HPM costs'!Q569+'HPM costs'!Q572</f>
        <v>0</v>
      </c>
      <c r="AS166" s="525"/>
      <c r="AT166" s="525">
        <f>'HPM costs'!R223+'HPM costs'!R226+'HPM costs'!R569+'HPM costs'!R572</f>
        <v>0</v>
      </c>
      <c r="AU166" s="525"/>
      <c r="AV166" s="525">
        <f>'HPM costs'!S223+'HPM costs'!S226+'HPM costs'!S569+'HPM costs'!S572</f>
        <v>0</v>
      </c>
      <c r="AW166" s="525"/>
      <c r="AX166" s="1154">
        <f t="shared" si="20"/>
        <v>0</v>
      </c>
      <c r="AY166" s="1154"/>
      <c r="AZ166" s="528"/>
      <c r="BA166" s="529"/>
      <c r="BB166" s="527"/>
      <c r="BC166" s="527">
        <v>0</v>
      </c>
      <c r="BD166" s="527">
        <v>0</v>
      </c>
      <c r="BE166" s="527">
        <v>0</v>
      </c>
      <c r="BF166" s="527">
        <v>0</v>
      </c>
      <c r="BG166" s="527">
        <v>0</v>
      </c>
      <c r="BH166" s="527">
        <v>0</v>
      </c>
      <c r="BI166" s="527">
        <v>0</v>
      </c>
      <c r="BJ166" s="527">
        <v>0</v>
      </c>
      <c r="BK166" s="1154">
        <f t="shared" si="21"/>
        <v>0</v>
      </c>
      <c r="BL166" s="1154"/>
      <c r="BM166" s="1154">
        <f t="shared" si="22"/>
        <v>0</v>
      </c>
      <c r="BN166" s="1154">
        <f t="shared" si="23"/>
        <v>0</v>
      </c>
      <c r="BO166" s="527"/>
      <c r="BP166" s="527"/>
      <c r="BQ166" s="1157">
        <v>0</v>
      </c>
      <c r="BR166" s="1157" t="s">
        <v>688</v>
      </c>
      <c r="BS166" s="1157" t="s">
        <v>2547</v>
      </c>
      <c r="BT166" s="1376" t="s">
        <v>1429</v>
      </c>
    </row>
    <row r="167" spans="1:72" s="512" customFormat="1" ht="13" hidden="1">
      <c r="A167" s="1204">
        <v>376</v>
      </c>
      <c r="B167" s="1205" t="s">
        <v>657</v>
      </c>
      <c r="C167" s="1205" t="s">
        <v>659</v>
      </c>
      <c r="D167" s="1206" t="s">
        <v>2547</v>
      </c>
      <c r="E167" s="1386" t="s">
        <v>538</v>
      </c>
      <c r="F167" s="521"/>
      <c r="G167" s="522"/>
      <c r="H167" s="522"/>
      <c r="I167" s="522"/>
      <c r="J167" s="523"/>
      <c r="K167" s="523"/>
      <c r="L167" s="523"/>
      <c r="M167" s="524"/>
      <c r="N167" s="525"/>
      <c r="O167" s="526" t="s">
        <v>1237</v>
      </c>
      <c r="P167" s="525">
        <f>'HPM costs'!F309+'HPM costs'!F312</f>
        <v>0</v>
      </c>
      <c r="Q167" s="525" t="s">
        <v>1237</v>
      </c>
      <c r="R167" s="525">
        <f>'HPM costs'!G309+'HPM costs'!G312</f>
        <v>0</v>
      </c>
      <c r="S167" s="525" t="s">
        <v>1237</v>
      </c>
      <c r="T167" s="525">
        <f>'HPM costs'!H309+'HPM costs'!H312</f>
        <v>0</v>
      </c>
      <c r="U167" s="525" t="s">
        <v>1237</v>
      </c>
      <c r="V167" s="525">
        <f>'HPM costs'!I309+'HPM costs'!I312</f>
        <v>0</v>
      </c>
      <c r="W167" s="525"/>
      <c r="X167" s="1154">
        <f t="shared" si="18"/>
        <v>0</v>
      </c>
      <c r="Y167" s="1155"/>
      <c r="Z167" s="1156"/>
      <c r="AA167" s="529"/>
      <c r="AB167" s="525"/>
      <c r="AC167" s="525">
        <f>'HPM costs'!K309+'HPM costs'!K312</f>
        <v>0</v>
      </c>
      <c r="AD167" s="525"/>
      <c r="AE167" s="525">
        <f>'HPM costs'!L309+'HPM costs'!L312</f>
        <v>0</v>
      </c>
      <c r="AF167" s="525"/>
      <c r="AG167" s="525">
        <f>'HPM costs'!M309+'HPM costs'!M312</f>
        <v>0</v>
      </c>
      <c r="AH167" s="525"/>
      <c r="AI167" s="525">
        <f>'HPM costs'!N309+'HPM costs'!N312</f>
        <v>0</v>
      </c>
      <c r="AJ167" s="525"/>
      <c r="AK167" s="1154">
        <f t="shared" si="19"/>
        <v>0</v>
      </c>
      <c r="AL167" s="1155"/>
      <c r="AM167" s="1156"/>
      <c r="AN167" s="529"/>
      <c r="AO167" s="525"/>
      <c r="AP167" s="525">
        <f>'HPM costs'!P309+'HPM costs'!P312</f>
        <v>0</v>
      </c>
      <c r="AQ167" s="525"/>
      <c r="AR167" s="525">
        <f>'HPM costs'!Q309+'HPM costs'!Q312</f>
        <v>0</v>
      </c>
      <c r="AS167" s="525"/>
      <c r="AT167" s="525">
        <f>'HPM costs'!R309+'HPM costs'!R312</f>
        <v>0</v>
      </c>
      <c r="AU167" s="525"/>
      <c r="AV167" s="525">
        <f>'HPM costs'!S309+'HPM costs'!S312</f>
        <v>0</v>
      </c>
      <c r="AW167" s="525"/>
      <c r="AX167" s="1154">
        <f t="shared" si="20"/>
        <v>0</v>
      </c>
      <c r="AY167" s="1154"/>
      <c r="AZ167" s="528"/>
      <c r="BA167" s="529"/>
      <c r="BB167" s="527"/>
      <c r="BC167" s="527">
        <v>0</v>
      </c>
      <c r="BD167" s="527">
        <v>0</v>
      </c>
      <c r="BE167" s="527">
        <v>0</v>
      </c>
      <c r="BF167" s="527">
        <v>0</v>
      </c>
      <c r="BG167" s="527">
        <v>0</v>
      </c>
      <c r="BH167" s="527">
        <v>0</v>
      </c>
      <c r="BI167" s="527">
        <v>0</v>
      </c>
      <c r="BJ167" s="527">
        <v>0</v>
      </c>
      <c r="BK167" s="1154">
        <f t="shared" si="21"/>
        <v>0</v>
      </c>
      <c r="BL167" s="1154"/>
      <c r="BM167" s="1154">
        <f t="shared" si="22"/>
        <v>0</v>
      </c>
      <c r="BN167" s="1154">
        <f t="shared" si="23"/>
        <v>0</v>
      </c>
      <c r="BO167" s="527"/>
      <c r="BP167" s="527"/>
      <c r="BQ167" s="1157">
        <v>0</v>
      </c>
      <c r="BR167" s="1157" t="s">
        <v>688</v>
      </c>
      <c r="BS167" s="1157" t="s">
        <v>2547</v>
      </c>
      <c r="BT167" s="1376" t="s">
        <v>1430</v>
      </c>
    </row>
    <row r="168" spans="1:72" s="512" customFormat="1" ht="13" hidden="1">
      <c r="A168" s="1204">
        <v>377</v>
      </c>
      <c r="B168" s="1205" t="s">
        <v>657</v>
      </c>
      <c r="C168" s="1205" t="s">
        <v>659</v>
      </c>
      <c r="D168" s="1206" t="s">
        <v>2547</v>
      </c>
      <c r="E168" s="1386" t="s">
        <v>540</v>
      </c>
      <c r="F168" s="521"/>
      <c r="G168" s="522"/>
      <c r="H168" s="522"/>
      <c r="I168" s="522"/>
      <c r="J168" s="523"/>
      <c r="K168" s="523"/>
      <c r="L168" s="523"/>
      <c r="M168" s="524"/>
      <c r="N168" s="525"/>
      <c r="O168" s="526" t="s">
        <v>1237</v>
      </c>
      <c r="P168" s="525">
        <f>'HPM costs'!F654+'HPM costs'!F657</f>
        <v>0</v>
      </c>
      <c r="Q168" s="525" t="s">
        <v>1237</v>
      </c>
      <c r="R168" s="525">
        <f>'HPM costs'!G654+'HPM costs'!G657</f>
        <v>0</v>
      </c>
      <c r="S168" s="525" t="s">
        <v>1237</v>
      </c>
      <c r="T168" s="525">
        <f>'HPM costs'!H654+'HPM costs'!H657</f>
        <v>0</v>
      </c>
      <c r="U168" s="525" t="s">
        <v>1237</v>
      </c>
      <c r="V168" s="525">
        <f>'HPM costs'!I654+'HPM costs'!I657</f>
        <v>0</v>
      </c>
      <c r="W168" s="525"/>
      <c r="X168" s="1154">
        <f t="shared" si="18"/>
        <v>0</v>
      </c>
      <c r="Y168" s="1155"/>
      <c r="Z168" s="1156"/>
      <c r="AA168" s="529"/>
      <c r="AB168" s="525"/>
      <c r="AC168" s="525">
        <f>'HPM costs'!K654+'HPM costs'!K657</f>
        <v>0</v>
      </c>
      <c r="AD168" s="525"/>
      <c r="AE168" s="525">
        <f>'HPM costs'!L654+'HPM costs'!L657</f>
        <v>0</v>
      </c>
      <c r="AF168" s="525"/>
      <c r="AG168" s="525">
        <f>'HPM costs'!M654+'HPM costs'!M657</f>
        <v>0</v>
      </c>
      <c r="AH168" s="525"/>
      <c r="AI168" s="525">
        <f>'HPM costs'!N654+'HPM costs'!N657</f>
        <v>0</v>
      </c>
      <c r="AJ168" s="525"/>
      <c r="AK168" s="1154">
        <f t="shared" si="19"/>
        <v>0</v>
      </c>
      <c r="AL168" s="1155"/>
      <c r="AM168" s="1156"/>
      <c r="AN168" s="529"/>
      <c r="AO168" s="525"/>
      <c r="AP168" s="525">
        <f>'HPM costs'!P654+'HPM costs'!P657</f>
        <v>0</v>
      </c>
      <c r="AQ168" s="525"/>
      <c r="AR168" s="525">
        <f>'HPM costs'!Q654+'HPM costs'!Q657</f>
        <v>0</v>
      </c>
      <c r="AS168" s="525"/>
      <c r="AT168" s="525">
        <f>'HPM costs'!R654+'HPM costs'!R657</f>
        <v>0</v>
      </c>
      <c r="AU168" s="525"/>
      <c r="AV168" s="525">
        <f>'HPM costs'!S654+'HPM costs'!S657</f>
        <v>0</v>
      </c>
      <c r="AW168" s="525"/>
      <c r="AX168" s="1154">
        <f t="shared" si="20"/>
        <v>0</v>
      </c>
      <c r="AY168" s="1154"/>
      <c r="AZ168" s="528"/>
      <c r="BA168" s="529"/>
      <c r="BB168" s="527"/>
      <c r="BC168" s="527">
        <v>0</v>
      </c>
      <c r="BD168" s="527">
        <v>0</v>
      </c>
      <c r="BE168" s="527">
        <v>0</v>
      </c>
      <c r="BF168" s="527">
        <v>0</v>
      </c>
      <c r="BG168" s="527">
        <v>0</v>
      </c>
      <c r="BH168" s="527">
        <v>0</v>
      </c>
      <c r="BI168" s="527">
        <v>0</v>
      </c>
      <c r="BJ168" s="527">
        <v>0</v>
      </c>
      <c r="BK168" s="1154">
        <f t="shared" si="21"/>
        <v>0</v>
      </c>
      <c r="BL168" s="1154"/>
      <c r="BM168" s="1154">
        <f t="shared" si="22"/>
        <v>0</v>
      </c>
      <c r="BN168" s="1154">
        <f t="shared" si="23"/>
        <v>0</v>
      </c>
      <c r="BO168" s="527"/>
      <c r="BP168" s="527"/>
      <c r="BQ168" s="1157">
        <v>0</v>
      </c>
      <c r="BR168" s="1157" t="s">
        <v>688</v>
      </c>
      <c r="BS168" s="1157" t="s">
        <v>2547</v>
      </c>
      <c r="BT168" s="1376" t="s">
        <v>1431</v>
      </c>
    </row>
    <row r="169" spans="1:72" s="1371" customFormat="1" ht="13">
      <c r="A169" s="1204">
        <v>428</v>
      </c>
      <c r="B169" s="1205" t="s">
        <v>652</v>
      </c>
      <c r="C169" s="1205" t="s">
        <v>661</v>
      </c>
      <c r="D169" s="1206" t="s">
        <v>2505</v>
      </c>
      <c r="E169" s="1386" t="s">
        <v>663</v>
      </c>
      <c r="F169" s="521"/>
      <c r="G169" s="522"/>
      <c r="H169" s="522"/>
      <c r="I169" s="522"/>
      <c r="J169" s="523"/>
      <c r="K169" s="523"/>
      <c r="L169" s="523"/>
      <c r="M169" s="524" t="e">
        <f>X169/W169</f>
        <v>#DIV/0!</v>
      </c>
      <c r="N169" s="525" t="e">
        <f>IF(M169&lt;&gt;"",M169/VLOOKUP($K169,SETUP!$C$28:$D$42,2,0),"")</f>
        <v>#DIV/0!</v>
      </c>
      <c r="O169" s="526" t="s">
        <v>1237</v>
      </c>
      <c r="P169" s="525">
        <f>'HIV-Key Info'!$E$66*IFERROR(INDEX('HIV-Other HPs'!$AX$41:$BI$48,MATCH(5.2,'HIV-Other HPs'!$AW$41:$AW$48,0),MID(LEFT(P$1,SEARCH(" ",P$1)-1),2,3)-INDEX('HIV-Other HPs'!$AV$41:$AV$48,MATCH(5.2,'HIV-Other HPs'!$AW$41:$AW$48,0))),0)</f>
        <v>0</v>
      </c>
      <c r="Q169" s="525" t="s">
        <v>1237</v>
      </c>
      <c r="R169" s="525">
        <f>'HIV-Key Info'!$E$66*IFERROR(INDEX('HIV-Other HPs'!$AX$41:$BI$48,MATCH(5.2,'HIV-Other HPs'!$AW$41:$AW$48,0),MID(LEFT(R$1,SEARCH(" ",R$1)-1),2,3)-INDEX('HIV-Other HPs'!$AV$41:$AV$48,MATCH(5.2,'HIV-Other HPs'!$AW$41:$AW$48,0))),0)</f>
        <v>0</v>
      </c>
      <c r="S169" s="525" t="s">
        <v>1237</v>
      </c>
      <c r="T169" s="525">
        <f>'HIV-Key Info'!$E$66*IFERROR(INDEX('HIV-Other HPs'!$AX$41:$BI$48,MATCH(5.2,'HIV-Other HPs'!$AW$41:$AW$48,0),MID(LEFT(T$1,SEARCH(" ",T$1)-1),2,3)-INDEX('HIV-Other HPs'!$AV$41:$AV$48,MATCH(5.2,'HIV-Other HPs'!$AW$41:$AW$48,0))),0)</f>
        <v>0</v>
      </c>
      <c r="U169" s="525" t="s">
        <v>1237</v>
      </c>
      <c r="V169" s="525">
        <f>'HIV-Key Info'!$E$66*IFERROR(INDEX('HIV-Other HPs'!$AX$41:$BI$48,MATCH(5.2,'HIV-Other HPs'!$AW$41:$AW$48,0),MID(LEFT(V$1,SEARCH(" ",V$1)-1),2,3)-INDEX('HIV-Other HPs'!$AV$41:$AV$48,MATCH(5.2,'HIV-Other HPs'!$AW$41:$AW$48,0))),0)</f>
        <v>0</v>
      </c>
      <c r="W169" s="525"/>
      <c r="X169" s="1154">
        <f t="shared" si="18"/>
        <v>0</v>
      </c>
      <c r="Y169" s="1155"/>
      <c r="Z169" s="1156"/>
      <c r="AA169" s="529"/>
      <c r="AB169" s="525"/>
      <c r="AC169" s="525">
        <f>'HIV-Key Info'!$E$66*IFERROR(INDEX('HIV-Other HPs'!$AX$41:$BI$48,MATCH(5.2,'HIV-Other HPs'!$AW$41:$AW$48,0),MID(LEFT(AC$1,SEARCH(" ",AC$1)-1),2,3)-INDEX('HIV-Other HPs'!$AV$41:$AV$48,MATCH(5.2,'HIV-Other HPs'!$AW$41:$AW$48,0))),0)</f>
        <v>0</v>
      </c>
      <c r="AD169" s="525"/>
      <c r="AE169" s="525">
        <f>'HIV-Key Info'!$E$66*IFERROR(INDEX('HIV-Other HPs'!$AX$41:$BI$48,MATCH(5.2,'HIV-Other HPs'!$AW$41:$AW$48,0),MID(LEFT(AE$1,SEARCH(" ",AE$1)-1),2,3)-INDEX('HIV-Other HPs'!$AV$41:$AV$48,MATCH(5.2,'HIV-Other HPs'!$AW$41:$AW$48,0))),0)</f>
        <v>0</v>
      </c>
      <c r="AF169" s="525"/>
      <c r="AG169" s="525">
        <f>'HIV-Key Info'!$E$66*IFERROR(INDEX('HIV-Other HPs'!$AX$41:$BI$48,MATCH(5.2,'HIV-Other HPs'!$AW$41:$AW$48,0),MID(LEFT(AG$1,SEARCH(" ",AG$1)-1),2,3)-INDEX('HIV-Other HPs'!$AV$41:$AV$48,MATCH(5.2,'HIV-Other HPs'!$AW$41:$AW$48,0))),0)</f>
        <v>0</v>
      </c>
      <c r="AH169" s="525"/>
      <c r="AI169" s="525">
        <f>'HIV-Key Info'!$E$66*IFERROR(INDEX('HIV-Other HPs'!$AX$41:$BI$48,MATCH(5.2,'HIV-Other HPs'!$AW$41:$AW$48,0),MID(LEFT(AI$1,SEARCH(" ",AI$1)-1),2,3)-INDEX('HIV-Other HPs'!$AV$41:$AV$48,MATCH(5.2,'HIV-Other HPs'!$AW$41:$AW$48,0))),0)</f>
        <v>0</v>
      </c>
      <c r="AJ169" s="525"/>
      <c r="AK169" s="1154">
        <f t="shared" si="19"/>
        <v>0</v>
      </c>
      <c r="AL169" s="1155"/>
      <c r="AM169" s="1156"/>
      <c r="AN169" s="529"/>
      <c r="AO169" s="525"/>
      <c r="AP169" s="525">
        <f>'HIV-Key Info'!$E$66*IFERROR(INDEX('HIV-Other HPs'!$AX$41:$BI$48,MATCH(5.2,'HIV-Other HPs'!$AW$41:$AW$48,0),MID(LEFT(AP$1,SEARCH(" ",AP$1)-1),2,3)-INDEX('HIV-Other HPs'!$AV$41:$AV$48,MATCH(5.2,'HIV-Other HPs'!$AW$41:$AW$48,0))),0)</f>
        <v>0</v>
      </c>
      <c r="AQ169" s="525"/>
      <c r="AR169" s="525">
        <f>'HIV-Key Info'!$E$66*IFERROR(INDEX('HIV-Other HPs'!$AX$41:$BI$48,MATCH(5.2,'HIV-Other HPs'!$AW$41:$AW$48,0),MID(LEFT(AR$1,SEARCH(" ",AR$1)-1),2,3)-INDEX('HIV-Other HPs'!$AV$41:$AV$48,MATCH(5.2,'HIV-Other HPs'!$AW$41:$AW$48,0))),0)</f>
        <v>0</v>
      </c>
      <c r="AS169" s="525"/>
      <c r="AT169" s="525">
        <f>'HIV-Key Info'!$E$66*IFERROR(INDEX('HIV-Other HPs'!$AX$41:$BI$48,MATCH(5.2,'HIV-Other HPs'!$AW$41:$AW$48,0),MID(LEFT(AT$1,SEARCH(" ",AT$1)-1),2,3)-INDEX('HIV-Other HPs'!$AV$41:$AV$48,MATCH(5.2,'HIV-Other HPs'!$AW$41:$AW$48,0))),0)</f>
        <v>0</v>
      </c>
      <c r="AU169" s="525"/>
      <c r="AV169" s="525">
        <f>IFERROR('HIV-Key Info'!$E$66*(INDEX('HIV-Other HPs'!$BJ$41:$BJ$48,MATCH(5.2,'HIV-Other HPs'!$AW$41:$AW$48,0))-(SUM(X169,AK169,AP169,AR169,AT169)/'HIV-Key Info'!$E$66)),)</f>
        <v>0</v>
      </c>
      <c r="AW169" s="525"/>
      <c r="AX169" s="1154">
        <f t="shared" si="20"/>
        <v>0</v>
      </c>
      <c r="AY169" s="1154"/>
      <c r="AZ169" s="528"/>
      <c r="BA169" s="529"/>
      <c r="BB169" s="527"/>
      <c r="BC169" s="527">
        <v>0</v>
      </c>
      <c r="BD169" s="527">
        <v>0</v>
      </c>
      <c r="BE169" s="527">
        <v>0</v>
      </c>
      <c r="BF169" s="527">
        <v>0</v>
      </c>
      <c r="BG169" s="527">
        <v>0</v>
      </c>
      <c r="BH169" s="527">
        <v>0</v>
      </c>
      <c r="BI169" s="527">
        <v>0</v>
      </c>
      <c r="BJ169" s="527">
        <v>0</v>
      </c>
      <c r="BK169" s="1154">
        <f t="shared" si="21"/>
        <v>0</v>
      </c>
      <c r="BL169" s="1154"/>
      <c r="BM169" s="1154">
        <f t="shared" si="22"/>
        <v>0</v>
      </c>
      <c r="BN169" s="1154">
        <f>BK169+AX169+AK169+X169</f>
        <v>0</v>
      </c>
      <c r="BO169" s="527"/>
      <c r="BP169" s="527"/>
      <c r="BQ169" s="1157" t="s">
        <v>2550</v>
      </c>
      <c r="BR169" s="1157" t="s">
        <v>690</v>
      </c>
      <c r="BS169" s="1157" t="s">
        <v>662</v>
      </c>
      <c r="BT169" s="1376" t="s">
        <v>1480</v>
      </c>
    </row>
    <row r="170" spans="1:72" s="1371" customFormat="1" ht="13">
      <c r="A170" s="1204">
        <v>429</v>
      </c>
      <c r="B170" s="1205" t="s">
        <v>652</v>
      </c>
      <c r="C170" s="1205" t="s">
        <v>661</v>
      </c>
      <c r="D170" s="1206" t="s">
        <v>2505</v>
      </c>
      <c r="E170" s="1386" t="s">
        <v>597</v>
      </c>
      <c r="F170" s="521"/>
      <c r="G170" s="522"/>
      <c r="H170" s="522"/>
      <c r="I170" s="522"/>
      <c r="J170" s="523"/>
      <c r="K170" s="523"/>
      <c r="L170" s="523"/>
      <c r="M170" s="524"/>
      <c r="N170" s="525"/>
      <c r="O170" s="526" t="s">
        <v>1237</v>
      </c>
      <c r="P170" s="525">
        <f>'HIV-Key Info'!$G$66*IFERROR(INDEX('HIV-Other HPs'!$AX$41:$BI$48,MATCH(5.8,'HIV-Other HPs'!$AW$41:$AW$48,0),MID(LEFT(P$1,SEARCH(" ",P$1)-1),2,3)-INDEX('HIV-Other HPs'!$AV$41:$AV$48,MATCH(5.8,'HIV-Other HPs'!$AW$41:$AW$48,0))),0)</f>
        <v>0</v>
      </c>
      <c r="Q170" s="525" t="s">
        <v>1237</v>
      </c>
      <c r="R170" s="525">
        <f>'HIV-Key Info'!$G$66*IFERROR(INDEX('HIV-Other HPs'!$AX$41:$BI$48,MATCH(5.8,'HIV-Other HPs'!$AW$41:$AW$48,0),MID(LEFT(R$1,SEARCH(" ",R$1)-1),2,3)-INDEX('HIV-Other HPs'!$AV$41:$AV$48,MATCH(5.8,'HIV-Other HPs'!$AW$41:$AW$48,0))),0)</f>
        <v>0</v>
      </c>
      <c r="S170" s="525" t="s">
        <v>1237</v>
      </c>
      <c r="T170" s="525">
        <f>'HIV-Key Info'!$G$66*IFERROR(INDEX('HIV-Other HPs'!$AX$41:$BI$48,MATCH(5.8,'HIV-Other HPs'!$AW$41:$AW$48,0),MID(LEFT(T$1,SEARCH(" ",T$1)-1),2,3)-INDEX('HIV-Other HPs'!$AV$41:$AV$48,MATCH(5.8,'HIV-Other HPs'!$AW$41:$AW$48,0))),0)</f>
        <v>0</v>
      </c>
      <c r="U170" s="525" t="s">
        <v>1237</v>
      </c>
      <c r="V170" s="525">
        <f>'HIV-Key Info'!$G$66*IFERROR(INDEX('HIV-Other HPs'!$AX$41:$BI$48,MATCH(5.8,'HIV-Other HPs'!$AW$41:$AW$48,0),MID(LEFT(V$1,SEARCH(" ",V$1)-1),2,3)-INDEX('HIV-Other HPs'!$AV$41:$AV$48,MATCH(5.8,'HIV-Other HPs'!$AW$41:$AW$48,0))),0)</f>
        <v>0</v>
      </c>
      <c r="W170" s="525"/>
      <c r="X170" s="1154">
        <f t="shared" si="18"/>
        <v>0</v>
      </c>
      <c r="Y170" s="1155"/>
      <c r="Z170" s="1156"/>
      <c r="AA170" s="529"/>
      <c r="AB170" s="525"/>
      <c r="AC170" s="525">
        <f>'HIV-Key Info'!$G$66*IFERROR(INDEX('HIV-Other HPs'!$AX$41:$BI$48,MATCH(5.8,'HIV-Other HPs'!$AW$41:$AW$48,0),MID(LEFT(AC$1,SEARCH(" ",AC$1)-1),2,3)-INDEX('HIV-Other HPs'!$AV$41:$AV$48,MATCH(5.8,'HIV-Other HPs'!$AW$41:$AW$48,0))),0)</f>
        <v>0</v>
      </c>
      <c r="AD170" s="525"/>
      <c r="AE170" s="525">
        <f>'HIV-Key Info'!$G$66*IFERROR(INDEX('HIV-Other HPs'!$AX$41:$BI$48,MATCH(5.8,'HIV-Other HPs'!$AW$41:$AW$48,0),MID(LEFT(AE$1,SEARCH(" ",AE$1)-1),2,3)-INDEX('HIV-Other HPs'!$AV$41:$AV$48,MATCH(5.8,'HIV-Other HPs'!$AW$41:$AW$48,0))),0)</f>
        <v>0</v>
      </c>
      <c r="AF170" s="525"/>
      <c r="AG170" s="525">
        <f>'HIV-Key Info'!$G$66*IFERROR(INDEX('HIV-Other HPs'!$AX$41:$BI$48,MATCH(5.8,'HIV-Other HPs'!$AW$41:$AW$48,0),MID(LEFT(AG$1,SEARCH(" ",AG$1)-1),2,3)-INDEX('HIV-Other HPs'!$AV$41:$AV$48,MATCH(5.8,'HIV-Other HPs'!$AW$41:$AW$48,0))),0)</f>
        <v>0</v>
      </c>
      <c r="AH170" s="525"/>
      <c r="AI170" s="525">
        <f>'HIV-Key Info'!$G$66*IFERROR(INDEX('HIV-Other HPs'!$AX$41:$BI$48,MATCH(5.8,'HIV-Other HPs'!$AW$41:$AW$48,0),MID(LEFT(AI$1,SEARCH(" ",AI$1)-1),2,3)-INDEX('HIV-Other HPs'!$AV$41:$AV$48,MATCH(5.8,'HIV-Other HPs'!$AW$41:$AW$48,0))),0)</f>
        <v>0</v>
      </c>
      <c r="AJ170" s="525"/>
      <c r="AK170" s="1154">
        <f t="shared" si="19"/>
        <v>0</v>
      </c>
      <c r="AL170" s="1155"/>
      <c r="AM170" s="1156"/>
      <c r="AN170" s="529"/>
      <c r="AO170" s="525"/>
      <c r="AP170" s="525">
        <f>'HIV-Key Info'!$G$66*IFERROR(INDEX('HIV-Other HPs'!$AX$41:$BI$48,MATCH(5.8,'HIV-Other HPs'!$AW$41:$AW$48,0),MID(LEFT(AP$1,SEARCH(" ",AP$1)-1),2,3)-INDEX('HIV-Other HPs'!$AV$41:$AV$48,MATCH(5.8,'HIV-Other HPs'!$AW$41:$AW$48,0))),0)</f>
        <v>0</v>
      </c>
      <c r="AQ170" s="525"/>
      <c r="AR170" s="525">
        <f>'HIV-Key Info'!$G$66*IFERROR(INDEX('HIV-Other HPs'!$AX$41:$BI$48,MATCH(5.8,'HIV-Other HPs'!$AW$41:$AW$48,0),MID(LEFT(AR$1,SEARCH(" ",AR$1)-1),2,3)-INDEX('HIV-Other HPs'!$AV$41:$AV$48,MATCH(5.8,'HIV-Other HPs'!$AW$41:$AW$48,0))),0)</f>
        <v>0</v>
      </c>
      <c r="AS170" s="525"/>
      <c r="AT170" s="525">
        <f>'HIV-Key Info'!$G$66*IFERROR(INDEX('HIV-Other HPs'!$AX$41:$BI$48,MATCH(5.8,'HIV-Other HPs'!$AW$41:$AW$48,0),MID(LEFT(AT$1,SEARCH(" ",AT$1)-1),2,3)-INDEX('HIV-Other HPs'!$AV$41:$AV$48,MATCH(5.8,'HIV-Other HPs'!$AW$41:$AW$48,0))),0)</f>
        <v>0</v>
      </c>
      <c r="AU170" s="525"/>
      <c r="AV170" s="525">
        <f>IFERROR('HIV-Key Info'!$G$66*(INDEX('HIV-Other HPs'!$BJ$41:$BJ$48,MATCH(5.8,'HIV-Other HPs'!$AW$41:$AW$48,0))-(SUM(X170,AK170,AP170,AR170,AT170)/'HIV-Key Info'!$G$66)),)</f>
        <v>0</v>
      </c>
      <c r="AW170" s="525"/>
      <c r="AX170" s="1154">
        <f t="shared" si="20"/>
        <v>0</v>
      </c>
      <c r="AY170" s="1154"/>
      <c r="AZ170" s="528"/>
      <c r="BA170" s="529"/>
      <c r="BB170" s="527"/>
      <c r="BC170" s="527">
        <v>0</v>
      </c>
      <c r="BD170" s="527">
        <v>0</v>
      </c>
      <c r="BE170" s="527">
        <v>0</v>
      </c>
      <c r="BF170" s="527">
        <v>0</v>
      </c>
      <c r="BG170" s="527">
        <v>0</v>
      </c>
      <c r="BH170" s="527">
        <v>0</v>
      </c>
      <c r="BI170" s="527">
        <v>0</v>
      </c>
      <c r="BJ170" s="527">
        <v>0</v>
      </c>
      <c r="BK170" s="1154">
        <f t="shared" si="21"/>
        <v>0</v>
      </c>
      <c r="BL170" s="1154"/>
      <c r="BM170" s="1154">
        <f t="shared" si="22"/>
        <v>0</v>
      </c>
      <c r="BN170" s="1154">
        <f t="shared" si="23"/>
        <v>0</v>
      </c>
      <c r="BO170" s="527"/>
      <c r="BP170" s="527"/>
      <c r="BQ170" s="1157" t="s">
        <v>2550</v>
      </c>
      <c r="BR170" s="1157" t="s">
        <v>690</v>
      </c>
      <c r="BS170" s="1157" t="s">
        <v>662</v>
      </c>
      <c r="BT170" s="1376" t="s">
        <v>1481</v>
      </c>
    </row>
    <row r="171" spans="1:72" s="1371" customFormat="1" ht="13">
      <c r="A171" s="1204">
        <v>430</v>
      </c>
      <c r="B171" s="1205" t="s">
        <v>652</v>
      </c>
      <c r="C171" s="1205" t="s">
        <v>661</v>
      </c>
      <c r="D171" s="1206" t="s">
        <v>2506</v>
      </c>
      <c r="E171" s="1386" t="s">
        <v>528</v>
      </c>
      <c r="F171" s="521"/>
      <c r="G171" s="522"/>
      <c r="H171" s="522"/>
      <c r="I171" s="522"/>
      <c r="J171" s="523"/>
      <c r="K171" s="523"/>
      <c r="L171" s="523"/>
      <c r="M171" s="524"/>
      <c r="N171" s="525"/>
      <c r="O171" s="526" t="s">
        <v>1237</v>
      </c>
      <c r="P171" s="525">
        <f>'HIV-Key Info'!$E$66*('HPM costs'!F27+'HPM costs'!F30)</f>
        <v>0</v>
      </c>
      <c r="Q171" s="525" t="s">
        <v>1237</v>
      </c>
      <c r="R171" s="525">
        <f>'HIV-Key Info'!$E$66*('HPM costs'!G27+'HPM costs'!G30)</f>
        <v>0</v>
      </c>
      <c r="S171" s="525" t="s">
        <v>1237</v>
      </c>
      <c r="T171" s="525">
        <f>'HIV-Key Info'!$E$66*('HPM costs'!H27+'HPM costs'!H30)</f>
        <v>0</v>
      </c>
      <c r="U171" s="525" t="s">
        <v>1237</v>
      </c>
      <c r="V171" s="525">
        <f>'HIV-Key Info'!$E$66*('HPM costs'!I27+'HPM costs'!I30)</f>
        <v>0</v>
      </c>
      <c r="W171" s="525"/>
      <c r="X171" s="1154">
        <f t="shared" si="18"/>
        <v>0</v>
      </c>
      <c r="Y171" s="1155"/>
      <c r="Z171" s="1156"/>
      <c r="AA171" s="529"/>
      <c r="AB171" s="525"/>
      <c r="AC171" s="525">
        <f>'HIV-Key Info'!$E$66*('HPM costs'!K27+'HPM costs'!K30)</f>
        <v>0</v>
      </c>
      <c r="AD171" s="525"/>
      <c r="AE171" s="525">
        <f>'HIV-Key Info'!$E$66*('HPM costs'!L27+'HPM costs'!L30)</f>
        <v>0</v>
      </c>
      <c r="AF171" s="525"/>
      <c r="AG171" s="525">
        <f>'HIV-Key Info'!$E$66*('HPM costs'!M27+'HPM costs'!M30)</f>
        <v>0</v>
      </c>
      <c r="AH171" s="525"/>
      <c r="AI171" s="525">
        <f>'HIV-Key Info'!$E$66*('HPM costs'!N27+'HPM costs'!N30)</f>
        <v>0</v>
      </c>
      <c r="AJ171" s="525"/>
      <c r="AK171" s="1154">
        <f t="shared" si="19"/>
        <v>0</v>
      </c>
      <c r="AL171" s="1155"/>
      <c r="AM171" s="1156"/>
      <c r="AN171" s="529"/>
      <c r="AO171" s="525"/>
      <c r="AP171" s="525">
        <f>'HIV-Key Info'!$E$66*('HPM costs'!P27+'HPM costs'!P30)</f>
        <v>0</v>
      </c>
      <c r="AQ171" s="525"/>
      <c r="AR171" s="525">
        <f>'HIV-Key Info'!$E$66*('HPM costs'!Q27+'HPM costs'!Q30)</f>
        <v>0</v>
      </c>
      <c r="AS171" s="525"/>
      <c r="AT171" s="525">
        <f>'HIV-Key Info'!$E$66*('HPM costs'!R27+'HPM costs'!R30)</f>
        <v>0</v>
      </c>
      <c r="AU171" s="525"/>
      <c r="AV171" s="525">
        <f>'HIV-Key Info'!$E$66*('HPM costs'!S27+'HPM costs'!S30)</f>
        <v>0</v>
      </c>
      <c r="AW171" s="525"/>
      <c r="AX171" s="1154">
        <f t="shared" si="20"/>
        <v>0</v>
      </c>
      <c r="AY171" s="1154"/>
      <c r="AZ171" s="528"/>
      <c r="BA171" s="529"/>
      <c r="BB171" s="527"/>
      <c r="BC171" s="527">
        <v>0</v>
      </c>
      <c r="BD171" s="527">
        <v>0</v>
      </c>
      <c r="BE171" s="527">
        <v>0</v>
      </c>
      <c r="BF171" s="527">
        <v>0</v>
      </c>
      <c r="BG171" s="527">
        <v>0</v>
      </c>
      <c r="BH171" s="527">
        <v>0</v>
      </c>
      <c r="BI171" s="527">
        <v>0</v>
      </c>
      <c r="BJ171" s="527">
        <v>0</v>
      </c>
      <c r="BK171" s="1154">
        <f t="shared" si="21"/>
        <v>0</v>
      </c>
      <c r="BL171" s="1154"/>
      <c r="BM171" s="1154">
        <f t="shared" si="22"/>
        <v>0</v>
      </c>
      <c r="BN171" s="1154">
        <f t="shared" si="23"/>
        <v>0</v>
      </c>
      <c r="BO171" s="527"/>
      <c r="BP171" s="527"/>
      <c r="BQ171" s="1157" t="s">
        <v>2550</v>
      </c>
      <c r="BR171" s="1157" t="s">
        <v>690</v>
      </c>
      <c r="BS171" s="1157" t="s">
        <v>527</v>
      </c>
      <c r="BT171" s="1376" t="s">
        <v>1482</v>
      </c>
    </row>
    <row r="172" spans="1:72" s="1371" customFormat="1" ht="13">
      <c r="A172" s="1204">
        <v>431</v>
      </c>
      <c r="B172" s="1205" t="s">
        <v>652</v>
      </c>
      <c r="C172" s="1205" t="s">
        <v>661</v>
      </c>
      <c r="D172" s="1206" t="s">
        <v>2506</v>
      </c>
      <c r="E172" s="1386" t="s">
        <v>530</v>
      </c>
      <c r="F172" s="521"/>
      <c r="G172" s="522"/>
      <c r="H172" s="522"/>
      <c r="I172" s="522"/>
      <c r="J172" s="523"/>
      <c r="K172" s="523"/>
      <c r="L172" s="523"/>
      <c r="M172" s="524"/>
      <c r="N172" s="525"/>
      <c r="O172" s="526" t="s">
        <v>1237</v>
      </c>
      <c r="P172" s="525">
        <f>'HIV-Key Info'!$E$66*('HPM costs'!F113+'HPM costs'!F116)</f>
        <v>0</v>
      </c>
      <c r="Q172" s="525" t="s">
        <v>1237</v>
      </c>
      <c r="R172" s="525">
        <f>'HIV-Key Info'!$E$66*('HPM costs'!G113+'HPM costs'!G116)</f>
        <v>0</v>
      </c>
      <c r="S172" s="525" t="s">
        <v>1237</v>
      </c>
      <c r="T172" s="525">
        <f>'HIV-Key Info'!$E$66*('HPM costs'!H113+'HPM costs'!H116)</f>
        <v>0</v>
      </c>
      <c r="U172" s="525" t="s">
        <v>1237</v>
      </c>
      <c r="V172" s="525">
        <f>'HIV-Key Info'!$E$66*('HPM costs'!I113+'HPM costs'!I116)</f>
        <v>0</v>
      </c>
      <c r="W172" s="525"/>
      <c r="X172" s="1154">
        <f t="shared" si="18"/>
        <v>0</v>
      </c>
      <c r="Y172" s="1155"/>
      <c r="Z172" s="1156"/>
      <c r="AA172" s="529"/>
      <c r="AB172" s="525"/>
      <c r="AC172" s="525">
        <f>'HIV-Key Info'!$E$66*('HPM costs'!K113+'HPM costs'!K116)</f>
        <v>0</v>
      </c>
      <c r="AD172" s="525"/>
      <c r="AE172" s="525">
        <f>'HIV-Key Info'!$E$66*('HPM costs'!L113+'HPM costs'!L116)</f>
        <v>0</v>
      </c>
      <c r="AF172" s="525"/>
      <c r="AG172" s="525">
        <f>'HIV-Key Info'!$E$66*('HPM costs'!M113+'HPM costs'!M116)</f>
        <v>0</v>
      </c>
      <c r="AH172" s="525"/>
      <c r="AI172" s="525">
        <f>'HIV-Key Info'!$E$66*('HPM costs'!N113+'HPM costs'!N116)</f>
        <v>0</v>
      </c>
      <c r="AJ172" s="525"/>
      <c r="AK172" s="1154">
        <f t="shared" si="19"/>
        <v>0</v>
      </c>
      <c r="AL172" s="1155"/>
      <c r="AM172" s="1156"/>
      <c r="AN172" s="529"/>
      <c r="AO172" s="525"/>
      <c r="AP172" s="525">
        <f>'HIV-Key Info'!$E$66*('HPM costs'!P113+'HPM costs'!P116)</f>
        <v>0</v>
      </c>
      <c r="AQ172" s="525"/>
      <c r="AR172" s="525">
        <f>'HIV-Key Info'!$E$66*('HPM costs'!Q113+'HPM costs'!Q116)</f>
        <v>0</v>
      </c>
      <c r="AS172" s="525"/>
      <c r="AT172" s="525">
        <f>'HIV-Key Info'!$E$66*('HPM costs'!R113+'HPM costs'!R116)</f>
        <v>0</v>
      </c>
      <c r="AU172" s="525"/>
      <c r="AV172" s="525">
        <f>'HIV-Key Info'!$E$66*('HPM costs'!S113+'HPM costs'!S116)</f>
        <v>0</v>
      </c>
      <c r="AW172" s="525"/>
      <c r="AX172" s="1154">
        <f t="shared" si="20"/>
        <v>0</v>
      </c>
      <c r="AY172" s="1154"/>
      <c r="AZ172" s="528"/>
      <c r="BA172" s="529"/>
      <c r="BB172" s="527"/>
      <c r="BC172" s="527">
        <v>0</v>
      </c>
      <c r="BD172" s="527">
        <v>0</v>
      </c>
      <c r="BE172" s="527">
        <v>0</v>
      </c>
      <c r="BF172" s="527">
        <v>0</v>
      </c>
      <c r="BG172" s="527">
        <v>0</v>
      </c>
      <c r="BH172" s="527">
        <v>0</v>
      </c>
      <c r="BI172" s="527">
        <v>0</v>
      </c>
      <c r="BJ172" s="527">
        <v>0</v>
      </c>
      <c r="BK172" s="1154">
        <f t="shared" si="21"/>
        <v>0</v>
      </c>
      <c r="BL172" s="1154"/>
      <c r="BM172" s="1154">
        <f t="shared" si="22"/>
        <v>0</v>
      </c>
      <c r="BN172" s="1154">
        <f t="shared" si="23"/>
        <v>0</v>
      </c>
      <c r="BO172" s="527"/>
      <c r="BP172" s="527"/>
      <c r="BQ172" s="1157" t="s">
        <v>2550</v>
      </c>
      <c r="BR172" s="1157" t="s">
        <v>690</v>
      </c>
      <c r="BS172" s="1157" t="s">
        <v>527</v>
      </c>
      <c r="BT172" s="1376" t="s">
        <v>1483</v>
      </c>
    </row>
    <row r="173" spans="1:72" s="1371" customFormat="1" ht="13">
      <c r="A173" s="1204">
        <v>432</v>
      </c>
      <c r="B173" s="1205" t="s">
        <v>652</v>
      </c>
      <c r="C173" s="1205" t="s">
        <v>661</v>
      </c>
      <c r="D173" s="1206" t="s">
        <v>2506</v>
      </c>
      <c r="E173" s="1386" t="s">
        <v>532</v>
      </c>
      <c r="F173" s="521"/>
      <c r="G173" s="522"/>
      <c r="H173" s="522"/>
      <c r="I173" s="522"/>
      <c r="J173" s="523"/>
      <c r="K173" s="523"/>
      <c r="L173" s="523"/>
      <c r="M173" s="524"/>
      <c r="N173" s="525"/>
      <c r="O173" s="526" t="s">
        <v>1237</v>
      </c>
      <c r="P173" s="525">
        <f>'HIV-Key Info'!$E$66*('HPM costs'!F373+'HPM costs'!F376)</f>
        <v>0</v>
      </c>
      <c r="Q173" s="525" t="s">
        <v>1237</v>
      </c>
      <c r="R173" s="525">
        <f>'HIV-Key Info'!$E$66*('HPM costs'!G373+'HPM costs'!G376)</f>
        <v>0</v>
      </c>
      <c r="S173" s="525" t="s">
        <v>1237</v>
      </c>
      <c r="T173" s="525">
        <f>'HIV-Key Info'!$E$66*('HPM costs'!H373+'HPM costs'!H376)</f>
        <v>0</v>
      </c>
      <c r="U173" s="525" t="s">
        <v>1237</v>
      </c>
      <c r="V173" s="525">
        <f>'HIV-Key Info'!$E$66*('HPM costs'!I373+'HPM costs'!I376)</f>
        <v>0</v>
      </c>
      <c r="W173" s="525"/>
      <c r="X173" s="1154">
        <f t="shared" si="18"/>
        <v>0</v>
      </c>
      <c r="Y173" s="1155"/>
      <c r="Z173" s="1156"/>
      <c r="AA173" s="529"/>
      <c r="AB173" s="525"/>
      <c r="AC173" s="525">
        <f>'HIV-Key Info'!$E$66*('HPM costs'!K373+'HPM costs'!K376)</f>
        <v>0</v>
      </c>
      <c r="AD173" s="525"/>
      <c r="AE173" s="525">
        <f>'HIV-Key Info'!$E$66*('HPM costs'!L373+'HPM costs'!L376)</f>
        <v>0</v>
      </c>
      <c r="AF173" s="525"/>
      <c r="AG173" s="525">
        <f>'HIV-Key Info'!$E$66*('HPM costs'!M373+'HPM costs'!M376)</f>
        <v>0</v>
      </c>
      <c r="AH173" s="525"/>
      <c r="AI173" s="525">
        <f>'HIV-Key Info'!$E$66*('HPM costs'!N373+'HPM costs'!N376)</f>
        <v>0</v>
      </c>
      <c r="AJ173" s="525"/>
      <c r="AK173" s="1154">
        <f t="shared" si="19"/>
        <v>0</v>
      </c>
      <c r="AL173" s="1155"/>
      <c r="AM173" s="1156"/>
      <c r="AN173" s="529"/>
      <c r="AO173" s="525"/>
      <c r="AP173" s="525">
        <f>'HIV-Key Info'!$E$66*('HPM costs'!P373+'HPM costs'!P376)</f>
        <v>0</v>
      </c>
      <c r="AQ173" s="525"/>
      <c r="AR173" s="525">
        <f>'HIV-Key Info'!$E$66*('HPM costs'!Q373+'HPM costs'!Q376)</f>
        <v>0</v>
      </c>
      <c r="AS173" s="525"/>
      <c r="AT173" s="525">
        <f>'HIV-Key Info'!$E$66*('HPM costs'!R373+'HPM costs'!R376)</f>
        <v>0</v>
      </c>
      <c r="AU173" s="525"/>
      <c r="AV173" s="525">
        <f>'HIV-Key Info'!$E$66*('HPM costs'!S373+'HPM costs'!S376)</f>
        <v>0</v>
      </c>
      <c r="AW173" s="525"/>
      <c r="AX173" s="1154">
        <f t="shared" si="20"/>
        <v>0</v>
      </c>
      <c r="AY173" s="1154"/>
      <c r="AZ173" s="528"/>
      <c r="BA173" s="529"/>
      <c r="BB173" s="527"/>
      <c r="BC173" s="527">
        <v>0</v>
      </c>
      <c r="BD173" s="527">
        <v>0</v>
      </c>
      <c r="BE173" s="527">
        <v>0</v>
      </c>
      <c r="BF173" s="527">
        <v>0</v>
      </c>
      <c r="BG173" s="527">
        <v>0</v>
      </c>
      <c r="BH173" s="527">
        <v>0</v>
      </c>
      <c r="BI173" s="527">
        <v>0</v>
      </c>
      <c r="BJ173" s="527">
        <v>0</v>
      </c>
      <c r="BK173" s="1154">
        <f t="shared" si="21"/>
        <v>0</v>
      </c>
      <c r="BL173" s="1154"/>
      <c r="BM173" s="1154">
        <f t="shared" si="22"/>
        <v>0</v>
      </c>
      <c r="BN173" s="1154">
        <f t="shared" si="23"/>
        <v>0</v>
      </c>
      <c r="BO173" s="527"/>
      <c r="BP173" s="527"/>
      <c r="BQ173" s="1157" t="s">
        <v>2550</v>
      </c>
      <c r="BR173" s="1157" t="s">
        <v>690</v>
      </c>
      <c r="BS173" s="1157" t="s">
        <v>527</v>
      </c>
      <c r="BT173" s="1376" t="s">
        <v>1484</v>
      </c>
    </row>
    <row r="174" spans="1:72" s="1371" customFormat="1" ht="13">
      <c r="A174" s="1204">
        <v>433</v>
      </c>
      <c r="B174" s="1205" t="s">
        <v>652</v>
      </c>
      <c r="C174" s="1205" t="s">
        <v>661</v>
      </c>
      <c r="D174" s="1206" t="s">
        <v>2506</v>
      </c>
      <c r="E174" s="1386" t="s">
        <v>534</v>
      </c>
      <c r="F174" s="521"/>
      <c r="G174" s="522"/>
      <c r="H174" s="522"/>
      <c r="I174" s="522"/>
      <c r="J174" s="523"/>
      <c r="K174" s="523"/>
      <c r="L174" s="523"/>
      <c r="M174" s="524"/>
      <c r="N174" s="525"/>
      <c r="O174" s="526" t="s">
        <v>1237</v>
      </c>
      <c r="P174" s="525">
        <f>'HIV-Key Info'!$E$66*('HPM costs'!F459+'HPM costs'!F462)</f>
        <v>0</v>
      </c>
      <c r="Q174" s="525" t="s">
        <v>1237</v>
      </c>
      <c r="R174" s="525">
        <f>'HIV-Key Info'!$E$66*('HPM costs'!G459+'HPM costs'!G462)</f>
        <v>0</v>
      </c>
      <c r="S174" s="525" t="s">
        <v>1237</v>
      </c>
      <c r="T174" s="525">
        <f>'HIV-Key Info'!$E$66*('HPM costs'!H459+'HPM costs'!H462)</f>
        <v>0</v>
      </c>
      <c r="U174" s="525" t="s">
        <v>1237</v>
      </c>
      <c r="V174" s="525">
        <f>'HIV-Key Info'!$E$66*('HPM costs'!I459+'HPM costs'!I462)</f>
        <v>0</v>
      </c>
      <c r="W174" s="525"/>
      <c r="X174" s="1154">
        <f t="shared" si="18"/>
        <v>0</v>
      </c>
      <c r="Y174" s="1155"/>
      <c r="Z174" s="1156"/>
      <c r="AA174" s="529"/>
      <c r="AB174" s="525"/>
      <c r="AC174" s="525">
        <f>'HIV-Key Info'!$E$66*('HPM costs'!K459+'HPM costs'!K462)</f>
        <v>0</v>
      </c>
      <c r="AD174" s="525"/>
      <c r="AE174" s="525">
        <f>'HIV-Key Info'!$E$66*('HPM costs'!L459+'HPM costs'!L462)</f>
        <v>0</v>
      </c>
      <c r="AF174" s="525"/>
      <c r="AG174" s="525">
        <f>'HIV-Key Info'!$E$66*('HPM costs'!M459+'HPM costs'!M462)</f>
        <v>0</v>
      </c>
      <c r="AH174" s="525"/>
      <c r="AI174" s="525">
        <f>'HIV-Key Info'!$E$66*('HPM costs'!N459+'HPM costs'!N462)</f>
        <v>0</v>
      </c>
      <c r="AJ174" s="525"/>
      <c r="AK174" s="1154">
        <f t="shared" si="19"/>
        <v>0</v>
      </c>
      <c r="AL174" s="1155"/>
      <c r="AM174" s="1156"/>
      <c r="AN174" s="529"/>
      <c r="AO174" s="525"/>
      <c r="AP174" s="525">
        <f>'HIV-Key Info'!$E$66*('HPM costs'!P459+'HPM costs'!P462)</f>
        <v>0</v>
      </c>
      <c r="AQ174" s="525"/>
      <c r="AR174" s="525">
        <f>'HIV-Key Info'!$E$66*('HPM costs'!Q459+'HPM costs'!Q462)</f>
        <v>0</v>
      </c>
      <c r="AS174" s="525"/>
      <c r="AT174" s="525">
        <f>'HIV-Key Info'!$E$66*('HPM costs'!R459+'HPM costs'!R462)</f>
        <v>0</v>
      </c>
      <c r="AU174" s="525"/>
      <c r="AV174" s="525">
        <f>'HIV-Key Info'!$E$66*('HPM costs'!S459+'HPM costs'!S462)</f>
        <v>0</v>
      </c>
      <c r="AW174" s="525"/>
      <c r="AX174" s="1154">
        <f t="shared" si="20"/>
        <v>0</v>
      </c>
      <c r="AY174" s="1154"/>
      <c r="AZ174" s="528"/>
      <c r="BA174" s="529"/>
      <c r="BB174" s="527"/>
      <c r="BC174" s="527">
        <v>0</v>
      </c>
      <c r="BD174" s="527">
        <v>0</v>
      </c>
      <c r="BE174" s="527">
        <v>0</v>
      </c>
      <c r="BF174" s="527">
        <v>0</v>
      </c>
      <c r="BG174" s="527">
        <v>0</v>
      </c>
      <c r="BH174" s="527">
        <v>0</v>
      </c>
      <c r="BI174" s="527">
        <v>0</v>
      </c>
      <c r="BJ174" s="527">
        <v>0</v>
      </c>
      <c r="BK174" s="1154">
        <f t="shared" si="21"/>
        <v>0</v>
      </c>
      <c r="BL174" s="1154"/>
      <c r="BM174" s="1154">
        <f t="shared" si="22"/>
        <v>0</v>
      </c>
      <c r="BN174" s="1154">
        <f t="shared" si="23"/>
        <v>0</v>
      </c>
      <c r="BO174" s="527"/>
      <c r="BP174" s="527"/>
      <c r="BQ174" s="1157" t="s">
        <v>2550</v>
      </c>
      <c r="BR174" s="1157" t="s">
        <v>690</v>
      </c>
      <c r="BS174" s="1157" t="s">
        <v>527</v>
      </c>
      <c r="BT174" s="1376" t="s">
        <v>1485</v>
      </c>
    </row>
    <row r="175" spans="1:72" s="1371" customFormat="1" ht="13">
      <c r="A175" s="1204">
        <v>434</v>
      </c>
      <c r="B175" s="1205" t="s">
        <v>652</v>
      </c>
      <c r="C175" s="1205" t="s">
        <v>661</v>
      </c>
      <c r="D175" s="1206" t="s">
        <v>2506</v>
      </c>
      <c r="E175" s="1386" t="s">
        <v>536</v>
      </c>
      <c r="F175" s="521"/>
      <c r="G175" s="522"/>
      <c r="H175" s="522"/>
      <c r="I175" s="522"/>
      <c r="J175" s="523"/>
      <c r="K175" s="523"/>
      <c r="L175" s="523"/>
      <c r="M175" s="524"/>
      <c r="N175" s="525"/>
      <c r="O175" s="526" t="s">
        <v>1237</v>
      </c>
      <c r="P175" s="525">
        <f>'HIV-Key Info'!$E$66*('HPM costs'!F199+'HPM costs'!F202+'HPM costs'!F545+'HPM costs'!F548)</f>
        <v>0</v>
      </c>
      <c r="Q175" s="525" t="s">
        <v>1237</v>
      </c>
      <c r="R175" s="525">
        <f>'HIV-Key Info'!$E$66*('HPM costs'!G199+'HPM costs'!G202+'HPM costs'!G545+'HPM costs'!G548)</f>
        <v>0</v>
      </c>
      <c r="S175" s="525" t="s">
        <v>1237</v>
      </c>
      <c r="T175" s="525">
        <f>'HIV-Key Info'!$E$66*('HPM costs'!H199+'HPM costs'!H202+'HPM costs'!H545+'HPM costs'!H548)</f>
        <v>0</v>
      </c>
      <c r="U175" s="525" t="s">
        <v>1237</v>
      </c>
      <c r="V175" s="525">
        <f>'HIV-Key Info'!$E$66*('HPM costs'!I199+'HPM costs'!I202+'HPM costs'!I545+'HPM costs'!I548)</f>
        <v>0</v>
      </c>
      <c r="W175" s="525"/>
      <c r="X175" s="1154">
        <f t="shared" si="18"/>
        <v>0</v>
      </c>
      <c r="Y175" s="1155"/>
      <c r="Z175" s="1156"/>
      <c r="AA175" s="529"/>
      <c r="AB175" s="525"/>
      <c r="AC175" s="525">
        <f>'HIV-Key Info'!$E$66*('HPM costs'!K199+'HPM costs'!K202+'HPM costs'!K545+'HPM costs'!K548)</f>
        <v>0</v>
      </c>
      <c r="AD175" s="525"/>
      <c r="AE175" s="525">
        <f>'HIV-Key Info'!$E$66*('HPM costs'!L199+'HPM costs'!L202+'HPM costs'!L545+'HPM costs'!L548)</f>
        <v>0</v>
      </c>
      <c r="AF175" s="525"/>
      <c r="AG175" s="525">
        <f>'HIV-Key Info'!$E$66*('HPM costs'!M199+'HPM costs'!M202+'HPM costs'!M545+'HPM costs'!M548)</f>
        <v>0</v>
      </c>
      <c r="AH175" s="525"/>
      <c r="AI175" s="525">
        <f>'HIV-Key Info'!$E$66*('HPM costs'!N199+'HPM costs'!N202+'HPM costs'!N545+'HPM costs'!N548)</f>
        <v>0</v>
      </c>
      <c r="AJ175" s="525"/>
      <c r="AK175" s="1154">
        <f t="shared" si="19"/>
        <v>0</v>
      </c>
      <c r="AL175" s="1155"/>
      <c r="AM175" s="1156"/>
      <c r="AN175" s="529"/>
      <c r="AO175" s="525"/>
      <c r="AP175" s="525">
        <f>'HIV-Key Info'!$E$66*('HPM costs'!P199+'HPM costs'!P202+'HPM costs'!P545+'HPM costs'!P548)</f>
        <v>0</v>
      </c>
      <c r="AQ175" s="525"/>
      <c r="AR175" s="525">
        <f>'HIV-Key Info'!$E$66*('HPM costs'!Q199+'HPM costs'!Q202+'HPM costs'!Q545+'HPM costs'!Q548)</f>
        <v>0</v>
      </c>
      <c r="AS175" s="525"/>
      <c r="AT175" s="525">
        <f>'HIV-Key Info'!$E$66*('HPM costs'!R199+'HPM costs'!R202+'HPM costs'!R545+'HPM costs'!R548)</f>
        <v>0</v>
      </c>
      <c r="AU175" s="525"/>
      <c r="AV175" s="525">
        <f>'HIV-Key Info'!$E$66*('HPM costs'!S199+'HPM costs'!S202+'HPM costs'!S545+'HPM costs'!S548)</f>
        <v>0</v>
      </c>
      <c r="AW175" s="525"/>
      <c r="AX175" s="1154">
        <f t="shared" si="20"/>
        <v>0</v>
      </c>
      <c r="AY175" s="1154"/>
      <c r="AZ175" s="528"/>
      <c r="BA175" s="529"/>
      <c r="BB175" s="527"/>
      <c r="BC175" s="527">
        <v>0</v>
      </c>
      <c r="BD175" s="527">
        <v>0</v>
      </c>
      <c r="BE175" s="527">
        <v>0</v>
      </c>
      <c r="BF175" s="527">
        <v>0</v>
      </c>
      <c r="BG175" s="527">
        <v>0</v>
      </c>
      <c r="BH175" s="527">
        <v>0</v>
      </c>
      <c r="BI175" s="527">
        <v>0</v>
      </c>
      <c r="BJ175" s="527">
        <v>0</v>
      </c>
      <c r="BK175" s="1154">
        <f t="shared" si="21"/>
        <v>0</v>
      </c>
      <c r="BL175" s="1154"/>
      <c r="BM175" s="1154">
        <f t="shared" si="22"/>
        <v>0</v>
      </c>
      <c r="BN175" s="1154">
        <f t="shared" si="23"/>
        <v>0</v>
      </c>
      <c r="BO175" s="527"/>
      <c r="BP175" s="527"/>
      <c r="BQ175" s="1157" t="s">
        <v>2550</v>
      </c>
      <c r="BR175" s="1157" t="s">
        <v>690</v>
      </c>
      <c r="BS175" s="1157" t="s">
        <v>527</v>
      </c>
      <c r="BT175" s="1376" t="s">
        <v>1486</v>
      </c>
    </row>
    <row r="176" spans="1:72" s="1371" customFormat="1" ht="13">
      <c r="A176" s="1204">
        <v>435</v>
      </c>
      <c r="B176" s="1205" t="s">
        <v>652</v>
      </c>
      <c r="C176" s="1205" t="s">
        <v>661</v>
      </c>
      <c r="D176" s="1206" t="s">
        <v>2506</v>
      </c>
      <c r="E176" s="1386" t="s">
        <v>538</v>
      </c>
      <c r="F176" s="521"/>
      <c r="G176" s="522"/>
      <c r="H176" s="522"/>
      <c r="I176" s="522"/>
      <c r="J176" s="523"/>
      <c r="K176" s="523"/>
      <c r="L176" s="523"/>
      <c r="M176" s="524"/>
      <c r="N176" s="525"/>
      <c r="O176" s="526" t="s">
        <v>1237</v>
      </c>
      <c r="P176" s="525">
        <f>'HIV-Key Info'!$E$66*('HPM costs'!F285+'HPM costs'!F288)</f>
        <v>0</v>
      </c>
      <c r="Q176" s="525" t="s">
        <v>1237</v>
      </c>
      <c r="R176" s="525">
        <f>'HIV-Key Info'!$E$66*('HPM costs'!G285+'HPM costs'!G288)</f>
        <v>0</v>
      </c>
      <c r="S176" s="525" t="s">
        <v>1237</v>
      </c>
      <c r="T176" s="525">
        <f>'HIV-Key Info'!$E$66*('HPM costs'!H285+'HPM costs'!H288)</f>
        <v>0</v>
      </c>
      <c r="U176" s="525" t="s">
        <v>1237</v>
      </c>
      <c r="V176" s="525">
        <f>'HIV-Key Info'!$E$66*('HPM costs'!I285+'HPM costs'!I288)</f>
        <v>0</v>
      </c>
      <c r="W176" s="525"/>
      <c r="X176" s="1154">
        <f t="shared" si="18"/>
        <v>0</v>
      </c>
      <c r="Y176" s="1155"/>
      <c r="Z176" s="1156"/>
      <c r="AA176" s="529"/>
      <c r="AB176" s="525"/>
      <c r="AC176" s="525">
        <f>'HIV-Key Info'!$E$66*('HPM costs'!K285+'HPM costs'!K288)</f>
        <v>0</v>
      </c>
      <c r="AD176" s="525"/>
      <c r="AE176" s="525">
        <f>'HIV-Key Info'!$E$66*('HPM costs'!L285+'HPM costs'!L288)</f>
        <v>0</v>
      </c>
      <c r="AF176" s="525"/>
      <c r="AG176" s="525">
        <f>'HIV-Key Info'!$E$66*('HPM costs'!M285+'HPM costs'!M288)</f>
        <v>0</v>
      </c>
      <c r="AH176" s="525"/>
      <c r="AI176" s="525">
        <f>'HIV-Key Info'!$E$66*('HPM costs'!N285+'HPM costs'!N288)</f>
        <v>0</v>
      </c>
      <c r="AJ176" s="525"/>
      <c r="AK176" s="1154">
        <f t="shared" si="19"/>
        <v>0</v>
      </c>
      <c r="AL176" s="1155"/>
      <c r="AM176" s="1156"/>
      <c r="AN176" s="529"/>
      <c r="AO176" s="525"/>
      <c r="AP176" s="525">
        <f>'HIV-Key Info'!$E$66*('HPM costs'!P285+'HPM costs'!P288)</f>
        <v>0</v>
      </c>
      <c r="AQ176" s="525"/>
      <c r="AR176" s="525">
        <f>'HIV-Key Info'!$E$66*('HPM costs'!Q285+'HPM costs'!Q288)</f>
        <v>0</v>
      </c>
      <c r="AS176" s="525"/>
      <c r="AT176" s="525">
        <f>'HIV-Key Info'!$E$66*('HPM costs'!R285+'HPM costs'!R288)</f>
        <v>0</v>
      </c>
      <c r="AU176" s="525"/>
      <c r="AV176" s="525">
        <f>'HIV-Key Info'!$E$66*('HPM costs'!S285+'HPM costs'!S288)</f>
        <v>0</v>
      </c>
      <c r="AW176" s="525"/>
      <c r="AX176" s="1154">
        <f t="shared" si="20"/>
        <v>0</v>
      </c>
      <c r="AY176" s="1154"/>
      <c r="AZ176" s="528"/>
      <c r="BA176" s="529"/>
      <c r="BB176" s="527"/>
      <c r="BC176" s="527">
        <v>0</v>
      </c>
      <c r="BD176" s="527">
        <v>0</v>
      </c>
      <c r="BE176" s="527">
        <v>0</v>
      </c>
      <c r="BF176" s="527">
        <v>0</v>
      </c>
      <c r="BG176" s="527">
        <v>0</v>
      </c>
      <c r="BH176" s="527">
        <v>0</v>
      </c>
      <c r="BI176" s="527">
        <v>0</v>
      </c>
      <c r="BJ176" s="527">
        <v>0</v>
      </c>
      <c r="BK176" s="1154">
        <f t="shared" si="21"/>
        <v>0</v>
      </c>
      <c r="BL176" s="1154"/>
      <c r="BM176" s="1154">
        <f t="shared" si="22"/>
        <v>0</v>
      </c>
      <c r="BN176" s="1154">
        <f t="shared" si="23"/>
        <v>0</v>
      </c>
      <c r="BO176" s="527"/>
      <c r="BP176" s="527"/>
      <c r="BQ176" s="1157" t="s">
        <v>2550</v>
      </c>
      <c r="BR176" s="1157" t="s">
        <v>690</v>
      </c>
      <c r="BS176" s="1157" t="s">
        <v>527</v>
      </c>
      <c r="BT176" s="1376" t="s">
        <v>1487</v>
      </c>
    </row>
    <row r="177" spans="1:72" s="1371" customFormat="1" ht="13">
      <c r="A177" s="1204">
        <v>436</v>
      </c>
      <c r="B177" s="1205" t="s">
        <v>652</v>
      </c>
      <c r="C177" s="1205" t="s">
        <v>661</v>
      </c>
      <c r="D177" s="1206" t="s">
        <v>2506</v>
      </c>
      <c r="E177" s="1386" t="s">
        <v>540</v>
      </c>
      <c r="F177" s="521"/>
      <c r="G177" s="522"/>
      <c r="H177" s="522"/>
      <c r="I177" s="522"/>
      <c r="J177" s="523"/>
      <c r="K177" s="523"/>
      <c r="L177" s="523"/>
      <c r="M177" s="524"/>
      <c r="N177" s="525"/>
      <c r="O177" s="526" t="s">
        <v>1237</v>
      </c>
      <c r="P177" s="525">
        <f>'HIV-Key Info'!$E$66*('HPM costs'!F630+'HPM costs'!F633)</f>
        <v>0</v>
      </c>
      <c r="Q177" s="525" t="s">
        <v>1237</v>
      </c>
      <c r="R177" s="525">
        <f>'HIV-Key Info'!$E$66*('HPM costs'!G630+'HPM costs'!G633)</f>
        <v>0</v>
      </c>
      <c r="S177" s="525" t="s">
        <v>1237</v>
      </c>
      <c r="T177" s="525">
        <f>'HIV-Key Info'!$E$66*('HPM costs'!H630+'HPM costs'!H633)</f>
        <v>0</v>
      </c>
      <c r="U177" s="525" t="s">
        <v>1237</v>
      </c>
      <c r="V177" s="525">
        <f>'HIV-Key Info'!$E$66*('HPM costs'!I630+'HPM costs'!I633)</f>
        <v>0</v>
      </c>
      <c r="W177" s="525"/>
      <c r="X177" s="1154">
        <f t="shared" si="18"/>
        <v>0</v>
      </c>
      <c r="Y177" s="1155"/>
      <c r="Z177" s="1156"/>
      <c r="AA177" s="529"/>
      <c r="AB177" s="525"/>
      <c r="AC177" s="525">
        <f>'HIV-Key Info'!$E$66*('HPM costs'!K630+'HPM costs'!K633)</f>
        <v>0</v>
      </c>
      <c r="AD177" s="525"/>
      <c r="AE177" s="525">
        <f>'HIV-Key Info'!$E$66*('HPM costs'!L630+'HPM costs'!L633)</f>
        <v>0</v>
      </c>
      <c r="AF177" s="525"/>
      <c r="AG177" s="525">
        <f>'HIV-Key Info'!$E$66*('HPM costs'!M630+'HPM costs'!M633)</f>
        <v>0</v>
      </c>
      <c r="AH177" s="525"/>
      <c r="AI177" s="525">
        <f>'HIV-Key Info'!$E$66*('HPM costs'!N630+'HPM costs'!N633)</f>
        <v>0</v>
      </c>
      <c r="AJ177" s="525"/>
      <c r="AK177" s="1154">
        <f t="shared" si="19"/>
        <v>0</v>
      </c>
      <c r="AL177" s="1155"/>
      <c r="AM177" s="1156"/>
      <c r="AN177" s="529"/>
      <c r="AO177" s="525"/>
      <c r="AP177" s="525">
        <f>'HIV-Key Info'!$E$66*('HPM costs'!P630+'HPM costs'!P633)</f>
        <v>0</v>
      </c>
      <c r="AQ177" s="525"/>
      <c r="AR177" s="525">
        <f>'HIV-Key Info'!$E$66*('HPM costs'!Q630+'HPM costs'!Q633)</f>
        <v>0</v>
      </c>
      <c r="AS177" s="525"/>
      <c r="AT177" s="525">
        <f>'HIV-Key Info'!$E$66*('HPM costs'!R630+'HPM costs'!R633)</f>
        <v>0</v>
      </c>
      <c r="AU177" s="525"/>
      <c r="AV177" s="525">
        <f>'HIV-Key Info'!$E$66*('HPM costs'!S630+'HPM costs'!S633)</f>
        <v>0</v>
      </c>
      <c r="AW177" s="525"/>
      <c r="AX177" s="1154">
        <f t="shared" si="20"/>
        <v>0</v>
      </c>
      <c r="AY177" s="1154"/>
      <c r="AZ177" s="528"/>
      <c r="BA177" s="529"/>
      <c r="BB177" s="527"/>
      <c r="BC177" s="527">
        <v>0</v>
      </c>
      <c r="BD177" s="527">
        <v>0</v>
      </c>
      <c r="BE177" s="527">
        <v>0</v>
      </c>
      <c r="BF177" s="527">
        <v>0</v>
      </c>
      <c r="BG177" s="527">
        <v>0</v>
      </c>
      <c r="BH177" s="527">
        <v>0</v>
      </c>
      <c r="BI177" s="527">
        <v>0</v>
      </c>
      <c r="BJ177" s="527">
        <v>0</v>
      </c>
      <c r="BK177" s="1154">
        <f t="shared" si="21"/>
        <v>0</v>
      </c>
      <c r="BL177" s="1154"/>
      <c r="BM177" s="1154">
        <f t="shared" si="22"/>
        <v>0</v>
      </c>
      <c r="BN177" s="1154">
        <f t="shared" si="23"/>
        <v>0</v>
      </c>
      <c r="BO177" s="527"/>
      <c r="BP177" s="527"/>
      <c r="BQ177" s="1157" t="s">
        <v>2550</v>
      </c>
      <c r="BR177" s="1157" t="s">
        <v>690</v>
      </c>
      <c r="BS177" s="1157" t="s">
        <v>527</v>
      </c>
      <c r="BT177" s="1376" t="s">
        <v>1488</v>
      </c>
    </row>
    <row r="178" spans="1:72" s="1371" customFormat="1" ht="13">
      <c r="A178" s="1204">
        <v>480</v>
      </c>
      <c r="B178" s="1205" t="s">
        <v>652</v>
      </c>
      <c r="C178" s="1205" t="s">
        <v>661</v>
      </c>
      <c r="D178" s="1206" t="s">
        <v>2507</v>
      </c>
      <c r="E178" s="1386" t="s">
        <v>663</v>
      </c>
      <c r="F178" s="521"/>
      <c r="G178" s="522"/>
      <c r="H178" s="522"/>
      <c r="I178" s="522"/>
      <c r="J178" s="523"/>
      <c r="K178" s="523"/>
      <c r="L178" s="523"/>
      <c r="M178" s="524"/>
      <c r="N178" s="525"/>
      <c r="O178" s="526" t="s">
        <v>1237</v>
      </c>
      <c r="P178" s="525">
        <f>'HIV-Key Info'!$E$68*IFERROR(INDEX('HIV-Other HPs'!$AX$41:$BI$48,MATCH(5.2,'HIV-Other HPs'!$AW$41:$AW$48,0),MID(LEFT(P$1,SEARCH(" ",P$1)-1),2,3)-INDEX('HIV-Other HPs'!$AV$41:$AV$48,MATCH(5.2,'HIV-Other HPs'!$AW$41:$AW$48,0))),0)</f>
        <v>0</v>
      </c>
      <c r="Q178" s="525" t="s">
        <v>1237</v>
      </c>
      <c r="R178" s="525">
        <f>'HIV-Key Info'!$E$68*IFERROR(INDEX('HIV-Other HPs'!$AX$41:$BI$48,MATCH(5.2,'HIV-Other HPs'!$AW$41:$AW$48,0),MID(LEFT(R$1,SEARCH(" ",R$1)-1),2,3)-INDEX('HIV-Other HPs'!$AV$41:$AV$48,MATCH(5.2,'HIV-Other HPs'!$AW$41:$AW$48,0))),0)</f>
        <v>0</v>
      </c>
      <c r="S178" s="525" t="s">
        <v>1237</v>
      </c>
      <c r="T178" s="525">
        <f>'HIV-Key Info'!$E$68*IFERROR(INDEX('HIV-Other HPs'!$AX$41:$BI$48,MATCH(5.2,'HIV-Other HPs'!$AW$41:$AW$48,0),MID(LEFT(T$1,SEARCH(" ",T$1)-1),2,3)-INDEX('HIV-Other HPs'!$AV$41:$AV$48,MATCH(5.2,'HIV-Other HPs'!$AW$41:$AW$48,0))),0)</f>
        <v>0</v>
      </c>
      <c r="U178" s="525" t="s">
        <v>1237</v>
      </c>
      <c r="V178" s="525">
        <f>'HIV-Key Info'!$E$68*IFERROR(INDEX('HIV-Other HPs'!$AX$41:$BI$48,MATCH(5.2,'HIV-Other HPs'!$AW$41:$AW$48,0),MID(LEFT(V$1,SEARCH(" ",V$1)-1),2,3)-INDEX('HIV-Other HPs'!$AV$41:$AV$48,MATCH(5.2,'HIV-Other HPs'!$AW$41:$AW$48,0))),0)</f>
        <v>0</v>
      </c>
      <c r="W178" s="525"/>
      <c r="X178" s="1154">
        <f t="shared" si="18"/>
        <v>0</v>
      </c>
      <c r="Y178" s="1155"/>
      <c r="Z178" s="1156"/>
      <c r="AA178" s="529"/>
      <c r="AB178" s="525"/>
      <c r="AC178" s="525">
        <f>'HIV-Key Info'!$E$68*IFERROR(INDEX('HIV-Other HPs'!$AX$41:$BI$48,MATCH(5.2,'HIV-Other HPs'!$AW$41:$AW$48,0),MID(LEFT(AC$1,SEARCH(" ",AC$1)-1),2,3)-INDEX('HIV-Other HPs'!$AV$41:$AV$48,MATCH(5.2,'HIV-Other HPs'!$AW$41:$AW$48,0))),0)</f>
        <v>0</v>
      </c>
      <c r="AD178" s="525"/>
      <c r="AE178" s="525">
        <f>'HIV-Key Info'!$E$68*IFERROR(INDEX('HIV-Other HPs'!$AX$41:$BI$48,MATCH(5.2,'HIV-Other HPs'!$AW$41:$AW$48,0),MID(LEFT(AE$1,SEARCH(" ",AE$1)-1),2,3)-INDEX('HIV-Other HPs'!$AV$41:$AV$48,MATCH(5.2,'HIV-Other HPs'!$AW$41:$AW$48,0))),0)</f>
        <v>0</v>
      </c>
      <c r="AF178" s="525"/>
      <c r="AG178" s="525">
        <f>'HIV-Key Info'!$E$68*IFERROR(INDEX('HIV-Other HPs'!$AX$41:$BI$48,MATCH(5.2,'HIV-Other HPs'!$AW$41:$AW$48,0),MID(LEFT(AG$1,SEARCH(" ",AG$1)-1),2,3)-INDEX('HIV-Other HPs'!$AV$41:$AV$48,MATCH(5.2,'HIV-Other HPs'!$AW$41:$AW$48,0))),0)</f>
        <v>0</v>
      </c>
      <c r="AH178" s="525"/>
      <c r="AI178" s="525">
        <f>'HIV-Key Info'!$E$68*IFERROR(INDEX('HIV-Other HPs'!$AX$41:$BI$48,MATCH(5.2,'HIV-Other HPs'!$AW$41:$AW$48,0),MID(LEFT(AI$1,SEARCH(" ",AI$1)-1),2,3)-INDEX('HIV-Other HPs'!$AV$41:$AV$48,MATCH(5.2,'HIV-Other HPs'!$AW$41:$AW$48,0))),0)</f>
        <v>0</v>
      </c>
      <c r="AJ178" s="525"/>
      <c r="AK178" s="1154">
        <f t="shared" si="19"/>
        <v>0</v>
      </c>
      <c r="AL178" s="1155"/>
      <c r="AM178" s="1156"/>
      <c r="AN178" s="529"/>
      <c r="AO178" s="525"/>
      <c r="AP178" s="525">
        <f>'HIV-Key Info'!$E$68*IFERROR(INDEX('HIV-Other HPs'!$AX$41:$BI$48,MATCH(5.2,'HIV-Other HPs'!$AW$41:$AW$48,0),MID(LEFT(AP$1,SEARCH(" ",AP$1)-1),2,3)-INDEX('HIV-Other HPs'!$AV$41:$AV$48,MATCH(5.2,'HIV-Other HPs'!$AW$41:$AW$48,0))),0)</f>
        <v>0</v>
      </c>
      <c r="AQ178" s="525"/>
      <c r="AR178" s="525">
        <f>'HIV-Key Info'!$E$68*IFERROR(INDEX('HIV-Other HPs'!$AX$41:$BI$48,MATCH(5.2,'HIV-Other HPs'!$AW$41:$AW$48,0),MID(LEFT(AR$1,SEARCH(" ",AR$1)-1),2,3)-INDEX('HIV-Other HPs'!$AV$41:$AV$48,MATCH(5.2,'HIV-Other HPs'!$AW$41:$AW$48,0))),0)</f>
        <v>0</v>
      </c>
      <c r="AS178" s="525"/>
      <c r="AT178" s="525">
        <f>'HIV-Key Info'!$E$68*IFERROR(INDEX('HIV-Other HPs'!$AX$41:$BI$48,MATCH(5.2,'HIV-Other HPs'!$AW$41:$AW$48,0),MID(LEFT(AT$1,SEARCH(" ",AT$1)-1),2,3)-INDEX('HIV-Other HPs'!$AV$41:$AV$48,MATCH(5.2,'HIV-Other HPs'!$AW$41:$AW$48,0))),0)</f>
        <v>0</v>
      </c>
      <c r="AU178" s="525"/>
      <c r="AV178" s="525">
        <f>IFERROR('HIV-Key Info'!$E$68*(INDEX('HIV-Other HPs'!$BJ$41:$BJ$48,MATCH(5.2,'HIV-Other HPs'!$AW$41:$AW$48,0))-(SUM(X178,AK178,AP178,AR178,AT178)/'HIV-Key Info'!$E$68)),)</f>
        <v>0</v>
      </c>
      <c r="AW178" s="525"/>
      <c r="AX178" s="1154">
        <f t="shared" si="20"/>
        <v>0</v>
      </c>
      <c r="AY178" s="1154"/>
      <c r="AZ178" s="528"/>
      <c r="BA178" s="529"/>
      <c r="BB178" s="527"/>
      <c r="BC178" s="527">
        <v>0</v>
      </c>
      <c r="BD178" s="527">
        <v>0</v>
      </c>
      <c r="BE178" s="527">
        <v>0</v>
      </c>
      <c r="BF178" s="527">
        <v>0</v>
      </c>
      <c r="BG178" s="527">
        <v>0</v>
      </c>
      <c r="BH178" s="527">
        <v>0</v>
      </c>
      <c r="BI178" s="527">
        <v>0</v>
      </c>
      <c r="BJ178" s="527">
        <v>0</v>
      </c>
      <c r="BK178" s="1154">
        <f t="shared" si="21"/>
        <v>0</v>
      </c>
      <c r="BL178" s="1154"/>
      <c r="BM178" s="1154">
        <f t="shared" si="22"/>
        <v>0</v>
      </c>
      <c r="BN178" s="1154">
        <f t="shared" si="23"/>
        <v>0</v>
      </c>
      <c r="BO178" s="527"/>
      <c r="BP178" s="527"/>
      <c r="BQ178" s="1157" t="s">
        <v>91</v>
      </c>
      <c r="BR178" s="1157" t="s">
        <v>690</v>
      </c>
      <c r="BS178" s="1157" t="s">
        <v>662</v>
      </c>
      <c r="BT178" s="1376" t="s">
        <v>1489</v>
      </c>
    </row>
    <row r="179" spans="1:72" s="1371" customFormat="1" ht="13">
      <c r="A179" s="1204">
        <v>481</v>
      </c>
      <c r="B179" s="1205" t="s">
        <v>652</v>
      </c>
      <c r="C179" s="1205" t="s">
        <v>661</v>
      </c>
      <c r="D179" s="1206" t="s">
        <v>2507</v>
      </c>
      <c r="E179" s="1386" t="s">
        <v>665</v>
      </c>
      <c r="F179" s="521"/>
      <c r="G179" s="522"/>
      <c r="H179" s="522"/>
      <c r="I179" s="522"/>
      <c r="J179" s="523"/>
      <c r="K179" s="523"/>
      <c r="L179" s="523"/>
      <c r="M179" s="524"/>
      <c r="N179" s="525"/>
      <c r="O179" s="526" t="s">
        <v>1237</v>
      </c>
      <c r="P179" s="525">
        <f>'HIV-Key Info'!$F$68*IFERROR(INDEX('HIV-Other HPs'!$AX$41:$BI$48,MATCH(5.3,'HIV-Other HPs'!$AW$41:$AW$48,0),MID(LEFT(P$1,SEARCH(" ",P$1)-1),2,3)-INDEX('HIV-Other HPs'!$AV$41:$AV$48,MATCH(5.3,'HIV-Other HPs'!$AW$41:$AW$48,0))),0)</f>
        <v>0</v>
      </c>
      <c r="Q179" s="525" t="s">
        <v>1237</v>
      </c>
      <c r="R179" s="525">
        <f>'HIV-Key Info'!$F$68*IFERROR(INDEX('HIV-Other HPs'!$AX$41:$BI$48,MATCH(5.3,'HIV-Other HPs'!$AW$41:$AW$48,0),MID(LEFT(R$1,SEARCH(" ",R$1)-1),2,3)-INDEX('HIV-Other HPs'!$AV$41:$AV$48,MATCH(5.3,'HIV-Other HPs'!$AW$41:$AW$48,0))),0)</f>
        <v>0</v>
      </c>
      <c r="S179" s="525" t="s">
        <v>1237</v>
      </c>
      <c r="T179" s="525">
        <f>'HIV-Key Info'!$F$68*IFERROR(INDEX('HIV-Other HPs'!$AX$41:$BI$48,MATCH(5.3,'HIV-Other HPs'!$AW$41:$AW$48,0),MID(LEFT(T$1,SEARCH(" ",T$1)-1),2,3)-INDEX('HIV-Other HPs'!$AV$41:$AV$48,MATCH(5.3,'HIV-Other HPs'!$AW$41:$AW$48,0))),0)</f>
        <v>0</v>
      </c>
      <c r="U179" s="525" t="s">
        <v>1237</v>
      </c>
      <c r="V179" s="525">
        <f>'HIV-Key Info'!$F$68*IFERROR(INDEX('HIV-Other HPs'!$AX$41:$BI$48,MATCH(5.3,'HIV-Other HPs'!$AW$41:$AW$48,0),MID(LEFT(V$1,SEARCH(" ",V$1)-1),2,3)-INDEX('HIV-Other HPs'!$AV$41:$AV$48,MATCH(5.3,'HIV-Other HPs'!$AW$41:$AW$48,0))),0)</f>
        <v>0</v>
      </c>
      <c r="W179" s="525"/>
      <c r="X179" s="1154">
        <f t="shared" si="18"/>
        <v>0</v>
      </c>
      <c r="Y179" s="1155"/>
      <c r="Z179" s="1156"/>
      <c r="AA179" s="529"/>
      <c r="AB179" s="525"/>
      <c r="AC179" s="525">
        <f>'HIV-Key Info'!$F$68*IFERROR(INDEX('HIV-Other HPs'!$AX$41:$BI$48,MATCH(5.3,'HIV-Other HPs'!$AW$41:$AW$48,0),MID(LEFT(AC$1,SEARCH(" ",AC$1)-1),2,3)-INDEX('HIV-Other HPs'!$AV$41:$AV$48,MATCH(5.3,'HIV-Other HPs'!$AW$41:$AW$48,0))),0)</f>
        <v>0</v>
      </c>
      <c r="AD179" s="525"/>
      <c r="AE179" s="525">
        <f>'HIV-Key Info'!$F$68*IFERROR(INDEX('HIV-Other HPs'!$AX$41:$BI$48,MATCH(5.3,'HIV-Other HPs'!$AW$41:$AW$48,0),MID(LEFT(AE$1,SEARCH(" ",AE$1)-1),2,3)-INDEX('HIV-Other HPs'!$AV$41:$AV$48,MATCH(5.3,'HIV-Other HPs'!$AW$41:$AW$48,0))),0)</f>
        <v>0</v>
      </c>
      <c r="AF179" s="525"/>
      <c r="AG179" s="525">
        <f>'HIV-Key Info'!$F$68*IFERROR(INDEX('HIV-Other HPs'!$AX$41:$BI$48,MATCH(5.3,'HIV-Other HPs'!$AW$41:$AW$48,0),MID(LEFT(AG$1,SEARCH(" ",AG$1)-1),2,3)-INDEX('HIV-Other HPs'!$AV$41:$AV$48,MATCH(5.3,'HIV-Other HPs'!$AW$41:$AW$48,0))),0)</f>
        <v>0</v>
      </c>
      <c r="AH179" s="525"/>
      <c r="AI179" s="525">
        <f>'HIV-Key Info'!$F$68*IFERROR(INDEX('HIV-Other HPs'!$AX$41:$BI$48,MATCH(5.3,'HIV-Other HPs'!$AW$41:$AW$48,0),MID(LEFT(AI$1,SEARCH(" ",AI$1)-1),2,3)-INDEX('HIV-Other HPs'!$AV$41:$AV$48,MATCH(5.3,'HIV-Other HPs'!$AW$41:$AW$48,0))),0)</f>
        <v>0</v>
      </c>
      <c r="AJ179" s="525"/>
      <c r="AK179" s="1154">
        <f t="shared" si="19"/>
        <v>0</v>
      </c>
      <c r="AL179" s="1155"/>
      <c r="AM179" s="1156"/>
      <c r="AN179" s="529"/>
      <c r="AO179" s="525"/>
      <c r="AP179" s="525">
        <f>'HIV-Key Info'!$F$68*IFERROR(INDEX('HIV-Other HPs'!$AX$41:$BI$48,MATCH(5.3,'HIV-Other HPs'!$AW$41:$AW$48,0),MID(LEFT(AP$1,SEARCH(" ",AP$1)-1),2,3)-INDEX('HIV-Other HPs'!$AV$41:$AV$48,MATCH(5.3,'HIV-Other HPs'!$AW$41:$AW$48,0))),0)</f>
        <v>0</v>
      </c>
      <c r="AQ179" s="525"/>
      <c r="AR179" s="525">
        <f>'HIV-Key Info'!$F$68*IFERROR(INDEX('HIV-Other HPs'!$AX$41:$BI$48,MATCH(5.3,'HIV-Other HPs'!$AW$41:$AW$48,0),MID(LEFT(AR$1,SEARCH(" ",AR$1)-1),2,3)-INDEX('HIV-Other HPs'!$AV$41:$AV$48,MATCH(5.3,'HIV-Other HPs'!$AW$41:$AW$48,0))),0)</f>
        <v>0</v>
      </c>
      <c r="AS179" s="525"/>
      <c r="AT179" s="525">
        <f>'HIV-Key Info'!$F$68*IFERROR(INDEX('HIV-Other HPs'!$AX$41:$BI$48,MATCH(5.3,'HIV-Other HPs'!$AW$41:$AW$48,0),MID(LEFT(AT$1,SEARCH(" ",AT$1)-1),2,3)-INDEX('HIV-Other HPs'!$AV$41:$AV$48,MATCH(5.3,'HIV-Other HPs'!$AW$41:$AW$48,0))),0)</f>
        <v>0</v>
      </c>
      <c r="AU179" s="525"/>
      <c r="AV179" s="525">
        <f>IFERROR('HIV-Key Info'!$F$68*(INDEX('HIV-Other HPs'!$BJ$41:$BJ$48,MATCH(5.3,'HIV-Other HPs'!$AW$41:$AW$48,0))-(SUM(X179,AK179,AP179,AR179,AT179)/'HIV-Key Info'!$F$68)),)</f>
        <v>0</v>
      </c>
      <c r="AW179" s="525"/>
      <c r="AX179" s="1154">
        <f t="shared" si="20"/>
        <v>0</v>
      </c>
      <c r="AY179" s="1154"/>
      <c r="AZ179" s="528"/>
      <c r="BA179" s="529"/>
      <c r="BB179" s="527"/>
      <c r="BC179" s="527">
        <v>0</v>
      </c>
      <c r="BD179" s="527">
        <v>0</v>
      </c>
      <c r="BE179" s="527">
        <v>0</v>
      </c>
      <c r="BF179" s="527">
        <v>0</v>
      </c>
      <c r="BG179" s="527">
        <v>0</v>
      </c>
      <c r="BH179" s="527">
        <v>0</v>
      </c>
      <c r="BI179" s="527">
        <v>0</v>
      </c>
      <c r="BJ179" s="527">
        <v>0</v>
      </c>
      <c r="BK179" s="1154">
        <f t="shared" si="21"/>
        <v>0</v>
      </c>
      <c r="BL179" s="1154"/>
      <c r="BM179" s="1154">
        <f t="shared" si="22"/>
        <v>0</v>
      </c>
      <c r="BN179" s="1154">
        <f t="shared" si="23"/>
        <v>0</v>
      </c>
      <c r="BO179" s="527"/>
      <c r="BP179" s="527"/>
      <c r="BQ179" s="1157" t="s">
        <v>91</v>
      </c>
      <c r="BR179" s="1157" t="s">
        <v>690</v>
      </c>
      <c r="BS179" s="1157" t="s">
        <v>662</v>
      </c>
      <c r="BT179" s="1376" t="s">
        <v>1490</v>
      </c>
    </row>
    <row r="180" spans="1:72" s="1371" customFormat="1" ht="13">
      <c r="A180" s="1204">
        <v>482</v>
      </c>
      <c r="B180" s="1205" t="s">
        <v>652</v>
      </c>
      <c r="C180" s="1205" t="s">
        <v>661</v>
      </c>
      <c r="D180" s="1206" t="s">
        <v>2507</v>
      </c>
      <c r="E180" s="1386" t="s">
        <v>597</v>
      </c>
      <c r="F180" s="521"/>
      <c r="G180" s="522"/>
      <c r="H180" s="522"/>
      <c r="I180" s="522"/>
      <c r="J180" s="523"/>
      <c r="K180" s="523"/>
      <c r="L180" s="523"/>
      <c r="M180" s="524"/>
      <c r="N180" s="525"/>
      <c r="O180" s="526" t="s">
        <v>1237</v>
      </c>
      <c r="P180" s="525">
        <f>'HIV-Key Info'!$G$68*IFERROR(INDEX('HIV-Other HPs'!$AX$41:$BI$48,MATCH(5.8,'HIV-Other HPs'!$AW$41:$AW$48,0),MID(LEFT(P$1,SEARCH(" ",P$1)-1),2,3)-INDEX('HIV-Other HPs'!$AV$41:$AV$48,MATCH(5.8,'HIV-Other HPs'!$AW$41:$AW$48,0))),0)</f>
        <v>0</v>
      </c>
      <c r="Q180" s="525" t="s">
        <v>1237</v>
      </c>
      <c r="R180" s="525">
        <f>'HIV-Key Info'!$G$68*IFERROR(INDEX('HIV-Other HPs'!$AX$41:$BI$48,MATCH(5.8,'HIV-Other HPs'!$AW$41:$AW$48,0),MID(LEFT(R$1,SEARCH(" ",R$1)-1),2,3)-INDEX('HIV-Other HPs'!$AV$41:$AV$48,MATCH(5.8,'HIV-Other HPs'!$AW$41:$AW$48,0))),0)</f>
        <v>0</v>
      </c>
      <c r="S180" s="525" t="s">
        <v>1237</v>
      </c>
      <c r="T180" s="525">
        <f>'HIV-Key Info'!$G$68*IFERROR(INDEX('HIV-Other HPs'!$AX$41:$BI$48,MATCH(5.8,'HIV-Other HPs'!$AW$41:$AW$48,0),MID(LEFT(T$1,SEARCH(" ",T$1)-1),2,3)-INDEX('HIV-Other HPs'!$AV$41:$AV$48,MATCH(5.8,'HIV-Other HPs'!$AW$41:$AW$48,0))),0)</f>
        <v>0</v>
      </c>
      <c r="U180" s="525" t="s">
        <v>1237</v>
      </c>
      <c r="V180" s="525">
        <f>'HIV-Key Info'!$G$68*IFERROR(INDEX('HIV-Other HPs'!$AX$41:$BI$48,MATCH(5.8,'HIV-Other HPs'!$AW$41:$AW$48,0),MID(LEFT(V$1,SEARCH(" ",V$1)-1),2,3)-INDEX('HIV-Other HPs'!$AV$41:$AV$48,MATCH(5.8,'HIV-Other HPs'!$AW$41:$AW$48,0))),0)</f>
        <v>0</v>
      </c>
      <c r="W180" s="525"/>
      <c r="X180" s="1154">
        <f t="shared" si="18"/>
        <v>0</v>
      </c>
      <c r="Y180" s="1155"/>
      <c r="Z180" s="1156"/>
      <c r="AA180" s="529"/>
      <c r="AB180" s="525"/>
      <c r="AC180" s="525">
        <f>'HIV-Key Info'!$G$68*IFERROR(INDEX('HIV-Other HPs'!$AX$41:$BI$48,MATCH(5.8,'HIV-Other HPs'!$AW$41:$AW$48,0),MID(LEFT(AC$1,SEARCH(" ",AC$1)-1),2,3)-INDEX('HIV-Other HPs'!$AV$41:$AV$48,MATCH(5.8,'HIV-Other HPs'!$AW$41:$AW$48,0))),0)</f>
        <v>0</v>
      </c>
      <c r="AD180" s="525"/>
      <c r="AE180" s="525">
        <f>'HIV-Key Info'!$G$68*IFERROR(INDEX('HIV-Other HPs'!$AX$41:$BI$48,MATCH(5.8,'HIV-Other HPs'!$AW$41:$AW$48,0),MID(LEFT(AE$1,SEARCH(" ",AE$1)-1),2,3)-INDEX('HIV-Other HPs'!$AV$41:$AV$48,MATCH(5.8,'HIV-Other HPs'!$AW$41:$AW$48,0))),0)</f>
        <v>0</v>
      </c>
      <c r="AF180" s="525"/>
      <c r="AG180" s="525">
        <f>'HIV-Key Info'!$G$68*IFERROR(INDEX('HIV-Other HPs'!$AX$41:$BI$48,MATCH(5.8,'HIV-Other HPs'!$AW$41:$AW$48,0),MID(LEFT(AG$1,SEARCH(" ",AG$1)-1),2,3)-INDEX('HIV-Other HPs'!$AV$41:$AV$48,MATCH(5.8,'HIV-Other HPs'!$AW$41:$AW$48,0))),0)</f>
        <v>0</v>
      </c>
      <c r="AH180" s="525"/>
      <c r="AI180" s="525">
        <f>'HIV-Key Info'!$G$68*IFERROR(INDEX('HIV-Other HPs'!$AX$41:$BI$48,MATCH(5.8,'HIV-Other HPs'!$AW$41:$AW$48,0),MID(LEFT(AI$1,SEARCH(" ",AI$1)-1),2,3)-INDEX('HIV-Other HPs'!$AV$41:$AV$48,MATCH(5.8,'HIV-Other HPs'!$AW$41:$AW$48,0))),0)</f>
        <v>0</v>
      </c>
      <c r="AJ180" s="525"/>
      <c r="AK180" s="1154">
        <f t="shared" si="19"/>
        <v>0</v>
      </c>
      <c r="AL180" s="1155"/>
      <c r="AM180" s="1156"/>
      <c r="AN180" s="529"/>
      <c r="AO180" s="525"/>
      <c r="AP180" s="525">
        <f>'HIV-Key Info'!$G$68*IFERROR(INDEX('HIV-Other HPs'!$AX$41:$BI$48,MATCH(5.8,'HIV-Other HPs'!$AW$41:$AW$48,0),MID(LEFT(AP$1,SEARCH(" ",AP$1)-1),2,3)-INDEX('HIV-Other HPs'!$AV$41:$AV$48,MATCH(5.8,'HIV-Other HPs'!$AW$41:$AW$48,0))),0)</f>
        <v>0</v>
      </c>
      <c r="AQ180" s="525"/>
      <c r="AR180" s="525">
        <f>'HIV-Key Info'!$G$68*IFERROR(INDEX('HIV-Other HPs'!$AX$41:$BI$48,MATCH(5.8,'HIV-Other HPs'!$AW$41:$AW$48,0),MID(LEFT(AR$1,SEARCH(" ",AR$1)-1),2,3)-INDEX('HIV-Other HPs'!$AV$41:$AV$48,MATCH(5.8,'HIV-Other HPs'!$AW$41:$AW$48,0))),0)</f>
        <v>0</v>
      </c>
      <c r="AS180" s="525"/>
      <c r="AT180" s="525">
        <f>'HIV-Key Info'!$G$68*IFERROR(INDEX('HIV-Other HPs'!$AX$41:$BI$48,MATCH(5.8,'HIV-Other HPs'!$AW$41:$AW$48,0),MID(LEFT(AT$1,SEARCH(" ",AT$1)-1),2,3)-INDEX('HIV-Other HPs'!$AV$41:$AV$48,MATCH(5.8,'HIV-Other HPs'!$AW$41:$AW$48,0))),0)</f>
        <v>0</v>
      </c>
      <c r="AU180" s="525"/>
      <c r="AV180" s="525">
        <f>IFERROR('HIV-Key Info'!$G$68*(INDEX('HIV-Other HPs'!$BJ$41:$BJ$48,MATCH(5.8,'HIV-Other HPs'!$AW$41:$AW$48,0))-(SUM(X180,AK180,AP180,AR180,AT180)/'HIV-Key Info'!$G$68)),)</f>
        <v>0</v>
      </c>
      <c r="AW180" s="525"/>
      <c r="AX180" s="1154">
        <f t="shared" si="20"/>
        <v>0</v>
      </c>
      <c r="AY180" s="1154"/>
      <c r="AZ180" s="528"/>
      <c r="BA180" s="529"/>
      <c r="BB180" s="527"/>
      <c r="BC180" s="527">
        <v>0</v>
      </c>
      <c r="BD180" s="527">
        <v>0</v>
      </c>
      <c r="BE180" s="527">
        <v>0</v>
      </c>
      <c r="BF180" s="527">
        <v>0</v>
      </c>
      <c r="BG180" s="527">
        <v>0</v>
      </c>
      <c r="BH180" s="527">
        <v>0</v>
      </c>
      <c r="BI180" s="527">
        <v>0</v>
      </c>
      <c r="BJ180" s="527">
        <v>0</v>
      </c>
      <c r="BK180" s="1154">
        <f t="shared" si="21"/>
        <v>0</v>
      </c>
      <c r="BL180" s="1154"/>
      <c r="BM180" s="1154">
        <f t="shared" si="22"/>
        <v>0</v>
      </c>
      <c r="BN180" s="1154">
        <f t="shared" si="23"/>
        <v>0</v>
      </c>
      <c r="BO180" s="527"/>
      <c r="BP180" s="527"/>
      <c r="BQ180" s="1157" t="s">
        <v>91</v>
      </c>
      <c r="BR180" s="1157" t="s">
        <v>690</v>
      </c>
      <c r="BS180" s="1157" t="s">
        <v>662</v>
      </c>
      <c r="BT180" s="1376" t="s">
        <v>1491</v>
      </c>
    </row>
    <row r="181" spans="1:72" s="1371" customFormat="1" ht="13">
      <c r="A181" s="1204">
        <v>483</v>
      </c>
      <c r="B181" s="1205" t="s">
        <v>652</v>
      </c>
      <c r="C181" s="1205" t="s">
        <v>661</v>
      </c>
      <c r="D181" s="1206" t="s">
        <v>2508</v>
      </c>
      <c r="E181" s="1386" t="s">
        <v>528</v>
      </c>
      <c r="F181" s="521"/>
      <c r="G181" s="522"/>
      <c r="H181" s="522"/>
      <c r="I181" s="522"/>
      <c r="J181" s="523"/>
      <c r="K181" s="523"/>
      <c r="L181" s="523"/>
      <c r="M181" s="524"/>
      <c r="N181" s="525"/>
      <c r="O181" s="526" t="s">
        <v>1237</v>
      </c>
      <c r="P181" s="525">
        <f>'HIV-Key Info'!$E$68*('HPM costs'!F27+'HPM costs'!F30)</f>
        <v>0</v>
      </c>
      <c r="Q181" s="525" t="s">
        <v>1237</v>
      </c>
      <c r="R181" s="525">
        <f>'HIV-Key Info'!$E$68*('HPM costs'!G27+'HPM costs'!G30)</f>
        <v>0</v>
      </c>
      <c r="S181" s="525" t="s">
        <v>1237</v>
      </c>
      <c r="T181" s="525">
        <f>'HIV-Key Info'!$E$68*('HPM costs'!H27+'HPM costs'!H30)</f>
        <v>0</v>
      </c>
      <c r="U181" s="525" t="s">
        <v>1237</v>
      </c>
      <c r="V181" s="525">
        <f>'HIV-Key Info'!$E$68*('HPM costs'!I27+'HPM costs'!I30)</f>
        <v>0</v>
      </c>
      <c r="W181" s="525"/>
      <c r="X181" s="1154">
        <f t="shared" si="18"/>
        <v>0</v>
      </c>
      <c r="Y181" s="1155"/>
      <c r="Z181" s="1156"/>
      <c r="AA181" s="529"/>
      <c r="AB181" s="525"/>
      <c r="AC181" s="525">
        <f>'HIV-Key Info'!$E$68*('HPM costs'!K27+'HPM costs'!K30)</f>
        <v>0</v>
      </c>
      <c r="AD181" s="525"/>
      <c r="AE181" s="525">
        <f>'HIV-Key Info'!$E$68*('HPM costs'!L27+'HPM costs'!L30)</f>
        <v>0</v>
      </c>
      <c r="AF181" s="525"/>
      <c r="AG181" s="525">
        <f>'HIV-Key Info'!$E$68*('HPM costs'!M27+'HPM costs'!M30)</f>
        <v>0</v>
      </c>
      <c r="AH181" s="525"/>
      <c r="AI181" s="525">
        <f>'HIV-Key Info'!$E$68*('HPM costs'!N27+'HPM costs'!N30)</f>
        <v>0</v>
      </c>
      <c r="AJ181" s="525"/>
      <c r="AK181" s="1154">
        <f t="shared" si="19"/>
        <v>0</v>
      </c>
      <c r="AL181" s="1155"/>
      <c r="AM181" s="1156"/>
      <c r="AN181" s="529"/>
      <c r="AO181" s="525"/>
      <c r="AP181" s="525">
        <f>'HIV-Key Info'!$E$68*('HPM costs'!P27+'HPM costs'!P30)</f>
        <v>0</v>
      </c>
      <c r="AQ181" s="525"/>
      <c r="AR181" s="525">
        <f>'HIV-Key Info'!$E$68*('HPM costs'!Q27+'HPM costs'!Q30)</f>
        <v>0</v>
      </c>
      <c r="AS181" s="525"/>
      <c r="AT181" s="525">
        <f>'HIV-Key Info'!$E$68*('HPM costs'!R27+'HPM costs'!R30)</f>
        <v>0</v>
      </c>
      <c r="AU181" s="525"/>
      <c r="AV181" s="525">
        <f>'HIV-Key Info'!$E$68*('HPM costs'!S27+'HPM costs'!S30)</f>
        <v>0</v>
      </c>
      <c r="AW181" s="525"/>
      <c r="AX181" s="1154">
        <f t="shared" si="20"/>
        <v>0</v>
      </c>
      <c r="AY181" s="1154"/>
      <c r="AZ181" s="528"/>
      <c r="BA181" s="529"/>
      <c r="BB181" s="527"/>
      <c r="BC181" s="527">
        <v>0</v>
      </c>
      <c r="BD181" s="527">
        <v>0</v>
      </c>
      <c r="BE181" s="527">
        <v>0</v>
      </c>
      <c r="BF181" s="527">
        <v>0</v>
      </c>
      <c r="BG181" s="527">
        <v>0</v>
      </c>
      <c r="BH181" s="527">
        <v>0</v>
      </c>
      <c r="BI181" s="527">
        <v>0</v>
      </c>
      <c r="BJ181" s="527">
        <v>0</v>
      </c>
      <c r="BK181" s="1154">
        <f t="shared" si="21"/>
        <v>0</v>
      </c>
      <c r="BL181" s="1154"/>
      <c r="BM181" s="1154">
        <f t="shared" si="22"/>
        <v>0</v>
      </c>
      <c r="BN181" s="1154">
        <f t="shared" si="23"/>
        <v>0</v>
      </c>
      <c r="BO181" s="527"/>
      <c r="BP181" s="527"/>
      <c r="BQ181" s="1157" t="s">
        <v>91</v>
      </c>
      <c r="BR181" s="1157" t="s">
        <v>690</v>
      </c>
      <c r="BS181" s="1157" t="s">
        <v>527</v>
      </c>
      <c r="BT181" s="1376" t="s">
        <v>1492</v>
      </c>
    </row>
    <row r="182" spans="1:72" s="1371" customFormat="1" ht="13">
      <c r="A182" s="1204">
        <v>484</v>
      </c>
      <c r="B182" s="1205" t="s">
        <v>652</v>
      </c>
      <c r="C182" s="1205" t="s">
        <v>661</v>
      </c>
      <c r="D182" s="1206" t="s">
        <v>2508</v>
      </c>
      <c r="E182" s="1386" t="s">
        <v>530</v>
      </c>
      <c r="F182" s="521"/>
      <c r="G182" s="522"/>
      <c r="H182" s="522"/>
      <c r="I182" s="522"/>
      <c r="J182" s="523"/>
      <c r="K182" s="523"/>
      <c r="L182" s="523"/>
      <c r="M182" s="524"/>
      <c r="N182" s="525"/>
      <c r="O182" s="526" t="s">
        <v>1237</v>
      </c>
      <c r="P182" s="525">
        <f>'HIV-Key Info'!$E$68*('HPM costs'!F113+'HPM costs'!F116)</f>
        <v>0</v>
      </c>
      <c r="Q182" s="525" t="s">
        <v>1237</v>
      </c>
      <c r="R182" s="525">
        <f>'HIV-Key Info'!$E$68*('HPM costs'!G113+'HPM costs'!G116)</f>
        <v>0</v>
      </c>
      <c r="S182" s="525" t="s">
        <v>1237</v>
      </c>
      <c r="T182" s="525">
        <f>'HIV-Key Info'!$E$68*('HPM costs'!H113+'HPM costs'!H116)</f>
        <v>0</v>
      </c>
      <c r="U182" s="525" t="s">
        <v>1237</v>
      </c>
      <c r="V182" s="525">
        <f>'HIV-Key Info'!$E$68*('HPM costs'!I113+'HPM costs'!I116)</f>
        <v>0</v>
      </c>
      <c r="W182" s="525"/>
      <c r="X182" s="1154">
        <f t="shared" si="18"/>
        <v>0</v>
      </c>
      <c r="Y182" s="1155"/>
      <c r="Z182" s="1156"/>
      <c r="AA182" s="529"/>
      <c r="AB182" s="525"/>
      <c r="AC182" s="525">
        <f>'HIV-Key Info'!$E$68*('HPM costs'!K113+'HPM costs'!K116)</f>
        <v>0</v>
      </c>
      <c r="AD182" s="525"/>
      <c r="AE182" s="525">
        <f>'HIV-Key Info'!$E$68*('HPM costs'!L113+'HPM costs'!L116)</f>
        <v>0</v>
      </c>
      <c r="AF182" s="525"/>
      <c r="AG182" s="525">
        <f>'HIV-Key Info'!$E$68*('HPM costs'!M113+'HPM costs'!M116)</f>
        <v>0</v>
      </c>
      <c r="AH182" s="525"/>
      <c r="AI182" s="525">
        <f>'HIV-Key Info'!$E$68*('HPM costs'!N113+'HPM costs'!N116)</f>
        <v>0</v>
      </c>
      <c r="AJ182" s="525"/>
      <c r="AK182" s="1154">
        <f t="shared" si="19"/>
        <v>0</v>
      </c>
      <c r="AL182" s="1155"/>
      <c r="AM182" s="1156"/>
      <c r="AN182" s="529"/>
      <c r="AO182" s="525"/>
      <c r="AP182" s="525">
        <f>'HIV-Key Info'!$E$68*('HPM costs'!P113+'HPM costs'!P116)</f>
        <v>0</v>
      </c>
      <c r="AQ182" s="525"/>
      <c r="AR182" s="525">
        <f>'HIV-Key Info'!$E$68*('HPM costs'!Q113+'HPM costs'!Q116)</f>
        <v>0</v>
      </c>
      <c r="AS182" s="525"/>
      <c r="AT182" s="525">
        <f>'HIV-Key Info'!$E$68*('HPM costs'!R113+'HPM costs'!R116)</f>
        <v>0</v>
      </c>
      <c r="AU182" s="525"/>
      <c r="AV182" s="525">
        <f>'HIV-Key Info'!$E$68*('HPM costs'!S113+'HPM costs'!S116)</f>
        <v>0</v>
      </c>
      <c r="AW182" s="525"/>
      <c r="AX182" s="1154">
        <f t="shared" si="20"/>
        <v>0</v>
      </c>
      <c r="AY182" s="1154"/>
      <c r="AZ182" s="528"/>
      <c r="BA182" s="529"/>
      <c r="BB182" s="527"/>
      <c r="BC182" s="527">
        <v>0</v>
      </c>
      <c r="BD182" s="527">
        <v>0</v>
      </c>
      <c r="BE182" s="527">
        <v>0</v>
      </c>
      <c r="BF182" s="527">
        <v>0</v>
      </c>
      <c r="BG182" s="527">
        <v>0</v>
      </c>
      <c r="BH182" s="527">
        <v>0</v>
      </c>
      <c r="BI182" s="527">
        <v>0</v>
      </c>
      <c r="BJ182" s="527">
        <v>0</v>
      </c>
      <c r="BK182" s="1154">
        <f t="shared" si="21"/>
        <v>0</v>
      </c>
      <c r="BL182" s="1154"/>
      <c r="BM182" s="1154">
        <f t="shared" si="22"/>
        <v>0</v>
      </c>
      <c r="BN182" s="1154">
        <f t="shared" si="23"/>
        <v>0</v>
      </c>
      <c r="BO182" s="527"/>
      <c r="BP182" s="527"/>
      <c r="BQ182" s="1157" t="s">
        <v>91</v>
      </c>
      <c r="BR182" s="1157" t="s">
        <v>690</v>
      </c>
      <c r="BS182" s="1157" t="s">
        <v>527</v>
      </c>
      <c r="BT182" s="1376" t="s">
        <v>1493</v>
      </c>
    </row>
    <row r="183" spans="1:72" s="1371" customFormat="1" ht="13">
      <c r="A183" s="1204">
        <v>485</v>
      </c>
      <c r="B183" s="1205" t="s">
        <v>652</v>
      </c>
      <c r="C183" s="1205" t="s">
        <v>661</v>
      </c>
      <c r="D183" s="1206" t="s">
        <v>2508</v>
      </c>
      <c r="E183" s="1386" t="s">
        <v>532</v>
      </c>
      <c r="F183" s="521"/>
      <c r="G183" s="522"/>
      <c r="H183" s="522"/>
      <c r="I183" s="522"/>
      <c r="J183" s="523"/>
      <c r="K183" s="523"/>
      <c r="L183" s="523"/>
      <c r="M183" s="524"/>
      <c r="N183" s="525"/>
      <c r="O183" s="526" t="s">
        <v>1237</v>
      </c>
      <c r="P183" s="525">
        <f>'HIV-Key Info'!$E$68*('HPM costs'!F373+'HPM costs'!F376)</f>
        <v>0</v>
      </c>
      <c r="Q183" s="525" t="s">
        <v>1237</v>
      </c>
      <c r="R183" s="525">
        <f>'HIV-Key Info'!$E$68*('HPM costs'!G373+'HPM costs'!G376)</f>
        <v>0</v>
      </c>
      <c r="S183" s="525" t="s">
        <v>1237</v>
      </c>
      <c r="T183" s="525">
        <f>'HIV-Key Info'!$E$68*('HPM costs'!H373+'HPM costs'!H376)</f>
        <v>0</v>
      </c>
      <c r="U183" s="525" t="s">
        <v>1237</v>
      </c>
      <c r="V183" s="525">
        <f>'HIV-Key Info'!$E$68*('HPM costs'!I373+'HPM costs'!I376)</f>
        <v>0</v>
      </c>
      <c r="W183" s="525"/>
      <c r="X183" s="1154">
        <f t="shared" si="18"/>
        <v>0</v>
      </c>
      <c r="Y183" s="1155"/>
      <c r="Z183" s="1156"/>
      <c r="AA183" s="529"/>
      <c r="AB183" s="525"/>
      <c r="AC183" s="525">
        <f>'HIV-Key Info'!$E$68*('HPM costs'!K373+'HPM costs'!K376)</f>
        <v>0</v>
      </c>
      <c r="AD183" s="525"/>
      <c r="AE183" s="525">
        <f>'HIV-Key Info'!$E$68*('HPM costs'!L373+'HPM costs'!L376)</f>
        <v>0</v>
      </c>
      <c r="AF183" s="525"/>
      <c r="AG183" s="525">
        <f>'HIV-Key Info'!$E$68*('HPM costs'!M373+'HPM costs'!M376)</f>
        <v>0</v>
      </c>
      <c r="AH183" s="525"/>
      <c r="AI183" s="525">
        <f>'HIV-Key Info'!$E$68*('HPM costs'!N373+'HPM costs'!N376)</f>
        <v>0</v>
      </c>
      <c r="AJ183" s="525"/>
      <c r="AK183" s="1154">
        <f t="shared" si="19"/>
        <v>0</v>
      </c>
      <c r="AL183" s="1155"/>
      <c r="AM183" s="1156"/>
      <c r="AN183" s="529"/>
      <c r="AO183" s="525"/>
      <c r="AP183" s="525">
        <f>'HIV-Key Info'!$E$68*('HPM costs'!P373+'HPM costs'!P376)</f>
        <v>0</v>
      </c>
      <c r="AQ183" s="525"/>
      <c r="AR183" s="525">
        <f>'HIV-Key Info'!$E$68*('HPM costs'!Q373+'HPM costs'!Q376)</f>
        <v>0</v>
      </c>
      <c r="AS183" s="525"/>
      <c r="AT183" s="525">
        <f>'HIV-Key Info'!$E$68*('HPM costs'!R373+'HPM costs'!R376)</f>
        <v>0</v>
      </c>
      <c r="AU183" s="525"/>
      <c r="AV183" s="525">
        <f>'HIV-Key Info'!$E$68*('HPM costs'!S373+'HPM costs'!S376)</f>
        <v>0</v>
      </c>
      <c r="AW183" s="525"/>
      <c r="AX183" s="1154">
        <f t="shared" si="20"/>
        <v>0</v>
      </c>
      <c r="AY183" s="1154"/>
      <c r="AZ183" s="528"/>
      <c r="BA183" s="529"/>
      <c r="BB183" s="527"/>
      <c r="BC183" s="527">
        <v>0</v>
      </c>
      <c r="BD183" s="527">
        <v>0</v>
      </c>
      <c r="BE183" s="527">
        <v>0</v>
      </c>
      <c r="BF183" s="527">
        <v>0</v>
      </c>
      <c r="BG183" s="527">
        <v>0</v>
      </c>
      <c r="BH183" s="527">
        <v>0</v>
      </c>
      <c r="BI183" s="527">
        <v>0</v>
      </c>
      <c r="BJ183" s="527">
        <v>0</v>
      </c>
      <c r="BK183" s="1154">
        <f t="shared" si="21"/>
        <v>0</v>
      </c>
      <c r="BL183" s="1154"/>
      <c r="BM183" s="1154">
        <f t="shared" si="22"/>
        <v>0</v>
      </c>
      <c r="BN183" s="1154">
        <f t="shared" si="23"/>
        <v>0</v>
      </c>
      <c r="BO183" s="527"/>
      <c r="BP183" s="527"/>
      <c r="BQ183" s="1157" t="s">
        <v>91</v>
      </c>
      <c r="BR183" s="1157" t="s">
        <v>690</v>
      </c>
      <c r="BS183" s="1157" t="s">
        <v>527</v>
      </c>
      <c r="BT183" s="1376" t="s">
        <v>1494</v>
      </c>
    </row>
    <row r="184" spans="1:72" s="1371" customFormat="1" ht="13">
      <c r="A184" s="1204">
        <v>486</v>
      </c>
      <c r="B184" s="1205" t="s">
        <v>652</v>
      </c>
      <c r="C184" s="1205" t="s">
        <v>661</v>
      </c>
      <c r="D184" s="1206" t="s">
        <v>2508</v>
      </c>
      <c r="E184" s="1386" t="s">
        <v>534</v>
      </c>
      <c r="F184" s="521"/>
      <c r="G184" s="522"/>
      <c r="H184" s="522"/>
      <c r="I184" s="522"/>
      <c r="J184" s="523"/>
      <c r="K184" s="523"/>
      <c r="L184" s="523"/>
      <c r="M184" s="524"/>
      <c r="N184" s="525"/>
      <c r="O184" s="526" t="s">
        <v>1237</v>
      </c>
      <c r="P184" s="525">
        <f>'HIV-Key Info'!$E$68*('HPM costs'!F459+'HPM costs'!F462)</f>
        <v>0</v>
      </c>
      <c r="Q184" s="525" t="s">
        <v>1237</v>
      </c>
      <c r="R184" s="525">
        <f>'HIV-Key Info'!$E$68*('HPM costs'!G459+'HPM costs'!G462)</f>
        <v>0</v>
      </c>
      <c r="S184" s="525" t="s">
        <v>1237</v>
      </c>
      <c r="T184" s="525">
        <f>'HIV-Key Info'!$E$68*('HPM costs'!H459+'HPM costs'!H462)</f>
        <v>0</v>
      </c>
      <c r="U184" s="525" t="s">
        <v>1237</v>
      </c>
      <c r="V184" s="525">
        <f>'HIV-Key Info'!$E$68*('HPM costs'!I459+'HPM costs'!I462)</f>
        <v>0</v>
      </c>
      <c r="W184" s="525"/>
      <c r="X184" s="1154">
        <f t="shared" si="18"/>
        <v>0</v>
      </c>
      <c r="Y184" s="1155"/>
      <c r="Z184" s="1156"/>
      <c r="AA184" s="529"/>
      <c r="AB184" s="525"/>
      <c r="AC184" s="525">
        <f>'HIV-Key Info'!$E$68*('HPM costs'!K459+'HPM costs'!K462)</f>
        <v>0</v>
      </c>
      <c r="AD184" s="525"/>
      <c r="AE184" s="525">
        <f>'HIV-Key Info'!$E$68*('HPM costs'!L459+'HPM costs'!L462)</f>
        <v>0</v>
      </c>
      <c r="AF184" s="525"/>
      <c r="AG184" s="525">
        <f>'HIV-Key Info'!$E$68*('HPM costs'!M459+'HPM costs'!M462)</f>
        <v>0</v>
      </c>
      <c r="AH184" s="525"/>
      <c r="AI184" s="525">
        <f>'HIV-Key Info'!$E$68*('HPM costs'!N459+'HPM costs'!N462)</f>
        <v>0</v>
      </c>
      <c r="AJ184" s="525"/>
      <c r="AK184" s="1154">
        <f t="shared" si="19"/>
        <v>0</v>
      </c>
      <c r="AL184" s="1155"/>
      <c r="AM184" s="1156"/>
      <c r="AN184" s="529"/>
      <c r="AO184" s="525"/>
      <c r="AP184" s="525">
        <f>'HIV-Key Info'!$E$68*('HPM costs'!P459+'HPM costs'!P462)</f>
        <v>0</v>
      </c>
      <c r="AQ184" s="525"/>
      <c r="AR184" s="525">
        <f>'HIV-Key Info'!$E$68*('HPM costs'!Q459+'HPM costs'!Q462)</f>
        <v>0</v>
      </c>
      <c r="AS184" s="525"/>
      <c r="AT184" s="525">
        <f>'HIV-Key Info'!$E$68*('HPM costs'!R459+'HPM costs'!R462)</f>
        <v>0</v>
      </c>
      <c r="AU184" s="525"/>
      <c r="AV184" s="525">
        <f>'HIV-Key Info'!$E$68*('HPM costs'!S459+'HPM costs'!S462)</f>
        <v>0</v>
      </c>
      <c r="AW184" s="525"/>
      <c r="AX184" s="1154">
        <f t="shared" si="20"/>
        <v>0</v>
      </c>
      <c r="AY184" s="1154"/>
      <c r="AZ184" s="528"/>
      <c r="BA184" s="529"/>
      <c r="BB184" s="527"/>
      <c r="BC184" s="527">
        <v>0</v>
      </c>
      <c r="BD184" s="527">
        <v>0</v>
      </c>
      <c r="BE184" s="527">
        <v>0</v>
      </c>
      <c r="BF184" s="527">
        <v>0</v>
      </c>
      <c r="BG184" s="527">
        <v>0</v>
      </c>
      <c r="BH184" s="527">
        <v>0</v>
      </c>
      <c r="BI184" s="527">
        <v>0</v>
      </c>
      <c r="BJ184" s="527">
        <v>0</v>
      </c>
      <c r="BK184" s="1154">
        <f t="shared" si="21"/>
        <v>0</v>
      </c>
      <c r="BL184" s="1154"/>
      <c r="BM184" s="1154">
        <f t="shared" si="22"/>
        <v>0</v>
      </c>
      <c r="BN184" s="1154">
        <f t="shared" si="23"/>
        <v>0</v>
      </c>
      <c r="BO184" s="527"/>
      <c r="BP184" s="527"/>
      <c r="BQ184" s="1157" t="s">
        <v>91</v>
      </c>
      <c r="BR184" s="1157" t="s">
        <v>690</v>
      </c>
      <c r="BS184" s="1157" t="s">
        <v>527</v>
      </c>
      <c r="BT184" s="1376" t="s">
        <v>1495</v>
      </c>
    </row>
    <row r="185" spans="1:72" s="1371" customFormat="1" ht="13">
      <c r="A185" s="1204">
        <v>487</v>
      </c>
      <c r="B185" s="1205" t="s">
        <v>652</v>
      </c>
      <c r="C185" s="1205" t="s">
        <v>661</v>
      </c>
      <c r="D185" s="1206" t="s">
        <v>2508</v>
      </c>
      <c r="E185" s="1386" t="s">
        <v>536</v>
      </c>
      <c r="F185" s="521"/>
      <c r="G185" s="522"/>
      <c r="H185" s="522"/>
      <c r="I185" s="522"/>
      <c r="J185" s="523"/>
      <c r="K185" s="523"/>
      <c r="L185" s="523"/>
      <c r="M185" s="524"/>
      <c r="N185" s="525"/>
      <c r="O185" s="526" t="s">
        <v>1237</v>
      </c>
      <c r="P185" s="525">
        <f>'HIV-Key Info'!$E$68*('HPM costs'!F199+'HPM costs'!F202+'HPM costs'!F545+'HPM costs'!F548)</f>
        <v>0</v>
      </c>
      <c r="Q185" s="525" t="s">
        <v>1237</v>
      </c>
      <c r="R185" s="525">
        <f>'HIV-Key Info'!$E$68*('HPM costs'!G199+'HPM costs'!G202+'HPM costs'!G545+'HPM costs'!G548)</f>
        <v>0</v>
      </c>
      <c r="S185" s="525" t="s">
        <v>1237</v>
      </c>
      <c r="T185" s="525">
        <f>'HIV-Key Info'!$E$68*('HPM costs'!H199+'HPM costs'!H202+'HPM costs'!H545+'HPM costs'!H548)</f>
        <v>0</v>
      </c>
      <c r="U185" s="525" t="s">
        <v>1237</v>
      </c>
      <c r="V185" s="525">
        <f>'HIV-Key Info'!$E$68*('HPM costs'!I199+'HPM costs'!I202+'HPM costs'!I545+'HPM costs'!I548)</f>
        <v>0</v>
      </c>
      <c r="W185" s="525"/>
      <c r="X185" s="1154">
        <f t="shared" si="18"/>
        <v>0</v>
      </c>
      <c r="Y185" s="1155"/>
      <c r="Z185" s="1156"/>
      <c r="AA185" s="529"/>
      <c r="AB185" s="525"/>
      <c r="AC185" s="525">
        <f>'HIV-Key Info'!$E$68*('HPM costs'!K199+'HPM costs'!K202+'HPM costs'!K545+'HPM costs'!K548)</f>
        <v>0</v>
      </c>
      <c r="AD185" s="525"/>
      <c r="AE185" s="525">
        <f>'HIV-Key Info'!$E$68*('HPM costs'!L199+'HPM costs'!L202+'HPM costs'!L545+'HPM costs'!L548)</f>
        <v>0</v>
      </c>
      <c r="AF185" s="525"/>
      <c r="AG185" s="525">
        <f>'HIV-Key Info'!$E$68*('HPM costs'!M199+'HPM costs'!M202+'HPM costs'!M545+'HPM costs'!M548)</f>
        <v>0</v>
      </c>
      <c r="AH185" s="525"/>
      <c r="AI185" s="525">
        <f>'HIV-Key Info'!$E$68*('HPM costs'!N199+'HPM costs'!N202+'HPM costs'!N545+'HPM costs'!N548)</f>
        <v>0</v>
      </c>
      <c r="AJ185" s="525"/>
      <c r="AK185" s="1154">
        <f t="shared" si="19"/>
        <v>0</v>
      </c>
      <c r="AL185" s="1155"/>
      <c r="AM185" s="1156"/>
      <c r="AN185" s="529"/>
      <c r="AO185" s="525"/>
      <c r="AP185" s="525">
        <f>'HIV-Key Info'!$E$68*('HPM costs'!P199+'HPM costs'!P202+'HPM costs'!P545+'HPM costs'!P548)</f>
        <v>0</v>
      </c>
      <c r="AQ185" s="525"/>
      <c r="AR185" s="525">
        <f>'HIV-Key Info'!$E$68*('HPM costs'!Q199+'HPM costs'!Q202+'HPM costs'!Q545+'HPM costs'!Q548)</f>
        <v>0</v>
      </c>
      <c r="AS185" s="525"/>
      <c r="AT185" s="525">
        <f>'HIV-Key Info'!$E$68*('HPM costs'!R199+'HPM costs'!R202+'HPM costs'!R545+'HPM costs'!R548)</f>
        <v>0</v>
      </c>
      <c r="AU185" s="525"/>
      <c r="AV185" s="525">
        <f>'HIV-Key Info'!$E$68*('HPM costs'!S199+'HPM costs'!S202+'HPM costs'!S545+'HPM costs'!S548)</f>
        <v>0</v>
      </c>
      <c r="AW185" s="525"/>
      <c r="AX185" s="1154">
        <f t="shared" si="20"/>
        <v>0</v>
      </c>
      <c r="AY185" s="1154"/>
      <c r="AZ185" s="528"/>
      <c r="BA185" s="529"/>
      <c r="BB185" s="527"/>
      <c r="BC185" s="527">
        <v>0</v>
      </c>
      <c r="BD185" s="527">
        <v>0</v>
      </c>
      <c r="BE185" s="527">
        <v>0</v>
      </c>
      <c r="BF185" s="527">
        <v>0</v>
      </c>
      <c r="BG185" s="527">
        <v>0</v>
      </c>
      <c r="BH185" s="527">
        <v>0</v>
      </c>
      <c r="BI185" s="527">
        <v>0</v>
      </c>
      <c r="BJ185" s="527">
        <v>0</v>
      </c>
      <c r="BK185" s="1154">
        <f t="shared" si="21"/>
        <v>0</v>
      </c>
      <c r="BL185" s="1154"/>
      <c r="BM185" s="1154">
        <f t="shared" si="22"/>
        <v>0</v>
      </c>
      <c r="BN185" s="1154">
        <f t="shared" si="23"/>
        <v>0</v>
      </c>
      <c r="BO185" s="527"/>
      <c r="BP185" s="527"/>
      <c r="BQ185" s="1157" t="s">
        <v>91</v>
      </c>
      <c r="BR185" s="1157" t="s">
        <v>690</v>
      </c>
      <c r="BS185" s="1157" t="s">
        <v>527</v>
      </c>
      <c r="BT185" s="1376" t="s">
        <v>1496</v>
      </c>
    </row>
    <row r="186" spans="1:72" s="1371" customFormat="1" ht="13">
      <c r="A186" s="1204">
        <v>488</v>
      </c>
      <c r="B186" s="1205" t="s">
        <v>652</v>
      </c>
      <c r="C186" s="1205" t="s">
        <v>661</v>
      </c>
      <c r="D186" s="1206" t="s">
        <v>2508</v>
      </c>
      <c r="E186" s="1386" t="s">
        <v>538</v>
      </c>
      <c r="F186" s="521"/>
      <c r="G186" s="522"/>
      <c r="H186" s="522"/>
      <c r="I186" s="522"/>
      <c r="J186" s="523"/>
      <c r="K186" s="523"/>
      <c r="L186" s="523"/>
      <c r="M186" s="524"/>
      <c r="N186" s="525"/>
      <c r="O186" s="526" t="s">
        <v>1237</v>
      </c>
      <c r="P186" s="525">
        <f>'HIV-Key Info'!$E$68*('HPM costs'!F285+'HPM costs'!F288)</f>
        <v>0</v>
      </c>
      <c r="Q186" s="525" t="s">
        <v>1237</v>
      </c>
      <c r="R186" s="525">
        <f>'HIV-Key Info'!$E$68*('HPM costs'!G285+'HPM costs'!G288)</f>
        <v>0</v>
      </c>
      <c r="S186" s="525" t="s">
        <v>1237</v>
      </c>
      <c r="T186" s="525">
        <f>'HIV-Key Info'!$E$68*('HPM costs'!H285+'HPM costs'!H288)</f>
        <v>0</v>
      </c>
      <c r="U186" s="525" t="s">
        <v>1237</v>
      </c>
      <c r="V186" s="525">
        <f>'HIV-Key Info'!$E$68*('HPM costs'!I285+'HPM costs'!I288)</f>
        <v>0</v>
      </c>
      <c r="W186" s="525"/>
      <c r="X186" s="1154">
        <f t="shared" si="18"/>
        <v>0</v>
      </c>
      <c r="Y186" s="1155"/>
      <c r="Z186" s="1156"/>
      <c r="AA186" s="529"/>
      <c r="AB186" s="525"/>
      <c r="AC186" s="525">
        <f>'HIV-Key Info'!$E$68*('HPM costs'!K285+'HPM costs'!K288)</f>
        <v>0</v>
      </c>
      <c r="AD186" s="525"/>
      <c r="AE186" s="525">
        <f>'HIV-Key Info'!$E$68*('HPM costs'!L285+'HPM costs'!L288)</f>
        <v>0</v>
      </c>
      <c r="AF186" s="525"/>
      <c r="AG186" s="525">
        <f>'HIV-Key Info'!$E$68*('HPM costs'!M285+'HPM costs'!M288)</f>
        <v>0</v>
      </c>
      <c r="AH186" s="525"/>
      <c r="AI186" s="525">
        <f>'HIV-Key Info'!$E$68*('HPM costs'!N285+'HPM costs'!N288)</f>
        <v>0</v>
      </c>
      <c r="AJ186" s="525"/>
      <c r="AK186" s="1154">
        <f t="shared" si="19"/>
        <v>0</v>
      </c>
      <c r="AL186" s="1155"/>
      <c r="AM186" s="1156"/>
      <c r="AN186" s="529"/>
      <c r="AO186" s="525"/>
      <c r="AP186" s="525">
        <f>'HIV-Key Info'!$E$68*('HPM costs'!P285+'HPM costs'!P288)</f>
        <v>0</v>
      </c>
      <c r="AQ186" s="525"/>
      <c r="AR186" s="525">
        <f>'HIV-Key Info'!$E$68*('HPM costs'!Q285+'HPM costs'!Q288)</f>
        <v>0</v>
      </c>
      <c r="AS186" s="525"/>
      <c r="AT186" s="525">
        <f>'HIV-Key Info'!$E$68*('HPM costs'!R285+'HPM costs'!R288)</f>
        <v>0</v>
      </c>
      <c r="AU186" s="525"/>
      <c r="AV186" s="525">
        <f>'HIV-Key Info'!$E$68*('HPM costs'!S285+'HPM costs'!S288)</f>
        <v>0</v>
      </c>
      <c r="AW186" s="525"/>
      <c r="AX186" s="1154">
        <f t="shared" si="20"/>
        <v>0</v>
      </c>
      <c r="AY186" s="1154"/>
      <c r="AZ186" s="528"/>
      <c r="BA186" s="529"/>
      <c r="BB186" s="527"/>
      <c r="BC186" s="527">
        <v>0</v>
      </c>
      <c r="BD186" s="527">
        <v>0</v>
      </c>
      <c r="BE186" s="527">
        <v>0</v>
      </c>
      <c r="BF186" s="527">
        <v>0</v>
      </c>
      <c r="BG186" s="527">
        <v>0</v>
      </c>
      <c r="BH186" s="527">
        <v>0</v>
      </c>
      <c r="BI186" s="527">
        <v>0</v>
      </c>
      <c r="BJ186" s="527">
        <v>0</v>
      </c>
      <c r="BK186" s="1154">
        <f t="shared" si="21"/>
        <v>0</v>
      </c>
      <c r="BL186" s="1154"/>
      <c r="BM186" s="1154">
        <f t="shared" si="22"/>
        <v>0</v>
      </c>
      <c r="BN186" s="1154">
        <f t="shared" si="23"/>
        <v>0</v>
      </c>
      <c r="BO186" s="527"/>
      <c r="BP186" s="527"/>
      <c r="BQ186" s="1157" t="s">
        <v>91</v>
      </c>
      <c r="BR186" s="1157" t="s">
        <v>690</v>
      </c>
      <c r="BS186" s="1157" t="s">
        <v>527</v>
      </c>
      <c r="BT186" s="1376" t="s">
        <v>1497</v>
      </c>
    </row>
    <row r="187" spans="1:72" s="1371" customFormat="1" ht="13">
      <c r="A187" s="1204">
        <v>489</v>
      </c>
      <c r="B187" s="1205" t="s">
        <v>652</v>
      </c>
      <c r="C187" s="1205" t="s">
        <v>661</v>
      </c>
      <c r="D187" s="1206" t="s">
        <v>2508</v>
      </c>
      <c r="E187" s="1386" t="s">
        <v>540</v>
      </c>
      <c r="F187" s="521"/>
      <c r="G187" s="522"/>
      <c r="H187" s="522"/>
      <c r="I187" s="522"/>
      <c r="J187" s="523"/>
      <c r="K187" s="523"/>
      <c r="L187" s="523"/>
      <c r="M187" s="524"/>
      <c r="N187" s="525"/>
      <c r="O187" s="526" t="s">
        <v>1237</v>
      </c>
      <c r="P187" s="525">
        <f>'HIV-Key Info'!$E$68*('HPM costs'!F630+'HPM costs'!F633)</f>
        <v>0</v>
      </c>
      <c r="Q187" s="525" t="s">
        <v>1237</v>
      </c>
      <c r="R187" s="525">
        <f>'HIV-Key Info'!$E$68*('HPM costs'!G630+'HPM costs'!G633)</f>
        <v>0</v>
      </c>
      <c r="S187" s="525" t="s">
        <v>1237</v>
      </c>
      <c r="T187" s="525">
        <f>'HIV-Key Info'!$E$68*('HPM costs'!H630+'HPM costs'!H633)</f>
        <v>0</v>
      </c>
      <c r="U187" s="525" t="s">
        <v>1237</v>
      </c>
      <c r="V187" s="525">
        <f>'HIV-Key Info'!$E$68*('HPM costs'!I630+'HPM costs'!I633)</f>
        <v>0</v>
      </c>
      <c r="W187" s="525"/>
      <c r="X187" s="1154">
        <f t="shared" si="18"/>
        <v>0</v>
      </c>
      <c r="Y187" s="1155"/>
      <c r="Z187" s="1156"/>
      <c r="AA187" s="529"/>
      <c r="AB187" s="525"/>
      <c r="AC187" s="525">
        <f>'HIV-Key Info'!$E$68*('HPM costs'!K630+'HPM costs'!K633)</f>
        <v>0</v>
      </c>
      <c r="AD187" s="525"/>
      <c r="AE187" s="525">
        <f>'HIV-Key Info'!$E$68*('HPM costs'!L630+'HPM costs'!L633)</f>
        <v>0</v>
      </c>
      <c r="AF187" s="525"/>
      <c r="AG187" s="525">
        <f>'HIV-Key Info'!$E$68*('HPM costs'!M630+'HPM costs'!M633)</f>
        <v>0</v>
      </c>
      <c r="AH187" s="525"/>
      <c r="AI187" s="525">
        <f>'HIV-Key Info'!$E$68*('HPM costs'!N630+'HPM costs'!N633)</f>
        <v>0</v>
      </c>
      <c r="AJ187" s="525"/>
      <c r="AK187" s="1154">
        <f t="shared" si="19"/>
        <v>0</v>
      </c>
      <c r="AL187" s="1155"/>
      <c r="AM187" s="1156"/>
      <c r="AN187" s="529"/>
      <c r="AO187" s="525"/>
      <c r="AP187" s="525">
        <f>'HIV-Key Info'!$E$68*('HPM costs'!P630+'HPM costs'!P633)</f>
        <v>0</v>
      </c>
      <c r="AQ187" s="525"/>
      <c r="AR187" s="525">
        <f>'HIV-Key Info'!$E$68*('HPM costs'!Q630+'HPM costs'!Q633)</f>
        <v>0</v>
      </c>
      <c r="AS187" s="525"/>
      <c r="AT187" s="525">
        <f>'HIV-Key Info'!$E$68*('HPM costs'!R630+'HPM costs'!R633)</f>
        <v>0</v>
      </c>
      <c r="AU187" s="525"/>
      <c r="AV187" s="525">
        <f>'HIV-Key Info'!$E$68*('HPM costs'!S630+'HPM costs'!S633)</f>
        <v>0</v>
      </c>
      <c r="AW187" s="525"/>
      <c r="AX187" s="1154">
        <f t="shared" si="20"/>
        <v>0</v>
      </c>
      <c r="AY187" s="1154"/>
      <c r="AZ187" s="528"/>
      <c r="BA187" s="529"/>
      <c r="BB187" s="527"/>
      <c r="BC187" s="527">
        <v>0</v>
      </c>
      <c r="BD187" s="527">
        <v>0</v>
      </c>
      <c r="BE187" s="527">
        <v>0</v>
      </c>
      <c r="BF187" s="527">
        <v>0</v>
      </c>
      <c r="BG187" s="527">
        <v>0</v>
      </c>
      <c r="BH187" s="527">
        <v>0</v>
      </c>
      <c r="BI187" s="527">
        <v>0</v>
      </c>
      <c r="BJ187" s="527">
        <v>0</v>
      </c>
      <c r="BK187" s="1154">
        <f t="shared" si="21"/>
        <v>0</v>
      </c>
      <c r="BL187" s="1154"/>
      <c r="BM187" s="1154">
        <f t="shared" si="22"/>
        <v>0</v>
      </c>
      <c r="BN187" s="1154">
        <f t="shared" si="23"/>
        <v>0</v>
      </c>
      <c r="BO187" s="527"/>
      <c r="BP187" s="527"/>
      <c r="BQ187" s="1157" t="s">
        <v>91</v>
      </c>
      <c r="BR187" s="1157" t="s">
        <v>690</v>
      </c>
      <c r="BS187" s="1157" t="s">
        <v>527</v>
      </c>
      <c r="BT187" s="1376" t="s">
        <v>1498</v>
      </c>
    </row>
    <row r="188" spans="1:72" s="1371" customFormat="1" ht="13">
      <c r="A188" s="1204">
        <v>533</v>
      </c>
      <c r="B188" s="1205" t="s">
        <v>652</v>
      </c>
      <c r="C188" s="1205" t="s">
        <v>661</v>
      </c>
      <c r="D188" s="1206" t="s">
        <v>2509</v>
      </c>
      <c r="E188" s="1386" t="s">
        <v>663</v>
      </c>
      <c r="F188" s="521"/>
      <c r="G188" s="522"/>
      <c r="H188" s="522"/>
      <c r="I188" s="522"/>
      <c r="J188" s="523"/>
      <c r="K188" s="523"/>
      <c r="L188" s="523"/>
      <c r="M188" s="524"/>
      <c r="N188" s="525"/>
      <c r="O188" s="526" t="s">
        <v>1237</v>
      </c>
      <c r="P188" s="525">
        <f>'HIV-Key Info'!$E$67*IFERROR(INDEX('HIV-Other HPs'!$AX$41:$BI$48,MATCH(5.2,'HIV-Other HPs'!$AW$41:$AW$48,0),MID(LEFT(P$1,SEARCH(" ",P$1)-1),2,3)-INDEX('HIV-Other HPs'!$AV$41:$AV$48,MATCH(5.2,'HIV-Other HPs'!$AW$41:$AW$48,0))),0)</f>
        <v>0</v>
      </c>
      <c r="Q188" s="525" t="s">
        <v>1237</v>
      </c>
      <c r="R188" s="525">
        <f>'HIV-Key Info'!$E$67*IFERROR(INDEX('HIV-Other HPs'!$AX$41:$BI$48,MATCH(5.2,'HIV-Other HPs'!$AW$41:$AW$48,0),MID(LEFT(R$1,SEARCH(" ",R$1)-1),2,3)-INDEX('HIV-Other HPs'!$AV$41:$AV$48,MATCH(5.2,'HIV-Other HPs'!$AW$41:$AW$48,0))),0)</f>
        <v>0</v>
      </c>
      <c r="S188" s="525" t="s">
        <v>1237</v>
      </c>
      <c r="T188" s="525">
        <f>'HIV-Key Info'!$E$67*IFERROR(INDEX('HIV-Other HPs'!$AX$41:$BI$48,MATCH(5.2,'HIV-Other HPs'!$AW$41:$AW$48,0),MID(LEFT(T$1,SEARCH(" ",T$1)-1),2,3)-INDEX('HIV-Other HPs'!$AV$41:$AV$48,MATCH(5.2,'HIV-Other HPs'!$AW$41:$AW$48,0))),0)</f>
        <v>0</v>
      </c>
      <c r="U188" s="525" t="s">
        <v>1237</v>
      </c>
      <c r="V188" s="525">
        <f>'HIV-Key Info'!$E$67*IFERROR(INDEX('HIV-Other HPs'!$AX$41:$BI$48,MATCH(5.2,'HIV-Other HPs'!$AW$41:$AW$48,0),MID(LEFT(V$1,SEARCH(" ",V$1)-1),2,3)-INDEX('HIV-Other HPs'!$AV$41:$AV$48,MATCH(5.2,'HIV-Other HPs'!$AW$41:$AW$48,0))),0)</f>
        <v>0</v>
      </c>
      <c r="W188" s="525"/>
      <c r="X188" s="1154">
        <f t="shared" si="18"/>
        <v>0</v>
      </c>
      <c r="Y188" s="1155"/>
      <c r="Z188" s="1156"/>
      <c r="AA188" s="529"/>
      <c r="AB188" s="525"/>
      <c r="AC188" s="525">
        <f>'HIV-Key Info'!$E$67*IFERROR(INDEX('HIV-Other HPs'!$AX$41:$BI$48,MATCH(5.2,'HIV-Other HPs'!$AW$41:$AW$48,0),MID(LEFT(AC$1,SEARCH(" ",AC$1)-1),2,3)-INDEX('HIV-Other HPs'!$AV$41:$AV$48,MATCH(5.2,'HIV-Other HPs'!$AW$41:$AW$48,0))),0)</f>
        <v>0</v>
      </c>
      <c r="AD188" s="525"/>
      <c r="AE188" s="525">
        <f>'HIV-Key Info'!$E$67*IFERROR(INDEX('HIV-Other HPs'!$AX$41:$BI$48,MATCH(5.2,'HIV-Other HPs'!$AW$41:$AW$48,0),MID(LEFT(AE$1,SEARCH(" ",AE$1)-1),2,3)-INDEX('HIV-Other HPs'!$AV$41:$AV$48,MATCH(5.2,'HIV-Other HPs'!$AW$41:$AW$48,0))),0)</f>
        <v>0</v>
      </c>
      <c r="AF188" s="525"/>
      <c r="AG188" s="525">
        <f>'HIV-Key Info'!$E$67*IFERROR(INDEX('HIV-Other HPs'!$AX$41:$BI$48,MATCH(5.2,'HIV-Other HPs'!$AW$41:$AW$48,0),MID(LEFT(AG$1,SEARCH(" ",AG$1)-1),2,3)-INDEX('HIV-Other HPs'!$AV$41:$AV$48,MATCH(5.2,'HIV-Other HPs'!$AW$41:$AW$48,0))),0)</f>
        <v>0</v>
      </c>
      <c r="AH188" s="525"/>
      <c r="AI188" s="525">
        <f>'HIV-Key Info'!$E$67*IFERROR(INDEX('HIV-Other HPs'!$AX$41:$BI$48,MATCH(5.2,'HIV-Other HPs'!$AW$41:$AW$48,0),MID(LEFT(AI$1,SEARCH(" ",AI$1)-1),2,3)-INDEX('HIV-Other HPs'!$AV$41:$AV$48,MATCH(5.2,'HIV-Other HPs'!$AW$41:$AW$48,0))),0)</f>
        <v>0</v>
      </c>
      <c r="AJ188" s="525"/>
      <c r="AK188" s="1154">
        <f t="shared" si="19"/>
        <v>0</v>
      </c>
      <c r="AL188" s="1155"/>
      <c r="AM188" s="1156"/>
      <c r="AN188" s="529"/>
      <c r="AO188" s="525"/>
      <c r="AP188" s="525">
        <f>'HIV-Key Info'!$E$67*IFERROR(INDEX('HIV-Other HPs'!$AX$41:$BI$48,MATCH(5.2,'HIV-Other HPs'!$AW$41:$AW$48,0),MID(LEFT(AP$1,SEARCH(" ",AP$1)-1),2,3)-INDEX('HIV-Other HPs'!$AV$41:$AV$48,MATCH(5.2,'HIV-Other HPs'!$AW$41:$AW$48,0))),0)</f>
        <v>0</v>
      </c>
      <c r="AQ188" s="525"/>
      <c r="AR188" s="525">
        <f>'HIV-Key Info'!$E$67*IFERROR(INDEX('HIV-Other HPs'!$AX$41:$BI$48,MATCH(5.2,'HIV-Other HPs'!$AW$41:$AW$48,0),MID(LEFT(AR$1,SEARCH(" ",AR$1)-1),2,3)-INDEX('HIV-Other HPs'!$AV$41:$AV$48,MATCH(5.2,'HIV-Other HPs'!$AW$41:$AW$48,0))),0)</f>
        <v>0</v>
      </c>
      <c r="AS188" s="525"/>
      <c r="AT188" s="525">
        <f>'HIV-Key Info'!$E$67*IFERROR(INDEX('HIV-Other HPs'!$AX$41:$BI$48,MATCH(5.2,'HIV-Other HPs'!$AW$41:$AW$48,0),MID(LEFT(AT$1,SEARCH(" ",AT$1)-1),2,3)-INDEX('HIV-Other HPs'!$AV$41:$AV$48,MATCH(5.2,'HIV-Other HPs'!$AW$41:$AW$48,0))),0)</f>
        <v>0</v>
      </c>
      <c r="AU188" s="525"/>
      <c r="AV188" s="525">
        <f>IFERROR('HIV-Key Info'!$E$67*(INDEX('HIV-Other HPs'!$BJ$41:$BJ$48,MATCH(5.2,'HIV-Other HPs'!$AW$41:$AW$48,0))-(SUM(X188,AK188,AP188,AR188,AT188)/'HIV-Key Info'!$E$67)),)</f>
        <v>0</v>
      </c>
      <c r="AW188" s="525"/>
      <c r="AX188" s="1154">
        <f t="shared" si="20"/>
        <v>0</v>
      </c>
      <c r="AY188" s="1154"/>
      <c r="AZ188" s="528"/>
      <c r="BA188" s="529"/>
      <c r="BB188" s="527"/>
      <c r="BC188" s="527">
        <v>0</v>
      </c>
      <c r="BD188" s="527">
        <v>0</v>
      </c>
      <c r="BE188" s="527">
        <v>0</v>
      </c>
      <c r="BF188" s="527">
        <v>0</v>
      </c>
      <c r="BG188" s="527">
        <v>0</v>
      </c>
      <c r="BH188" s="527">
        <v>0</v>
      </c>
      <c r="BI188" s="527">
        <v>0</v>
      </c>
      <c r="BJ188" s="527">
        <v>0</v>
      </c>
      <c r="BK188" s="1154">
        <f t="shared" si="21"/>
        <v>0</v>
      </c>
      <c r="BL188" s="1154"/>
      <c r="BM188" s="1154">
        <f t="shared" si="22"/>
        <v>0</v>
      </c>
      <c r="BN188" s="1154">
        <f t="shared" si="23"/>
        <v>0</v>
      </c>
      <c r="BO188" s="527"/>
      <c r="BP188" s="527"/>
      <c r="BQ188" s="1157" t="s">
        <v>2551</v>
      </c>
      <c r="BR188" s="1157" t="s">
        <v>690</v>
      </c>
      <c r="BS188" s="1157" t="s">
        <v>662</v>
      </c>
      <c r="BT188" s="1376" t="s">
        <v>1499</v>
      </c>
    </row>
    <row r="189" spans="1:72" s="1371" customFormat="1" ht="13">
      <c r="A189" s="1204">
        <v>534</v>
      </c>
      <c r="B189" s="1205" t="s">
        <v>652</v>
      </c>
      <c r="C189" s="1205" t="s">
        <v>661</v>
      </c>
      <c r="D189" s="1206" t="s">
        <v>2509</v>
      </c>
      <c r="E189" s="1386" t="s">
        <v>665</v>
      </c>
      <c r="F189" s="521"/>
      <c r="G189" s="522"/>
      <c r="H189" s="522"/>
      <c r="I189" s="522"/>
      <c r="J189" s="523"/>
      <c r="K189" s="523"/>
      <c r="L189" s="523"/>
      <c r="M189" s="524"/>
      <c r="N189" s="525"/>
      <c r="O189" s="526" t="s">
        <v>1237</v>
      </c>
      <c r="P189" s="525">
        <f>'HIV-Key Info'!$F$67*IFERROR(INDEX('HIV-Other HPs'!$AX$41:$BI$48,MATCH(5.3,'HIV-Other HPs'!$AW$41:$AW$48,0),MID(LEFT(P$1,SEARCH(" ",P$1)-1),2,3)-INDEX('HIV-Other HPs'!$AV$41:$AV$48,MATCH(5.3,'HIV-Other HPs'!$AW$41:$AW$48,0))),0)</f>
        <v>0</v>
      </c>
      <c r="Q189" s="525" t="s">
        <v>1237</v>
      </c>
      <c r="R189" s="525">
        <f>'HIV-Key Info'!$F$67*IFERROR(INDEX('HIV-Other HPs'!$AX$41:$BI$48,MATCH(5.3,'HIV-Other HPs'!$AW$41:$AW$48,0),MID(LEFT(R$1,SEARCH(" ",R$1)-1),2,3)-INDEX('HIV-Other HPs'!$AV$41:$AV$48,MATCH(5.3,'HIV-Other HPs'!$AW$41:$AW$48,0))),0)</f>
        <v>0</v>
      </c>
      <c r="S189" s="525" t="s">
        <v>1237</v>
      </c>
      <c r="T189" s="525">
        <f>'HIV-Key Info'!$F$67*IFERROR(INDEX('HIV-Other HPs'!$AX$41:$BI$48,MATCH(5.3,'HIV-Other HPs'!$AW$41:$AW$48,0),MID(LEFT(T$1,SEARCH(" ",T$1)-1),2,3)-INDEX('HIV-Other HPs'!$AV$41:$AV$48,MATCH(5.3,'HIV-Other HPs'!$AW$41:$AW$48,0))),0)</f>
        <v>0</v>
      </c>
      <c r="U189" s="525" t="s">
        <v>1237</v>
      </c>
      <c r="V189" s="525">
        <f>'HIV-Key Info'!$F$67*IFERROR(INDEX('HIV-Other HPs'!$AX$41:$BI$48,MATCH(5.3,'HIV-Other HPs'!$AW$41:$AW$48,0),MID(LEFT(V$1,SEARCH(" ",V$1)-1),2,3)-INDEX('HIV-Other HPs'!$AV$41:$AV$48,MATCH(5.3,'HIV-Other HPs'!$AW$41:$AW$48,0))),0)</f>
        <v>0</v>
      </c>
      <c r="W189" s="525"/>
      <c r="X189" s="1154">
        <f t="shared" si="18"/>
        <v>0</v>
      </c>
      <c r="Y189" s="1155"/>
      <c r="Z189" s="1156"/>
      <c r="AA189" s="529"/>
      <c r="AB189" s="525"/>
      <c r="AC189" s="525">
        <f>'HIV-Key Info'!$F$67*IFERROR(INDEX('HIV-Other HPs'!$AX$41:$BI$48,MATCH(5.3,'HIV-Other HPs'!$AW$41:$AW$48,0),MID(LEFT(AC$1,SEARCH(" ",AC$1)-1),2,3)-INDEX('HIV-Other HPs'!$AV$41:$AV$48,MATCH(5.3,'HIV-Other HPs'!$AW$41:$AW$48,0))),0)</f>
        <v>0</v>
      </c>
      <c r="AD189" s="525"/>
      <c r="AE189" s="525">
        <f>'HIV-Key Info'!$F$67*IFERROR(INDEX('HIV-Other HPs'!$AX$41:$BI$48,MATCH(5.3,'HIV-Other HPs'!$AW$41:$AW$48,0),MID(LEFT(AE$1,SEARCH(" ",AE$1)-1),2,3)-INDEX('HIV-Other HPs'!$AV$41:$AV$48,MATCH(5.3,'HIV-Other HPs'!$AW$41:$AW$48,0))),0)</f>
        <v>0</v>
      </c>
      <c r="AF189" s="525"/>
      <c r="AG189" s="525">
        <f>'HIV-Key Info'!$F$67*IFERROR(INDEX('HIV-Other HPs'!$AX$41:$BI$48,MATCH(5.3,'HIV-Other HPs'!$AW$41:$AW$48,0),MID(LEFT(AG$1,SEARCH(" ",AG$1)-1),2,3)-INDEX('HIV-Other HPs'!$AV$41:$AV$48,MATCH(5.3,'HIV-Other HPs'!$AW$41:$AW$48,0))),0)</f>
        <v>0</v>
      </c>
      <c r="AH189" s="525"/>
      <c r="AI189" s="525">
        <f>'HIV-Key Info'!$F$67*IFERROR(INDEX('HIV-Other HPs'!$AX$41:$BI$48,MATCH(5.3,'HIV-Other HPs'!$AW$41:$AW$48,0),MID(LEFT(AI$1,SEARCH(" ",AI$1)-1),2,3)-INDEX('HIV-Other HPs'!$AV$41:$AV$48,MATCH(5.3,'HIV-Other HPs'!$AW$41:$AW$48,0))),0)</f>
        <v>0</v>
      </c>
      <c r="AJ189" s="525"/>
      <c r="AK189" s="1154">
        <f t="shared" si="19"/>
        <v>0</v>
      </c>
      <c r="AL189" s="1155"/>
      <c r="AM189" s="1156"/>
      <c r="AN189" s="529"/>
      <c r="AO189" s="525"/>
      <c r="AP189" s="525">
        <f>'HIV-Key Info'!$F$67*IFERROR(INDEX('HIV-Other HPs'!$AX$41:$BI$48,MATCH(5.3,'HIV-Other HPs'!$AW$41:$AW$48,0),MID(LEFT(AP$1,SEARCH(" ",AP$1)-1),2,3)-INDEX('HIV-Other HPs'!$AV$41:$AV$48,MATCH(5.3,'HIV-Other HPs'!$AW$41:$AW$48,0))),0)</f>
        <v>0</v>
      </c>
      <c r="AQ189" s="525"/>
      <c r="AR189" s="525">
        <f>'HIV-Key Info'!$F$67*IFERROR(INDEX('HIV-Other HPs'!$AX$41:$BI$48,MATCH(5.3,'HIV-Other HPs'!$AW$41:$AW$48,0),MID(LEFT(AR$1,SEARCH(" ",AR$1)-1),2,3)-INDEX('HIV-Other HPs'!$AV$41:$AV$48,MATCH(5.3,'HIV-Other HPs'!$AW$41:$AW$48,0))),0)</f>
        <v>0</v>
      </c>
      <c r="AS189" s="525"/>
      <c r="AT189" s="525">
        <f>'HIV-Key Info'!$F$67*IFERROR(INDEX('HIV-Other HPs'!$AX$41:$BI$48,MATCH(5.3,'HIV-Other HPs'!$AW$41:$AW$48,0),MID(LEFT(AT$1,SEARCH(" ",AT$1)-1),2,3)-INDEX('HIV-Other HPs'!$AV$41:$AV$48,MATCH(5.3,'HIV-Other HPs'!$AW$41:$AW$48,0))),0)</f>
        <v>0</v>
      </c>
      <c r="AU189" s="525"/>
      <c r="AV189" s="525">
        <f>IFERROR('HIV-Key Info'!$F$67*(INDEX('HIV-Other HPs'!$BJ$41:$BJ$48,MATCH(5.3,'HIV-Other HPs'!$AW$41:$AW$48,0))-(SUM(X189,AK189,AP189,AR189,AT189)/'HIV-Key Info'!$F$67)),)</f>
        <v>0</v>
      </c>
      <c r="AW189" s="525"/>
      <c r="AX189" s="1154">
        <f t="shared" si="20"/>
        <v>0</v>
      </c>
      <c r="AY189" s="1154"/>
      <c r="AZ189" s="528"/>
      <c r="BA189" s="529"/>
      <c r="BB189" s="527"/>
      <c r="BC189" s="527">
        <v>0</v>
      </c>
      <c r="BD189" s="527">
        <v>0</v>
      </c>
      <c r="BE189" s="527">
        <v>0</v>
      </c>
      <c r="BF189" s="527">
        <v>0</v>
      </c>
      <c r="BG189" s="527">
        <v>0</v>
      </c>
      <c r="BH189" s="527">
        <v>0</v>
      </c>
      <c r="BI189" s="527">
        <v>0</v>
      </c>
      <c r="BJ189" s="527">
        <v>0</v>
      </c>
      <c r="BK189" s="1154">
        <f t="shared" si="21"/>
        <v>0</v>
      </c>
      <c r="BL189" s="1154"/>
      <c r="BM189" s="1154">
        <f t="shared" si="22"/>
        <v>0</v>
      </c>
      <c r="BN189" s="1154">
        <f t="shared" si="23"/>
        <v>0</v>
      </c>
      <c r="BO189" s="527"/>
      <c r="BP189" s="527"/>
      <c r="BQ189" s="1157" t="s">
        <v>2551</v>
      </c>
      <c r="BR189" s="1157" t="s">
        <v>690</v>
      </c>
      <c r="BS189" s="1157" t="s">
        <v>662</v>
      </c>
      <c r="BT189" s="1376" t="s">
        <v>1500</v>
      </c>
    </row>
    <row r="190" spans="1:72" s="1371" customFormat="1" ht="13">
      <c r="A190" s="1204">
        <v>535</v>
      </c>
      <c r="B190" s="1205" t="s">
        <v>652</v>
      </c>
      <c r="C190" s="1205" t="s">
        <v>661</v>
      </c>
      <c r="D190" s="1206" t="s">
        <v>2509</v>
      </c>
      <c r="E190" s="1386" t="s">
        <v>597</v>
      </c>
      <c r="F190" s="521"/>
      <c r="G190" s="522"/>
      <c r="H190" s="522"/>
      <c r="I190" s="522"/>
      <c r="J190" s="523"/>
      <c r="K190" s="523"/>
      <c r="L190" s="523"/>
      <c r="M190" s="524"/>
      <c r="N190" s="525"/>
      <c r="O190" s="526" t="s">
        <v>1237</v>
      </c>
      <c r="P190" s="525">
        <f>'HIV-Key Info'!$G$67*IFERROR(INDEX('HIV-Other HPs'!$AX$41:$BI$48,MATCH(5.8,'HIV-Other HPs'!$AW$41:$AW$48,0),MID(LEFT(P$1,SEARCH(" ",P$1)-1),2,3)-INDEX('HIV-Other HPs'!$AV$41:$AV$48,MATCH(5.8,'HIV-Other HPs'!$AW$41:$AW$48,0))),0)</f>
        <v>0</v>
      </c>
      <c r="Q190" s="525" t="s">
        <v>1237</v>
      </c>
      <c r="R190" s="525">
        <f>'HIV-Key Info'!$G$67*IFERROR(INDEX('HIV-Other HPs'!$AX$41:$BI$48,MATCH(5.8,'HIV-Other HPs'!$AW$41:$AW$48,0),MID(LEFT(R$1,SEARCH(" ",R$1)-1),2,3)-INDEX('HIV-Other HPs'!$AV$41:$AV$48,MATCH(5.8,'HIV-Other HPs'!$AW$41:$AW$48,0))),0)</f>
        <v>0</v>
      </c>
      <c r="S190" s="525" t="s">
        <v>1237</v>
      </c>
      <c r="T190" s="525">
        <f>'HIV-Key Info'!$G$67*IFERROR(INDEX('HIV-Other HPs'!$AX$41:$BI$48,MATCH(5.8,'HIV-Other HPs'!$AW$41:$AW$48,0),MID(LEFT(T$1,SEARCH(" ",T$1)-1),2,3)-INDEX('HIV-Other HPs'!$AV$41:$AV$48,MATCH(5.8,'HIV-Other HPs'!$AW$41:$AW$48,0))),0)</f>
        <v>0</v>
      </c>
      <c r="U190" s="525" t="s">
        <v>1237</v>
      </c>
      <c r="V190" s="525">
        <f>'HIV-Key Info'!$G$67*IFERROR(INDEX('HIV-Other HPs'!$AX$41:$BI$48,MATCH(5.8,'HIV-Other HPs'!$AW$41:$AW$48,0),MID(LEFT(V$1,SEARCH(" ",V$1)-1),2,3)-INDEX('HIV-Other HPs'!$AV$41:$AV$48,MATCH(5.8,'HIV-Other HPs'!$AW$41:$AW$48,0))),0)</f>
        <v>0</v>
      </c>
      <c r="W190" s="525"/>
      <c r="X190" s="1154">
        <f t="shared" si="18"/>
        <v>0</v>
      </c>
      <c r="Y190" s="1155"/>
      <c r="Z190" s="1156"/>
      <c r="AA190" s="529"/>
      <c r="AB190" s="525"/>
      <c r="AC190" s="525">
        <f>'HIV-Key Info'!$G$67*IFERROR(INDEX('HIV-Other HPs'!$AX$41:$BI$48,MATCH(5.8,'HIV-Other HPs'!$AW$41:$AW$48,0),MID(LEFT(AC$1,SEARCH(" ",AC$1)-1),2,3)-INDEX('HIV-Other HPs'!$AV$41:$AV$48,MATCH(5.8,'HIV-Other HPs'!$AW$41:$AW$48,0))),0)</f>
        <v>0</v>
      </c>
      <c r="AD190" s="525"/>
      <c r="AE190" s="525">
        <f>'HIV-Key Info'!$G$67*IFERROR(INDEX('HIV-Other HPs'!$AX$41:$BI$48,MATCH(5.8,'HIV-Other HPs'!$AW$41:$AW$48,0),MID(LEFT(AE$1,SEARCH(" ",AE$1)-1),2,3)-INDEX('HIV-Other HPs'!$AV$41:$AV$48,MATCH(5.8,'HIV-Other HPs'!$AW$41:$AW$48,0))),0)</f>
        <v>0</v>
      </c>
      <c r="AF190" s="525"/>
      <c r="AG190" s="525">
        <f>'HIV-Key Info'!$G$67*IFERROR(INDEX('HIV-Other HPs'!$AX$41:$BI$48,MATCH(5.8,'HIV-Other HPs'!$AW$41:$AW$48,0),MID(LEFT(AG$1,SEARCH(" ",AG$1)-1),2,3)-INDEX('HIV-Other HPs'!$AV$41:$AV$48,MATCH(5.8,'HIV-Other HPs'!$AW$41:$AW$48,0))),0)</f>
        <v>0</v>
      </c>
      <c r="AH190" s="525"/>
      <c r="AI190" s="525">
        <f>'HIV-Key Info'!$G$67*IFERROR(INDEX('HIV-Other HPs'!$AX$41:$BI$48,MATCH(5.8,'HIV-Other HPs'!$AW$41:$AW$48,0),MID(LEFT(AI$1,SEARCH(" ",AI$1)-1),2,3)-INDEX('HIV-Other HPs'!$AV$41:$AV$48,MATCH(5.8,'HIV-Other HPs'!$AW$41:$AW$48,0))),0)</f>
        <v>0</v>
      </c>
      <c r="AJ190" s="525"/>
      <c r="AK190" s="1154">
        <f t="shared" si="19"/>
        <v>0</v>
      </c>
      <c r="AL190" s="1155"/>
      <c r="AM190" s="1156"/>
      <c r="AN190" s="529"/>
      <c r="AO190" s="525"/>
      <c r="AP190" s="525">
        <f>'HIV-Key Info'!$G$67*IFERROR(INDEX('HIV-Other HPs'!$AX$41:$BI$48,MATCH(5.8,'HIV-Other HPs'!$AW$41:$AW$48,0),MID(LEFT(AP$1,SEARCH(" ",AP$1)-1),2,3)-INDEX('HIV-Other HPs'!$AV$41:$AV$48,MATCH(5.8,'HIV-Other HPs'!$AW$41:$AW$48,0))),0)</f>
        <v>0</v>
      </c>
      <c r="AQ190" s="525"/>
      <c r="AR190" s="525">
        <f>'HIV-Key Info'!$G$67*IFERROR(INDEX('HIV-Other HPs'!$AX$41:$BI$48,MATCH(5.8,'HIV-Other HPs'!$AW$41:$AW$48,0),MID(LEFT(AR$1,SEARCH(" ",AR$1)-1),2,3)-INDEX('HIV-Other HPs'!$AV$41:$AV$48,MATCH(5.8,'HIV-Other HPs'!$AW$41:$AW$48,0))),0)</f>
        <v>0</v>
      </c>
      <c r="AS190" s="525"/>
      <c r="AT190" s="525">
        <f>'HIV-Key Info'!$G$67*IFERROR(INDEX('HIV-Other HPs'!$AX$41:$BI$48,MATCH(5.8,'HIV-Other HPs'!$AW$41:$AW$48,0),MID(LEFT(AT$1,SEARCH(" ",AT$1)-1),2,3)-INDEX('HIV-Other HPs'!$AV$41:$AV$48,MATCH(5.8,'HIV-Other HPs'!$AW$41:$AW$48,0))),0)</f>
        <v>0</v>
      </c>
      <c r="AU190" s="525"/>
      <c r="AV190" s="525">
        <f>IFERROR('HIV-Key Info'!$G$67*(INDEX('HIV-Other HPs'!$BJ$41:$BJ$48,MATCH(5.8,'HIV-Other HPs'!$AW$41:$AW$48,0))-(SUM(X190,AK190,AP190,AR190,AT190)/'HIV-Key Info'!$G$67)),)</f>
        <v>0</v>
      </c>
      <c r="AW190" s="525"/>
      <c r="AX190" s="1154">
        <f t="shared" si="20"/>
        <v>0</v>
      </c>
      <c r="AY190" s="1154"/>
      <c r="AZ190" s="528"/>
      <c r="BA190" s="529"/>
      <c r="BB190" s="527"/>
      <c r="BC190" s="527">
        <v>0</v>
      </c>
      <c r="BD190" s="527">
        <v>0</v>
      </c>
      <c r="BE190" s="527">
        <v>0</v>
      </c>
      <c r="BF190" s="527">
        <v>0</v>
      </c>
      <c r="BG190" s="527">
        <v>0</v>
      </c>
      <c r="BH190" s="527">
        <v>0</v>
      </c>
      <c r="BI190" s="527">
        <v>0</v>
      </c>
      <c r="BJ190" s="527">
        <v>0</v>
      </c>
      <c r="BK190" s="1154">
        <f t="shared" si="21"/>
        <v>0</v>
      </c>
      <c r="BL190" s="1154"/>
      <c r="BM190" s="1154">
        <f t="shared" si="22"/>
        <v>0</v>
      </c>
      <c r="BN190" s="1154">
        <f t="shared" si="23"/>
        <v>0</v>
      </c>
      <c r="BO190" s="527"/>
      <c r="BP190" s="527"/>
      <c r="BQ190" s="1157" t="s">
        <v>2551</v>
      </c>
      <c r="BR190" s="1157" t="s">
        <v>690</v>
      </c>
      <c r="BS190" s="1157" t="s">
        <v>662</v>
      </c>
      <c r="BT190" s="1376" t="s">
        <v>1501</v>
      </c>
    </row>
    <row r="191" spans="1:72" s="1371" customFormat="1" ht="13">
      <c r="A191" s="1204">
        <v>536</v>
      </c>
      <c r="B191" s="1205" t="s">
        <v>652</v>
      </c>
      <c r="C191" s="1205" t="s">
        <v>661</v>
      </c>
      <c r="D191" s="1206" t="s">
        <v>2510</v>
      </c>
      <c r="E191" s="1386" t="s">
        <v>528</v>
      </c>
      <c r="F191" s="521"/>
      <c r="G191" s="522"/>
      <c r="H191" s="522"/>
      <c r="I191" s="522"/>
      <c r="J191" s="523"/>
      <c r="K191" s="523"/>
      <c r="L191" s="523"/>
      <c r="M191" s="524"/>
      <c r="N191" s="525"/>
      <c r="O191" s="526" t="s">
        <v>1237</v>
      </c>
      <c r="P191" s="525">
        <f>'HIV-Key Info'!$E$67*('HPM costs'!F27+'HPM costs'!F30)</f>
        <v>0</v>
      </c>
      <c r="Q191" s="525" t="s">
        <v>1237</v>
      </c>
      <c r="R191" s="525">
        <f>'HIV-Key Info'!$E$67*('HPM costs'!G27+'HPM costs'!G30)</f>
        <v>0</v>
      </c>
      <c r="S191" s="525" t="s">
        <v>1237</v>
      </c>
      <c r="T191" s="525">
        <f>'HIV-Key Info'!$E$67*('HPM costs'!H27+'HPM costs'!H30)</f>
        <v>0</v>
      </c>
      <c r="U191" s="525" t="s">
        <v>1237</v>
      </c>
      <c r="V191" s="525">
        <f>'HIV-Key Info'!$E$67*('HPM costs'!I27+'HPM costs'!I30)</f>
        <v>0</v>
      </c>
      <c r="W191" s="525"/>
      <c r="X191" s="1154">
        <f t="shared" si="18"/>
        <v>0</v>
      </c>
      <c r="Y191" s="1155"/>
      <c r="Z191" s="1156"/>
      <c r="AA191" s="529"/>
      <c r="AB191" s="525"/>
      <c r="AC191" s="525">
        <f>'HIV-Key Info'!$E$67*('HPM costs'!K27+'HPM costs'!K30)</f>
        <v>0</v>
      </c>
      <c r="AD191" s="525"/>
      <c r="AE191" s="525">
        <f>'HIV-Key Info'!$E$67*('HPM costs'!L27+'HPM costs'!L30)</f>
        <v>0</v>
      </c>
      <c r="AF191" s="525"/>
      <c r="AG191" s="525">
        <f>'HIV-Key Info'!$E$67*('HPM costs'!M27+'HPM costs'!M30)</f>
        <v>0</v>
      </c>
      <c r="AH191" s="525"/>
      <c r="AI191" s="525">
        <f>'HIV-Key Info'!$E$67*('HPM costs'!N27+'HPM costs'!N30)</f>
        <v>0</v>
      </c>
      <c r="AJ191" s="525"/>
      <c r="AK191" s="1154">
        <f t="shared" si="19"/>
        <v>0</v>
      </c>
      <c r="AL191" s="1155"/>
      <c r="AM191" s="1156"/>
      <c r="AN191" s="529"/>
      <c r="AO191" s="525"/>
      <c r="AP191" s="525">
        <f>'HIV-Key Info'!$E$67*('HPM costs'!P27+'HPM costs'!P30)</f>
        <v>0</v>
      </c>
      <c r="AQ191" s="525"/>
      <c r="AR191" s="525">
        <f>'HIV-Key Info'!$E$67*('HPM costs'!Q27+'HPM costs'!Q30)</f>
        <v>0</v>
      </c>
      <c r="AS191" s="525"/>
      <c r="AT191" s="525">
        <f>'HIV-Key Info'!$E$67*('HPM costs'!R27+'HPM costs'!R30)</f>
        <v>0</v>
      </c>
      <c r="AU191" s="525"/>
      <c r="AV191" s="525">
        <f>'HIV-Key Info'!$E$67*('HPM costs'!S27+'HPM costs'!S30)</f>
        <v>0</v>
      </c>
      <c r="AW191" s="525"/>
      <c r="AX191" s="1154">
        <f t="shared" si="20"/>
        <v>0</v>
      </c>
      <c r="AY191" s="1154"/>
      <c r="AZ191" s="528"/>
      <c r="BA191" s="529"/>
      <c r="BB191" s="527"/>
      <c r="BC191" s="527">
        <v>0</v>
      </c>
      <c r="BD191" s="527">
        <v>0</v>
      </c>
      <c r="BE191" s="527">
        <v>0</v>
      </c>
      <c r="BF191" s="527">
        <v>0</v>
      </c>
      <c r="BG191" s="527">
        <v>0</v>
      </c>
      <c r="BH191" s="527">
        <v>0</v>
      </c>
      <c r="BI191" s="527">
        <v>0</v>
      </c>
      <c r="BJ191" s="527">
        <v>0</v>
      </c>
      <c r="BK191" s="1154">
        <f t="shared" si="21"/>
        <v>0</v>
      </c>
      <c r="BL191" s="1154"/>
      <c r="BM191" s="1154">
        <f t="shared" si="22"/>
        <v>0</v>
      </c>
      <c r="BN191" s="1154">
        <f t="shared" si="23"/>
        <v>0</v>
      </c>
      <c r="BO191" s="527"/>
      <c r="BP191" s="527"/>
      <c r="BQ191" s="1157" t="s">
        <v>2551</v>
      </c>
      <c r="BR191" s="1157" t="s">
        <v>690</v>
      </c>
      <c r="BS191" s="1157" t="s">
        <v>527</v>
      </c>
      <c r="BT191" s="1376" t="s">
        <v>1502</v>
      </c>
    </row>
    <row r="192" spans="1:72" s="1371" customFormat="1" ht="13">
      <c r="A192" s="1204">
        <v>537</v>
      </c>
      <c r="B192" s="1205" t="s">
        <v>652</v>
      </c>
      <c r="C192" s="1205" t="s">
        <v>661</v>
      </c>
      <c r="D192" s="1206" t="s">
        <v>2510</v>
      </c>
      <c r="E192" s="1386" t="s">
        <v>530</v>
      </c>
      <c r="F192" s="521"/>
      <c r="G192" s="522"/>
      <c r="H192" s="522"/>
      <c r="I192" s="522"/>
      <c r="J192" s="523"/>
      <c r="K192" s="523"/>
      <c r="L192" s="523"/>
      <c r="M192" s="524"/>
      <c r="N192" s="525"/>
      <c r="O192" s="526" t="s">
        <v>1237</v>
      </c>
      <c r="P192" s="525">
        <f>'HIV-Key Info'!$E$67*('HPM costs'!F113+'HPM costs'!F116)</f>
        <v>0</v>
      </c>
      <c r="Q192" s="525" t="s">
        <v>1237</v>
      </c>
      <c r="R192" s="525">
        <f>'HIV-Key Info'!$E$67*('HPM costs'!G113+'HPM costs'!G116)</f>
        <v>0</v>
      </c>
      <c r="S192" s="525" t="s">
        <v>1237</v>
      </c>
      <c r="T192" s="525">
        <f>'HIV-Key Info'!$E$67*('HPM costs'!H113+'HPM costs'!H116)</f>
        <v>0</v>
      </c>
      <c r="U192" s="525" t="s">
        <v>1237</v>
      </c>
      <c r="V192" s="525">
        <f>'HIV-Key Info'!$E$67*('HPM costs'!I113+'HPM costs'!I116)</f>
        <v>0</v>
      </c>
      <c r="W192" s="525"/>
      <c r="X192" s="1154">
        <f t="shared" si="18"/>
        <v>0</v>
      </c>
      <c r="Y192" s="1155"/>
      <c r="Z192" s="1156"/>
      <c r="AA192" s="529"/>
      <c r="AB192" s="525"/>
      <c r="AC192" s="525">
        <f>'HIV-Key Info'!$E$67*('HPM costs'!K113+'HPM costs'!K116)</f>
        <v>0</v>
      </c>
      <c r="AD192" s="525"/>
      <c r="AE192" s="525">
        <f>'HIV-Key Info'!$E$67*('HPM costs'!L113+'HPM costs'!L116)</f>
        <v>0</v>
      </c>
      <c r="AF192" s="525"/>
      <c r="AG192" s="525">
        <f>'HIV-Key Info'!$E$67*('HPM costs'!M113+'HPM costs'!M116)</f>
        <v>0</v>
      </c>
      <c r="AH192" s="525"/>
      <c r="AI192" s="525">
        <f>'HIV-Key Info'!$E$67*('HPM costs'!N113+'HPM costs'!N116)</f>
        <v>0</v>
      </c>
      <c r="AJ192" s="525"/>
      <c r="AK192" s="1154">
        <f t="shared" si="19"/>
        <v>0</v>
      </c>
      <c r="AL192" s="1155"/>
      <c r="AM192" s="1156"/>
      <c r="AN192" s="529"/>
      <c r="AO192" s="525"/>
      <c r="AP192" s="525">
        <f>'HIV-Key Info'!$E$67*('HPM costs'!P113+'HPM costs'!P116)</f>
        <v>0</v>
      </c>
      <c r="AQ192" s="525"/>
      <c r="AR192" s="525">
        <f>'HIV-Key Info'!$E$67*('HPM costs'!Q113+'HPM costs'!Q116)</f>
        <v>0</v>
      </c>
      <c r="AS192" s="525"/>
      <c r="AT192" s="525">
        <f>'HIV-Key Info'!$E$67*('HPM costs'!R113+'HPM costs'!R116)</f>
        <v>0</v>
      </c>
      <c r="AU192" s="525"/>
      <c r="AV192" s="525">
        <f>'HIV-Key Info'!$E$67*('HPM costs'!S113+'HPM costs'!S116)</f>
        <v>0</v>
      </c>
      <c r="AW192" s="525"/>
      <c r="AX192" s="1154">
        <f t="shared" si="20"/>
        <v>0</v>
      </c>
      <c r="AY192" s="1154"/>
      <c r="AZ192" s="528"/>
      <c r="BA192" s="529"/>
      <c r="BB192" s="527"/>
      <c r="BC192" s="527">
        <v>0</v>
      </c>
      <c r="BD192" s="527">
        <v>0</v>
      </c>
      <c r="BE192" s="527">
        <v>0</v>
      </c>
      <c r="BF192" s="527">
        <v>0</v>
      </c>
      <c r="BG192" s="527">
        <v>0</v>
      </c>
      <c r="BH192" s="527">
        <v>0</v>
      </c>
      <c r="BI192" s="527">
        <v>0</v>
      </c>
      <c r="BJ192" s="527">
        <v>0</v>
      </c>
      <c r="BK192" s="1154">
        <f t="shared" si="21"/>
        <v>0</v>
      </c>
      <c r="BL192" s="1154"/>
      <c r="BM192" s="1154">
        <f t="shared" si="22"/>
        <v>0</v>
      </c>
      <c r="BN192" s="1154">
        <f t="shared" si="23"/>
        <v>0</v>
      </c>
      <c r="BO192" s="527"/>
      <c r="BP192" s="527"/>
      <c r="BQ192" s="1157" t="s">
        <v>2551</v>
      </c>
      <c r="BR192" s="1157" t="s">
        <v>690</v>
      </c>
      <c r="BS192" s="1157" t="s">
        <v>527</v>
      </c>
      <c r="BT192" s="1376" t="s">
        <v>1503</v>
      </c>
    </row>
    <row r="193" spans="1:72" s="1371" customFormat="1" ht="13">
      <c r="A193" s="1204">
        <v>538</v>
      </c>
      <c r="B193" s="1205" t="s">
        <v>652</v>
      </c>
      <c r="C193" s="1205" t="s">
        <v>661</v>
      </c>
      <c r="D193" s="1206" t="s">
        <v>2510</v>
      </c>
      <c r="E193" s="1386" t="s">
        <v>532</v>
      </c>
      <c r="F193" s="521"/>
      <c r="G193" s="522"/>
      <c r="H193" s="522"/>
      <c r="I193" s="522"/>
      <c r="J193" s="523"/>
      <c r="K193" s="523"/>
      <c r="L193" s="523"/>
      <c r="M193" s="524"/>
      <c r="N193" s="525"/>
      <c r="O193" s="526" t="s">
        <v>1237</v>
      </c>
      <c r="P193" s="525">
        <f>'HIV-Key Info'!$E$67*('HPM costs'!F373+'HPM costs'!F376)</f>
        <v>0</v>
      </c>
      <c r="Q193" s="525" t="s">
        <v>1237</v>
      </c>
      <c r="R193" s="525">
        <f>'HIV-Key Info'!$E$67*('HPM costs'!G373+'HPM costs'!G376)</f>
        <v>0</v>
      </c>
      <c r="S193" s="525" t="s">
        <v>1237</v>
      </c>
      <c r="T193" s="525">
        <f>'HIV-Key Info'!$E$67*('HPM costs'!H373+'HPM costs'!H376)</f>
        <v>0</v>
      </c>
      <c r="U193" s="525" t="s">
        <v>1237</v>
      </c>
      <c r="V193" s="525">
        <f>'HIV-Key Info'!$E$67*('HPM costs'!I373+'HPM costs'!I376)</f>
        <v>0</v>
      </c>
      <c r="W193" s="525"/>
      <c r="X193" s="1154">
        <f t="shared" ref="X193:X256" si="24">P193+R193+T193+V193</f>
        <v>0</v>
      </c>
      <c r="Y193" s="1155"/>
      <c r="Z193" s="1156"/>
      <c r="AA193" s="529"/>
      <c r="AB193" s="525"/>
      <c r="AC193" s="525">
        <f>'HIV-Key Info'!$E$67*('HPM costs'!K373+'HPM costs'!K376)</f>
        <v>0</v>
      </c>
      <c r="AD193" s="525"/>
      <c r="AE193" s="525">
        <f>'HIV-Key Info'!$E$67*('HPM costs'!L373+'HPM costs'!L376)</f>
        <v>0</v>
      </c>
      <c r="AF193" s="525"/>
      <c r="AG193" s="525">
        <f>'HIV-Key Info'!$E$67*('HPM costs'!M373+'HPM costs'!M376)</f>
        <v>0</v>
      </c>
      <c r="AH193" s="525"/>
      <c r="AI193" s="525">
        <f>'HIV-Key Info'!$E$67*('HPM costs'!N373+'HPM costs'!N376)</f>
        <v>0</v>
      </c>
      <c r="AJ193" s="525"/>
      <c r="AK193" s="1154">
        <f t="shared" ref="AK193:AK256" si="25">AI193+AG193+AE193+AC193</f>
        <v>0</v>
      </c>
      <c r="AL193" s="1155"/>
      <c r="AM193" s="1156"/>
      <c r="AN193" s="529"/>
      <c r="AO193" s="525"/>
      <c r="AP193" s="525">
        <f>'HIV-Key Info'!$E$67*('HPM costs'!P373+'HPM costs'!P376)</f>
        <v>0</v>
      </c>
      <c r="AQ193" s="525"/>
      <c r="AR193" s="525">
        <f>'HIV-Key Info'!$E$67*('HPM costs'!Q373+'HPM costs'!Q376)</f>
        <v>0</v>
      </c>
      <c r="AS193" s="525"/>
      <c r="AT193" s="525">
        <f>'HIV-Key Info'!$E$67*('HPM costs'!R373+'HPM costs'!R376)</f>
        <v>0</v>
      </c>
      <c r="AU193" s="525"/>
      <c r="AV193" s="525">
        <f>'HIV-Key Info'!$E$67*('HPM costs'!S373+'HPM costs'!S376)</f>
        <v>0</v>
      </c>
      <c r="AW193" s="525"/>
      <c r="AX193" s="1154">
        <f t="shared" ref="AX193:AX256" si="26">AV193+AT193+AR193+AP193</f>
        <v>0</v>
      </c>
      <c r="AY193" s="1154"/>
      <c r="AZ193" s="528"/>
      <c r="BA193" s="529"/>
      <c r="BB193" s="527"/>
      <c r="BC193" s="527">
        <v>0</v>
      </c>
      <c r="BD193" s="527">
        <v>0</v>
      </c>
      <c r="BE193" s="527">
        <v>0</v>
      </c>
      <c r="BF193" s="527">
        <v>0</v>
      </c>
      <c r="BG193" s="527">
        <v>0</v>
      </c>
      <c r="BH193" s="527">
        <v>0</v>
      </c>
      <c r="BI193" s="527">
        <v>0</v>
      </c>
      <c r="BJ193" s="527">
        <v>0</v>
      </c>
      <c r="BK193" s="1154">
        <f t="shared" ref="BK193:BK256" si="27">BI193+BG193+BE193+BC193</f>
        <v>0</v>
      </c>
      <c r="BL193" s="1154"/>
      <c r="BM193" s="1154">
        <f t="shared" si="22"/>
        <v>0</v>
      </c>
      <c r="BN193" s="1154">
        <f t="shared" si="23"/>
        <v>0</v>
      </c>
      <c r="BO193" s="527"/>
      <c r="BP193" s="527"/>
      <c r="BQ193" s="1157" t="s">
        <v>2551</v>
      </c>
      <c r="BR193" s="1157" t="s">
        <v>690</v>
      </c>
      <c r="BS193" s="1157" t="s">
        <v>527</v>
      </c>
      <c r="BT193" s="1376" t="s">
        <v>1504</v>
      </c>
    </row>
    <row r="194" spans="1:72" s="1371" customFormat="1" ht="13">
      <c r="A194" s="1204">
        <v>539</v>
      </c>
      <c r="B194" s="1205" t="s">
        <v>652</v>
      </c>
      <c r="C194" s="1205" t="s">
        <v>661</v>
      </c>
      <c r="D194" s="1206" t="s">
        <v>2510</v>
      </c>
      <c r="E194" s="1386" t="s">
        <v>534</v>
      </c>
      <c r="F194" s="521"/>
      <c r="G194" s="522"/>
      <c r="H194" s="522"/>
      <c r="I194" s="522"/>
      <c r="J194" s="523"/>
      <c r="K194" s="523"/>
      <c r="L194" s="523"/>
      <c r="M194" s="524"/>
      <c r="N194" s="525"/>
      <c r="O194" s="526" t="s">
        <v>1237</v>
      </c>
      <c r="P194" s="525">
        <f>'HIV-Key Info'!$E$67*('HPM costs'!F459+'HPM costs'!F462)</f>
        <v>0</v>
      </c>
      <c r="Q194" s="525" t="s">
        <v>1237</v>
      </c>
      <c r="R194" s="525">
        <f>'HIV-Key Info'!$E$67*('HPM costs'!G459+'HPM costs'!G462)</f>
        <v>0</v>
      </c>
      <c r="S194" s="525" t="s">
        <v>1237</v>
      </c>
      <c r="T194" s="525">
        <f>'HIV-Key Info'!$E$67*('HPM costs'!H459+'HPM costs'!H462)</f>
        <v>0</v>
      </c>
      <c r="U194" s="525" t="s">
        <v>1237</v>
      </c>
      <c r="V194" s="525">
        <f>'HIV-Key Info'!$E$67*('HPM costs'!I459+'HPM costs'!I462)</f>
        <v>0</v>
      </c>
      <c r="W194" s="525"/>
      <c r="X194" s="1154">
        <f t="shared" si="24"/>
        <v>0</v>
      </c>
      <c r="Y194" s="1155"/>
      <c r="Z194" s="1156"/>
      <c r="AA194" s="529"/>
      <c r="AB194" s="525"/>
      <c r="AC194" s="525">
        <f>'HIV-Key Info'!$E$67*('HPM costs'!K459+'HPM costs'!K462)</f>
        <v>0</v>
      </c>
      <c r="AD194" s="525"/>
      <c r="AE194" s="525">
        <f>'HIV-Key Info'!$E$67*('HPM costs'!L459+'HPM costs'!L462)</f>
        <v>0</v>
      </c>
      <c r="AF194" s="525"/>
      <c r="AG194" s="525">
        <f>'HIV-Key Info'!$E$67*('HPM costs'!M459+'HPM costs'!M462)</f>
        <v>0</v>
      </c>
      <c r="AH194" s="525"/>
      <c r="AI194" s="525">
        <f>'HIV-Key Info'!$E$67*('HPM costs'!N459+'HPM costs'!N462)</f>
        <v>0</v>
      </c>
      <c r="AJ194" s="525"/>
      <c r="AK194" s="1154">
        <f t="shared" si="25"/>
        <v>0</v>
      </c>
      <c r="AL194" s="1155"/>
      <c r="AM194" s="1156"/>
      <c r="AN194" s="529"/>
      <c r="AO194" s="525"/>
      <c r="AP194" s="525">
        <f>'HIV-Key Info'!$E$67*('HPM costs'!P459+'HPM costs'!P462)</f>
        <v>0</v>
      </c>
      <c r="AQ194" s="525"/>
      <c r="AR194" s="525">
        <f>'HIV-Key Info'!$E$67*('HPM costs'!Q459+'HPM costs'!Q462)</f>
        <v>0</v>
      </c>
      <c r="AS194" s="525"/>
      <c r="AT194" s="525">
        <f>'HIV-Key Info'!$E$67*('HPM costs'!R459+'HPM costs'!R462)</f>
        <v>0</v>
      </c>
      <c r="AU194" s="525"/>
      <c r="AV194" s="525">
        <f>'HIV-Key Info'!$E$67*('HPM costs'!S459+'HPM costs'!S462)</f>
        <v>0</v>
      </c>
      <c r="AW194" s="525"/>
      <c r="AX194" s="1154">
        <f t="shared" si="26"/>
        <v>0</v>
      </c>
      <c r="AY194" s="1154"/>
      <c r="AZ194" s="528"/>
      <c r="BA194" s="529"/>
      <c r="BB194" s="527"/>
      <c r="BC194" s="527">
        <v>0</v>
      </c>
      <c r="BD194" s="527">
        <v>0</v>
      </c>
      <c r="BE194" s="527">
        <v>0</v>
      </c>
      <c r="BF194" s="527">
        <v>0</v>
      </c>
      <c r="BG194" s="527">
        <v>0</v>
      </c>
      <c r="BH194" s="527">
        <v>0</v>
      </c>
      <c r="BI194" s="527">
        <v>0</v>
      </c>
      <c r="BJ194" s="527">
        <v>0</v>
      </c>
      <c r="BK194" s="1154">
        <f t="shared" si="27"/>
        <v>0</v>
      </c>
      <c r="BL194" s="1154"/>
      <c r="BM194" s="1154">
        <f t="shared" ref="BM194:BM257" si="28">BJ194+AW194+AJ194+W194</f>
        <v>0</v>
      </c>
      <c r="BN194" s="1154">
        <f t="shared" ref="BN194:BN257" si="29">BK194+AX194+AK194+X194</f>
        <v>0</v>
      </c>
      <c r="BO194" s="527"/>
      <c r="BP194" s="527"/>
      <c r="BQ194" s="1157" t="s">
        <v>2551</v>
      </c>
      <c r="BR194" s="1157" t="s">
        <v>690</v>
      </c>
      <c r="BS194" s="1157" t="s">
        <v>527</v>
      </c>
      <c r="BT194" s="1376" t="s">
        <v>1505</v>
      </c>
    </row>
    <row r="195" spans="1:72" s="1371" customFormat="1" ht="13">
      <c r="A195" s="1204">
        <v>540</v>
      </c>
      <c r="B195" s="1205" t="s">
        <v>652</v>
      </c>
      <c r="C195" s="1205" t="s">
        <v>661</v>
      </c>
      <c r="D195" s="1206" t="s">
        <v>2510</v>
      </c>
      <c r="E195" s="1386" t="s">
        <v>536</v>
      </c>
      <c r="F195" s="521"/>
      <c r="G195" s="522"/>
      <c r="H195" s="522"/>
      <c r="I195" s="522"/>
      <c r="J195" s="523"/>
      <c r="K195" s="523"/>
      <c r="L195" s="523"/>
      <c r="M195" s="524"/>
      <c r="N195" s="525"/>
      <c r="O195" s="526" t="s">
        <v>1237</v>
      </c>
      <c r="P195" s="525">
        <f>'HIV-Key Info'!$E$67*('HPM costs'!F199+'HPM costs'!F202+'HPM costs'!F545+'HPM costs'!F548)</f>
        <v>0</v>
      </c>
      <c r="Q195" s="525" t="s">
        <v>1237</v>
      </c>
      <c r="R195" s="525">
        <f>'HIV-Key Info'!$E$67*('HPM costs'!G199+'HPM costs'!G202+'HPM costs'!G545+'HPM costs'!G548)</f>
        <v>0</v>
      </c>
      <c r="S195" s="525" t="s">
        <v>1237</v>
      </c>
      <c r="T195" s="525">
        <f>'HIV-Key Info'!$E$67*('HPM costs'!H199+'HPM costs'!H202+'HPM costs'!H545+'HPM costs'!H548)</f>
        <v>0</v>
      </c>
      <c r="U195" s="525" t="s">
        <v>1237</v>
      </c>
      <c r="V195" s="525">
        <f>'HIV-Key Info'!$E$67*('HPM costs'!I199+'HPM costs'!I202+'HPM costs'!I545+'HPM costs'!I548)</f>
        <v>0</v>
      </c>
      <c r="W195" s="525"/>
      <c r="X195" s="1154">
        <f t="shared" si="24"/>
        <v>0</v>
      </c>
      <c r="Y195" s="1155"/>
      <c r="Z195" s="1156"/>
      <c r="AA195" s="529"/>
      <c r="AB195" s="525"/>
      <c r="AC195" s="525">
        <f>'HIV-Key Info'!$E$67*('HPM costs'!K199+'HPM costs'!K202+'HPM costs'!K545+'HPM costs'!K548)</f>
        <v>0</v>
      </c>
      <c r="AD195" s="525"/>
      <c r="AE195" s="525">
        <f>'HIV-Key Info'!$E$67*('HPM costs'!L199+'HPM costs'!L202+'HPM costs'!L545+'HPM costs'!L548)</f>
        <v>0</v>
      </c>
      <c r="AF195" s="525"/>
      <c r="AG195" s="525">
        <f>'HIV-Key Info'!$E$67*('HPM costs'!M199+'HPM costs'!M202+'HPM costs'!M545+'HPM costs'!M548)</f>
        <v>0</v>
      </c>
      <c r="AH195" s="525"/>
      <c r="AI195" s="525">
        <f>'HIV-Key Info'!$E$67*('HPM costs'!N199+'HPM costs'!N202+'HPM costs'!N545+'HPM costs'!N548)</f>
        <v>0</v>
      </c>
      <c r="AJ195" s="525"/>
      <c r="AK195" s="1154">
        <f t="shared" si="25"/>
        <v>0</v>
      </c>
      <c r="AL195" s="1155"/>
      <c r="AM195" s="1156"/>
      <c r="AN195" s="529"/>
      <c r="AO195" s="525"/>
      <c r="AP195" s="525">
        <f>'HIV-Key Info'!$E$67*('HPM costs'!P199+'HPM costs'!P202+'HPM costs'!P545+'HPM costs'!P548)</f>
        <v>0</v>
      </c>
      <c r="AQ195" s="525"/>
      <c r="AR195" s="525">
        <f>'HIV-Key Info'!$E$67*('HPM costs'!Q199+'HPM costs'!Q202+'HPM costs'!Q545+'HPM costs'!Q548)</f>
        <v>0</v>
      </c>
      <c r="AS195" s="525"/>
      <c r="AT195" s="525">
        <f>'HIV-Key Info'!$E$67*('HPM costs'!R199+'HPM costs'!R202+'HPM costs'!R545+'HPM costs'!R548)</f>
        <v>0</v>
      </c>
      <c r="AU195" s="525"/>
      <c r="AV195" s="525">
        <f>'HIV-Key Info'!$E$67*('HPM costs'!S199+'HPM costs'!S202+'HPM costs'!S545+'HPM costs'!S548)</f>
        <v>0</v>
      </c>
      <c r="AW195" s="525"/>
      <c r="AX195" s="1154">
        <f t="shared" si="26"/>
        <v>0</v>
      </c>
      <c r="AY195" s="1154"/>
      <c r="AZ195" s="528"/>
      <c r="BA195" s="529"/>
      <c r="BB195" s="527"/>
      <c r="BC195" s="527">
        <v>0</v>
      </c>
      <c r="BD195" s="527">
        <v>0</v>
      </c>
      <c r="BE195" s="527">
        <v>0</v>
      </c>
      <c r="BF195" s="527">
        <v>0</v>
      </c>
      <c r="BG195" s="527">
        <v>0</v>
      </c>
      <c r="BH195" s="527">
        <v>0</v>
      </c>
      <c r="BI195" s="527">
        <v>0</v>
      </c>
      <c r="BJ195" s="527">
        <v>0</v>
      </c>
      <c r="BK195" s="1154">
        <f t="shared" si="27"/>
        <v>0</v>
      </c>
      <c r="BL195" s="1154"/>
      <c r="BM195" s="1154">
        <f t="shared" si="28"/>
        <v>0</v>
      </c>
      <c r="BN195" s="1154">
        <f t="shared" si="29"/>
        <v>0</v>
      </c>
      <c r="BO195" s="527"/>
      <c r="BP195" s="527"/>
      <c r="BQ195" s="1157" t="s">
        <v>2551</v>
      </c>
      <c r="BR195" s="1157" t="s">
        <v>690</v>
      </c>
      <c r="BS195" s="1157" t="s">
        <v>527</v>
      </c>
      <c r="BT195" s="1376" t="s">
        <v>1506</v>
      </c>
    </row>
    <row r="196" spans="1:72" s="1371" customFormat="1" ht="13">
      <c r="A196" s="1204">
        <v>541</v>
      </c>
      <c r="B196" s="1205" t="s">
        <v>652</v>
      </c>
      <c r="C196" s="1205" t="s">
        <v>661</v>
      </c>
      <c r="D196" s="1206" t="s">
        <v>2510</v>
      </c>
      <c r="E196" s="1386" t="s">
        <v>538</v>
      </c>
      <c r="F196" s="521"/>
      <c r="G196" s="522"/>
      <c r="H196" s="522"/>
      <c r="I196" s="522"/>
      <c r="J196" s="523"/>
      <c r="K196" s="523"/>
      <c r="L196" s="523"/>
      <c r="M196" s="524"/>
      <c r="N196" s="525"/>
      <c r="O196" s="526" t="s">
        <v>1237</v>
      </c>
      <c r="P196" s="525">
        <f>'HIV-Key Info'!$E$67*('HPM costs'!F285+'HPM costs'!F288)</f>
        <v>0</v>
      </c>
      <c r="Q196" s="525" t="s">
        <v>1237</v>
      </c>
      <c r="R196" s="525">
        <f>'HIV-Key Info'!$E$67*('HPM costs'!G285+'HPM costs'!G288)</f>
        <v>0</v>
      </c>
      <c r="S196" s="525" t="s">
        <v>1237</v>
      </c>
      <c r="T196" s="525">
        <f>'HIV-Key Info'!$E$67*('HPM costs'!H285+'HPM costs'!H288)</f>
        <v>0</v>
      </c>
      <c r="U196" s="525" t="s">
        <v>1237</v>
      </c>
      <c r="V196" s="525">
        <f>'HIV-Key Info'!$E$67*('HPM costs'!I285+'HPM costs'!I288)</f>
        <v>0</v>
      </c>
      <c r="W196" s="525"/>
      <c r="X196" s="1154">
        <f t="shared" si="24"/>
        <v>0</v>
      </c>
      <c r="Y196" s="1155"/>
      <c r="Z196" s="1156"/>
      <c r="AA196" s="529"/>
      <c r="AB196" s="525"/>
      <c r="AC196" s="525">
        <f>'HIV-Key Info'!$E$67*('HPM costs'!K285+'HPM costs'!K288)</f>
        <v>0</v>
      </c>
      <c r="AD196" s="525"/>
      <c r="AE196" s="525">
        <f>'HIV-Key Info'!$E$67*('HPM costs'!L285+'HPM costs'!L288)</f>
        <v>0</v>
      </c>
      <c r="AF196" s="525"/>
      <c r="AG196" s="525">
        <f>'HIV-Key Info'!$E$67*('HPM costs'!M285+'HPM costs'!M288)</f>
        <v>0</v>
      </c>
      <c r="AH196" s="525"/>
      <c r="AI196" s="525">
        <f>'HIV-Key Info'!$E$67*('HPM costs'!N285+'HPM costs'!N288)</f>
        <v>0</v>
      </c>
      <c r="AJ196" s="525"/>
      <c r="AK196" s="1154">
        <f t="shared" si="25"/>
        <v>0</v>
      </c>
      <c r="AL196" s="1155"/>
      <c r="AM196" s="1156"/>
      <c r="AN196" s="529"/>
      <c r="AO196" s="525"/>
      <c r="AP196" s="525">
        <f>'HIV-Key Info'!$E$67*('HPM costs'!P285+'HPM costs'!P288)</f>
        <v>0</v>
      </c>
      <c r="AQ196" s="525"/>
      <c r="AR196" s="525">
        <f>'HIV-Key Info'!$E$67*('HPM costs'!Q285+'HPM costs'!Q288)</f>
        <v>0</v>
      </c>
      <c r="AS196" s="525"/>
      <c r="AT196" s="525">
        <f>'HIV-Key Info'!$E$67*('HPM costs'!R285+'HPM costs'!R288)</f>
        <v>0</v>
      </c>
      <c r="AU196" s="525"/>
      <c r="AV196" s="525">
        <f>'HIV-Key Info'!$E$67*('HPM costs'!S285+'HPM costs'!S288)</f>
        <v>0</v>
      </c>
      <c r="AW196" s="525"/>
      <c r="AX196" s="1154">
        <f t="shared" si="26"/>
        <v>0</v>
      </c>
      <c r="AY196" s="1154"/>
      <c r="AZ196" s="528"/>
      <c r="BA196" s="529"/>
      <c r="BB196" s="527"/>
      <c r="BC196" s="527">
        <v>0</v>
      </c>
      <c r="BD196" s="527">
        <v>0</v>
      </c>
      <c r="BE196" s="527">
        <v>0</v>
      </c>
      <c r="BF196" s="527">
        <v>0</v>
      </c>
      <c r="BG196" s="527">
        <v>0</v>
      </c>
      <c r="BH196" s="527">
        <v>0</v>
      </c>
      <c r="BI196" s="527">
        <v>0</v>
      </c>
      <c r="BJ196" s="527">
        <v>0</v>
      </c>
      <c r="BK196" s="1154">
        <f t="shared" si="27"/>
        <v>0</v>
      </c>
      <c r="BL196" s="1154"/>
      <c r="BM196" s="1154">
        <f t="shared" si="28"/>
        <v>0</v>
      </c>
      <c r="BN196" s="1154">
        <f t="shared" si="29"/>
        <v>0</v>
      </c>
      <c r="BO196" s="527"/>
      <c r="BP196" s="527"/>
      <c r="BQ196" s="1157" t="s">
        <v>2551</v>
      </c>
      <c r="BR196" s="1157" t="s">
        <v>690</v>
      </c>
      <c r="BS196" s="1157" t="s">
        <v>527</v>
      </c>
      <c r="BT196" s="1376" t="s">
        <v>1507</v>
      </c>
    </row>
    <row r="197" spans="1:72" s="1371" customFormat="1" ht="13">
      <c r="A197" s="1204">
        <v>542</v>
      </c>
      <c r="B197" s="1205" t="s">
        <v>652</v>
      </c>
      <c r="C197" s="1205" t="s">
        <v>661</v>
      </c>
      <c r="D197" s="1206" t="s">
        <v>2510</v>
      </c>
      <c r="E197" s="1386" t="s">
        <v>540</v>
      </c>
      <c r="F197" s="521"/>
      <c r="G197" s="522"/>
      <c r="H197" s="522"/>
      <c r="I197" s="522"/>
      <c r="J197" s="523"/>
      <c r="K197" s="523"/>
      <c r="L197" s="523"/>
      <c r="M197" s="524" t="e">
        <f>X197/W197</f>
        <v>#DIV/0!</v>
      </c>
      <c r="N197" s="525"/>
      <c r="O197" s="526" t="s">
        <v>1237</v>
      </c>
      <c r="P197" s="525">
        <f>'HIV-Key Info'!$E$67*('HPM costs'!F630+'HPM costs'!F633)</f>
        <v>0</v>
      </c>
      <c r="Q197" s="525" t="s">
        <v>1237</v>
      </c>
      <c r="R197" s="525">
        <f>'HIV-Key Info'!$E$67*('HPM costs'!G630+'HPM costs'!G633)</f>
        <v>0</v>
      </c>
      <c r="S197" s="525" t="s">
        <v>1237</v>
      </c>
      <c r="T197" s="525">
        <f>'HIV-Key Info'!$E$67*('HPM costs'!H630+'HPM costs'!H633)</f>
        <v>0</v>
      </c>
      <c r="U197" s="525" t="s">
        <v>1237</v>
      </c>
      <c r="V197" s="525">
        <f>'HIV-Key Info'!$E$67*('HPM costs'!I630+'HPM costs'!I633)</f>
        <v>0</v>
      </c>
      <c r="W197" s="525"/>
      <c r="X197" s="1154">
        <f t="shared" si="24"/>
        <v>0</v>
      </c>
      <c r="Y197" s="1155"/>
      <c r="Z197" s="1156"/>
      <c r="AA197" s="529"/>
      <c r="AB197" s="525"/>
      <c r="AC197" s="525">
        <f>'HIV-Key Info'!$E$67*('HPM costs'!K630+'HPM costs'!K633)</f>
        <v>0</v>
      </c>
      <c r="AD197" s="525"/>
      <c r="AE197" s="525">
        <f>'HIV-Key Info'!$E$67*('HPM costs'!L630+'HPM costs'!L633)</f>
        <v>0</v>
      </c>
      <c r="AF197" s="525"/>
      <c r="AG197" s="525">
        <f>'HIV-Key Info'!$E$67*('HPM costs'!M630+'HPM costs'!M633)</f>
        <v>0</v>
      </c>
      <c r="AH197" s="525"/>
      <c r="AI197" s="525">
        <f>'HIV-Key Info'!$E$67*('HPM costs'!N630+'HPM costs'!N633)</f>
        <v>0</v>
      </c>
      <c r="AJ197" s="525"/>
      <c r="AK197" s="1154">
        <f t="shared" si="25"/>
        <v>0</v>
      </c>
      <c r="AL197" s="1155"/>
      <c r="AM197" s="1156"/>
      <c r="AN197" s="529"/>
      <c r="AO197" s="525"/>
      <c r="AP197" s="525">
        <f>'HIV-Key Info'!$E$67*('HPM costs'!P630+'HPM costs'!P633)</f>
        <v>0</v>
      </c>
      <c r="AQ197" s="525"/>
      <c r="AR197" s="525">
        <f>'HIV-Key Info'!$E$67*('HPM costs'!Q630+'HPM costs'!Q633)</f>
        <v>0</v>
      </c>
      <c r="AS197" s="525"/>
      <c r="AT197" s="525">
        <f>'HIV-Key Info'!$E$67*('HPM costs'!R630+'HPM costs'!R633)</f>
        <v>0</v>
      </c>
      <c r="AU197" s="525"/>
      <c r="AV197" s="525">
        <f>'HIV-Key Info'!$E$67*('HPM costs'!S630+'HPM costs'!S633)</f>
        <v>0</v>
      </c>
      <c r="AW197" s="525"/>
      <c r="AX197" s="1154">
        <f t="shared" si="26"/>
        <v>0</v>
      </c>
      <c r="AY197" s="1154"/>
      <c r="AZ197" s="528"/>
      <c r="BA197" s="529"/>
      <c r="BB197" s="527"/>
      <c r="BC197" s="527">
        <v>0</v>
      </c>
      <c r="BD197" s="527">
        <v>0</v>
      </c>
      <c r="BE197" s="527">
        <v>0</v>
      </c>
      <c r="BF197" s="527">
        <v>0</v>
      </c>
      <c r="BG197" s="527">
        <v>0</v>
      </c>
      <c r="BH197" s="527">
        <v>0</v>
      </c>
      <c r="BI197" s="527">
        <v>0</v>
      </c>
      <c r="BJ197" s="527">
        <v>0</v>
      </c>
      <c r="BK197" s="1154">
        <f t="shared" si="27"/>
        <v>0</v>
      </c>
      <c r="BL197" s="1154"/>
      <c r="BM197" s="1154">
        <f t="shared" si="28"/>
        <v>0</v>
      </c>
      <c r="BN197" s="1154">
        <f t="shared" si="29"/>
        <v>0</v>
      </c>
      <c r="BO197" s="527"/>
      <c r="BP197" s="527"/>
      <c r="BQ197" s="1157" t="s">
        <v>2551</v>
      </c>
      <c r="BR197" s="1157" t="s">
        <v>690</v>
      </c>
      <c r="BS197" s="1157" t="s">
        <v>527</v>
      </c>
      <c r="BT197" s="1376" t="s">
        <v>1508</v>
      </c>
    </row>
    <row r="198" spans="1:72" s="1371" customFormat="1" ht="13">
      <c r="A198" s="1204">
        <v>584</v>
      </c>
      <c r="B198" s="1205" t="s">
        <v>652</v>
      </c>
      <c r="C198" s="1205" t="s">
        <v>666</v>
      </c>
      <c r="D198" s="1206" t="s">
        <v>2511</v>
      </c>
      <c r="E198" s="1386" t="s">
        <v>653</v>
      </c>
      <c r="F198" s="521"/>
      <c r="G198" s="522"/>
      <c r="H198" s="522"/>
      <c r="I198" s="522"/>
      <c r="J198" s="523"/>
      <c r="K198" s="523"/>
      <c r="L198" s="523"/>
      <c r="M198" s="524"/>
      <c r="N198" s="525"/>
      <c r="O198" s="526" t="s">
        <v>1237</v>
      </c>
      <c r="P198" s="525">
        <f>IFERROR(INDEX('HIV-Other HPs'!$AX$41:$BI$48,MATCH(5.7,'HIV-Other HPs'!$AW$41:$AW$48,0),MID(LEFT(P$1,SEARCH(" ",P$1)-1),2,3)-INDEX('HIV-Other HPs'!$AV$41:$AV$48,MATCH(5.7,'HIV-Other HPs'!$AW$41:$AW$48,0))),0)</f>
        <v>0</v>
      </c>
      <c r="Q198" s="525" t="s">
        <v>1237</v>
      </c>
      <c r="R198" s="525">
        <f>IFERROR(INDEX('HIV-Other HPs'!$AX$41:$BI$48,MATCH(5.7,'HIV-Other HPs'!$AW$41:$AW$48,0),MID(LEFT(R$1,SEARCH(" ",R$1)-1),2,3)-INDEX('HIV-Other HPs'!$AV$41:$AV$48,MATCH(5.7,'HIV-Other HPs'!$AW$41:$AW$48,0))),0)</f>
        <v>0</v>
      </c>
      <c r="S198" s="525" t="s">
        <v>1237</v>
      </c>
      <c r="T198" s="525">
        <f>IFERROR(INDEX('HIV-Other HPs'!$AX$41:$BI$48,MATCH(5.7,'HIV-Other HPs'!$AW$41:$AW$48,0),MID(LEFT(T$1,SEARCH(" ",T$1)-1),2,3)-INDEX('HIV-Other HPs'!$AV$41:$AV$48,MATCH(5.7,'HIV-Other HPs'!$AW$41:$AW$48,0))),0)</f>
        <v>0</v>
      </c>
      <c r="U198" s="525" t="s">
        <v>1237</v>
      </c>
      <c r="V198" s="525">
        <f>IFERROR(INDEX('HIV-Other HPs'!$AX$41:$BI$48,MATCH(5.7,'HIV-Other HPs'!$AW$41:$AW$48,0),MID(LEFT(V$1,SEARCH(" ",V$1)-1),2,3)-INDEX('HIV-Other HPs'!$AV$41:$AV$48,MATCH(5.7,'HIV-Other HPs'!$AW$41:$AW$48,0))),0)</f>
        <v>0</v>
      </c>
      <c r="W198" s="525"/>
      <c r="X198" s="1154">
        <f t="shared" si="24"/>
        <v>0</v>
      </c>
      <c r="Y198" s="1155"/>
      <c r="Z198" s="1156"/>
      <c r="AA198" s="529"/>
      <c r="AB198" s="525"/>
      <c r="AC198" s="525">
        <f>IFERROR(INDEX('HIV-Other HPs'!$AX$41:$BI$48,MATCH(5.7,'HIV-Other HPs'!$AW$41:$AW$48,0),MID(LEFT(AC$1,SEARCH(" ",AC$1)-1),2,3)-INDEX('HIV-Other HPs'!$AV$41:$AV$48,MATCH(5.7,'HIV-Other HPs'!$AW$41:$AW$48,0))),0)</f>
        <v>0</v>
      </c>
      <c r="AD198" s="525"/>
      <c r="AE198" s="525">
        <f>IFERROR(INDEX('HIV-Other HPs'!$AX$41:$BI$48,MATCH(5.7,'HIV-Other HPs'!$AW$41:$AW$48,0),MID(LEFT(AE$1,SEARCH(" ",AE$1)-1),2,3)-INDEX('HIV-Other HPs'!$AV$41:$AV$48,MATCH(5.7,'HIV-Other HPs'!$AW$41:$AW$48,0))),0)</f>
        <v>0</v>
      </c>
      <c r="AF198" s="525"/>
      <c r="AG198" s="525">
        <f>IFERROR(INDEX('HIV-Other HPs'!$AX$41:$BI$48,MATCH(5.7,'HIV-Other HPs'!$AW$41:$AW$48,0),MID(LEFT(AG$1,SEARCH(" ",AG$1)-1),2,3)-INDEX('HIV-Other HPs'!$AV$41:$AV$48,MATCH(5.7,'HIV-Other HPs'!$AW$41:$AW$48,0))),0)</f>
        <v>0</v>
      </c>
      <c r="AH198" s="525"/>
      <c r="AI198" s="525">
        <f>IFERROR(INDEX('HIV-Other HPs'!$AX$41:$BI$48,MATCH(5.7,'HIV-Other HPs'!$AW$41:$AW$48,0),MID(LEFT(AI$1,SEARCH(" ",AI$1)-1),2,3)-INDEX('HIV-Other HPs'!$AV$41:$AV$48,MATCH(5.7,'HIV-Other HPs'!$AW$41:$AW$48,0))),0)</f>
        <v>0</v>
      </c>
      <c r="AJ198" s="525"/>
      <c r="AK198" s="1154">
        <f t="shared" si="25"/>
        <v>0</v>
      </c>
      <c r="AL198" s="1155"/>
      <c r="AM198" s="1156"/>
      <c r="AN198" s="529"/>
      <c r="AO198" s="525"/>
      <c r="AP198" s="525">
        <f>IFERROR(INDEX('HIV-Other HPs'!$AX$41:$BI$48,MATCH(5.7,'HIV-Other HPs'!$AW$41:$AW$48,0),MID(LEFT(AP$1,SEARCH(" ",AP$1)-1),2,3)-INDEX('HIV-Other HPs'!$AV$41:$AV$48,MATCH(5.7,'HIV-Other HPs'!$AW$41:$AW$48,0))),0)</f>
        <v>0</v>
      </c>
      <c r="AQ198" s="525"/>
      <c r="AR198" s="525">
        <f>IFERROR(INDEX('HIV-Other HPs'!$AX$41:$BI$48,MATCH(5.7,'HIV-Other HPs'!$AW$41:$AW$48,0),MID(LEFT(AR$1,SEARCH(" ",AR$1)-1),2,3)-INDEX('HIV-Other HPs'!$AV$41:$AV$48,MATCH(5.7,'HIV-Other HPs'!$AW$41:$AW$48,0))),0)</f>
        <v>0</v>
      </c>
      <c r="AS198" s="525"/>
      <c r="AT198" s="525">
        <f>IFERROR(INDEX('HIV-Other HPs'!$AX$41:$BI$48,MATCH(5.7,'HIV-Other HPs'!$AW$41:$AW$48,0),MID(LEFT(AT$1,SEARCH(" ",AT$1)-1),2,3)-INDEX('HIV-Other HPs'!$AV$41:$AV$48,MATCH(5.7,'HIV-Other HPs'!$AW$41:$AW$48,0))),0)</f>
        <v>0</v>
      </c>
      <c r="AU198" s="525"/>
      <c r="AV198" s="525">
        <f>IFERROR(INDEX('HIV-Other HPs'!$BJ$41:$BJ$48,MATCH(5.7,'HIV-Other HPs'!$AW$41:$AW$48,0),0),0)-SUM(X198,AK198,AP198,AR198,AT198)</f>
        <v>0</v>
      </c>
      <c r="AW198" s="525"/>
      <c r="AX198" s="1154">
        <f t="shared" si="26"/>
        <v>0</v>
      </c>
      <c r="AY198" s="1154"/>
      <c r="AZ198" s="528"/>
      <c r="BA198" s="529"/>
      <c r="BB198" s="527"/>
      <c r="BC198" s="527">
        <v>0</v>
      </c>
      <c r="BD198" s="527">
        <v>0</v>
      </c>
      <c r="BE198" s="527">
        <v>0</v>
      </c>
      <c r="BF198" s="527">
        <v>0</v>
      </c>
      <c r="BG198" s="527">
        <v>0</v>
      </c>
      <c r="BH198" s="527">
        <v>0</v>
      </c>
      <c r="BI198" s="527">
        <v>0</v>
      </c>
      <c r="BJ198" s="527">
        <v>0</v>
      </c>
      <c r="BK198" s="1154">
        <f t="shared" si="27"/>
        <v>0</v>
      </c>
      <c r="BL198" s="1154"/>
      <c r="BM198" s="1154">
        <f t="shared" si="28"/>
        <v>0</v>
      </c>
      <c r="BN198" s="1154">
        <f t="shared" si="29"/>
        <v>0</v>
      </c>
      <c r="BO198" s="527"/>
      <c r="BP198" s="527"/>
      <c r="BQ198" s="1157" t="s">
        <v>2552</v>
      </c>
      <c r="BR198" s="1157" t="s">
        <v>690</v>
      </c>
      <c r="BS198" s="1157" t="s">
        <v>2511</v>
      </c>
      <c r="BT198" s="1376" t="s">
        <v>1509</v>
      </c>
    </row>
    <row r="199" spans="1:72" s="1371" customFormat="1" ht="13">
      <c r="A199" s="1204">
        <v>592</v>
      </c>
      <c r="B199" s="1205" t="s">
        <v>652</v>
      </c>
      <c r="C199" s="1205" t="s">
        <v>667</v>
      </c>
      <c r="D199" s="1206" t="s">
        <v>2513</v>
      </c>
      <c r="E199" s="1386" t="s">
        <v>664</v>
      </c>
      <c r="F199" s="521"/>
      <c r="G199" s="522"/>
      <c r="H199" s="522"/>
      <c r="I199" s="522"/>
      <c r="J199" s="523"/>
      <c r="K199" s="523"/>
      <c r="L199" s="523"/>
      <c r="M199" s="524" t="e">
        <f>X199/W199</f>
        <v>#DIV/0!</v>
      </c>
      <c r="N199" s="525"/>
      <c r="O199" s="526" t="s">
        <v>1237</v>
      </c>
      <c r="P199" s="525">
        <f>IFERROR(INDEX('HIV-Pharmaceuticals'!$AX$24:$BI$28,MATCH(4.4,'HIV-Pharmaceuticals'!$AW$24:$AW$28,0),MID(LEFT(P$1,SEARCH(" ",P$1)-1),2,3)-INDEX('HIV-Pharmaceuticals'!$AV$24:$AV$28,MATCH(4.4,'HIV-Pharmaceuticals'!$AW$24:$AW$28,0))),0)</f>
        <v>0</v>
      </c>
      <c r="Q199" s="525" t="s">
        <v>1237</v>
      </c>
      <c r="R199" s="525">
        <f>IFERROR(INDEX('HIV-Pharmaceuticals'!$AX$24:$BI$28,MATCH(4.4,'HIV-Pharmaceuticals'!$AW$24:$AW$28,0),MID(LEFT(R1,SEARCH(" ",R1)-1),2,3)-INDEX('HIV-Pharmaceuticals'!$AV$24:$AV$28,MATCH(4.4,'HIV-Pharmaceuticals'!$AW$24:$AW$28,0))),0)</f>
        <v>0</v>
      </c>
      <c r="S199" s="525" t="s">
        <v>1237</v>
      </c>
      <c r="T199" s="525">
        <f>IFERROR(INDEX('HIV-Pharmaceuticals'!$AX$24:$BI$28,MATCH(4.4,'HIV-Pharmaceuticals'!$AW$24:$AW$28,0),MID(LEFT(T1,SEARCH(" ",T1)-1),2,3)-INDEX('HIV-Pharmaceuticals'!$AV$24:$AV$28,MATCH(4.4,'HIV-Pharmaceuticals'!$AW$24:$AW$28,0))),0)</f>
        <v>0</v>
      </c>
      <c r="U199" s="525" t="s">
        <v>1237</v>
      </c>
      <c r="V199" s="525">
        <f>IFERROR(INDEX('HIV-Pharmaceuticals'!$AX$24:$BI$28,MATCH(4.4,'HIV-Pharmaceuticals'!$AW$24:$AW$28,0),MID(LEFT(V1,SEARCH(" ",V1)-1),2,3)-INDEX('HIV-Pharmaceuticals'!$AV$24:$AV$28,MATCH(4.4,'HIV-Pharmaceuticals'!$AW$24:$AW$28,0))),0)</f>
        <v>0</v>
      </c>
      <c r="W199" s="525"/>
      <c r="X199" s="1154">
        <f t="shared" si="24"/>
        <v>0</v>
      </c>
      <c r="Y199" s="1155"/>
      <c r="Z199" s="1156"/>
      <c r="AA199" s="529"/>
      <c r="AB199" s="525"/>
      <c r="AC199" s="525">
        <f>IFERROR(INDEX('HIV-Pharmaceuticals'!$AX$24:$BI$28,MATCH(4.4,'HIV-Pharmaceuticals'!$AW$24:$AW$28,0),MID(LEFT(AC1,SEARCH(" ",AC1)-1),2,3)-INDEX('HIV-Pharmaceuticals'!$AV$24:$AV$28,MATCH(4.4,'HIV-Pharmaceuticals'!$AW$24:$AW$28,0))),0)</f>
        <v>0</v>
      </c>
      <c r="AD199" s="525"/>
      <c r="AE199" s="525">
        <f>IFERROR(INDEX('HIV-Pharmaceuticals'!$AX$24:$BI$28,MATCH(4.4,'HIV-Pharmaceuticals'!$AW$24:$AW$28,0),MID(LEFT(AE1,SEARCH(" ",AE1)-1),2,3)-INDEX('HIV-Pharmaceuticals'!$AV$24:$AV$28,MATCH(4.4,'HIV-Pharmaceuticals'!$AW$24:$AW$28,0))),0)</f>
        <v>0</v>
      </c>
      <c r="AF199" s="525"/>
      <c r="AG199" s="525">
        <f>IFERROR(INDEX('HIV-Pharmaceuticals'!$AX$24:$BI$28,MATCH(4.4,'HIV-Pharmaceuticals'!$AW$24:$AW$28,0),MID(LEFT(AG1,SEARCH(" ",AG1)-1),2,3)-INDEX('HIV-Pharmaceuticals'!$AV$24:$AV$28,MATCH(4.4,'HIV-Pharmaceuticals'!$AW$24:$AW$28,0))),0)</f>
        <v>0</v>
      </c>
      <c r="AH199" s="525"/>
      <c r="AI199" s="525">
        <f>IFERROR(INDEX('HIV-Pharmaceuticals'!$AX$24:$BI$28,MATCH(4.4,'HIV-Pharmaceuticals'!$AW$24:$AW$28,0),MID(LEFT(AI1,SEARCH(" ",AI1)-1),2,3)-INDEX('HIV-Pharmaceuticals'!$AV$24:$AV$28,MATCH(4.4,'HIV-Pharmaceuticals'!$AW$24:$AW$28,0))),0)</f>
        <v>0</v>
      </c>
      <c r="AJ199" s="525"/>
      <c r="AK199" s="1154">
        <f t="shared" si="25"/>
        <v>0</v>
      </c>
      <c r="AL199" s="1155"/>
      <c r="AM199" s="1156"/>
      <c r="AN199" s="529"/>
      <c r="AO199" s="525"/>
      <c r="AP199" s="525">
        <f>IFERROR(INDEX('HIV-Pharmaceuticals'!$AX$24:$BI$28,MATCH(4.4,'HIV-Pharmaceuticals'!$AW$24:$AW$28,0),MID(LEFT(AP1,SEARCH(" ",AP1)-1),2,3)-INDEX('HIV-Pharmaceuticals'!$AV$24:$AV$28,MATCH(4.4,'HIV-Pharmaceuticals'!$AW$24:$AW$28,0))),0)</f>
        <v>0</v>
      </c>
      <c r="AQ199" s="525"/>
      <c r="AR199" s="525">
        <f>IFERROR(INDEX('HIV-Pharmaceuticals'!$AX$24:$BI$28,MATCH(4.4,'HIV-Pharmaceuticals'!$AW$24:$AW$28,0),MID(LEFT(AR1,SEARCH(" ",AR1)-1),2,3)-INDEX('HIV-Pharmaceuticals'!$AV$24:$AV$28,MATCH(4.4,'HIV-Pharmaceuticals'!$AW$24:$AW$28,0))),0)</f>
        <v>0</v>
      </c>
      <c r="AS199" s="525"/>
      <c r="AT199" s="525">
        <f>IFERROR(INDEX('HIV-Pharmaceuticals'!$AX$24:$BI$28,MATCH(4.4,'HIV-Pharmaceuticals'!$AW$24:$AW$28,0),MID(LEFT(AT1,SEARCH(" ",AT1)-1),2,3)-INDEX('HIV-Pharmaceuticals'!$AV$24:$AV$28,MATCH(4.4,'HIV-Pharmaceuticals'!$AW$24:$AW$28,0))),0)</f>
        <v>0</v>
      </c>
      <c r="AU199" s="525"/>
      <c r="AV199" s="525">
        <f>INDEX('HIV-Pharmaceuticals'!$BJ$24:$BJ$28,MATCH(4.4,'HIV-Pharmaceuticals'!$AW$24:$AW$28,0))-SUM(X199,AK199,AP199,AR199,AT199)</f>
        <v>0</v>
      </c>
      <c r="AW199" s="525"/>
      <c r="AX199" s="1154">
        <f t="shared" si="26"/>
        <v>0</v>
      </c>
      <c r="AY199" s="1154"/>
      <c r="AZ199" s="528"/>
      <c r="BA199" s="529"/>
      <c r="BB199" s="527"/>
      <c r="BC199" s="527">
        <v>0</v>
      </c>
      <c r="BD199" s="527">
        <v>0</v>
      </c>
      <c r="BE199" s="527">
        <v>0</v>
      </c>
      <c r="BF199" s="527">
        <v>0</v>
      </c>
      <c r="BG199" s="527">
        <v>0</v>
      </c>
      <c r="BH199" s="527">
        <v>0</v>
      </c>
      <c r="BI199" s="527">
        <v>0</v>
      </c>
      <c r="BJ199" s="527">
        <v>0</v>
      </c>
      <c r="BK199" s="1154">
        <f t="shared" si="27"/>
        <v>0</v>
      </c>
      <c r="BL199" s="1154"/>
      <c r="BM199" s="1154">
        <f t="shared" si="28"/>
        <v>0</v>
      </c>
      <c r="BN199" s="1154">
        <f t="shared" si="29"/>
        <v>0</v>
      </c>
      <c r="BO199" s="527"/>
      <c r="BP199" s="527"/>
      <c r="BQ199" s="1157" t="s">
        <v>2552</v>
      </c>
      <c r="BR199" s="1157" t="s">
        <v>690</v>
      </c>
      <c r="BS199" s="1157" t="s">
        <v>2513</v>
      </c>
      <c r="BT199" s="1376" t="s">
        <v>1510</v>
      </c>
    </row>
    <row r="200" spans="1:72" s="1371" customFormat="1" ht="13">
      <c r="A200" s="1204">
        <v>593</v>
      </c>
      <c r="B200" s="1205" t="s">
        <v>652</v>
      </c>
      <c r="C200" s="1205" t="s">
        <v>667</v>
      </c>
      <c r="D200" s="1206" t="s">
        <v>2512</v>
      </c>
      <c r="E200" s="1386" t="s">
        <v>528</v>
      </c>
      <c r="F200" s="521"/>
      <c r="G200" s="522"/>
      <c r="H200" s="522"/>
      <c r="I200" s="522"/>
      <c r="J200" s="523"/>
      <c r="K200" s="523"/>
      <c r="L200" s="523"/>
      <c r="M200" s="524"/>
      <c r="N200" s="525"/>
      <c r="O200" s="526" t="s">
        <v>1237</v>
      </c>
      <c r="P200" s="525">
        <f>'HPM costs'!F18</f>
        <v>0</v>
      </c>
      <c r="Q200" s="525" t="s">
        <v>1237</v>
      </c>
      <c r="R200" s="525">
        <f>'HPM costs'!G18</f>
        <v>0</v>
      </c>
      <c r="S200" s="525" t="s">
        <v>1237</v>
      </c>
      <c r="T200" s="525">
        <f>'HPM costs'!H18</f>
        <v>0</v>
      </c>
      <c r="U200" s="525" t="s">
        <v>1237</v>
      </c>
      <c r="V200" s="525">
        <f>'HPM costs'!I18</f>
        <v>0</v>
      </c>
      <c r="W200" s="525"/>
      <c r="X200" s="1154">
        <f t="shared" si="24"/>
        <v>0</v>
      </c>
      <c r="Y200" s="1155"/>
      <c r="Z200" s="1156"/>
      <c r="AA200" s="529"/>
      <c r="AB200" s="525"/>
      <c r="AC200" s="525">
        <f>'HPM costs'!K18</f>
        <v>0</v>
      </c>
      <c r="AD200" s="525"/>
      <c r="AE200" s="525">
        <f>'HPM costs'!L18</f>
        <v>0</v>
      </c>
      <c r="AF200" s="525"/>
      <c r="AG200" s="525">
        <f>'HPM costs'!M18</f>
        <v>0</v>
      </c>
      <c r="AH200" s="525"/>
      <c r="AI200" s="525">
        <f>'HPM costs'!N18</f>
        <v>0</v>
      </c>
      <c r="AJ200" s="525"/>
      <c r="AK200" s="1154">
        <f t="shared" si="25"/>
        <v>0</v>
      </c>
      <c r="AL200" s="1155"/>
      <c r="AM200" s="1156"/>
      <c r="AN200" s="529"/>
      <c r="AO200" s="525"/>
      <c r="AP200" s="525">
        <f>'HPM costs'!P18</f>
        <v>0</v>
      </c>
      <c r="AQ200" s="525"/>
      <c r="AR200" s="525">
        <f>'HPM costs'!Q18</f>
        <v>0</v>
      </c>
      <c r="AS200" s="525"/>
      <c r="AT200" s="525">
        <f>'HPM costs'!R18</f>
        <v>0</v>
      </c>
      <c r="AU200" s="525"/>
      <c r="AV200" s="525">
        <f>'HPM costs'!S18</f>
        <v>0</v>
      </c>
      <c r="AW200" s="525"/>
      <c r="AX200" s="1154">
        <f t="shared" si="26"/>
        <v>0</v>
      </c>
      <c r="AY200" s="1154"/>
      <c r="AZ200" s="528"/>
      <c r="BA200" s="529"/>
      <c r="BB200" s="527"/>
      <c r="BC200" s="527">
        <v>0</v>
      </c>
      <c r="BD200" s="527">
        <v>0</v>
      </c>
      <c r="BE200" s="527">
        <v>0</v>
      </c>
      <c r="BF200" s="527">
        <v>0</v>
      </c>
      <c r="BG200" s="527">
        <v>0</v>
      </c>
      <c r="BH200" s="527">
        <v>0</v>
      </c>
      <c r="BI200" s="527">
        <v>0</v>
      </c>
      <c r="BJ200" s="527">
        <v>0</v>
      </c>
      <c r="BK200" s="1154">
        <f t="shared" si="27"/>
        <v>0</v>
      </c>
      <c r="BL200" s="1154"/>
      <c r="BM200" s="1154">
        <f t="shared" si="28"/>
        <v>0</v>
      </c>
      <c r="BN200" s="1154">
        <f t="shared" si="29"/>
        <v>0</v>
      </c>
      <c r="BO200" s="527"/>
      <c r="BP200" s="527"/>
      <c r="BQ200" s="1157" t="s">
        <v>2552</v>
      </c>
      <c r="BR200" s="1157" t="s">
        <v>690</v>
      </c>
      <c r="BS200" s="1157" t="s">
        <v>527</v>
      </c>
      <c r="BT200" s="1376" t="s">
        <v>1870</v>
      </c>
    </row>
    <row r="201" spans="1:72" s="1371" customFormat="1" ht="13">
      <c r="A201" s="1204">
        <v>594</v>
      </c>
      <c r="B201" s="1205" t="s">
        <v>652</v>
      </c>
      <c r="C201" s="1205" t="s">
        <v>667</v>
      </c>
      <c r="D201" s="1206" t="s">
        <v>2512</v>
      </c>
      <c r="E201" s="1386" t="s">
        <v>530</v>
      </c>
      <c r="F201" s="521"/>
      <c r="G201" s="522"/>
      <c r="H201" s="522"/>
      <c r="I201" s="522"/>
      <c r="J201" s="523"/>
      <c r="K201" s="523"/>
      <c r="L201" s="523"/>
      <c r="M201" s="524"/>
      <c r="N201" s="525"/>
      <c r="O201" s="526" t="s">
        <v>1237</v>
      </c>
      <c r="P201" s="525">
        <f>'HPM costs'!F104</f>
        <v>0</v>
      </c>
      <c r="Q201" s="525" t="s">
        <v>1237</v>
      </c>
      <c r="R201" s="525">
        <f>'HPM costs'!G104</f>
        <v>0</v>
      </c>
      <c r="S201" s="525" t="s">
        <v>1237</v>
      </c>
      <c r="T201" s="525">
        <f>'HPM costs'!H104</f>
        <v>0</v>
      </c>
      <c r="U201" s="525" t="s">
        <v>1237</v>
      </c>
      <c r="V201" s="525">
        <f>'HPM costs'!I104</f>
        <v>0</v>
      </c>
      <c r="W201" s="525"/>
      <c r="X201" s="1154">
        <f t="shared" si="24"/>
        <v>0</v>
      </c>
      <c r="Y201" s="1155"/>
      <c r="Z201" s="1156"/>
      <c r="AA201" s="529"/>
      <c r="AB201" s="525"/>
      <c r="AC201" s="525">
        <f>'HPM costs'!K104</f>
        <v>0</v>
      </c>
      <c r="AD201" s="525"/>
      <c r="AE201" s="525">
        <f>'HPM costs'!L104</f>
        <v>0</v>
      </c>
      <c r="AF201" s="525"/>
      <c r="AG201" s="525">
        <f>'HPM costs'!M104</f>
        <v>0</v>
      </c>
      <c r="AH201" s="525"/>
      <c r="AI201" s="525">
        <f>'HPM costs'!N104</f>
        <v>0</v>
      </c>
      <c r="AJ201" s="525"/>
      <c r="AK201" s="1154">
        <f t="shared" si="25"/>
        <v>0</v>
      </c>
      <c r="AL201" s="1155"/>
      <c r="AM201" s="1156"/>
      <c r="AN201" s="529"/>
      <c r="AO201" s="525"/>
      <c r="AP201" s="525">
        <f>'HPM costs'!P104</f>
        <v>0</v>
      </c>
      <c r="AQ201" s="525"/>
      <c r="AR201" s="525">
        <f>'HPM costs'!Q104</f>
        <v>0</v>
      </c>
      <c r="AS201" s="525"/>
      <c r="AT201" s="525">
        <f>'HPM costs'!R104</f>
        <v>0</v>
      </c>
      <c r="AU201" s="525"/>
      <c r="AV201" s="525">
        <f>'HPM costs'!S104</f>
        <v>0</v>
      </c>
      <c r="AW201" s="525"/>
      <c r="AX201" s="1154">
        <f t="shared" si="26"/>
        <v>0</v>
      </c>
      <c r="AY201" s="1154"/>
      <c r="AZ201" s="528"/>
      <c r="BA201" s="529"/>
      <c r="BB201" s="527"/>
      <c r="BC201" s="527">
        <v>0</v>
      </c>
      <c r="BD201" s="527">
        <v>0</v>
      </c>
      <c r="BE201" s="527">
        <v>0</v>
      </c>
      <c r="BF201" s="527">
        <v>0</v>
      </c>
      <c r="BG201" s="527">
        <v>0</v>
      </c>
      <c r="BH201" s="527">
        <v>0</v>
      </c>
      <c r="BI201" s="527">
        <v>0</v>
      </c>
      <c r="BJ201" s="527">
        <v>0</v>
      </c>
      <c r="BK201" s="1154">
        <f t="shared" si="27"/>
        <v>0</v>
      </c>
      <c r="BL201" s="1154"/>
      <c r="BM201" s="1154">
        <f t="shared" si="28"/>
        <v>0</v>
      </c>
      <c r="BN201" s="1154">
        <f t="shared" si="29"/>
        <v>0</v>
      </c>
      <c r="BO201" s="527"/>
      <c r="BP201" s="527"/>
      <c r="BQ201" s="1157" t="s">
        <v>2552</v>
      </c>
      <c r="BR201" s="1157" t="s">
        <v>690</v>
      </c>
      <c r="BS201" s="1157" t="s">
        <v>527</v>
      </c>
      <c r="BT201" s="1376" t="s">
        <v>1871</v>
      </c>
    </row>
    <row r="202" spans="1:72" s="1371" customFormat="1" ht="13">
      <c r="A202" s="1204">
        <v>595</v>
      </c>
      <c r="B202" s="1205" t="s">
        <v>652</v>
      </c>
      <c r="C202" s="1205" t="s">
        <v>667</v>
      </c>
      <c r="D202" s="1206" t="s">
        <v>2512</v>
      </c>
      <c r="E202" s="1386" t="s">
        <v>532</v>
      </c>
      <c r="F202" s="521"/>
      <c r="G202" s="522"/>
      <c r="H202" s="522"/>
      <c r="I202" s="522"/>
      <c r="J202" s="523"/>
      <c r="K202" s="523"/>
      <c r="L202" s="523"/>
      <c r="M202" s="524"/>
      <c r="N202" s="525"/>
      <c r="O202" s="526" t="s">
        <v>1237</v>
      </c>
      <c r="P202" s="525">
        <f>'HPM costs'!F364</f>
        <v>0</v>
      </c>
      <c r="Q202" s="525" t="s">
        <v>1237</v>
      </c>
      <c r="R202" s="525">
        <f>'HPM costs'!G364</f>
        <v>0</v>
      </c>
      <c r="S202" s="525" t="s">
        <v>1237</v>
      </c>
      <c r="T202" s="525">
        <f>'HPM costs'!H364</f>
        <v>0</v>
      </c>
      <c r="U202" s="525" t="s">
        <v>1237</v>
      </c>
      <c r="V202" s="525">
        <f>'HPM costs'!I364</f>
        <v>0</v>
      </c>
      <c r="W202" s="525"/>
      <c r="X202" s="1154">
        <f t="shared" si="24"/>
        <v>0</v>
      </c>
      <c r="Y202" s="1155"/>
      <c r="Z202" s="1156"/>
      <c r="AA202" s="529"/>
      <c r="AB202" s="525"/>
      <c r="AC202" s="525">
        <f>'HPM costs'!K364</f>
        <v>0</v>
      </c>
      <c r="AD202" s="525"/>
      <c r="AE202" s="525">
        <f>'HPM costs'!L364</f>
        <v>0</v>
      </c>
      <c r="AF202" s="525"/>
      <c r="AG202" s="525">
        <f>'HPM costs'!M364</f>
        <v>0</v>
      </c>
      <c r="AH202" s="525"/>
      <c r="AI202" s="525">
        <f>'HPM costs'!N364</f>
        <v>0</v>
      </c>
      <c r="AJ202" s="525"/>
      <c r="AK202" s="1154">
        <f t="shared" si="25"/>
        <v>0</v>
      </c>
      <c r="AL202" s="1155"/>
      <c r="AM202" s="1156"/>
      <c r="AN202" s="529"/>
      <c r="AO202" s="525"/>
      <c r="AP202" s="525">
        <f>'HPM costs'!P364</f>
        <v>0</v>
      </c>
      <c r="AQ202" s="525"/>
      <c r="AR202" s="525">
        <f>'HPM costs'!Q364</f>
        <v>0</v>
      </c>
      <c r="AS202" s="525"/>
      <c r="AT202" s="525">
        <f>'HPM costs'!R364</f>
        <v>0</v>
      </c>
      <c r="AU202" s="525"/>
      <c r="AV202" s="525">
        <f>'HPM costs'!S364</f>
        <v>0</v>
      </c>
      <c r="AW202" s="525"/>
      <c r="AX202" s="1154">
        <f t="shared" si="26"/>
        <v>0</v>
      </c>
      <c r="AY202" s="1154"/>
      <c r="AZ202" s="528"/>
      <c r="BA202" s="529"/>
      <c r="BB202" s="527"/>
      <c r="BC202" s="527">
        <v>0</v>
      </c>
      <c r="BD202" s="527">
        <v>0</v>
      </c>
      <c r="BE202" s="527">
        <v>0</v>
      </c>
      <c r="BF202" s="527">
        <v>0</v>
      </c>
      <c r="BG202" s="527">
        <v>0</v>
      </c>
      <c r="BH202" s="527">
        <v>0</v>
      </c>
      <c r="BI202" s="527">
        <v>0</v>
      </c>
      <c r="BJ202" s="527">
        <v>0</v>
      </c>
      <c r="BK202" s="1154">
        <f t="shared" si="27"/>
        <v>0</v>
      </c>
      <c r="BL202" s="1154"/>
      <c r="BM202" s="1154">
        <f t="shared" si="28"/>
        <v>0</v>
      </c>
      <c r="BN202" s="1154">
        <f t="shared" si="29"/>
        <v>0</v>
      </c>
      <c r="BO202" s="527"/>
      <c r="BP202" s="527"/>
      <c r="BQ202" s="1157" t="s">
        <v>2552</v>
      </c>
      <c r="BR202" s="1157" t="s">
        <v>690</v>
      </c>
      <c r="BS202" s="1157" t="s">
        <v>527</v>
      </c>
      <c r="BT202" s="1376" t="s">
        <v>1872</v>
      </c>
    </row>
    <row r="203" spans="1:72" s="1371" customFormat="1" ht="13">
      <c r="A203" s="1204">
        <v>596</v>
      </c>
      <c r="B203" s="1205" t="s">
        <v>652</v>
      </c>
      <c r="C203" s="1205" t="s">
        <v>667</v>
      </c>
      <c r="D203" s="1206" t="s">
        <v>2512</v>
      </c>
      <c r="E203" s="1386" t="s">
        <v>534</v>
      </c>
      <c r="F203" s="521"/>
      <c r="G203" s="522"/>
      <c r="H203" s="522"/>
      <c r="I203" s="522"/>
      <c r="J203" s="523"/>
      <c r="K203" s="523"/>
      <c r="L203" s="523"/>
      <c r="M203" s="524"/>
      <c r="N203" s="525"/>
      <c r="O203" s="526" t="s">
        <v>1237</v>
      </c>
      <c r="P203" s="525">
        <f>'HPM costs'!F450</f>
        <v>0</v>
      </c>
      <c r="Q203" s="525" t="s">
        <v>1237</v>
      </c>
      <c r="R203" s="525">
        <f>'HPM costs'!G450</f>
        <v>0</v>
      </c>
      <c r="S203" s="525" t="s">
        <v>1237</v>
      </c>
      <c r="T203" s="525">
        <f>'HPM costs'!H450</f>
        <v>0</v>
      </c>
      <c r="U203" s="525" t="s">
        <v>1237</v>
      </c>
      <c r="V203" s="525">
        <f>'HPM costs'!I450</f>
        <v>0</v>
      </c>
      <c r="W203" s="525"/>
      <c r="X203" s="1154">
        <f t="shared" si="24"/>
        <v>0</v>
      </c>
      <c r="Y203" s="1155"/>
      <c r="Z203" s="1156"/>
      <c r="AA203" s="529"/>
      <c r="AB203" s="525"/>
      <c r="AC203" s="525">
        <f>'HPM costs'!K450</f>
        <v>0</v>
      </c>
      <c r="AD203" s="525"/>
      <c r="AE203" s="525">
        <f>'HPM costs'!L450</f>
        <v>0</v>
      </c>
      <c r="AF203" s="525"/>
      <c r="AG203" s="525">
        <f>'HPM costs'!M450</f>
        <v>0</v>
      </c>
      <c r="AH203" s="525"/>
      <c r="AI203" s="525">
        <f>'HPM costs'!N450</f>
        <v>0</v>
      </c>
      <c r="AJ203" s="525"/>
      <c r="AK203" s="1154">
        <f t="shared" si="25"/>
        <v>0</v>
      </c>
      <c r="AL203" s="1155"/>
      <c r="AM203" s="1156"/>
      <c r="AN203" s="529"/>
      <c r="AO203" s="525"/>
      <c r="AP203" s="525">
        <f>'HPM costs'!P450</f>
        <v>0</v>
      </c>
      <c r="AQ203" s="525"/>
      <c r="AR203" s="525">
        <f>'HPM costs'!Q450</f>
        <v>0</v>
      </c>
      <c r="AS203" s="525"/>
      <c r="AT203" s="525">
        <f>'HPM costs'!R450</f>
        <v>0</v>
      </c>
      <c r="AU203" s="525"/>
      <c r="AV203" s="525">
        <f>'HPM costs'!S450</f>
        <v>0</v>
      </c>
      <c r="AW203" s="525"/>
      <c r="AX203" s="1154">
        <f t="shared" si="26"/>
        <v>0</v>
      </c>
      <c r="AY203" s="1154"/>
      <c r="AZ203" s="528"/>
      <c r="BA203" s="529"/>
      <c r="BB203" s="527"/>
      <c r="BC203" s="527">
        <v>0</v>
      </c>
      <c r="BD203" s="527">
        <v>0</v>
      </c>
      <c r="BE203" s="527">
        <v>0</v>
      </c>
      <c r="BF203" s="527">
        <v>0</v>
      </c>
      <c r="BG203" s="527">
        <v>0</v>
      </c>
      <c r="BH203" s="527">
        <v>0</v>
      </c>
      <c r="BI203" s="527">
        <v>0</v>
      </c>
      <c r="BJ203" s="527">
        <v>0</v>
      </c>
      <c r="BK203" s="1154">
        <f t="shared" si="27"/>
        <v>0</v>
      </c>
      <c r="BL203" s="1154"/>
      <c r="BM203" s="1154">
        <f t="shared" si="28"/>
        <v>0</v>
      </c>
      <c r="BN203" s="1154">
        <f t="shared" si="29"/>
        <v>0</v>
      </c>
      <c r="BO203" s="527"/>
      <c r="BP203" s="527"/>
      <c r="BQ203" s="1157" t="s">
        <v>2552</v>
      </c>
      <c r="BR203" s="1157" t="s">
        <v>690</v>
      </c>
      <c r="BS203" s="1157" t="s">
        <v>527</v>
      </c>
      <c r="BT203" s="1376" t="s">
        <v>1873</v>
      </c>
    </row>
    <row r="204" spans="1:72" s="1371" customFormat="1" ht="13">
      <c r="A204" s="1204">
        <v>597</v>
      </c>
      <c r="B204" s="1205" t="s">
        <v>652</v>
      </c>
      <c r="C204" s="1205" t="s">
        <v>667</v>
      </c>
      <c r="D204" s="1206" t="s">
        <v>2512</v>
      </c>
      <c r="E204" s="1386" t="s">
        <v>536</v>
      </c>
      <c r="F204" s="521"/>
      <c r="G204" s="522"/>
      <c r="H204" s="522"/>
      <c r="I204" s="522"/>
      <c r="J204" s="523"/>
      <c r="K204" s="523"/>
      <c r="L204" s="523"/>
      <c r="M204" s="524"/>
      <c r="N204" s="525"/>
      <c r="O204" s="526" t="s">
        <v>1237</v>
      </c>
      <c r="P204" s="525">
        <f>'HPM costs'!F190+'HPM costs'!F536</f>
        <v>0</v>
      </c>
      <c r="Q204" s="525" t="s">
        <v>1237</v>
      </c>
      <c r="R204" s="525">
        <f>'HPM costs'!G190+'HPM costs'!G536</f>
        <v>0</v>
      </c>
      <c r="S204" s="525" t="s">
        <v>1237</v>
      </c>
      <c r="T204" s="525">
        <f>'HPM costs'!H190+'HPM costs'!H536</f>
        <v>0</v>
      </c>
      <c r="U204" s="525" t="s">
        <v>1237</v>
      </c>
      <c r="V204" s="525">
        <f>'HPM costs'!I190+'HPM costs'!I536</f>
        <v>0</v>
      </c>
      <c r="W204" s="525"/>
      <c r="X204" s="1154">
        <f t="shared" si="24"/>
        <v>0</v>
      </c>
      <c r="Y204" s="1155"/>
      <c r="Z204" s="1156"/>
      <c r="AA204" s="529"/>
      <c r="AB204" s="525"/>
      <c r="AC204" s="525">
        <f>'HPM costs'!K190+'HPM costs'!K536</f>
        <v>0</v>
      </c>
      <c r="AD204" s="525"/>
      <c r="AE204" s="525">
        <f>'HPM costs'!L190+'HPM costs'!L536</f>
        <v>0</v>
      </c>
      <c r="AF204" s="525"/>
      <c r="AG204" s="525">
        <f>'HPM costs'!M190+'HPM costs'!M536</f>
        <v>0</v>
      </c>
      <c r="AH204" s="525"/>
      <c r="AI204" s="525">
        <f>'HPM costs'!N190+'HPM costs'!N536</f>
        <v>0</v>
      </c>
      <c r="AJ204" s="525"/>
      <c r="AK204" s="1154">
        <f t="shared" si="25"/>
        <v>0</v>
      </c>
      <c r="AL204" s="1155"/>
      <c r="AM204" s="1156"/>
      <c r="AN204" s="529"/>
      <c r="AO204" s="525"/>
      <c r="AP204" s="525">
        <f>'HPM costs'!P190+'HPM costs'!P536</f>
        <v>0</v>
      </c>
      <c r="AQ204" s="525"/>
      <c r="AR204" s="525">
        <f>'HPM costs'!Q190+'HPM costs'!Q536</f>
        <v>0</v>
      </c>
      <c r="AS204" s="525"/>
      <c r="AT204" s="525">
        <f>'HPM costs'!R190+'HPM costs'!R536</f>
        <v>0</v>
      </c>
      <c r="AU204" s="525"/>
      <c r="AV204" s="525">
        <f>'HPM costs'!S190+'HPM costs'!S536</f>
        <v>0</v>
      </c>
      <c r="AW204" s="525"/>
      <c r="AX204" s="1154">
        <f t="shared" si="26"/>
        <v>0</v>
      </c>
      <c r="AY204" s="1154"/>
      <c r="AZ204" s="528"/>
      <c r="BA204" s="529"/>
      <c r="BB204" s="527"/>
      <c r="BC204" s="527">
        <v>0</v>
      </c>
      <c r="BD204" s="527">
        <v>0</v>
      </c>
      <c r="BE204" s="527">
        <v>0</v>
      </c>
      <c r="BF204" s="527">
        <v>0</v>
      </c>
      <c r="BG204" s="527">
        <v>0</v>
      </c>
      <c r="BH204" s="527">
        <v>0</v>
      </c>
      <c r="BI204" s="527">
        <v>0</v>
      </c>
      <c r="BJ204" s="527">
        <v>0</v>
      </c>
      <c r="BK204" s="1154">
        <f t="shared" si="27"/>
        <v>0</v>
      </c>
      <c r="BL204" s="1154"/>
      <c r="BM204" s="1154">
        <f t="shared" si="28"/>
        <v>0</v>
      </c>
      <c r="BN204" s="1154">
        <f t="shared" si="29"/>
        <v>0</v>
      </c>
      <c r="BO204" s="527"/>
      <c r="BP204" s="527"/>
      <c r="BQ204" s="1157" t="s">
        <v>2552</v>
      </c>
      <c r="BR204" s="1157" t="s">
        <v>690</v>
      </c>
      <c r="BS204" s="1157" t="s">
        <v>527</v>
      </c>
      <c r="BT204" s="1376" t="s">
        <v>1874</v>
      </c>
    </row>
    <row r="205" spans="1:72" s="1371" customFormat="1" ht="13">
      <c r="A205" s="1204">
        <v>598</v>
      </c>
      <c r="B205" s="1205" t="s">
        <v>652</v>
      </c>
      <c r="C205" s="1205" t="s">
        <v>667</v>
      </c>
      <c r="D205" s="1206" t="s">
        <v>2512</v>
      </c>
      <c r="E205" s="1386" t="s">
        <v>538</v>
      </c>
      <c r="F205" s="521"/>
      <c r="G205" s="522"/>
      <c r="H205" s="522"/>
      <c r="I205" s="522"/>
      <c r="J205" s="523"/>
      <c r="K205" s="523"/>
      <c r="L205" s="523"/>
      <c r="M205" s="524"/>
      <c r="N205" s="525"/>
      <c r="O205" s="526" t="s">
        <v>1237</v>
      </c>
      <c r="P205" s="525">
        <f>'HPM costs'!F276</f>
        <v>0</v>
      </c>
      <c r="Q205" s="525" t="s">
        <v>1237</v>
      </c>
      <c r="R205" s="525">
        <f>'HPM costs'!G276</f>
        <v>0</v>
      </c>
      <c r="S205" s="525" t="s">
        <v>1237</v>
      </c>
      <c r="T205" s="525">
        <f>'HPM costs'!H276</f>
        <v>0</v>
      </c>
      <c r="U205" s="525" t="s">
        <v>1237</v>
      </c>
      <c r="V205" s="525">
        <f>'HPM costs'!I276</f>
        <v>0</v>
      </c>
      <c r="W205" s="525"/>
      <c r="X205" s="1154">
        <f t="shared" si="24"/>
        <v>0</v>
      </c>
      <c r="Y205" s="1155"/>
      <c r="Z205" s="1156"/>
      <c r="AA205" s="529"/>
      <c r="AB205" s="525"/>
      <c r="AC205" s="525">
        <f>'HPM costs'!K276</f>
        <v>0</v>
      </c>
      <c r="AD205" s="525"/>
      <c r="AE205" s="525">
        <f>'HPM costs'!L276</f>
        <v>0</v>
      </c>
      <c r="AF205" s="525"/>
      <c r="AG205" s="525">
        <f>'HPM costs'!M276</f>
        <v>0</v>
      </c>
      <c r="AH205" s="525"/>
      <c r="AI205" s="525">
        <f>'HPM costs'!N276</f>
        <v>0</v>
      </c>
      <c r="AJ205" s="525"/>
      <c r="AK205" s="1154">
        <f t="shared" si="25"/>
        <v>0</v>
      </c>
      <c r="AL205" s="1155"/>
      <c r="AM205" s="1156"/>
      <c r="AN205" s="529"/>
      <c r="AO205" s="525"/>
      <c r="AP205" s="525">
        <f>'HPM costs'!P276</f>
        <v>0</v>
      </c>
      <c r="AQ205" s="525"/>
      <c r="AR205" s="525">
        <f>'HPM costs'!Q276</f>
        <v>0</v>
      </c>
      <c r="AS205" s="525"/>
      <c r="AT205" s="525">
        <f>'HPM costs'!R276</f>
        <v>0</v>
      </c>
      <c r="AU205" s="525"/>
      <c r="AV205" s="525">
        <f>'HPM costs'!S276</f>
        <v>0</v>
      </c>
      <c r="AW205" s="525"/>
      <c r="AX205" s="1154">
        <f t="shared" si="26"/>
        <v>0</v>
      </c>
      <c r="AY205" s="1154"/>
      <c r="AZ205" s="528"/>
      <c r="BA205" s="529"/>
      <c r="BB205" s="527"/>
      <c r="BC205" s="527">
        <v>0</v>
      </c>
      <c r="BD205" s="527">
        <v>0</v>
      </c>
      <c r="BE205" s="527">
        <v>0</v>
      </c>
      <c r="BF205" s="527">
        <v>0</v>
      </c>
      <c r="BG205" s="527">
        <v>0</v>
      </c>
      <c r="BH205" s="527">
        <v>0</v>
      </c>
      <c r="BI205" s="527">
        <v>0</v>
      </c>
      <c r="BJ205" s="527">
        <v>0</v>
      </c>
      <c r="BK205" s="1154">
        <f t="shared" si="27"/>
        <v>0</v>
      </c>
      <c r="BL205" s="1154"/>
      <c r="BM205" s="1154">
        <f t="shared" si="28"/>
        <v>0</v>
      </c>
      <c r="BN205" s="1154">
        <f t="shared" si="29"/>
        <v>0</v>
      </c>
      <c r="BO205" s="527"/>
      <c r="BP205" s="527"/>
      <c r="BQ205" s="1157" t="s">
        <v>2552</v>
      </c>
      <c r="BR205" s="1157" t="s">
        <v>690</v>
      </c>
      <c r="BS205" s="1157" t="s">
        <v>527</v>
      </c>
      <c r="BT205" s="1376" t="s">
        <v>1875</v>
      </c>
    </row>
    <row r="206" spans="1:72" s="1371" customFormat="1" ht="13">
      <c r="A206" s="1204">
        <v>599</v>
      </c>
      <c r="B206" s="1205" t="s">
        <v>652</v>
      </c>
      <c r="C206" s="1205" t="s">
        <v>667</v>
      </c>
      <c r="D206" s="1206" t="s">
        <v>2512</v>
      </c>
      <c r="E206" s="1386" t="s">
        <v>540</v>
      </c>
      <c r="F206" s="521"/>
      <c r="G206" s="522"/>
      <c r="H206" s="522"/>
      <c r="I206" s="522"/>
      <c r="J206" s="523"/>
      <c r="K206" s="523"/>
      <c r="L206" s="523"/>
      <c r="M206" s="524" t="e">
        <f>X206/W206</f>
        <v>#DIV/0!</v>
      </c>
      <c r="N206" s="525"/>
      <c r="O206" s="526" t="s">
        <v>1237</v>
      </c>
      <c r="P206" s="525">
        <f>'HPM costs'!F621</f>
        <v>0</v>
      </c>
      <c r="Q206" s="525" t="s">
        <v>1237</v>
      </c>
      <c r="R206" s="525">
        <f>'HPM costs'!G621</f>
        <v>0</v>
      </c>
      <c r="S206" s="525" t="s">
        <v>1237</v>
      </c>
      <c r="T206" s="525">
        <f>'HPM costs'!H621</f>
        <v>0</v>
      </c>
      <c r="U206" s="525" t="s">
        <v>1237</v>
      </c>
      <c r="V206" s="525">
        <f>'HPM costs'!I621</f>
        <v>0</v>
      </c>
      <c r="W206" s="525"/>
      <c r="X206" s="1154">
        <f t="shared" si="24"/>
        <v>0</v>
      </c>
      <c r="Y206" s="1155"/>
      <c r="Z206" s="1156"/>
      <c r="AA206" s="529"/>
      <c r="AB206" s="525"/>
      <c r="AC206" s="525">
        <f>'HPM costs'!K621</f>
        <v>0</v>
      </c>
      <c r="AD206" s="525"/>
      <c r="AE206" s="525">
        <f>'HPM costs'!L621</f>
        <v>0</v>
      </c>
      <c r="AF206" s="525"/>
      <c r="AG206" s="525">
        <f>'HPM costs'!M621</f>
        <v>0</v>
      </c>
      <c r="AH206" s="525"/>
      <c r="AI206" s="525">
        <f>'HPM costs'!N621</f>
        <v>0</v>
      </c>
      <c r="AJ206" s="525"/>
      <c r="AK206" s="1154">
        <f t="shared" si="25"/>
        <v>0</v>
      </c>
      <c r="AL206" s="1155"/>
      <c r="AM206" s="1156"/>
      <c r="AN206" s="529"/>
      <c r="AO206" s="525"/>
      <c r="AP206" s="525">
        <f>'HPM costs'!P621</f>
        <v>0</v>
      </c>
      <c r="AQ206" s="525"/>
      <c r="AR206" s="525">
        <f>'HPM costs'!Q621</f>
        <v>0</v>
      </c>
      <c r="AS206" s="525"/>
      <c r="AT206" s="525">
        <f>'HPM costs'!R621</f>
        <v>0</v>
      </c>
      <c r="AU206" s="525"/>
      <c r="AV206" s="525">
        <f>'HPM costs'!S621</f>
        <v>0</v>
      </c>
      <c r="AW206" s="525"/>
      <c r="AX206" s="1154">
        <f t="shared" si="26"/>
        <v>0</v>
      </c>
      <c r="AY206" s="1154"/>
      <c r="AZ206" s="528"/>
      <c r="BA206" s="529"/>
      <c r="BB206" s="527"/>
      <c r="BC206" s="527">
        <v>0</v>
      </c>
      <c r="BD206" s="527">
        <v>0</v>
      </c>
      <c r="BE206" s="527">
        <v>0</v>
      </c>
      <c r="BF206" s="527">
        <v>0</v>
      </c>
      <c r="BG206" s="527">
        <v>0</v>
      </c>
      <c r="BH206" s="527">
        <v>0</v>
      </c>
      <c r="BI206" s="527">
        <v>0</v>
      </c>
      <c r="BJ206" s="527">
        <v>0</v>
      </c>
      <c r="BK206" s="1154">
        <f t="shared" si="27"/>
        <v>0</v>
      </c>
      <c r="BL206" s="1154"/>
      <c r="BM206" s="1154">
        <f t="shared" si="28"/>
        <v>0</v>
      </c>
      <c r="BN206" s="1154">
        <f t="shared" si="29"/>
        <v>0</v>
      </c>
      <c r="BO206" s="527"/>
      <c r="BP206" s="527"/>
      <c r="BQ206" s="1157" t="s">
        <v>2552</v>
      </c>
      <c r="BR206" s="1157" t="s">
        <v>690</v>
      </c>
      <c r="BS206" s="1157" t="s">
        <v>527</v>
      </c>
      <c r="BT206" s="1376" t="s">
        <v>1876</v>
      </c>
    </row>
    <row r="207" spans="1:72" s="1371" customFormat="1" ht="13">
      <c r="A207" s="1204">
        <v>608</v>
      </c>
      <c r="B207" s="1205" t="s">
        <v>652</v>
      </c>
      <c r="C207" s="1205" t="s">
        <v>661</v>
      </c>
      <c r="D207" s="1206" t="s">
        <v>2514</v>
      </c>
      <c r="E207" s="1386" t="s">
        <v>663</v>
      </c>
      <c r="F207" s="521"/>
      <c r="G207" s="522"/>
      <c r="H207" s="522"/>
      <c r="I207" s="522"/>
      <c r="J207" s="523"/>
      <c r="K207" s="523"/>
      <c r="L207" s="523"/>
      <c r="M207" s="524"/>
      <c r="N207" s="525"/>
      <c r="O207" s="526" t="s">
        <v>1237</v>
      </c>
      <c r="P207" s="525">
        <f>'HIV-Key Info'!$E$69*IFERROR(INDEX('HIV-Other HPs'!$AX$41:$BI$48,MATCH(5.2,'HIV-Other HPs'!$AW$41:$AW$48,0),MID(LEFT(P$1,SEARCH(" ",P$1)-1),2,3)-INDEX('HIV-Other HPs'!$AV$41:$AV$48,MATCH(5.2,'HIV-Other HPs'!$AW$41:$AW$48,0))),0)</f>
        <v>0</v>
      </c>
      <c r="Q207" s="525" t="s">
        <v>1237</v>
      </c>
      <c r="R207" s="525">
        <f>'HIV-Key Info'!$E$69*IFERROR(INDEX('HIV-Other HPs'!$AX$41:$BI$48,MATCH(5.2,'HIV-Other HPs'!$AW$41:$AW$48,0),MID(LEFT(R$1,SEARCH(" ",R$1)-1),2,3)-INDEX('HIV-Other HPs'!$AV$41:$AV$48,MATCH(5.2,'HIV-Other HPs'!$AW$41:$AW$48,0))),0)</f>
        <v>0</v>
      </c>
      <c r="S207" s="525" t="s">
        <v>1237</v>
      </c>
      <c r="T207" s="525">
        <f>'HIV-Key Info'!$E$69*IFERROR(INDEX('HIV-Other HPs'!$AX$41:$BI$48,MATCH(5.2,'HIV-Other HPs'!$AW$41:$AW$48,0),MID(LEFT(T$1,SEARCH(" ",T$1)-1),2,3)-INDEX('HIV-Other HPs'!$AV$41:$AV$48,MATCH(5.2,'HIV-Other HPs'!$AW$41:$AW$48,0))),0)</f>
        <v>0</v>
      </c>
      <c r="U207" s="525" t="s">
        <v>1237</v>
      </c>
      <c r="V207" s="525">
        <f>'HIV-Key Info'!$E$69*IFERROR(INDEX('HIV-Other HPs'!$AX$41:$BI$48,MATCH(5.2,'HIV-Other HPs'!$AW$41:$AW$48,0),MID(LEFT(V$1,SEARCH(" ",V$1)-1),2,3)-INDEX('HIV-Other HPs'!$AV$41:$AV$48,MATCH(5.2,'HIV-Other HPs'!$AW$41:$AW$48,0))),0)</f>
        <v>0</v>
      </c>
      <c r="W207" s="525"/>
      <c r="X207" s="1154">
        <f t="shared" si="24"/>
        <v>0</v>
      </c>
      <c r="Y207" s="1155"/>
      <c r="Z207" s="1156"/>
      <c r="AA207" s="529"/>
      <c r="AB207" s="525"/>
      <c r="AC207" s="525">
        <f>'HIV-Key Info'!$E$69*IFERROR(INDEX('HIV-Other HPs'!$AX$41:$BI$48,MATCH(5.2,'HIV-Other HPs'!$AW$41:$AW$48,0),MID(LEFT(AC$1,SEARCH(" ",AC$1)-1),2,3)-INDEX('HIV-Other HPs'!$AV$41:$AV$48,MATCH(5.2,'HIV-Other HPs'!$AW$41:$AW$48,0))),0)</f>
        <v>0</v>
      </c>
      <c r="AD207" s="525"/>
      <c r="AE207" s="525">
        <f>'HIV-Key Info'!$E$69*IFERROR(INDEX('HIV-Other HPs'!$AX$41:$BI$48,MATCH(5.2,'HIV-Other HPs'!$AW$41:$AW$48,0),MID(LEFT(AE$1,SEARCH(" ",AE$1)-1),2,3)-INDEX('HIV-Other HPs'!$AV$41:$AV$48,MATCH(5.2,'HIV-Other HPs'!$AW$41:$AW$48,0))),0)</f>
        <v>0</v>
      </c>
      <c r="AF207" s="525"/>
      <c r="AG207" s="525">
        <f>'HIV-Key Info'!$E$69*IFERROR(INDEX('HIV-Other HPs'!$AX$41:$BI$48,MATCH(5.2,'HIV-Other HPs'!$AW$41:$AW$48,0),MID(LEFT(AG$1,SEARCH(" ",AG$1)-1),2,3)-INDEX('HIV-Other HPs'!$AV$41:$AV$48,MATCH(5.2,'HIV-Other HPs'!$AW$41:$AW$48,0))),0)</f>
        <v>0</v>
      </c>
      <c r="AH207" s="525"/>
      <c r="AI207" s="525">
        <f>'HIV-Key Info'!$E$69*IFERROR(INDEX('HIV-Other HPs'!$AX$41:$BI$48,MATCH(5.2,'HIV-Other HPs'!$AW$41:$AW$48,0),MID(LEFT(AI$1,SEARCH(" ",AI$1)-1),2,3)-INDEX('HIV-Other HPs'!$AV$41:$AV$48,MATCH(5.2,'HIV-Other HPs'!$AW$41:$AW$48,0))),0)</f>
        <v>0</v>
      </c>
      <c r="AJ207" s="525"/>
      <c r="AK207" s="1154">
        <f t="shared" si="25"/>
        <v>0</v>
      </c>
      <c r="AL207" s="1155"/>
      <c r="AM207" s="1156"/>
      <c r="AN207" s="529"/>
      <c r="AO207" s="525"/>
      <c r="AP207" s="525">
        <f>'HIV-Key Info'!$E$69*IFERROR(INDEX('HIV-Other HPs'!$AX$41:$BI$48,MATCH(5.2,'HIV-Other HPs'!$AW$41:$AW$48,0),MID(LEFT(AP$1,SEARCH(" ",AP$1)-1),2,3)-INDEX('HIV-Other HPs'!$AV$41:$AV$48,MATCH(5.2,'HIV-Other HPs'!$AW$41:$AW$48,0))),0)</f>
        <v>0</v>
      </c>
      <c r="AQ207" s="525"/>
      <c r="AR207" s="525">
        <f>'HIV-Key Info'!$E$69*IFERROR(INDEX('HIV-Other HPs'!$AX$41:$BI$48,MATCH(5.2,'HIV-Other HPs'!$AW$41:$AW$48,0),MID(LEFT(AR$1,SEARCH(" ",AR$1)-1),2,3)-INDEX('HIV-Other HPs'!$AV$41:$AV$48,MATCH(5.2,'HIV-Other HPs'!$AW$41:$AW$48,0))),0)</f>
        <v>0</v>
      </c>
      <c r="AS207" s="525"/>
      <c r="AT207" s="525">
        <f>'HIV-Key Info'!$E$69*IFERROR(INDEX('HIV-Other HPs'!$AX$41:$BI$48,MATCH(5.2,'HIV-Other HPs'!$AW$41:$AW$48,0),MID(LEFT(AT$1,SEARCH(" ",AT$1)-1),2,3)-INDEX('HIV-Other HPs'!$AV$41:$AV$48,MATCH(5.2,'HIV-Other HPs'!$AW$41:$AW$48,0))),0)</f>
        <v>0</v>
      </c>
      <c r="AU207" s="525"/>
      <c r="AV207" s="525">
        <f>IFERROR('HIV-Key Info'!$E$69*(INDEX('HIV-Other HPs'!$BJ$41:$BJ$48,MATCH(5.2,'HIV-Other HPs'!$AW$41:$AW$48,0))-(SUM(X207,AK207,AP207,AR207,AT207)/'HIV-Key Info'!$E$69)),)</f>
        <v>0</v>
      </c>
      <c r="AW207" s="525"/>
      <c r="AX207" s="1154">
        <f t="shared" si="26"/>
        <v>0</v>
      </c>
      <c r="AY207" s="1154"/>
      <c r="AZ207" s="528"/>
      <c r="BA207" s="529"/>
      <c r="BB207" s="527"/>
      <c r="BC207" s="527">
        <v>0</v>
      </c>
      <c r="BD207" s="527">
        <v>0</v>
      </c>
      <c r="BE207" s="527">
        <v>0</v>
      </c>
      <c r="BF207" s="527">
        <v>0</v>
      </c>
      <c r="BG207" s="527">
        <v>0</v>
      </c>
      <c r="BH207" s="527">
        <v>0</v>
      </c>
      <c r="BI207" s="527">
        <v>0</v>
      </c>
      <c r="BJ207" s="527">
        <v>0</v>
      </c>
      <c r="BK207" s="1154">
        <f t="shared" si="27"/>
        <v>0</v>
      </c>
      <c r="BL207" s="1154"/>
      <c r="BM207" s="1154">
        <f t="shared" si="28"/>
        <v>0</v>
      </c>
      <c r="BN207" s="1154">
        <f t="shared" si="29"/>
        <v>0</v>
      </c>
      <c r="BO207" s="527"/>
      <c r="BP207" s="527"/>
      <c r="BQ207" s="1157" t="s">
        <v>2552</v>
      </c>
      <c r="BR207" s="1157" t="s">
        <v>690</v>
      </c>
      <c r="BS207" s="1157" t="s">
        <v>662</v>
      </c>
      <c r="BT207" s="1376" t="s">
        <v>1511</v>
      </c>
    </row>
    <row r="208" spans="1:72" s="1371" customFormat="1" ht="13">
      <c r="A208" s="1204">
        <v>609</v>
      </c>
      <c r="B208" s="1205" t="s">
        <v>652</v>
      </c>
      <c r="C208" s="1205" t="s">
        <v>661</v>
      </c>
      <c r="D208" s="1206" t="s">
        <v>2514</v>
      </c>
      <c r="E208" s="1386" t="s">
        <v>665</v>
      </c>
      <c r="F208" s="521"/>
      <c r="G208" s="522"/>
      <c r="H208" s="522"/>
      <c r="I208" s="522"/>
      <c r="J208" s="523"/>
      <c r="K208" s="523"/>
      <c r="L208" s="523"/>
      <c r="M208" s="524"/>
      <c r="N208" s="525"/>
      <c r="O208" s="526" t="s">
        <v>1237</v>
      </c>
      <c r="P208" s="525">
        <f>'HIV-Key Info'!$F$69*IFERROR(INDEX('HIV-Other HPs'!$AX$41:$BI$48,MATCH(5.3,'HIV-Other HPs'!$AW$41:$AW$48,0),MID(LEFT(P$1,SEARCH(" ",P$1)-1),2,3)-INDEX('HIV-Other HPs'!$AV$41:$AV$48,MATCH(5.3,'HIV-Other HPs'!$AW$41:$AW$48,0))),0)</f>
        <v>0</v>
      </c>
      <c r="Q208" s="525" t="s">
        <v>1237</v>
      </c>
      <c r="R208" s="525">
        <f>'HIV-Key Info'!$F$69*IFERROR(INDEX('HIV-Other HPs'!$AX$41:$BI$48,MATCH(5.3,'HIV-Other HPs'!$AW$41:$AW$48,0),MID(LEFT(R$1,SEARCH(" ",R$1)-1),2,3)-INDEX('HIV-Other HPs'!$AV$41:$AV$48,MATCH(5.3,'HIV-Other HPs'!$AW$41:$AW$48,0))),0)</f>
        <v>0</v>
      </c>
      <c r="S208" s="525" t="s">
        <v>1237</v>
      </c>
      <c r="T208" s="525">
        <f>'HIV-Key Info'!$F$69*IFERROR(INDEX('HIV-Other HPs'!$AX$41:$BI$48,MATCH(5.3,'HIV-Other HPs'!$AW$41:$AW$48,0),MID(LEFT(T$1,SEARCH(" ",T$1)-1),2,3)-INDEX('HIV-Other HPs'!$AV$41:$AV$48,MATCH(5.3,'HIV-Other HPs'!$AW$41:$AW$48,0))),0)</f>
        <v>0</v>
      </c>
      <c r="U208" s="525" t="s">
        <v>1237</v>
      </c>
      <c r="V208" s="525">
        <f>'HIV-Key Info'!$F$69*IFERROR(INDEX('HIV-Other HPs'!$AX$41:$BI$48,MATCH(5.3,'HIV-Other HPs'!$AW$41:$AW$48,0),MID(LEFT(V$1,SEARCH(" ",V$1)-1),2,3)-INDEX('HIV-Other HPs'!$AV$41:$AV$48,MATCH(5.3,'HIV-Other HPs'!$AW$41:$AW$48,0))),0)</f>
        <v>0</v>
      </c>
      <c r="W208" s="525"/>
      <c r="X208" s="1154">
        <f t="shared" si="24"/>
        <v>0</v>
      </c>
      <c r="Y208" s="1155"/>
      <c r="Z208" s="1156"/>
      <c r="AA208" s="529"/>
      <c r="AB208" s="525"/>
      <c r="AC208" s="525">
        <f>'HIV-Key Info'!$F$69*IFERROR(INDEX('HIV-Other HPs'!$AX$41:$BI$48,MATCH(5.3,'HIV-Other HPs'!$AW$41:$AW$48,0),MID(LEFT(AC$1,SEARCH(" ",AC$1)-1),2,3)-INDEX('HIV-Other HPs'!$AV$41:$AV$48,MATCH(5.3,'HIV-Other HPs'!$AW$41:$AW$48,0))),0)</f>
        <v>0</v>
      </c>
      <c r="AD208" s="525"/>
      <c r="AE208" s="525">
        <f>'HIV-Key Info'!$F$69*IFERROR(INDEX('HIV-Other HPs'!$AX$41:$BI$48,MATCH(5.3,'HIV-Other HPs'!$AW$41:$AW$48,0),MID(LEFT(AE$1,SEARCH(" ",AE$1)-1),2,3)-INDEX('HIV-Other HPs'!$AV$41:$AV$48,MATCH(5.3,'HIV-Other HPs'!$AW$41:$AW$48,0))),0)</f>
        <v>0</v>
      </c>
      <c r="AF208" s="525"/>
      <c r="AG208" s="525">
        <f>'HIV-Key Info'!$F$69*IFERROR(INDEX('HIV-Other HPs'!$AX$41:$BI$48,MATCH(5.3,'HIV-Other HPs'!$AW$41:$AW$48,0),MID(LEFT(AG$1,SEARCH(" ",AG$1)-1),2,3)-INDEX('HIV-Other HPs'!$AV$41:$AV$48,MATCH(5.3,'HIV-Other HPs'!$AW$41:$AW$48,0))),0)</f>
        <v>0</v>
      </c>
      <c r="AH208" s="525"/>
      <c r="AI208" s="525">
        <f>'HIV-Key Info'!$F$69*IFERROR(INDEX('HIV-Other HPs'!$AX$41:$BI$48,MATCH(5.3,'HIV-Other HPs'!$AW$41:$AW$48,0),MID(LEFT(AI$1,SEARCH(" ",AI$1)-1),2,3)-INDEX('HIV-Other HPs'!$AV$41:$AV$48,MATCH(5.3,'HIV-Other HPs'!$AW$41:$AW$48,0))),0)</f>
        <v>0</v>
      </c>
      <c r="AJ208" s="525"/>
      <c r="AK208" s="1154">
        <f t="shared" si="25"/>
        <v>0</v>
      </c>
      <c r="AL208" s="1155"/>
      <c r="AM208" s="1156"/>
      <c r="AN208" s="529"/>
      <c r="AO208" s="525"/>
      <c r="AP208" s="525">
        <f>'HIV-Key Info'!$F$69*IFERROR(INDEX('HIV-Other HPs'!$AX$41:$BI$48,MATCH(5.3,'HIV-Other HPs'!$AW$41:$AW$48,0),MID(LEFT(AP$1,SEARCH(" ",AP$1)-1),2,3)-INDEX('HIV-Other HPs'!$AV$41:$AV$48,MATCH(5.3,'HIV-Other HPs'!$AW$41:$AW$48,0))),0)</f>
        <v>0</v>
      </c>
      <c r="AQ208" s="525"/>
      <c r="AR208" s="525">
        <f>'HIV-Key Info'!$F$69*IFERROR(INDEX('HIV-Other HPs'!$AX$41:$BI$48,MATCH(5.3,'HIV-Other HPs'!$AW$41:$AW$48,0),MID(LEFT(AR$1,SEARCH(" ",AR$1)-1),2,3)-INDEX('HIV-Other HPs'!$AV$41:$AV$48,MATCH(5.3,'HIV-Other HPs'!$AW$41:$AW$48,0))),0)</f>
        <v>0</v>
      </c>
      <c r="AS208" s="525"/>
      <c r="AT208" s="525">
        <f>'HIV-Key Info'!$F$69*IFERROR(INDEX('HIV-Other HPs'!$AX$41:$BI$48,MATCH(5.3,'HIV-Other HPs'!$AW$41:$AW$48,0),MID(LEFT(AT$1,SEARCH(" ",AT$1)-1),2,3)-INDEX('HIV-Other HPs'!$AV$41:$AV$48,MATCH(5.3,'HIV-Other HPs'!$AW$41:$AW$48,0))),0)</f>
        <v>0</v>
      </c>
      <c r="AU208" s="525"/>
      <c r="AV208" s="525">
        <f>IFERROR('HIV-Key Info'!$F$69*(INDEX('HIV-Other HPs'!$BJ$41:$BJ$48,MATCH(5.3,'HIV-Other HPs'!$AW$41:$AW$48,0))-(SUM(X208,AK208,AP208,AR208,AT208)/'HIV-Key Info'!$F$69)),)</f>
        <v>0</v>
      </c>
      <c r="AW208" s="525"/>
      <c r="AX208" s="1154">
        <f t="shared" si="26"/>
        <v>0</v>
      </c>
      <c r="AY208" s="1154"/>
      <c r="AZ208" s="528"/>
      <c r="BA208" s="529"/>
      <c r="BB208" s="527"/>
      <c r="BC208" s="527">
        <v>0</v>
      </c>
      <c r="BD208" s="527">
        <v>0</v>
      </c>
      <c r="BE208" s="527">
        <v>0</v>
      </c>
      <c r="BF208" s="527">
        <v>0</v>
      </c>
      <c r="BG208" s="527">
        <v>0</v>
      </c>
      <c r="BH208" s="527">
        <v>0</v>
      </c>
      <c r="BI208" s="527">
        <v>0</v>
      </c>
      <c r="BJ208" s="527">
        <v>0</v>
      </c>
      <c r="BK208" s="1154">
        <f t="shared" si="27"/>
        <v>0</v>
      </c>
      <c r="BL208" s="1154"/>
      <c r="BM208" s="1154">
        <f t="shared" si="28"/>
        <v>0</v>
      </c>
      <c r="BN208" s="1154">
        <f t="shared" si="29"/>
        <v>0</v>
      </c>
      <c r="BO208" s="527"/>
      <c r="BP208" s="527"/>
      <c r="BQ208" s="1157" t="s">
        <v>2552</v>
      </c>
      <c r="BR208" s="1157" t="s">
        <v>690</v>
      </c>
      <c r="BS208" s="1157" t="s">
        <v>662</v>
      </c>
      <c r="BT208" s="1376" t="s">
        <v>1512</v>
      </c>
    </row>
    <row r="209" spans="1:72" s="1371" customFormat="1" ht="13">
      <c r="A209" s="1204">
        <v>610</v>
      </c>
      <c r="B209" s="1205" t="s">
        <v>652</v>
      </c>
      <c r="C209" s="1205" t="s">
        <v>661</v>
      </c>
      <c r="D209" s="1206" t="s">
        <v>2514</v>
      </c>
      <c r="E209" s="1386" t="s">
        <v>597</v>
      </c>
      <c r="F209" s="521"/>
      <c r="G209" s="522"/>
      <c r="H209" s="522"/>
      <c r="I209" s="522"/>
      <c r="J209" s="523"/>
      <c r="K209" s="523"/>
      <c r="L209" s="523"/>
      <c r="M209" s="524"/>
      <c r="N209" s="525"/>
      <c r="O209" s="526" t="s">
        <v>1237</v>
      </c>
      <c r="P209" s="525">
        <f>'HIV-Key Info'!$G$69*IFERROR(INDEX('HIV-Other HPs'!$AX$41:$BI$48,MATCH(5.8,'HIV-Other HPs'!$AW$41:$AW$48,0),MID(LEFT(P$1,SEARCH(" ",P$1)-1),2,3)-INDEX('HIV-Other HPs'!$AV$41:$AV$48,MATCH(5.8,'HIV-Other HPs'!$AW$41:$AW$48,0))),0)</f>
        <v>0</v>
      </c>
      <c r="Q209" s="525" t="s">
        <v>1237</v>
      </c>
      <c r="R209" s="525">
        <f>'HIV-Key Info'!$G$69*IFERROR(INDEX('HIV-Other HPs'!$AX$41:$BI$48,MATCH(5.8,'HIV-Other HPs'!$AW$41:$AW$48,0),MID(LEFT(R$1,SEARCH(" ",R$1)-1),2,3)-INDEX('HIV-Other HPs'!$AV$41:$AV$48,MATCH(5.8,'HIV-Other HPs'!$AW$41:$AW$48,0))),0)</f>
        <v>0</v>
      </c>
      <c r="S209" s="525" t="s">
        <v>1237</v>
      </c>
      <c r="T209" s="525">
        <f>'HIV-Key Info'!$G$69*IFERROR(INDEX('HIV-Other HPs'!$AX$41:$BI$48,MATCH(5.8,'HIV-Other HPs'!$AW$41:$AW$48,0),MID(LEFT(T$1,SEARCH(" ",T$1)-1),2,3)-INDEX('HIV-Other HPs'!$AV$41:$AV$48,MATCH(5.8,'HIV-Other HPs'!$AW$41:$AW$48,0))),0)</f>
        <v>0</v>
      </c>
      <c r="U209" s="525" t="s">
        <v>1237</v>
      </c>
      <c r="V209" s="525">
        <f>'HIV-Key Info'!$G$69*IFERROR(INDEX('HIV-Other HPs'!$AX$41:$BI$48,MATCH(5.8,'HIV-Other HPs'!$AW$41:$AW$48,0),MID(LEFT(V$1,SEARCH(" ",V$1)-1),2,3)-INDEX('HIV-Other HPs'!$AV$41:$AV$48,MATCH(5.8,'HIV-Other HPs'!$AW$41:$AW$48,0))),0)</f>
        <v>0</v>
      </c>
      <c r="W209" s="525"/>
      <c r="X209" s="1154">
        <f t="shared" si="24"/>
        <v>0</v>
      </c>
      <c r="Y209" s="1155"/>
      <c r="Z209" s="1156"/>
      <c r="AA209" s="529"/>
      <c r="AB209" s="525"/>
      <c r="AC209" s="525">
        <f>'HIV-Key Info'!$G$69*IFERROR(INDEX('HIV-Other HPs'!$AX$41:$BI$48,MATCH(5.8,'HIV-Other HPs'!$AW$41:$AW$48,0),MID(LEFT(AC$1,SEARCH(" ",AC$1)-1),2,3)-INDEX('HIV-Other HPs'!$AV$41:$AV$48,MATCH(5.8,'HIV-Other HPs'!$AW$41:$AW$48,0))),0)</f>
        <v>0</v>
      </c>
      <c r="AD209" s="525"/>
      <c r="AE209" s="525">
        <f>'HIV-Key Info'!$G$69*IFERROR(INDEX('HIV-Other HPs'!$AX$41:$BI$48,MATCH(5.8,'HIV-Other HPs'!$AW$41:$AW$48,0),MID(LEFT(AE$1,SEARCH(" ",AE$1)-1),2,3)-INDEX('HIV-Other HPs'!$AV$41:$AV$48,MATCH(5.8,'HIV-Other HPs'!$AW$41:$AW$48,0))),0)</f>
        <v>0</v>
      </c>
      <c r="AF209" s="525"/>
      <c r="AG209" s="525">
        <f>'HIV-Key Info'!$G$69*IFERROR(INDEX('HIV-Other HPs'!$AX$41:$BI$48,MATCH(5.8,'HIV-Other HPs'!$AW$41:$AW$48,0),MID(LEFT(AG$1,SEARCH(" ",AG$1)-1),2,3)-INDEX('HIV-Other HPs'!$AV$41:$AV$48,MATCH(5.8,'HIV-Other HPs'!$AW$41:$AW$48,0))),0)</f>
        <v>0</v>
      </c>
      <c r="AH209" s="525"/>
      <c r="AI209" s="525">
        <f>'HIV-Key Info'!$G$69*IFERROR(INDEX('HIV-Other HPs'!$AX$41:$BI$48,MATCH(5.8,'HIV-Other HPs'!$AW$41:$AW$48,0),MID(LEFT(AI$1,SEARCH(" ",AI$1)-1),2,3)-INDEX('HIV-Other HPs'!$AV$41:$AV$48,MATCH(5.8,'HIV-Other HPs'!$AW$41:$AW$48,0))),0)</f>
        <v>0</v>
      </c>
      <c r="AJ209" s="525"/>
      <c r="AK209" s="1154">
        <f t="shared" si="25"/>
        <v>0</v>
      </c>
      <c r="AL209" s="1155"/>
      <c r="AM209" s="1156"/>
      <c r="AN209" s="529"/>
      <c r="AO209" s="525"/>
      <c r="AP209" s="525">
        <f>'HIV-Key Info'!$G$69*IFERROR(INDEX('HIV-Other HPs'!$AX$41:$BI$48,MATCH(5.8,'HIV-Other HPs'!$AW$41:$AW$48,0),MID(LEFT(AP$1,SEARCH(" ",AP$1)-1),2,3)-INDEX('HIV-Other HPs'!$AV$41:$AV$48,MATCH(5.8,'HIV-Other HPs'!$AW$41:$AW$48,0))),0)</f>
        <v>0</v>
      </c>
      <c r="AQ209" s="525"/>
      <c r="AR209" s="525">
        <f>'HIV-Key Info'!$G$69*IFERROR(INDEX('HIV-Other HPs'!$AX$41:$BI$48,MATCH(5.8,'HIV-Other HPs'!$AW$41:$AW$48,0),MID(LEFT(AR$1,SEARCH(" ",AR$1)-1),2,3)-INDEX('HIV-Other HPs'!$AV$41:$AV$48,MATCH(5.8,'HIV-Other HPs'!$AW$41:$AW$48,0))),0)</f>
        <v>0</v>
      </c>
      <c r="AS209" s="525"/>
      <c r="AT209" s="525">
        <f>'HIV-Key Info'!$G$69*IFERROR(INDEX('HIV-Other HPs'!$AX$41:$BI$48,MATCH(5.8,'HIV-Other HPs'!$AW$41:$AW$48,0),MID(LEFT(AT$1,SEARCH(" ",AT$1)-1),2,3)-INDEX('HIV-Other HPs'!$AV$41:$AV$48,MATCH(5.8,'HIV-Other HPs'!$AW$41:$AW$48,0))),0)</f>
        <v>0</v>
      </c>
      <c r="AU209" s="525"/>
      <c r="AV209" s="525">
        <f>IFERROR('HIV-Key Info'!$G$69*(INDEX('HIV-Other HPs'!$BJ$41:$BJ$48,MATCH(5.8,'HIV-Other HPs'!$AW$41:$AW$48,0))-(SUM(X209,AK209,AP209,AR209,AT209)/'HIV-Key Info'!$G$69)),)</f>
        <v>0</v>
      </c>
      <c r="AW209" s="525"/>
      <c r="AX209" s="1154">
        <f t="shared" si="26"/>
        <v>0</v>
      </c>
      <c r="AY209" s="1154"/>
      <c r="AZ209" s="528"/>
      <c r="BA209" s="529"/>
      <c r="BB209" s="527"/>
      <c r="BC209" s="527">
        <v>0</v>
      </c>
      <c r="BD209" s="527">
        <v>0</v>
      </c>
      <c r="BE209" s="527">
        <v>0</v>
      </c>
      <c r="BF209" s="527">
        <v>0</v>
      </c>
      <c r="BG209" s="527">
        <v>0</v>
      </c>
      <c r="BH209" s="527">
        <v>0</v>
      </c>
      <c r="BI209" s="527">
        <v>0</v>
      </c>
      <c r="BJ209" s="527">
        <v>0</v>
      </c>
      <c r="BK209" s="1154">
        <f t="shared" si="27"/>
        <v>0</v>
      </c>
      <c r="BL209" s="1154"/>
      <c r="BM209" s="1154">
        <f t="shared" si="28"/>
        <v>0</v>
      </c>
      <c r="BN209" s="1154">
        <f t="shared" si="29"/>
        <v>0</v>
      </c>
      <c r="BO209" s="527"/>
      <c r="BP209" s="527"/>
      <c r="BQ209" s="1157" t="s">
        <v>2552</v>
      </c>
      <c r="BR209" s="1157" t="s">
        <v>690</v>
      </c>
      <c r="BS209" s="1157" t="s">
        <v>662</v>
      </c>
      <c r="BT209" s="1376" t="s">
        <v>1513</v>
      </c>
    </row>
    <row r="210" spans="1:72" s="1371" customFormat="1" ht="13">
      <c r="A210" s="1204">
        <v>611</v>
      </c>
      <c r="B210" s="1205" t="s">
        <v>652</v>
      </c>
      <c r="C210" s="1205" t="s">
        <v>661</v>
      </c>
      <c r="D210" s="1206" t="s">
        <v>2512</v>
      </c>
      <c r="E210" s="1386" t="s">
        <v>528</v>
      </c>
      <c r="F210" s="521"/>
      <c r="G210" s="522"/>
      <c r="H210" s="522"/>
      <c r="I210" s="522"/>
      <c r="J210" s="523"/>
      <c r="K210" s="523"/>
      <c r="L210" s="523"/>
      <c r="M210" s="524"/>
      <c r="N210" s="525"/>
      <c r="O210" s="526" t="s">
        <v>1237</v>
      </c>
      <c r="P210" s="525">
        <f>'HIV-Key Info'!$E$69*('HPM costs'!F27+'HPM costs'!F30)</f>
        <v>0</v>
      </c>
      <c r="Q210" s="525" t="s">
        <v>1237</v>
      </c>
      <c r="R210" s="525">
        <f>'HIV-Key Info'!$E$69*('HPM costs'!G27+'HPM costs'!G30)</f>
        <v>0</v>
      </c>
      <c r="S210" s="525" t="s">
        <v>1237</v>
      </c>
      <c r="T210" s="525">
        <f>'HIV-Key Info'!$E$69*('HPM costs'!H27+'HPM costs'!H30)</f>
        <v>0</v>
      </c>
      <c r="U210" s="525" t="s">
        <v>1237</v>
      </c>
      <c r="V210" s="525">
        <f>'HIV-Key Info'!$E$69*('HPM costs'!I27+'HPM costs'!I30)</f>
        <v>0</v>
      </c>
      <c r="W210" s="525"/>
      <c r="X210" s="1154">
        <f t="shared" si="24"/>
        <v>0</v>
      </c>
      <c r="Y210" s="1155"/>
      <c r="Z210" s="1156"/>
      <c r="AA210" s="529"/>
      <c r="AB210" s="525"/>
      <c r="AC210" s="525">
        <f>'HIV-Key Info'!$E$69*('HPM costs'!K27+'HPM costs'!K30)</f>
        <v>0</v>
      </c>
      <c r="AD210" s="525"/>
      <c r="AE210" s="525">
        <f>'HIV-Key Info'!$E$69*('HPM costs'!L27+'HPM costs'!L30)</f>
        <v>0</v>
      </c>
      <c r="AF210" s="525"/>
      <c r="AG210" s="525">
        <f>'HIV-Key Info'!$E$69*('HPM costs'!M27+'HPM costs'!M30)</f>
        <v>0</v>
      </c>
      <c r="AH210" s="525"/>
      <c r="AI210" s="525">
        <f>'HIV-Key Info'!$E$69*('HPM costs'!N27+'HPM costs'!N30)</f>
        <v>0</v>
      </c>
      <c r="AJ210" s="525"/>
      <c r="AK210" s="1154">
        <f t="shared" si="25"/>
        <v>0</v>
      </c>
      <c r="AL210" s="1155"/>
      <c r="AM210" s="1156"/>
      <c r="AN210" s="529"/>
      <c r="AO210" s="525"/>
      <c r="AP210" s="525">
        <f>'HIV-Key Info'!$E$69*('HPM costs'!P27+'HPM costs'!P30)</f>
        <v>0</v>
      </c>
      <c r="AQ210" s="525"/>
      <c r="AR210" s="525">
        <f>'HIV-Key Info'!$E$69*('HPM costs'!Q27+'HPM costs'!Q30)</f>
        <v>0</v>
      </c>
      <c r="AS210" s="525"/>
      <c r="AT210" s="525">
        <f>'HIV-Key Info'!$E$69*('HPM costs'!R27+'HPM costs'!R30)</f>
        <v>0</v>
      </c>
      <c r="AU210" s="525"/>
      <c r="AV210" s="525">
        <f>'HIV-Key Info'!$E$69*('HPM costs'!S27+'HPM costs'!S30)</f>
        <v>0</v>
      </c>
      <c r="AW210" s="525"/>
      <c r="AX210" s="1154">
        <f t="shared" si="26"/>
        <v>0</v>
      </c>
      <c r="AY210" s="1154"/>
      <c r="AZ210" s="528"/>
      <c r="BA210" s="529"/>
      <c r="BB210" s="527"/>
      <c r="BC210" s="527">
        <v>0</v>
      </c>
      <c r="BD210" s="527">
        <v>0</v>
      </c>
      <c r="BE210" s="527">
        <v>0</v>
      </c>
      <c r="BF210" s="527">
        <v>0</v>
      </c>
      <c r="BG210" s="527">
        <v>0</v>
      </c>
      <c r="BH210" s="527">
        <v>0</v>
      </c>
      <c r="BI210" s="527">
        <v>0</v>
      </c>
      <c r="BJ210" s="527">
        <v>0</v>
      </c>
      <c r="BK210" s="1154">
        <f t="shared" si="27"/>
        <v>0</v>
      </c>
      <c r="BL210" s="1154"/>
      <c r="BM210" s="1154">
        <f t="shared" si="28"/>
        <v>0</v>
      </c>
      <c r="BN210" s="1154">
        <f t="shared" si="29"/>
        <v>0</v>
      </c>
      <c r="BO210" s="527"/>
      <c r="BP210" s="527"/>
      <c r="BQ210" s="1157" t="s">
        <v>2552</v>
      </c>
      <c r="BR210" s="1157" t="s">
        <v>690</v>
      </c>
      <c r="BS210" s="1157" t="s">
        <v>527</v>
      </c>
      <c r="BT210" s="1376" t="s">
        <v>1514</v>
      </c>
    </row>
    <row r="211" spans="1:72" s="1371" customFormat="1" ht="13">
      <c r="A211" s="1204">
        <v>612</v>
      </c>
      <c r="B211" s="1205" t="s">
        <v>652</v>
      </c>
      <c r="C211" s="1205" t="s">
        <v>661</v>
      </c>
      <c r="D211" s="1206" t="s">
        <v>2512</v>
      </c>
      <c r="E211" s="1386" t="s">
        <v>530</v>
      </c>
      <c r="F211" s="521"/>
      <c r="G211" s="522"/>
      <c r="H211" s="522"/>
      <c r="I211" s="522"/>
      <c r="J211" s="523"/>
      <c r="K211" s="523"/>
      <c r="L211" s="523"/>
      <c r="M211" s="524"/>
      <c r="N211" s="525"/>
      <c r="O211" s="526" t="s">
        <v>1237</v>
      </c>
      <c r="P211" s="525">
        <f>'HIV-Key Info'!$E$69*('HPM costs'!F113+'HPM costs'!F116)</f>
        <v>0</v>
      </c>
      <c r="Q211" s="525" t="s">
        <v>1237</v>
      </c>
      <c r="R211" s="525">
        <f>'HIV-Key Info'!$E$69*('HPM costs'!G113+'HPM costs'!G116)</f>
        <v>0</v>
      </c>
      <c r="S211" s="525" t="s">
        <v>1237</v>
      </c>
      <c r="T211" s="525">
        <f>'HIV-Key Info'!$E$69*('HPM costs'!H113+'HPM costs'!H116)</f>
        <v>0</v>
      </c>
      <c r="U211" s="525" t="s">
        <v>1237</v>
      </c>
      <c r="V211" s="525">
        <f>'HIV-Key Info'!$E$69*('HPM costs'!I113+'HPM costs'!I116)</f>
        <v>0</v>
      </c>
      <c r="W211" s="525"/>
      <c r="X211" s="1154">
        <f t="shared" si="24"/>
        <v>0</v>
      </c>
      <c r="Y211" s="1155"/>
      <c r="Z211" s="1156"/>
      <c r="AA211" s="529"/>
      <c r="AB211" s="525"/>
      <c r="AC211" s="525">
        <f>'HIV-Key Info'!$E$69*('HPM costs'!K113+'HPM costs'!K116)</f>
        <v>0</v>
      </c>
      <c r="AD211" s="525"/>
      <c r="AE211" s="525">
        <f>'HIV-Key Info'!$E$69*('HPM costs'!L113+'HPM costs'!L116)</f>
        <v>0</v>
      </c>
      <c r="AF211" s="525"/>
      <c r="AG211" s="525">
        <f>'HIV-Key Info'!$E$69*('HPM costs'!M113+'HPM costs'!M116)</f>
        <v>0</v>
      </c>
      <c r="AH211" s="525"/>
      <c r="AI211" s="525">
        <f>'HIV-Key Info'!$E$69*('HPM costs'!N113+'HPM costs'!N116)</f>
        <v>0</v>
      </c>
      <c r="AJ211" s="525"/>
      <c r="AK211" s="1154">
        <f t="shared" si="25"/>
        <v>0</v>
      </c>
      <c r="AL211" s="1155"/>
      <c r="AM211" s="1156"/>
      <c r="AN211" s="529"/>
      <c r="AO211" s="525"/>
      <c r="AP211" s="525">
        <f>'HIV-Key Info'!$E$69*('HPM costs'!P113+'HPM costs'!P116)</f>
        <v>0</v>
      </c>
      <c r="AQ211" s="525"/>
      <c r="AR211" s="525">
        <f>'HIV-Key Info'!$E$69*('HPM costs'!Q113+'HPM costs'!Q116)</f>
        <v>0</v>
      </c>
      <c r="AS211" s="525"/>
      <c r="AT211" s="525">
        <f>'HIV-Key Info'!$E$69*('HPM costs'!R113+'HPM costs'!R116)</f>
        <v>0</v>
      </c>
      <c r="AU211" s="525"/>
      <c r="AV211" s="525">
        <f>'HIV-Key Info'!$E$69*('HPM costs'!S113+'HPM costs'!S116)</f>
        <v>0</v>
      </c>
      <c r="AW211" s="525"/>
      <c r="AX211" s="1154">
        <f t="shared" si="26"/>
        <v>0</v>
      </c>
      <c r="AY211" s="1154"/>
      <c r="AZ211" s="528"/>
      <c r="BA211" s="529"/>
      <c r="BB211" s="527"/>
      <c r="BC211" s="527">
        <v>0</v>
      </c>
      <c r="BD211" s="527">
        <v>0</v>
      </c>
      <c r="BE211" s="527">
        <v>0</v>
      </c>
      <c r="BF211" s="527">
        <v>0</v>
      </c>
      <c r="BG211" s="527">
        <v>0</v>
      </c>
      <c r="BH211" s="527">
        <v>0</v>
      </c>
      <c r="BI211" s="527">
        <v>0</v>
      </c>
      <c r="BJ211" s="527">
        <v>0</v>
      </c>
      <c r="BK211" s="1154">
        <f t="shared" si="27"/>
        <v>0</v>
      </c>
      <c r="BL211" s="1154"/>
      <c r="BM211" s="1154">
        <f t="shared" si="28"/>
        <v>0</v>
      </c>
      <c r="BN211" s="1154">
        <f t="shared" si="29"/>
        <v>0</v>
      </c>
      <c r="BO211" s="527"/>
      <c r="BP211" s="527"/>
      <c r="BQ211" s="1157" t="s">
        <v>2552</v>
      </c>
      <c r="BR211" s="1157" t="s">
        <v>690</v>
      </c>
      <c r="BS211" s="1157" t="s">
        <v>527</v>
      </c>
      <c r="BT211" s="1376" t="s">
        <v>1515</v>
      </c>
    </row>
    <row r="212" spans="1:72" s="1371" customFormat="1" ht="13">
      <c r="A212" s="1204">
        <v>613</v>
      </c>
      <c r="B212" s="1205" t="s">
        <v>652</v>
      </c>
      <c r="C212" s="1205" t="s">
        <v>661</v>
      </c>
      <c r="D212" s="1206" t="s">
        <v>2512</v>
      </c>
      <c r="E212" s="1386" t="s">
        <v>532</v>
      </c>
      <c r="F212" s="521"/>
      <c r="G212" s="522"/>
      <c r="H212" s="522"/>
      <c r="I212" s="522"/>
      <c r="J212" s="523"/>
      <c r="K212" s="523"/>
      <c r="L212" s="523"/>
      <c r="M212" s="524"/>
      <c r="N212" s="525"/>
      <c r="O212" s="526" t="s">
        <v>1237</v>
      </c>
      <c r="P212" s="525">
        <f>'HIV-Key Info'!$E$69*('HPM costs'!F373+'HPM costs'!F376)</f>
        <v>0</v>
      </c>
      <c r="Q212" s="525" t="s">
        <v>1237</v>
      </c>
      <c r="R212" s="525">
        <f>'HIV-Key Info'!$E$69*('HPM costs'!G373+'HPM costs'!G376)</f>
        <v>0</v>
      </c>
      <c r="S212" s="525" t="s">
        <v>1237</v>
      </c>
      <c r="T212" s="525">
        <f>'HIV-Key Info'!$E$69*('HPM costs'!H373+'HPM costs'!H376)</f>
        <v>0</v>
      </c>
      <c r="U212" s="525" t="s">
        <v>1237</v>
      </c>
      <c r="V212" s="525">
        <f>'HIV-Key Info'!$E$69*('HPM costs'!I373+'HPM costs'!I376)</f>
        <v>0</v>
      </c>
      <c r="W212" s="525"/>
      <c r="X212" s="1154">
        <f t="shared" si="24"/>
        <v>0</v>
      </c>
      <c r="Y212" s="1155"/>
      <c r="Z212" s="1156"/>
      <c r="AA212" s="529"/>
      <c r="AB212" s="525"/>
      <c r="AC212" s="525">
        <f>'HIV-Key Info'!$E$69*('HPM costs'!K373+'HPM costs'!K376)</f>
        <v>0</v>
      </c>
      <c r="AD212" s="525"/>
      <c r="AE212" s="525">
        <f>'HIV-Key Info'!$E$69*('HPM costs'!L373+'HPM costs'!L376)</f>
        <v>0</v>
      </c>
      <c r="AF212" s="525"/>
      <c r="AG212" s="525">
        <f>'HIV-Key Info'!$E$69*('HPM costs'!M373+'HPM costs'!M376)</f>
        <v>0</v>
      </c>
      <c r="AH212" s="525"/>
      <c r="AI212" s="525">
        <f>'HIV-Key Info'!$E$69*('HPM costs'!N373+'HPM costs'!N376)</f>
        <v>0</v>
      </c>
      <c r="AJ212" s="525"/>
      <c r="AK212" s="1154">
        <f t="shared" si="25"/>
        <v>0</v>
      </c>
      <c r="AL212" s="1155"/>
      <c r="AM212" s="1156"/>
      <c r="AN212" s="529"/>
      <c r="AO212" s="525"/>
      <c r="AP212" s="525">
        <f>'HIV-Key Info'!$E$69*('HPM costs'!P373+'HPM costs'!P376)</f>
        <v>0</v>
      </c>
      <c r="AQ212" s="525"/>
      <c r="AR212" s="525">
        <f>'HIV-Key Info'!$E$69*('HPM costs'!Q373+'HPM costs'!Q376)</f>
        <v>0</v>
      </c>
      <c r="AS212" s="525"/>
      <c r="AT212" s="525">
        <f>'HIV-Key Info'!$E$69*('HPM costs'!R373+'HPM costs'!R376)</f>
        <v>0</v>
      </c>
      <c r="AU212" s="525"/>
      <c r="AV212" s="525">
        <f>'HIV-Key Info'!$E$69*('HPM costs'!S373+'HPM costs'!S376)</f>
        <v>0</v>
      </c>
      <c r="AW212" s="525"/>
      <c r="AX212" s="1154">
        <f t="shared" si="26"/>
        <v>0</v>
      </c>
      <c r="AY212" s="1154"/>
      <c r="AZ212" s="528"/>
      <c r="BA212" s="529"/>
      <c r="BB212" s="527"/>
      <c r="BC212" s="527">
        <v>0</v>
      </c>
      <c r="BD212" s="527">
        <v>0</v>
      </c>
      <c r="BE212" s="527">
        <v>0</v>
      </c>
      <c r="BF212" s="527">
        <v>0</v>
      </c>
      <c r="BG212" s="527">
        <v>0</v>
      </c>
      <c r="BH212" s="527">
        <v>0</v>
      </c>
      <c r="BI212" s="527">
        <v>0</v>
      </c>
      <c r="BJ212" s="527">
        <v>0</v>
      </c>
      <c r="BK212" s="1154">
        <f t="shared" si="27"/>
        <v>0</v>
      </c>
      <c r="BL212" s="1154"/>
      <c r="BM212" s="1154">
        <f t="shared" si="28"/>
        <v>0</v>
      </c>
      <c r="BN212" s="1154">
        <f t="shared" si="29"/>
        <v>0</v>
      </c>
      <c r="BO212" s="527"/>
      <c r="BP212" s="527"/>
      <c r="BQ212" s="1157" t="s">
        <v>2552</v>
      </c>
      <c r="BR212" s="1157" t="s">
        <v>690</v>
      </c>
      <c r="BS212" s="1157" t="s">
        <v>527</v>
      </c>
      <c r="BT212" s="1376" t="s">
        <v>1516</v>
      </c>
    </row>
    <row r="213" spans="1:72" s="1371" customFormat="1" ht="13">
      <c r="A213" s="1204">
        <v>614</v>
      </c>
      <c r="B213" s="1205" t="s">
        <v>652</v>
      </c>
      <c r="C213" s="1205" t="s">
        <v>661</v>
      </c>
      <c r="D213" s="1206" t="s">
        <v>2512</v>
      </c>
      <c r="E213" s="1386" t="s">
        <v>534</v>
      </c>
      <c r="F213" s="521"/>
      <c r="G213" s="522"/>
      <c r="H213" s="522"/>
      <c r="I213" s="522"/>
      <c r="J213" s="523"/>
      <c r="K213" s="523"/>
      <c r="L213" s="523"/>
      <c r="M213" s="524"/>
      <c r="N213" s="525"/>
      <c r="O213" s="526" t="s">
        <v>1237</v>
      </c>
      <c r="P213" s="525">
        <f>'HIV-Key Info'!$E$69*('HPM costs'!F459+'HPM costs'!F462)</f>
        <v>0</v>
      </c>
      <c r="Q213" s="525" t="s">
        <v>1237</v>
      </c>
      <c r="R213" s="525">
        <f>'HIV-Key Info'!$E$69*('HPM costs'!G459+'HPM costs'!G462)</f>
        <v>0</v>
      </c>
      <c r="S213" s="525" t="s">
        <v>1237</v>
      </c>
      <c r="T213" s="525">
        <f>'HIV-Key Info'!$E$69*('HPM costs'!H459+'HPM costs'!H462)</f>
        <v>0</v>
      </c>
      <c r="U213" s="525" t="s">
        <v>1237</v>
      </c>
      <c r="V213" s="525">
        <f>'HIV-Key Info'!$E$69*('HPM costs'!I459+'HPM costs'!I462)</f>
        <v>0</v>
      </c>
      <c r="W213" s="525"/>
      <c r="X213" s="1154">
        <f t="shared" si="24"/>
        <v>0</v>
      </c>
      <c r="Y213" s="1155"/>
      <c r="Z213" s="1156"/>
      <c r="AA213" s="529"/>
      <c r="AB213" s="525"/>
      <c r="AC213" s="525">
        <f>'HIV-Key Info'!$E$69*('HPM costs'!K459+'HPM costs'!K462)</f>
        <v>0</v>
      </c>
      <c r="AD213" s="525"/>
      <c r="AE213" s="525">
        <f>'HIV-Key Info'!$E$69*('HPM costs'!L459+'HPM costs'!L462)</f>
        <v>0</v>
      </c>
      <c r="AF213" s="525"/>
      <c r="AG213" s="525">
        <f>'HIV-Key Info'!$E$69*('HPM costs'!M459+'HPM costs'!M462)</f>
        <v>0</v>
      </c>
      <c r="AH213" s="525"/>
      <c r="AI213" s="525">
        <f>'HIV-Key Info'!$E$69*('HPM costs'!N459+'HPM costs'!N462)</f>
        <v>0</v>
      </c>
      <c r="AJ213" s="525"/>
      <c r="AK213" s="1154">
        <f t="shared" si="25"/>
        <v>0</v>
      </c>
      <c r="AL213" s="1155"/>
      <c r="AM213" s="1156"/>
      <c r="AN213" s="529"/>
      <c r="AO213" s="525"/>
      <c r="AP213" s="525">
        <f>'HIV-Key Info'!$E$69*('HPM costs'!P459+'HPM costs'!P462)</f>
        <v>0</v>
      </c>
      <c r="AQ213" s="525"/>
      <c r="AR213" s="525">
        <f>'HIV-Key Info'!$E$69*('HPM costs'!Q459+'HPM costs'!Q462)</f>
        <v>0</v>
      </c>
      <c r="AS213" s="525"/>
      <c r="AT213" s="525">
        <f>'HIV-Key Info'!$E$69*('HPM costs'!R459+'HPM costs'!R462)</f>
        <v>0</v>
      </c>
      <c r="AU213" s="525"/>
      <c r="AV213" s="525">
        <f>'HIV-Key Info'!$E$69*('HPM costs'!S459+'HPM costs'!S462)</f>
        <v>0</v>
      </c>
      <c r="AW213" s="525"/>
      <c r="AX213" s="1154">
        <f t="shared" si="26"/>
        <v>0</v>
      </c>
      <c r="AY213" s="1154"/>
      <c r="AZ213" s="528"/>
      <c r="BA213" s="529"/>
      <c r="BB213" s="527"/>
      <c r="BC213" s="527">
        <v>0</v>
      </c>
      <c r="BD213" s="527">
        <v>0</v>
      </c>
      <c r="BE213" s="527">
        <v>0</v>
      </c>
      <c r="BF213" s="527">
        <v>0</v>
      </c>
      <c r="BG213" s="527">
        <v>0</v>
      </c>
      <c r="BH213" s="527">
        <v>0</v>
      </c>
      <c r="BI213" s="527">
        <v>0</v>
      </c>
      <c r="BJ213" s="527">
        <v>0</v>
      </c>
      <c r="BK213" s="1154">
        <f t="shared" si="27"/>
        <v>0</v>
      </c>
      <c r="BL213" s="1154"/>
      <c r="BM213" s="1154">
        <f t="shared" si="28"/>
        <v>0</v>
      </c>
      <c r="BN213" s="1154">
        <f t="shared" si="29"/>
        <v>0</v>
      </c>
      <c r="BO213" s="527"/>
      <c r="BP213" s="527"/>
      <c r="BQ213" s="1157" t="s">
        <v>2552</v>
      </c>
      <c r="BR213" s="1157" t="s">
        <v>690</v>
      </c>
      <c r="BS213" s="1157" t="s">
        <v>527</v>
      </c>
      <c r="BT213" s="1376" t="s">
        <v>1517</v>
      </c>
    </row>
    <row r="214" spans="1:72" s="1371" customFormat="1" ht="13">
      <c r="A214" s="1204">
        <v>615</v>
      </c>
      <c r="B214" s="1205" t="s">
        <v>652</v>
      </c>
      <c r="C214" s="1205" t="s">
        <v>661</v>
      </c>
      <c r="D214" s="1206" t="s">
        <v>2512</v>
      </c>
      <c r="E214" s="1386" t="s">
        <v>536</v>
      </c>
      <c r="F214" s="521"/>
      <c r="G214" s="522"/>
      <c r="H214" s="522"/>
      <c r="I214" s="522"/>
      <c r="J214" s="523"/>
      <c r="K214" s="523"/>
      <c r="L214" s="523"/>
      <c r="M214" s="524"/>
      <c r="N214" s="525"/>
      <c r="O214" s="526" t="s">
        <v>1237</v>
      </c>
      <c r="P214" s="525">
        <f>'HIV-Key Info'!$E$69*('HPM costs'!F199+'HPM costs'!F202+'HPM costs'!F545+'HPM costs'!F548)</f>
        <v>0</v>
      </c>
      <c r="Q214" s="525" t="s">
        <v>1237</v>
      </c>
      <c r="R214" s="525">
        <f>'HIV-Key Info'!$E$69*('HPM costs'!G199+'HPM costs'!G202+'HPM costs'!G545+'HPM costs'!G548)</f>
        <v>0</v>
      </c>
      <c r="S214" s="525" t="s">
        <v>1237</v>
      </c>
      <c r="T214" s="525">
        <f>'HIV-Key Info'!$E$69*('HPM costs'!H199+'HPM costs'!H202+'HPM costs'!H545+'HPM costs'!H548)</f>
        <v>0</v>
      </c>
      <c r="U214" s="525" t="s">
        <v>1237</v>
      </c>
      <c r="V214" s="525">
        <f>'HIV-Key Info'!$E$69*('HPM costs'!I199+'HPM costs'!I202+'HPM costs'!I545+'HPM costs'!I548)</f>
        <v>0</v>
      </c>
      <c r="W214" s="525"/>
      <c r="X214" s="1154">
        <f t="shared" si="24"/>
        <v>0</v>
      </c>
      <c r="Y214" s="1155"/>
      <c r="Z214" s="1156"/>
      <c r="AA214" s="529"/>
      <c r="AB214" s="525"/>
      <c r="AC214" s="525">
        <f>'HIV-Key Info'!$E$69*('HPM costs'!K199+'HPM costs'!K202+'HPM costs'!K545+'HPM costs'!K548)</f>
        <v>0</v>
      </c>
      <c r="AD214" s="525"/>
      <c r="AE214" s="525">
        <f>'HIV-Key Info'!$E$69*('HPM costs'!L199+'HPM costs'!L202+'HPM costs'!L545+'HPM costs'!L548)</f>
        <v>0</v>
      </c>
      <c r="AF214" s="525"/>
      <c r="AG214" s="525">
        <f>'HIV-Key Info'!$E$69*('HPM costs'!M199+'HPM costs'!M202+'HPM costs'!M545+'HPM costs'!M548)</f>
        <v>0</v>
      </c>
      <c r="AH214" s="525"/>
      <c r="AI214" s="525">
        <f>'HIV-Key Info'!$E$69*('HPM costs'!N199+'HPM costs'!N202+'HPM costs'!N545+'HPM costs'!N548)</f>
        <v>0</v>
      </c>
      <c r="AJ214" s="525"/>
      <c r="AK214" s="1154">
        <f t="shared" si="25"/>
        <v>0</v>
      </c>
      <c r="AL214" s="1155"/>
      <c r="AM214" s="1156"/>
      <c r="AN214" s="529"/>
      <c r="AO214" s="525"/>
      <c r="AP214" s="525">
        <f>'HIV-Key Info'!$E$69*('HPM costs'!P199+'HPM costs'!P202+'HPM costs'!P545+'HPM costs'!P548)</f>
        <v>0</v>
      </c>
      <c r="AQ214" s="525"/>
      <c r="AR214" s="525">
        <f>'HIV-Key Info'!$E$69*('HPM costs'!Q199+'HPM costs'!Q202+'HPM costs'!Q545+'HPM costs'!Q548)</f>
        <v>0</v>
      </c>
      <c r="AS214" s="525"/>
      <c r="AT214" s="525">
        <f>'HIV-Key Info'!$E$69*('HPM costs'!R199+'HPM costs'!R202+'HPM costs'!R545+'HPM costs'!R548)</f>
        <v>0</v>
      </c>
      <c r="AU214" s="525"/>
      <c r="AV214" s="525">
        <f>'HIV-Key Info'!$E$69*('HPM costs'!S199+'HPM costs'!S202+'HPM costs'!S545+'HPM costs'!S548)</f>
        <v>0</v>
      </c>
      <c r="AW214" s="525"/>
      <c r="AX214" s="1154">
        <f t="shared" si="26"/>
        <v>0</v>
      </c>
      <c r="AY214" s="1154"/>
      <c r="AZ214" s="528"/>
      <c r="BA214" s="529"/>
      <c r="BB214" s="527"/>
      <c r="BC214" s="527">
        <v>0</v>
      </c>
      <c r="BD214" s="527">
        <v>0</v>
      </c>
      <c r="BE214" s="527">
        <v>0</v>
      </c>
      <c r="BF214" s="527">
        <v>0</v>
      </c>
      <c r="BG214" s="527">
        <v>0</v>
      </c>
      <c r="BH214" s="527">
        <v>0</v>
      </c>
      <c r="BI214" s="527">
        <v>0</v>
      </c>
      <c r="BJ214" s="527">
        <v>0</v>
      </c>
      <c r="BK214" s="1154">
        <f t="shared" si="27"/>
        <v>0</v>
      </c>
      <c r="BL214" s="1154"/>
      <c r="BM214" s="1154">
        <f t="shared" si="28"/>
        <v>0</v>
      </c>
      <c r="BN214" s="1154">
        <f t="shared" si="29"/>
        <v>0</v>
      </c>
      <c r="BO214" s="527"/>
      <c r="BP214" s="527"/>
      <c r="BQ214" s="1157" t="s">
        <v>2552</v>
      </c>
      <c r="BR214" s="1157" t="s">
        <v>690</v>
      </c>
      <c r="BS214" s="1157" t="s">
        <v>527</v>
      </c>
      <c r="BT214" s="1376" t="s">
        <v>1518</v>
      </c>
    </row>
    <row r="215" spans="1:72" s="1371" customFormat="1" ht="13">
      <c r="A215" s="1204">
        <v>616</v>
      </c>
      <c r="B215" s="1205" t="s">
        <v>652</v>
      </c>
      <c r="C215" s="1205" t="s">
        <v>661</v>
      </c>
      <c r="D215" s="1206" t="s">
        <v>2512</v>
      </c>
      <c r="E215" s="1386" t="s">
        <v>538</v>
      </c>
      <c r="F215" s="521"/>
      <c r="G215" s="522"/>
      <c r="H215" s="522"/>
      <c r="I215" s="522"/>
      <c r="J215" s="523"/>
      <c r="K215" s="523"/>
      <c r="L215" s="523"/>
      <c r="M215" s="524"/>
      <c r="N215" s="525"/>
      <c r="O215" s="526" t="s">
        <v>1237</v>
      </c>
      <c r="P215" s="525">
        <f>'HIV-Key Info'!$E$69*('HPM costs'!F285+'HPM costs'!F288)</f>
        <v>0</v>
      </c>
      <c r="Q215" s="525" t="s">
        <v>1237</v>
      </c>
      <c r="R215" s="525">
        <f>'HIV-Key Info'!$E$69*('HPM costs'!G285+'HPM costs'!G288)</f>
        <v>0</v>
      </c>
      <c r="S215" s="525" t="s">
        <v>1237</v>
      </c>
      <c r="T215" s="525">
        <f>'HIV-Key Info'!$E$69*('HPM costs'!H285+'HPM costs'!H288)</f>
        <v>0</v>
      </c>
      <c r="U215" s="525" t="s">
        <v>1237</v>
      </c>
      <c r="V215" s="525">
        <f>'HIV-Key Info'!$E$69*('HPM costs'!I285+'HPM costs'!I288)</f>
        <v>0</v>
      </c>
      <c r="W215" s="525"/>
      <c r="X215" s="1154">
        <f t="shared" si="24"/>
        <v>0</v>
      </c>
      <c r="Y215" s="1155"/>
      <c r="Z215" s="1156"/>
      <c r="AA215" s="529"/>
      <c r="AB215" s="525"/>
      <c r="AC215" s="525">
        <f>'HIV-Key Info'!$E$69*('HPM costs'!K285+'HPM costs'!K288)</f>
        <v>0</v>
      </c>
      <c r="AD215" s="525"/>
      <c r="AE215" s="525">
        <f>'HIV-Key Info'!$E$69*('HPM costs'!L285+'HPM costs'!L288)</f>
        <v>0</v>
      </c>
      <c r="AF215" s="525"/>
      <c r="AG215" s="525">
        <f>'HIV-Key Info'!$E$69*('HPM costs'!M285+'HPM costs'!M288)</f>
        <v>0</v>
      </c>
      <c r="AH215" s="525"/>
      <c r="AI215" s="525">
        <f>'HIV-Key Info'!$E$69*('HPM costs'!N285+'HPM costs'!N288)</f>
        <v>0</v>
      </c>
      <c r="AJ215" s="525"/>
      <c r="AK215" s="1154">
        <f t="shared" si="25"/>
        <v>0</v>
      </c>
      <c r="AL215" s="1155"/>
      <c r="AM215" s="1156"/>
      <c r="AN215" s="529"/>
      <c r="AO215" s="525"/>
      <c r="AP215" s="525">
        <f>'HIV-Key Info'!$E$69*('HPM costs'!P285+'HPM costs'!P288)</f>
        <v>0</v>
      </c>
      <c r="AQ215" s="525"/>
      <c r="AR215" s="525">
        <f>'HIV-Key Info'!$E$69*('HPM costs'!Q285+'HPM costs'!Q288)</f>
        <v>0</v>
      </c>
      <c r="AS215" s="525"/>
      <c r="AT215" s="525">
        <f>'HIV-Key Info'!$E$69*('HPM costs'!R285+'HPM costs'!R288)</f>
        <v>0</v>
      </c>
      <c r="AU215" s="525"/>
      <c r="AV215" s="525">
        <f>'HIV-Key Info'!$E$69*('HPM costs'!S285+'HPM costs'!S288)</f>
        <v>0</v>
      </c>
      <c r="AW215" s="525"/>
      <c r="AX215" s="1154">
        <f t="shared" si="26"/>
        <v>0</v>
      </c>
      <c r="AY215" s="1154"/>
      <c r="AZ215" s="528"/>
      <c r="BA215" s="529"/>
      <c r="BB215" s="527"/>
      <c r="BC215" s="527">
        <v>0</v>
      </c>
      <c r="BD215" s="527">
        <v>0</v>
      </c>
      <c r="BE215" s="527">
        <v>0</v>
      </c>
      <c r="BF215" s="527">
        <v>0</v>
      </c>
      <c r="BG215" s="527">
        <v>0</v>
      </c>
      <c r="BH215" s="527">
        <v>0</v>
      </c>
      <c r="BI215" s="527">
        <v>0</v>
      </c>
      <c r="BJ215" s="527">
        <v>0</v>
      </c>
      <c r="BK215" s="1154">
        <f t="shared" si="27"/>
        <v>0</v>
      </c>
      <c r="BL215" s="1154"/>
      <c r="BM215" s="1154">
        <f t="shared" si="28"/>
        <v>0</v>
      </c>
      <c r="BN215" s="1154">
        <f t="shared" si="29"/>
        <v>0</v>
      </c>
      <c r="BO215" s="527"/>
      <c r="BP215" s="527"/>
      <c r="BQ215" s="1157" t="s">
        <v>2552</v>
      </c>
      <c r="BR215" s="1157" t="s">
        <v>690</v>
      </c>
      <c r="BS215" s="1157" t="s">
        <v>527</v>
      </c>
      <c r="BT215" s="1376" t="s">
        <v>1519</v>
      </c>
    </row>
    <row r="216" spans="1:72" s="1371" customFormat="1" ht="13">
      <c r="A216" s="1204">
        <v>617</v>
      </c>
      <c r="B216" s="1205" t="s">
        <v>652</v>
      </c>
      <c r="C216" s="1205" t="s">
        <v>661</v>
      </c>
      <c r="D216" s="1206" t="s">
        <v>2512</v>
      </c>
      <c r="E216" s="1386" t="s">
        <v>540</v>
      </c>
      <c r="F216" s="521"/>
      <c r="G216" s="522"/>
      <c r="H216" s="522"/>
      <c r="I216" s="522"/>
      <c r="J216" s="523"/>
      <c r="K216" s="523"/>
      <c r="L216" s="523"/>
      <c r="M216" s="524"/>
      <c r="N216" s="525"/>
      <c r="O216" s="526" t="s">
        <v>1237</v>
      </c>
      <c r="P216" s="525">
        <f>'HIV-Key Info'!$E$69*('HPM costs'!F630+'HPM costs'!F633)</f>
        <v>0</v>
      </c>
      <c r="Q216" s="525" t="s">
        <v>1237</v>
      </c>
      <c r="R216" s="525">
        <f>'HIV-Key Info'!$E$69*('HPM costs'!G630+'HPM costs'!G633)</f>
        <v>0</v>
      </c>
      <c r="S216" s="525" t="s">
        <v>1237</v>
      </c>
      <c r="T216" s="525">
        <f>'HIV-Key Info'!$E$69*('HPM costs'!H630+'HPM costs'!H633)</f>
        <v>0</v>
      </c>
      <c r="U216" s="525" t="s">
        <v>1237</v>
      </c>
      <c r="V216" s="525">
        <f>'HIV-Key Info'!$E$69*('HPM costs'!I630+'HPM costs'!I633)</f>
        <v>0</v>
      </c>
      <c r="W216" s="525"/>
      <c r="X216" s="1154">
        <f t="shared" si="24"/>
        <v>0</v>
      </c>
      <c r="Y216" s="1155"/>
      <c r="Z216" s="1156"/>
      <c r="AA216" s="529"/>
      <c r="AB216" s="525"/>
      <c r="AC216" s="525">
        <f>'HIV-Key Info'!$E$69*('HPM costs'!K630+'HPM costs'!K633)</f>
        <v>0</v>
      </c>
      <c r="AD216" s="525"/>
      <c r="AE216" s="525">
        <f>'HIV-Key Info'!$E$69*('HPM costs'!L630+'HPM costs'!L633)</f>
        <v>0</v>
      </c>
      <c r="AF216" s="525"/>
      <c r="AG216" s="525">
        <f>'HIV-Key Info'!$E$69*('HPM costs'!M630+'HPM costs'!M633)</f>
        <v>0</v>
      </c>
      <c r="AH216" s="525"/>
      <c r="AI216" s="525">
        <f>'HIV-Key Info'!$E$69*('HPM costs'!N630+'HPM costs'!N633)</f>
        <v>0</v>
      </c>
      <c r="AJ216" s="525"/>
      <c r="AK216" s="1154">
        <f t="shared" si="25"/>
        <v>0</v>
      </c>
      <c r="AL216" s="1155"/>
      <c r="AM216" s="1156"/>
      <c r="AN216" s="529"/>
      <c r="AO216" s="525"/>
      <c r="AP216" s="525">
        <f>'HIV-Key Info'!$E$69*('HPM costs'!P630+'HPM costs'!P633)</f>
        <v>0</v>
      </c>
      <c r="AQ216" s="525"/>
      <c r="AR216" s="525">
        <f>'HIV-Key Info'!$E$69*('HPM costs'!Q630+'HPM costs'!Q633)</f>
        <v>0</v>
      </c>
      <c r="AS216" s="525"/>
      <c r="AT216" s="525">
        <f>'HIV-Key Info'!$E$69*('HPM costs'!R630+'HPM costs'!R633)</f>
        <v>0</v>
      </c>
      <c r="AU216" s="525"/>
      <c r="AV216" s="525">
        <f>'HIV-Key Info'!$E$69*('HPM costs'!S630+'HPM costs'!S633)</f>
        <v>0</v>
      </c>
      <c r="AW216" s="525"/>
      <c r="AX216" s="1154">
        <f t="shared" si="26"/>
        <v>0</v>
      </c>
      <c r="AY216" s="1154"/>
      <c r="AZ216" s="528"/>
      <c r="BA216" s="529"/>
      <c r="BB216" s="527"/>
      <c r="BC216" s="527">
        <v>0</v>
      </c>
      <c r="BD216" s="527">
        <v>0</v>
      </c>
      <c r="BE216" s="527">
        <v>0</v>
      </c>
      <c r="BF216" s="527">
        <v>0</v>
      </c>
      <c r="BG216" s="527">
        <v>0</v>
      </c>
      <c r="BH216" s="527">
        <v>0</v>
      </c>
      <c r="BI216" s="527">
        <v>0</v>
      </c>
      <c r="BJ216" s="527">
        <v>0</v>
      </c>
      <c r="BK216" s="1154">
        <f t="shared" si="27"/>
        <v>0</v>
      </c>
      <c r="BL216" s="1154"/>
      <c r="BM216" s="1154">
        <f t="shared" si="28"/>
        <v>0</v>
      </c>
      <c r="BN216" s="1154">
        <f t="shared" si="29"/>
        <v>0</v>
      </c>
      <c r="BO216" s="527"/>
      <c r="BP216" s="527"/>
      <c r="BQ216" s="1157" t="s">
        <v>2552</v>
      </c>
      <c r="BR216" s="1157" t="s">
        <v>690</v>
      </c>
      <c r="BS216" s="1157" t="s">
        <v>527</v>
      </c>
      <c r="BT216" s="1376" t="s">
        <v>1520</v>
      </c>
    </row>
    <row r="217" spans="1:72" s="1371" customFormat="1" ht="13">
      <c r="A217" s="1204">
        <v>651</v>
      </c>
      <c r="B217" s="1205" t="s">
        <v>652</v>
      </c>
      <c r="C217" s="1205" t="s">
        <v>661</v>
      </c>
      <c r="D217" s="1206" t="s">
        <v>2515</v>
      </c>
      <c r="E217" s="1386" t="s">
        <v>663</v>
      </c>
      <c r="F217" s="521"/>
      <c r="G217" s="522"/>
      <c r="H217" s="522"/>
      <c r="I217" s="522"/>
      <c r="J217" s="523"/>
      <c r="K217" s="523"/>
      <c r="L217" s="523"/>
      <c r="M217" s="524"/>
      <c r="N217" s="525"/>
      <c r="O217" s="526" t="s">
        <v>1237</v>
      </c>
      <c r="P217" s="525">
        <f>'HIV-Key Info'!$E$70*IFERROR(INDEX('HIV-Other HPs'!$AX$41:$BI$48,MATCH(5.2,'HIV-Other HPs'!$AW$41:$AW$48,0),MID(LEFT(P$1,SEARCH(" ",P$1)-1),2,3)-INDEX('HIV-Other HPs'!$AV$41:$AV$48,MATCH(5.2,'HIV-Other HPs'!$AW$41:$AW$48,0))),0)</f>
        <v>0</v>
      </c>
      <c r="Q217" s="525" t="s">
        <v>1237</v>
      </c>
      <c r="R217" s="525">
        <f>'HIV-Key Info'!$E$70*IFERROR(INDEX('HIV-Other HPs'!$AX$41:$BI$48,MATCH(5.2,'HIV-Other HPs'!$AW$41:$AW$48,0),MID(LEFT(R$1,SEARCH(" ",R$1)-1),2,3)-INDEX('HIV-Other HPs'!$AV$41:$AV$48,MATCH(5.2,'HIV-Other HPs'!$AW$41:$AW$48,0))),0)</f>
        <v>0</v>
      </c>
      <c r="S217" s="525" t="s">
        <v>1237</v>
      </c>
      <c r="T217" s="525">
        <f>'HIV-Key Info'!$E$70*IFERROR(INDEX('HIV-Other HPs'!$AX$41:$BI$48,MATCH(5.2,'HIV-Other HPs'!$AW$41:$AW$48,0),MID(LEFT(T$1,SEARCH(" ",T$1)-1),2,3)-INDEX('HIV-Other HPs'!$AV$41:$AV$48,MATCH(5.2,'HIV-Other HPs'!$AW$41:$AW$48,0))),0)</f>
        <v>0</v>
      </c>
      <c r="U217" s="525" t="s">
        <v>1237</v>
      </c>
      <c r="V217" s="525">
        <f>'HIV-Key Info'!$E$70*IFERROR(INDEX('HIV-Other HPs'!$AX$41:$BI$48,MATCH(5.2,'HIV-Other HPs'!$AW$41:$AW$48,0),MID(LEFT(V$1,SEARCH(" ",V$1)-1),2,3)-INDEX('HIV-Other HPs'!$AV$41:$AV$48,MATCH(5.2,'HIV-Other HPs'!$AW$41:$AW$48,0))),0)</f>
        <v>0</v>
      </c>
      <c r="W217" s="525"/>
      <c r="X217" s="1154">
        <f t="shared" si="24"/>
        <v>0</v>
      </c>
      <c r="Y217" s="1155"/>
      <c r="Z217" s="1156"/>
      <c r="AA217" s="529"/>
      <c r="AB217" s="525"/>
      <c r="AC217" s="525">
        <f>'HIV-Key Info'!$E$70*IFERROR(INDEX('HIV-Other HPs'!$AX$41:$BI$48,MATCH(5.2,'HIV-Other HPs'!$AW$41:$AW$48,0),MID(LEFT(AC$1,SEARCH(" ",AC$1)-1),2,3)-INDEX('HIV-Other HPs'!$AV$41:$AV$48,MATCH(5.2,'HIV-Other HPs'!$AW$41:$AW$48,0))),0)</f>
        <v>0</v>
      </c>
      <c r="AD217" s="525"/>
      <c r="AE217" s="525">
        <f>'HIV-Key Info'!$E$70*IFERROR(INDEX('HIV-Other HPs'!$AX$41:$BI$48,MATCH(5.2,'HIV-Other HPs'!$AW$41:$AW$48,0),MID(LEFT(AE$1,SEARCH(" ",AE$1)-1),2,3)-INDEX('HIV-Other HPs'!$AV$41:$AV$48,MATCH(5.2,'HIV-Other HPs'!$AW$41:$AW$48,0))),0)</f>
        <v>0</v>
      </c>
      <c r="AF217" s="525"/>
      <c r="AG217" s="525">
        <f>'HIV-Key Info'!$E$70*IFERROR(INDEX('HIV-Other HPs'!$AX$41:$BI$48,MATCH(5.2,'HIV-Other HPs'!$AW$41:$AW$48,0),MID(LEFT(AG$1,SEARCH(" ",AG$1)-1),2,3)-INDEX('HIV-Other HPs'!$AV$41:$AV$48,MATCH(5.2,'HIV-Other HPs'!$AW$41:$AW$48,0))),0)</f>
        <v>0</v>
      </c>
      <c r="AH217" s="525"/>
      <c r="AI217" s="525">
        <f>'HIV-Key Info'!$E$70*IFERROR(INDEX('HIV-Other HPs'!$AX$41:$BI$48,MATCH(5.2,'HIV-Other HPs'!$AW$41:$AW$48,0),MID(LEFT(AI$1,SEARCH(" ",AI$1)-1),2,3)-INDEX('HIV-Other HPs'!$AV$41:$AV$48,MATCH(5.2,'HIV-Other HPs'!$AW$41:$AW$48,0))),0)</f>
        <v>0</v>
      </c>
      <c r="AJ217" s="525"/>
      <c r="AK217" s="1154">
        <f t="shared" si="25"/>
        <v>0</v>
      </c>
      <c r="AL217" s="1155"/>
      <c r="AM217" s="1156"/>
      <c r="AN217" s="529"/>
      <c r="AO217" s="525"/>
      <c r="AP217" s="525">
        <f>'HIV-Key Info'!$E$70*IFERROR(INDEX('HIV-Other HPs'!$AX$41:$BI$48,MATCH(5.2,'HIV-Other HPs'!$AW$41:$AW$48,0),MID(LEFT(AP$1,SEARCH(" ",AP$1)-1),2,3)-INDEX('HIV-Other HPs'!$AV$41:$AV$48,MATCH(5.2,'HIV-Other HPs'!$AW$41:$AW$48,0))),0)</f>
        <v>0</v>
      </c>
      <c r="AQ217" s="525"/>
      <c r="AR217" s="525">
        <f>'HIV-Key Info'!$E$70*IFERROR(INDEX('HIV-Other HPs'!$AX$41:$BI$48,MATCH(5.2,'HIV-Other HPs'!$AW$41:$AW$48,0),MID(LEFT(AR$1,SEARCH(" ",AR$1)-1),2,3)-INDEX('HIV-Other HPs'!$AV$41:$AV$48,MATCH(5.2,'HIV-Other HPs'!$AW$41:$AW$48,0))),0)</f>
        <v>0</v>
      </c>
      <c r="AS217" s="525"/>
      <c r="AT217" s="525">
        <f>'HIV-Key Info'!$E$70*IFERROR(INDEX('HIV-Other HPs'!$AX$41:$BI$48,MATCH(5.2,'HIV-Other HPs'!$AW$41:$AW$48,0),MID(LEFT(AT$1,SEARCH(" ",AT$1)-1),2,3)-INDEX('HIV-Other HPs'!$AV$41:$AV$48,MATCH(5.2,'HIV-Other HPs'!$AW$41:$AW$48,0))),0)</f>
        <v>0</v>
      </c>
      <c r="AU217" s="525"/>
      <c r="AV217" s="525">
        <f>IFERROR('HIV-Key Info'!$E$70*(INDEX('HIV-Other HPs'!$BJ$41:$BJ$48,MATCH(5.2,'HIV-Other HPs'!$AW$41:$AW$48,0))-(SUM(X217,AK217,AP217,AR217,AT217)/'HIV-Key Info'!$E$70)),)</f>
        <v>0</v>
      </c>
      <c r="AW217" s="525"/>
      <c r="AX217" s="1154">
        <f t="shared" si="26"/>
        <v>0</v>
      </c>
      <c r="AY217" s="1154"/>
      <c r="AZ217" s="528"/>
      <c r="BA217" s="529"/>
      <c r="BB217" s="527"/>
      <c r="BC217" s="527">
        <v>0</v>
      </c>
      <c r="BD217" s="527">
        <v>0</v>
      </c>
      <c r="BE217" s="527">
        <v>0</v>
      </c>
      <c r="BF217" s="527">
        <v>0</v>
      </c>
      <c r="BG217" s="527">
        <v>0</v>
      </c>
      <c r="BH217" s="527">
        <v>0</v>
      </c>
      <c r="BI217" s="527">
        <v>0</v>
      </c>
      <c r="BJ217" s="527">
        <v>0</v>
      </c>
      <c r="BK217" s="1154">
        <f t="shared" si="27"/>
        <v>0</v>
      </c>
      <c r="BL217" s="1154"/>
      <c r="BM217" s="1154">
        <f t="shared" si="28"/>
        <v>0</v>
      </c>
      <c r="BN217" s="1154">
        <f t="shared" si="29"/>
        <v>0</v>
      </c>
      <c r="BO217" s="527"/>
      <c r="BP217" s="527"/>
      <c r="BQ217" s="1157" t="s">
        <v>2553</v>
      </c>
      <c r="BR217" s="1157" t="s">
        <v>690</v>
      </c>
      <c r="BS217" s="1157" t="s">
        <v>662</v>
      </c>
      <c r="BT217" s="1376" t="s">
        <v>1521</v>
      </c>
    </row>
    <row r="218" spans="1:72" s="1371" customFormat="1" ht="13">
      <c r="A218" s="1204">
        <v>652</v>
      </c>
      <c r="B218" s="1205" t="s">
        <v>652</v>
      </c>
      <c r="C218" s="1205" t="s">
        <v>661</v>
      </c>
      <c r="D218" s="1206" t="s">
        <v>2515</v>
      </c>
      <c r="E218" s="1386" t="s">
        <v>665</v>
      </c>
      <c r="F218" s="521"/>
      <c r="G218" s="522"/>
      <c r="H218" s="522"/>
      <c r="I218" s="522"/>
      <c r="J218" s="523"/>
      <c r="K218" s="523"/>
      <c r="L218" s="523"/>
      <c r="M218" s="524"/>
      <c r="N218" s="525"/>
      <c r="O218" s="526" t="s">
        <v>1237</v>
      </c>
      <c r="P218" s="525">
        <f>'HIV-Key Info'!$F$70*IFERROR(INDEX('HIV-Other HPs'!$AX$41:$BI$48,MATCH(5.3,'HIV-Other HPs'!$AW$41:$AW$48,0),MID(LEFT(P$1,SEARCH(" ",P$1)-1),2,3)-INDEX('HIV-Other HPs'!$AV$41:$AV$48,MATCH(5.3,'HIV-Other HPs'!$AW$41:$AW$48,0))),0)</f>
        <v>0</v>
      </c>
      <c r="Q218" s="525" t="s">
        <v>1237</v>
      </c>
      <c r="R218" s="525">
        <f>'HIV-Key Info'!$F$70*IFERROR(INDEX('HIV-Other HPs'!$AX$41:$BI$48,MATCH(5.3,'HIV-Other HPs'!$AW$41:$AW$48,0),MID(LEFT(R$1,SEARCH(" ",R$1)-1),2,3)-INDEX('HIV-Other HPs'!$AV$41:$AV$48,MATCH(5.3,'HIV-Other HPs'!$AW$41:$AW$48,0))),0)</f>
        <v>0</v>
      </c>
      <c r="S218" s="525" t="s">
        <v>1237</v>
      </c>
      <c r="T218" s="525">
        <f>'HIV-Key Info'!$F$70*IFERROR(INDEX('HIV-Other HPs'!$AX$41:$BI$48,MATCH(5.3,'HIV-Other HPs'!$AW$41:$AW$48,0),MID(LEFT(T$1,SEARCH(" ",T$1)-1),2,3)-INDEX('HIV-Other HPs'!$AV$41:$AV$48,MATCH(5.3,'HIV-Other HPs'!$AW$41:$AW$48,0))),0)</f>
        <v>0</v>
      </c>
      <c r="U218" s="525" t="s">
        <v>1237</v>
      </c>
      <c r="V218" s="525">
        <f>'HIV-Key Info'!$F$70*IFERROR(INDEX('HIV-Other HPs'!$AX$41:$BI$48,MATCH(5.3,'HIV-Other HPs'!$AW$41:$AW$48,0),MID(LEFT(V$1,SEARCH(" ",V$1)-1),2,3)-INDEX('HIV-Other HPs'!$AV$41:$AV$48,MATCH(5.3,'HIV-Other HPs'!$AW$41:$AW$48,0))),0)</f>
        <v>0</v>
      </c>
      <c r="W218" s="525"/>
      <c r="X218" s="1154">
        <f t="shared" si="24"/>
        <v>0</v>
      </c>
      <c r="Y218" s="1155"/>
      <c r="Z218" s="1156"/>
      <c r="AA218" s="529"/>
      <c r="AB218" s="525"/>
      <c r="AC218" s="525">
        <f>'HIV-Key Info'!$F$70*IFERROR(INDEX('HIV-Other HPs'!$AX$41:$BI$48,MATCH(5.3,'HIV-Other HPs'!$AW$41:$AW$48,0),MID(LEFT(AC$1,SEARCH(" ",AC$1)-1),2,3)-INDEX('HIV-Other HPs'!$AV$41:$AV$48,MATCH(5.3,'HIV-Other HPs'!$AW$41:$AW$48,0))),0)</f>
        <v>0</v>
      </c>
      <c r="AD218" s="525"/>
      <c r="AE218" s="525">
        <f>'HIV-Key Info'!$F$70*IFERROR(INDEX('HIV-Other HPs'!$AX$41:$BI$48,MATCH(5.3,'HIV-Other HPs'!$AW$41:$AW$48,0),MID(LEFT(AE$1,SEARCH(" ",AE$1)-1),2,3)-INDEX('HIV-Other HPs'!$AV$41:$AV$48,MATCH(5.3,'HIV-Other HPs'!$AW$41:$AW$48,0))),0)</f>
        <v>0</v>
      </c>
      <c r="AF218" s="525"/>
      <c r="AG218" s="525">
        <f>'HIV-Key Info'!$F$70*IFERROR(INDEX('HIV-Other HPs'!$AX$41:$BI$48,MATCH(5.3,'HIV-Other HPs'!$AW$41:$AW$48,0),MID(LEFT(AG$1,SEARCH(" ",AG$1)-1),2,3)-INDEX('HIV-Other HPs'!$AV$41:$AV$48,MATCH(5.3,'HIV-Other HPs'!$AW$41:$AW$48,0))),0)</f>
        <v>0</v>
      </c>
      <c r="AH218" s="525"/>
      <c r="AI218" s="525">
        <f>'HIV-Key Info'!$F$70*IFERROR(INDEX('HIV-Other HPs'!$AX$41:$BI$48,MATCH(5.3,'HIV-Other HPs'!$AW$41:$AW$48,0),MID(LEFT(AI$1,SEARCH(" ",AI$1)-1),2,3)-INDEX('HIV-Other HPs'!$AV$41:$AV$48,MATCH(5.3,'HIV-Other HPs'!$AW$41:$AW$48,0))),0)</f>
        <v>0</v>
      </c>
      <c r="AJ218" s="525"/>
      <c r="AK218" s="1154">
        <f t="shared" si="25"/>
        <v>0</v>
      </c>
      <c r="AL218" s="1155"/>
      <c r="AM218" s="1156"/>
      <c r="AN218" s="529"/>
      <c r="AO218" s="525"/>
      <c r="AP218" s="525">
        <f>'HIV-Key Info'!$F$70*IFERROR(INDEX('HIV-Other HPs'!$AX$41:$BI$48,MATCH(5.3,'HIV-Other HPs'!$AW$41:$AW$48,0),MID(LEFT(AP$1,SEARCH(" ",AP$1)-1),2,3)-INDEX('HIV-Other HPs'!$AV$41:$AV$48,MATCH(5.3,'HIV-Other HPs'!$AW$41:$AW$48,0))),0)</f>
        <v>0</v>
      </c>
      <c r="AQ218" s="525"/>
      <c r="AR218" s="525">
        <f>'HIV-Key Info'!$F$70*IFERROR(INDEX('HIV-Other HPs'!$AX$41:$BI$48,MATCH(5.3,'HIV-Other HPs'!$AW$41:$AW$48,0),MID(LEFT(AR$1,SEARCH(" ",AR$1)-1),2,3)-INDEX('HIV-Other HPs'!$AV$41:$AV$48,MATCH(5.3,'HIV-Other HPs'!$AW$41:$AW$48,0))),0)</f>
        <v>0</v>
      </c>
      <c r="AS218" s="525"/>
      <c r="AT218" s="525">
        <f>'HIV-Key Info'!$F$70*IFERROR(INDEX('HIV-Other HPs'!$AX$41:$BI$48,MATCH(5.3,'HIV-Other HPs'!$AW$41:$AW$48,0),MID(LEFT(AT$1,SEARCH(" ",AT$1)-1),2,3)-INDEX('HIV-Other HPs'!$AV$41:$AV$48,MATCH(5.3,'HIV-Other HPs'!$AW$41:$AW$48,0))),0)</f>
        <v>0</v>
      </c>
      <c r="AU218" s="525"/>
      <c r="AV218" s="525">
        <f>IFERROR('HIV-Key Info'!$F$70*(INDEX('HIV-Other HPs'!$BJ$41:$BJ$48,MATCH(5.3,'HIV-Other HPs'!$AW$41:$AW$48,0))-(SUM(X218,AK218,AP218,AR218,AT218)/'HIV-Key Info'!$F$70)),)</f>
        <v>0</v>
      </c>
      <c r="AW218" s="525"/>
      <c r="AX218" s="1154">
        <f t="shared" si="26"/>
        <v>0</v>
      </c>
      <c r="AY218" s="1154"/>
      <c r="AZ218" s="528"/>
      <c r="BA218" s="529"/>
      <c r="BB218" s="527"/>
      <c r="BC218" s="527">
        <v>0</v>
      </c>
      <c r="BD218" s="527">
        <v>0</v>
      </c>
      <c r="BE218" s="527">
        <v>0</v>
      </c>
      <c r="BF218" s="527">
        <v>0</v>
      </c>
      <c r="BG218" s="527">
        <v>0</v>
      </c>
      <c r="BH218" s="527">
        <v>0</v>
      </c>
      <c r="BI218" s="527">
        <v>0</v>
      </c>
      <c r="BJ218" s="527">
        <v>0</v>
      </c>
      <c r="BK218" s="1154">
        <f t="shared" si="27"/>
        <v>0</v>
      </c>
      <c r="BL218" s="1154"/>
      <c r="BM218" s="1154">
        <f t="shared" si="28"/>
        <v>0</v>
      </c>
      <c r="BN218" s="1154">
        <f t="shared" si="29"/>
        <v>0</v>
      </c>
      <c r="BO218" s="527"/>
      <c r="BP218" s="527"/>
      <c r="BQ218" s="1157" t="s">
        <v>2553</v>
      </c>
      <c r="BR218" s="1157" t="s">
        <v>690</v>
      </c>
      <c r="BS218" s="1157" t="s">
        <v>662</v>
      </c>
      <c r="BT218" s="1376" t="s">
        <v>1522</v>
      </c>
    </row>
    <row r="219" spans="1:72" s="1371" customFormat="1" ht="13">
      <c r="A219" s="1204">
        <v>653</v>
      </c>
      <c r="B219" s="1205" t="s">
        <v>652</v>
      </c>
      <c r="C219" s="1205" t="s">
        <v>661</v>
      </c>
      <c r="D219" s="1206" t="s">
        <v>2515</v>
      </c>
      <c r="E219" s="1386" t="s">
        <v>597</v>
      </c>
      <c r="F219" s="521"/>
      <c r="G219" s="522"/>
      <c r="H219" s="522"/>
      <c r="I219" s="522"/>
      <c r="J219" s="523"/>
      <c r="K219" s="523"/>
      <c r="L219" s="523"/>
      <c r="M219" s="524"/>
      <c r="N219" s="525"/>
      <c r="O219" s="526" t="s">
        <v>1237</v>
      </c>
      <c r="P219" s="525">
        <f>'HIV-Key Info'!$G$70*IFERROR(INDEX('HIV-Other HPs'!$AX$41:$BI$48,MATCH(5.8,'HIV-Other HPs'!$AW$41:$AW$48,0),MID(LEFT(P$1,SEARCH(" ",P$1)-1),2,3)-INDEX('HIV-Other HPs'!$AV$41:$AV$48,MATCH(5.8,'HIV-Other HPs'!$AW$41:$AW$48,0))),0)</f>
        <v>0</v>
      </c>
      <c r="Q219" s="525" t="s">
        <v>1237</v>
      </c>
      <c r="R219" s="525">
        <f>'HIV-Key Info'!$G$70*IFERROR(INDEX('HIV-Other HPs'!$AX$41:$BI$48,MATCH(5.8,'HIV-Other HPs'!$AW$41:$AW$48,0),MID(LEFT(R$1,SEARCH(" ",R$1)-1),2,3)-INDEX('HIV-Other HPs'!$AV$41:$AV$48,MATCH(5.8,'HIV-Other HPs'!$AW$41:$AW$48,0))),0)</f>
        <v>0</v>
      </c>
      <c r="S219" s="525" t="s">
        <v>1237</v>
      </c>
      <c r="T219" s="525">
        <f>'HIV-Key Info'!$G$70*IFERROR(INDEX('HIV-Other HPs'!$AX$41:$BI$48,MATCH(5.8,'HIV-Other HPs'!$AW$41:$AW$48,0),MID(LEFT(T$1,SEARCH(" ",T$1)-1),2,3)-INDEX('HIV-Other HPs'!$AV$41:$AV$48,MATCH(5.8,'HIV-Other HPs'!$AW$41:$AW$48,0))),0)</f>
        <v>0</v>
      </c>
      <c r="U219" s="525" t="s">
        <v>1237</v>
      </c>
      <c r="V219" s="525">
        <f>'HIV-Key Info'!$G$70*IFERROR(INDEX('HIV-Other HPs'!$AX$41:$BI$48,MATCH(5.8,'HIV-Other HPs'!$AW$41:$AW$48,0),MID(LEFT(V$1,SEARCH(" ",V$1)-1),2,3)-INDEX('HIV-Other HPs'!$AV$41:$AV$48,MATCH(5.8,'HIV-Other HPs'!$AW$41:$AW$48,0))),0)</f>
        <v>0</v>
      </c>
      <c r="W219" s="525"/>
      <c r="X219" s="1154">
        <f t="shared" si="24"/>
        <v>0</v>
      </c>
      <c r="Y219" s="1155"/>
      <c r="Z219" s="1156"/>
      <c r="AA219" s="529"/>
      <c r="AB219" s="525"/>
      <c r="AC219" s="525">
        <f>'HIV-Key Info'!$G$70*IFERROR(INDEX('HIV-Other HPs'!$AX$41:$BI$48,MATCH(5.8,'HIV-Other HPs'!$AW$41:$AW$48,0),MID(LEFT(AC$1,SEARCH(" ",AC$1)-1),2,3)-INDEX('HIV-Other HPs'!$AV$41:$AV$48,MATCH(5.8,'HIV-Other HPs'!$AW$41:$AW$48,0))),0)</f>
        <v>0</v>
      </c>
      <c r="AD219" s="525"/>
      <c r="AE219" s="525">
        <f>'HIV-Key Info'!$G$70*IFERROR(INDEX('HIV-Other HPs'!$AX$41:$BI$48,MATCH(5.8,'HIV-Other HPs'!$AW$41:$AW$48,0),MID(LEFT(AE$1,SEARCH(" ",AE$1)-1),2,3)-INDEX('HIV-Other HPs'!$AV$41:$AV$48,MATCH(5.8,'HIV-Other HPs'!$AW$41:$AW$48,0))),0)</f>
        <v>0</v>
      </c>
      <c r="AF219" s="525"/>
      <c r="AG219" s="525">
        <f>'HIV-Key Info'!$G$70*IFERROR(INDEX('HIV-Other HPs'!$AX$41:$BI$48,MATCH(5.8,'HIV-Other HPs'!$AW$41:$AW$48,0),MID(LEFT(AG$1,SEARCH(" ",AG$1)-1),2,3)-INDEX('HIV-Other HPs'!$AV$41:$AV$48,MATCH(5.8,'HIV-Other HPs'!$AW$41:$AW$48,0))),0)</f>
        <v>0</v>
      </c>
      <c r="AH219" s="525"/>
      <c r="AI219" s="525">
        <f>'HIV-Key Info'!$G$70*IFERROR(INDEX('HIV-Other HPs'!$AX$41:$BI$48,MATCH(5.8,'HIV-Other HPs'!$AW$41:$AW$48,0),MID(LEFT(AI$1,SEARCH(" ",AI$1)-1),2,3)-INDEX('HIV-Other HPs'!$AV$41:$AV$48,MATCH(5.8,'HIV-Other HPs'!$AW$41:$AW$48,0))),0)</f>
        <v>0</v>
      </c>
      <c r="AJ219" s="525"/>
      <c r="AK219" s="1154">
        <f t="shared" si="25"/>
        <v>0</v>
      </c>
      <c r="AL219" s="1155"/>
      <c r="AM219" s="1156"/>
      <c r="AN219" s="529"/>
      <c r="AO219" s="525"/>
      <c r="AP219" s="525">
        <f>'HIV-Key Info'!$G$70*IFERROR(INDEX('HIV-Other HPs'!$AX$41:$BI$48,MATCH(5.8,'HIV-Other HPs'!$AW$41:$AW$48,0),MID(LEFT(AP$1,SEARCH(" ",AP$1)-1),2,3)-INDEX('HIV-Other HPs'!$AV$41:$AV$48,MATCH(5.8,'HIV-Other HPs'!$AW$41:$AW$48,0))),0)</f>
        <v>0</v>
      </c>
      <c r="AQ219" s="525"/>
      <c r="AR219" s="525">
        <f>'HIV-Key Info'!$G$70*IFERROR(INDEX('HIV-Other HPs'!$AX$41:$BI$48,MATCH(5.8,'HIV-Other HPs'!$AW$41:$AW$48,0),MID(LEFT(AR$1,SEARCH(" ",AR$1)-1),2,3)-INDEX('HIV-Other HPs'!$AV$41:$AV$48,MATCH(5.8,'HIV-Other HPs'!$AW$41:$AW$48,0))),0)</f>
        <v>0</v>
      </c>
      <c r="AS219" s="525"/>
      <c r="AT219" s="525">
        <f>'HIV-Key Info'!$G$70*IFERROR(INDEX('HIV-Other HPs'!$AX$41:$BI$48,MATCH(5.8,'HIV-Other HPs'!$AW$41:$AW$48,0),MID(LEFT(AT$1,SEARCH(" ",AT$1)-1),2,3)-INDEX('HIV-Other HPs'!$AV$41:$AV$48,MATCH(5.8,'HIV-Other HPs'!$AW$41:$AW$48,0))),0)</f>
        <v>0</v>
      </c>
      <c r="AU219" s="525"/>
      <c r="AV219" s="525">
        <f>IFERROR('HIV-Key Info'!$G$70*(INDEX('HIV-Other HPs'!$BJ$41:$BJ$48,MATCH(5.8,'HIV-Other HPs'!$AW$41:$AW$48,0))-(SUM(X219,AK219,AP219,AR219,AT219)/'HIV-Key Info'!$G$70)),)</f>
        <v>0</v>
      </c>
      <c r="AW219" s="525"/>
      <c r="AX219" s="1154">
        <f t="shared" si="26"/>
        <v>0</v>
      </c>
      <c r="AY219" s="1154"/>
      <c r="AZ219" s="528"/>
      <c r="BA219" s="529"/>
      <c r="BB219" s="527"/>
      <c r="BC219" s="527">
        <v>0</v>
      </c>
      <c r="BD219" s="527">
        <v>0</v>
      </c>
      <c r="BE219" s="527">
        <v>0</v>
      </c>
      <c r="BF219" s="527">
        <v>0</v>
      </c>
      <c r="BG219" s="527">
        <v>0</v>
      </c>
      <c r="BH219" s="527">
        <v>0</v>
      </c>
      <c r="BI219" s="527">
        <v>0</v>
      </c>
      <c r="BJ219" s="527">
        <v>0</v>
      </c>
      <c r="BK219" s="1154">
        <f t="shared" si="27"/>
        <v>0</v>
      </c>
      <c r="BL219" s="1154"/>
      <c r="BM219" s="1154">
        <f t="shared" si="28"/>
        <v>0</v>
      </c>
      <c r="BN219" s="1154">
        <f t="shared" si="29"/>
        <v>0</v>
      </c>
      <c r="BO219" s="527"/>
      <c r="BP219" s="527"/>
      <c r="BQ219" s="1157" t="s">
        <v>2553</v>
      </c>
      <c r="BR219" s="1157" t="s">
        <v>690</v>
      </c>
      <c r="BS219" s="1157" t="s">
        <v>662</v>
      </c>
      <c r="BT219" s="1376" t="s">
        <v>1523</v>
      </c>
    </row>
    <row r="220" spans="1:72" s="1371" customFormat="1" ht="13">
      <c r="A220" s="1204">
        <v>654</v>
      </c>
      <c r="B220" s="1205" t="s">
        <v>652</v>
      </c>
      <c r="C220" s="1205" t="s">
        <v>661</v>
      </c>
      <c r="D220" s="1206" t="s">
        <v>2516</v>
      </c>
      <c r="E220" s="1386" t="s">
        <v>528</v>
      </c>
      <c r="F220" s="521"/>
      <c r="G220" s="522"/>
      <c r="H220" s="522"/>
      <c r="I220" s="522"/>
      <c r="J220" s="523"/>
      <c r="K220" s="523"/>
      <c r="L220" s="523"/>
      <c r="M220" s="524"/>
      <c r="N220" s="525"/>
      <c r="O220" s="526" t="s">
        <v>1237</v>
      </c>
      <c r="P220" s="525">
        <f>'HIV-Key Info'!$E$70*('HPM costs'!F27+'HPM costs'!F30)</f>
        <v>0</v>
      </c>
      <c r="Q220" s="525" t="s">
        <v>1237</v>
      </c>
      <c r="R220" s="525">
        <f>'HIV-Key Info'!$E$70*('HPM costs'!G27+'HPM costs'!G30)</f>
        <v>0</v>
      </c>
      <c r="S220" s="525" t="s">
        <v>1237</v>
      </c>
      <c r="T220" s="525">
        <f>'HIV-Key Info'!$E$70*('HPM costs'!H27+'HPM costs'!H30)</f>
        <v>0</v>
      </c>
      <c r="U220" s="525" t="s">
        <v>1237</v>
      </c>
      <c r="V220" s="525">
        <f>'HIV-Key Info'!$E$70*('HPM costs'!I27+'HPM costs'!I30)</f>
        <v>0</v>
      </c>
      <c r="W220" s="525"/>
      <c r="X220" s="1154">
        <f t="shared" si="24"/>
        <v>0</v>
      </c>
      <c r="Y220" s="1155"/>
      <c r="Z220" s="1156"/>
      <c r="AA220" s="529"/>
      <c r="AB220" s="525"/>
      <c r="AC220" s="525">
        <f>'HIV-Key Info'!$E$70*('HPM costs'!K27+'HPM costs'!K30)</f>
        <v>0</v>
      </c>
      <c r="AD220" s="525"/>
      <c r="AE220" s="525">
        <f>'HIV-Key Info'!$E$70*('HPM costs'!L27+'HPM costs'!L30)</f>
        <v>0</v>
      </c>
      <c r="AF220" s="525"/>
      <c r="AG220" s="525">
        <f>'HIV-Key Info'!$E$70*('HPM costs'!M27+'HPM costs'!M30)</f>
        <v>0</v>
      </c>
      <c r="AH220" s="525"/>
      <c r="AI220" s="525">
        <f>'HIV-Key Info'!$E$70*('HPM costs'!N27+'HPM costs'!N30)</f>
        <v>0</v>
      </c>
      <c r="AJ220" s="525"/>
      <c r="AK220" s="1154">
        <f t="shared" si="25"/>
        <v>0</v>
      </c>
      <c r="AL220" s="1155"/>
      <c r="AM220" s="1156"/>
      <c r="AN220" s="529"/>
      <c r="AO220" s="525"/>
      <c r="AP220" s="525">
        <f>'HIV-Key Info'!$E$70*('HPM costs'!P27+'HPM costs'!P30)</f>
        <v>0</v>
      </c>
      <c r="AQ220" s="525"/>
      <c r="AR220" s="525">
        <f>'HIV-Key Info'!$E$70*('HPM costs'!Q27+'HPM costs'!Q30)</f>
        <v>0</v>
      </c>
      <c r="AS220" s="525"/>
      <c r="AT220" s="525">
        <f>'HIV-Key Info'!$E$70*('HPM costs'!R27+'HPM costs'!R30)</f>
        <v>0</v>
      </c>
      <c r="AU220" s="525"/>
      <c r="AV220" s="525">
        <f>'HIV-Key Info'!$E$70*('HPM costs'!S27+'HPM costs'!S30)</f>
        <v>0</v>
      </c>
      <c r="AW220" s="525"/>
      <c r="AX220" s="1154">
        <f t="shared" si="26"/>
        <v>0</v>
      </c>
      <c r="AY220" s="1154"/>
      <c r="AZ220" s="528"/>
      <c r="BA220" s="529"/>
      <c r="BB220" s="527"/>
      <c r="BC220" s="527">
        <v>0</v>
      </c>
      <c r="BD220" s="527">
        <v>0</v>
      </c>
      <c r="BE220" s="527">
        <v>0</v>
      </c>
      <c r="BF220" s="527">
        <v>0</v>
      </c>
      <c r="BG220" s="527">
        <v>0</v>
      </c>
      <c r="BH220" s="527">
        <v>0</v>
      </c>
      <c r="BI220" s="527">
        <v>0</v>
      </c>
      <c r="BJ220" s="527">
        <v>0</v>
      </c>
      <c r="BK220" s="1154">
        <f t="shared" si="27"/>
        <v>0</v>
      </c>
      <c r="BL220" s="1154"/>
      <c r="BM220" s="1154">
        <f t="shared" si="28"/>
        <v>0</v>
      </c>
      <c r="BN220" s="1154">
        <f t="shared" si="29"/>
        <v>0</v>
      </c>
      <c r="BO220" s="527"/>
      <c r="BP220" s="527"/>
      <c r="BQ220" s="1157" t="s">
        <v>2553</v>
      </c>
      <c r="BR220" s="1157" t="s">
        <v>690</v>
      </c>
      <c r="BS220" s="1157" t="s">
        <v>527</v>
      </c>
      <c r="BT220" s="1376" t="s">
        <v>1524</v>
      </c>
    </row>
    <row r="221" spans="1:72" s="1371" customFormat="1" ht="13">
      <c r="A221" s="1204">
        <v>655</v>
      </c>
      <c r="B221" s="1205" t="s">
        <v>652</v>
      </c>
      <c r="C221" s="1205" t="s">
        <v>661</v>
      </c>
      <c r="D221" s="1206" t="s">
        <v>2516</v>
      </c>
      <c r="E221" s="1386" t="s">
        <v>530</v>
      </c>
      <c r="F221" s="521"/>
      <c r="G221" s="522"/>
      <c r="H221" s="522"/>
      <c r="I221" s="522"/>
      <c r="J221" s="523"/>
      <c r="K221" s="523"/>
      <c r="L221" s="523"/>
      <c r="M221" s="524"/>
      <c r="N221" s="525"/>
      <c r="O221" s="526" t="s">
        <v>1237</v>
      </c>
      <c r="P221" s="525">
        <f>'HIV-Key Info'!$E$70*('HPM costs'!F113+'HPM costs'!F116)</f>
        <v>0</v>
      </c>
      <c r="Q221" s="525" t="s">
        <v>1237</v>
      </c>
      <c r="R221" s="525">
        <f>'HIV-Key Info'!$E$70*('HPM costs'!G113+'HPM costs'!G116)</f>
        <v>0</v>
      </c>
      <c r="S221" s="525" t="s">
        <v>1237</v>
      </c>
      <c r="T221" s="525">
        <f>'HIV-Key Info'!$E$70*('HPM costs'!H113+'HPM costs'!H116)</f>
        <v>0</v>
      </c>
      <c r="U221" s="525" t="s">
        <v>1237</v>
      </c>
      <c r="V221" s="525">
        <f>'HIV-Key Info'!$E$70*('HPM costs'!I113+'HPM costs'!I116)</f>
        <v>0</v>
      </c>
      <c r="W221" s="525"/>
      <c r="X221" s="1154">
        <f t="shared" si="24"/>
        <v>0</v>
      </c>
      <c r="Y221" s="1155"/>
      <c r="Z221" s="1156"/>
      <c r="AA221" s="529"/>
      <c r="AB221" s="525"/>
      <c r="AC221" s="525">
        <f>'HIV-Key Info'!$E$70*('HPM costs'!K113+'HPM costs'!K116)</f>
        <v>0</v>
      </c>
      <c r="AD221" s="525"/>
      <c r="AE221" s="525">
        <f>'HIV-Key Info'!$E$70*('HPM costs'!L113+'HPM costs'!L116)</f>
        <v>0</v>
      </c>
      <c r="AF221" s="525"/>
      <c r="AG221" s="525">
        <f>'HIV-Key Info'!$E$70*('HPM costs'!M113+'HPM costs'!M116)</f>
        <v>0</v>
      </c>
      <c r="AH221" s="525"/>
      <c r="AI221" s="525">
        <f>'HIV-Key Info'!$E$70*('HPM costs'!N113+'HPM costs'!N116)</f>
        <v>0</v>
      </c>
      <c r="AJ221" s="525"/>
      <c r="AK221" s="1154">
        <f t="shared" si="25"/>
        <v>0</v>
      </c>
      <c r="AL221" s="1155"/>
      <c r="AM221" s="1156"/>
      <c r="AN221" s="529"/>
      <c r="AO221" s="525"/>
      <c r="AP221" s="525">
        <f>'HIV-Key Info'!$E$70*('HPM costs'!P113+'HPM costs'!P116)</f>
        <v>0</v>
      </c>
      <c r="AQ221" s="525"/>
      <c r="AR221" s="525">
        <f>'HIV-Key Info'!$E$70*('HPM costs'!Q113+'HPM costs'!Q116)</f>
        <v>0</v>
      </c>
      <c r="AS221" s="525"/>
      <c r="AT221" s="525">
        <f>'HIV-Key Info'!$E$70*('HPM costs'!R113+'HPM costs'!R116)</f>
        <v>0</v>
      </c>
      <c r="AU221" s="525"/>
      <c r="AV221" s="525">
        <f>'HIV-Key Info'!$E$70*('HPM costs'!S113+'HPM costs'!S116)</f>
        <v>0</v>
      </c>
      <c r="AW221" s="525"/>
      <c r="AX221" s="1154">
        <f t="shared" si="26"/>
        <v>0</v>
      </c>
      <c r="AY221" s="1154"/>
      <c r="AZ221" s="528"/>
      <c r="BA221" s="529"/>
      <c r="BB221" s="527"/>
      <c r="BC221" s="527">
        <v>0</v>
      </c>
      <c r="BD221" s="527">
        <v>0</v>
      </c>
      <c r="BE221" s="527">
        <v>0</v>
      </c>
      <c r="BF221" s="527">
        <v>0</v>
      </c>
      <c r="BG221" s="527">
        <v>0</v>
      </c>
      <c r="BH221" s="527">
        <v>0</v>
      </c>
      <c r="BI221" s="527">
        <v>0</v>
      </c>
      <c r="BJ221" s="527">
        <v>0</v>
      </c>
      <c r="BK221" s="1154">
        <f t="shared" si="27"/>
        <v>0</v>
      </c>
      <c r="BL221" s="1154"/>
      <c r="BM221" s="1154">
        <f t="shared" si="28"/>
        <v>0</v>
      </c>
      <c r="BN221" s="1154">
        <f t="shared" si="29"/>
        <v>0</v>
      </c>
      <c r="BO221" s="527"/>
      <c r="BP221" s="527"/>
      <c r="BQ221" s="1157" t="s">
        <v>2553</v>
      </c>
      <c r="BR221" s="1157" t="s">
        <v>690</v>
      </c>
      <c r="BS221" s="1157" t="s">
        <v>527</v>
      </c>
      <c r="BT221" s="1376" t="s">
        <v>1525</v>
      </c>
    </row>
    <row r="222" spans="1:72" s="1371" customFormat="1" ht="13">
      <c r="A222" s="1204">
        <v>656</v>
      </c>
      <c r="B222" s="1205" t="s">
        <v>652</v>
      </c>
      <c r="C222" s="1205" t="s">
        <v>661</v>
      </c>
      <c r="D222" s="1206" t="s">
        <v>2516</v>
      </c>
      <c r="E222" s="1386" t="s">
        <v>532</v>
      </c>
      <c r="F222" s="521"/>
      <c r="G222" s="522"/>
      <c r="H222" s="522"/>
      <c r="I222" s="522"/>
      <c r="J222" s="523"/>
      <c r="K222" s="523"/>
      <c r="L222" s="523"/>
      <c r="M222" s="524"/>
      <c r="N222" s="525"/>
      <c r="O222" s="526" t="s">
        <v>1237</v>
      </c>
      <c r="P222" s="525">
        <f>'HIV-Key Info'!$E$70*('HPM costs'!F373+'HPM costs'!F376)</f>
        <v>0</v>
      </c>
      <c r="Q222" s="525" t="s">
        <v>1237</v>
      </c>
      <c r="R222" s="525">
        <f>'HIV-Key Info'!$E$70*('HPM costs'!G373+'HPM costs'!G376)</f>
        <v>0</v>
      </c>
      <c r="S222" s="525" t="s">
        <v>1237</v>
      </c>
      <c r="T222" s="525">
        <f>'HIV-Key Info'!$E$70*('HPM costs'!H373+'HPM costs'!H376)</f>
        <v>0</v>
      </c>
      <c r="U222" s="525" t="s">
        <v>1237</v>
      </c>
      <c r="V222" s="525">
        <f>'HIV-Key Info'!$E$70*('HPM costs'!I373+'HPM costs'!I376)</f>
        <v>0</v>
      </c>
      <c r="W222" s="525"/>
      <c r="X222" s="1154">
        <f t="shared" si="24"/>
        <v>0</v>
      </c>
      <c r="Y222" s="1155"/>
      <c r="Z222" s="1156"/>
      <c r="AA222" s="529"/>
      <c r="AB222" s="525"/>
      <c r="AC222" s="525">
        <f>'HIV-Key Info'!$E$70*('HPM costs'!K373+'HPM costs'!K376)</f>
        <v>0</v>
      </c>
      <c r="AD222" s="525"/>
      <c r="AE222" s="525">
        <f>'HIV-Key Info'!$E$70*('HPM costs'!L373+'HPM costs'!L376)</f>
        <v>0</v>
      </c>
      <c r="AF222" s="525"/>
      <c r="AG222" s="525">
        <f>'HIV-Key Info'!$E$70*('HPM costs'!M373+'HPM costs'!M376)</f>
        <v>0</v>
      </c>
      <c r="AH222" s="525"/>
      <c r="AI222" s="525">
        <f>'HIV-Key Info'!$E$70*('HPM costs'!N373+'HPM costs'!N376)</f>
        <v>0</v>
      </c>
      <c r="AJ222" s="525"/>
      <c r="AK222" s="1154">
        <f t="shared" si="25"/>
        <v>0</v>
      </c>
      <c r="AL222" s="1155"/>
      <c r="AM222" s="1156"/>
      <c r="AN222" s="529"/>
      <c r="AO222" s="525"/>
      <c r="AP222" s="525">
        <f>'HIV-Key Info'!$E$70*('HPM costs'!P373+'HPM costs'!P376)</f>
        <v>0</v>
      </c>
      <c r="AQ222" s="525"/>
      <c r="AR222" s="525">
        <f>'HIV-Key Info'!$E$70*('HPM costs'!Q373+'HPM costs'!Q376)</f>
        <v>0</v>
      </c>
      <c r="AS222" s="525"/>
      <c r="AT222" s="525">
        <f>'HIV-Key Info'!$E$70*('HPM costs'!R373+'HPM costs'!R376)</f>
        <v>0</v>
      </c>
      <c r="AU222" s="525"/>
      <c r="AV222" s="525">
        <f>'HIV-Key Info'!$E$70*('HPM costs'!S373+'HPM costs'!S376)</f>
        <v>0</v>
      </c>
      <c r="AW222" s="525"/>
      <c r="AX222" s="1154">
        <f t="shared" si="26"/>
        <v>0</v>
      </c>
      <c r="AY222" s="1154"/>
      <c r="AZ222" s="528"/>
      <c r="BA222" s="529"/>
      <c r="BB222" s="527"/>
      <c r="BC222" s="527">
        <v>0</v>
      </c>
      <c r="BD222" s="527">
        <v>0</v>
      </c>
      <c r="BE222" s="527">
        <v>0</v>
      </c>
      <c r="BF222" s="527">
        <v>0</v>
      </c>
      <c r="BG222" s="527">
        <v>0</v>
      </c>
      <c r="BH222" s="527">
        <v>0</v>
      </c>
      <c r="BI222" s="527">
        <v>0</v>
      </c>
      <c r="BJ222" s="527">
        <v>0</v>
      </c>
      <c r="BK222" s="1154">
        <f t="shared" si="27"/>
        <v>0</v>
      </c>
      <c r="BL222" s="1154"/>
      <c r="BM222" s="1154">
        <f t="shared" si="28"/>
        <v>0</v>
      </c>
      <c r="BN222" s="1154">
        <f t="shared" si="29"/>
        <v>0</v>
      </c>
      <c r="BO222" s="527"/>
      <c r="BP222" s="527"/>
      <c r="BQ222" s="1157" t="s">
        <v>2553</v>
      </c>
      <c r="BR222" s="1157" t="s">
        <v>690</v>
      </c>
      <c r="BS222" s="1157" t="s">
        <v>527</v>
      </c>
      <c r="BT222" s="1376" t="s">
        <v>1526</v>
      </c>
    </row>
    <row r="223" spans="1:72" s="1371" customFormat="1" ht="13">
      <c r="A223" s="1204">
        <v>657</v>
      </c>
      <c r="B223" s="1205" t="s">
        <v>652</v>
      </c>
      <c r="C223" s="1205" t="s">
        <v>661</v>
      </c>
      <c r="D223" s="1206" t="s">
        <v>2516</v>
      </c>
      <c r="E223" s="1386" t="s">
        <v>534</v>
      </c>
      <c r="F223" s="521"/>
      <c r="G223" s="522"/>
      <c r="H223" s="522"/>
      <c r="I223" s="522"/>
      <c r="J223" s="523"/>
      <c r="K223" s="523"/>
      <c r="L223" s="523"/>
      <c r="M223" s="524"/>
      <c r="N223" s="525"/>
      <c r="O223" s="526" t="s">
        <v>1237</v>
      </c>
      <c r="P223" s="525">
        <f>'HIV-Key Info'!$E$70*('HPM costs'!F459+'HPM costs'!F462)</f>
        <v>0</v>
      </c>
      <c r="Q223" s="525" t="s">
        <v>1237</v>
      </c>
      <c r="R223" s="525">
        <f>'HIV-Key Info'!$E$70*('HPM costs'!G459+'HPM costs'!G462)</f>
        <v>0</v>
      </c>
      <c r="S223" s="525" t="s">
        <v>1237</v>
      </c>
      <c r="T223" s="525">
        <f>'HIV-Key Info'!$E$70*('HPM costs'!H459+'HPM costs'!H462)</f>
        <v>0</v>
      </c>
      <c r="U223" s="525" t="s">
        <v>1237</v>
      </c>
      <c r="V223" s="525">
        <f>'HIV-Key Info'!$E$70*('HPM costs'!I459+'HPM costs'!I462)</f>
        <v>0</v>
      </c>
      <c r="W223" s="525"/>
      <c r="X223" s="1154">
        <f t="shared" si="24"/>
        <v>0</v>
      </c>
      <c r="Y223" s="1155"/>
      <c r="Z223" s="1156"/>
      <c r="AA223" s="529"/>
      <c r="AB223" s="525"/>
      <c r="AC223" s="525">
        <f>'HIV-Key Info'!$E$70*('HPM costs'!K459+'HPM costs'!K462)</f>
        <v>0</v>
      </c>
      <c r="AD223" s="525"/>
      <c r="AE223" s="525">
        <f>'HIV-Key Info'!$E$70*('HPM costs'!L459+'HPM costs'!L462)</f>
        <v>0</v>
      </c>
      <c r="AF223" s="525"/>
      <c r="AG223" s="525">
        <f>'HIV-Key Info'!$E$70*('HPM costs'!M459+'HPM costs'!M462)</f>
        <v>0</v>
      </c>
      <c r="AH223" s="525"/>
      <c r="AI223" s="525">
        <f>'HIV-Key Info'!$E$70*('HPM costs'!N459+'HPM costs'!N462)</f>
        <v>0</v>
      </c>
      <c r="AJ223" s="525"/>
      <c r="AK223" s="1154">
        <f t="shared" si="25"/>
        <v>0</v>
      </c>
      <c r="AL223" s="1155"/>
      <c r="AM223" s="1156"/>
      <c r="AN223" s="529"/>
      <c r="AO223" s="525"/>
      <c r="AP223" s="525">
        <f>'HIV-Key Info'!$E$70*('HPM costs'!P459+'HPM costs'!P462)</f>
        <v>0</v>
      </c>
      <c r="AQ223" s="525"/>
      <c r="AR223" s="525">
        <f>'HIV-Key Info'!$E$70*('HPM costs'!Q459+'HPM costs'!Q462)</f>
        <v>0</v>
      </c>
      <c r="AS223" s="525"/>
      <c r="AT223" s="525">
        <f>'HIV-Key Info'!$E$70*('HPM costs'!R459+'HPM costs'!R462)</f>
        <v>0</v>
      </c>
      <c r="AU223" s="525"/>
      <c r="AV223" s="525">
        <f>'HIV-Key Info'!$E$70*('HPM costs'!S459+'HPM costs'!S462)</f>
        <v>0</v>
      </c>
      <c r="AW223" s="525"/>
      <c r="AX223" s="1154">
        <f t="shared" si="26"/>
        <v>0</v>
      </c>
      <c r="AY223" s="1154"/>
      <c r="AZ223" s="528"/>
      <c r="BA223" s="529"/>
      <c r="BB223" s="527"/>
      <c r="BC223" s="527">
        <v>0</v>
      </c>
      <c r="BD223" s="527">
        <v>0</v>
      </c>
      <c r="BE223" s="527">
        <v>0</v>
      </c>
      <c r="BF223" s="527">
        <v>0</v>
      </c>
      <c r="BG223" s="527">
        <v>0</v>
      </c>
      <c r="BH223" s="527">
        <v>0</v>
      </c>
      <c r="BI223" s="527">
        <v>0</v>
      </c>
      <c r="BJ223" s="527">
        <v>0</v>
      </c>
      <c r="BK223" s="1154">
        <f t="shared" si="27"/>
        <v>0</v>
      </c>
      <c r="BL223" s="1154"/>
      <c r="BM223" s="1154">
        <f t="shared" si="28"/>
        <v>0</v>
      </c>
      <c r="BN223" s="1154">
        <f t="shared" si="29"/>
        <v>0</v>
      </c>
      <c r="BO223" s="527"/>
      <c r="BP223" s="527"/>
      <c r="BQ223" s="1157" t="s">
        <v>2553</v>
      </c>
      <c r="BR223" s="1157" t="s">
        <v>690</v>
      </c>
      <c r="BS223" s="1157" t="s">
        <v>527</v>
      </c>
      <c r="BT223" s="1376" t="s">
        <v>1527</v>
      </c>
    </row>
    <row r="224" spans="1:72" s="1371" customFormat="1" ht="13">
      <c r="A224" s="1204">
        <v>658</v>
      </c>
      <c r="B224" s="1205" t="s">
        <v>652</v>
      </c>
      <c r="C224" s="1205" t="s">
        <v>661</v>
      </c>
      <c r="D224" s="1206" t="s">
        <v>2516</v>
      </c>
      <c r="E224" s="1386" t="s">
        <v>536</v>
      </c>
      <c r="F224" s="521"/>
      <c r="G224" s="522"/>
      <c r="H224" s="522"/>
      <c r="I224" s="522"/>
      <c r="J224" s="523"/>
      <c r="K224" s="523"/>
      <c r="L224" s="523"/>
      <c r="M224" s="524"/>
      <c r="N224" s="525"/>
      <c r="O224" s="526" t="s">
        <v>1237</v>
      </c>
      <c r="P224" s="525">
        <f>'HIV-Key Info'!$E$70*('HPM costs'!F199+'HPM costs'!F202+'HPM costs'!F545+'HPM costs'!F548)</f>
        <v>0</v>
      </c>
      <c r="Q224" s="525" t="s">
        <v>1237</v>
      </c>
      <c r="R224" s="525">
        <f>'HIV-Key Info'!$E$70*('HPM costs'!G199+'HPM costs'!G202+'HPM costs'!G545+'HPM costs'!G548)</f>
        <v>0</v>
      </c>
      <c r="S224" s="525" t="s">
        <v>1237</v>
      </c>
      <c r="T224" s="525">
        <f>'HIV-Key Info'!$E$70*('HPM costs'!H199+'HPM costs'!H202+'HPM costs'!H545+'HPM costs'!H548)</f>
        <v>0</v>
      </c>
      <c r="U224" s="525" t="s">
        <v>1237</v>
      </c>
      <c r="V224" s="525">
        <f>'HIV-Key Info'!$E$70*('HPM costs'!I199+'HPM costs'!I202+'HPM costs'!I545+'HPM costs'!I548)</f>
        <v>0</v>
      </c>
      <c r="W224" s="525"/>
      <c r="X224" s="1154">
        <f t="shared" si="24"/>
        <v>0</v>
      </c>
      <c r="Y224" s="1155"/>
      <c r="Z224" s="1156"/>
      <c r="AA224" s="529"/>
      <c r="AB224" s="525"/>
      <c r="AC224" s="525">
        <f>'HIV-Key Info'!$E$70*('HPM costs'!K199+'HPM costs'!K202+'HPM costs'!K545+'HPM costs'!K548)</f>
        <v>0</v>
      </c>
      <c r="AD224" s="525"/>
      <c r="AE224" s="525">
        <f>'HIV-Key Info'!$E$70*('HPM costs'!L199+'HPM costs'!L202+'HPM costs'!L545+'HPM costs'!L548)</f>
        <v>0</v>
      </c>
      <c r="AF224" s="525"/>
      <c r="AG224" s="525">
        <f>'HIV-Key Info'!$E$70*('HPM costs'!M199+'HPM costs'!M202+'HPM costs'!M545+'HPM costs'!M548)</f>
        <v>0</v>
      </c>
      <c r="AH224" s="525"/>
      <c r="AI224" s="525">
        <f>'HIV-Key Info'!$E$70*('HPM costs'!N199+'HPM costs'!N202+'HPM costs'!N545+'HPM costs'!N548)</f>
        <v>0</v>
      </c>
      <c r="AJ224" s="525"/>
      <c r="AK224" s="1154">
        <f t="shared" si="25"/>
        <v>0</v>
      </c>
      <c r="AL224" s="1155"/>
      <c r="AM224" s="1156"/>
      <c r="AN224" s="529"/>
      <c r="AO224" s="525"/>
      <c r="AP224" s="525">
        <f>'HIV-Key Info'!$E$70*('HPM costs'!P199+'HPM costs'!P202+'HPM costs'!P545+'HPM costs'!P548)</f>
        <v>0</v>
      </c>
      <c r="AQ224" s="525"/>
      <c r="AR224" s="525">
        <f>'HIV-Key Info'!$E$70*('HPM costs'!Q199+'HPM costs'!Q202+'HPM costs'!Q545+'HPM costs'!Q548)</f>
        <v>0</v>
      </c>
      <c r="AS224" s="525"/>
      <c r="AT224" s="525">
        <f>'HIV-Key Info'!$E$70*('HPM costs'!R199+'HPM costs'!R202+'HPM costs'!R545+'HPM costs'!R548)</f>
        <v>0</v>
      </c>
      <c r="AU224" s="525"/>
      <c r="AV224" s="525">
        <f>'HIV-Key Info'!$E$70*('HPM costs'!S199+'HPM costs'!S202+'HPM costs'!S545+'HPM costs'!S548)</f>
        <v>0</v>
      </c>
      <c r="AW224" s="525"/>
      <c r="AX224" s="1154">
        <f t="shared" si="26"/>
        <v>0</v>
      </c>
      <c r="AY224" s="1154"/>
      <c r="AZ224" s="528"/>
      <c r="BA224" s="529"/>
      <c r="BB224" s="527"/>
      <c r="BC224" s="527">
        <v>0</v>
      </c>
      <c r="BD224" s="527">
        <v>0</v>
      </c>
      <c r="BE224" s="527">
        <v>0</v>
      </c>
      <c r="BF224" s="527">
        <v>0</v>
      </c>
      <c r="BG224" s="527">
        <v>0</v>
      </c>
      <c r="BH224" s="527">
        <v>0</v>
      </c>
      <c r="BI224" s="527">
        <v>0</v>
      </c>
      <c r="BJ224" s="527">
        <v>0</v>
      </c>
      <c r="BK224" s="1154">
        <f t="shared" si="27"/>
        <v>0</v>
      </c>
      <c r="BL224" s="1154"/>
      <c r="BM224" s="1154">
        <f t="shared" si="28"/>
        <v>0</v>
      </c>
      <c r="BN224" s="1154">
        <f t="shared" si="29"/>
        <v>0</v>
      </c>
      <c r="BO224" s="527"/>
      <c r="BP224" s="527"/>
      <c r="BQ224" s="1157" t="s">
        <v>2553</v>
      </c>
      <c r="BR224" s="1157" t="s">
        <v>690</v>
      </c>
      <c r="BS224" s="1157" t="s">
        <v>527</v>
      </c>
      <c r="BT224" s="1376" t="s">
        <v>1528</v>
      </c>
    </row>
    <row r="225" spans="1:72" s="1371" customFormat="1" ht="13">
      <c r="A225" s="1204">
        <v>659</v>
      </c>
      <c r="B225" s="1205" t="s">
        <v>652</v>
      </c>
      <c r="C225" s="1205" t="s">
        <v>661</v>
      </c>
      <c r="D225" s="1206" t="s">
        <v>2516</v>
      </c>
      <c r="E225" s="1386" t="s">
        <v>538</v>
      </c>
      <c r="F225" s="521"/>
      <c r="G225" s="522"/>
      <c r="H225" s="522"/>
      <c r="I225" s="522"/>
      <c r="J225" s="523"/>
      <c r="K225" s="523"/>
      <c r="L225" s="523"/>
      <c r="M225" s="524"/>
      <c r="N225" s="525"/>
      <c r="O225" s="526" t="s">
        <v>1237</v>
      </c>
      <c r="P225" s="525">
        <f>'HIV-Key Info'!$E$70*('HPM costs'!F285+'HPM costs'!F288)</f>
        <v>0</v>
      </c>
      <c r="Q225" s="525" t="s">
        <v>1237</v>
      </c>
      <c r="R225" s="525">
        <f>'HIV-Key Info'!$E$70*('HPM costs'!G285+'HPM costs'!G288)</f>
        <v>0</v>
      </c>
      <c r="S225" s="525" t="s">
        <v>1237</v>
      </c>
      <c r="T225" s="525">
        <f>'HIV-Key Info'!$E$70*('HPM costs'!H285+'HPM costs'!H288)</f>
        <v>0</v>
      </c>
      <c r="U225" s="525" t="s">
        <v>1237</v>
      </c>
      <c r="V225" s="525">
        <f>'HIV-Key Info'!$E$70*('HPM costs'!I285+'HPM costs'!I288)</f>
        <v>0</v>
      </c>
      <c r="W225" s="525"/>
      <c r="X225" s="1154">
        <f t="shared" si="24"/>
        <v>0</v>
      </c>
      <c r="Y225" s="1155"/>
      <c r="Z225" s="1156"/>
      <c r="AA225" s="529"/>
      <c r="AB225" s="525"/>
      <c r="AC225" s="525">
        <f>'HIV-Key Info'!$E$70*('HPM costs'!K285+'HPM costs'!K288)</f>
        <v>0</v>
      </c>
      <c r="AD225" s="525"/>
      <c r="AE225" s="525">
        <f>'HIV-Key Info'!$E$70*('HPM costs'!L285+'HPM costs'!L288)</f>
        <v>0</v>
      </c>
      <c r="AF225" s="525"/>
      <c r="AG225" s="525">
        <f>'HIV-Key Info'!$E$70*('HPM costs'!M285+'HPM costs'!M288)</f>
        <v>0</v>
      </c>
      <c r="AH225" s="525"/>
      <c r="AI225" s="525">
        <f>'HIV-Key Info'!$E$70*('HPM costs'!N285+'HPM costs'!N288)</f>
        <v>0</v>
      </c>
      <c r="AJ225" s="525"/>
      <c r="AK225" s="1154">
        <f t="shared" si="25"/>
        <v>0</v>
      </c>
      <c r="AL225" s="1155"/>
      <c r="AM225" s="1156"/>
      <c r="AN225" s="529"/>
      <c r="AO225" s="525"/>
      <c r="AP225" s="525">
        <f>'HIV-Key Info'!$E$70*('HPM costs'!P285+'HPM costs'!P288)</f>
        <v>0</v>
      </c>
      <c r="AQ225" s="525"/>
      <c r="AR225" s="525">
        <f>'HIV-Key Info'!$E$70*('HPM costs'!Q285+'HPM costs'!Q288)</f>
        <v>0</v>
      </c>
      <c r="AS225" s="525"/>
      <c r="AT225" s="525">
        <f>'HIV-Key Info'!$E$70*('HPM costs'!R285+'HPM costs'!R288)</f>
        <v>0</v>
      </c>
      <c r="AU225" s="525"/>
      <c r="AV225" s="525">
        <f>'HIV-Key Info'!$E$70*('HPM costs'!S285+'HPM costs'!S288)</f>
        <v>0</v>
      </c>
      <c r="AW225" s="525"/>
      <c r="AX225" s="1154">
        <f t="shared" si="26"/>
        <v>0</v>
      </c>
      <c r="AY225" s="1154"/>
      <c r="AZ225" s="528"/>
      <c r="BA225" s="529"/>
      <c r="BB225" s="527"/>
      <c r="BC225" s="527">
        <v>0</v>
      </c>
      <c r="BD225" s="527">
        <v>0</v>
      </c>
      <c r="BE225" s="527">
        <v>0</v>
      </c>
      <c r="BF225" s="527">
        <v>0</v>
      </c>
      <c r="BG225" s="527">
        <v>0</v>
      </c>
      <c r="BH225" s="527">
        <v>0</v>
      </c>
      <c r="BI225" s="527">
        <v>0</v>
      </c>
      <c r="BJ225" s="527">
        <v>0</v>
      </c>
      <c r="BK225" s="1154">
        <f t="shared" si="27"/>
        <v>0</v>
      </c>
      <c r="BL225" s="1154"/>
      <c r="BM225" s="1154">
        <f t="shared" si="28"/>
        <v>0</v>
      </c>
      <c r="BN225" s="1154">
        <f t="shared" si="29"/>
        <v>0</v>
      </c>
      <c r="BO225" s="527"/>
      <c r="BP225" s="527"/>
      <c r="BQ225" s="1157" t="s">
        <v>2553</v>
      </c>
      <c r="BR225" s="1157" t="s">
        <v>690</v>
      </c>
      <c r="BS225" s="1157" t="s">
        <v>527</v>
      </c>
      <c r="BT225" s="1376" t="s">
        <v>1529</v>
      </c>
    </row>
    <row r="226" spans="1:72" s="1371" customFormat="1" ht="13">
      <c r="A226" s="1204">
        <v>660</v>
      </c>
      <c r="B226" s="1205" t="s">
        <v>652</v>
      </c>
      <c r="C226" s="1205" t="s">
        <v>661</v>
      </c>
      <c r="D226" s="1206" t="s">
        <v>2516</v>
      </c>
      <c r="E226" s="1386" t="s">
        <v>540</v>
      </c>
      <c r="F226" s="521"/>
      <c r="G226" s="522"/>
      <c r="H226" s="522"/>
      <c r="I226" s="522"/>
      <c r="J226" s="523"/>
      <c r="K226" s="523"/>
      <c r="L226" s="523"/>
      <c r="M226" s="524"/>
      <c r="N226" s="525"/>
      <c r="O226" s="526" t="s">
        <v>1237</v>
      </c>
      <c r="P226" s="525">
        <f>'HIV-Key Info'!$E$70*('HPM costs'!F630+'HPM costs'!F633)</f>
        <v>0</v>
      </c>
      <c r="Q226" s="525" t="s">
        <v>1237</v>
      </c>
      <c r="R226" s="525">
        <f>'HIV-Key Info'!$E$70*('HPM costs'!G630+'HPM costs'!G633)</f>
        <v>0</v>
      </c>
      <c r="S226" s="525" t="s">
        <v>1237</v>
      </c>
      <c r="T226" s="525">
        <f>'HIV-Key Info'!$E$70*('HPM costs'!H630+'HPM costs'!H633)</f>
        <v>0</v>
      </c>
      <c r="U226" s="525" t="s">
        <v>1237</v>
      </c>
      <c r="V226" s="525">
        <f>'HIV-Key Info'!$E$70*('HPM costs'!I630+'HPM costs'!I633)</f>
        <v>0</v>
      </c>
      <c r="W226" s="525"/>
      <c r="X226" s="1154">
        <f t="shared" si="24"/>
        <v>0</v>
      </c>
      <c r="Y226" s="1155"/>
      <c r="Z226" s="1156"/>
      <c r="AA226" s="529"/>
      <c r="AB226" s="525"/>
      <c r="AC226" s="525">
        <f>'HIV-Key Info'!$E$70*('HPM costs'!K630+'HPM costs'!K633)</f>
        <v>0</v>
      </c>
      <c r="AD226" s="525"/>
      <c r="AE226" s="525">
        <f>'HIV-Key Info'!$E$70*('HPM costs'!L630+'HPM costs'!L633)</f>
        <v>0</v>
      </c>
      <c r="AF226" s="525"/>
      <c r="AG226" s="525">
        <f>'HIV-Key Info'!$E$70*('HPM costs'!M630+'HPM costs'!M633)</f>
        <v>0</v>
      </c>
      <c r="AH226" s="525"/>
      <c r="AI226" s="525">
        <f>'HIV-Key Info'!$E$70*('HPM costs'!N630+'HPM costs'!N633)</f>
        <v>0</v>
      </c>
      <c r="AJ226" s="525"/>
      <c r="AK226" s="1154">
        <f t="shared" si="25"/>
        <v>0</v>
      </c>
      <c r="AL226" s="1155"/>
      <c r="AM226" s="1156"/>
      <c r="AN226" s="529"/>
      <c r="AO226" s="525"/>
      <c r="AP226" s="525">
        <f>'HIV-Key Info'!$E$70*('HPM costs'!P630+'HPM costs'!P633)</f>
        <v>0</v>
      </c>
      <c r="AQ226" s="525"/>
      <c r="AR226" s="525">
        <f>'HIV-Key Info'!$E$70*('HPM costs'!Q630+'HPM costs'!Q633)</f>
        <v>0</v>
      </c>
      <c r="AS226" s="525"/>
      <c r="AT226" s="525">
        <f>'HIV-Key Info'!$E$70*('HPM costs'!R630+'HPM costs'!R633)</f>
        <v>0</v>
      </c>
      <c r="AU226" s="525"/>
      <c r="AV226" s="525">
        <f>'HIV-Key Info'!$E$70*('HPM costs'!S630+'HPM costs'!S633)</f>
        <v>0</v>
      </c>
      <c r="AW226" s="525"/>
      <c r="AX226" s="1154">
        <f t="shared" si="26"/>
        <v>0</v>
      </c>
      <c r="AY226" s="1154"/>
      <c r="AZ226" s="528"/>
      <c r="BA226" s="529"/>
      <c r="BB226" s="527"/>
      <c r="BC226" s="527">
        <v>0</v>
      </c>
      <c r="BD226" s="527">
        <v>0</v>
      </c>
      <c r="BE226" s="527">
        <v>0</v>
      </c>
      <c r="BF226" s="527">
        <v>0</v>
      </c>
      <c r="BG226" s="527">
        <v>0</v>
      </c>
      <c r="BH226" s="527">
        <v>0</v>
      </c>
      <c r="BI226" s="527">
        <v>0</v>
      </c>
      <c r="BJ226" s="527">
        <v>0</v>
      </c>
      <c r="BK226" s="1154">
        <f t="shared" si="27"/>
        <v>0</v>
      </c>
      <c r="BL226" s="1154"/>
      <c r="BM226" s="1154">
        <f t="shared" si="28"/>
        <v>0</v>
      </c>
      <c r="BN226" s="1154">
        <f t="shared" si="29"/>
        <v>0</v>
      </c>
      <c r="BO226" s="527"/>
      <c r="BP226" s="527"/>
      <c r="BQ226" s="1157" t="s">
        <v>2553</v>
      </c>
      <c r="BR226" s="1157" t="s">
        <v>690</v>
      </c>
      <c r="BS226" s="1157" t="s">
        <v>527</v>
      </c>
      <c r="BT226" s="1376" t="s">
        <v>1530</v>
      </c>
    </row>
    <row r="227" spans="1:72" s="1371" customFormat="1" ht="13">
      <c r="A227" s="1204">
        <v>704</v>
      </c>
      <c r="B227" s="1205" t="s">
        <v>652</v>
      </c>
      <c r="C227" s="1205" t="s">
        <v>661</v>
      </c>
      <c r="D227" s="1206" t="s">
        <v>2517</v>
      </c>
      <c r="E227" s="1386" t="s">
        <v>663</v>
      </c>
      <c r="F227" s="521"/>
      <c r="G227" s="522"/>
      <c r="H227" s="522"/>
      <c r="I227" s="522"/>
      <c r="J227" s="523"/>
      <c r="K227" s="523"/>
      <c r="L227" s="523"/>
      <c r="M227" s="524"/>
      <c r="N227" s="525"/>
      <c r="O227" s="526" t="s">
        <v>1237</v>
      </c>
      <c r="P227" s="525">
        <f>'HIV-Key Info'!$E$72*IFERROR(INDEX('HIV-Other HPs'!$AX$41:$BI$48,MATCH(5.2,'HIV-Other HPs'!$AW$41:$AW$48,0),MID(LEFT(P$1,SEARCH(" ",P$1)-1),2,3)-INDEX('HIV-Other HPs'!$AV$41:$AV$48,MATCH(5.2,'HIV-Other HPs'!$AW$41:$AW$48,0))),0)</f>
        <v>0</v>
      </c>
      <c r="Q227" s="525" t="s">
        <v>1237</v>
      </c>
      <c r="R227" s="525">
        <f>'HIV-Key Info'!$E$72*IFERROR(INDEX('HIV-Other HPs'!$AX$41:$BI$48,MATCH(5.2,'HIV-Other HPs'!$AW$41:$AW$48,0),MID(LEFT(R$1,SEARCH(" ",R$1)-1),2,3)-INDEX('HIV-Other HPs'!$AV$41:$AV$48,MATCH(5.2,'HIV-Other HPs'!$AW$41:$AW$48,0))),0)</f>
        <v>0</v>
      </c>
      <c r="S227" s="525" t="s">
        <v>1237</v>
      </c>
      <c r="T227" s="525">
        <f>'HIV-Key Info'!$E$72*IFERROR(INDEX('HIV-Other HPs'!$AX$41:$BI$48,MATCH(5.2,'HIV-Other HPs'!$AW$41:$AW$48,0),MID(LEFT(T$1,SEARCH(" ",T$1)-1),2,3)-INDEX('HIV-Other HPs'!$AV$41:$AV$48,MATCH(5.2,'HIV-Other HPs'!$AW$41:$AW$48,0))),0)</f>
        <v>0</v>
      </c>
      <c r="U227" s="525" t="s">
        <v>1237</v>
      </c>
      <c r="V227" s="525">
        <f>'HIV-Key Info'!$E$72*IFERROR(INDEX('HIV-Other HPs'!$AX$41:$BI$48,MATCH(5.2,'HIV-Other HPs'!$AW$41:$AW$48,0),MID(LEFT(V$1,SEARCH(" ",V$1)-1),2,3)-INDEX('HIV-Other HPs'!$AV$41:$AV$48,MATCH(5.2,'HIV-Other HPs'!$AW$41:$AW$48,0))),0)</f>
        <v>0</v>
      </c>
      <c r="W227" s="525"/>
      <c r="X227" s="1154">
        <f t="shared" si="24"/>
        <v>0</v>
      </c>
      <c r="Y227" s="1155"/>
      <c r="Z227" s="1156"/>
      <c r="AA227" s="529"/>
      <c r="AB227" s="525"/>
      <c r="AC227" s="525">
        <f>'HIV-Key Info'!$E$72*IFERROR(INDEX('HIV-Other HPs'!$AX$41:$BI$48,MATCH(5.2,'HIV-Other HPs'!$AW$41:$AW$48,0),MID(LEFT(AC$1,SEARCH(" ",AC$1)-1),2,3)-INDEX('HIV-Other HPs'!$AV$41:$AV$48,MATCH(5.2,'HIV-Other HPs'!$AW$41:$AW$48,0))),0)</f>
        <v>0</v>
      </c>
      <c r="AD227" s="525"/>
      <c r="AE227" s="525">
        <f>'HIV-Key Info'!$E$72*IFERROR(INDEX('HIV-Other HPs'!$AX$41:$BI$48,MATCH(5.2,'HIV-Other HPs'!$AW$41:$AW$48,0),MID(LEFT(AE$1,SEARCH(" ",AE$1)-1),2,3)-INDEX('HIV-Other HPs'!$AV$41:$AV$48,MATCH(5.2,'HIV-Other HPs'!$AW$41:$AW$48,0))),0)</f>
        <v>0</v>
      </c>
      <c r="AF227" s="525"/>
      <c r="AG227" s="525">
        <f>'HIV-Key Info'!$E$72*IFERROR(INDEX('HIV-Other HPs'!$AX$41:$BI$48,MATCH(5.2,'HIV-Other HPs'!$AW$41:$AW$48,0),MID(LEFT(AG$1,SEARCH(" ",AG$1)-1),2,3)-INDEX('HIV-Other HPs'!$AV$41:$AV$48,MATCH(5.2,'HIV-Other HPs'!$AW$41:$AW$48,0))),0)</f>
        <v>0</v>
      </c>
      <c r="AH227" s="525"/>
      <c r="AI227" s="525">
        <f>'HIV-Key Info'!$E$72*IFERROR(INDEX('HIV-Other HPs'!$AX$41:$BI$48,MATCH(5.2,'HIV-Other HPs'!$AW$41:$AW$48,0),MID(LEFT(AI$1,SEARCH(" ",AI$1)-1),2,3)-INDEX('HIV-Other HPs'!$AV$41:$AV$48,MATCH(5.2,'HIV-Other HPs'!$AW$41:$AW$48,0))),0)</f>
        <v>0</v>
      </c>
      <c r="AJ227" s="525"/>
      <c r="AK227" s="1154">
        <f t="shared" si="25"/>
        <v>0</v>
      </c>
      <c r="AL227" s="1155"/>
      <c r="AM227" s="1156"/>
      <c r="AN227" s="529"/>
      <c r="AO227" s="525"/>
      <c r="AP227" s="525">
        <f>'HIV-Key Info'!$E$72*IFERROR(INDEX('HIV-Other HPs'!$AX$41:$BI$48,MATCH(5.2,'HIV-Other HPs'!$AW$41:$AW$48,0),MID(LEFT(AP$1,SEARCH(" ",AP$1)-1),2,3)-INDEX('HIV-Other HPs'!$AV$41:$AV$48,MATCH(5.2,'HIV-Other HPs'!$AW$41:$AW$48,0))),0)</f>
        <v>0</v>
      </c>
      <c r="AQ227" s="525"/>
      <c r="AR227" s="525">
        <f>'HIV-Key Info'!$E$72*IFERROR(INDEX('HIV-Other HPs'!$AX$41:$BI$48,MATCH(5.2,'HIV-Other HPs'!$AW$41:$AW$48,0),MID(LEFT(AR$1,SEARCH(" ",AR$1)-1),2,3)-INDEX('HIV-Other HPs'!$AV$41:$AV$48,MATCH(5.2,'HIV-Other HPs'!$AW$41:$AW$48,0))),0)</f>
        <v>0</v>
      </c>
      <c r="AS227" s="525"/>
      <c r="AT227" s="525">
        <f>'HIV-Key Info'!$E$72*IFERROR(INDEX('HIV-Other HPs'!$AX$41:$BI$48,MATCH(5.2,'HIV-Other HPs'!$AW$41:$AW$48,0),MID(LEFT(AT$1,SEARCH(" ",AT$1)-1),2,3)-INDEX('HIV-Other HPs'!$AV$41:$AV$48,MATCH(5.2,'HIV-Other HPs'!$AW$41:$AW$48,0))),0)</f>
        <v>0</v>
      </c>
      <c r="AU227" s="525"/>
      <c r="AV227" s="525">
        <f>IFERROR('HIV-Key Info'!$E$72*(INDEX('HIV-Other HPs'!$BJ$41:$BJ$48,MATCH(5.2,'HIV-Other HPs'!$AW$41:$AW$48,0))-(SUM(X227,AK227,AP227,AR227,AT227)/'HIV-Key Info'!$E$72)),)</f>
        <v>0</v>
      </c>
      <c r="AW227" s="525"/>
      <c r="AX227" s="1154">
        <f t="shared" si="26"/>
        <v>0</v>
      </c>
      <c r="AY227" s="1154"/>
      <c r="AZ227" s="528"/>
      <c r="BA227" s="529"/>
      <c r="BB227" s="527"/>
      <c r="BC227" s="527">
        <v>0</v>
      </c>
      <c r="BD227" s="527">
        <v>0</v>
      </c>
      <c r="BE227" s="527">
        <v>0</v>
      </c>
      <c r="BF227" s="527">
        <v>0</v>
      </c>
      <c r="BG227" s="527">
        <v>0</v>
      </c>
      <c r="BH227" s="527">
        <v>0</v>
      </c>
      <c r="BI227" s="527">
        <v>0</v>
      </c>
      <c r="BJ227" s="527">
        <v>0</v>
      </c>
      <c r="BK227" s="1154">
        <f t="shared" si="27"/>
        <v>0</v>
      </c>
      <c r="BL227" s="1154"/>
      <c r="BM227" s="1154">
        <f t="shared" si="28"/>
        <v>0</v>
      </c>
      <c r="BN227" s="1154">
        <f t="shared" si="29"/>
        <v>0</v>
      </c>
      <c r="BO227" s="527"/>
      <c r="BP227" s="527"/>
      <c r="BQ227" s="1157" t="s">
        <v>2554</v>
      </c>
      <c r="BR227" s="1157" t="s">
        <v>690</v>
      </c>
      <c r="BS227" s="1157" t="s">
        <v>662</v>
      </c>
      <c r="BT227" s="1376" t="s">
        <v>1531</v>
      </c>
    </row>
    <row r="228" spans="1:72" s="1371" customFormat="1" ht="13">
      <c r="A228" s="1204">
        <v>705</v>
      </c>
      <c r="B228" s="1205" t="s">
        <v>652</v>
      </c>
      <c r="C228" s="1205" t="s">
        <v>661</v>
      </c>
      <c r="D228" s="1206" t="s">
        <v>2517</v>
      </c>
      <c r="E228" s="1386" t="s">
        <v>665</v>
      </c>
      <c r="F228" s="521"/>
      <c r="G228" s="522"/>
      <c r="H228" s="522"/>
      <c r="I228" s="522"/>
      <c r="J228" s="523"/>
      <c r="K228" s="523"/>
      <c r="L228" s="523"/>
      <c r="M228" s="524"/>
      <c r="N228" s="525"/>
      <c r="O228" s="526" t="s">
        <v>1237</v>
      </c>
      <c r="P228" s="525">
        <f>'HIV-Key Info'!$F$72*IFERROR(INDEX('HIV-Other HPs'!$AX$41:$BI$48,MATCH(5.3,'HIV-Other HPs'!$AW$41:$AW$48,0),MID(LEFT(P$1,SEARCH(" ",P$1)-1),2,3)-INDEX('HIV-Other HPs'!$AV$41:$AV$48,MATCH(5.3,'HIV-Other HPs'!$AW$41:$AW$48,0))),0)</f>
        <v>0</v>
      </c>
      <c r="Q228" s="525" t="s">
        <v>1237</v>
      </c>
      <c r="R228" s="525">
        <f>'HIV-Key Info'!$F$72*IFERROR(INDEX('HIV-Other HPs'!$AX$41:$BI$48,MATCH(5.3,'HIV-Other HPs'!$AW$41:$AW$48,0),MID(LEFT(R$1,SEARCH(" ",R$1)-1),2,3)-INDEX('HIV-Other HPs'!$AV$41:$AV$48,MATCH(5.3,'HIV-Other HPs'!$AW$41:$AW$48,0))),0)</f>
        <v>0</v>
      </c>
      <c r="S228" s="525" t="s">
        <v>1237</v>
      </c>
      <c r="T228" s="525">
        <f>'HIV-Key Info'!$F$72*IFERROR(INDEX('HIV-Other HPs'!$AX$41:$BI$48,MATCH(5.3,'HIV-Other HPs'!$AW$41:$AW$48,0),MID(LEFT(T$1,SEARCH(" ",T$1)-1),2,3)-INDEX('HIV-Other HPs'!$AV$41:$AV$48,MATCH(5.3,'HIV-Other HPs'!$AW$41:$AW$48,0))),0)</f>
        <v>0</v>
      </c>
      <c r="U228" s="525" t="s">
        <v>1237</v>
      </c>
      <c r="V228" s="525">
        <f>'HIV-Key Info'!$F$72*IFERROR(INDEX('HIV-Other HPs'!$AX$41:$BI$48,MATCH(5.3,'HIV-Other HPs'!$AW$41:$AW$48,0),MID(LEFT(V$1,SEARCH(" ",V$1)-1),2,3)-INDEX('HIV-Other HPs'!$AV$41:$AV$48,MATCH(5.3,'HIV-Other HPs'!$AW$41:$AW$48,0))),0)</f>
        <v>0</v>
      </c>
      <c r="W228" s="525"/>
      <c r="X228" s="1154">
        <f t="shared" si="24"/>
        <v>0</v>
      </c>
      <c r="Y228" s="1155"/>
      <c r="Z228" s="1156"/>
      <c r="AA228" s="529"/>
      <c r="AB228" s="525"/>
      <c r="AC228" s="525">
        <f>'HIV-Key Info'!$F$72*IFERROR(INDEX('HIV-Other HPs'!$AX$41:$BI$48,MATCH(5.3,'HIV-Other HPs'!$AW$41:$AW$48,0),MID(LEFT(AC$1,SEARCH(" ",AC$1)-1),2,3)-INDEX('HIV-Other HPs'!$AV$41:$AV$48,MATCH(5.3,'HIV-Other HPs'!$AW$41:$AW$48,0))),0)</f>
        <v>0</v>
      </c>
      <c r="AD228" s="525"/>
      <c r="AE228" s="525">
        <f>'HIV-Key Info'!$F$72*IFERROR(INDEX('HIV-Other HPs'!$AX$41:$BI$48,MATCH(5.3,'HIV-Other HPs'!$AW$41:$AW$48,0),MID(LEFT(AE$1,SEARCH(" ",AE$1)-1),2,3)-INDEX('HIV-Other HPs'!$AV$41:$AV$48,MATCH(5.3,'HIV-Other HPs'!$AW$41:$AW$48,0))),0)</f>
        <v>0</v>
      </c>
      <c r="AF228" s="525"/>
      <c r="AG228" s="525">
        <f>'HIV-Key Info'!$F$72*IFERROR(INDEX('HIV-Other HPs'!$AX$41:$BI$48,MATCH(5.3,'HIV-Other HPs'!$AW$41:$AW$48,0),MID(LEFT(AG$1,SEARCH(" ",AG$1)-1),2,3)-INDEX('HIV-Other HPs'!$AV$41:$AV$48,MATCH(5.3,'HIV-Other HPs'!$AW$41:$AW$48,0))),0)</f>
        <v>0</v>
      </c>
      <c r="AH228" s="525"/>
      <c r="AI228" s="525">
        <f>'HIV-Key Info'!$F$72*IFERROR(INDEX('HIV-Other HPs'!$AX$41:$BI$48,MATCH(5.3,'HIV-Other HPs'!$AW$41:$AW$48,0),MID(LEFT(AI$1,SEARCH(" ",AI$1)-1),2,3)-INDEX('HIV-Other HPs'!$AV$41:$AV$48,MATCH(5.3,'HIV-Other HPs'!$AW$41:$AW$48,0))),0)</f>
        <v>0</v>
      </c>
      <c r="AJ228" s="525"/>
      <c r="AK228" s="1154">
        <f t="shared" si="25"/>
        <v>0</v>
      </c>
      <c r="AL228" s="1155"/>
      <c r="AM228" s="1156"/>
      <c r="AN228" s="529"/>
      <c r="AO228" s="525"/>
      <c r="AP228" s="525">
        <f>'HIV-Key Info'!$F$72*IFERROR(INDEX('HIV-Other HPs'!$AX$41:$BI$48,MATCH(5.3,'HIV-Other HPs'!$AW$41:$AW$48,0),MID(LEFT(AP$1,SEARCH(" ",AP$1)-1),2,3)-INDEX('HIV-Other HPs'!$AV$41:$AV$48,MATCH(5.3,'HIV-Other HPs'!$AW$41:$AW$48,0))),0)</f>
        <v>0</v>
      </c>
      <c r="AQ228" s="525"/>
      <c r="AR228" s="525">
        <f>'HIV-Key Info'!$F$72*IFERROR(INDEX('HIV-Other HPs'!$AX$41:$BI$48,MATCH(5.3,'HIV-Other HPs'!$AW$41:$AW$48,0),MID(LEFT(AR$1,SEARCH(" ",AR$1)-1),2,3)-INDEX('HIV-Other HPs'!$AV$41:$AV$48,MATCH(5.3,'HIV-Other HPs'!$AW$41:$AW$48,0))),0)</f>
        <v>0</v>
      </c>
      <c r="AS228" s="525"/>
      <c r="AT228" s="525">
        <f>'HIV-Key Info'!$F$72*IFERROR(INDEX('HIV-Other HPs'!$AX$41:$BI$48,MATCH(5.3,'HIV-Other HPs'!$AW$41:$AW$48,0),MID(LEFT(AT$1,SEARCH(" ",AT$1)-1),2,3)-INDEX('HIV-Other HPs'!$AV$41:$AV$48,MATCH(5.3,'HIV-Other HPs'!$AW$41:$AW$48,0))),0)</f>
        <v>0</v>
      </c>
      <c r="AU228" s="525"/>
      <c r="AV228" s="525">
        <f>IFERROR('HIV-Key Info'!$F$72*(INDEX('HIV-Other HPs'!$BJ$41:$BJ$48,MATCH(5.3,'HIV-Other HPs'!$AW$41:$AW$48,0))-(SUM(X228,AK228,AP228,AR228,AT228)/'HIV-Key Info'!$F$72)),)</f>
        <v>0</v>
      </c>
      <c r="AW228" s="525"/>
      <c r="AX228" s="1154">
        <f t="shared" si="26"/>
        <v>0</v>
      </c>
      <c r="AY228" s="1154"/>
      <c r="AZ228" s="528"/>
      <c r="BA228" s="529"/>
      <c r="BB228" s="527"/>
      <c r="BC228" s="527">
        <v>0</v>
      </c>
      <c r="BD228" s="527">
        <v>0</v>
      </c>
      <c r="BE228" s="527">
        <v>0</v>
      </c>
      <c r="BF228" s="527">
        <v>0</v>
      </c>
      <c r="BG228" s="527">
        <v>0</v>
      </c>
      <c r="BH228" s="527">
        <v>0</v>
      </c>
      <c r="BI228" s="527">
        <v>0</v>
      </c>
      <c r="BJ228" s="527">
        <v>0</v>
      </c>
      <c r="BK228" s="1154">
        <f t="shared" si="27"/>
        <v>0</v>
      </c>
      <c r="BL228" s="1154"/>
      <c r="BM228" s="1154">
        <f t="shared" si="28"/>
        <v>0</v>
      </c>
      <c r="BN228" s="1154">
        <f t="shared" si="29"/>
        <v>0</v>
      </c>
      <c r="BO228" s="527"/>
      <c r="BP228" s="527"/>
      <c r="BQ228" s="1157" t="s">
        <v>2554</v>
      </c>
      <c r="BR228" s="1157" t="s">
        <v>690</v>
      </c>
      <c r="BS228" s="1157" t="s">
        <v>662</v>
      </c>
      <c r="BT228" s="1376" t="s">
        <v>1532</v>
      </c>
    </row>
    <row r="229" spans="1:72" s="1371" customFormat="1" ht="13">
      <c r="A229" s="1204">
        <v>706</v>
      </c>
      <c r="B229" s="1205" t="s">
        <v>652</v>
      </c>
      <c r="C229" s="1205" t="s">
        <v>661</v>
      </c>
      <c r="D229" s="1206" t="s">
        <v>2517</v>
      </c>
      <c r="E229" s="1386" t="s">
        <v>597</v>
      </c>
      <c r="F229" s="521"/>
      <c r="G229" s="522"/>
      <c r="H229" s="522"/>
      <c r="I229" s="522"/>
      <c r="J229" s="523"/>
      <c r="K229" s="523"/>
      <c r="L229" s="523"/>
      <c r="M229" s="524"/>
      <c r="N229" s="525"/>
      <c r="O229" s="526" t="s">
        <v>1237</v>
      </c>
      <c r="P229" s="525">
        <f>'HIV-Key Info'!$G$72*IFERROR(INDEX('HIV-Other HPs'!$AX$41:$BI$48,MATCH(5.8,'HIV-Other HPs'!$AW$41:$AW$48,0),MID(LEFT(P$1,SEARCH(" ",P$1)-1),2,3)-INDEX('HIV-Other HPs'!$AV$41:$AV$48,MATCH(5.8,'HIV-Other HPs'!$AW$41:$AW$48,0))),0)</f>
        <v>0</v>
      </c>
      <c r="Q229" s="525" t="s">
        <v>1237</v>
      </c>
      <c r="R229" s="525">
        <f>'HIV-Key Info'!$G$72*IFERROR(INDEX('HIV-Other HPs'!$AX$41:$BI$48,MATCH(5.8,'HIV-Other HPs'!$AW$41:$AW$48,0),MID(LEFT(R$1,SEARCH(" ",R$1)-1),2,3)-INDEX('HIV-Other HPs'!$AV$41:$AV$48,MATCH(5.8,'HIV-Other HPs'!$AW$41:$AW$48,0))),0)</f>
        <v>0</v>
      </c>
      <c r="S229" s="525" t="s">
        <v>1237</v>
      </c>
      <c r="T229" s="525">
        <f>'HIV-Key Info'!$G$72*IFERROR(INDEX('HIV-Other HPs'!$AX$41:$BI$48,MATCH(5.8,'HIV-Other HPs'!$AW$41:$AW$48,0),MID(LEFT(T$1,SEARCH(" ",T$1)-1),2,3)-INDEX('HIV-Other HPs'!$AV$41:$AV$48,MATCH(5.8,'HIV-Other HPs'!$AW$41:$AW$48,0))),0)</f>
        <v>0</v>
      </c>
      <c r="U229" s="525" t="s">
        <v>1237</v>
      </c>
      <c r="V229" s="525">
        <f>'HIV-Key Info'!$G$72*IFERROR(INDEX('HIV-Other HPs'!$AX$41:$BI$48,MATCH(5.8,'HIV-Other HPs'!$AW$41:$AW$48,0),MID(LEFT(V$1,SEARCH(" ",V$1)-1),2,3)-INDEX('HIV-Other HPs'!$AV$41:$AV$48,MATCH(5.8,'HIV-Other HPs'!$AW$41:$AW$48,0))),0)</f>
        <v>0</v>
      </c>
      <c r="W229" s="525"/>
      <c r="X229" s="1154">
        <f t="shared" si="24"/>
        <v>0</v>
      </c>
      <c r="Y229" s="1155"/>
      <c r="Z229" s="1156"/>
      <c r="AA229" s="529"/>
      <c r="AB229" s="525"/>
      <c r="AC229" s="525">
        <f>'HIV-Key Info'!$G$72*IFERROR(INDEX('HIV-Other HPs'!$AX$41:$BI$48,MATCH(5.8,'HIV-Other HPs'!$AW$41:$AW$48,0),MID(LEFT(AC$1,SEARCH(" ",AC$1)-1),2,3)-INDEX('HIV-Other HPs'!$AV$41:$AV$48,MATCH(5.8,'HIV-Other HPs'!$AW$41:$AW$48,0))),0)</f>
        <v>0</v>
      </c>
      <c r="AD229" s="525"/>
      <c r="AE229" s="525">
        <f>'HIV-Key Info'!$G$72*IFERROR(INDEX('HIV-Other HPs'!$AX$41:$BI$48,MATCH(5.8,'HIV-Other HPs'!$AW$41:$AW$48,0),MID(LEFT(AE$1,SEARCH(" ",AE$1)-1),2,3)-INDEX('HIV-Other HPs'!$AV$41:$AV$48,MATCH(5.8,'HIV-Other HPs'!$AW$41:$AW$48,0))),0)</f>
        <v>0</v>
      </c>
      <c r="AF229" s="525"/>
      <c r="AG229" s="525">
        <f>'HIV-Key Info'!$G$72*IFERROR(INDEX('HIV-Other HPs'!$AX$41:$BI$48,MATCH(5.8,'HIV-Other HPs'!$AW$41:$AW$48,0),MID(LEFT(AG$1,SEARCH(" ",AG$1)-1),2,3)-INDEX('HIV-Other HPs'!$AV$41:$AV$48,MATCH(5.8,'HIV-Other HPs'!$AW$41:$AW$48,0))),0)</f>
        <v>0</v>
      </c>
      <c r="AH229" s="525"/>
      <c r="AI229" s="525">
        <f>'HIV-Key Info'!$G$72*IFERROR(INDEX('HIV-Other HPs'!$AX$41:$BI$48,MATCH(5.8,'HIV-Other HPs'!$AW$41:$AW$48,0),MID(LEFT(AI$1,SEARCH(" ",AI$1)-1),2,3)-INDEX('HIV-Other HPs'!$AV$41:$AV$48,MATCH(5.8,'HIV-Other HPs'!$AW$41:$AW$48,0))),0)</f>
        <v>0</v>
      </c>
      <c r="AJ229" s="525"/>
      <c r="AK229" s="1154">
        <f t="shared" si="25"/>
        <v>0</v>
      </c>
      <c r="AL229" s="1155"/>
      <c r="AM229" s="1156"/>
      <c r="AN229" s="529"/>
      <c r="AO229" s="525"/>
      <c r="AP229" s="525">
        <f>'HIV-Key Info'!$G$72*IFERROR(INDEX('HIV-Other HPs'!$AX$41:$BI$48,MATCH(5.8,'HIV-Other HPs'!$AW$41:$AW$48,0),MID(LEFT(AP$1,SEARCH(" ",AP$1)-1),2,3)-INDEX('HIV-Other HPs'!$AV$41:$AV$48,MATCH(5.8,'HIV-Other HPs'!$AW$41:$AW$48,0))),0)</f>
        <v>0</v>
      </c>
      <c r="AQ229" s="525"/>
      <c r="AR229" s="525">
        <f>'HIV-Key Info'!$G$72*IFERROR(INDEX('HIV-Other HPs'!$AX$41:$BI$48,MATCH(5.8,'HIV-Other HPs'!$AW$41:$AW$48,0),MID(LEFT(AR$1,SEARCH(" ",AR$1)-1),2,3)-INDEX('HIV-Other HPs'!$AV$41:$AV$48,MATCH(5.8,'HIV-Other HPs'!$AW$41:$AW$48,0))),0)</f>
        <v>0</v>
      </c>
      <c r="AS229" s="525"/>
      <c r="AT229" s="525">
        <f>'HIV-Key Info'!$G$72*IFERROR(INDEX('HIV-Other HPs'!$AX$41:$BI$48,MATCH(5.8,'HIV-Other HPs'!$AW$41:$AW$48,0),MID(LEFT(AT$1,SEARCH(" ",AT$1)-1),2,3)-INDEX('HIV-Other HPs'!$AV$41:$AV$48,MATCH(5.8,'HIV-Other HPs'!$AW$41:$AW$48,0))),0)</f>
        <v>0</v>
      </c>
      <c r="AU229" s="525"/>
      <c r="AV229" s="525">
        <f>IFERROR('HIV-Key Info'!$G$72*(INDEX('HIV-Other HPs'!$BJ$41:$BJ$48,MATCH(5.8,'HIV-Other HPs'!$AW$41:$AW$48,0))-(SUM(X229,AK229,AP229,AR229,AT229)/'HIV-Key Info'!$G$72)),)</f>
        <v>0</v>
      </c>
      <c r="AW229" s="525"/>
      <c r="AX229" s="1154">
        <f t="shared" si="26"/>
        <v>0</v>
      </c>
      <c r="AY229" s="1154"/>
      <c r="AZ229" s="528"/>
      <c r="BA229" s="529"/>
      <c r="BB229" s="527"/>
      <c r="BC229" s="527">
        <v>0</v>
      </c>
      <c r="BD229" s="527">
        <v>0</v>
      </c>
      <c r="BE229" s="527">
        <v>0</v>
      </c>
      <c r="BF229" s="527">
        <v>0</v>
      </c>
      <c r="BG229" s="527">
        <v>0</v>
      </c>
      <c r="BH229" s="527">
        <v>0</v>
      </c>
      <c r="BI229" s="527">
        <v>0</v>
      </c>
      <c r="BJ229" s="527">
        <v>0</v>
      </c>
      <c r="BK229" s="1154">
        <f t="shared" si="27"/>
        <v>0</v>
      </c>
      <c r="BL229" s="1154"/>
      <c r="BM229" s="1154">
        <f t="shared" si="28"/>
        <v>0</v>
      </c>
      <c r="BN229" s="1154">
        <f t="shared" si="29"/>
        <v>0</v>
      </c>
      <c r="BO229" s="527"/>
      <c r="BP229" s="527"/>
      <c r="BQ229" s="1157" t="s">
        <v>2554</v>
      </c>
      <c r="BR229" s="1157" t="s">
        <v>690</v>
      </c>
      <c r="BS229" s="1157" t="s">
        <v>662</v>
      </c>
      <c r="BT229" s="1376" t="s">
        <v>1533</v>
      </c>
    </row>
    <row r="230" spans="1:72" s="1371" customFormat="1" ht="13">
      <c r="A230" s="1204">
        <v>707</v>
      </c>
      <c r="B230" s="1205" t="s">
        <v>652</v>
      </c>
      <c r="C230" s="1205" t="s">
        <v>661</v>
      </c>
      <c r="D230" s="1206" t="s">
        <v>2518</v>
      </c>
      <c r="E230" s="1386" t="s">
        <v>528</v>
      </c>
      <c r="F230" s="521"/>
      <c r="G230" s="522"/>
      <c r="H230" s="522"/>
      <c r="I230" s="522"/>
      <c r="J230" s="523"/>
      <c r="K230" s="523"/>
      <c r="L230" s="523"/>
      <c r="M230" s="524"/>
      <c r="N230" s="525"/>
      <c r="O230" s="526" t="s">
        <v>1237</v>
      </c>
      <c r="P230" s="525">
        <f>'HIV-Key Info'!$E$72*('HPM costs'!F27+'HPM costs'!F30)</f>
        <v>0</v>
      </c>
      <c r="Q230" s="525" t="s">
        <v>1237</v>
      </c>
      <c r="R230" s="525">
        <f>'HIV-Key Info'!$E$72*('HPM costs'!G27+'HPM costs'!G30)</f>
        <v>0</v>
      </c>
      <c r="S230" s="525" t="s">
        <v>1237</v>
      </c>
      <c r="T230" s="525">
        <f>'HIV-Key Info'!$E$72*('HPM costs'!H27+'HPM costs'!H30)</f>
        <v>0</v>
      </c>
      <c r="U230" s="525" t="s">
        <v>1237</v>
      </c>
      <c r="V230" s="525">
        <f>'HIV-Key Info'!$E$72*('HPM costs'!I27+'HPM costs'!I30)</f>
        <v>0</v>
      </c>
      <c r="W230" s="525"/>
      <c r="X230" s="1154">
        <f t="shared" si="24"/>
        <v>0</v>
      </c>
      <c r="Y230" s="1155"/>
      <c r="Z230" s="1156"/>
      <c r="AA230" s="529"/>
      <c r="AB230" s="525"/>
      <c r="AC230" s="525">
        <f>'HIV-Key Info'!$E$72*('HPM costs'!K27+'HPM costs'!K30)</f>
        <v>0</v>
      </c>
      <c r="AD230" s="525"/>
      <c r="AE230" s="525">
        <f>'HIV-Key Info'!$E$72*('HPM costs'!L27+'HPM costs'!L30)</f>
        <v>0</v>
      </c>
      <c r="AF230" s="525"/>
      <c r="AG230" s="525">
        <f>'HIV-Key Info'!$E$72*('HPM costs'!M27+'HPM costs'!M30)</f>
        <v>0</v>
      </c>
      <c r="AH230" s="525"/>
      <c r="AI230" s="525">
        <f>'HIV-Key Info'!$E$72*('HPM costs'!N27+'HPM costs'!N30)</f>
        <v>0</v>
      </c>
      <c r="AJ230" s="525"/>
      <c r="AK230" s="1154">
        <f t="shared" si="25"/>
        <v>0</v>
      </c>
      <c r="AL230" s="1155"/>
      <c r="AM230" s="1156"/>
      <c r="AN230" s="529"/>
      <c r="AO230" s="525"/>
      <c r="AP230" s="525">
        <f>'HIV-Key Info'!$E$72*('HPM costs'!P27+'HPM costs'!P30)</f>
        <v>0</v>
      </c>
      <c r="AQ230" s="525"/>
      <c r="AR230" s="525">
        <f>'HIV-Key Info'!$E$72*('HPM costs'!Q27+'HPM costs'!Q30)</f>
        <v>0</v>
      </c>
      <c r="AS230" s="525"/>
      <c r="AT230" s="525">
        <f>'HIV-Key Info'!$E$72*('HPM costs'!R27+'HPM costs'!R30)</f>
        <v>0</v>
      </c>
      <c r="AU230" s="525"/>
      <c r="AV230" s="525">
        <f>'HIV-Key Info'!$E$72*('HPM costs'!S27+'HPM costs'!S30)</f>
        <v>0</v>
      </c>
      <c r="AW230" s="525"/>
      <c r="AX230" s="1154">
        <f t="shared" si="26"/>
        <v>0</v>
      </c>
      <c r="AY230" s="1154"/>
      <c r="AZ230" s="528"/>
      <c r="BA230" s="529"/>
      <c r="BB230" s="527"/>
      <c r="BC230" s="527">
        <v>0</v>
      </c>
      <c r="BD230" s="527">
        <v>0</v>
      </c>
      <c r="BE230" s="527">
        <v>0</v>
      </c>
      <c r="BF230" s="527">
        <v>0</v>
      </c>
      <c r="BG230" s="527">
        <v>0</v>
      </c>
      <c r="BH230" s="527">
        <v>0</v>
      </c>
      <c r="BI230" s="527">
        <v>0</v>
      </c>
      <c r="BJ230" s="527">
        <v>0</v>
      </c>
      <c r="BK230" s="1154">
        <f t="shared" si="27"/>
        <v>0</v>
      </c>
      <c r="BL230" s="1154"/>
      <c r="BM230" s="1154">
        <f t="shared" si="28"/>
        <v>0</v>
      </c>
      <c r="BN230" s="1154">
        <f t="shared" si="29"/>
        <v>0</v>
      </c>
      <c r="BO230" s="527"/>
      <c r="BP230" s="527"/>
      <c r="BQ230" s="1157" t="s">
        <v>2554</v>
      </c>
      <c r="BR230" s="1157" t="s">
        <v>690</v>
      </c>
      <c r="BS230" s="1157" t="s">
        <v>527</v>
      </c>
      <c r="BT230" s="1376" t="s">
        <v>1534</v>
      </c>
    </row>
    <row r="231" spans="1:72" s="1371" customFormat="1" ht="13">
      <c r="A231" s="1204">
        <v>708</v>
      </c>
      <c r="B231" s="1205" t="s">
        <v>652</v>
      </c>
      <c r="C231" s="1205" t="s">
        <v>661</v>
      </c>
      <c r="D231" s="1206" t="s">
        <v>2518</v>
      </c>
      <c r="E231" s="1386" t="s">
        <v>530</v>
      </c>
      <c r="F231" s="521"/>
      <c r="G231" s="522"/>
      <c r="H231" s="522"/>
      <c r="I231" s="522"/>
      <c r="J231" s="523"/>
      <c r="K231" s="523"/>
      <c r="L231" s="523"/>
      <c r="M231" s="524"/>
      <c r="N231" s="525"/>
      <c r="O231" s="526" t="s">
        <v>1237</v>
      </c>
      <c r="P231" s="525">
        <f>'HIV-Key Info'!$E$72*('HPM costs'!F113+'HPM costs'!F116)</f>
        <v>0</v>
      </c>
      <c r="Q231" s="525" t="s">
        <v>1237</v>
      </c>
      <c r="R231" s="525">
        <f>'HIV-Key Info'!$E$72*('HPM costs'!G113+'HPM costs'!G116)</f>
        <v>0</v>
      </c>
      <c r="S231" s="525" t="s">
        <v>1237</v>
      </c>
      <c r="T231" s="525">
        <f>'HIV-Key Info'!$E$72*('HPM costs'!H113+'HPM costs'!H116)</f>
        <v>0</v>
      </c>
      <c r="U231" s="525" t="s">
        <v>1237</v>
      </c>
      <c r="V231" s="525">
        <f>'HIV-Key Info'!$E$72*('HPM costs'!I113+'HPM costs'!I116)</f>
        <v>0</v>
      </c>
      <c r="W231" s="525"/>
      <c r="X231" s="1154">
        <f t="shared" si="24"/>
        <v>0</v>
      </c>
      <c r="Y231" s="1155"/>
      <c r="Z231" s="1156"/>
      <c r="AA231" s="529"/>
      <c r="AB231" s="525"/>
      <c r="AC231" s="525">
        <f>'HIV-Key Info'!$E$72*('HPM costs'!K113+'HPM costs'!K116)</f>
        <v>0</v>
      </c>
      <c r="AD231" s="525"/>
      <c r="AE231" s="525">
        <f>'HIV-Key Info'!$E$72*('HPM costs'!L113+'HPM costs'!L116)</f>
        <v>0</v>
      </c>
      <c r="AF231" s="525"/>
      <c r="AG231" s="525">
        <f>'HIV-Key Info'!$E$72*('HPM costs'!M113+'HPM costs'!M116)</f>
        <v>0</v>
      </c>
      <c r="AH231" s="525"/>
      <c r="AI231" s="525">
        <f>'HIV-Key Info'!$E$72*('HPM costs'!N113+'HPM costs'!N116)</f>
        <v>0</v>
      </c>
      <c r="AJ231" s="525"/>
      <c r="AK231" s="1154">
        <f t="shared" si="25"/>
        <v>0</v>
      </c>
      <c r="AL231" s="1155"/>
      <c r="AM231" s="1156"/>
      <c r="AN231" s="529"/>
      <c r="AO231" s="525"/>
      <c r="AP231" s="525">
        <f>'HIV-Key Info'!$E$72*('HPM costs'!P113+'HPM costs'!P116)</f>
        <v>0</v>
      </c>
      <c r="AQ231" s="525"/>
      <c r="AR231" s="525">
        <f>'HIV-Key Info'!$E$72*('HPM costs'!Q113+'HPM costs'!Q116)</f>
        <v>0</v>
      </c>
      <c r="AS231" s="525"/>
      <c r="AT231" s="525">
        <f>'HIV-Key Info'!$E$72*('HPM costs'!R113+'HPM costs'!R116)</f>
        <v>0</v>
      </c>
      <c r="AU231" s="525"/>
      <c r="AV231" s="525">
        <f>'HIV-Key Info'!$E$72*('HPM costs'!S113+'HPM costs'!S116)</f>
        <v>0</v>
      </c>
      <c r="AW231" s="525"/>
      <c r="AX231" s="1154">
        <f t="shared" si="26"/>
        <v>0</v>
      </c>
      <c r="AY231" s="1154"/>
      <c r="AZ231" s="528"/>
      <c r="BA231" s="529"/>
      <c r="BB231" s="527"/>
      <c r="BC231" s="527">
        <v>0</v>
      </c>
      <c r="BD231" s="527">
        <v>0</v>
      </c>
      <c r="BE231" s="527">
        <v>0</v>
      </c>
      <c r="BF231" s="527">
        <v>0</v>
      </c>
      <c r="BG231" s="527">
        <v>0</v>
      </c>
      <c r="BH231" s="527">
        <v>0</v>
      </c>
      <c r="BI231" s="527">
        <v>0</v>
      </c>
      <c r="BJ231" s="527">
        <v>0</v>
      </c>
      <c r="BK231" s="1154">
        <f t="shared" si="27"/>
        <v>0</v>
      </c>
      <c r="BL231" s="1154"/>
      <c r="BM231" s="1154">
        <f t="shared" si="28"/>
        <v>0</v>
      </c>
      <c r="BN231" s="1154">
        <f t="shared" si="29"/>
        <v>0</v>
      </c>
      <c r="BO231" s="527"/>
      <c r="BP231" s="527"/>
      <c r="BQ231" s="1157" t="s">
        <v>2554</v>
      </c>
      <c r="BR231" s="1157" t="s">
        <v>690</v>
      </c>
      <c r="BS231" s="1157" t="s">
        <v>527</v>
      </c>
      <c r="BT231" s="1376" t="s">
        <v>1535</v>
      </c>
    </row>
    <row r="232" spans="1:72" s="1371" customFormat="1" ht="13">
      <c r="A232" s="1204">
        <v>709</v>
      </c>
      <c r="B232" s="1205" t="s">
        <v>652</v>
      </c>
      <c r="C232" s="1205" t="s">
        <v>661</v>
      </c>
      <c r="D232" s="1206" t="s">
        <v>2518</v>
      </c>
      <c r="E232" s="1386" t="s">
        <v>532</v>
      </c>
      <c r="F232" s="521"/>
      <c r="G232" s="522"/>
      <c r="H232" s="522"/>
      <c r="I232" s="522"/>
      <c r="J232" s="523"/>
      <c r="K232" s="523"/>
      <c r="L232" s="523"/>
      <c r="M232" s="524"/>
      <c r="N232" s="525"/>
      <c r="O232" s="526" t="s">
        <v>1237</v>
      </c>
      <c r="P232" s="525">
        <f>'HIV-Key Info'!$E$72*('HPM costs'!F373+'HPM costs'!F376)</f>
        <v>0</v>
      </c>
      <c r="Q232" s="525" t="s">
        <v>1237</v>
      </c>
      <c r="R232" s="525">
        <f>'HIV-Key Info'!$E$72*('HPM costs'!G373+'HPM costs'!G376)</f>
        <v>0</v>
      </c>
      <c r="S232" s="525" t="s">
        <v>1237</v>
      </c>
      <c r="T232" s="525">
        <f>'HIV-Key Info'!$E$72*('HPM costs'!H373+'HPM costs'!H376)</f>
        <v>0</v>
      </c>
      <c r="U232" s="525" t="s">
        <v>1237</v>
      </c>
      <c r="V232" s="525">
        <f>'HIV-Key Info'!$E$72*('HPM costs'!I373+'HPM costs'!I376)</f>
        <v>0</v>
      </c>
      <c r="W232" s="525"/>
      <c r="X232" s="1154">
        <f t="shared" si="24"/>
        <v>0</v>
      </c>
      <c r="Y232" s="1155"/>
      <c r="Z232" s="1156"/>
      <c r="AA232" s="529"/>
      <c r="AB232" s="525"/>
      <c r="AC232" s="525">
        <f>'HIV-Key Info'!$E$72*('HPM costs'!K373+'HPM costs'!K376)</f>
        <v>0</v>
      </c>
      <c r="AD232" s="525"/>
      <c r="AE232" s="525">
        <f>'HIV-Key Info'!$E$72*('HPM costs'!L373+'HPM costs'!L376)</f>
        <v>0</v>
      </c>
      <c r="AF232" s="525"/>
      <c r="AG232" s="525">
        <f>'HIV-Key Info'!$E$72*('HPM costs'!M373+'HPM costs'!M376)</f>
        <v>0</v>
      </c>
      <c r="AH232" s="525"/>
      <c r="AI232" s="525">
        <f>'HIV-Key Info'!$E$72*('HPM costs'!N373+'HPM costs'!N376)</f>
        <v>0</v>
      </c>
      <c r="AJ232" s="525"/>
      <c r="AK232" s="1154">
        <f t="shared" si="25"/>
        <v>0</v>
      </c>
      <c r="AL232" s="1155"/>
      <c r="AM232" s="1156"/>
      <c r="AN232" s="529"/>
      <c r="AO232" s="525"/>
      <c r="AP232" s="525">
        <f>'HIV-Key Info'!$E$72*('HPM costs'!P373+'HPM costs'!P376)</f>
        <v>0</v>
      </c>
      <c r="AQ232" s="525"/>
      <c r="AR232" s="525">
        <f>'HIV-Key Info'!$E$72*('HPM costs'!Q373+'HPM costs'!Q376)</f>
        <v>0</v>
      </c>
      <c r="AS232" s="525"/>
      <c r="AT232" s="525">
        <f>'HIV-Key Info'!$E$72*('HPM costs'!R373+'HPM costs'!R376)</f>
        <v>0</v>
      </c>
      <c r="AU232" s="525"/>
      <c r="AV232" s="525">
        <f>'HIV-Key Info'!$E$72*('HPM costs'!S373+'HPM costs'!S376)</f>
        <v>0</v>
      </c>
      <c r="AW232" s="525"/>
      <c r="AX232" s="1154">
        <f t="shared" si="26"/>
        <v>0</v>
      </c>
      <c r="AY232" s="1154"/>
      <c r="AZ232" s="528"/>
      <c r="BA232" s="529"/>
      <c r="BB232" s="527"/>
      <c r="BC232" s="527">
        <v>0</v>
      </c>
      <c r="BD232" s="527">
        <v>0</v>
      </c>
      <c r="BE232" s="527">
        <v>0</v>
      </c>
      <c r="BF232" s="527">
        <v>0</v>
      </c>
      <c r="BG232" s="527">
        <v>0</v>
      </c>
      <c r="BH232" s="527">
        <v>0</v>
      </c>
      <c r="BI232" s="527">
        <v>0</v>
      </c>
      <c r="BJ232" s="527">
        <v>0</v>
      </c>
      <c r="BK232" s="1154">
        <f t="shared" si="27"/>
        <v>0</v>
      </c>
      <c r="BL232" s="1154"/>
      <c r="BM232" s="1154">
        <f t="shared" si="28"/>
        <v>0</v>
      </c>
      <c r="BN232" s="1154">
        <f t="shared" si="29"/>
        <v>0</v>
      </c>
      <c r="BO232" s="527"/>
      <c r="BP232" s="527"/>
      <c r="BQ232" s="1157" t="s">
        <v>2554</v>
      </c>
      <c r="BR232" s="1157" t="s">
        <v>690</v>
      </c>
      <c r="BS232" s="1157" t="s">
        <v>527</v>
      </c>
      <c r="BT232" s="1376" t="s">
        <v>1536</v>
      </c>
    </row>
    <row r="233" spans="1:72" s="1371" customFormat="1" ht="13">
      <c r="A233" s="1204">
        <v>710</v>
      </c>
      <c r="B233" s="1205" t="s">
        <v>652</v>
      </c>
      <c r="C233" s="1205" t="s">
        <v>661</v>
      </c>
      <c r="D233" s="1206" t="s">
        <v>2518</v>
      </c>
      <c r="E233" s="1386" t="s">
        <v>534</v>
      </c>
      <c r="F233" s="521"/>
      <c r="G233" s="522"/>
      <c r="H233" s="522"/>
      <c r="I233" s="522"/>
      <c r="J233" s="523"/>
      <c r="K233" s="523"/>
      <c r="L233" s="523"/>
      <c r="M233" s="524"/>
      <c r="N233" s="525"/>
      <c r="O233" s="526" t="s">
        <v>1237</v>
      </c>
      <c r="P233" s="525">
        <f>'HIV-Key Info'!$E$72*('HPM costs'!F459+'HPM costs'!F462)</f>
        <v>0</v>
      </c>
      <c r="Q233" s="525" t="s">
        <v>1237</v>
      </c>
      <c r="R233" s="525">
        <f>'HIV-Key Info'!$E$72*('HPM costs'!G459+'HPM costs'!G462)</f>
        <v>0</v>
      </c>
      <c r="S233" s="525" t="s">
        <v>1237</v>
      </c>
      <c r="T233" s="525">
        <f>'HIV-Key Info'!$E$72*('HPM costs'!H459+'HPM costs'!H462)</f>
        <v>0</v>
      </c>
      <c r="U233" s="525" t="s">
        <v>1237</v>
      </c>
      <c r="V233" s="525">
        <f>'HIV-Key Info'!$E$72*('HPM costs'!I459+'HPM costs'!I462)</f>
        <v>0</v>
      </c>
      <c r="W233" s="525"/>
      <c r="X233" s="1154">
        <f t="shared" si="24"/>
        <v>0</v>
      </c>
      <c r="Y233" s="1155"/>
      <c r="Z233" s="1156"/>
      <c r="AA233" s="529"/>
      <c r="AB233" s="525"/>
      <c r="AC233" s="525">
        <f>'HIV-Key Info'!$E$72*('HPM costs'!K459+'HPM costs'!K462)</f>
        <v>0</v>
      </c>
      <c r="AD233" s="525"/>
      <c r="AE233" s="525">
        <f>'HIV-Key Info'!$E$72*('HPM costs'!L459+'HPM costs'!L462)</f>
        <v>0</v>
      </c>
      <c r="AF233" s="525"/>
      <c r="AG233" s="525">
        <f>'HIV-Key Info'!$E$72*('HPM costs'!M459+'HPM costs'!M462)</f>
        <v>0</v>
      </c>
      <c r="AH233" s="525"/>
      <c r="AI233" s="525">
        <f>'HIV-Key Info'!$E$72*('HPM costs'!N459+'HPM costs'!N462)</f>
        <v>0</v>
      </c>
      <c r="AJ233" s="525"/>
      <c r="AK233" s="1154">
        <f t="shared" si="25"/>
        <v>0</v>
      </c>
      <c r="AL233" s="1155"/>
      <c r="AM233" s="1156"/>
      <c r="AN233" s="529"/>
      <c r="AO233" s="525"/>
      <c r="AP233" s="525">
        <f>'HIV-Key Info'!$E$72*('HPM costs'!P459+'HPM costs'!P462)</f>
        <v>0</v>
      </c>
      <c r="AQ233" s="525"/>
      <c r="AR233" s="525">
        <f>'HIV-Key Info'!$E$72*('HPM costs'!Q459+'HPM costs'!Q462)</f>
        <v>0</v>
      </c>
      <c r="AS233" s="525"/>
      <c r="AT233" s="525">
        <f>'HIV-Key Info'!$E$72*('HPM costs'!R459+'HPM costs'!R462)</f>
        <v>0</v>
      </c>
      <c r="AU233" s="525"/>
      <c r="AV233" s="525">
        <f>'HIV-Key Info'!$E$72*('HPM costs'!S459+'HPM costs'!S462)</f>
        <v>0</v>
      </c>
      <c r="AW233" s="525"/>
      <c r="AX233" s="1154">
        <f t="shared" si="26"/>
        <v>0</v>
      </c>
      <c r="AY233" s="1154"/>
      <c r="AZ233" s="528"/>
      <c r="BA233" s="529"/>
      <c r="BB233" s="527"/>
      <c r="BC233" s="527">
        <v>0</v>
      </c>
      <c r="BD233" s="527">
        <v>0</v>
      </c>
      <c r="BE233" s="527">
        <v>0</v>
      </c>
      <c r="BF233" s="527">
        <v>0</v>
      </c>
      <c r="BG233" s="527">
        <v>0</v>
      </c>
      <c r="BH233" s="527">
        <v>0</v>
      </c>
      <c r="BI233" s="527">
        <v>0</v>
      </c>
      <c r="BJ233" s="527">
        <v>0</v>
      </c>
      <c r="BK233" s="1154">
        <f t="shared" si="27"/>
        <v>0</v>
      </c>
      <c r="BL233" s="1154"/>
      <c r="BM233" s="1154">
        <f t="shared" si="28"/>
        <v>0</v>
      </c>
      <c r="BN233" s="1154">
        <f t="shared" si="29"/>
        <v>0</v>
      </c>
      <c r="BO233" s="527"/>
      <c r="BP233" s="527"/>
      <c r="BQ233" s="1157" t="s">
        <v>2554</v>
      </c>
      <c r="BR233" s="1157" t="s">
        <v>690</v>
      </c>
      <c r="BS233" s="1157" t="s">
        <v>527</v>
      </c>
      <c r="BT233" s="1376" t="s">
        <v>1537</v>
      </c>
    </row>
    <row r="234" spans="1:72" s="1371" customFormat="1" ht="13">
      <c r="A234" s="1204">
        <v>711</v>
      </c>
      <c r="B234" s="1205" t="s">
        <v>652</v>
      </c>
      <c r="C234" s="1205" t="s">
        <v>661</v>
      </c>
      <c r="D234" s="1206" t="s">
        <v>2518</v>
      </c>
      <c r="E234" s="1386" t="s">
        <v>536</v>
      </c>
      <c r="F234" s="521"/>
      <c r="G234" s="522"/>
      <c r="H234" s="522"/>
      <c r="I234" s="522"/>
      <c r="J234" s="523"/>
      <c r="K234" s="523"/>
      <c r="L234" s="523"/>
      <c r="M234" s="524"/>
      <c r="N234" s="525"/>
      <c r="O234" s="526" t="s">
        <v>1237</v>
      </c>
      <c r="P234" s="525">
        <f>'HIV-Key Info'!$E$72*('HPM costs'!F199+'HPM costs'!F202+'HPM costs'!F545+'HPM costs'!F548)</f>
        <v>0</v>
      </c>
      <c r="Q234" s="525" t="s">
        <v>1237</v>
      </c>
      <c r="R234" s="525">
        <f>'HIV-Key Info'!$E$72*('HPM costs'!G199+'HPM costs'!G202+'HPM costs'!G545+'HPM costs'!G548)</f>
        <v>0</v>
      </c>
      <c r="S234" s="525" t="s">
        <v>1237</v>
      </c>
      <c r="T234" s="525">
        <f>'HIV-Key Info'!$E$72*('HPM costs'!H199+'HPM costs'!H202+'HPM costs'!H545+'HPM costs'!H548)</f>
        <v>0</v>
      </c>
      <c r="U234" s="525" t="s">
        <v>1237</v>
      </c>
      <c r="V234" s="525">
        <f>'HIV-Key Info'!$E$72*('HPM costs'!I199+'HPM costs'!I202+'HPM costs'!I545+'HPM costs'!I548)</f>
        <v>0</v>
      </c>
      <c r="W234" s="525"/>
      <c r="X234" s="1154">
        <f t="shared" si="24"/>
        <v>0</v>
      </c>
      <c r="Y234" s="1155"/>
      <c r="Z234" s="1156"/>
      <c r="AA234" s="529"/>
      <c r="AB234" s="525"/>
      <c r="AC234" s="525">
        <f>'HIV-Key Info'!$E$72*('HPM costs'!K199+'HPM costs'!K202+'HPM costs'!K545+'HPM costs'!K548)</f>
        <v>0</v>
      </c>
      <c r="AD234" s="525"/>
      <c r="AE234" s="525">
        <f>'HIV-Key Info'!$E$72*('HPM costs'!L199+'HPM costs'!L202+'HPM costs'!L545+'HPM costs'!L548)</f>
        <v>0</v>
      </c>
      <c r="AF234" s="525"/>
      <c r="AG234" s="525">
        <f>'HIV-Key Info'!$E$72*('HPM costs'!M199+'HPM costs'!M202+'HPM costs'!M545+'HPM costs'!M548)</f>
        <v>0</v>
      </c>
      <c r="AH234" s="525"/>
      <c r="AI234" s="525">
        <f>'HIV-Key Info'!$E$72*('HPM costs'!N199+'HPM costs'!N202+'HPM costs'!N545+'HPM costs'!N548)</f>
        <v>0</v>
      </c>
      <c r="AJ234" s="525"/>
      <c r="AK234" s="1154">
        <f t="shared" si="25"/>
        <v>0</v>
      </c>
      <c r="AL234" s="1155"/>
      <c r="AM234" s="1156"/>
      <c r="AN234" s="529"/>
      <c r="AO234" s="525"/>
      <c r="AP234" s="525">
        <f>'HIV-Key Info'!$E$72*('HPM costs'!P199+'HPM costs'!P202+'HPM costs'!P545+'HPM costs'!P548)</f>
        <v>0</v>
      </c>
      <c r="AQ234" s="525"/>
      <c r="AR234" s="525">
        <f>'HIV-Key Info'!$E$72*('HPM costs'!Q199+'HPM costs'!Q202+'HPM costs'!Q545+'HPM costs'!Q548)</f>
        <v>0</v>
      </c>
      <c r="AS234" s="525"/>
      <c r="AT234" s="525">
        <f>'HIV-Key Info'!$E$72*('HPM costs'!R199+'HPM costs'!R202+'HPM costs'!R545+'HPM costs'!R548)</f>
        <v>0</v>
      </c>
      <c r="AU234" s="525"/>
      <c r="AV234" s="525">
        <f>'HIV-Key Info'!$E$72*('HPM costs'!S199+'HPM costs'!S202+'HPM costs'!S545+'HPM costs'!S548)</f>
        <v>0</v>
      </c>
      <c r="AW234" s="525"/>
      <c r="AX234" s="1154">
        <f t="shared" si="26"/>
        <v>0</v>
      </c>
      <c r="AY234" s="1154"/>
      <c r="AZ234" s="528"/>
      <c r="BA234" s="529"/>
      <c r="BB234" s="527"/>
      <c r="BC234" s="527">
        <v>0</v>
      </c>
      <c r="BD234" s="527">
        <v>0</v>
      </c>
      <c r="BE234" s="527">
        <v>0</v>
      </c>
      <c r="BF234" s="527">
        <v>0</v>
      </c>
      <c r="BG234" s="527">
        <v>0</v>
      </c>
      <c r="BH234" s="527">
        <v>0</v>
      </c>
      <c r="BI234" s="527">
        <v>0</v>
      </c>
      <c r="BJ234" s="527">
        <v>0</v>
      </c>
      <c r="BK234" s="1154">
        <f t="shared" si="27"/>
        <v>0</v>
      </c>
      <c r="BL234" s="1154"/>
      <c r="BM234" s="1154">
        <f t="shared" si="28"/>
        <v>0</v>
      </c>
      <c r="BN234" s="1154">
        <f t="shared" si="29"/>
        <v>0</v>
      </c>
      <c r="BO234" s="527"/>
      <c r="BP234" s="527"/>
      <c r="BQ234" s="1157" t="s">
        <v>2554</v>
      </c>
      <c r="BR234" s="1157" t="s">
        <v>690</v>
      </c>
      <c r="BS234" s="1157" t="s">
        <v>527</v>
      </c>
      <c r="BT234" s="1376" t="s">
        <v>1538</v>
      </c>
    </row>
    <row r="235" spans="1:72" s="1371" customFormat="1" ht="13">
      <c r="A235" s="1204">
        <v>712</v>
      </c>
      <c r="B235" s="1205" t="s">
        <v>652</v>
      </c>
      <c r="C235" s="1205" t="s">
        <v>661</v>
      </c>
      <c r="D235" s="1206" t="s">
        <v>2518</v>
      </c>
      <c r="E235" s="1386" t="s">
        <v>538</v>
      </c>
      <c r="F235" s="521"/>
      <c r="G235" s="522"/>
      <c r="H235" s="522"/>
      <c r="I235" s="522"/>
      <c r="J235" s="523"/>
      <c r="K235" s="523"/>
      <c r="L235" s="523"/>
      <c r="M235" s="524"/>
      <c r="N235" s="525"/>
      <c r="O235" s="526" t="s">
        <v>1237</v>
      </c>
      <c r="P235" s="525">
        <f>'HIV-Key Info'!$E$72*('HPM costs'!F285+'HPM costs'!F288)</f>
        <v>0</v>
      </c>
      <c r="Q235" s="525" t="s">
        <v>1237</v>
      </c>
      <c r="R235" s="525">
        <f>'HIV-Key Info'!$E$72*('HPM costs'!G285+'HPM costs'!G288)</f>
        <v>0</v>
      </c>
      <c r="S235" s="525" t="s">
        <v>1237</v>
      </c>
      <c r="T235" s="525">
        <f>'HIV-Key Info'!$E$72*('HPM costs'!H285+'HPM costs'!H288)</f>
        <v>0</v>
      </c>
      <c r="U235" s="525" t="s">
        <v>1237</v>
      </c>
      <c r="V235" s="525">
        <f>'HIV-Key Info'!$E$72*('HPM costs'!I285+'HPM costs'!I288)</f>
        <v>0</v>
      </c>
      <c r="W235" s="525"/>
      <c r="X235" s="1154">
        <f t="shared" si="24"/>
        <v>0</v>
      </c>
      <c r="Y235" s="1155"/>
      <c r="Z235" s="1156"/>
      <c r="AA235" s="529"/>
      <c r="AB235" s="525"/>
      <c r="AC235" s="525">
        <f>'HIV-Key Info'!$E$72*('HPM costs'!K285+'HPM costs'!K288)</f>
        <v>0</v>
      </c>
      <c r="AD235" s="525"/>
      <c r="AE235" s="525">
        <f>'HIV-Key Info'!$E$72*('HPM costs'!L285+'HPM costs'!L288)</f>
        <v>0</v>
      </c>
      <c r="AF235" s="525"/>
      <c r="AG235" s="525">
        <f>'HIV-Key Info'!$E$72*('HPM costs'!M285+'HPM costs'!M288)</f>
        <v>0</v>
      </c>
      <c r="AH235" s="525"/>
      <c r="AI235" s="525">
        <f>'HIV-Key Info'!$E$72*('HPM costs'!N285+'HPM costs'!N288)</f>
        <v>0</v>
      </c>
      <c r="AJ235" s="525"/>
      <c r="AK235" s="1154">
        <f t="shared" si="25"/>
        <v>0</v>
      </c>
      <c r="AL235" s="1155"/>
      <c r="AM235" s="1156"/>
      <c r="AN235" s="529"/>
      <c r="AO235" s="525"/>
      <c r="AP235" s="525">
        <f>'HIV-Key Info'!$E$72*('HPM costs'!P285+'HPM costs'!P288)</f>
        <v>0</v>
      </c>
      <c r="AQ235" s="525"/>
      <c r="AR235" s="525">
        <f>'HIV-Key Info'!$E$72*('HPM costs'!Q285+'HPM costs'!Q288)</f>
        <v>0</v>
      </c>
      <c r="AS235" s="525"/>
      <c r="AT235" s="525">
        <f>'HIV-Key Info'!$E$72*('HPM costs'!R285+'HPM costs'!R288)</f>
        <v>0</v>
      </c>
      <c r="AU235" s="525"/>
      <c r="AV235" s="525">
        <f>'HIV-Key Info'!$E$72*('HPM costs'!S285+'HPM costs'!S288)</f>
        <v>0</v>
      </c>
      <c r="AW235" s="525"/>
      <c r="AX235" s="1154">
        <f t="shared" si="26"/>
        <v>0</v>
      </c>
      <c r="AY235" s="1154"/>
      <c r="AZ235" s="528"/>
      <c r="BA235" s="529"/>
      <c r="BB235" s="527"/>
      <c r="BC235" s="527">
        <v>0</v>
      </c>
      <c r="BD235" s="527">
        <v>0</v>
      </c>
      <c r="BE235" s="527">
        <v>0</v>
      </c>
      <c r="BF235" s="527">
        <v>0</v>
      </c>
      <c r="BG235" s="527">
        <v>0</v>
      </c>
      <c r="BH235" s="527">
        <v>0</v>
      </c>
      <c r="BI235" s="527">
        <v>0</v>
      </c>
      <c r="BJ235" s="527">
        <v>0</v>
      </c>
      <c r="BK235" s="1154">
        <f t="shared" si="27"/>
        <v>0</v>
      </c>
      <c r="BL235" s="1154"/>
      <c r="BM235" s="1154">
        <f t="shared" si="28"/>
        <v>0</v>
      </c>
      <c r="BN235" s="1154">
        <f t="shared" si="29"/>
        <v>0</v>
      </c>
      <c r="BO235" s="527"/>
      <c r="BP235" s="527"/>
      <c r="BQ235" s="1157" t="s">
        <v>2554</v>
      </c>
      <c r="BR235" s="1157" t="s">
        <v>690</v>
      </c>
      <c r="BS235" s="1157" t="s">
        <v>527</v>
      </c>
      <c r="BT235" s="1376" t="s">
        <v>1539</v>
      </c>
    </row>
    <row r="236" spans="1:72" s="1371" customFormat="1" ht="13">
      <c r="A236" s="1204">
        <v>713</v>
      </c>
      <c r="B236" s="1205" t="s">
        <v>652</v>
      </c>
      <c r="C236" s="1205" t="s">
        <v>661</v>
      </c>
      <c r="D236" s="1206" t="s">
        <v>2518</v>
      </c>
      <c r="E236" s="1386" t="s">
        <v>540</v>
      </c>
      <c r="F236" s="521"/>
      <c r="G236" s="522"/>
      <c r="H236" s="522"/>
      <c r="I236" s="522"/>
      <c r="J236" s="523"/>
      <c r="K236" s="523"/>
      <c r="L236" s="523"/>
      <c r="M236" s="524"/>
      <c r="N236" s="525"/>
      <c r="O236" s="526" t="s">
        <v>1237</v>
      </c>
      <c r="P236" s="525">
        <f>'HIV-Key Info'!$E$72*('HPM costs'!F630+'HPM costs'!F633)</f>
        <v>0</v>
      </c>
      <c r="Q236" s="525" t="s">
        <v>1237</v>
      </c>
      <c r="R236" s="525">
        <f>'HIV-Key Info'!$E$72*('HPM costs'!G630+'HPM costs'!G633)</f>
        <v>0</v>
      </c>
      <c r="S236" s="525" t="s">
        <v>1237</v>
      </c>
      <c r="T236" s="525">
        <f>'HIV-Key Info'!$E$72*('HPM costs'!H630+'HPM costs'!H633)</f>
        <v>0</v>
      </c>
      <c r="U236" s="525" t="s">
        <v>1237</v>
      </c>
      <c r="V236" s="525">
        <f>'HIV-Key Info'!$E$72*('HPM costs'!I630+'HPM costs'!I633)</f>
        <v>0</v>
      </c>
      <c r="W236" s="525"/>
      <c r="X236" s="1154">
        <f t="shared" si="24"/>
        <v>0</v>
      </c>
      <c r="Y236" s="1155"/>
      <c r="Z236" s="1156"/>
      <c r="AA236" s="529"/>
      <c r="AB236" s="525"/>
      <c r="AC236" s="525">
        <f>'HIV-Key Info'!$E$72*('HPM costs'!K630+'HPM costs'!K633)</f>
        <v>0</v>
      </c>
      <c r="AD236" s="525"/>
      <c r="AE236" s="525">
        <f>'HIV-Key Info'!$E$72*('HPM costs'!L630+'HPM costs'!L633)</f>
        <v>0</v>
      </c>
      <c r="AF236" s="525"/>
      <c r="AG236" s="525">
        <f>'HIV-Key Info'!$E$72*('HPM costs'!M630+'HPM costs'!M633)</f>
        <v>0</v>
      </c>
      <c r="AH236" s="525"/>
      <c r="AI236" s="525">
        <f>'HIV-Key Info'!$E$72*('HPM costs'!N630+'HPM costs'!N633)</f>
        <v>0</v>
      </c>
      <c r="AJ236" s="525"/>
      <c r="AK236" s="1154">
        <f t="shared" si="25"/>
        <v>0</v>
      </c>
      <c r="AL236" s="1155"/>
      <c r="AM236" s="1156"/>
      <c r="AN236" s="529"/>
      <c r="AO236" s="525"/>
      <c r="AP236" s="525">
        <f>'HIV-Key Info'!$E$72*('HPM costs'!P630+'HPM costs'!P633)</f>
        <v>0</v>
      </c>
      <c r="AQ236" s="525"/>
      <c r="AR236" s="525">
        <f>'HIV-Key Info'!$E$72*('HPM costs'!Q630+'HPM costs'!Q633)</f>
        <v>0</v>
      </c>
      <c r="AS236" s="525"/>
      <c r="AT236" s="525">
        <f>'HIV-Key Info'!$E$72*('HPM costs'!R630+'HPM costs'!R633)</f>
        <v>0</v>
      </c>
      <c r="AU236" s="525"/>
      <c r="AV236" s="525">
        <f>'HIV-Key Info'!$E$72*('HPM costs'!S630+'HPM costs'!S633)</f>
        <v>0</v>
      </c>
      <c r="AW236" s="525"/>
      <c r="AX236" s="1154">
        <f t="shared" si="26"/>
        <v>0</v>
      </c>
      <c r="AY236" s="1154"/>
      <c r="AZ236" s="528"/>
      <c r="BA236" s="529"/>
      <c r="BB236" s="527"/>
      <c r="BC236" s="527">
        <v>0</v>
      </c>
      <c r="BD236" s="527">
        <v>0</v>
      </c>
      <c r="BE236" s="527">
        <v>0</v>
      </c>
      <c r="BF236" s="527">
        <v>0</v>
      </c>
      <c r="BG236" s="527">
        <v>0</v>
      </c>
      <c r="BH236" s="527">
        <v>0</v>
      </c>
      <c r="BI236" s="527">
        <v>0</v>
      </c>
      <c r="BJ236" s="527">
        <v>0</v>
      </c>
      <c r="BK236" s="1154">
        <f t="shared" si="27"/>
        <v>0</v>
      </c>
      <c r="BL236" s="1154"/>
      <c r="BM236" s="1154">
        <f t="shared" si="28"/>
        <v>0</v>
      </c>
      <c r="BN236" s="1154">
        <f t="shared" si="29"/>
        <v>0</v>
      </c>
      <c r="BO236" s="527"/>
      <c r="BP236" s="527"/>
      <c r="BQ236" s="1157" t="s">
        <v>2554</v>
      </c>
      <c r="BR236" s="1157" t="s">
        <v>690</v>
      </c>
      <c r="BS236" s="1157" t="s">
        <v>527</v>
      </c>
      <c r="BT236" s="1376" t="s">
        <v>1540</v>
      </c>
    </row>
    <row r="237" spans="1:72" s="1371" customFormat="1" ht="13">
      <c r="A237" s="1204">
        <v>727</v>
      </c>
      <c r="B237" s="1205" t="s">
        <v>652</v>
      </c>
      <c r="C237" s="1205" t="s">
        <v>661</v>
      </c>
      <c r="D237" s="1206" t="s">
        <v>2519</v>
      </c>
      <c r="E237" s="1386" t="s">
        <v>663</v>
      </c>
      <c r="F237" s="521"/>
      <c r="G237" s="522"/>
      <c r="H237" s="522"/>
      <c r="I237" s="522"/>
      <c r="J237" s="523"/>
      <c r="K237" s="523"/>
      <c r="L237" s="523"/>
      <c r="M237" s="524"/>
      <c r="N237" s="525"/>
      <c r="O237" s="526" t="s">
        <v>1237</v>
      </c>
      <c r="P237" s="525">
        <f>'HIV-Key Info'!$E$71*IFERROR(INDEX('HIV-Other HPs'!$AX$41:$BI$48,MATCH(5.2,'HIV-Other HPs'!$AW$41:$AW$48,0),MID(LEFT(P$1,SEARCH(" ",P$1)-1),2,3)-INDEX('HIV-Other HPs'!$AV$41:$AV$48,MATCH(5.2,'HIV-Other HPs'!$AW$41:$AW$48,0))),0)</f>
        <v>0</v>
      </c>
      <c r="Q237" s="525" t="s">
        <v>1237</v>
      </c>
      <c r="R237" s="525">
        <f>'HIV-Key Info'!$E$71*IFERROR(INDEX('HIV-Other HPs'!$AX$41:$BI$48,MATCH(5.2,'HIV-Other HPs'!$AW$41:$AW$48,0),MID(LEFT(R$1,SEARCH(" ",R$1)-1),2,3)-INDEX('HIV-Other HPs'!$AV$41:$AV$48,MATCH(5.2,'HIV-Other HPs'!$AW$41:$AW$48,0))),0)</f>
        <v>0</v>
      </c>
      <c r="S237" s="525" t="s">
        <v>1237</v>
      </c>
      <c r="T237" s="525">
        <f>'HIV-Key Info'!$E$71*IFERROR(INDEX('HIV-Other HPs'!$AX$41:$BI$48,MATCH(5.2,'HIV-Other HPs'!$AW$41:$AW$48,0),MID(LEFT(T$1,SEARCH(" ",T$1)-1),2,3)-INDEX('HIV-Other HPs'!$AV$41:$AV$48,MATCH(5.2,'HIV-Other HPs'!$AW$41:$AW$48,0))),0)</f>
        <v>0</v>
      </c>
      <c r="U237" s="525" t="s">
        <v>1237</v>
      </c>
      <c r="V237" s="525">
        <f>'HIV-Key Info'!$E$71*IFERROR(INDEX('HIV-Other HPs'!$AX$41:$BI$48,MATCH(5.2,'HIV-Other HPs'!$AW$41:$AW$48,0),MID(LEFT(V$1,SEARCH(" ",V$1)-1),2,3)-INDEX('HIV-Other HPs'!$AV$41:$AV$48,MATCH(5.2,'HIV-Other HPs'!$AW$41:$AW$48,0))),0)</f>
        <v>0</v>
      </c>
      <c r="W237" s="525"/>
      <c r="X237" s="1154">
        <f t="shared" si="24"/>
        <v>0</v>
      </c>
      <c r="Y237" s="1155"/>
      <c r="Z237" s="1156"/>
      <c r="AA237" s="529"/>
      <c r="AB237" s="525"/>
      <c r="AC237" s="525">
        <f>'HIV-Key Info'!$E$71*IFERROR(INDEX('HIV-Other HPs'!$AX$41:$BI$48,MATCH(5.2,'HIV-Other HPs'!$AW$41:$AW$48,0),MID(LEFT(AC$1,SEARCH(" ",AC$1)-1),2,3)-INDEX('HIV-Other HPs'!$AV$41:$AV$48,MATCH(5.2,'HIV-Other HPs'!$AW$41:$AW$48,0))),0)</f>
        <v>0</v>
      </c>
      <c r="AD237" s="525"/>
      <c r="AE237" s="525">
        <f>'HIV-Key Info'!$E$71*IFERROR(INDEX('HIV-Other HPs'!$AX$41:$BI$48,MATCH(5.2,'HIV-Other HPs'!$AW$41:$AW$48,0),MID(LEFT(AE$1,SEARCH(" ",AE$1)-1),2,3)-INDEX('HIV-Other HPs'!$AV$41:$AV$48,MATCH(5.2,'HIV-Other HPs'!$AW$41:$AW$48,0))),0)</f>
        <v>0</v>
      </c>
      <c r="AF237" s="525"/>
      <c r="AG237" s="525">
        <f>'HIV-Key Info'!$E$71*IFERROR(INDEX('HIV-Other HPs'!$AX$41:$BI$48,MATCH(5.2,'HIV-Other HPs'!$AW$41:$AW$48,0),MID(LEFT(AG$1,SEARCH(" ",AG$1)-1),2,3)-INDEX('HIV-Other HPs'!$AV$41:$AV$48,MATCH(5.2,'HIV-Other HPs'!$AW$41:$AW$48,0))),0)</f>
        <v>0</v>
      </c>
      <c r="AH237" s="525"/>
      <c r="AI237" s="525">
        <f>'HIV-Key Info'!$E$71*IFERROR(INDEX('HIV-Other HPs'!$AX$41:$BI$48,MATCH(5.2,'HIV-Other HPs'!$AW$41:$AW$48,0),MID(LEFT(AI$1,SEARCH(" ",AI$1)-1),2,3)-INDEX('HIV-Other HPs'!$AV$41:$AV$48,MATCH(5.2,'HIV-Other HPs'!$AW$41:$AW$48,0))),0)</f>
        <v>0</v>
      </c>
      <c r="AJ237" s="525"/>
      <c r="AK237" s="1154">
        <f t="shared" si="25"/>
        <v>0</v>
      </c>
      <c r="AL237" s="1155"/>
      <c r="AM237" s="1156"/>
      <c r="AN237" s="529"/>
      <c r="AO237" s="525"/>
      <c r="AP237" s="525">
        <f>'HIV-Key Info'!$E$71*IFERROR(INDEX('HIV-Other HPs'!$AX$41:$BI$48,MATCH(5.2,'HIV-Other HPs'!$AW$41:$AW$48,0),MID(LEFT(AP$1,SEARCH(" ",AP$1)-1),2,3)-INDEX('HIV-Other HPs'!$AV$41:$AV$48,MATCH(5.2,'HIV-Other HPs'!$AW$41:$AW$48,0))),0)</f>
        <v>0</v>
      </c>
      <c r="AQ237" s="525"/>
      <c r="AR237" s="525">
        <f>'HIV-Key Info'!$E$71*IFERROR(INDEX('HIV-Other HPs'!$AX$41:$BI$48,MATCH(5.2,'HIV-Other HPs'!$AW$41:$AW$48,0),MID(LEFT(AR$1,SEARCH(" ",AR$1)-1),2,3)-INDEX('HIV-Other HPs'!$AV$41:$AV$48,MATCH(5.2,'HIV-Other HPs'!$AW$41:$AW$48,0))),0)</f>
        <v>0</v>
      </c>
      <c r="AS237" s="525"/>
      <c r="AT237" s="525">
        <f>'HIV-Key Info'!$E$71*IFERROR(INDEX('HIV-Other HPs'!$AX$41:$BI$48,MATCH(5.2,'HIV-Other HPs'!$AW$41:$AW$48,0),MID(LEFT(AT$1,SEARCH(" ",AT$1)-1),2,3)-INDEX('HIV-Other HPs'!$AV$41:$AV$48,MATCH(5.2,'HIV-Other HPs'!$AW$41:$AW$48,0))),0)</f>
        <v>0</v>
      </c>
      <c r="AU237" s="525"/>
      <c r="AV237" s="525">
        <f>IFERROR('HIV-Key Info'!$E$71*(INDEX('HIV-Other HPs'!$BJ$41:$BJ$48,MATCH(5.2,'HIV-Other HPs'!$AW$41:$AW$48,0))-(SUM(X237,AK237,AP237,AR237,AT237)/'HIV-Key Info'!$E$71)),)</f>
        <v>0</v>
      </c>
      <c r="AW237" s="525"/>
      <c r="AX237" s="1154">
        <f t="shared" si="26"/>
        <v>0</v>
      </c>
      <c r="AY237" s="1154"/>
      <c r="AZ237" s="528"/>
      <c r="BA237" s="529"/>
      <c r="BB237" s="527"/>
      <c r="BC237" s="527">
        <v>0</v>
      </c>
      <c r="BD237" s="527">
        <v>0</v>
      </c>
      <c r="BE237" s="527">
        <v>0</v>
      </c>
      <c r="BF237" s="527">
        <v>0</v>
      </c>
      <c r="BG237" s="527">
        <v>0</v>
      </c>
      <c r="BH237" s="527">
        <v>0</v>
      </c>
      <c r="BI237" s="527">
        <v>0</v>
      </c>
      <c r="BJ237" s="527">
        <v>0</v>
      </c>
      <c r="BK237" s="1154">
        <f t="shared" si="27"/>
        <v>0</v>
      </c>
      <c r="BL237" s="1154"/>
      <c r="BM237" s="1154">
        <f t="shared" si="28"/>
        <v>0</v>
      </c>
      <c r="BN237" s="1154">
        <f t="shared" si="29"/>
        <v>0</v>
      </c>
      <c r="BO237" s="527"/>
      <c r="BP237" s="527"/>
      <c r="BQ237" s="1157" t="s">
        <v>2555</v>
      </c>
      <c r="BR237" s="1157" t="s">
        <v>690</v>
      </c>
      <c r="BS237" s="1157" t="s">
        <v>662</v>
      </c>
      <c r="BT237" s="1376" t="s">
        <v>1541</v>
      </c>
    </row>
    <row r="238" spans="1:72" s="1371" customFormat="1" ht="13">
      <c r="A238" s="1204">
        <v>728</v>
      </c>
      <c r="B238" s="1205" t="s">
        <v>652</v>
      </c>
      <c r="C238" s="1205" t="s">
        <v>661</v>
      </c>
      <c r="D238" s="1206" t="s">
        <v>2519</v>
      </c>
      <c r="E238" s="1386" t="s">
        <v>665</v>
      </c>
      <c r="F238" s="521"/>
      <c r="G238" s="522"/>
      <c r="H238" s="522"/>
      <c r="I238" s="522"/>
      <c r="J238" s="523"/>
      <c r="K238" s="523"/>
      <c r="L238" s="523"/>
      <c r="M238" s="524"/>
      <c r="N238" s="525"/>
      <c r="O238" s="526" t="s">
        <v>1237</v>
      </c>
      <c r="P238" s="525">
        <f>'HIV-Key Info'!$F$71*IFERROR(INDEX('HIV-Other HPs'!$AX$41:$BI$48,MATCH(5.3,'HIV-Other HPs'!$AW$41:$AW$48,0),MID(LEFT(P$1,SEARCH(" ",P$1)-1),2,3)-INDEX('HIV-Other HPs'!$AV$41:$AV$48,MATCH(5.3,'HIV-Other HPs'!$AW$41:$AW$48,0))),0)</f>
        <v>0</v>
      </c>
      <c r="Q238" s="525" t="s">
        <v>1237</v>
      </c>
      <c r="R238" s="525">
        <f>'HIV-Key Info'!$F$71*IFERROR(INDEX('HIV-Other HPs'!$AX$41:$BI$48,MATCH(5.3,'HIV-Other HPs'!$AW$41:$AW$48,0),MID(LEFT(R$1,SEARCH(" ",R$1)-1),2,3)-INDEX('HIV-Other HPs'!$AV$41:$AV$48,MATCH(5.3,'HIV-Other HPs'!$AW$41:$AW$48,0))),0)</f>
        <v>0</v>
      </c>
      <c r="S238" s="525" t="s">
        <v>1237</v>
      </c>
      <c r="T238" s="525">
        <f>'HIV-Key Info'!$F$71*IFERROR(INDEX('HIV-Other HPs'!$AX$41:$BI$48,MATCH(5.3,'HIV-Other HPs'!$AW$41:$AW$48,0),MID(LEFT(T$1,SEARCH(" ",T$1)-1),2,3)-INDEX('HIV-Other HPs'!$AV$41:$AV$48,MATCH(5.3,'HIV-Other HPs'!$AW$41:$AW$48,0))),0)</f>
        <v>0</v>
      </c>
      <c r="U238" s="525" t="s">
        <v>1237</v>
      </c>
      <c r="V238" s="525">
        <f>'HIV-Key Info'!$F$71*IFERROR(INDEX('HIV-Other HPs'!$AX$41:$BI$48,MATCH(5.3,'HIV-Other HPs'!$AW$41:$AW$48,0),MID(LEFT(V$1,SEARCH(" ",V$1)-1),2,3)-INDEX('HIV-Other HPs'!$AV$41:$AV$48,MATCH(5.3,'HIV-Other HPs'!$AW$41:$AW$48,0))),0)</f>
        <v>0</v>
      </c>
      <c r="W238" s="525"/>
      <c r="X238" s="1154">
        <f t="shared" si="24"/>
        <v>0</v>
      </c>
      <c r="Y238" s="1155"/>
      <c r="Z238" s="1156"/>
      <c r="AA238" s="529"/>
      <c r="AB238" s="525"/>
      <c r="AC238" s="525">
        <f>'HIV-Key Info'!$F$71*IFERROR(INDEX('HIV-Other HPs'!$AX$41:$BI$48,MATCH(5.3,'HIV-Other HPs'!$AW$41:$AW$48,0),MID(LEFT(AC$1,SEARCH(" ",AC$1)-1),2,3)-INDEX('HIV-Other HPs'!$AV$41:$AV$48,MATCH(5.3,'HIV-Other HPs'!$AW$41:$AW$48,0))),0)</f>
        <v>0</v>
      </c>
      <c r="AD238" s="525"/>
      <c r="AE238" s="525">
        <f>'HIV-Key Info'!$F$71*IFERROR(INDEX('HIV-Other HPs'!$AX$41:$BI$48,MATCH(5.3,'HIV-Other HPs'!$AW$41:$AW$48,0),MID(LEFT(AE$1,SEARCH(" ",AE$1)-1),2,3)-INDEX('HIV-Other HPs'!$AV$41:$AV$48,MATCH(5.3,'HIV-Other HPs'!$AW$41:$AW$48,0))),0)</f>
        <v>0</v>
      </c>
      <c r="AF238" s="525"/>
      <c r="AG238" s="525">
        <f>'HIV-Key Info'!$F$71*IFERROR(INDEX('HIV-Other HPs'!$AX$41:$BI$48,MATCH(5.3,'HIV-Other HPs'!$AW$41:$AW$48,0),MID(LEFT(AG$1,SEARCH(" ",AG$1)-1),2,3)-INDEX('HIV-Other HPs'!$AV$41:$AV$48,MATCH(5.3,'HIV-Other HPs'!$AW$41:$AW$48,0))),0)</f>
        <v>0</v>
      </c>
      <c r="AH238" s="525"/>
      <c r="AI238" s="525">
        <f>'HIV-Key Info'!$F$71*IFERROR(INDEX('HIV-Other HPs'!$AX$41:$BI$48,MATCH(5.3,'HIV-Other HPs'!$AW$41:$AW$48,0),MID(LEFT(AI$1,SEARCH(" ",AI$1)-1),2,3)-INDEX('HIV-Other HPs'!$AV$41:$AV$48,MATCH(5.3,'HIV-Other HPs'!$AW$41:$AW$48,0))),0)</f>
        <v>0</v>
      </c>
      <c r="AJ238" s="525"/>
      <c r="AK238" s="1154">
        <f t="shared" si="25"/>
        <v>0</v>
      </c>
      <c r="AL238" s="1155"/>
      <c r="AM238" s="1156"/>
      <c r="AN238" s="529"/>
      <c r="AO238" s="525"/>
      <c r="AP238" s="525">
        <f>'HIV-Key Info'!$F$71*IFERROR(INDEX('HIV-Other HPs'!$AX$41:$BI$48,MATCH(5.3,'HIV-Other HPs'!$AW$41:$AW$48,0),MID(LEFT(AP$1,SEARCH(" ",AP$1)-1),2,3)-INDEX('HIV-Other HPs'!$AV$41:$AV$48,MATCH(5.3,'HIV-Other HPs'!$AW$41:$AW$48,0))),0)</f>
        <v>0</v>
      </c>
      <c r="AQ238" s="525"/>
      <c r="AR238" s="525">
        <f>'HIV-Key Info'!$F$71*IFERROR(INDEX('HIV-Other HPs'!$AX$41:$BI$48,MATCH(5.3,'HIV-Other HPs'!$AW$41:$AW$48,0),MID(LEFT(AR$1,SEARCH(" ",AR$1)-1),2,3)-INDEX('HIV-Other HPs'!$AV$41:$AV$48,MATCH(5.3,'HIV-Other HPs'!$AW$41:$AW$48,0))),0)</f>
        <v>0</v>
      </c>
      <c r="AS238" s="525"/>
      <c r="AT238" s="525">
        <f>'HIV-Key Info'!$F$71*IFERROR(INDEX('HIV-Other HPs'!$AX$41:$BI$48,MATCH(5.3,'HIV-Other HPs'!$AW$41:$AW$48,0),MID(LEFT(AT$1,SEARCH(" ",AT$1)-1),2,3)-INDEX('HIV-Other HPs'!$AV$41:$AV$48,MATCH(5.3,'HIV-Other HPs'!$AW$41:$AW$48,0))),0)</f>
        <v>0</v>
      </c>
      <c r="AU238" s="525"/>
      <c r="AV238" s="525">
        <f>IFERROR('HIV-Key Info'!$F$71*(INDEX('HIV-Other HPs'!$BJ$41:$BJ$48,MATCH(5.3,'HIV-Other HPs'!$AW$41:$AW$48,0))-(SUM(X238,AK238,AP238,AR238,AT238)/'HIV-Key Info'!$F$71)),)</f>
        <v>0</v>
      </c>
      <c r="AW238" s="525"/>
      <c r="AX238" s="1154">
        <f t="shared" si="26"/>
        <v>0</v>
      </c>
      <c r="AY238" s="1154"/>
      <c r="AZ238" s="528"/>
      <c r="BA238" s="529"/>
      <c r="BB238" s="527"/>
      <c r="BC238" s="527">
        <v>0</v>
      </c>
      <c r="BD238" s="527">
        <v>0</v>
      </c>
      <c r="BE238" s="527">
        <v>0</v>
      </c>
      <c r="BF238" s="527">
        <v>0</v>
      </c>
      <c r="BG238" s="527">
        <v>0</v>
      </c>
      <c r="BH238" s="527">
        <v>0</v>
      </c>
      <c r="BI238" s="527">
        <v>0</v>
      </c>
      <c r="BJ238" s="527">
        <v>0</v>
      </c>
      <c r="BK238" s="1154">
        <f t="shared" si="27"/>
        <v>0</v>
      </c>
      <c r="BL238" s="1154"/>
      <c r="BM238" s="1154">
        <f t="shared" si="28"/>
        <v>0</v>
      </c>
      <c r="BN238" s="1154">
        <f t="shared" si="29"/>
        <v>0</v>
      </c>
      <c r="BO238" s="527"/>
      <c r="BP238" s="527"/>
      <c r="BQ238" s="1157" t="s">
        <v>2555</v>
      </c>
      <c r="BR238" s="1157" t="s">
        <v>690</v>
      </c>
      <c r="BS238" s="1157" t="s">
        <v>662</v>
      </c>
      <c r="BT238" s="1376" t="s">
        <v>1542</v>
      </c>
    </row>
    <row r="239" spans="1:72" s="1371" customFormat="1" ht="13">
      <c r="A239" s="1204">
        <v>729</v>
      </c>
      <c r="B239" s="1205" t="s">
        <v>652</v>
      </c>
      <c r="C239" s="1205" t="s">
        <v>661</v>
      </c>
      <c r="D239" s="1206" t="s">
        <v>2519</v>
      </c>
      <c r="E239" s="1386" t="s">
        <v>597</v>
      </c>
      <c r="F239" s="521"/>
      <c r="G239" s="522"/>
      <c r="H239" s="522"/>
      <c r="I239" s="522"/>
      <c r="J239" s="523"/>
      <c r="K239" s="523"/>
      <c r="L239" s="523"/>
      <c r="M239" s="524"/>
      <c r="N239" s="525"/>
      <c r="O239" s="526" t="s">
        <v>1237</v>
      </c>
      <c r="P239" s="525">
        <f>'HIV-Key Info'!$G$71*IFERROR(INDEX('HIV-Other HPs'!$AX$41:$BI$48,MATCH(5.8,'HIV-Other HPs'!$AW$41:$AW$48,0),MID(LEFT(P$1,SEARCH(" ",P$1)-1),2,3)-INDEX('HIV-Other HPs'!$AV$41:$AV$48,MATCH(5.8,'HIV-Other HPs'!$AW$41:$AW$48,0))),0)</f>
        <v>0</v>
      </c>
      <c r="Q239" s="525" t="s">
        <v>1237</v>
      </c>
      <c r="R239" s="525">
        <f>'HIV-Key Info'!$G$71*IFERROR(INDEX('HIV-Other HPs'!$AX$41:$BI$48,MATCH(5.8,'HIV-Other HPs'!$AW$41:$AW$48,0),MID(LEFT(R$1,SEARCH(" ",R$1)-1),2,3)-INDEX('HIV-Other HPs'!$AV$41:$AV$48,MATCH(5.8,'HIV-Other HPs'!$AW$41:$AW$48,0))),0)</f>
        <v>0</v>
      </c>
      <c r="S239" s="525" t="s">
        <v>1237</v>
      </c>
      <c r="T239" s="525">
        <f>'HIV-Key Info'!$G$71*IFERROR(INDEX('HIV-Other HPs'!$AX$41:$BI$48,MATCH(5.8,'HIV-Other HPs'!$AW$41:$AW$48,0),MID(LEFT(T$1,SEARCH(" ",T$1)-1),2,3)-INDEX('HIV-Other HPs'!$AV$41:$AV$48,MATCH(5.8,'HIV-Other HPs'!$AW$41:$AW$48,0))),0)</f>
        <v>0</v>
      </c>
      <c r="U239" s="525" t="s">
        <v>1237</v>
      </c>
      <c r="V239" s="525">
        <f>'HIV-Key Info'!$G$71*IFERROR(INDEX('HIV-Other HPs'!$AX$41:$BI$48,MATCH(5.8,'HIV-Other HPs'!$AW$41:$AW$48,0),MID(LEFT(V$1,SEARCH(" ",V$1)-1),2,3)-INDEX('HIV-Other HPs'!$AV$41:$AV$48,MATCH(5.8,'HIV-Other HPs'!$AW$41:$AW$48,0))),0)</f>
        <v>0</v>
      </c>
      <c r="W239" s="525"/>
      <c r="X239" s="1154">
        <f t="shared" si="24"/>
        <v>0</v>
      </c>
      <c r="Y239" s="1155"/>
      <c r="Z239" s="1156"/>
      <c r="AA239" s="529"/>
      <c r="AB239" s="525"/>
      <c r="AC239" s="525">
        <f>'HIV-Key Info'!$G$71*IFERROR(INDEX('HIV-Other HPs'!$AX$41:$BI$48,MATCH(5.8,'HIV-Other HPs'!$AW$41:$AW$48,0),MID(LEFT(AC$1,SEARCH(" ",AC$1)-1),2,3)-INDEX('HIV-Other HPs'!$AV$41:$AV$48,MATCH(5.8,'HIV-Other HPs'!$AW$41:$AW$48,0))),0)</f>
        <v>0</v>
      </c>
      <c r="AD239" s="525"/>
      <c r="AE239" s="525">
        <f>'HIV-Key Info'!$G$71*IFERROR(INDEX('HIV-Other HPs'!$AX$41:$BI$48,MATCH(5.8,'HIV-Other HPs'!$AW$41:$AW$48,0),MID(LEFT(AE$1,SEARCH(" ",AE$1)-1),2,3)-INDEX('HIV-Other HPs'!$AV$41:$AV$48,MATCH(5.8,'HIV-Other HPs'!$AW$41:$AW$48,0))),0)</f>
        <v>0</v>
      </c>
      <c r="AF239" s="525"/>
      <c r="AG239" s="525">
        <f>'HIV-Key Info'!$G$71*IFERROR(INDEX('HIV-Other HPs'!$AX$41:$BI$48,MATCH(5.8,'HIV-Other HPs'!$AW$41:$AW$48,0),MID(LEFT(AG$1,SEARCH(" ",AG$1)-1),2,3)-INDEX('HIV-Other HPs'!$AV$41:$AV$48,MATCH(5.8,'HIV-Other HPs'!$AW$41:$AW$48,0))),0)</f>
        <v>0</v>
      </c>
      <c r="AH239" s="525"/>
      <c r="AI239" s="525">
        <f>'HIV-Key Info'!$G$71*IFERROR(INDEX('HIV-Other HPs'!$AX$41:$BI$48,MATCH(5.8,'HIV-Other HPs'!$AW$41:$AW$48,0),MID(LEFT(AI$1,SEARCH(" ",AI$1)-1),2,3)-INDEX('HIV-Other HPs'!$AV$41:$AV$48,MATCH(5.8,'HIV-Other HPs'!$AW$41:$AW$48,0))),0)</f>
        <v>0</v>
      </c>
      <c r="AJ239" s="525"/>
      <c r="AK239" s="1154">
        <f t="shared" si="25"/>
        <v>0</v>
      </c>
      <c r="AL239" s="1155"/>
      <c r="AM239" s="1156"/>
      <c r="AN239" s="529"/>
      <c r="AO239" s="525"/>
      <c r="AP239" s="525">
        <f>'HIV-Key Info'!$G$71*IFERROR(INDEX('HIV-Other HPs'!$AX$41:$BI$48,MATCH(5.8,'HIV-Other HPs'!$AW$41:$AW$48,0),MID(LEFT(AP$1,SEARCH(" ",AP$1)-1),2,3)-INDEX('HIV-Other HPs'!$AV$41:$AV$48,MATCH(5.8,'HIV-Other HPs'!$AW$41:$AW$48,0))),0)</f>
        <v>0</v>
      </c>
      <c r="AQ239" s="525"/>
      <c r="AR239" s="525">
        <f>'HIV-Key Info'!$G$71*IFERROR(INDEX('HIV-Other HPs'!$AX$41:$BI$48,MATCH(5.8,'HIV-Other HPs'!$AW$41:$AW$48,0),MID(LEFT(AR$1,SEARCH(" ",AR$1)-1),2,3)-INDEX('HIV-Other HPs'!$AV$41:$AV$48,MATCH(5.8,'HIV-Other HPs'!$AW$41:$AW$48,0))),0)</f>
        <v>0</v>
      </c>
      <c r="AS239" s="525"/>
      <c r="AT239" s="525">
        <f>'HIV-Key Info'!$G$71*IFERROR(INDEX('HIV-Other HPs'!$AX$41:$BI$48,MATCH(5.8,'HIV-Other HPs'!$AW$41:$AW$48,0),MID(LEFT(AT$1,SEARCH(" ",AT$1)-1),2,3)-INDEX('HIV-Other HPs'!$AV$41:$AV$48,MATCH(5.8,'HIV-Other HPs'!$AW$41:$AW$48,0))),0)</f>
        <v>0</v>
      </c>
      <c r="AU239" s="525"/>
      <c r="AV239" s="525">
        <f>IFERROR('HIV-Key Info'!$G$71*(INDEX('HIV-Other HPs'!$BJ$41:$BJ$48,MATCH(5.8,'HIV-Other HPs'!$AW$41:$AW$48,0))-(SUM(X239,AK239,AP239,AR239,AT239)/'HIV-Key Info'!$G$71)),)</f>
        <v>0</v>
      </c>
      <c r="AW239" s="525"/>
      <c r="AX239" s="1154">
        <f t="shared" si="26"/>
        <v>0</v>
      </c>
      <c r="AY239" s="1154"/>
      <c r="AZ239" s="528"/>
      <c r="BA239" s="529"/>
      <c r="BB239" s="527"/>
      <c r="BC239" s="527">
        <v>0</v>
      </c>
      <c r="BD239" s="527">
        <v>0</v>
      </c>
      <c r="BE239" s="527">
        <v>0</v>
      </c>
      <c r="BF239" s="527">
        <v>0</v>
      </c>
      <c r="BG239" s="527">
        <v>0</v>
      </c>
      <c r="BH239" s="527">
        <v>0</v>
      </c>
      <c r="BI239" s="527">
        <v>0</v>
      </c>
      <c r="BJ239" s="527">
        <v>0</v>
      </c>
      <c r="BK239" s="1154">
        <f t="shared" si="27"/>
        <v>0</v>
      </c>
      <c r="BL239" s="1154"/>
      <c r="BM239" s="1154">
        <f t="shared" si="28"/>
        <v>0</v>
      </c>
      <c r="BN239" s="1154">
        <f t="shared" si="29"/>
        <v>0</v>
      </c>
      <c r="BO239" s="527"/>
      <c r="BP239" s="527"/>
      <c r="BQ239" s="1157" t="s">
        <v>2555</v>
      </c>
      <c r="BR239" s="1157" t="s">
        <v>690</v>
      </c>
      <c r="BS239" s="1157" t="s">
        <v>662</v>
      </c>
      <c r="BT239" s="1376" t="s">
        <v>1543</v>
      </c>
    </row>
    <row r="240" spans="1:72" s="1371" customFormat="1" ht="13">
      <c r="A240" s="1204">
        <v>730</v>
      </c>
      <c r="B240" s="1205" t="s">
        <v>652</v>
      </c>
      <c r="C240" s="1205" t="s">
        <v>661</v>
      </c>
      <c r="D240" s="1206" t="s">
        <v>2520</v>
      </c>
      <c r="E240" s="1386" t="s">
        <v>528</v>
      </c>
      <c r="F240" s="521"/>
      <c r="G240" s="522"/>
      <c r="H240" s="522"/>
      <c r="I240" s="522"/>
      <c r="J240" s="523"/>
      <c r="K240" s="523"/>
      <c r="L240" s="523"/>
      <c r="M240" s="524"/>
      <c r="N240" s="525"/>
      <c r="O240" s="526" t="s">
        <v>1237</v>
      </c>
      <c r="P240" s="525">
        <f>'HIV-Key Info'!$E$71*('HPM costs'!F27+'HPM costs'!F30)</f>
        <v>0</v>
      </c>
      <c r="Q240" s="525" t="s">
        <v>1237</v>
      </c>
      <c r="R240" s="525">
        <f>'HIV-Key Info'!$E$71*('HPM costs'!G27+'HPM costs'!G30)</f>
        <v>0</v>
      </c>
      <c r="S240" s="525" t="s">
        <v>1237</v>
      </c>
      <c r="T240" s="525">
        <f>'HIV-Key Info'!$E$71*('HPM costs'!H27+'HPM costs'!H30)</f>
        <v>0</v>
      </c>
      <c r="U240" s="525" t="s">
        <v>1237</v>
      </c>
      <c r="V240" s="525">
        <f>'HIV-Key Info'!$E$71*('HPM costs'!I27+'HPM costs'!I30)</f>
        <v>0</v>
      </c>
      <c r="W240" s="525"/>
      <c r="X240" s="1154">
        <f t="shared" si="24"/>
        <v>0</v>
      </c>
      <c r="Y240" s="1155"/>
      <c r="Z240" s="1156"/>
      <c r="AA240" s="529"/>
      <c r="AB240" s="525"/>
      <c r="AC240" s="525">
        <f>'HIV-Key Info'!$E$71*('HPM costs'!K27+'HPM costs'!K30)</f>
        <v>0</v>
      </c>
      <c r="AD240" s="525"/>
      <c r="AE240" s="525">
        <f>'HIV-Key Info'!$E$71*('HPM costs'!L27+'HPM costs'!L30)</f>
        <v>0</v>
      </c>
      <c r="AF240" s="525"/>
      <c r="AG240" s="525">
        <f>'HIV-Key Info'!$E$71*('HPM costs'!M27+'HPM costs'!M30)</f>
        <v>0</v>
      </c>
      <c r="AH240" s="525"/>
      <c r="AI240" s="525">
        <f>'HIV-Key Info'!$E$71*('HPM costs'!N27+'HPM costs'!N30)</f>
        <v>0</v>
      </c>
      <c r="AJ240" s="525"/>
      <c r="AK240" s="1154">
        <f t="shared" si="25"/>
        <v>0</v>
      </c>
      <c r="AL240" s="1155"/>
      <c r="AM240" s="1156"/>
      <c r="AN240" s="529"/>
      <c r="AO240" s="525"/>
      <c r="AP240" s="525">
        <f>'HIV-Key Info'!$E$71*('HPM costs'!P27+'HPM costs'!P30)</f>
        <v>0</v>
      </c>
      <c r="AQ240" s="525"/>
      <c r="AR240" s="525">
        <f>'HIV-Key Info'!$E$71*('HPM costs'!Q27+'HPM costs'!Q30)</f>
        <v>0</v>
      </c>
      <c r="AS240" s="525"/>
      <c r="AT240" s="525">
        <f>'HIV-Key Info'!$E$71*('HPM costs'!R27+'HPM costs'!R30)</f>
        <v>0</v>
      </c>
      <c r="AU240" s="525"/>
      <c r="AV240" s="525">
        <f>'HIV-Key Info'!$E$71*('HPM costs'!S27+'HPM costs'!S30)</f>
        <v>0</v>
      </c>
      <c r="AW240" s="525"/>
      <c r="AX240" s="1154">
        <f t="shared" si="26"/>
        <v>0</v>
      </c>
      <c r="AY240" s="1154"/>
      <c r="AZ240" s="528"/>
      <c r="BA240" s="529"/>
      <c r="BB240" s="527"/>
      <c r="BC240" s="527">
        <v>0</v>
      </c>
      <c r="BD240" s="527">
        <v>0</v>
      </c>
      <c r="BE240" s="527">
        <v>0</v>
      </c>
      <c r="BF240" s="527">
        <v>0</v>
      </c>
      <c r="BG240" s="527">
        <v>0</v>
      </c>
      <c r="BH240" s="527">
        <v>0</v>
      </c>
      <c r="BI240" s="527">
        <v>0</v>
      </c>
      <c r="BJ240" s="527">
        <v>0</v>
      </c>
      <c r="BK240" s="1154">
        <f t="shared" si="27"/>
        <v>0</v>
      </c>
      <c r="BL240" s="1154"/>
      <c r="BM240" s="1154">
        <f t="shared" si="28"/>
        <v>0</v>
      </c>
      <c r="BN240" s="1154">
        <f t="shared" si="29"/>
        <v>0</v>
      </c>
      <c r="BO240" s="527"/>
      <c r="BP240" s="527"/>
      <c r="BQ240" s="1157" t="s">
        <v>2555</v>
      </c>
      <c r="BR240" s="1157" t="s">
        <v>690</v>
      </c>
      <c r="BS240" s="1157" t="s">
        <v>527</v>
      </c>
      <c r="BT240" s="1376" t="s">
        <v>1544</v>
      </c>
    </row>
    <row r="241" spans="1:72" s="1371" customFormat="1" ht="13">
      <c r="A241" s="1204">
        <v>731</v>
      </c>
      <c r="B241" s="1205" t="s">
        <v>652</v>
      </c>
      <c r="C241" s="1205" t="s">
        <v>661</v>
      </c>
      <c r="D241" s="1206" t="s">
        <v>2520</v>
      </c>
      <c r="E241" s="1386" t="s">
        <v>530</v>
      </c>
      <c r="F241" s="521"/>
      <c r="G241" s="522"/>
      <c r="H241" s="522"/>
      <c r="I241" s="522"/>
      <c r="J241" s="523"/>
      <c r="K241" s="523"/>
      <c r="L241" s="523"/>
      <c r="M241" s="524"/>
      <c r="N241" s="525"/>
      <c r="O241" s="526" t="s">
        <v>1237</v>
      </c>
      <c r="P241" s="525">
        <f>'HIV-Key Info'!$E$71*('HPM costs'!F113+'HPM costs'!F116)</f>
        <v>0</v>
      </c>
      <c r="Q241" s="525" t="s">
        <v>1237</v>
      </c>
      <c r="R241" s="525">
        <f>'HIV-Key Info'!$E$71*('HPM costs'!G113+'HPM costs'!G116)</f>
        <v>0</v>
      </c>
      <c r="S241" s="525" t="s">
        <v>1237</v>
      </c>
      <c r="T241" s="525">
        <f>'HIV-Key Info'!$E$71*('HPM costs'!H113+'HPM costs'!H116)</f>
        <v>0</v>
      </c>
      <c r="U241" s="525" t="s">
        <v>1237</v>
      </c>
      <c r="V241" s="525">
        <f>'HIV-Key Info'!$E$71*('HPM costs'!I113+'HPM costs'!I116)</f>
        <v>0</v>
      </c>
      <c r="W241" s="525"/>
      <c r="X241" s="1154">
        <f t="shared" si="24"/>
        <v>0</v>
      </c>
      <c r="Y241" s="1155"/>
      <c r="Z241" s="1156"/>
      <c r="AA241" s="529"/>
      <c r="AB241" s="525"/>
      <c r="AC241" s="525">
        <f>'HIV-Key Info'!$E$71*('HPM costs'!K113+'HPM costs'!K116)</f>
        <v>0</v>
      </c>
      <c r="AD241" s="525"/>
      <c r="AE241" s="525">
        <f>'HIV-Key Info'!$E$71*('HPM costs'!L113+'HPM costs'!L116)</f>
        <v>0</v>
      </c>
      <c r="AF241" s="525"/>
      <c r="AG241" s="525">
        <f>'HIV-Key Info'!$E$71*('HPM costs'!M113+'HPM costs'!M116)</f>
        <v>0</v>
      </c>
      <c r="AH241" s="525"/>
      <c r="AI241" s="525">
        <f>'HIV-Key Info'!$E$71*('HPM costs'!N113+'HPM costs'!N116)</f>
        <v>0</v>
      </c>
      <c r="AJ241" s="525"/>
      <c r="AK241" s="1154">
        <f t="shared" si="25"/>
        <v>0</v>
      </c>
      <c r="AL241" s="1155"/>
      <c r="AM241" s="1156"/>
      <c r="AN241" s="529"/>
      <c r="AO241" s="525"/>
      <c r="AP241" s="525">
        <f>'HIV-Key Info'!$E$71*('HPM costs'!P113+'HPM costs'!P116)</f>
        <v>0</v>
      </c>
      <c r="AQ241" s="525"/>
      <c r="AR241" s="525">
        <f>'HIV-Key Info'!$E$71*('HPM costs'!Q113+'HPM costs'!Q116)</f>
        <v>0</v>
      </c>
      <c r="AS241" s="525"/>
      <c r="AT241" s="525">
        <f>'HIV-Key Info'!$E$71*('HPM costs'!R113+'HPM costs'!R116)</f>
        <v>0</v>
      </c>
      <c r="AU241" s="525"/>
      <c r="AV241" s="525">
        <f>'HIV-Key Info'!$E$71*('HPM costs'!S113+'HPM costs'!S116)</f>
        <v>0</v>
      </c>
      <c r="AW241" s="525"/>
      <c r="AX241" s="1154">
        <f t="shared" si="26"/>
        <v>0</v>
      </c>
      <c r="AY241" s="1154"/>
      <c r="AZ241" s="528"/>
      <c r="BA241" s="529"/>
      <c r="BB241" s="527"/>
      <c r="BC241" s="527">
        <v>0</v>
      </c>
      <c r="BD241" s="527">
        <v>0</v>
      </c>
      <c r="BE241" s="527">
        <v>0</v>
      </c>
      <c r="BF241" s="527">
        <v>0</v>
      </c>
      <c r="BG241" s="527">
        <v>0</v>
      </c>
      <c r="BH241" s="527">
        <v>0</v>
      </c>
      <c r="BI241" s="527">
        <v>0</v>
      </c>
      <c r="BJ241" s="527">
        <v>0</v>
      </c>
      <c r="BK241" s="1154">
        <f t="shared" si="27"/>
        <v>0</v>
      </c>
      <c r="BL241" s="1154"/>
      <c r="BM241" s="1154">
        <f t="shared" si="28"/>
        <v>0</v>
      </c>
      <c r="BN241" s="1154">
        <f t="shared" si="29"/>
        <v>0</v>
      </c>
      <c r="BO241" s="527"/>
      <c r="BP241" s="527"/>
      <c r="BQ241" s="1157" t="s">
        <v>2555</v>
      </c>
      <c r="BR241" s="1157" t="s">
        <v>690</v>
      </c>
      <c r="BS241" s="1157" t="s">
        <v>527</v>
      </c>
      <c r="BT241" s="1376" t="s">
        <v>1545</v>
      </c>
    </row>
    <row r="242" spans="1:72" s="1371" customFormat="1" ht="13">
      <c r="A242" s="1204">
        <v>732</v>
      </c>
      <c r="B242" s="1205" t="s">
        <v>652</v>
      </c>
      <c r="C242" s="1205" t="s">
        <v>661</v>
      </c>
      <c r="D242" s="1206" t="s">
        <v>2520</v>
      </c>
      <c r="E242" s="1386" t="s">
        <v>532</v>
      </c>
      <c r="F242" s="521"/>
      <c r="G242" s="522"/>
      <c r="H242" s="522"/>
      <c r="I242" s="522"/>
      <c r="J242" s="523"/>
      <c r="K242" s="523"/>
      <c r="L242" s="523"/>
      <c r="M242" s="524"/>
      <c r="N242" s="525"/>
      <c r="O242" s="526" t="s">
        <v>1237</v>
      </c>
      <c r="P242" s="525">
        <f>'HIV-Key Info'!$E$71*('HPM costs'!F373+'HPM costs'!F376)</f>
        <v>0</v>
      </c>
      <c r="Q242" s="525" t="s">
        <v>1237</v>
      </c>
      <c r="R242" s="525">
        <f>'HIV-Key Info'!$E$71*('HPM costs'!G373+'HPM costs'!G376)</f>
        <v>0</v>
      </c>
      <c r="S242" s="525" t="s">
        <v>1237</v>
      </c>
      <c r="T242" s="525">
        <f>'HIV-Key Info'!$E$71*('HPM costs'!H373+'HPM costs'!H376)</f>
        <v>0</v>
      </c>
      <c r="U242" s="525" t="s">
        <v>1237</v>
      </c>
      <c r="V242" s="525">
        <f>'HIV-Key Info'!$E$71*('HPM costs'!I373+'HPM costs'!I376)</f>
        <v>0</v>
      </c>
      <c r="W242" s="525"/>
      <c r="X242" s="1154">
        <f t="shared" si="24"/>
        <v>0</v>
      </c>
      <c r="Y242" s="1155"/>
      <c r="Z242" s="1156"/>
      <c r="AA242" s="529"/>
      <c r="AB242" s="525"/>
      <c r="AC242" s="525">
        <f>'HIV-Key Info'!$E$71*('HPM costs'!K373+'HPM costs'!K376)</f>
        <v>0</v>
      </c>
      <c r="AD242" s="525"/>
      <c r="AE242" s="525">
        <f>'HIV-Key Info'!$E$71*('HPM costs'!L373+'HPM costs'!L376)</f>
        <v>0</v>
      </c>
      <c r="AF242" s="525"/>
      <c r="AG242" s="525">
        <f>'HIV-Key Info'!$E$71*('HPM costs'!M373+'HPM costs'!M376)</f>
        <v>0</v>
      </c>
      <c r="AH242" s="525"/>
      <c r="AI242" s="525">
        <f>'HIV-Key Info'!$E$71*('HPM costs'!N373+'HPM costs'!N376)</f>
        <v>0</v>
      </c>
      <c r="AJ242" s="525"/>
      <c r="AK242" s="1154">
        <f t="shared" si="25"/>
        <v>0</v>
      </c>
      <c r="AL242" s="1155"/>
      <c r="AM242" s="1156"/>
      <c r="AN242" s="529"/>
      <c r="AO242" s="525"/>
      <c r="AP242" s="525">
        <f>'HIV-Key Info'!$E$71*('HPM costs'!P373+'HPM costs'!P376)</f>
        <v>0</v>
      </c>
      <c r="AQ242" s="525"/>
      <c r="AR242" s="525">
        <f>'HIV-Key Info'!$E$71*('HPM costs'!Q373+'HPM costs'!Q376)</f>
        <v>0</v>
      </c>
      <c r="AS242" s="525"/>
      <c r="AT242" s="525">
        <f>'HIV-Key Info'!$E$71*('HPM costs'!R373+'HPM costs'!R376)</f>
        <v>0</v>
      </c>
      <c r="AU242" s="525"/>
      <c r="AV242" s="525">
        <f>'HIV-Key Info'!$E$71*('HPM costs'!S373+'HPM costs'!S376)</f>
        <v>0</v>
      </c>
      <c r="AW242" s="525"/>
      <c r="AX242" s="1154">
        <f t="shared" si="26"/>
        <v>0</v>
      </c>
      <c r="AY242" s="1154"/>
      <c r="AZ242" s="528"/>
      <c r="BA242" s="529"/>
      <c r="BB242" s="527"/>
      <c r="BC242" s="527">
        <v>0</v>
      </c>
      <c r="BD242" s="527">
        <v>0</v>
      </c>
      <c r="BE242" s="527">
        <v>0</v>
      </c>
      <c r="BF242" s="527">
        <v>0</v>
      </c>
      <c r="BG242" s="527">
        <v>0</v>
      </c>
      <c r="BH242" s="527">
        <v>0</v>
      </c>
      <c r="BI242" s="527">
        <v>0</v>
      </c>
      <c r="BJ242" s="527">
        <v>0</v>
      </c>
      <c r="BK242" s="1154">
        <f t="shared" si="27"/>
        <v>0</v>
      </c>
      <c r="BL242" s="1154"/>
      <c r="BM242" s="1154">
        <f t="shared" si="28"/>
        <v>0</v>
      </c>
      <c r="BN242" s="1154">
        <f t="shared" si="29"/>
        <v>0</v>
      </c>
      <c r="BO242" s="527"/>
      <c r="BP242" s="527"/>
      <c r="BQ242" s="1157" t="s">
        <v>2555</v>
      </c>
      <c r="BR242" s="1157" t="s">
        <v>690</v>
      </c>
      <c r="BS242" s="1157" t="s">
        <v>527</v>
      </c>
      <c r="BT242" s="1376" t="s">
        <v>1546</v>
      </c>
    </row>
    <row r="243" spans="1:72" s="1371" customFormat="1" ht="13">
      <c r="A243" s="1204">
        <v>733</v>
      </c>
      <c r="B243" s="1205" t="s">
        <v>652</v>
      </c>
      <c r="C243" s="1205" t="s">
        <v>661</v>
      </c>
      <c r="D243" s="1206" t="s">
        <v>2520</v>
      </c>
      <c r="E243" s="1386" t="s">
        <v>534</v>
      </c>
      <c r="F243" s="521"/>
      <c r="G243" s="522"/>
      <c r="H243" s="522"/>
      <c r="I243" s="522"/>
      <c r="J243" s="523"/>
      <c r="K243" s="523"/>
      <c r="L243" s="523"/>
      <c r="M243" s="524"/>
      <c r="N243" s="525"/>
      <c r="O243" s="526" t="s">
        <v>1237</v>
      </c>
      <c r="P243" s="525">
        <f>'HIV-Key Info'!$E$71*('HPM costs'!F459+'HPM costs'!F462)</f>
        <v>0</v>
      </c>
      <c r="Q243" s="525" t="s">
        <v>1237</v>
      </c>
      <c r="R243" s="525">
        <f>'HIV-Key Info'!$E$71*('HPM costs'!G459+'HPM costs'!G462)</f>
        <v>0</v>
      </c>
      <c r="S243" s="525" t="s">
        <v>1237</v>
      </c>
      <c r="T243" s="525">
        <f>'HIV-Key Info'!$E$71*('HPM costs'!H459+'HPM costs'!H462)</f>
        <v>0</v>
      </c>
      <c r="U243" s="525" t="s">
        <v>1237</v>
      </c>
      <c r="V243" s="525">
        <f>'HIV-Key Info'!$E$71*('HPM costs'!I459+'HPM costs'!I462)</f>
        <v>0</v>
      </c>
      <c r="W243" s="525"/>
      <c r="X243" s="1154">
        <f t="shared" si="24"/>
        <v>0</v>
      </c>
      <c r="Y243" s="1155"/>
      <c r="Z243" s="1156"/>
      <c r="AA243" s="529"/>
      <c r="AB243" s="525"/>
      <c r="AC243" s="525">
        <f>'HIV-Key Info'!$E$71*('HPM costs'!K459+'HPM costs'!K462)</f>
        <v>0</v>
      </c>
      <c r="AD243" s="525"/>
      <c r="AE243" s="525">
        <f>'HIV-Key Info'!$E$71*('HPM costs'!L459+'HPM costs'!L462)</f>
        <v>0</v>
      </c>
      <c r="AF243" s="525"/>
      <c r="AG243" s="525">
        <f>'HIV-Key Info'!$E$71*('HPM costs'!M459+'HPM costs'!M462)</f>
        <v>0</v>
      </c>
      <c r="AH243" s="525"/>
      <c r="AI243" s="525">
        <f>'HIV-Key Info'!$E$71*('HPM costs'!N459+'HPM costs'!N462)</f>
        <v>0</v>
      </c>
      <c r="AJ243" s="525"/>
      <c r="AK243" s="1154">
        <f t="shared" si="25"/>
        <v>0</v>
      </c>
      <c r="AL243" s="1155"/>
      <c r="AM243" s="1156"/>
      <c r="AN243" s="529"/>
      <c r="AO243" s="525"/>
      <c r="AP243" s="525">
        <f>'HIV-Key Info'!$E$71*('HPM costs'!P459+'HPM costs'!P462)</f>
        <v>0</v>
      </c>
      <c r="AQ243" s="525"/>
      <c r="AR243" s="525">
        <f>'HIV-Key Info'!$E$71*('HPM costs'!Q459+'HPM costs'!Q462)</f>
        <v>0</v>
      </c>
      <c r="AS243" s="525"/>
      <c r="AT243" s="525">
        <f>'HIV-Key Info'!$E$71*('HPM costs'!R459+'HPM costs'!R462)</f>
        <v>0</v>
      </c>
      <c r="AU243" s="525"/>
      <c r="AV243" s="525">
        <f>'HIV-Key Info'!$E$71*('HPM costs'!S459+'HPM costs'!S462)</f>
        <v>0</v>
      </c>
      <c r="AW243" s="525"/>
      <c r="AX243" s="1154">
        <f t="shared" si="26"/>
        <v>0</v>
      </c>
      <c r="AY243" s="1154"/>
      <c r="AZ243" s="528"/>
      <c r="BA243" s="529"/>
      <c r="BB243" s="527"/>
      <c r="BC243" s="527">
        <v>0</v>
      </c>
      <c r="BD243" s="527">
        <v>0</v>
      </c>
      <c r="BE243" s="527">
        <v>0</v>
      </c>
      <c r="BF243" s="527">
        <v>0</v>
      </c>
      <c r="BG243" s="527">
        <v>0</v>
      </c>
      <c r="BH243" s="527">
        <v>0</v>
      </c>
      <c r="BI243" s="527">
        <v>0</v>
      </c>
      <c r="BJ243" s="527">
        <v>0</v>
      </c>
      <c r="BK243" s="1154">
        <f t="shared" si="27"/>
        <v>0</v>
      </c>
      <c r="BL243" s="1154"/>
      <c r="BM243" s="1154">
        <f t="shared" si="28"/>
        <v>0</v>
      </c>
      <c r="BN243" s="1154">
        <f t="shared" si="29"/>
        <v>0</v>
      </c>
      <c r="BO243" s="527"/>
      <c r="BP243" s="527"/>
      <c r="BQ243" s="1157" t="s">
        <v>2555</v>
      </c>
      <c r="BR243" s="1157" t="s">
        <v>690</v>
      </c>
      <c r="BS243" s="1157" t="s">
        <v>527</v>
      </c>
      <c r="BT243" s="1376" t="s">
        <v>1547</v>
      </c>
    </row>
    <row r="244" spans="1:72" s="1371" customFormat="1" ht="13">
      <c r="A244" s="1204">
        <v>734</v>
      </c>
      <c r="B244" s="1205" t="s">
        <v>652</v>
      </c>
      <c r="C244" s="1205" t="s">
        <v>661</v>
      </c>
      <c r="D244" s="1206" t="s">
        <v>2520</v>
      </c>
      <c r="E244" s="1386" t="s">
        <v>536</v>
      </c>
      <c r="F244" s="521"/>
      <c r="G244" s="522"/>
      <c r="H244" s="522"/>
      <c r="I244" s="522"/>
      <c r="J244" s="523"/>
      <c r="K244" s="523"/>
      <c r="L244" s="523"/>
      <c r="M244" s="524"/>
      <c r="N244" s="525"/>
      <c r="O244" s="526" t="s">
        <v>1237</v>
      </c>
      <c r="P244" s="525">
        <f>'HIV-Key Info'!$E$71*('HPM costs'!F199+'HPM costs'!F202+'HPM costs'!F545+'HPM costs'!F548)</f>
        <v>0</v>
      </c>
      <c r="Q244" s="525" t="s">
        <v>1237</v>
      </c>
      <c r="R244" s="525">
        <f>'HIV-Key Info'!$E$71*('HPM costs'!G199+'HPM costs'!G202+'HPM costs'!G545+'HPM costs'!G548)</f>
        <v>0</v>
      </c>
      <c r="S244" s="525" t="s">
        <v>1237</v>
      </c>
      <c r="T244" s="525">
        <f>'HIV-Key Info'!$E$71*('HPM costs'!H199+'HPM costs'!H202+'HPM costs'!H545+'HPM costs'!H548)</f>
        <v>0</v>
      </c>
      <c r="U244" s="525" t="s">
        <v>1237</v>
      </c>
      <c r="V244" s="525">
        <f>'HIV-Key Info'!$E$71*('HPM costs'!I199+'HPM costs'!I202+'HPM costs'!I545+'HPM costs'!I548)</f>
        <v>0</v>
      </c>
      <c r="W244" s="525"/>
      <c r="X244" s="1154">
        <f t="shared" si="24"/>
        <v>0</v>
      </c>
      <c r="Y244" s="1155"/>
      <c r="Z244" s="1156"/>
      <c r="AA244" s="529"/>
      <c r="AB244" s="525"/>
      <c r="AC244" s="525">
        <f>'HIV-Key Info'!$E$71*('HPM costs'!K199+'HPM costs'!K202+'HPM costs'!K545+'HPM costs'!K548)</f>
        <v>0</v>
      </c>
      <c r="AD244" s="525"/>
      <c r="AE244" s="525">
        <f>'HIV-Key Info'!$E$71*('HPM costs'!L199+'HPM costs'!L202+'HPM costs'!L545+'HPM costs'!L548)</f>
        <v>0</v>
      </c>
      <c r="AF244" s="525"/>
      <c r="AG244" s="525">
        <f>'HIV-Key Info'!$E$71*('HPM costs'!M199+'HPM costs'!M202+'HPM costs'!M545+'HPM costs'!M548)</f>
        <v>0</v>
      </c>
      <c r="AH244" s="525"/>
      <c r="AI244" s="525">
        <f>'HIV-Key Info'!$E$71*('HPM costs'!N199+'HPM costs'!N202+'HPM costs'!N545+'HPM costs'!N548)</f>
        <v>0</v>
      </c>
      <c r="AJ244" s="525"/>
      <c r="AK244" s="1154">
        <f t="shared" si="25"/>
        <v>0</v>
      </c>
      <c r="AL244" s="1155"/>
      <c r="AM244" s="1156"/>
      <c r="AN244" s="529"/>
      <c r="AO244" s="525"/>
      <c r="AP244" s="525">
        <f>'HIV-Key Info'!$E$71*('HPM costs'!P199+'HPM costs'!P202+'HPM costs'!P545+'HPM costs'!P548)</f>
        <v>0</v>
      </c>
      <c r="AQ244" s="525"/>
      <c r="AR244" s="525">
        <f>'HIV-Key Info'!$E$71*('HPM costs'!Q199+'HPM costs'!Q202+'HPM costs'!Q545+'HPM costs'!Q548)</f>
        <v>0</v>
      </c>
      <c r="AS244" s="525"/>
      <c r="AT244" s="525">
        <f>'HIV-Key Info'!$E$71*('HPM costs'!R199+'HPM costs'!R202+'HPM costs'!R545+'HPM costs'!R548)</f>
        <v>0</v>
      </c>
      <c r="AU244" s="525"/>
      <c r="AV244" s="525">
        <f>'HIV-Key Info'!$E$71*('HPM costs'!S199+'HPM costs'!S202+'HPM costs'!S545+'HPM costs'!S548)</f>
        <v>0</v>
      </c>
      <c r="AW244" s="525"/>
      <c r="AX244" s="1154">
        <f t="shared" si="26"/>
        <v>0</v>
      </c>
      <c r="AY244" s="1154"/>
      <c r="AZ244" s="528"/>
      <c r="BA244" s="529"/>
      <c r="BB244" s="527"/>
      <c r="BC244" s="527">
        <v>0</v>
      </c>
      <c r="BD244" s="527">
        <v>0</v>
      </c>
      <c r="BE244" s="527">
        <v>0</v>
      </c>
      <c r="BF244" s="527">
        <v>0</v>
      </c>
      <c r="BG244" s="527">
        <v>0</v>
      </c>
      <c r="BH244" s="527">
        <v>0</v>
      </c>
      <c r="BI244" s="527">
        <v>0</v>
      </c>
      <c r="BJ244" s="527">
        <v>0</v>
      </c>
      <c r="BK244" s="1154">
        <f t="shared" si="27"/>
        <v>0</v>
      </c>
      <c r="BL244" s="1154"/>
      <c r="BM244" s="1154">
        <f t="shared" si="28"/>
        <v>0</v>
      </c>
      <c r="BN244" s="1154">
        <f t="shared" si="29"/>
        <v>0</v>
      </c>
      <c r="BO244" s="527"/>
      <c r="BP244" s="527"/>
      <c r="BQ244" s="1157" t="s">
        <v>2555</v>
      </c>
      <c r="BR244" s="1157" t="s">
        <v>690</v>
      </c>
      <c r="BS244" s="1157" t="s">
        <v>527</v>
      </c>
      <c r="BT244" s="1376" t="s">
        <v>1548</v>
      </c>
    </row>
    <row r="245" spans="1:72" s="1371" customFormat="1" ht="13">
      <c r="A245" s="1204">
        <v>735</v>
      </c>
      <c r="B245" s="1205" t="s">
        <v>652</v>
      </c>
      <c r="C245" s="1205" t="s">
        <v>661</v>
      </c>
      <c r="D245" s="1206" t="s">
        <v>2520</v>
      </c>
      <c r="E245" s="1386" t="s">
        <v>538</v>
      </c>
      <c r="F245" s="521"/>
      <c r="G245" s="522"/>
      <c r="H245" s="522"/>
      <c r="I245" s="522"/>
      <c r="J245" s="523"/>
      <c r="K245" s="523"/>
      <c r="L245" s="523"/>
      <c r="M245" s="524"/>
      <c r="N245" s="525"/>
      <c r="O245" s="526" t="s">
        <v>1237</v>
      </c>
      <c r="P245" s="525">
        <f>'HIV-Key Info'!$E$71*('HPM costs'!F285+'HPM costs'!F288)</f>
        <v>0</v>
      </c>
      <c r="Q245" s="525" t="s">
        <v>1237</v>
      </c>
      <c r="R245" s="525">
        <f>'HIV-Key Info'!$E$71*('HPM costs'!G285+'HPM costs'!G288)</f>
        <v>0</v>
      </c>
      <c r="S245" s="525" t="s">
        <v>1237</v>
      </c>
      <c r="T245" s="525">
        <f>'HIV-Key Info'!$E$71*('HPM costs'!H285+'HPM costs'!H288)</f>
        <v>0</v>
      </c>
      <c r="U245" s="525" t="s">
        <v>1237</v>
      </c>
      <c r="V245" s="525">
        <f>'HIV-Key Info'!$E$71*('HPM costs'!I285+'HPM costs'!I288)</f>
        <v>0</v>
      </c>
      <c r="W245" s="525"/>
      <c r="X245" s="1154">
        <f t="shared" si="24"/>
        <v>0</v>
      </c>
      <c r="Y245" s="1155"/>
      <c r="Z245" s="1156"/>
      <c r="AA245" s="529"/>
      <c r="AB245" s="525"/>
      <c r="AC245" s="525">
        <f>'HIV-Key Info'!$E$71*('HPM costs'!K285+'HPM costs'!K288)</f>
        <v>0</v>
      </c>
      <c r="AD245" s="525"/>
      <c r="AE245" s="525">
        <f>'HIV-Key Info'!$E$71*('HPM costs'!L285+'HPM costs'!L288)</f>
        <v>0</v>
      </c>
      <c r="AF245" s="525"/>
      <c r="AG245" s="525">
        <f>'HIV-Key Info'!$E$71*('HPM costs'!M285+'HPM costs'!M288)</f>
        <v>0</v>
      </c>
      <c r="AH245" s="525"/>
      <c r="AI245" s="525">
        <f>'HIV-Key Info'!$E$71*('HPM costs'!N285+'HPM costs'!N288)</f>
        <v>0</v>
      </c>
      <c r="AJ245" s="525"/>
      <c r="AK245" s="1154">
        <f t="shared" si="25"/>
        <v>0</v>
      </c>
      <c r="AL245" s="1155"/>
      <c r="AM245" s="1156"/>
      <c r="AN245" s="529"/>
      <c r="AO245" s="525"/>
      <c r="AP245" s="525">
        <f>'HIV-Key Info'!$E$71*('HPM costs'!P285+'HPM costs'!P288)</f>
        <v>0</v>
      </c>
      <c r="AQ245" s="525"/>
      <c r="AR245" s="525">
        <f>'HIV-Key Info'!$E$71*('HPM costs'!Q285+'HPM costs'!Q288)</f>
        <v>0</v>
      </c>
      <c r="AS245" s="525"/>
      <c r="AT245" s="525">
        <f>'HIV-Key Info'!$E$71*('HPM costs'!R285+'HPM costs'!R288)</f>
        <v>0</v>
      </c>
      <c r="AU245" s="525"/>
      <c r="AV245" s="525">
        <f>'HIV-Key Info'!$E$71*('HPM costs'!S285+'HPM costs'!S288)</f>
        <v>0</v>
      </c>
      <c r="AW245" s="525"/>
      <c r="AX245" s="1154">
        <f t="shared" si="26"/>
        <v>0</v>
      </c>
      <c r="AY245" s="1154"/>
      <c r="AZ245" s="528"/>
      <c r="BA245" s="529"/>
      <c r="BB245" s="527"/>
      <c r="BC245" s="527">
        <v>0</v>
      </c>
      <c r="BD245" s="527">
        <v>0</v>
      </c>
      <c r="BE245" s="527">
        <v>0</v>
      </c>
      <c r="BF245" s="527">
        <v>0</v>
      </c>
      <c r="BG245" s="527">
        <v>0</v>
      </c>
      <c r="BH245" s="527">
        <v>0</v>
      </c>
      <c r="BI245" s="527">
        <v>0</v>
      </c>
      <c r="BJ245" s="527">
        <v>0</v>
      </c>
      <c r="BK245" s="1154">
        <f t="shared" si="27"/>
        <v>0</v>
      </c>
      <c r="BL245" s="1154"/>
      <c r="BM245" s="1154">
        <f t="shared" si="28"/>
        <v>0</v>
      </c>
      <c r="BN245" s="1154">
        <f t="shared" si="29"/>
        <v>0</v>
      </c>
      <c r="BO245" s="527"/>
      <c r="BP245" s="527"/>
      <c r="BQ245" s="1157" t="s">
        <v>2555</v>
      </c>
      <c r="BR245" s="1157" t="s">
        <v>690</v>
      </c>
      <c r="BS245" s="1157" t="s">
        <v>527</v>
      </c>
      <c r="BT245" s="1376" t="s">
        <v>1549</v>
      </c>
    </row>
    <row r="246" spans="1:72" s="1371" customFormat="1" ht="13">
      <c r="A246" s="1204">
        <v>736</v>
      </c>
      <c r="B246" s="1205" t="s">
        <v>652</v>
      </c>
      <c r="C246" s="1205" t="s">
        <v>661</v>
      </c>
      <c r="D246" s="1206" t="s">
        <v>2520</v>
      </c>
      <c r="E246" s="1386" t="s">
        <v>540</v>
      </c>
      <c r="F246" s="521"/>
      <c r="G246" s="522"/>
      <c r="H246" s="522"/>
      <c r="I246" s="522"/>
      <c r="J246" s="523"/>
      <c r="K246" s="523"/>
      <c r="L246" s="523"/>
      <c r="M246" s="524"/>
      <c r="N246" s="525"/>
      <c r="O246" s="526" t="s">
        <v>1237</v>
      </c>
      <c r="P246" s="525">
        <f>'HIV-Key Info'!$E$71*('HPM costs'!F630+'HPM costs'!F633)</f>
        <v>0</v>
      </c>
      <c r="Q246" s="525" t="s">
        <v>1237</v>
      </c>
      <c r="R246" s="525">
        <f>'HIV-Key Info'!$E$71*('HPM costs'!G630+'HPM costs'!G633)</f>
        <v>0</v>
      </c>
      <c r="S246" s="525" t="s">
        <v>1237</v>
      </c>
      <c r="T246" s="525">
        <f>'HIV-Key Info'!$E$71*('HPM costs'!H630+'HPM costs'!H633)</f>
        <v>0</v>
      </c>
      <c r="U246" s="525" t="s">
        <v>1237</v>
      </c>
      <c r="V246" s="525">
        <f>'HIV-Key Info'!$E$71*('HPM costs'!I630+'HPM costs'!I633)</f>
        <v>0</v>
      </c>
      <c r="W246" s="525"/>
      <c r="X246" s="1154">
        <f t="shared" si="24"/>
        <v>0</v>
      </c>
      <c r="Y246" s="1155"/>
      <c r="Z246" s="1156"/>
      <c r="AA246" s="529"/>
      <c r="AB246" s="525"/>
      <c r="AC246" s="525">
        <f>'HIV-Key Info'!$E$71*('HPM costs'!K630+'HPM costs'!K633)</f>
        <v>0</v>
      </c>
      <c r="AD246" s="525"/>
      <c r="AE246" s="525">
        <f>'HIV-Key Info'!$E$71*('HPM costs'!L630+'HPM costs'!L633)</f>
        <v>0</v>
      </c>
      <c r="AF246" s="525"/>
      <c r="AG246" s="525">
        <f>'HIV-Key Info'!$E$71*('HPM costs'!M630+'HPM costs'!M633)</f>
        <v>0</v>
      </c>
      <c r="AH246" s="525"/>
      <c r="AI246" s="525">
        <f>'HIV-Key Info'!$E$71*('HPM costs'!N630+'HPM costs'!N633)</f>
        <v>0</v>
      </c>
      <c r="AJ246" s="525"/>
      <c r="AK246" s="1154">
        <f t="shared" si="25"/>
        <v>0</v>
      </c>
      <c r="AL246" s="1155"/>
      <c r="AM246" s="1156"/>
      <c r="AN246" s="529"/>
      <c r="AO246" s="525"/>
      <c r="AP246" s="525">
        <f>'HIV-Key Info'!$E$71*('HPM costs'!P630+'HPM costs'!P633)</f>
        <v>0</v>
      </c>
      <c r="AQ246" s="525"/>
      <c r="AR246" s="525">
        <f>'HIV-Key Info'!$E$71*('HPM costs'!Q630+'HPM costs'!Q633)</f>
        <v>0</v>
      </c>
      <c r="AS246" s="525"/>
      <c r="AT246" s="525">
        <f>'HIV-Key Info'!$E$71*('HPM costs'!R630+'HPM costs'!R633)</f>
        <v>0</v>
      </c>
      <c r="AU246" s="525"/>
      <c r="AV246" s="525">
        <f>'HIV-Key Info'!$E$71*('HPM costs'!S630+'HPM costs'!S633)</f>
        <v>0</v>
      </c>
      <c r="AW246" s="525"/>
      <c r="AX246" s="1154">
        <f t="shared" si="26"/>
        <v>0</v>
      </c>
      <c r="AY246" s="1154"/>
      <c r="AZ246" s="528"/>
      <c r="BA246" s="529"/>
      <c r="BB246" s="527"/>
      <c r="BC246" s="527">
        <v>0</v>
      </c>
      <c r="BD246" s="527">
        <v>0</v>
      </c>
      <c r="BE246" s="527">
        <v>0</v>
      </c>
      <c r="BF246" s="527">
        <v>0</v>
      </c>
      <c r="BG246" s="527">
        <v>0</v>
      </c>
      <c r="BH246" s="527">
        <v>0</v>
      </c>
      <c r="BI246" s="527">
        <v>0</v>
      </c>
      <c r="BJ246" s="527">
        <v>0</v>
      </c>
      <c r="BK246" s="1154">
        <f t="shared" si="27"/>
        <v>0</v>
      </c>
      <c r="BL246" s="1154"/>
      <c r="BM246" s="1154">
        <f t="shared" si="28"/>
        <v>0</v>
      </c>
      <c r="BN246" s="1154">
        <f t="shared" si="29"/>
        <v>0</v>
      </c>
      <c r="BO246" s="527"/>
      <c r="BP246" s="527"/>
      <c r="BQ246" s="1157" t="s">
        <v>2555</v>
      </c>
      <c r="BR246" s="1157" t="s">
        <v>690</v>
      </c>
      <c r="BS246" s="1157" t="s">
        <v>527</v>
      </c>
      <c r="BT246" s="1376" t="s">
        <v>1550</v>
      </c>
    </row>
    <row r="247" spans="1:72" s="1371" customFormat="1" ht="13">
      <c r="A247" s="1204">
        <v>769</v>
      </c>
      <c r="B247" s="1205" t="s">
        <v>652</v>
      </c>
      <c r="C247" s="1205" t="s">
        <v>661</v>
      </c>
      <c r="D247" s="1206" t="s">
        <v>2521</v>
      </c>
      <c r="E247" s="1386" t="s">
        <v>663</v>
      </c>
      <c r="F247" s="521"/>
      <c r="G247" s="522"/>
      <c r="H247" s="522"/>
      <c r="I247" s="522"/>
      <c r="J247" s="523"/>
      <c r="K247" s="523"/>
      <c r="L247" s="523"/>
      <c r="M247" s="524"/>
      <c r="N247" s="525"/>
      <c r="O247" s="526" t="s">
        <v>1237</v>
      </c>
      <c r="P247" s="525">
        <f>'HIV-Key Info'!$E$73*IFERROR(INDEX('HIV-Other HPs'!$AX$41:$BI$48,MATCH(5.2,'HIV-Other HPs'!$AW$41:$AW$48,0),MID(LEFT(P$1,SEARCH(" ",P$1)-1),2,3)-INDEX('HIV-Other HPs'!$AV$41:$AV$48,MATCH(5.2,'HIV-Other HPs'!$AW$41:$AW$48,0))),0)</f>
        <v>0</v>
      </c>
      <c r="Q247" s="525" t="s">
        <v>1237</v>
      </c>
      <c r="R247" s="525">
        <f>'HIV-Key Info'!$E$73*IFERROR(INDEX('HIV-Other HPs'!$AX$41:$BI$48,MATCH(5.2,'HIV-Other HPs'!$AW$41:$AW$48,0),MID(LEFT(R$1,SEARCH(" ",R$1)-1),2,3)-INDEX('HIV-Other HPs'!$AV$41:$AV$48,MATCH(5.2,'HIV-Other HPs'!$AW$41:$AW$48,0))),0)</f>
        <v>0</v>
      </c>
      <c r="S247" s="525" t="s">
        <v>1237</v>
      </c>
      <c r="T247" s="525">
        <f>'HIV-Key Info'!$E$73*IFERROR(INDEX('HIV-Other HPs'!$AX$41:$BI$48,MATCH(5.2,'HIV-Other HPs'!$AW$41:$AW$48,0),MID(LEFT(T$1,SEARCH(" ",T$1)-1),2,3)-INDEX('HIV-Other HPs'!$AV$41:$AV$48,MATCH(5.2,'HIV-Other HPs'!$AW$41:$AW$48,0))),0)</f>
        <v>0</v>
      </c>
      <c r="U247" s="525" t="s">
        <v>1237</v>
      </c>
      <c r="V247" s="525">
        <f>'HIV-Key Info'!$E$73*IFERROR(INDEX('HIV-Other HPs'!$AX$41:$BI$48,MATCH(5.2,'HIV-Other HPs'!$AW$41:$AW$48,0),MID(LEFT(V$1,SEARCH(" ",V$1)-1),2,3)-INDEX('HIV-Other HPs'!$AV$41:$AV$48,MATCH(5.2,'HIV-Other HPs'!$AW$41:$AW$48,0))),0)</f>
        <v>0</v>
      </c>
      <c r="W247" s="525"/>
      <c r="X247" s="1154">
        <f t="shared" si="24"/>
        <v>0</v>
      </c>
      <c r="Y247" s="1155"/>
      <c r="Z247" s="1156"/>
      <c r="AA247" s="529"/>
      <c r="AB247" s="525"/>
      <c r="AC247" s="525">
        <f>'HIV-Key Info'!$E$73*IFERROR(INDEX('HIV-Other HPs'!$AX$41:$BI$48,MATCH(5.2,'HIV-Other HPs'!$AW$41:$AW$48,0),MID(LEFT(AC$1,SEARCH(" ",AC$1)-1),2,3)-INDEX('HIV-Other HPs'!$AV$41:$AV$48,MATCH(5.2,'HIV-Other HPs'!$AW$41:$AW$48,0))),0)</f>
        <v>0</v>
      </c>
      <c r="AD247" s="525"/>
      <c r="AE247" s="525">
        <f>'HIV-Key Info'!$E$73*IFERROR(INDEX('HIV-Other HPs'!$AX$41:$BI$48,MATCH(5.2,'HIV-Other HPs'!$AW$41:$AW$48,0),MID(LEFT(AE$1,SEARCH(" ",AE$1)-1),2,3)-INDEX('HIV-Other HPs'!$AV$41:$AV$48,MATCH(5.2,'HIV-Other HPs'!$AW$41:$AW$48,0))),0)</f>
        <v>0</v>
      </c>
      <c r="AF247" s="525"/>
      <c r="AG247" s="525">
        <f>'HIV-Key Info'!$E$73*IFERROR(INDEX('HIV-Other HPs'!$AX$41:$BI$48,MATCH(5.2,'HIV-Other HPs'!$AW$41:$AW$48,0),MID(LEFT(AG$1,SEARCH(" ",AG$1)-1),2,3)-INDEX('HIV-Other HPs'!$AV$41:$AV$48,MATCH(5.2,'HIV-Other HPs'!$AW$41:$AW$48,0))),0)</f>
        <v>0</v>
      </c>
      <c r="AH247" s="525"/>
      <c r="AI247" s="525">
        <f>'HIV-Key Info'!$E$73*IFERROR(INDEX('HIV-Other HPs'!$AX$41:$BI$48,MATCH(5.2,'HIV-Other HPs'!$AW$41:$AW$48,0),MID(LEFT(AI$1,SEARCH(" ",AI$1)-1),2,3)-INDEX('HIV-Other HPs'!$AV$41:$AV$48,MATCH(5.2,'HIV-Other HPs'!$AW$41:$AW$48,0))),0)</f>
        <v>0</v>
      </c>
      <c r="AJ247" s="525"/>
      <c r="AK247" s="1154">
        <f t="shared" si="25"/>
        <v>0</v>
      </c>
      <c r="AL247" s="1155"/>
      <c r="AM247" s="1156"/>
      <c r="AN247" s="529"/>
      <c r="AO247" s="525"/>
      <c r="AP247" s="525">
        <f>'HIV-Key Info'!$E$73*IFERROR(INDEX('HIV-Other HPs'!$AX$41:$BI$48,MATCH(5.2,'HIV-Other HPs'!$AW$41:$AW$48,0),MID(LEFT(AP$1,SEARCH(" ",AP$1)-1),2,3)-INDEX('HIV-Other HPs'!$AV$41:$AV$48,MATCH(5.2,'HIV-Other HPs'!$AW$41:$AW$48,0))),0)</f>
        <v>0</v>
      </c>
      <c r="AQ247" s="525"/>
      <c r="AR247" s="525">
        <f>'HIV-Key Info'!$E$73*IFERROR(INDEX('HIV-Other HPs'!$AX$41:$BI$48,MATCH(5.2,'HIV-Other HPs'!$AW$41:$AW$48,0),MID(LEFT(AR$1,SEARCH(" ",AR$1)-1),2,3)-INDEX('HIV-Other HPs'!$AV$41:$AV$48,MATCH(5.2,'HIV-Other HPs'!$AW$41:$AW$48,0))),0)</f>
        <v>0</v>
      </c>
      <c r="AS247" s="525"/>
      <c r="AT247" s="525">
        <f>'HIV-Key Info'!$E$73*IFERROR(INDEX('HIV-Other HPs'!$AX$41:$BI$48,MATCH(5.2,'HIV-Other HPs'!$AW$41:$AW$48,0),MID(LEFT(AT$1,SEARCH(" ",AT$1)-1),2,3)-INDEX('HIV-Other HPs'!$AV$41:$AV$48,MATCH(5.2,'HIV-Other HPs'!$AW$41:$AW$48,0))),0)</f>
        <v>0</v>
      </c>
      <c r="AU247" s="525"/>
      <c r="AV247" s="525">
        <f>IFERROR('HIV-Key Info'!$E$73*(INDEX('HIV-Other HPs'!$BJ$41:$BJ$48,MATCH(5.2,'HIV-Other HPs'!$AW$41:$AW$48,0))-(SUM(X247,AK247,AP247,AR247,AT247)/'HIV-Key Info'!$E$73)),)</f>
        <v>0</v>
      </c>
      <c r="AW247" s="525"/>
      <c r="AX247" s="1154">
        <f t="shared" si="26"/>
        <v>0</v>
      </c>
      <c r="AY247" s="1154"/>
      <c r="AZ247" s="528"/>
      <c r="BA247" s="529"/>
      <c r="BB247" s="527"/>
      <c r="BC247" s="527">
        <v>0</v>
      </c>
      <c r="BD247" s="527">
        <v>0</v>
      </c>
      <c r="BE247" s="527">
        <v>0</v>
      </c>
      <c r="BF247" s="527">
        <v>0</v>
      </c>
      <c r="BG247" s="527">
        <v>0</v>
      </c>
      <c r="BH247" s="527">
        <v>0</v>
      </c>
      <c r="BI247" s="527">
        <v>0</v>
      </c>
      <c r="BJ247" s="527">
        <v>0</v>
      </c>
      <c r="BK247" s="1154">
        <f t="shared" si="27"/>
        <v>0</v>
      </c>
      <c r="BL247" s="1154"/>
      <c r="BM247" s="1154">
        <f t="shared" si="28"/>
        <v>0</v>
      </c>
      <c r="BN247" s="1154">
        <f t="shared" si="29"/>
        <v>0</v>
      </c>
      <c r="BO247" s="527"/>
      <c r="BP247" s="527"/>
      <c r="BQ247" s="1157" t="s">
        <v>2556</v>
      </c>
      <c r="BR247" s="1157" t="s">
        <v>690</v>
      </c>
      <c r="BS247" s="1157" t="s">
        <v>662</v>
      </c>
      <c r="BT247" s="1376" t="s">
        <v>1551</v>
      </c>
    </row>
    <row r="248" spans="1:72" s="1371" customFormat="1" ht="13">
      <c r="A248" s="1204">
        <v>770</v>
      </c>
      <c r="B248" s="1205" t="s">
        <v>652</v>
      </c>
      <c r="C248" s="1205" t="s">
        <v>661</v>
      </c>
      <c r="D248" s="1206" t="s">
        <v>2521</v>
      </c>
      <c r="E248" s="1386" t="s">
        <v>597</v>
      </c>
      <c r="F248" s="521"/>
      <c r="G248" s="522"/>
      <c r="H248" s="522"/>
      <c r="I248" s="522"/>
      <c r="J248" s="523"/>
      <c r="K248" s="523"/>
      <c r="L248" s="523"/>
      <c r="M248" s="524"/>
      <c r="N248" s="525"/>
      <c r="O248" s="526" t="s">
        <v>1237</v>
      </c>
      <c r="P248" s="525">
        <f>'HIV-Key Info'!$G$73*IFERROR(INDEX('HIV-Other HPs'!$AX$41:$BI$48,MATCH(5.8,'HIV-Other HPs'!$AW$41:$AW$48,0),MID(LEFT(P$1,SEARCH(" ",P$1)-1),2,3)-INDEX('HIV-Other HPs'!$AV$41:$AV$48,MATCH(5.8,'HIV-Other HPs'!$AW$41:$AW$48,0))),0)</f>
        <v>0</v>
      </c>
      <c r="Q248" s="525" t="s">
        <v>1237</v>
      </c>
      <c r="R248" s="525">
        <f>'HIV-Key Info'!$G$73*IFERROR(INDEX('HIV-Other HPs'!$AX$41:$BI$48,MATCH(5.8,'HIV-Other HPs'!$AW$41:$AW$48,0),MID(LEFT(R$1,SEARCH(" ",R$1)-1),2,3)-INDEX('HIV-Other HPs'!$AV$41:$AV$48,MATCH(5.8,'HIV-Other HPs'!$AW$41:$AW$48,0))),0)</f>
        <v>0</v>
      </c>
      <c r="S248" s="525" t="s">
        <v>1237</v>
      </c>
      <c r="T248" s="525">
        <f>'HIV-Key Info'!$G$73*IFERROR(INDEX('HIV-Other HPs'!$AX$41:$BI$48,MATCH(5.8,'HIV-Other HPs'!$AW$41:$AW$48,0),MID(LEFT(T$1,SEARCH(" ",T$1)-1),2,3)-INDEX('HIV-Other HPs'!$AV$41:$AV$48,MATCH(5.8,'HIV-Other HPs'!$AW$41:$AW$48,0))),0)</f>
        <v>0</v>
      </c>
      <c r="U248" s="525" t="s">
        <v>1237</v>
      </c>
      <c r="V248" s="525">
        <f>'HIV-Key Info'!$G$73*IFERROR(INDEX('HIV-Other HPs'!$AX$41:$BI$48,MATCH(5.8,'HIV-Other HPs'!$AW$41:$AW$48,0),MID(LEFT(V$1,SEARCH(" ",V$1)-1),2,3)-INDEX('HIV-Other HPs'!$AV$41:$AV$48,MATCH(5.8,'HIV-Other HPs'!$AW$41:$AW$48,0))),0)</f>
        <v>0</v>
      </c>
      <c r="W248" s="525"/>
      <c r="X248" s="1154">
        <f t="shared" si="24"/>
        <v>0</v>
      </c>
      <c r="Y248" s="1155"/>
      <c r="Z248" s="1156"/>
      <c r="AA248" s="529"/>
      <c r="AB248" s="525"/>
      <c r="AC248" s="525">
        <f>'HIV-Key Info'!$G$73*IFERROR(INDEX('HIV-Other HPs'!$AX$41:$BI$48,MATCH(5.8,'HIV-Other HPs'!$AW$41:$AW$48,0),MID(LEFT(AC$1,SEARCH(" ",AC$1)-1),2,3)-INDEX('HIV-Other HPs'!$AV$41:$AV$48,MATCH(5.8,'HIV-Other HPs'!$AW$41:$AW$48,0))),0)</f>
        <v>0</v>
      </c>
      <c r="AD248" s="525"/>
      <c r="AE248" s="525">
        <f>'HIV-Key Info'!$G$73*IFERROR(INDEX('HIV-Other HPs'!$AX$41:$BI$48,MATCH(5.8,'HIV-Other HPs'!$AW$41:$AW$48,0),MID(LEFT(AE$1,SEARCH(" ",AE$1)-1),2,3)-INDEX('HIV-Other HPs'!$AV$41:$AV$48,MATCH(5.8,'HIV-Other HPs'!$AW$41:$AW$48,0))),0)</f>
        <v>0</v>
      </c>
      <c r="AF248" s="525"/>
      <c r="AG248" s="525">
        <f>'HIV-Key Info'!$G$73*IFERROR(INDEX('HIV-Other HPs'!$AX$41:$BI$48,MATCH(5.8,'HIV-Other HPs'!$AW$41:$AW$48,0),MID(LEFT(AG$1,SEARCH(" ",AG$1)-1),2,3)-INDEX('HIV-Other HPs'!$AV$41:$AV$48,MATCH(5.8,'HIV-Other HPs'!$AW$41:$AW$48,0))),0)</f>
        <v>0</v>
      </c>
      <c r="AH248" s="525"/>
      <c r="AI248" s="525">
        <f>'HIV-Key Info'!$G$73*IFERROR(INDEX('HIV-Other HPs'!$AX$41:$BI$48,MATCH(5.8,'HIV-Other HPs'!$AW$41:$AW$48,0),MID(LEFT(AI$1,SEARCH(" ",AI$1)-1),2,3)-INDEX('HIV-Other HPs'!$AV$41:$AV$48,MATCH(5.8,'HIV-Other HPs'!$AW$41:$AW$48,0))),0)</f>
        <v>0</v>
      </c>
      <c r="AJ248" s="525"/>
      <c r="AK248" s="1154">
        <f t="shared" si="25"/>
        <v>0</v>
      </c>
      <c r="AL248" s="1155"/>
      <c r="AM248" s="1156"/>
      <c r="AN248" s="529"/>
      <c r="AO248" s="525"/>
      <c r="AP248" s="525">
        <f>'HIV-Key Info'!$G$73*IFERROR(INDEX('HIV-Other HPs'!$AX$41:$BI$48,MATCH(5.8,'HIV-Other HPs'!$AW$41:$AW$48,0),MID(LEFT(AP$1,SEARCH(" ",AP$1)-1),2,3)-INDEX('HIV-Other HPs'!$AV$41:$AV$48,MATCH(5.8,'HIV-Other HPs'!$AW$41:$AW$48,0))),0)</f>
        <v>0</v>
      </c>
      <c r="AQ248" s="525"/>
      <c r="AR248" s="525">
        <f>'HIV-Key Info'!$G$73*IFERROR(INDEX('HIV-Other HPs'!$AX$41:$BI$48,MATCH(5.8,'HIV-Other HPs'!$AW$41:$AW$48,0),MID(LEFT(AR$1,SEARCH(" ",AR$1)-1),2,3)-INDEX('HIV-Other HPs'!$AV$41:$AV$48,MATCH(5.8,'HIV-Other HPs'!$AW$41:$AW$48,0))),0)</f>
        <v>0</v>
      </c>
      <c r="AS248" s="525"/>
      <c r="AT248" s="525">
        <f>'HIV-Key Info'!$G$73*IFERROR(INDEX('HIV-Other HPs'!$AX$41:$BI$48,MATCH(5.8,'HIV-Other HPs'!$AW$41:$AW$48,0),MID(LEFT(AT$1,SEARCH(" ",AT$1)-1),2,3)-INDEX('HIV-Other HPs'!$AV$41:$AV$48,MATCH(5.8,'HIV-Other HPs'!$AW$41:$AW$48,0))),0)</f>
        <v>0</v>
      </c>
      <c r="AU248" s="525"/>
      <c r="AV248" s="525">
        <f>IFERROR('HIV-Key Info'!$G$73*(INDEX('HIV-Other HPs'!$BJ$41:$BJ$48,MATCH(5.8,'HIV-Other HPs'!$AW$41:$AW$48,0))-(SUM(X248,AK248,AP248,AR248,AT248)/'HIV-Key Info'!$G$73)),)</f>
        <v>0</v>
      </c>
      <c r="AW248" s="525"/>
      <c r="AX248" s="1154">
        <f t="shared" si="26"/>
        <v>0</v>
      </c>
      <c r="AY248" s="1154"/>
      <c r="AZ248" s="528"/>
      <c r="BA248" s="529"/>
      <c r="BB248" s="527"/>
      <c r="BC248" s="527">
        <v>0</v>
      </c>
      <c r="BD248" s="527">
        <v>0</v>
      </c>
      <c r="BE248" s="527">
        <v>0</v>
      </c>
      <c r="BF248" s="527">
        <v>0</v>
      </c>
      <c r="BG248" s="527">
        <v>0</v>
      </c>
      <c r="BH248" s="527">
        <v>0</v>
      </c>
      <c r="BI248" s="527">
        <v>0</v>
      </c>
      <c r="BJ248" s="527">
        <v>0</v>
      </c>
      <c r="BK248" s="1154">
        <f t="shared" si="27"/>
        <v>0</v>
      </c>
      <c r="BL248" s="1154"/>
      <c r="BM248" s="1154">
        <f t="shared" si="28"/>
        <v>0</v>
      </c>
      <c r="BN248" s="1154">
        <f t="shared" si="29"/>
        <v>0</v>
      </c>
      <c r="BO248" s="527"/>
      <c r="BP248" s="527"/>
      <c r="BQ248" s="1157" t="s">
        <v>2556</v>
      </c>
      <c r="BR248" s="1157" t="s">
        <v>690</v>
      </c>
      <c r="BS248" s="1157" t="s">
        <v>662</v>
      </c>
      <c r="BT248" s="1376" t="s">
        <v>1552</v>
      </c>
    </row>
    <row r="249" spans="1:72" s="1371" customFormat="1" ht="13">
      <c r="A249" s="1204">
        <v>771</v>
      </c>
      <c r="B249" s="1205" t="s">
        <v>652</v>
      </c>
      <c r="C249" s="1205" t="s">
        <v>661</v>
      </c>
      <c r="D249" s="1206" t="s">
        <v>2522</v>
      </c>
      <c r="E249" s="1386" t="s">
        <v>528</v>
      </c>
      <c r="F249" s="521"/>
      <c r="G249" s="522"/>
      <c r="H249" s="522"/>
      <c r="I249" s="522"/>
      <c r="J249" s="523"/>
      <c r="K249" s="523"/>
      <c r="L249" s="523"/>
      <c r="M249" s="524"/>
      <c r="N249" s="525"/>
      <c r="O249" s="526" t="s">
        <v>1237</v>
      </c>
      <c r="P249" s="525">
        <f>'HIV-Key Info'!$E$73*('HPM costs'!F27+'HPM costs'!F30)</f>
        <v>0</v>
      </c>
      <c r="Q249" s="525" t="s">
        <v>1237</v>
      </c>
      <c r="R249" s="525">
        <f>'HIV-Key Info'!$E$73*('HPM costs'!G27+'HPM costs'!G30)</f>
        <v>0</v>
      </c>
      <c r="S249" s="525" t="s">
        <v>1237</v>
      </c>
      <c r="T249" s="525">
        <f>'HIV-Key Info'!$E$73*('HPM costs'!H27+'HPM costs'!H30)</f>
        <v>0</v>
      </c>
      <c r="U249" s="525" t="s">
        <v>1237</v>
      </c>
      <c r="V249" s="525">
        <f>'HIV-Key Info'!$E$73*('HPM costs'!I27+'HPM costs'!I30)</f>
        <v>0</v>
      </c>
      <c r="W249" s="525"/>
      <c r="X249" s="1154">
        <f t="shared" si="24"/>
        <v>0</v>
      </c>
      <c r="Y249" s="1155"/>
      <c r="Z249" s="1156"/>
      <c r="AA249" s="529"/>
      <c r="AB249" s="525"/>
      <c r="AC249" s="525">
        <f>'HIV-Key Info'!$E$73*('HPM costs'!K27+'HPM costs'!K30)</f>
        <v>0</v>
      </c>
      <c r="AD249" s="525"/>
      <c r="AE249" s="525">
        <f>'HIV-Key Info'!$E$73*('HPM costs'!L27+'HPM costs'!L30)</f>
        <v>0</v>
      </c>
      <c r="AF249" s="525"/>
      <c r="AG249" s="525">
        <f>'HIV-Key Info'!$E$73*('HPM costs'!M27+'HPM costs'!M30)</f>
        <v>0</v>
      </c>
      <c r="AH249" s="525"/>
      <c r="AI249" s="525">
        <f>'HIV-Key Info'!$E$73*('HPM costs'!N27+'HPM costs'!N30)</f>
        <v>0</v>
      </c>
      <c r="AJ249" s="525"/>
      <c r="AK249" s="1154">
        <f t="shared" si="25"/>
        <v>0</v>
      </c>
      <c r="AL249" s="1155"/>
      <c r="AM249" s="1156"/>
      <c r="AN249" s="529"/>
      <c r="AO249" s="525"/>
      <c r="AP249" s="525">
        <f>'HIV-Key Info'!$E$73*('HPM costs'!P27+'HPM costs'!P30)</f>
        <v>0</v>
      </c>
      <c r="AQ249" s="525"/>
      <c r="AR249" s="525">
        <f>'HIV-Key Info'!$E$73*('HPM costs'!Q27+'HPM costs'!Q30)</f>
        <v>0</v>
      </c>
      <c r="AS249" s="525"/>
      <c r="AT249" s="525">
        <f>'HIV-Key Info'!$E$73*('HPM costs'!R27+'HPM costs'!R30)</f>
        <v>0</v>
      </c>
      <c r="AU249" s="525"/>
      <c r="AV249" s="525">
        <f>'HIV-Key Info'!$E$73*('HPM costs'!S27+'HPM costs'!S30)</f>
        <v>0</v>
      </c>
      <c r="AW249" s="525"/>
      <c r="AX249" s="1154">
        <f t="shared" si="26"/>
        <v>0</v>
      </c>
      <c r="AY249" s="1154"/>
      <c r="AZ249" s="528"/>
      <c r="BA249" s="529"/>
      <c r="BB249" s="527"/>
      <c r="BC249" s="527">
        <v>0</v>
      </c>
      <c r="BD249" s="527">
        <v>0</v>
      </c>
      <c r="BE249" s="527">
        <v>0</v>
      </c>
      <c r="BF249" s="527">
        <v>0</v>
      </c>
      <c r="BG249" s="527">
        <v>0</v>
      </c>
      <c r="BH249" s="527">
        <v>0</v>
      </c>
      <c r="BI249" s="527">
        <v>0</v>
      </c>
      <c r="BJ249" s="527">
        <v>0</v>
      </c>
      <c r="BK249" s="1154">
        <f t="shared" si="27"/>
        <v>0</v>
      </c>
      <c r="BL249" s="1154"/>
      <c r="BM249" s="1154">
        <f t="shared" si="28"/>
        <v>0</v>
      </c>
      <c r="BN249" s="1154">
        <f t="shared" si="29"/>
        <v>0</v>
      </c>
      <c r="BO249" s="527"/>
      <c r="BP249" s="527"/>
      <c r="BQ249" s="1157" t="s">
        <v>2556</v>
      </c>
      <c r="BR249" s="1157" t="s">
        <v>690</v>
      </c>
      <c r="BS249" s="1157" t="s">
        <v>527</v>
      </c>
      <c r="BT249" s="1376" t="s">
        <v>1553</v>
      </c>
    </row>
    <row r="250" spans="1:72" s="1371" customFormat="1" ht="13">
      <c r="A250" s="1204">
        <v>772</v>
      </c>
      <c r="B250" s="1205" t="s">
        <v>652</v>
      </c>
      <c r="C250" s="1205" t="s">
        <v>661</v>
      </c>
      <c r="D250" s="1206" t="s">
        <v>2522</v>
      </c>
      <c r="E250" s="1386" t="s">
        <v>530</v>
      </c>
      <c r="F250" s="521"/>
      <c r="G250" s="522"/>
      <c r="H250" s="522"/>
      <c r="I250" s="522"/>
      <c r="J250" s="523"/>
      <c r="K250" s="523"/>
      <c r="L250" s="523"/>
      <c r="M250" s="524"/>
      <c r="N250" s="525"/>
      <c r="O250" s="526" t="s">
        <v>1237</v>
      </c>
      <c r="P250" s="525">
        <f>'HIV-Key Info'!$E$73*('HPM costs'!F113+'HPM costs'!F116)</f>
        <v>0</v>
      </c>
      <c r="Q250" s="525" t="s">
        <v>1237</v>
      </c>
      <c r="R250" s="525">
        <f>'HIV-Key Info'!$E$73*('HPM costs'!G113+'HPM costs'!G116)</f>
        <v>0</v>
      </c>
      <c r="S250" s="525" t="s">
        <v>1237</v>
      </c>
      <c r="T250" s="525">
        <f>'HIV-Key Info'!$E$73*('HPM costs'!H113+'HPM costs'!H116)</f>
        <v>0</v>
      </c>
      <c r="U250" s="525" t="s">
        <v>1237</v>
      </c>
      <c r="V250" s="525">
        <f>'HIV-Key Info'!$E$73*('HPM costs'!I113+'HPM costs'!I116)</f>
        <v>0</v>
      </c>
      <c r="W250" s="525"/>
      <c r="X250" s="1154">
        <f t="shared" si="24"/>
        <v>0</v>
      </c>
      <c r="Y250" s="1155"/>
      <c r="Z250" s="1156"/>
      <c r="AA250" s="529"/>
      <c r="AB250" s="525"/>
      <c r="AC250" s="525">
        <f>'HIV-Key Info'!$E$73*('HPM costs'!K113+'HPM costs'!K116)</f>
        <v>0</v>
      </c>
      <c r="AD250" s="525"/>
      <c r="AE250" s="525">
        <f>'HIV-Key Info'!$E$73*('HPM costs'!L113+'HPM costs'!L116)</f>
        <v>0</v>
      </c>
      <c r="AF250" s="525"/>
      <c r="AG250" s="525">
        <f>'HIV-Key Info'!$E$73*('HPM costs'!M113+'HPM costs'!M116)</f>
        <v>0</v>
      </c>
      <c r="AH250" s="525"/>
      <c r="AI250" s="525">
        <f>'HIV-Key Info'!$E$73*('HPM costs'!N113+'HPM costs'!N116)</f>
        <v>0</v>
      </c>
      <c r="AJ250" s="525"/>
      <c r="AK250" s="1154">
        <f t="shared" si="25"/>
        <v>0</v>
      </c>
      <c r="AL250" s="1155"/>
      <c r="AM250" s="1156"/>
      <c r="AN250" s="529"/>
      <c r="AO250" s="525"/>
      <c r="AP250" s="525">
        <f>'HIV-Key Info'!$E$73*('HPM costs'!P113+'HPM costs'!P116)</f>
        <v>0</v>
      </c>
      <c r="AQ250" s="525"/>
      <c r="AR250" s="525">
        <f>'HIV-Key Info'!$E$73*('HPM costs'!Q113+'HPM costs'!Q116)</f>
        <v>0</v>
      </c>
      <c r="AS250" s="525"/>
      <c r="AT250" s="525">
        <f>'HIV-Key Info'!$E$73*('HPM costs'!R113+'HPM costs'!R116)</f>
        <v>0</v>
      </c>
      <c r="AU250" s="525"/>
      <c r="AV250" s="525">
        <f>'HIV-Key Info'!$E$73*('HPM costs'!S113+'HPM costs'!S116)</f>
        <v>0</v>
      </c>
      <c r="AW250" s="525"/>
      <c r="AX250" s="1154">
        <f t="shared" si="26"/>
        <v>0</v>
      </c>
      <c r="AY250" s="1154"/>
      <c r="AZ250" s="528"/>
      <c r="BA250" s="529"/>
      <c r="BB250" s="527"/>
      <c r="BC250" s="527">
        <v>0</v>
      </c>
      <c r="BD250" s="527">
        <v>0</v>
      </c>
      <c r="BE250" s="527">
        <v>0</v>
      </c>
      <c r="BF250" s="527">
        <v>0</v>
      </c>
      <c r="BG250" s="527">
        <v>0</v>
      </c>
      <c r="BH250" s="527">
        <v>0</v>
      </c>
      <c r="BI250" s="527">
        <v>0</v>
      </c>
      <c r="BJ250" s="527">
        <v>0</v>
      </c>
      <c r="BK250" s="1154">
        <f t="shared" si="27"/>
        <v>0</v>
      </c>
      <c r="BL250" s="1154"/>
      <c r="BM250" s="1154">
        <f t="shared" si="28"/>
        <v>0</v>
      </c>
      <c r="BN250" s="1154">
        <f t="shared" si="29"/>
        <v>0</v>
      </c>
      <c r="BO250" s="527"/>
      <c r="BP250" s="527"/>
      <c r="BQ250" s="1157" t="s">
        <v>2556</v>
      </c>
      <c r="BR250" s="1157" t="s">
        <v>690</v>
      </c>
      <c r="BS250" s="1157" t="s">
        <v>527</v>
      </c>
      <c r="BT250" s="1376" t="s">
        <v>1554</v>
      </c>
    </row>
    <row r="251" spans="1:72" s="1371" customFormat="1" ht="13">
      <c r="A251" s="1204">
        <v>773</v>
      </c>
      <c r="B251" s="1205" t="s">
        <v>652</v>
      </c>
      <c r="C251" s="1205" t="s">
        <v>661</v>
      </c>
      <c r="D251" s="1206" t="s">
        <v>2522</v>
      </c>
      <c r="E251" s="1386" t="s">
        <v>532</v>
      </c>
      <c r="F251" s="521"/>
      <c r="G251" s="522"/>
      <c r="H251" s="522"/>
      <c r="I251" s="522"/>
      <c r="J251" s="523"/>
      <c r="K251" s="523"/>
      <c r="L251" s="523"/>
      <c r="M251" s="524"/>
      <c r="N251" s="525"/>
      <c r="O251" s="526" t="s">
        <v>1237</v>
      </c>
      <c r="P251" s="525">
        <f>'HIV-Key Info'!$E$73*('HPM costs'!F373+'HPM costs'!F376)</f>
        <v>0</v>
      </c>
      <c r="Q251" s="525" t="s">
        <v>1237</v>
      </c>
      <c r="R251" s="525">
        <f>'HIV-Key Info'!$E$73*('HPM costs'!G373+'HPM costs'!G376)</f>
        <v>0</v>
      </c>
      <c r="S251" s="525" t="s">
        <v>1237</v>
      </c>
      <c r="T251" s="525">
        <f>'HIV-Key Info'!$E$73*('HPM costs'!H373+'HPM costs'!H376)</f>
        <v>0</v>
      </c>
      <c r="U251" s="525" t="s">
        <v>1237</v>
      </c>
      <c r="V251" s="525">
        <f>'HIV-Key Info'!$E$73*('HPM costs'!I373+'HPM costs'!I376)</f>
        <v>0</v>
      </c>
      <c r="W251" s="525"/>
      <c r="X251" s="1154">
        <f t="shared" si="24"/>
        <v>0</v>
      </c>
      <c r="Y251" s="1155"/>
      <c r="Z251" s="1156"/>
      <c r="AA251" s="529"/>
      <c r="AB251" s="525"/>
      <c r="AC251" s="525">
        <f>'HIV-Key Info'!$E$73*('HPM costs'!K373+'HPM costs'!K376)</f>
        <v>0</v>
      </c>
      <c r="AD251" s="525"/>
      <c r="AE251" s="525">
        <f>'HIV-Key Info'!$E$73*('HPM costs'!L373+'HPM costs'!L376)</f>
        <v>0</v>
      </c>
      <c r="AF251" s="525"/>
      <c r="AG251" s="525">
        <f>'HIV-Key Info'!$E$73*('HPM costs'!M373+'HPM costs'!M376)</f>
        <v>0</v>
      </c>
      <c r="AH251" s="525"/>
      <c r="AI251" s="525">
        <f>'HIV-Key Info'!$E$73*('HPM costs'!N373+'HPM costs'!N376)</f>
        <v>0</v>
      </c>
      <c r="AJ251" s="525"/>
      <c r="AK251" s="1154">
        <f t="shared" si="25"/>
        <v>0</v>
      </c>
      <c r="AL251" s="1155"/>
      <c r="AM251" s="1156"/>
      <c r="AN251" s="529"/>
      <c r="AO251" s="525"/>
      <c r="AP251" s="525">
        <f>'HIV-Key Info'!$E$73*('HPM costs'!P373+'HPM costs'!P376)</f>
        <v>0</v>
      </c>
      <c r="AQ251" s="525"/>
      <c r="AR251" s="525">
        <f>'HIV-Key Info'!$E$73*('HPM costs'!Q373+'HPM costs'!Q376)</f>
        <v>0</v>
      </c>
      <c r="AS251" s="525"/>
      <c r="AT251" s="525">
        <f>'HIV-Key Info'!$E$73*('HPM costs'!R373+'HPM costs'!R376)</f>
        <v>0</v>
      </c>
      <c r="AU251" s="525"/>
      <c r="AV251" s="525">
        <f>'HIV-Key Info'!$E$73*('HPM costs'!S373+'HPM costs'!S376)</f>
        <v>0</v>
      </c>
      <c r="AW251" s="525"/>
      <c r="AX251" s="1154">
        <f t="shared" si="26"/>
        <v>0</v>
      </c>
      <c r="AY251" s="1154"/>
      <c r="AZ251" s="528"/>
      <c r="BA251" s="529"/>
      <c r="BB251" s="527"/>
      <c r="BC251" s="527">
        <v>0</v>
      </c>
      <c r="BD251" s="527">
        <v>0</v>
      </c>
      <c r="BE251" s="527">
        <v>0</v>
      </c>
      <c r="BF251" s="527">
        <v>0</v>
      </c>
      <c r="BG251" s="527">
        <v>0</v>
      </c>
      <c r="BH251" s="527">
        <v>0</v>
      </c>
      <c r="BI251" s="527">
        <v>0</v>
      </c>
      <c r="BJ251" s="527">
        <v>0</v>
      </c>
      <c r="BK251" s="1154">
        <f t="shared" si="27"/>
        <v>0</v>
      </c>
      <c r="BL251" s="1154"/>
      <c r="BM251" s="1154">
        <f t="shared" si="28"/>
        <v>0</v>
      </c>
      <c r="BN251" s="1154">
        <f t="shared" si="29"/>
        <v>0</v>
      </c>
      <c r="BO251" s="527"/>
      <c r="BP251" s="527"/>
      <c r="BQ251" s="1157" t="s">
        <v>2556</v>
      </c>
      <c r="BR251" s="1157" t="s">
        <v>690</v>
      </c>
      <c r="BS251" s="1157" t="s">
        <v>527</v>
      </c>
      <c r="BT251" s="1376" t="s">
        <v>1555</v>
      </c>
    </row>
    <row r="252" spans="1:72" s="1371" customFormat="1" ht="13">
      <c r="A252" s="1204">
        <v>774</v>
      </c>
      <c r="B252" s="1205" t="s">
        <v>652</v>
      </c>
      <c r="C252" s="1205" t="s">
        <v>661</v>
      </c>
      <c r="D252" s="1206" t="s">
        <v>2522</v>
      </c>
      <c r="E252" s="1386" t="s">
        <v>534</v>
      </c>
      <c r="F252" s="521"/>
      <c r="G252" s="522"/>
      <c r="H252" s="522"/>
      <c r="I252" s="522"/>
      <c r="J252" s="523"/>
      <c r="K252" s="523"/>
      <c r="L252" s="523"/>
      <c r="M252" s="524"/>
      <c r="N252" s="525"/>
      <c r="O252" s="526" t="s">
        <v>1237</v>
      </c>
      <c r="P252" s="525">
        <f>'HIV-Key Info'!$E$73*('HPM costs'!F459+'HPM costs'!F462)</f>
        <v>0</v>
      </c>
      <c r="Q252" s="525" t="s">
        <v>1237</v>
      </c>
      <c r="R252" s="525">
        <f>'HIV-Key Info'!$E$73*('HPM costs'!G459+'HPM costs'!G462)</f>
        <v>0</v>
      </c>
      <c r="S252" s="525" t="s">
        <v>1237</v>
      </c>
      <c r="T252" s="525">
        <f>'HIV-Key Info'!$E$73*('HPM costs'!H459+'HPM costs'!H462)</f>
        <v>0</v>
      </c>
      <c r="U252" s="525" t="s">
        <v>1237</v>
      </c>
      <c r="V252" s="525">
        <f>'HIV-Key Info'!$E$73*('HPM costs'!I459+'HPM costs'!I462)</f>
        <v>0</v>
      </c>
      <c r="W252" s="525"/>
      <c r="X252" s="1154">
        <f t="shared" si="24"/>
        <v>0</v>
      </c>
      <c r="Y252" s="1155"/>
      <c r="Z252" s="1156"/>
      <c r="AA252" s="529"/>
      <c r="AB252" s="525"/>
      <c r="AC252" s="525">
        <f>'HIV-Key Info'!$E$73*('HPM costs'!K459+'HPM costs'!K462)</f>
        <v>0</v>
      </c>
      <c r="AD252" s="525"/>
      <c r="AE252" s="525">
        <f>'HIV-Key Info'!$E$73*('HPM costs'!L459+'HPM costs'!L462)</f>
        <v>0</v>
      </c>
      <c r="AF252" s="525"/>
      <c r="AG252" s="525">
        <f>'HIV-Key Info'!$E$73*('HPM costs'!M459+'HPM costs'!M462)</f>
        <v>0</v>
      </c>
      <c r="AH252" s="525"/>
      <c r="AI252" s="525">
        <f>'HIV-Key Info'!$E$73*('HPM costs'!N459+'HPM costs'!N462)</f>
        <v>0</v>
      </c>
      <c r="AJ252" s="525"/>
      <c r="AK252" s="1154">
        <f t="shared" si="25"/>
        <v>0</v>
      </c>
      <c r="AL252" s="1155"/>
      <c r="AM252" s="1156"/>
      <c r="AN252" s="529"/>
      <c r="AO252" s="525"/>
      <c r="AP252" s="525">
        <f>'HIV-Key Info'!$E$73*('HPM costs'!P459+'HPM costs'!P462)</f>
        <v>0</v>
      </c>
      <c r="AQ252" s="525"/>
      <c r="AR252" s="525">
        <f>'HIV-Key Info'!$E$73*('HPM costs'!Q459+'HPM costs'!Q462)</f>
        <v>0</v>
      </c>
      <c r="AS252" s="525"/>
      <c r="AT252" s="525">
        <f>'HIV-Key Info'!$E$73*('HPM costs'!R459+'HPM costs'!R462)</f>
        <v>0</v>
      </c>
      <c r="AU252" s="525"/>
      <c r="AV252" s="525">
        <f>'HIV-Key Info'!$E$73*('HPM costs'!S459+'HPM costs'!S462)</f>
        <v>0</v>
      </c>
      <c r="AW252" s="525"/>
      <c r="AX252" s="1154">
        <f t="shared" si="26"/>
        <v>0</v>
      </c>
      <c r="AY252" s="1154"/>
      <c r="AZ252" s="528"/>
      <c r="BA252" s="529"/>
      <c r="BB252" s="527"/>
      <c r="BC252" s="527">
        <v>0</v>
      </c>
      <c r="BD252" s="527">
        <v>0</v>
      </c>
      <c r="BE252" s="527">
        <v>0</v>
      </c>
      <c r="BF252" s="527">
        <v>0</v>
      </c>
      <c r="BG252" s="527">
        <v>0</v>
      </c>
      <c r="BH252" s="527">
        <v>0</v>
      </c>
      <c r="BI252" s="527">
        <v>0</v>
      </c>
      <c r="BJ252" s="527">
        <v>0</v>
      </c>
      <c r="BK252" s="1154">
        <f t="shared" si="27"/>
        <v>0</v>
      </c>
      <c r="BL252" s="1154"/>
      <c r="BM252" s="1154">
        <f t="shared" si="28"/>
        <v>0</v>
      </c>
      <c r="BN252" s="1154">
        <f t="shared" si="29"/>
        <v>0</v>
      </c>
      <c r="BO252" s="527"/>
      <c r="BP252" s="527"/>
      <c r="BQ252" s="1157" t="s">
        <v>2556</v>
      </c>
      <c r="BR252" s="1157" t="s">
        <v>690</v>
      </c>
      <c r="BS252" s="1157" t="s">
        <v>527</v>
      </c>
      <c r="BT252" s="1376" t="s">
        <v>1556</v>
      </c>
    </row>
    <row r="253" spans="1:72" s="1371" customFormat="1" ht="13">
      <c r="A253" s="1204">
        <v>775</v>
      </c>
      <c r="B253" s="1205" t="s">
        <v>652</v>
      </c>
      <c r="C253" s="1205" t="s">
        <v>661</v>
      </c>
      <c r="D253" s="1206" t="s">
        <v>2522</v>
      </c>
      <c r="E253" s="1386" t="s">
        <v>536</v>
      </c>
      <c r="F253" s="521"/>
      <c r="G253" s="522"/>
      <c r="H253" s="522"/>
      <c r="I253" s="522"/>
      <c r="J253" s="523"/>
      <c r="K253" s="523"/>
      <c r="L253" s="523"/>
      <c r="M253" s="524"/>
      <c r="N253" s="525"/>
      <c r="O253" s="526" t="s">
        <v>1237</v>
      </c>
      <c r="P253" s="525">
        <f>'HIV-Key Info'!$E$73*('HPM costs'!F199+'HPM costs'!F202+'HPM costs'!F545+'HPM costs'!F548)</f>
        <v>0</v>
      </c>
      <c r="Q253" s="525" t="s">
        <v>1237</v>
      </c>
      <c r="R253" s="525">
        <f>'HIV-Key Info'!$E$73*('HPM costs'!G199+'HPM costs'!G202+'HPM costs'!G545+'HPM costs'!G548)</f>
        <v>0</v>
      </c>
      <c r="S253" s="525" t="s">
        <v>1237</v>
      </c>
      <c r="T253" s="525">
        <f>'HIV-Key Info'!$E$73*('HPM costs'!H199+'HPM costs'!H202+'HPM costs'!H545+'HPM costs'!H548)</f>
        <v>0</v>
      </c>
      <c r="U253" s="525" t="s">
        <v>1237</v>
      </c>
      <c r="V253" s="525">
        <f>'HIV-Key Info'!$E$73*('HPM costs'!I199+'HPM costs'!I202+'HPM costs'!I545+'HPM costs'!I548)</f>
        <v>0</v>
      </c>
      <c r="W253" s="525"/>
      <c r="X253" s="1154">
        <f t="shared" si="24"/>
        <v>0</v>
      </c>
      <c r="Y253" s="1155"/>
      <c r="Z253" s="1156"/>
      <c r="AA253" s="529"/>
      <c r="AB253" s="525"/>
      <c r="AC253" s="525">
        <f>'HIV-Key Info'!$E$73*('HPM costs'!K199+'HPM costs'!K202+'HPM costs'!K545+'HPM costs'!K548)</f>
        <v>0</v>
      </c>
      <c r="AD253" s="525"/>
      <c r="AE253" s="525">
        <f>'HIV-Key Info'!$E$73*('HPM costs'!L199+'HPM costs'!L202+'HPM costs'!L545+'HPM costs'!L548)</f>
        <v>0</v>
      </c>
      <c r="AF253" s="525"/>
      <c r="AG253" s="525">
        <f>'HIV-Key Info'!$E$73*('HPM costs'!M199+'HPM costs'!M202+'HPM costs'!M545+'HPM costs'!M548)</f>
        <v>0</v>
      </c>
      <c r="AH253" s="525"/>
      <c r="AI253" s="525">
        <f>'HIV-Key Info'!$E$73*('HPM costs'!N199+'HPM costs'!N202+'HPM costs'!N545+'HPM costs'!N548)</f>
        <v>0</v>
      </c>
      <c r="AJ253" s="525"/>
      <c r="AK253" s="1154">
        <f t="shared" si="25"/>
        <v>0</v>
      </c>
      <c r="AL253" s="1155"/>
      <c r="AM253" s="1156"/>
      <c r="AN253" s="529"/>
      <c r="AO253" s="525"/>
      <c r="AP253" s="525">
        <f>'HIV-Key Info'!$E$73*('HPM costs'!P199+'HPM costs'!P202+'HPM costs'!P545+'HPM costs'!P548)</f>
        <v>0</v>
      </c>
      <c r="AQ253" s="525"/>
      <c r="AR253" s="525">
        <f>'HIV-Key Info'!$E$73*('HPM costs'!Q199+'HPM costs'!Q202+'HPM costs'!Q545+'HPM costs'!Q548)</f>
        <v>0</v>
      </c>
      <c r="AS253" s="525"/>
      <c r="AT253" s="525">
        <f>'HIV-Key Info'!$E$73*('HPM costs'!R199+'HPM costs'!R202+'HPM costs'!R545+'HPM costs'!R548)</f>
        <v>0</v>
      </c>
      <c r="AU253" s="525"/>
      <c r="AV253" s="525">
        <f>'HIV-Key Info'!$E$73*('HPM costs'!S199+'HPM costs'!S202+'HPM costs'!S545+'HPM costs'!S548)</f>
        <v>0</v>
      </c>
      <c r="AW253" s="525"/>
      <c r="AX253" s="1154">
        <f t="shared" si="26"/>
        <v>0</v>
      </c>
      <c r="AY253" s="1154"/>
      <c r="AZ253" s="528"/>
      <c r="BA253" s="529"/>
      <c r="BB253" s="527"/>
      <c r="BC253" s="527">
        <v>0</v>
      </c>
      <c r="BD253" s="527">
        <v>0</v>
      </c>
      <c r="BE253" s="527">
        <v>0</v>
      </c>
      <c r="BF253" s="527">
        <v>0</v>
      </c>
      <c r="BG253" s="527">
        <v>0</v>
      </c>
      <c r="BH253" s="527">
        <v>0</v>
      </c>
      <c r="BI253" s="527">
        <v>0</v>
      </c>
      <c r="BJ253" s="527">
        <v>0</v>
      </c>
      <c r="BK253" s="1154">
        <f t="shared" si="27"/>
        <v>0</v>
      </c>
      <c r="BL253" s="1154"/>
      <c r="BM253" s="1154">
        <f t="shared" si="28"/>
        <v>0</v>
      </c>
      <c r="BN253" s="1154">
        <f t="shared" si="29"/>
        <v>0</v>
      </c>
      <c r="BO253" s="527"/>
      <c r="BP253" s="527"/>
      <c r="BQ253" s="1157" t="s">
        <v>2556</v>
      </c>
      <c r="BR253" s="1157" t="s">
        <v>690</v>
      </c>
      <c r="BS253" s="1157" t="s">
        <v>527</v>
      </c>
      <c r="BT253" s="1376" t="s">
        <v>1557</v>
      </c>
    </row>
    <row r="254" spans="1:72" s="1371" customFormat="1" ht="13">
      <c r="A254" s="1204">
        <v>776</v>
      </c>
      <c r="B254" s="1205" t="s">
        <v>652</v>
      </c>
      <c r="C254" s="1205" t="s">
        <v>661</v>
      </c>
      <c r="D254" s="1206" t="s">
        <v>2522</v>
      </c>
      <c r="E254" s="1386" t="s">
        <v>538</v>
      </c>
      <c r="F254" s="521"/>
      <c r="G254" s="522"/>
      <c r="H254" s="522"/>
      <c r="I254" s="522"/>
      <c r="J254" s="523"/>
      <c r="K254" s="523"/>
      <c r="L254" s="523"/>
      <c r="M254" s="524"/>
      <c r="N254" s="525"/>
      <c r="O254" s="526" t="s">
        <v>1237</v>
      </c>
      <c r="P254" s="525">
        <f>'HIV-Key Info'!$E$73*('HPM costs'!F285+'HPM costs'!F288)</f>
        <v>0</v>
      </c>
      <c r="Q254" s="525" t="s">
        <v>1237</v>
      </c>
      <c r="R254" s="525">
        <f>'HIV-Key Info'!$E$73*('HPM costs'!G285+'HPM costs'!G288)</f>
        <v>0</v>
      </c>
      <c r="S254" s="525" t="s">
        <v>1237</v>
      </c>
      <c r="T254" s="525">
        <f>'HIV-Key Info'!$E$73*('HPM costs'!H285+'HPM costs'!H288)</f>
        <v>0</v>
      </c>
      <c r="U254" s="525" t="s">
        <v>1237</v>
      </c>
      <c r="V254" s="525">
        <f>'HIV-Key Info'!$E$73*('HPM costs'!I285+'HPM costs'!I288)</f>
        <v>0</v>
      </c>
      <c r="W254" s="525"/>
      <c r="X254" s="1154">
        <f t="shared" si="24"/>
        <v>0</v>
      </c>
      <c r="Y254" s="1155"/>
      <c r="Z254" s="1156"/>
      <c r="AA254" s="529"/>
      <c r="AB254" s="525"/>
      <c r="AC254" s="525">
        <f>'HIV-Key Info'!$E$73*('HPM costs'!K285+'HPM costs'!K288)</f>
        <v>0</v>
      </c>
      <c r="AD254" s="525"/>
      <c r="AE254" s="525">
        <f>'HIV-Key Info'!$E$73*('HPM costs'!L285+'HPM costs'!L288)</f>
        <v>0</v>
      </c>
      <c r="AF254" s="525"/>
      <c r="AG254" s="525">
        <f>'HIV-Key Info'!$E$73*('HPM costs'!M285+'HPM costs'!M288)</f>
        <v>0</v>
      </c>
      <c r="AH254" s="525"/>
      <c r="AI254" s="525">
        <f>'HIV-Key Info'!$E$73*('HPM costs'!N285+'HPM costs'!N288)</f>
        <v>0</v>
      </c>
      <c r="AJ254" s="525"/>
      <c r="AK254" s="1154">
        <f t="shared" si="25"/>
        <v>0</v>
      </c>
      <c r="AL254" s="1155"/>
      <c r="AM254" s="1156"/>
      <c r="AN254" s="529"/>
      <c r="AO254" s="525"/>
      <c r="AP254" s="525">
        <f>'HIV-Key Info'!$E$73*('HPM costs'!P285+'HPM costs'!P288)</f>
        <v>0</v>
      </c>
      <c r="AQ254" s="525"/>
      <c r="AR254" s="525">
        <f>'HIV-Key Info'!$E$73*('HPM costs'!Q285+'HPM costs'!Q288)</f>
        <v>0</v>
      </c>
      <c r="AS254" s="525"/>
      <c r="AT254" s="525">
        <f>'HIV-Key Info'!$E$73*('HPM costs'!R285+'HPM costs'!R288)</f>
        <v>0</v>
      </c>
      <c r="AU254" s="525"/>
      <c r="AV254" s="525">
        <f>'HIV-Key Info'!$E$73*('HPM costs'!S285+'HPM costs'!S288)</f>
        <v>0</v>
      </c>
      <c r="AW254" s="525"/>
      <c r="AX254" s="1154">
        <f t="shared" si="26"/>
        <v>0</v>
      </c>
      <c r="AY254" s="1154"/>
      <c r="AZ254" s="528"/>
      <c r="BA254" s="529"/>
      <c r="BB254" s="527"/>
      <c r="BC254" s="527">
        <v>0</v>
      </c>
      <c r="BD254" s="527">
        <v>0</v>
      </c>
      <c r="BE254" s="527">
        <v>0</v>
      </c>
      <c r="BF254" s="527">
        <v>0</v>
      </c>
      <c r="BG254" s="527">
        <v>0</v>
      </c>
      <c r="BH254" s="527">
        <v>0</v>
      </c>
      <c r="BI254" s="527">
        <v>0</v>
      </c>
      <c r="BJ254" s="527">
        <v>0</v>
      </c>
      <c r="BK254" s="1154">
        <f t="shared" si="27"/>
        <v>0</v>
      </c>
      <c r="BL254" s="1154"/>
      <c r="BM254" s="1154">
        <f t="shared" si="28"/>
        <v>0</v>
      </c>
      <c r="BN254" s="1154">
        <f t="shared" si="29"/>
        <v>0</v>
      </c>
      <c r="BO254" s="527"/>
      <c r="BP254" s="527"/>
      <c r="BQ254" s="1157" t="s">
        <v>2556</v>
      </c>
      <c r="BR254" s="1157" t="s">
        <v>690</v>
      </c>
      <c r="BS254" s="1157" t="s">
        <v>527</v>
      </c>
      <c r="BT254" s="1376" t="s">
        <v>1558</v>
      </c>
    </row>
    <row r="255" spans="1:72" s="1371" customFormat="1" ht="13">
      <c r="A255" s="1204">
        <v>777</v>
      </c>
      <c r="B255" s="1205" t="s">
        <v>652</v>
      </c>
      <c r="C255" s="1205" t="s">
        <v>661</v>
      </c>
      <c r="D255" s="1206" t="s">
        <v>2522</v>
      </c>
      <c r="E255" s="1386" t="s">
        <v>540</v>
      </c>
      <c r="F255" s="521"/>
      <c r="G255" s="522"/>
      <c r="H255" s="522"/>
      <c r="I255" s="522"/>
      <c r="J255" s="523"/>
      <c r="K255" s="523"/>
      <c r="L255" s="523"/>
      <c r="M255" s="524"/>
      <c r="N255" s="525"/>
      <c r="O255" s="526" t="s">
        <v>1237</v>
      </c>
      <c r="P255" s="525">
        <f>'HIV-Key Info'!$E$73*('HPM costs'!F630+'HPM costs'!F633)</f>
        <v>0</v>
      </c>
      <c r="Q255" s="525" t="s">
        <v>1237</v>
      </c>
      <c r="R255" s="525">
        <f>'HIV-Key Info'!$E$73*('HPM costs'!G630+'HPM costs'!G633)</f>
        <v>0</v>
      </c>
      <c r="S255" s="525" t="s">
        <v>1237</v>
      </c>
      <c r="T255" s="525">
        <f>'HIV-Key Info'!$E$73*('HPM costs'!H630+'HPM costs'!H633)</f>
        <v>0</v>
      </c>
      <c r="U255" s="525" t="s">
        <v>1237</v>
      </c>
      <c r="V255" s="525">
        <f>'HIV-Key Info'!$E$73*('HPM costs'!I630+'HPM costs'!I633)</f>
        <v>0</v>
      </c>
      <c r="W255" s="525"/>
      <c r="X255" s="1154">
        <f t="shared" si="24"/>
        <v>0</v>
      </c>
      <c r="Y255" s="1155"/>
      <c r="Z255" s="1156"/>
      <c r="AA255" s="529"/>
      <c r="AB255" s="525"/>
      <c r="AC255" s="525">
        <f>'HIV-Key Info'!$E$73*('HPM costs'!K630+'HPM costs'!K633)</f>
        <v>0</v>
      </c>
      <c r="AD255" s="525"/>
      <c r="AE255" s="525">
        <f>'HIV-Key Info'!$E$73*('HPM costs'!L630+'HPM costs'!L633)</f>
        <v>0</v>
      </c>
      <c r="AF255" s="525"/>
      <c r="AG255" s="525">
        <f>'HIV-Key Info'!$E$73*('HPM costs'!M630+'HPM costs'!M633)</f>
        <v>0</v>
      </c>
      <c r="AH255" s="525"/>
      <c r="AI255" s="525">
        <f>'HIV-Key Info'!$E$73*('HPM costs'!N630+'HPM costs'!N633)</f>
        <v>0</v>
      </c>
      <c r="AJ255" s="525"/>
      <c r="AK255" s="1154">
        <f t="shared" si="25"/>
        <v>0</v>
      </c>
      <c r="AL255" s="1155"/>
      <c r="AM255" s="1156"/>
      <c r="AN255" s="529"/>
      <c r="AO255" s="525"/>
      <c r="AP255" s="525">
        <f>'HIV-Key Info'!$E$73*('HPM costs'!P630+'HPM costs'!P633)</f>
        <v>0</v>
      </c>
      <c r="AQ255" s="525"/>
      <c r="AR255" s="525">
        <f>'HIV-Key Info'!$E$73*('HPM costs'!Q630+'HPM costs'!Q633)</f>
        <v>0</v>
      </c>
      <c r="AS255" s="525"/>
      <c r="AT255" s="525">
        <f>'HIV-Key Info'!$E$73*('HPM costs'!R630+'HPM costs'!R633)</f>
        <v>0</v>
      </c>
      <c r="AU255" s="525"/>
      <c r="AV255" s="525">
        <f>'HIV-Key Info'!$E$73*('HPM costs'!S630+'HPM costs'!S633)</f>
        <v>0</v>
      </c>
      <c r="AW255" s="525"/>
      <c r="AX255" s="1154">
        <f t="shared" si="26"/>
        <v>0</v>
      </c>
      <c r="AY255" s="1154"/>
      <c r="AZ255" s="528"/>
      <c r="BA255" s="529"/>
      <c r="BB255" s="527"/>
      <c r="BC255" s="527">
        <v>0</v>
      </c>
      <c r="BD255" s="527">
        <v>0</v>
      </c>
      <c r="BE255" s="527">
        <v>0</v>
      </c>
      <c r="BF255" s="527">
        <v>0</v>
      </c>
      <c r="BG255" s="527">
        <v>0</v>
      </c>
      <c r="BH255" s="527">
        <v>0</v>
      </c>
      <c r="BI255" s="527">
        <v>0</v>
      </c>
      <c r="BJ255" s="527">
        <v>0</v>
      </c>
      <c r="BK255" s="1154">
        <f t="shared" si="27"/>
        <v>0</v>
      </c>
      <c r="BL255" s="1154"/>
      <c r="BM255" s="1154">
        <f t="shared" si="28"/>
        <v>0</v>
      </c>
      <c r="BN255" s="1154">
        <f t="shared" si="29"/>
        <v>0</v>
      </c>
      <c r="BO255" s="527"/>
      <c r="BP255" s="527"/>
      <c r="BQ255" s="1157" t="s">
        <v>2556</v>
      </c>
      <c r="BR255" s="1157" t="s">
        <v>690</v>
      </c>
      <c r="BS255" s="1157" t="s">
        <v>527</v>
      </c>
      <c r="BT255" s="1376" t="s">
        <v>1559</v>
      </c>
    </row>
    <row r="256" spans="1:72" s="1371" customFormat="1" ht="13">
      <c r="A256" s="1204">
        <v>799</v>
      </c>
      <c r="B256" s="1205" t="s">
        <v>652</v>
      </c>
      <c r="C256" s="1205" t="s">
        <v>668</v>
      </c>
      <c r="D256" s="1206" t="s">
        <v>2523</v>
      </c>
      <c r="E256" s="1386" t="s">
        <v>663</v>
      </c>
      <c r="F256" s="521"/>
      <c r="G256" s="522"/>
      <c r="H256" s="522"/>
      <c r="I256" s="522"/>
      <c r="J256" s="523"/>
      <c r="K256" s="523"/>
      <c r="L256" s="523"/>
      <c r="M256" s="524"/>
      <c r="N256" s="525"/>
      <c r="O256" s="526" t="s">
        <v>1237</v>
      </c>
      <c r="P256" s="525">
        <f>'HIV-Key Info'!$E$65*IFERROR(INDEX('HIV-Other HPs'!$AX$41:$BI$48,MATCH(5.2,'HIV-Other HPs'!$AW$41:$AW$48,0),MID(LEFT(P$1,SEARCH(" ",P$1)-1),2,3)-INDEX('HIV-Other HPs'!$AV$41:$AV$48,MATCH(5.2,'HIV-Other HPs'!$AW$41:$AW$48,0))),0)</f>
        <v>0</v>
      </c>
      <c r="Q256" s="525" t="s">
        <v>1237</v>
      </c>
      <c r="R256" s="525">
        <f>'HIV-Key Info'!$E$65*IFERROR(INDEX('HIV-Other HPs'!$AX$41:$BI$48,MATCH(5.2,'HIV-Other HPs'!$AW$41:$AW$48,0),MID(LEFT(R$1,SEARCH(" ",R$1)-1),2,3)-INDEX('HIV-Other HPs'!$AV$41:$AV$48,MATCH(5.2,'HIV-Other HPs'!$AW$41:$AW$48,0))),0)</f>
        <v>0</v>
      </c>
      <c r="S256" s="525" t="s">
        <v>1237</v>
      </c>
      <c r="T256" s="525">
        <f>'HIV-Key Info'!$E$65*IFERROR(INDEX('HIV-Other HPs'!$AX$41:$BI$48,MATCH(5.2,'HIV-Other HPs'!$AW$41:$AW$48,0),MID(LEFT(T$1,SEARCH(" ",T$1)-1),2,3)-INDEX('HIV-Other HPs'!$AV$41:$AV$48,MATCH(5.2,'HIV-Other HPs'!$AW$41:$AW$48,0))),0)</f>
        <v>0</v>
      </c>
      <c r="U256" s="525" t="s">
        <v>1237</v>
      </c>
      <c r="V256" s="525">
        <f>'HIV-Key Info'!$E$65*IFERROR(INDEX('HIV-Other HPs'!$AX$41:$BI$48,MATCH(5.2,'HIV-Other HPs'!$AW$41:$AW$48,0),MID(LEFT(V$1,SEARCH(" ",V$1)-1),2,3)-INDEX('HIV-Other HPs'!$AV$41:$AV$48,MATCH(5.2,'HIV-Other HPs'!$AW$41:$AW$48,0))),0)</f>
        <v>0</v>
      </c>
      <c r="W256" s="525"/>
      <c r="X256" s="1154">
        <f t="shared" si="24"/>
        <v>0</v>
      </c>
      <c r="Y256" s="1155"/>
      <c r="Z256" s="1156"/>
      <c r="AA256" s="529"/>
      <c r="AB256" s="525"/>
      <c r="AC256" s="525">
        <f>'HIV-Key Info'!$E$65*IFERROR(INDEX('HIV-Other HPs'!$AX$41:$BI$48,MATCH(5.2,'HIV-Other HPs'!$AW$41:$AW$48,0),MID(LEFT(AC$1,SEARCH(" ",AC$1)-1),2,3)-INDEX('HIV-Other HPs'!$AV$41:$AV$48,MATCH(5.2,'HIV-Other HPs'!$AW$41:$AW$48,0))),0)</f>
        <v>0</v>
      </c>
      <c r="AD256" s="525"/>
      <c r="AE256" s="525">
        <f>'HIV-Key Info'!$E$65*IFERROR(INDEX('HIV-Other HPs'!$AX$41:$BI$48,MATCH(5.2,'HIV-Other HPs'!$AW$41:$AW$48,0),MID(LEFT(AE$1,SEARCH(" ",AE$1)-1),2,3)-INDEX('HIV-Other HPs'!$AV$41:$AV$48,MATCH(5.2,'HIV-Other HPs'!$AW$41:$AW$48,0))),0)</f>
        <v>0</v>
      </c>
      <c r="AF256" s="525"/>
      <c r="AG256" s="525">
        <f>'HIV-Key Info'!$E$65*IFERROR(INDEX('HIV-Other HPs'!$AX$41:$BI$48,MATCH(5.2,'HIV-Other HPs'!$AW$41:$AW$48,0),MID(LEFT(AG$1,SEARCH(" ",AG$1)-1),2,3)-INDEX('HIV-Other HPs'!$AV$41:$AV$48,MATCH(5.2,'HIV-Other HPs'!$AW$41:$AW$48,0))),0)</f>
        <v>0</v>
      </c>
      <c r="AH256" s="525"/>
      <c r="AI256" s="525">
        <f>'HIV-Key Info'!$E$65*IFERROR(INDEX('HIV-Other HPs'!$AX$41:$BI$48,MATCH(5.2,'HIV-Other HPs'!$AW$41:$AW$48,0),MID(LEFT(AI$1,SEARCH(" ",AI$1)-1),2,3)-INDEX('HIV-Other HPs'!$AV$41:$AV$48,MATCH(5.2,'HIV-Other HPs'!$AW$41:$AW$48,0))),0)</f>
        <v>0</v>
      </c>
      <c r="AJ256" s="525"/>
      <c r="AK256" s="1154">
        <f t="shared" si="25"/>
        <v>0</v>
      </c>
      <c r="AL256" s="1155"/>
      <c r="AM256" s="1156"/>
      <c r="AN256" s="529"/>
      <c r="AO256" s="525"/>
      <c r="AP256" s="525">
        <f>'HIV-Key Info'!$E$65*IFERROR(INDEX('HIV-Other HPs'!$AX$41:$BI$48,MATCH(5.2,'HIV-Other HPs'!$AW$41:$AW$48,0),MID(LEFT(AP$1,SEARCH(" ",AP$1)-1),2,3)-INDEX('HIV-Other HPs'!$AV$41:$AV$48,MATCH(5.2,'HIV-Other HPs'!$AW$41:$AW$48,0))),0)</f>
        <v>0</v>
      </c>
      <c r="AQ256" s="525"/>
      <c r="AR256" s="525">
        <f>'HIV-Key Info'!$E$65*IFERROR(INDEX('HIV-Other HPs'!$AX$41:$BI$48,MATCH(5.2,'HIV-Other HPs'!$AW$41:$AW$48,0),MID(LEFT(AR$1,SEARCH(" ",AR$1)-1),2,3)-INDEX('HIV-Other HPs'!$AV$41:$AV$48,MATCH(5.2,'HIV-Other HPs'!$AW$41:$AW$48,0))),0)</f>
        <v>0</v>
      </c>
      <c r="AS256" s="525"/>
      <c r="AT256" s="525">
        <f>'HIV-Key Info'!$E$65*IFERROR(INDEX('HIV-Other HPs'!$AX$41:$BI$48,MATCH(5.2,'HIV-Other HPs'!$AW$41:$AW$48,0),MID(LEFT(AT$1,SEARCH(" ",AT$1)-1),2,3)-INDEX('HIV-Other HPs'!$AV$41:$AV$48,MATCH(5.2,'HIV-Other HPs'!$AW$41:$AW$48,0))),0)</f>
        <v>0</v>
      </c>
      <c r="AU256" s="525"/>
      <c r="AV256" s="525">
        <f>IFERROR('HIV-Key Info'!$E$65*(INDEX('HIV-Other HPs'!$BJ$41:$BJ$48,MATCH(5.2,'HIV-Other HPs'!$AW$41:$AW$48,0))-(SUM(X256,AK256,AP256,AR256,AT256)/'HIV-Key Info'!$E$65)),)</f>
        <v>0</v>
      </c>
      <c r="AW256" s="525"/>
      <c r="AX256" s="1154">
        <f t="shared" si="26"/>
        <v>0</v>
      </c>
      <c r="AY256" s="1154"/>
      <c r="AZ256" s="528"/>
      <c r="BA256" s="529"/>
      <c r="BB256" s="527"/>
      <c r="BC256" s="527">
        <v>0</v>
      </c>
      <c r="BD256" s="527">
        <v>0</v>
      </c>
      <c r="BE256" s="527">
        <v>0</v>
      </c>
      <c r="BF256" s="527">
        <v>0</v>
      </c>
      <c r="BG256" s="527">
        <v>0</v>
      </c>
      <c r="BH256" s="527">
        <v>0</v>
      </c>
      <c r="BI256" s="527">
        <v>0</v>
      </c>
      <c r="BJ256" s="527">
        <v>0</v>
      </c>
      <c r="BK256" s="1154">
        <f t="shared" si="27"/>
        <v>0</v>
      </c>
      <c r="BL256" s="1154"/>
      <c r="BM256" s="1154">
        <f t="shared" si="28"/>
        <v>0</v>
      </c>
      <c r="BN256" s="1154">
        <f t="shared" si="29"/>
        <v>0</v>
      </c>
      <c r="BO256" s="527"/>
      <c r="BP256" s="527"/>
      <c r="BQ256" s="1157" t="s">
        <v>2557</v>
      </c>
      <c r="BR256" s="1157" t="s">
        <v>690</v>
      </c>
      <c r="BS256" s="1157" t="s">
        <v>662</v>
      </c>
      <c r="BT256" s="1376" t="s">
        <v>1560</v>
      </c>
    </row>
    <row r="257" spans="1:72" s="1371" customFormat="1" ht="13">
      <c r="A257" s="1204">
        <v>800</v>
      </c>
      <c r="B257" s="1205" t="s">
        <v>652</v>
      </c>
      <c r="C257" s="1205" t="s">
        <v>668</v>
      </c>
      <c r="D257" s="1206" t="s">
        <v>2523</v>
      </c>
      <c r="E257" s="1386" t="s">
        <v>665</v>
      </c>
      <c r="F257" s="521"/>
      <c r="G257" s="522"/>
      <c r="H257" s="522"/>
      <c r="I257" s="522"/>
      <c r="J257" s="523"/>
      <c r="K257" s="523"/>
      <c r="L257" s="523"/>
      <c r="M257" s="524"/>
      <c r="N257" s="525"/>
      <c r="O257" s="526" t="s">
        <v>1237</v>
      </c>
      <c r="P257" s="525">
        <f>'HIV-Key Info'!$F$65*IFERROR(INDEX('HIV-Other HPs'!$AX$41:$BI$48,MATCH(5.3,'HIV-Other HPs'!$AW$41:$AW$48,0),MID(LEFT(P$1,SEARCH(" ",P$1)-1),2,3)-INDEX('HIV-Other HPs'!$AV$41:$AV$48,MATCH(5.3,'HIV-Other HPs'!$AW$41:$AW$48,0))),0)</f>
        <v>0</v>
      </c>
      <c r="Q257" s="525" t="s">
        <v>1237</v>
      </c>
      <c r="R257" s="525">
        <f>'HIV-Key Info'!$F$65*IFERROR(INDEX('HIV-Other HPs'!$AX$41:$BI$48,MATCH(5.3,'HIV-Other HPs'!$AW$41:$AW$48,0),MID(LEFT(R$1,SEARCH(" ",R$1)-1),2,3)-INDEX('HIV-Other HPs'!$AV$41:$AV$48,MATCH(5.3,'HIV-Other HPs'!$AW$41:$AW$48,0))),0)</f>
        <v>0</v>
      </c>
      <c r="S257" s="525" t="s">
        <v>1237</v>
      </c>
      <c r="T257" s="525">
        <f>'HIV-Key Info'!$F$65*IFERROR(INDEX('HIV-Other HPs'!$AX$41:$BI$48,MATCH(5.3,'HIV-Other HPs'!$AW$41:$AW$48,0),MID(LEFT(T$1,SEARCH(" ",T$1)-1),2,3)-INDEX('HIV-Other HPs'!$AV$41:$AV$48,MATCH(5.3,'HIV-Other HPs'!$AW$41:$AW$48,0))),0)</f>
        <v>0</v>
      </c>
      <c r="U257" s="525" t="s">
        <v>1237</v>
      </c>
      <c r="V257" s="525">
        <f>'HIV-Key Info'!$F$65*IFERROR(INDEX('HIV-Other HPs'!$AX$41:$BI$48,MATCH(5.3,'HIV-Other HPs'!$AW$41:$AW$48,0),MID(LEFT(V$1,SEARCH(" ",V$1)-1),2,3)-INDEX('HIV-Other HPs'!$AV$41:$AV$48,MATCH(5.3,'HIV-Other HPs'!$AW$41:$AW$48,0))),0)</f>
        <v>0</v>
      </c>
      <c r="W257" s="525"/>
      <c r="X257" s="1154">
        <f t="shared" ref="X257:X320" si="30">P257+R257+T257+V257</f>
        <v>0</v>
      </c>
      <c r="Y257" s="1155"/>
      <c r="Z257" s="1156"/>
      <c r="AA257" s="529"/>
      <c r="AB257" s="525"/>
      <c r="AC257" s="525">
        <f>'HIV-Key Info'!$F$65*IFERROR(INDEX('HIV-Other HPs'!$AX$41:$BI$48,MATCH(5.3,'HIV-Other HPs'!$AW$41:$AW$48,0),MID(LEFT(AC$1,SEARCH(" ",AC$1)-1),2,3)-INDEX('HIV-Other HPs'!$AV$41:$AV$48,MATCH(5.3,'HIV-Other HPs'!$AW$41:$AW$48,0))),0)</f>
        <v>0</v>
      </c>
      <c r="AD257" s="525"/>
      <c r="AE257" s="525">
        <f>'HIV-Key Info'!$F$65*IFERROR(INDEX('HIV-Other HPs'!$AX$41:$BI$48,MATCH(5.3,'HIV-Other HPs'!$AW$41:$AW$48,0),MID(LEFT(AE$1,SEARCH(" ",AE$1)-1),2,3)-INDEX('HIV-Other HPs'!$AV$41:$AV$48,MATCH(5.3,'HIV-Other HPs'!$AW$41:$AW$48,0))),0)</f>
        <v>0</v>
      </c>
      <c r="AF257" s="525"/>
      <c r="AG257" s="525">
        <f>'HIV-Key Info'!$F$65*IFERROR(INDEX('HIV-Other HPs'!$AX$41:$BI$48,MATCH(5.3,'HIV-Other HPs'!$AW$41:$AW$48,0),MID(LEFT(AG$1,SEARCH(" ",AG$1)-1),2,3)-INDEX('HIV-Other HPs'!$AV$41:$AV$48,MATCH(5.3,'HIV-Other HPs'!$AW$41:$AW$48,0))),0)</f>
        <v>0</v>
      </c>
      <c r="AH257" s="525"/>
      <c r="AI257" s="525">
        <f>'HIV-Key Info'!$F$65*IFERROR(INDEX('HIV-Other HPs'!$AX$41:$BI$48,MATCH(5.3,'HIV-Other HPs'!$AW$41:$AW$48,0),MID(LEFT(AI$1,SEARCH(" ",AI$1)-1),2,3)-INDEX('HIV-Other HPs'!$AV$41:$AV$48,MATCH(5.3,'HIV-Other HPs'!$AW$41:$AW$48,0))),0)</f>
        <v>0</v>
      </c>
      <c r="AJ257" s="525"/>
      <c r="AK257" s="1154">
        <f t="shared" ref="AK257:AK320" si="31">AI257+AG257+AE257+AC257</f>
        <v>0</v>
      </c>
      <c r="AL257" s="1155"/>
      <c r="AM257" s="1156"/>
      <c r="AN257" s="529"/>
      <c r="AO257" s="525"/>
      <c r="AP257" s="525">
        <f>'HIV-Key Info'!$F$65*IFERROR(INDEX('HIV-Other HPs'!$AX$41:$BI$48,MATCH(5.3,'HIV-Other HPs'!$AW$41:$AW$48,0),MID(LEFT(AP$1,SEARCH(" ",AP$1)-1),2,3)-INDEX('HIV-Other HPs'!$AV$41:$AV$48,MATCH(5.3,'HIV-Other HPs'!$AW$41:$AW$48,0))),0)</f>
        <v>0</v>
      </c>
      <c r="AQ257" s="525"/>
      <c r="AR257" s="525">
        <f>'HIV-Key Info'!$F$65*IFERROR(INDEX('HIV-Other HPs'!$AX$41:$BI$48,MATCH(5.3,'HIV-Other HPs'!$AW$41:$AW$48,0),MID(LEFT(AR$1,SEARCH(" ",AR$1)-1),2,3)-INDEX('HIV-Other HPs'!$AV$41:$AV$48,MATCH(5.3,'HIV-Other HPs'!$AW$41:$AW$48,0))),0)</f>
        <v>0</v>
      </c>
      <c r="AS257" s="525"/>
      <c r="AT257" s="525">
        <f>'HIV-Key Info'!$F$65*IFERROR(INDEX('HIV-Other HPs'!$AX$41:$BI$48,MATCH(5.3,'HIV-Other HPs'!$AW$41:$AW$48,0),MID(LEFT(AT$1,SEARCH(" ",AT$1)-1),2,3)-INDEX('HIV-Other HPs'!$AV$41:$AV$48,MATCH(5.3,'HIV-Other HPs'!$AW$41:$AW$48,0))),0)</f>
        <v>0</v>
      </c>
      <c r="AU257" s="525"/>
      <c r="AV257" s="525">
        <f>IFERROR('HIV-Key Info'!$F$65*(INDEX('HIV-Other HPs'!$BJ$41:$BJ$48,MATCH(5.3,'HIV-Other HPs'!$AW$41:$AW$48,0))-(SUM(X257,AK257,AP257,AR257,AT257)/'HIV-Key Info'!$F$65)),)</f>
        <v>0</v>
      </c>
      <c r="AW257" s="525"/>
      <c r="AX257" s="1154">
        <f t="shared" ref="AX257:AX320" si="32">AV257+AT257+AR257+AP257</f>
        <v>0</v>
      </c>
      <c r="AY257" s="1154"/>
      <c r="AZ257" s="528"/>
      <c r="BA257" s="529"/>
      <c r="BB257" s="527"/>
      <c r="BC257" s="527">
        <v>0</v>
      </c>
      <c r="BD257" s="527">
        <v>0</v>
      </c>
      <c r="BE257" s="527">
        <v>0</v>
      </c>
      <c r="BF257" s="527">
        <v>0</v>
      </c>
      <c r="BG257" s="527">
        <v>0</v>
      </c>
      <c r="BH257" s="527">
        <v>0</v>
      </c>
      <c r="BI257" s="527">
        <v>0</v>
      </c>
      <c r="BJ257" s="527">
        <v>0</v>
      </c>
      <c r="BK257" s="1154">
        <f t="shared" ref="BK257:BK320" si="33">BI257+BG257+BE257+BC257</f>
        <v>0</v>
      </c>
      <c r="BL257" s="1154"/>
      <c r="BM257" s="1154">
        <f t="shared" si="28"/>
        <v>0</v>
      </c>
      <c r="BN257" s="1154">
        <f t="shared" si="29"/>
        <v>0</v>
      </c>
      <c r="BO257" s="527"/>
      <c r="BP257" s="527"/>
      <c r="BQ257" s="1157" t="s">
        <v>2557</v>
      </c>
      <c r="BR257" s="1157" t="s">
        <v>690</v>
      </c>
      <c r="BS257" s="1157" t="s">
        <v>662</v>
      </c>
      <c r="BT257" s="1376" t="s">
        <v>1561</v>
      </c>
    </row>
    <row r="258" spans="1:72" s="1371" customFormat="1" ht="13">
      <c r="A258" s="1204">
        <v>801</v>
      </c>
      <c r="B258" s="1205" t="s">
        <v>652</v>
      </c>
      <c r="C258" s="1205" t="s">
        <v>668</v>
      </c>
      <c r="D258" s="1206" t="s">
        <v>2523</v>
      </c>
      <c r="E258" s="1386" t="s">
        <v>597</v>
      </c>
      <c r="F258" s="521"/>
      <c r="G258" s="522"/>
      <c r="H258" s="522"/>
      <c r="I258" s="522"/>
      <c r="J258" s="523"/>
      <c r="K258" s="523"/>
      <c r="L258" s="523"/>
      <c r="M258" s="524"/>
      <c r="N258" s="525"/>
      <c r="O258" s="526" t="s">
        <v>1237</v>
      </c>
      <c r="P258" s="525">
        <f>'HIV-Key Info'!$G$65*IFERROR(INDEX('HIV-Other HPs'!$AX$41:$BI$48,MATCH(5.8,'HIV-Other HPs'!$AW$41:$AW$48,0),MID(LEFT(P$1,SEARCH(" ",P$1)-1),2,3)-INDEX('HIV-Other HPs'!$AV$41:$AV$48,MATCH(5.8,'HIV-Other HPs'!$AW$41:$AW$48,0))),0)</f>
        <v>0</v>
      </c>
      <c r="Q258" s="525" t="s">
        <v>1237</v>
      </c>
      <c r="R258" s="525">
        <f>'HIV-Key Info'!$G$65*IFERROR(INDEX('HIV-Other HPs'!$AX$41:$BI$48,MATCH(5.8,'HIV-Other HPs'!$AW$41:$AW$48,0),MID(LEFT(R$1,SEARCH(" ",R$1)-1),2,3)-INDEX('HIV-Other HPs'!$AV$41:$AV$48,MATCH(5.8,'HIV-Other HPs'!$AW$41:$AW$48,0))),0)</f>
        <v>0</v>
      </c>
      <c r="S258" s="525" t="s">
        <v>1237</v>
      </c>
      <c r="T258" s="525">
        <f>'HIV-Key Info'!$G$65*IFERROR(INDEX('HIV-Other HPs'!$AX$41:$BI$48,MATCH(5.8,'HIV-Other HPs'!$AW$41:$AW$48,0),MID(LEFT(T$1,SEARCH(" ",T$1)-1),2,3)-INDEX('HIV-Other HPs'!$AV$41:$AV$48,MATCH(5.8,'HIV-Other HPs'!$AW$41:$AW$48,0))),0)</f>
        <v>0</v>
      </c>
      <c r="U258" s="525" t="s">
        <v>1237</v>
      </c>
      <c r="V258" s="525">
        <f>'HIV-Key Info'!$G$65*IFERROR(INDEX('HIV-Other HPs'!$AX$41:$BI$48,MATCH(5.8,'HIV-Other HPs'!$AW$41:$AW$48,0),MID(LEFT(V$1,SEARCH(" ",V$1)-1),2,3)-INDEX('HIV-Other HPs'!$AV$41:$AV$48,MATCH(5.8,'HIV-Other HPs'!$AW$41:$AW$48,0))),0)</f>
        <v>0</v>
      </c>
      <c r="W258" s="525"/>
      <c r="X258" s="1154">
        <f t="shared" si="30"/>
        <v>0</v>
      </c>
      <c r="Y258" s="1155"/>
      <c r="Z258" s="1156"/>
      <c r="AA258" s="529"/>
      <c r="AB258" s="525"/>
      <c r="AC258" s="525">
        <f>'HIV-Key Info'!$G$65*IFERROR(INDEX('HIV-Other HPs'!$AX$41:$BI$48,MATCH(5.8,'HIV-Other HPs'!$AW$41:$AW$48,0),MID(LEFT(AC$1,SEARCH(" ",AC$1)-1),2,3)-INDEX('HIV-Other HPs'!$AV$41:$AV$48,MATCH(5.8,'HIV-Other HPs'!$AW$41:$AW$48,0))),0)</f>
        <v>0</v>
      </c>
      <c r="AD258" s="525"/>
      <c r="AE258" s="525">
        <f>'HIV-Key Info'!$G$65*IFERROR(INDEX('HIV-Other HPs'!$AX$41:$BI$48,MATCH(5.8,'HIV-Other HPs'!$AW$41:$AW$48,0),MID(LEFT(AE$1,SEARCH(" ",AE$1)-1),2,3)-INDEX('HIV-Other HPs'!$AV$41:$AV$48,MATCH(5.8,'HIV-Other HPs'!$AW$41:$AW$48,0))),0)</f>
        <v>0</v>
      </c>
      <c r="AF258" s="525"/>
      <c r="AG258" s="525">
        <f>'HIV-Key Info'!$G$65*IFERROR(INDEX('HIV-Other HPs'!$AX$41:$BI$48,MATCH(5.8,'HIV-Other HPs'!$AW$41:$AW$48,0),MID(LEFT(AG$1,SEARCH(" ",AG$1)-1),2,3)-INDEX('HIV-Other HPs'!$AV$41:$AV$48,MATCH(5.8,'HIV-Other HPs'!$AW$41:$AW$48,0))),0)</f>
        <v>0</v>
      </c>
      <c r="AH258" s="525"/>
      <c r="AI258" s="525">
        <f>'HIV-Key Info'!$G$65*IFERROR(INDEX('HIV-Other HPs'!$AX$41:$BI$48,MATCH(5.8,'HIV-Other HPs'!$AW$41:$AW$48,0),MID(LEFT(AI$1,SEARCH(" ",AI$1)-1),2,3)-INDEX('HIV-Other HPs'!$AV$41:$AV$48,MATCH(5.8,'HIV-Other HPs'!$AW$41:$AW$48,0))),0)</f>
        <v>0</v>
      </c>
      <c r="AJ258" s="525"/>
      <c r="AK258" s="1154">
        <f t="shared" si="31"/>
        <v>0</v>
      </c>
      <c r="AL258" s="1155"/>
      <c r="AM258" s="1156"/>
      <c r="AN258" s="529"/>
      <c r="AO258" s="525"/>
      <c r="AP258" s="525">
        <f>'HIV-Key Info'!$G$65*IFERROR(INDEX('HIV-Other HPs'!$AX$41:$BI$48,MATCH(5.8,'HIV-Other HPs'!$AW$41:$AW$48,0),MID(LEFT(AP$1,SEARCH(" ",AP$1)-1),2,3)-INDEX('HIV-Other HPs'!$AV$41:$AV$48,MATCH(5.8,'HIV-Other HPs'!$AW$41:$AW$48,0))),0)</f>
        <v>0</v>
      </c>
      <c r="AQ258" s="525"/>
      <c r="AR258" s="525">
        <f>'HIV-Key Info'!$G$65*IFERROR(INDEX('HIV-Other HPs'!$AX$41:$BI$48,MATCH(5.8,'HIV-Other HPs'!$AW$41:$AW$48,0),MID(LEFT(AR$1,SEARCH(" ",AR$1)-1),2,3)-INDEX('HIV-Other HPs'!$AV$41:$AV$48,MATCH(5.8,'HIV-Other HPs'!$AW$41:$AW$48,0))),0)</f>
        <v>0</v>
      </c>
      <c r="AS258" s="525"/>
      <c r="AT258" s="525">
        <f>'HIV-Key Info'!$G$65*IFERROR(INDEX('HIV-Other HPs'!$AX$41:$BI$48,MATCH(5.8,'HIV-Other HPs'!$AW$41:$AW$48,0),MID(LEFT(AT$1,SEARCH(" ",AT$1)-1),2,3)-INDEX('HIV-Other HPs'!$AV$41:$AV$48,MATCH(5.8,'HIV-Other HPs'!$AW$41:$AW$48,0))),0)</f>
        <v>0</v>
      </c>
      <c r="AU258" s="525"/>
      <c r="AV258" s="525">
        <f>IFERROR('HIV-Key Info'!$G$65*(INDEX('HIV-Other HPs'!$BJ$41:$BJ$48,MATCH(5.8,'HIV-Other HPs'!$AW$41:$AW$48,0))-(SUM(X258,AK258,AP258,AR258,AT258)/'HIV-Key Info'!$G$65)),)</f>
        <v>0</v>
      </c>
      <c r="AW258" s="525"/>
      <c r="AX258" s="1154">
        <f t="shared" si="32"/>
        <v>0</v>
      </c>
      <c r="AY258" s="1154"/>
      <c r="AZ258" s="528"/>
      <c r="BA258" s="529"/>
      <c r="BB258" s="527"/>
      <c r="BC258" s="527">
        <v>0</v>
      </c>
      <c r="BD258" s="527">
        <v>0</v>
      </c>
      <c r="BE258" s="527">
        <v>0</v>
      </c>
      <c r="BF258" s="527">
        <v>0</v>
      </c>
      <c r="BG258" s="527">
        <v>0</v>
      </c>
      <c r="BH258" s="527">
        <v>0</v>
      </c>
      <c r="BI258" s="527">
        <v>0</v>
      </c>
      <c r="BJ258" s="527">
        <v>0</v>
      </c>
      <c r="BK258" s="1154">
        <f t="shared" si="33"/>
        <v>0</v>
      </c>
      <c r="BL258" s="1154"/>
      <c r="BM258" s="1154">
        <f t="shared" ref="BM258:BM321" si="34">BJ258+AW258+AJ258+W258</f>
        <v>0</v>
      </c>
      <c r="BN258" s="1154">
        <f t="shared" ref="BN258:BN321" si="35">BK258+AX258+AK258+X258</f>
        <v>0</v>
      </c>
      <c r="BO258" s="527"/>
      <c r="BP258" s="527"/>
      <c r="BQ258" s="1157" t="s">
        <v>2557</v>
      </c>
      <c r="BR258" s="1157" t="s">
        <v>690</v>
      </c>
      <c r="BS258" s="1157" t="s">
        <v>662</v>
      </c>
      <c r="BT258" s="1376" t="s">
        <v>1562</v>
      </c>
    </row>
    <row r="259" spans="1:72" s="1371" customFormat="1" ht="13">
      <c r="A259" s="1204">
        <v>802</v>
      </c>
      <c r="B259" s="1205" t="s">
        <v>652</v>
      </c>
      <c r="C259" s="1205" t="s">
        <v>668</v>
      </c>
      <c r="D259" s="1206" t="s">
        <v>2524</v>
      </c>
      <c r="E259" s="1386" t="s">
        <v>528</v>
      </c>
      <c r="F259" s="521"/>
      <c r="G259" s="522"/>
      <c r="H259" s="522"/>
      <c r="I259" s="522"/>
      <c r="J259" s="523"/>
      <c r="K259" s="523"/>
      <c r="L259" s="523"/>
      <c r="M259" s="524"/>
      <c r="N259" s="525"/>
      <c r="O259" s="526" t="s">
        <v>1237</v>
      </c>
      <c r="P259" s="525">
        <f>'HIV-Key Info'!$E$65*('HPM costs'!F27+'HPM costs'!F30)</f>
        <v>0</v>
      </c>
      <c r="Q259" s="525" t="s">
        <v>1237</v>
      </c>
      <c r="R259" s="525">
        <f>'HIV-Key Info'!$E$65*('HPM costs'!G27+'HPM costs'!G30)</f>
        <v>0</v>
      </c>
      <c r="S259" s="525" t="s">
        <v>1237</v>
      </c>
      <c r="T259" s="525">
        <f>'HIV-Key Info'!$E$65*('HPM costs'!H27+'HPM costs'!H30)</f>
        <v>0</v>
      </c>
      <c r="U259" s="525" t="s">
        <v>1237</v>
      </c>
      <c r="V259" s="525">
        <f>'HIV-Key Info'!$E$65*('HPM costs'!I27+'HPM costs'!I30)</f>
        <v>0</v>
      </c>
      <c r="W259" s="525"/>
      <c r="X259" s="1154">
        <f t="shared" si="30"/>
        <v>0</v>
      </c>
      <c r="Y259" s="1155"/>
      <c r="Z259" s="1156"/>
      <c r="AA259" s="529"/>
      <c r="AB259" s="525"/>
      <c r="AC259" s="525">
        <f>'HIV-Key Info'!$E$65*('HPM costs'!K27+'HPM costs'!K30)</f>
        <v>0</v>
      </c>
      <c r="AD259" s="525"/>
      <c r="AE259" s="525">
        <f>'HIV-Key Info'!$E$65*('HPM costs'!L27+'HPM costs'!L30)</f>
        <v>0</v>
      </c>
      <c r="AF259" s="525"/>
      <c r="AG259" s="525">
        <f>'HIV-Key Info'!$E$65*('HPM costs'!M27+'HPM costs'!M30)</f>
        <v>0</v>
      </c>
      <c r="AH259" s="525"/>
      <c r="AI259" s="525">
        <f>'HIV-Key Info'!$E$65*('HPM costs'!N27+'HPM costs'!N30)</f>
        <v>0</v>
      </c>
      <c r="AJ259" s="525"/>
      <c r="AK259" s="1154">
        <f t="shared" si="31"/>
        <v>0</v>
      </c>
      <c r="AL259" s="1155"/>
      <c r="AM259" s="1156"/>
      <c r="AN259" s="529"/>
      <c r="AO259" s="525"/>
      <c r="AP259" s="525">
        <f>'HIV-Key Info'!$E$65*('HPM costs'!P27+'HPM costs'!P30)</f>
        <v>0</v>
      </c>
      <c r="AQ259" s="525"/>
      <c r="AR259" s="525">
        <f>'HIV-Key Info'!$E$65*('HPM costs'!Q27+'HPM costs'!Q30)</f>
        <v>0</v>
      </c>
      <c r="AS259" s="525"/>
      <c r="AT259" s="525">
        <f>'HIV-Key Info'!$E$65*('HPM costs'!R27+'HPM costs'!R30)</f>
        <v>0</v>
      </c>
      <c r="AU259" s="525"/>
      <c r="AV259" s="525">
        <f>'HIV-Key Info'!$E$65*('HPM costs'!S27+'HPM costs'!S30)</f>
        <v>0</v>
      </c>
      <c r="AW259" s="525"/>
      <c r="AX259" s="1154">
        <f t="shared" si="32"/>
        <v>0</v>
      </c>
      <c r="AY259" s="1154"/>
      <c r="AZ259" s="528"/>
      <c r="BA259" s="529"/>
      <c r="BB259" s="527"/>
      <c r="BC259" s="527">
        <v>0</v>
      </c>
      <c r="BD259" s="527">
        <v>0</v>
      </c>
      <c r="BE259" s="527">
        <v>0</v>
      </c>
      <c r="BF259" s="527">
        <v>0</v>
      </c>
      <c r="BG259" s="527">
        <v>0</v>
      </c>
      <c r="BH259" s="527">
        <v>0</v>
      </c>
      <c r="BI259" s="527">
        <v>0</v>
      </c>
      <c r="BJ259" s="527">
        <v>0</v>
      </c>
      <c r="BK259" s="1154">
        <f t="shared" si="33"/>
        <v>0</v>
      </c>
      <c r="BL259" s="1154"/>
      <c r="BM259" s="1154">
        <f t="shared" si="34"/>
        <v>0</v>
      </c>
      <c r="BN259" s="1154">
        <f t="shared" si="35"/>
        <v>0</v>
      </c>
      <c r="BO259" s="527"/>
      <c r="BP259" s="527"/>
      <c r="BQ259" s="1157" t="s">
        <v>2557</v>
      </c>
      <c r="BR259" s="1157" t="s">
        <v>690</v>
      </c>
      <c r="BS259" s="1157" t="s">
        <v>527</v>
      </c>
      <c r="BT259" s="1376" t="s">
        <v>1563</v>
      </c>
    </row>
    <row r="260" spans="1:72" s="1371" customFormat="1" ht="13">
      <c r="A260" s="1204">
        <v>803</v>
      </c>
      <c r="B260" s="1205" t="s">
        <v>652</v>
      </c>
      <c r="C260" s="1205" t="s">
        <v>668</v>
      </c>
      <c r="D260" s="1206" t="s">
        <v>2524</v>
      </c>
      <c r="E260" s="1386" t="s">
        <v>530</v>
      </c>
      <c r="F260" s="521"/>
      <c r="G260" s="522"/>
      <c r="H260" s="522"/>
      <c r="I260" s="522"/>
      <c r="J260" s="523"/>
      <c r="K260" s="523"/>
      <c r="L260" s="523"/>
      <c r="M260" s="524"/>
      <c r="N260" s="525"/>
      <c r="O260" s="526" t="s">
        <v>1237</v>
      </c>
      <c r="P260" s="525">
        <f>'HIV-Key Info'!$E$65*('HPM costs'!F113+'HPM costs'!F116)</f>
        <v>0</v>
      </c>
      <c r="Q260" s="525" t="s">
        <v>1237</v>
      </c>
      <c r="R260" s="525">
        <f>'HIV-Key Info'!$E$65*('HPM costs'!G113+'HPM costs'!G116)</f>
        <v>0</v>
      </c>
      <c r="S260" s="525" t="s">
        <v>1237</v>
      </c>
      <c r="T260" s="525">
        <f>'HIV-Key Info'!$E$65*('HPM costs'!H113+'HPM costs'!H116)</f>
        <v>0</v>
      </c>
      <c r="U260" s="525" t="s">
        <v>1237</v>
      </c>
      <c r="V260" s="525">
        <f>'HIV-Key Info'!$E$65*('HPM costs'!I113+'HPM costs'!I116)</f>
        <v>0</v>
      </c>
      <c r="W260" s="525"/>
      <c r="X260" s="1154">
        <f t="shared" si="30"/>
        <v>0</v>
      </c>
      <c r="Y260" s="1155"/>
      <c r="Z260" s="1156"/>
      <c r="AA260" s="529"/>
      <c r="AB260" s="525"/>
      <c r="AC260" s="525">
        <f>'HIV-Key Info'!$E$65*('HPM costs'!K113+'HPM costs'!K116)</f>
        <v>0</v>
      </c>
      <c r="AD260" s="525"/>
      <c r="AE260" s="525">
        <f>'HIV-Key Info'!$E$65*('HPM costs'!L113+'HPM costs'!L116)</f>
        <v>0</v>
      </c>
      <c r="AF260" s="525"/>
      <c r="AG260" s="525">
        <f>'HIV-Key Info'!$E$65*('HPM costs'!M113+'HPM costs'!M116)</f>
        <v>0</v>
      </c>
      <c r="AH260" s="525"/>
      <c r="AI260" s="525">
        <f>'HIV-Key Info'!$E$65*('HPM costs'!N113+'HPM costs'!N116)</f>
        <v>0</v>
      </c>
      <c r="AJ260" s="525"/>
      <c r="AK260" s="1154">
        <f t="shared" si="31"/>
        <v>0</v>
      </c>
      <c r="AL260" s="1155"/>
      <c r="AM260" s="1156"/>
      <c r="AN260" s="529"/>
      <c r="AO260" s="525"/>
      <c r="AP260" s="525">
        <f>'HIV-Key Info'!$E$65*('HPM costs'!P113+'HPM costs'!P116)</f>
        <v>0</v>
      </c>
      <c r="AQ260" s="525"/>
      <c r="AR260" s="525">
        <f>'HIV-Key Info'!$E$65*('HPM costs'!Q113+'HPM costs'!Q116)</f>
        <v>0</v>
      </c>
      <c r="AS260" s="525"/>
      <c r="AT260" s="525">
        <f>'HIV-Key Info'!$E$65*('HPM costs'!R113+'HPM costs'!R116)</f>
        <v>0</v>
      </c>
      <c r="AU260" s="525"/>
      <c r="AV260" s="525">
        <f>'HIV-Key Info'!$E$65*('HPM costs'!S113+'HPM costs'!S116)</f>
        <v>0</v>
      </c>
      <c r="AW260" s="525"/>
      <c r="AX260" s="1154">
        <f t="shared" si="32"/>
        <v>0</v>
      </c>
      <c r="AY260" s="1154"/>
      <c r="AZ260" s="528"/>
      <c r="BA260" s="529"/>
      <c r="BB260" s="527"/>
      <c r="BC260" s="527">
        <v>0</v>
      </c>
      <c r="BD260" s="527">
        <v>0</v>
      </c>
      <c r="BE260" s="527">
        <v>0</v>
      </c>
      <c r="BF260" s="527">
        <v>0</v>
      </c>
      <c r="BG260" s="527">
        <v>0</v>
      </c>
      <c r="BH260" s="527">
        <v>0</v>
      </c>
      <c r="BI260" s="527">
        <v>0</v>
      </c>
      <c r="BJ260" s="527">
        <v>0</v>
      </c>
      <c r="BK260" s="1154">
        <f t="shared" si="33"/>
        <v>0</v>
      </c>
      <c r="BL260" s="1154"/>
      <c r="BM260" s="1154">
        <f t="shared" si="34"/>
        <v>0</v>
      </c>
      <c r="BN260" s="1154">
        <f t="shared" si="35"/>
        <v>0</v>
      </c>
      <c r="BO260" s="527"/>
      <c r="BP260" s="527"/>
      <c r="BQ260" s="1157" t="s">
        <v>2557</v>
      </c>
      <c r="BR260" s="1157" t="s">
        <v>690</v>
      </c>
      <c r="BS260" s="1157" t="s">
        <v>527</v>
      </c>
      <c r="BT260" s="1376" t="s">
        <v>1564</v>
      </c>
    </row>
    <row r="261" spans="1:72" s="1371" customFormat="1" ht="13">
      <c r="A261" s="1204">
        <v>804</v>
      </c>
      <c r="B261" s="1205" t="s">
        <v>652</v>
      </c>
      <c r="C261" s="1205" t="s">
        <v>668</v>
      </c>
      <c r="D261" s="1206" t="s">
        <v>2524</v>
      </c>
      <c r="E261" s="1386" t="s">
        <v>532</v>
      </c>
      <c r="F261" s="521"/>
      <c r="G261" s="522"/>
      <c r="H261" s="522"/>
      <c r="I261" s="522"/>
      <c r="J261" s="523"/>
      <c r="K261" s="523"/>
      <c r="L261" s="523"/>
      <c r="M261" s="524"/>
      <c r="N261" s="525"/>
      <c r="O261" s="526" t="s">
        <v>1237</v>
      </c>
      <c r="P261" s="525">
        <f>'HIV-Key Info'!$E$65*('HPM costs'!F373+'HPM costs'!F376)</f>
        <v>0</v>
      </c>
      <c r="Q261" s="525" t="s">
        <v>1237</v>
      </c>
      <c r="R261" s="525">
        <f>'HIV-Key Info'!$E$65*('HPM costs'!G373+'HPM costs'!G376)</f>
        <v>0</v>
      </c>
      <c r="S261" s="525" t="s">
        <v>1237</v>
      </c>
      <c r="T261" s="525">
        <f>'HIV-Key Info'!$E$65*('HPM costs'!H373+'HPM costs'!H376)</f>
        <v>0</v>
      </c>
      <c r="U261" s="525" t="s">
        <v>1237</v>
      </c>
      <c r="V261" s="525">
        <f>'HIV-Key Info'!$E$65*('HPM costs'!I373+'HPM costs'!I376)</f>
        <v>0</v>
      </c>
      <c r="W261" s="525"/>
      <c r="X261" s="1154">
        <f t="shared" si="30"/>
        <v>0</v>
      </c>
      <c r="Y261" s="1155"/>
      <c r="Z261" s="1156"/>
      <c r="AA261" s="529"/>
      <c r="AB261" s="525"/>
      <c r="AC261" s="525">
        <f>'HIV-Key Info'!$E$65*('HPM costs'!K373+'HPM costs'!K376)</f>
        <v>0</v>
      </c>
      <c r="AD261" s="525"/>
      <c r="AE261" s="525">
        <f>'HIV-Key Info'!$E$65*('HPM costs'!L373+'HPM costs'!L376)</f>
        <v>0</v>
      </c>
      <c r="AF261" s="525"/>
      <c r="AG261" s="525">
        <f>'HIV-Key Info'!$E$65*('HPM costs'!M373+'HPM costs'!M376)</f>
        <v>0</v>
      </c>
      <c r="AH261" s="525"/>
      <c r="AI261" s="525">
        <f>'HIV-Key Info'!$E$65*('HPM costs'!N373+'HPM costs'!N376)</f>
        <v>0</v>
      </c>
      <c r="AJ261" s="525"/>
      <c r="AK261" s="1154">
        <f t="shared" si="31"/>
        <v>0</v>
      </c>
      <c r="AL261" s="1155"/>
      <c r="AM261" s="1156"/>
      <c r="AN261" s="529"/>
      <c r="AO261" s="525"/>
      <c r="AP261" s="525">
        <f>'HIV-Key Info'!$E$65*('HPM costs'!P373+'HPM costs'!P376)</f>
        <v>0</v>
      </c>
      <c r="AQ261" s="525"/>
      <c r="AR261" s="525">
        <f>'HIV-Key Info'!$E$65*('HPM costs'!Q373+'HPM costs'!Q376)</f>
        <v>0</v>
      </c>
      <c r="AS261" s="525"/>
      <c r="AT261" s="525">
        <f>'HIV-Key Info'!$E$65*('HPM costs'!R373+'HPM costs'!R376)</f>
        <v>0</v>
      </c>
      <c r="AU261" s="525"/>
      <c r="AV261" s="525">
        <f>'HIV-Key Info'!$E$65*('HPM costs'!S373+'HPM costs'!S376)</f>
        <v>0</v>
      </c>
      <c r="AW261" s="525"/>
      <c r="AX261" s="1154">
        <f t="shared" si="32"/>
        <v>0</v>
      </c>
      <c r="AY261" s="1154"/>
      <c r="AZ261" s="528"/>
      <c r="BA261" s="529"/>
      <c r="BB261" s="527"/>
      <c r="BC261" s="527">
        <v>0</v>
      </c>
      <c r="BD261" s="527">
        <v>0</v>
      </c>
      <c r="BE261" s="527">
        <v>0</v>
      </c>
      <c r="BF261" s="527">
        <v>0</v>
      </c>
      <c r="BG261" s="527">
        <v>0</v>
      </c>
      <c r="BH261" s="527">
        <v>0</v>
      </c>
      <c r="BI261" s="527">
        <v>0</v>
      </c>
      <c r="BJ261" s="527">
        <v>0</v>
      </c>
      <c r="BK261" s="1154">
        <f t="shared" si="33"/>
        <v>0</v>
      </c>
      <c r="BL261" s="1154"/>
      <c r="BM261" s="1154">
        <f t="shared" si="34"/>
        <v>0</v>
      </c>
      <c r="BN261" s="1154">
        <f t="shared" si="35"/>
        <v>0</v>
      </c>
      <c r="BO261" s="527"/>
      <c r="BP261" s="527"/>
      <c r="BQ261" s="1157" t="s">
        <v>2557</v>
      </c>
      <c r="BR261" s="1157" t="s">
        <v>690</v>
      </c>
      <c r="BS261" s="1157" t="s">
        <v>527</v>
      </c>
      <c r="BT261" s="1376" t="s">
        <v>1565</v>
      </c>
    </row>
    <row r="262" spans="1:72" s="1371" customFormat="1" ht="13">
      <c r="A262" s="1204">
        <v>805</v>
      </c>
      <c r="B262" s="1205" t="s">
        <v>652</v>
      </c>
      <c r="C262" s="1205" t="s">
        <v>668</v>
      </c>
      <c r="D262" s="1206" t="s">
        <v>2524</v>
      </c>
      <c r="E262" s="1386" t="s">
        <v>534</v>
      </c>
      <c r="F262" s="521"/>
      <c r="G262" s="522"/>
      <c r="H262" s="522"/>
      <c r="I262" s="522"/>
      <c r="J262" s="523"/>
      <c r="K262" s="523"/>
      <c r="L262" s="523"/>
      <c r="M262" s="524"/>
      <c r="N262" s="525"/>
      <c r="O262" s="526" t="s">
        <v>1237</v>
      </c>
      <c r="P262" s="525">
        <f>'HIV-Key Info'!$E$65*('HPM costs'!F459+'HPM costs'!F462)</f>
        <v>0</v>
      </c>
      <c r="Q262" s="525" t="s">
        <v>1237</v>
      </c>
      <c r="R262" s="525">
        <f>'HIV-Key Info'!$E$65*('HPM costs'!G459+'HPM costs'!G462)</f>
        <v>0</v>
      </c>
      <c r="S262" s="525" t="s">
        <v>1237</v>
      </c>
      <c r="T262" s="525">
        <f>'HIV-Key Info'!$E$65*('HPM costs'!H459+'HPM costs'!H462)</f>
        <v>0</v>
      </c>
      <c r="U262" s="525" t="s">
        <v>1237</v>
      </c>
      <c r="V262" s="525">
        <f>'HIV-Key Info'!$E$65*('HPM costs'!I459+'HPM costs'!I462)</f>
        <v>0</v>
      </c>
      <c r="W262" s="525"/>
      <c r="X262" s="1154">
        <f t="shared" si="30"/>
        <v>0</v>
      </c>
      <c r="Y262" s="1155"/>
      <c r="Z262" s="1156"/>
      <c r="AA262" s="529"/>
      <c r="AB262" s="525"/>
      <c r="AC262" s="525">
        <f>'HIV-Key Info'!$E$65*('HPM costs'!K459+'HPM costs'!K462)</f>
        <v>0</v>
      </c>
      <c r="AD262" s="525"/>
      <c r="AE262" s="525">
        <f>'HIV-Key Info'!$E$65*('HPM costs'!L459+'HPM costs'!L462)</f>
        <v>0</v>
      </c>
      <c r="AF262" s="525"/>
      <c r="AG262" s="525">
        <f>'HIV-Key Info'!$E$65*('HPM costs'!M459+'HPM costs'!M462)</f>
        <v>0</v>
      </c>
      <c r="AH262" s="525"/>
      <c r="AI262" s="525">
        <f>'HIV-Key Info'!$E$65*('HPM costs'!N459+'HPM costs'!N462)</f>
        <v>0</v>
      </c>
      <c r="AJ262" s="525"/>
      <c r="AK262" s="1154">
        <f t="shared" si="31"/>
        <v>0</v>
      </c>
      <c r="AL262" s="1155"/>
      <c r="AM262" s="1156"/>
      <c r="AN262" s="529"/>
      <c r="AO262" s="525"/>
      <c r="AP262" s="525">
        <f>'HIV-Key Info'!$E$65*('HPM costs'!P459+'HPM costs'!P462)</f>
        <v>0</v>
      </c>
      <c r="AQ262" s="525"/>
      <c r="AR262" s="525">
        <f>'HIV-Key Info'!$E$65*('HPM costs'!Q459+'HPM costs'!Q462)</f>
        <v>0</v>
      </c>
      <c r="AS262" s="525"/>
      <c r="AT262" s="525">
        <f>'HIV-Key Info'!$E$65*('HPM costs'!R459+'HPM costs'!R462)</f>
        <v>0</v>
      </c>
      <c r="AU262" s="525"/>
      <c r="AV262" s="525">
        <f>'HIV-Key Info'!$E$65*('HPM costs'!S459+'HPM costs'!S462)</f>
        <v>0</v>
      </c>
      <c r="AW262" s="525"/>
      <c r="AX262" s="1154">
        <f t="shared" si="32"/>
        <v>0</v>
      </c>
      <c r="AY262" s="1154"/>
      <c r="AZ262" s="528"/>
      <c r="BA262" s="529"/>
      <c r="BB262" s="527"/>
      <c r="BC262" s="527">
        <v>0</v>
      </c>
      <c r="BD262" s="527">
        <v>0</v>
      </c>
      <c r="BE262" s="527">
        <v>0</v>
      </c>
      <c r="BF262" s="527">
        <v>0</v>
      </c>
      <c r="BG262" s="527">
        <v>0</v>
      </c>
      <c r="BH262" s="527">
        <v>0</v>
      </c>
      <c r="BI262" s="527">
        <v>0</v>
      </c>
      <c r="BJ262" s="527">
        <v>0</v>
      </c>
      <c r="BK262" s="1154">
        <f t="shared" si="33"/>
        <v>0</v>
      </c>
      <c r="BL262" s="1154"/>
      <c r="BM262" s="1154">
        <f t="shared" si="34"/>
        <v>0</v>
      </c>
      <c r="BN262" s="1154">
        <f t="shared" si="35"/>
        <v>0</v>
      </c>
      <c r="BO262" s="527"/>
      <c r="BP262" s="527"/>
      <c r="BQ262" s="1157" t="s">
        <v>2557</v>
      </c>
      <c r="BR262" s="1157" t="s">
        <v>690</v>
      </c>
      <c r="BS262" s="1157" t="s">
        <v>527</v>
      </c>
      <c r="BT262" s="1376" t="s">
        <v>1566</v>
      </c>
    </row>
    <row r="263" spans="1:72" s="1371" customFormat="1" ht="13">
      <c r="A263" s="1204">
        <v>806</v>
      </c>
      <c r="B263" s="1205" t="s">
        <v>652</v>
      </c>
      <c r="C263" s="1205" t="s">
        <v>668</v>
      </c>
      <c r="D263" s="1206" t="s">
        <v>2524</v>
      </c>
      <c r="E263" s="1386" t="s">
        <v>536</v>
      </c>
      <c r="F263" s="521"/>
      <c r="G263" s="522"/>
      <c r="H263" s="522"/>
      <c r="I263" s="522"/>
      <c r="J263" s="523"/>
      <c r="K263" s="523"/>
      <c r="L263" s="523"/>
      <c r="M263" s="524"/>
      <c r="N263" s="525"/>
      <c r="O263" s="526" t="s">
        <v>1237</v>
      </c>
      <c r="P263" s="525">
        <f>'HIV-Key Info'!$E$65*('HPM costs'!F199+'HPM costs'!F202+'HPM costs'!F545+'HPM costs'!F548)</f>
        <v>0</v>
      </c>
      <c r="Q263" s="525" t="s">
        <v>1237</v>
      </c>
      <c r="R263" s="525">
        <f>'HIV-Key Info'!$E$65*('HPM costs'!G199+'HPM costs'!G202+'HPM costs'!G545+'HPM costs'!G548)</f>
        <v>0</v>
      </c>
      <c r="S263" s="525" t="s">
        <v>1237</v>
      </c>
      <c r="T263" s="525">
        <f>'HIV-Key Info'!$E$65*('HPM costs'!H199+'HPM costs'!H202+'HPM costs'!H545+'HPM costs'!H548)</f>
        <v>0</v>
      </c>
      <c r="U263" s="525" t="s">
        <v>1237</v>
      </c>
      <c r="V263" s="525">
        <f>'HIV-Key Info'!$E$65*('HPM costs'!I199+'HPM costs'!I202+'HPM costs'!I545+'HPM costs'!I548)</f>
        <v>0</v>
      </c>
      <c r="W263" s="525"/>
      <c r="X263" s="1154">
        <f t="shared" si="30"/>
        <v>0</v>
      </c>
      <c r="Y263" s="1155"/>
      <c r="Z263" s="1156"/>
      <c r="AA263" s="529"/>
      <c r="AB263" s="525"/>
      <c r="AC263" s="525">
        <f>'HIV-Key Info'!$E$65*('HPM costs'!K199+'HPM costs'!K202+'HPM costs'!K545+'HPM costs'!K548)</f>
        <v>0</v>
      </c>
      <c r="AD263" s="525"/>
      <c r="AE263" s="525">
        <f>'HIV-Key Info'!$E$65*('HPM costs'!L199+'HPM costs'!L202+'HPM costs'!L545+'HPM costs'!L548)</f>
        <v>0</v>
      </c>
      <c r="AF263" s="525"/>
      <c r="AG263" s="525">
        <f>'HIV-Key Info'!$E$65*('HPM costs'!M199+'HPM costs'!M202+'HPM costs'!M545+'HPM costs'!M548)</f>
        <v>0</v>
      </c>
      <c r="AH263" s="525"/>
      <c r="AI263" s="525">
        <f>'HIV-Key Info'!$E$65*('HPM costs'!N199+'HPM costs'!N202+'HPM costs'!N545+'HPM costs'!N548)</f>
        <v>0</v>
      </c>
      <c r="AJ263" s="525"/>
      <c r="AK263" s="1154">
        <f t="shared" si="31"/>
        <v>0</v>
      </c>
      <c r="AL263" s="1155"/>
      <c r="AM263" s="1156"/>
      <c r="AN263" s="529"/>
      <c r="AO263" s="525"/>
      <c r="AP263" s="525">
        <f>'HIV-Key Info'!$E$65*('HPM costs'!P199+'HPM costs'!P202+'HPM costs'!P545+'HPM costs'!P548)</f>
        <v>0</v>
      </c>
      <c r="AQ263" s="525"/>
      <c r="AR263" s="525">
        <f>'HIV-Key Info'!$E$65*('HPM costs'!Q199+'HPM costs'!Q202+'HPM costs'!Q545+'HPM costs'!Q548)</f>
        <v>0</v>
      </c>
      <c r="AS263" s="525"/>
      <c r="AT263" s="525">
        <f>'HIV-Key Info'!$E$65*('HPM costs'!R199+'HPM costs'!R202+'HPM costs'!R545+'HPM costs'!R548)</f>
        <v>0</v>
      </c>
      <c r="AU263" s="525"/>
      <c r="AV263" s="525">
        <f>'HIV-Key Info'!$E$65*('HPM costs'!S199+'HPM costs'!S202+'HPM costs'!S545+'HPM costs'!S548)</f>
        <v>0</v>
      </c>
      <c r="AW263" s="525"/>
      <c r="AX263" s="1154">
        <f t="shared" si="32"/>
        <v>0</v>
      </c>
      <c r="AY263" s="1154"/>
      <c r="AZ263" s="528"/>
      <c r="BA263" s="529"/>
      <c r="BB263" s="527"/>
      <c r="BC263" s="527">
        <v>0</v>
      </c>
      <c r="BD263" s="527">
        <v>0</v>
      </c>
      <c r="BE263" s="527">
        <v>0</v>
      </c>
      <c r="BF263" s="527">
        <v>0</v>
      </c>
      <c r="BG263" s="527">
        <v>0</v>
      </c>
      <c r="BH263" s="527">
        <v>0</v>
      </c>
      <c r="BI263" s="527">
        <v>0</v>
      </c>
      <c r="BJ263" s="527">
        <v>0</v>
      </c>
      <c r="BK263" s="1154">
        <f t="shared" si="33"/>
        <v>0</v>
      </c>
      <c r="BL263" s="1154"/>
      <c r="BM263" s="1154">
        <f t="shared" si="34"/>
        <v>0</v>
      </c>
      <c r="BN263" s="1154">
        <f t="shared" si="35"/>
        <v>0</v>
      </c>
      <c r="BO263" s="527"/>
      <c r="BP263" s="527"/>
      <c r="BQ263" s="1157" t="s">
        <v>2557</v>
      </c>
      <c r="BR263" s="1157" t="s">
        <v>690</v>
      </c>
      <c r="BS263" s="1157" t="s">
        <v>527</v>
      </c>
      <c r="BT263" s="1376" t="s">
        <v>1567</v>
      </c>
    </row>
    <row r="264" spans="1:72" s="1371" customFormat="1" ht="13">
      <c r="A264" s="1204">
        <v>807</v>
      </c>
      <c r="B264" s="1205" t="s">
        <v>652</v>
      </c>
      <c r="C264" s="1205" t="s">
        <v>668</v>
      </c>
      <c r="D264" s="1206" t="s">
        <v>2524</v>
      </c>
      <c r="E264" s="1386" t="s">
        <v>538</v>
      </c>
      <c r="F264" s="521"/>
      <c r="G264" s="522"/>
      <c r="H264" s="522"/>
      <c r="I264" s="522"/>
      <c r="J264" s="523"/>
      <c r="K264" s="523"/>
      <c r="L264" s="523"/>
      <c r="M264" s="524"/>
      <c r="N264" s="525"/>
      <c r="O264" s="526" t="s">
        <v>1237</v>
      </c>
      <c r="P264" s="525">
        <f>'HIV-Key Info'!$E$65*('HPM costs'!F285+'HPM costs'!F288)</f>
        <v>0</v>
      </c>
      <c r="Q264" s="525" t="s">
        <v>1237</v>
      </c>
      <c r="R264" s="525">
        <f>'HIV-Key Info'!$E$65*('HPM costs'!G285+'HPM costs'!G288)</f>
        <v>0</v>
      </c>
      <c r="S264" s="525" t="s">
        <v>1237</v>
      </c>
      <c r="T264" s="525">
        <f>'HIV-Key Info'!$E$65*('HPM costs'!H285+'HPM costs'!H288)</f>
        <v>0</v>
      </c>
      <c r="U264" s="525" t="s">
        <v>1237</v>
      </c>
      <c r="V264" s="525">
        <f>'HIV-Key Info'!$E$65*('HPM costs'!I285+'HPM costs'!I288)</f>
        <v>0</v>
      </c>
      <c r="W264" s="525"/>
      <c r="X264" s="1154">
        <f t="shared" si="30"/>
        <v>0</v>
      </c>
      <c r="Y264" s="1155"/>
      <c r="Z264" s="1156"/>
      <c r="AA264" s="529"/>
      <c r="AB264" s="525"/>
      <c r="AC264" s="525">
        <f>'HIV-Key Info'!$E$65*('HPM costs'!K285+'HPM costs'!K288)</f>
        <v>0</v>
      </c>
      <c r="AD264" s="525"/>
      <c r="AE264" s="525">
        <f>'HIV-Key Info'!$E$65*('HPM costs'!L285+'HPM costs'!L288)</f>
        <v>0</v>
      </c>
      <c r="AF264" s="525"/>
      <c r="AG264" s="525">
        <f>'HIV-Key Info'!$E$65*('HPM costs'!M285+'HPM costs'!M288)</f>
        <v>0</v>
      </c>
      <c r="AH264" s="525"/>
      <c r="AI264" s="525">
        <f>'HIV-Key Info'!$E$65*('HPM costs'!N285+'HPM costs'!N288)</f>
        <v>0</v>
      </c>
      <c r="AJ264" s="525"/>
      <c r="AK264" s="1154">
        <f t="shared" si="31"/>
        <v>0</v>
      </c>
      <c r="AL264" s="1155"/>
      <c r="AM264" s="1156"/>
      <c r="AN264" s="529"/>
      <c r="AO264" s="525"/>
      <c r="AP264" s="525">
        <f>'HIV-Key Info'!$E$65*('HPM costs'!P285+'HPM costs'!P288)</f>
        <v>0</v>
      </c>
      <c r="AQ264" s="525"/>
      <c r="AR264" s="525">
        <f>'HIV-Key Info'!$E$65*('HPM costs'!Q285+'HPM costs'!Q288)</f>
        <v>0</v>
      </c>
      <c r="AS264" s="525"/>
      <c r="AT264" s="525">
        <f>'HIV-Key Info'!$E$65*('HPM costs'!R285+'HPM costs'!R288)</f>
        <v>0</v>
      </c>
      <c r="AU264" s="525"/>
      <c r="AV264" s="525">
        <f>'HIV-Key Info'!$E$65*('HPM costs'!S285+'HPM costs'!S288)</f>
        <v>0</v>
      </c>
      <c r="AW264" s="525"/>
      <c r="AX264" s="1154">
        <f t="shared" si="32"/>
        <v>0</v>
      </c>
      <c r="AY264" s="1154"/>
      <c r="AZ264" s="528"/>
      <c r="BA264" s="529"/>
      <c r="BB264" s="527"/>
      <c r="BC264" s="527">
        <v>0</v>
      </c>
      <c r="BD264" s="527">
        <v>0</v>
      </c>
      <c r="BE264" s="527">
        <v>0</v>
      </c>
      <c r="BF264" s="527">
        <v>0</v>
      </c>
      <c r="BG264" s="527">
        <v>0</v>
      </c>
      <c r="BH264" s="527">
        <v>0</v>
      </c>
      <c r="BI264" s="527">
        <v>0</v>
      </c>
      <c r="BJ264" s="527">
        <v>0</v>
      </c>
      <c r="BK264" s="1154">
        <f t="shared" si="33"/>
        <v>0</v>
      </c>
      <c r="BL264" s="1154"/>
      <c r="BM264" s="1154">
        <f t="shared" si="34"/>
        <v>0</v>
      </c>
      <c r="BN264" s="1154">
        <f t="shared" si="35"/>
        <v>0</v>
      </c>
      <c r="BO264" s="527"/>
      <c r="BP264" s="527"/>
      <c r="BQ264" s="1157" t="s">
        <v>2557</v>
      </c>
      <c r="BR264" s="1157" t="s">
        <v>690</v>
      </c>
      <c r="BS264" s="1157" t="s">
        <v>527</v>
      </c>
      <c r="BT264" s="1376" t="s">
        <v>1568</v>
      </c>
    </row>
    <row r="265" spans="1:72" s="1371" customFormat="1" ht="13">
      <c r="A265" s="1204">
        <v>808</v>
      </c>
      <c r="B265" s="1205" t="s">
        <v>652</v>
      </c>
      <c r="C265" s="1205" t="s">
        <v>668</v>
      </c>
      <c r="D265" s="1206" t="s">
        <v>2524</v>
      </c>
      <c r="E265" s="1386" t="s">
        <v>540</v>
      </c>
      <c r="F265" s="521"/>
      <c r="G265" s="522"/>
      <c r="H265" s="522"/>
      <c r="I265" s="522"/>
      <c r="J265" s="523"/>
      <c r="K265" s="523"/>
      <c r="L265" s="523"/>
      <c r="M265" s="524"/>
      <c r="N265" s="525"/>
      <c r="O265" s="526" t="s">
        <v>1237</v>
      </c>
      <c r="P265" s="525">
        <f>'HIV-Key Info'!$E$65*('HPM costs'!F630+'HPM costs'!F633)</f>
        <v>0</v>
      </c>
      <c r="Q265" s="525" t="s">
        <v>1237</v>
      </c>
      <c r="R265" s="525">
        <f>'HIV-Key Info'!$E$65*('HPM costs'!G630+'HPM costs'!G633)</f>
        <v>0</v>
      </c>
      <c r="S265" s="525" t="s">
        <v>1237</v>
      </c>
      <c r="T265" s="525">
        <f>'HIV-Key Info'!$E$65*('HPM costs'!H630+'HPM costs'!H633)</f>
        <v>0</v>
      </c>
      <c r="U265" s="525" t="s">
        <v>1237</v>
      </c>
      <c r="V265" s="525">
        <f>'HIV-Key Info'!$E$65*('HPM costs'!I630+'HPM costs'!I633)</f>
        <v>0</v>
      </c>
      <c r="W265" s="525"/>
      <c r="X265" s="1154">
        <f t="shared" si="30"/>
        <v>0</v>
      </c>
      <c r="Y265" s="1155"/>
      <c r="Z265" s="1156"/>
      <c r="AA265" s="529"/>
      <c r="AB265" s="525"/>
      <c r="AC265" s="525">
        <f>'HIV-Key Info'!$E$65*('HPM costs'!K630+'HPM costs'!K633)</f>
        <v>0</v>
      </c>
      <c r="AD265" s="525"/>
      <c r="AE265" s="525">
        <f>'HIV-Key Info'!$E$65*('HPM costs'!L630+'HPM costs'!L633)</f>
        <v>0</v>
      </c>
      <c r="AF265" s="525"/>
      <c r="AG265" s="525">
        <f>'HIV-Key Info'!$E$65*('HPM costs'!M630+'HPM costs'!M633)</f>
        <v>0</v>
      </c>
      <c r="AH265" s="525"/>
      <c r="AI265" s="525">
        <f>'HIV-Key Info'!$E$65*('HPM costs'!N630+'HPM costs'!N633)</f>
        <v>0</v>
      </c>
      <c r="AJ265" s="525"/>
      <c r="AK265" s="1154">
        <f t="shared" si="31"/>
        <v>0</v>
      </c>
      <c r="AL265" s="1155"/>
      <c r="AM265" s="1156"/>
      <c r="AN265" s="529"/>
      <c r="AO265" s="525"/>
      <c r="AP265" s="525">
        <f>'HIV-Key Info'!$E$65*('HPM costs'!P630+'HPM costs'!P633)</f>
        <v>0</v>
      </c>
      <c r="AQ265" s="525"/>
      <c r="AR265" s="525">
        <f>'HIV-Key Info'!$E$65*('HPM costs'!Q630+'HPM costs'!Q633)</f>
        <v>0</v>
      </c>
      <c r="AS265" s="525"/>
      <c r="AT265" s="525">
        <f>'HIV-Key Info'!$E$65*('HPM costs'!R630+'HPM costs'!R633)</f>
        <v>0</v>
      </c>
      <c r="AU265" s="525"/>
      <c r="AV265" s="525">
        <f>'HIV-Key Info'!$E$65*('HPM costs'!S630+'HPM costs'!S633)</f>
        <v>0</v>
      </c>
      <c r="AW265" s="525"/>
      <c r="AX265" s="1154">
        <f t="shared" si="32"/>
        <v>0</v>
      </c>
      <c r="AY265" s="1154"/>
      <c r="AZ265" s="528"/>
      <c r="BA265" s="529"/>
      <c r="BB265" s="527"/>
      <c r="BC265" s="527">
        <v>0</v>
      </c>
      <c r="BD265" s="527">
        <v>0</v>
      </c>
      <c r="BE265" s="527">
        <v>0</v>
      </c>
      <c r="BF265" s="527">
        <v>0</v>
      </c>
      <c r="BG265" s="527">
        <v>0</v>
      </c>
      <c r="BH265" s="527">
        <v>0</v>
      </c>
      <c r="BI265" s="527">
        <v>0</v>
      </c>
      <c r="BJ265" s="527">
        <v>0</v>
      </c>
      <c r="BK265" s="1154">
        <f t="shared" si="33"/>
        <v>0</v>
      </c>
      <c r="BL265" s="1154"/>
      <c r="BM265" s="1154">
        <f t="shared" si="34"/>
        <v>0</v>
      </c>
      <c r="BN265" s="1154">
        <f t="shared" si="35"/>
        <v>0</v>
      </c>
      <c r="BO265" s="527"/>
      <c r="BP265" s="527"/>
      <c r="BQ265" s="1157" t="s">
        <v>2557</v>
      </c>
      <c r="BR265" s="1157" t="s">
        <v>690</v>
      </c>
      <c r="BS265" s="1157" t="s">
        <v>527</v>
      </c>
      <c r="BT265" s="1376" t="s">
        <v>1569</v>
      </c>
    </row>
    <row r="266" spans="1:72" s="1371" customFormat="1" ht="13">
      <c r="A266" s="1204">
        <v>810</v>
      </c>
      <c r="B266" s="1205" t="s">
        <v>223</v>
      </c>
      <c r="C266" s="1205" t="s">
        <v>669</v>
      </c>
      <c r="D266" s="1206" t="s">
        <v>662</v>
      </c>
      <c r="E266" s="1386" t="s">
        <v>663</v>
      </c>
      <c r="F266" s="521"/>
      <c r="G266" s="522"/>
      <c r="H266" s="522"/>
      <c r="I266" s="522"/>
      <c r="J266" s="523"/>
      <c r="K266" s="523"/>
      <c r="L266" s="523"/>
      <c r="M266" s="524"/>
      <c r="N266" s="525"/>
      <c r="O266" s="526" t="s">
        <v>1237</v>
      </c>
      <c r="P266" s="525">
        <f>'HIV-Key Info'!$E$74*IFERROR(INDEX('HIV-Other HPs'!$AX$41:$BI$48,MATCH(5.2,'HIV-Other HPs'!$AW$41:$AW$48,0),MID(LEFT(P$1,SEARCH(" ",P$1)-1),2,3)-INDEX('HIV-Other HPs'!$AV$41:$AV$48,MATCH(5.2,'HIV-Other HPs'!$AW$41:$AW$48,0))),0)</f>
        <v>0</v>
      </c>
      <c r="Q266" s="525" t="s">
        <v>1237</v>
      </c>
      <c r="R266" s="525">
        <f>'HIV-Key Info'!$E$74*IFERROR(INDEX('HIV-Other HPs'!$AX$41:$BI$48,MATCH(5.2,'HIV-Other HPs'!$AW$41:$AW$48,0),MID(LEFT(R$1,SEARCH(" ",R$1)-1),2,3)-INDEX('HIV-Other HPs'!$AV$41:$AV$48,MATCH(5.2,'HIV-Other HPs'!$AW$41:$AW$48,0))),0)</f>
        <v>0</v>
      </c>
      <c r="S266" s="525" t="s">
        <v>1237</v>
      </c>
      <c r="T266" s="525">
        <f>'HIV-Key Info'!$E$74*IFERROR(INDEX('HIV-Other HPs'!$AX$41:$BI$48,MATCH(5.2,'HIV-Other HPs'!$AW$41:$AW$48,0),MID(LEFT(T$1,SEARCH(" ",T$1)-1),2,3)-INDEX('HIV-Other HPs'!$AV$41:$AV$48,MATCH(5.2,'HIV-Other HPs'!$AW$41:$AW$48,0))),0)</f>
        <v>0</v>
      </c>
      <c r="U266" s="525" t="s">
        <v>1237</v>
      </c>
      <c r="V266" s="525">
        <f>'HIV-Key Info'!$E$74*IFERROR(INDEX('HIV-Other HPs'!$AX$41:$BI$48,MATCH(5.2,'HIV-Other HPs'!$AW$41:$AW$48,0),MID(LEFT(V$1,SEARCH(" ",V$1)-1),2,3)-INDEX('HIV-Other HPs'!$AV$41:$AV$48,MATCH(5.2,'HIV-Other HPs'!$AW$41:$AW$48,0))),0)</f>
        <v>0</v>
      </c>
      <c r="W266" s="525"/>
      <c r="X266" s="1154">
        <f t="shared" si="30"/>
        <v>0</v>
      </c>
      <c r="Y266" s="1155"/>
      <c r="Z266" s="1156"/>
      <c r="AA266" s="529"/>
      <c r="AB266" s="525"/>
      <c r="AC266" s="525">
        <f>'HIV-Key Info'!$E$74*IFERROR(INDEX('HIV-Other HPs'!$AX$41:$BI$48,MATCH(5.2,'HIV-Other HPs'!$AW$41:$AW$48,0),MID(LEFT(AC$1,SEARCH(" ",AC$1)-1),2,3)-INDEX('HIV-Other HPs'!$AV$41:$AV$48,MATCH(5.2,'HIV-Other HPs'!$AW$41:$AW$48,0))),0)</f>
        <v>0</v>
      </c>
      <c r="AD266" s="525"/>
      <c r="AE266" s="525">
        <f>'HIV-Key Info'!$E$74*IFERROR(INDEX('HIV-Other HPs'!$AX$41:$BI$48,MATCH(5.2,'HIV-Other HPs'!$AW$41:$AW$48,0),MID(LEFT(AE$1,SEARCH(" ",AE$1)-1),2,3)-INDEX('HIV-Other HPs'!$AV$41:$AV$48,MATCH(5.2,'HIV-Other HPs'!$AW$41:$AW$48,0))),0)</f>
        <v>0</v>
      </c>
      <c r="AF266" s="525"/>
      <c r="AG266" s="525">
        <f>'HIV-Key Info'!$E$74*IFERROR(INDEX('HIV-Other HPs'!$AX$41:$BI$48,MATCH(5.2,'HIV-Other HPs'!$AW$41:$AW$48,0),MID(LEFT(AG$1,SEARCH(" ",AG$1)-1),2,3)-INDEX('HIV-Other HPs'!$AV$41:$AV$48,MATCH(5.2,'HIV-Other HPs'!$AW$41:$AW$48,0))),0)</f>
        <v>0</v>
      </c>
      <c r="AH266" s="525"/>
      <c r="AI266" s="525">
        <f>'HIV-Key Info'!$E$74*IFERROR(INDEX('HIV-Other HPs'!$AX$41:$BI$48,MATCH(5.2,'HIV-Other HPs'!$AW$41:$AW$48,0),MID(LEFT(AI$1,SEARCH(" ",AI$1)-1),2,3)-INDEX('HIV-Other HPs'!$AV$41:$AV$48,MATCH(5.2,'HIV-Other HPs'!$AW$41:$AW$48,0))),0)</f>
        <v>0</v>
      </c>
      <c r="AJ266" s="525"/>
      <c r="AK266" s="1154">
        <f t="shared" si="31"/>
        <v>0</v>
      </c>
      <c r="AL266" s="1155"/>
      <c r="AM266" s="1156"/>
      <c r="AN266" s="529"/>
      <c r="AO266" s="525"/>
      <c r="AP266" s="525">
        <f>'HIV-Key Info'!$E$74*IFERROR(INDEX('HIV-Other HPs'!$AX$41:$BI$48,MATCH(5.2,'HIV-Other HPs'!$AW$41:$AW$48,0),MID(LEFT(AP$1,SEARCH(" ",AP$1)-1),2,3)-INDEX('HIV-Other HPs'!$AV$41:$AV$48,MATCH(5.2,'HIV-Other HPs'!$AW$41:$AW$48,0))),0)</f>
        <v>0</v>
      </c>
      <c r="AQ266" s="525"/>
      <c r="AR266" s="525">
        <f>'HIV-Key Info'!$E$74*IFERROR(INDEX('HIV-Other HPs'!$AX$41:$BI$48,MATCH(5.2,'HIV-Other HPs'!$AW$41:$AW$48,0),MID(LEFT(AR$1,SEARCH(" ",AR$1)-1),2,3)-INDEX('HIV-Other HPs'!$AV$41:$AV$48,MATCH(5.2,'HIV-Other HPs'!$AW$41:$AW$48,0))),0)</f>
        <v>0</v>
      </c>
      <c r="AS266" s="525"/>
      <c r="AT266" s="525">
        <f>'HIV-Key Info'!$E$74*IFERROR(INDEX('HIV-Other HPs'!$AX$41:$BI$48,MATCH(5.2,'HIV-Other HPs'!$AW$41:$AW$48,0),MID(LEFT(AT$1,SEARCH(" ",AT$1)-1),2,3)-INDEX('HIV-Other HPs'!$AV$41:$AV$48,MATCH(5.2,'HIV-Other HPs'!$AW$41:$AW$48,0))),0)</f>
        <v>0</v>
      </c>
      <c r="AU266" s="525"/>
      <c r="AV266" s="525">
        <f>IFERROR('HIV-Key Info'!$E$74*(INDEX('HIV-Other HPs'!$BJ$41:$BJ$48,MATCH(5.2,'HIV-Other HPs'!$AW$41:$AW$48,0))-(SUM(X266,AK266,AP266,AR266,AT266)/'HIV-Key Info'!$E$74)),)</f>
        <v>0</v>
      </c>
      <c r="AW266" s="525"/>
      <c r="AX266" s="1154">
        <f t="shared" si="32"/>
        <v>0</v>
      </c>
      <c r="AY266" s="1154"/>
      <c r="AZ266" s="528"/>
      <c r="BA266" s="529"/>
      <c r="BB266" s="527"/>
      <c r="BC266" s="527">
        <v>0</v>
      </c>
      <c r="BD266" s="527">
        <v>0</v>
      </c>
      <c r="BE266" s="527">
        <v>0</v>
      </c>
      <c r="BF266" s="527">
        <v>0</v>
      </c>
      <c r="BG266" s="527">
        <v>0</v>
      </c>
      <c r="BH266" s="527">
        <v>0</v>
      </c>
      <c r="BI266" s="527">
        <v>0</v>
      </c>
      <c r="BJ266" s="527">
        <v>0</v>
      </c>
      <c r="BK266" s="1154">
        <f t="shared" si="33"/>
        <v>0</v>
      </c>
      <c r="BL266" s="1154"/>
      <c r="BM266" s="1154">
        <f t="shared" si="34"/>
        <v>0</v>
      </c>
      <c r="BN266" s="1154">
        <f t="shared" si="35"/>
        <v>0</v>
      </c>
      <c r="BO266" s="527"/>
      <c r="BP266" s="527"/>
      <c r="BQ266" s="1157" t="s">
        <v>223</v>
      </c>
      <c r="BR266" s="1157" t="s">
        <v>690</v>
      </c>
      <c r="BS266" s="1157" t="s">
        <v>662</v>
      </c>
      <c r="BT266" s="1376" t="s">
        <v>1570</v>
      </c>
    </row>
    <row r="267" spans="1:72" s="1371" customFormat="1" ht="13">
      <c r="A267" s="1204">
        <v>811</v>
      </c>
      <c r="B267" s="1205" t="s">
        <v>223</v>
      </c>
      <c r="C267" s="1205" t="s">
        <v>669</v>
      </c>
      <c r="D267" s="1206" t="s">
        <v>662</v>
      </c>
      <c r="E267" s="1386" t="s">
        <v>665</v>
      </c>
      <c r="F267" s="521"/>
      <c r="G267" s="522"/>
      <c r="H267" s="522"/>
      <c r="I267" s="522"/>
      <c r="J267" s="523"/>
      <c r="K267" s="523"/>
      <c r="L267" s="523"/>
      <c r="M267" s="524"/>
      <c r="N267" s="525"/>
      <c r="O267" s="526" t="s">
        <v>1237</v>
      </c>
      <c r="P267" s="525">
        <f>'HIV-Key Info'!$F$74*IFERROR(INDEX('HIV-Other HPs'!$AX$41:$BI$48,MATCH(5.3,'HIV-Other HPs'!$AW$41:$AW$48,0),MID(LEFT(P$1,SEARCH(" ",P$1)-1),2,3)-INDEX('HIV-Other HPs'!$AV$41:$AV$48,MATCH(5.3,'HIV-Other HPs'!$AW$41:$AW$48,0))),0)</f>
        <v>0</v>
      </c>
      <c r="Q267" s="525" t="s">
        <v>1237</v>
      </c>
      <c r="R267" s="525">
        <f>'HIV-Key Info'!$F$74*IFERROR(INDEX('HIV-Other HPs'!$AX$41:$BI$48,MATCH(5.3,'HIV-Other HPs'!$AW$41:$AW$48,0),MID(LEFT(R$1,SEARCH(" ",R$1)-1),2,3)-INDEX('HIV-Other HPs'!$AV$41:$AV$48,MATCH(5.3,'HIV-Other HPs'!$AW$41:$AW$48,0))),0)</f>
        <v>0</v>
      </c>
      <c r="S267" s="525" t="s">
        <v>1237</v>
      </c>
      <c r="T267" s="525">
        <f>'HIV-Key Info'!$F$74*IFERROR(INDEX('HIV-Other HPs'!$AX$41:$BI$48,MATCH(5.3,'HIV-Other HPs'!$AW$41:$AW$48,0),MID(LEFT(T$1,SEARCH(" ",T$1)-1),2,3)-INDEX('HIV-Other HPs'!$AV$41:$AV$48,MATCH(5.3,'HIV-Other HPs'!$AW$41:$AW$48,0))),0)</f>
        <v>0</v>
      </c>
      <c r="U267" s="525" t="s">
        <v>1237</v>
      </c>
      <c r="V267" s="525">
        <f>'HIV-Key Info'!$F$74*IFERROR(INDEX('HIV-Other HPs'!$AX$41:$BI$48,MATCH(5.3,'HIV-Other HPs'!$AW$41:$AW$48,0),MID(LEFT(V$1,SEARCH(" ",V$1)-1),2,3)-INDEX('HIV-Other HPs'!$AV$41:$AV$48,MATCH(5.3,'HIV-Other HPs'!$AW$41:$AW$48,0))),0)</f>
        <v>0</v>
      </c>
      <c r="W267" s="525"/>
      <c r="X267" s="1154">
        <f t="shared" si="30"/>
        <v>0</v>
      </c>
      <c r="Y267" s="1155"/>
      <c r="Z267" s="1156"/>
      <c r="AA267" s="529"/>
      <c r="AB267" s="525"/>
      <c r="AC267" s="525">
        <f>'HIV-Key Info'!$F$74*IFERROR(INDEX('HIV-Other HPs'!$AX$41:$BI$48,MATCH(5.3,'HIV-Other HPs'!$AW$41:$AW$48,0),MID(LEFT(AC$1,SEARCH(" ",AC$1)-1),2,3)-INDEX('HIV-Other HPs'!$AV$41:$AV$48,MATCH(5.3,'HIV-Other HPs'!$AW$41:$AW$48,0))),0)</f>
        <v>0</v>
      </c>
      <c r="AD267" s="525"/>
      <c r="AE267" s="525">
        <f>'HIV-Key Info'!$F$74*IFERROR(INDEX('HIV-Other HPs'!$AX$41:$BI$48,MATCH(5.3,'HIV-Other HPs'!$AW$41:$AW$48,0),MID(LEFT(AE$1,SEARCH(" ",AE$1)-1),2,3)-INDEX('HIV-Other HPs'!$AV$41:$AV$48,MATCH(5.3,'HIV-Other HPs'!$AW$41:$AW$48,0))),0)</f>
        <v>0</v>
      </c>
      <c r="AF267" s="525"/>
      <c r="AG267" s="525">
        <f>'HIV-Key Info'!$F$74*IFERROR(INDEX('HIV-Other HPs'!$AX$41:$BI$48,MATCH(5.3,'HIV-Other HPs'!$AW$41:$AW$48,0),MID(LEFT(AG$1,SEARCH(" ",AG$1)-1),2,3)-INDEX('HIV-Other HPs'!$AV$41:$AV$48,MATCH(5.3,'HIV-Other HPs'!$AW$41:$AW$48,0))),0)</f>
        <v>0</v>
      </c>
      <c r="AH267" s="525"/>
      <c r="AI267" s="525">
        <f>'HIV-Key Info'!$F$74*IFERROR(INDEX('HIV-Other HPs'!$AX$41:$BI$48,MATCH(5.3,'HIV-Other HPs'!$AW$41:$AW$48,0),MID(LEFT(AI$1,SEARCH(" ",AI$1)-1),2,3)-INDEX('HIV-Other HPs'!$AV$41:$AV$48,MATCH(5.3,'HIV-Other HPs'!$AW$41:$AW$48,0))),0)</f>
        <v>0</v>
      </c>
      <c r="AJ267" s="525"/>
      <c r="AK267" s="1154">
        <f t="shared" si="31"/>
        <v>0</v>
      </c>
      <c r="AL267" s="1155"/>
      <c r="AM267" s="1156"/>
      <c r="AN267" s="529"/>
      <c r="AO267" s="525"/>
      <c r="AP267" s="525">
        <f>'HIV-Key Info'!$F$74*IFERROR(INDEX('HIV-Other HPs'!$AX$41:$BI$48,MATCH(5.3,'HIV-Other HPs'!$AW$41:$AW$48,0),MID(LEFT(AP$1,SEARCH(" ",AP$1)-1),2,3)-INDEX('HIV-Other HPs'!$AV$41:$AV$48,MATCH(5.3,'HIV-Other HPs'!$AW$41:$AW$48,0))),0)</f>
        <v>0</v>
      </c>
      <c r="AQ267" s="525"/>
      <c r="AR267" s="525">
        <f>'HIV-Key Info'!$F$74*IFERROR(INDEX('HIV-Other HPs'!$AX$41:$BI$48,MATCH(5.3,'HIV-Other HPs'!$AW$41:$AW$48,0),MID(LEFT(AR$1,SEARCH(" ",AR$1)-1),2,3)-INDEX('HIV-Other HPs'!$AV$41:$AV$48,MATCH(5.3,'HIV-Other HPs'!$AW$41:$AW$48,0))),0)</f>
        <v>0</v>
      </c>
      <c r="AS267" s="525"/>
      <c r="AT267" s="525">
        <f>'HIV-Key Info'!$F$74*IFERROR(INDEX('HIV-Other HPs'!$AX$41:$BI$48,MATCH(5.3,'HIV-Other HPs'!$AW$41:$AW$48,0),MID(LEFT(AT$1,SEARCH(" ",AT$1)-1),2,3)-INDEX('HIV-Other HPs'!$AV$41:$AV$48,MATCH(5.3,'HIV-Other HPs'!$AW$41:$AW$48,0))),0)</f>
        <v>0</v>
      </c>
      <c r="AU267" s="525"/>
      <c r="AV267" s="525">
        <f>IFERROR('HIV-Key Info'!$F$74*(INDEX('HIV-Other HPs'!$BJ$41:$BJ$48,MATCH(5.3,'HIV-Other HPs'!$AW$41:$AW$48,0))-(SUM(X267,AK267,AP267,AR267,AT267)/'HIV-Key Info'!$F$74)),)</f>
        <v>0</v>
      </c>
      <c r="AW267" s="525"/>
      <c r="AX267" s="1154">
        <f t="shared" si="32"/>
        <v>0</v>
      </c>
      <c r="AY267" s="1154"/>
      <c r="AZ267" s="528"/>
      <c r="BA267" s="529"/>
      <c r="BB267" s="527"/>
      <c r="BC267" s="527">
        <v>0</v>
      </c>
      <c r="BD267" s="527">
        <v>0</v>
      </c>
      <c r="BE267" s="527">
        <v>0</v>
      </c>
      <c r="BF267" s="527">
        <v>0</v>
      </c>
      <c r="BG267" s="527">
        <v>0</v>
      </c>
      <c r="BH267" s="527">
        <v>0</v>
      </c>
      <c r="BI267" s="527">
        <v>0</v>
      </c>
      <c r="BJ267" s="527">
        <v>0</v>
      </c>
      <c r="BK267" s="1154">
        <f t="shared" si="33"/>
        <v>0</v>
      </c>
      <c r="BL267" s="1154"/>
      <c r="BM267" s="1154">
        <f t="shared" si="34"/>
        <v>0</v>
      </c>
      <c r="BN267" s="1154">
        <f t="shared" si="35"/>
        <v>0</v>
      </c>
      <c r="BO267" s="527"/>
      <c r="BP267" s="527"/>
      <c r="BQ267" s="1157" t="s">
        <v>223</v>
      </c>
      <c r="BR267" s="1157" t="s">
        <v>690</v>
      </c>
      <c r="BS267" s="1157" t="s">
        <v>662</v>
      </c>
      <c r="BT267" s="1376" t="s">
        <v>1571</v>
      </c>
    </row>
    <row r="268" spans="1:72" s="1371" customFormat="1" ht="13">
      <c r="A268" s="1204">
        <v>812</v>
      </c>
      <c r="B268" s="1205" t="s">
        <v>223</v>
      </c>
      <c r="C268" s="1205" t="s">
        <v>669</v>
      </c>
      <c r="D268" s="1206" t="s">
        <v>662</v>
      </c>
      <c r="E268" s="1386" t="s">
        <v>597</v>
      </c>
      <c r="F268" s="521"/>
      <c r="G268" s="522"/>
      <c r="H268" s="522"/>
      <c r="I268" s="522"/>
      <c r="J268" s="523"/>
      <c r="K268" s="523"/>
      <c r="L268" s="523"/>
      <c r="M268" s="524"/>
      <c r="N268" s="525"/>
      <c r="O268" s="526" t="s">
        <v>1237</v>
      </c>
      <c r="P268" s="525">
        <f>'HIV-Key Info'!$G$74*IFERROR(INDEX('HIV-Other HPs'!$AX$41:$BI$48,MATCH(5.8,'HIV-Other HPs'!$AW$41:$AW$48,0),MID(LEFT(P$1,SEARCH(" ",P$1)-1),2,3)-INDEX('HIV-Other HPs'!$AV$41:$AV$48,MATCH(5.8,'HIV-Other HPs'!$AW$41:$AW$48,0))),0)</f>
        <v>0</v>
      </c>
      <c r="Q268" s="525" t="s">
        <v>1237</v>
      </c>
      <c r="R268" s="525">
        <f>'HIV-Key Info'!$G$74*IFERROR(INDEX('HIV-Other HPs'!$AX$41:$BI$48,MATCH(5.8,'HIV-Other HPs'!$AW$41:$AW$48,0),MID(LEFT(R$1,SEARCH(" ",R$1)-1),2,3)-INDEX('HIV-Other HPs'!$AV$41:$AV$48,MATCH(5.8,'HIV-Other HPs'!$AW$41:$AW$48,0))),0)</f>
        <v>0</v>
      </c>
      <c r="S268" s="525" t="s">
        <v>1237</v>
      </c>
      <c r="T268" s="525">
        <f>'HIV-Key Info'!$G$74*IFERROR(INDEX('HIV-Other HPs'!$AX$41:$BI$48,MATCH(5.8,'HIV-Other HPs'!$AW$41:$AW$48,0),MID(LEFT(T$1,SEARCH(" ",T$1)-1),2,3)-INDEX('HIV-Other HPs'!$AV$41:$AV$48,MATCH(5.8,'HIV-Other HPs'!$AW$41:$AW$48,0))),0)</f>
        <v>0</v>
      </c>
      <c r="U268" s="525" t="s">
        <v>1237</v>
      </c>
      <c r="V268" s="525">
        <f>'HIV-Key Info'!$G$74*IFERROR(INDEX('HIV-Other HPs'!$AX$41:$BI$48,MATCH(5.8,'HIV-Other HPs'!$AW$41:$AW$48,0),MID(LEFT(V$1,SEARCH(" ",V$1)-1),2,3)-INDEX('HIV-Other HPs'!$AV$41:$AV$48,MATCH(5.8,'HIV-Other HPs'!$AW$41:$AW$48,0))),0)</f>
        <v>0</v>
      </c>
      <c r="W268" s="525"/>
      <c r="X268" s="1154">
        <f t="shared" si="30"/>
        <v>0</v>
      </c>
      <c r="Y268" s="1155"/>
      <c r="Z268" s="1156"/>
      <c r="AA268" s="529"/>
      <c r="AB268" s="525"/>
      <c r="AC268" s="525">
        <f>'HIV-Key Info'!$G$74*IFERROR(INDEX('HIV-Other HPs'!$AX$41:$BI$48,MATCH(5.8,'HIV-Other HPs'!$AW$41:$AW$48,0),MID(LEFT(AC$1,SEARCH(" ",AC$1)-1),2,3)-INDEX('HIV-Other HPs'!$AV$41:$AV$48,MATCH(5.8,'HIV-Other HPs'!$AW$41:$AW$48,0))),0)</f>
        <v>0</v>
      </c>
      <c r="AD268" s="525"/>
      <c r="AE268" s="525">
        <f>'HIV-Key Info'!$G$74*IFERROR(INDEX('HIV-Other HPs'!$AX$41:$BI$48,MATCH(5.8,'HIV-Other HPs'!$AW$41:$AW$48,0),MID(LEFT(AE$1,SEARCH(" ",AE$1)-1),2,3)-INDEX('HIV-Other HPs'!$AV$41:$AV$48,MATCH(5.8,'HIV-Other HPs'!$AW$41:$AW$48,0))),0)</f>
        <v>0</v>
      </c>
      <c r="AF268" s="525"/>
      <c r="AG268" s="525">
        <f>'HIV-Key Info'!$G$74*IFERROR(INDEX('HIV-Other HPs'!$AX$41:$BI$48,MATCH(5.8,'HIV-Other HPs'!$AW$41:$AW$48,0),MID(LEFT(AG$1,SEARCH(" ",AG$1)-1),2,3)-INDEX('HIV-Other HPs'!$AV$41:$AV$48,MATCH(5.8,'HIV-Other HPs'!$AW$41:$AW$48,0))),0)</f>
        <v>0</v>
      </c>
      <c r="AH268" s="525"/>
      <c r="AI268" s="525">
        <f>'HIV-Key Info'!$G$74*IFERROR(INDEX('HIV-Other HPs'!$AX$41:$BI$48,MATCH(5.8,'HIV-Other HPs'!$AW$41:$AW$48,0),MID(LEFT(AI$1,SEARCH(" ",AI$1)-1),2,3)-INDEX('HIV-Other HPs'!$AV$41:$AV$48,MATCH(5.8,'HIV-Other HPs'!$AW$41:$AW$48,0))),0)</f>
        <v>0</v>
      </c>
      <c r="AJ268" s="525"/>
      <c r="AK268" s="1154">
        <f t="shared" si="31"/>
        <v>0</v>
      </c>
      <c r="AL268" s="1155"/>
      <c r="AM268" s="1156"/>
      <c r="AN268" s="529"/>
      <c r="AO268" s="525"/>
      <c r="AP268" s="525">
        <f>'HIV-Key Info'!$G$74*IFERROR(INDEX('HIV-Other HPs'!$AX$41:$BI$48,MATCH(5.8,'HIV-Other HPs'!$AW$41:$AW$48,0),MID(LEFT(AP$1,SEARCH(" ",AP$1)-1),2,3)-INDEX('HIV-Other HPs'!$AV$41:$AV$48,MATCH(5.8,'HIV-Other HPs'!$AW$41:$AW$48,0))),0)</f>
        <v>0</v>
      </c>
      <c r="AQ268" s="525"/>
      <c r="AR268" s="525">
        <f>'HIV-Key Info'!$G$74*IFERROR(INDEX('HIV-Other HPs'!$AX$41:$BI$48,MATCH(5.8,'HIV-Other HPs'!$AW$41:$AW$48,0),MID(LEFT(AR$1,SEARCH(" ",AR$1)-1),2,3)-INDEX('HIV-Other HPs'!$AV$41:$AV$48,MATCH(5.8,'HIV-Other HPs'!$AW$41:$AW$48,0))),0)</f>
        <v>0</v>
      </c>
      <c r="AS268" s="525"/>
      <c r="AT268" s="525">
        <f>'HIV-Key Info'!$G$74*IFERROR(INDEX('HIV-Other HPs'!$AX$41:$BI$48,MATCH(5.8,'HIV-Other HPs'!$AW$41:$AW$48,0),MID(LEFT(AT$1,SEARCH(" ",AT$1)-1),2,3)-INDEX('HIV-Other HPs'!$AV$41:$AV$48,MATCH(5.8,'HIV-Other HPs'!$AW$41:$AW$48,0))),0)</f>
        <v>0</v>
      </c>
      <c r="AU268" s="525"/>
      <c r="AV268" s="525">
        <f>IFERROR('HIV-Key Info'!$G$74*(INDEX('HIV-Other HPs'!$BJ$41:$BJ$48,MATCH(5.8,'HIV-Other HPs'!$AW$41:$AW$48,0))-(SUM(X268,AK268,AP268,AR268,AT268)/'HIV-Key Info'!$G$74)),)</f>
        <v>0</v>
      </c>
      <c r="AW268" s="525"/>
      <c r="AX268" s="1154">
        <f t="shared" si="32"/>
        <v>0</v>
      </c>
      <c r="AY268" s="1154"/>
      <c r="AZ268" s="528"/>
      <c r="BA268" s="529"/>
      <c r="BB268" s="527"/>
      <c r="BC268" s="527">
        <v>0</v>
      </c>
      <c r="BD268" s="527">
        <v>0</v>
      </c>
      <c r="BE268" s="527">
        <v>0</v>
      </c>
      <c r="BF268" s="527">
        <v>0</v>
      </c>
      <c r="BG268" s="527">
        <v>0</v>
      </c>
      <c r="BH268" s="527">
        <v>0</v>
      </c>
      <c r="BI268" s="527">
        <v>0</v>
      </c>
      <c r="BJ268" s="527">
        <v>0</v>
      </c>
      <c r="BK268" s="1154">
        <f t="shared" si="33"/>
        <v>0</v>
      </c>
      <c r="BL268" s="1154"/>
      <c r="BM268" s="1154">
        <f t="shared" si="34"/>
        <v>0</v>
      </c>
      <c r="BN268" s="1154">
        <f t="shared" si="35"/>
        <v>0</v>
      </c>
      <c r="BO268" s="527"/>
      <c r="BP268" s="527"/>
      <c r="BQ268" s="1157" t="s">
        <v>223</v>
      </c>
      <c r="BR268" s="1157" t="s">
        <v>690</v>
      </c>
      <c r="BS268" s="1157" t="s">
        <v>662</v>
      </c>
      <c r="BT268" s="1376" t="s">
        <v>1572</v>
      </c>
    </row>
    <row r="269" spans="1:72" s="1371" customFormat="1" ht="13">
      <c r="A269" s="1204">
        <v>813</v>
      </c>
      <c r="B269" s="1205" t="s">
        <v>223</v>
      </c>
      <c r="C269" s="1205" t="s">
        <v>669</v>
      </c>
      <c r="D269" s="1206" t="s">
        <v>527</v>
      </c>
      <c r="E269" s="1386" t="s">
        <v>528</v>
      </c>
      <c r="F269" s="521"/>
      <c r="G269" s="522"/>
      <c r="H269" s="522"/>
      <c r="I269" s="522"/>
      <c r="J269" s="523"/>
      <c r="K269" s="523"/>
      <c r="L269" s="523"/>
      <c r="M269" s="524"/>
      <c r="N269" s="525"/>
      <c r="O269" s="526" t="s">
        <v>1237</v>
      </c>
      <c r="P269" s="525">
        <f>'HIV-Key Info'!$E$74*('HPM costs'!F27+'HPM costs'!F30)</f>
        <v>0</v>
      </c>
      <c r="Q269" s="525" t="s">
        <v>1237</v>
      </c>
      <c r="R269" s="525">
        <f>'HIV-Key Info'!$E$74*('HPM costs'!G27+'HPM costs'!G30)</f>
        <v>0</v>
      </c>
      <c r="S269" s="525" t="s">
        <v>1237</v>
      </c>
      <c r="T269" s="525">
        <f>'HIV-Key Info'!$E$74*('HPM costs'!H27+'HPM costs'!H30)</f>
        <v>0</v>
      </c>
      <c r="U269" s="525" t="s">
        <v>1237</v>
      </c>
      <c r="V269" s="525">
        <f>'HIV-Key Info'!$E$74*('HPM costs'!I27+'HPM costs'!I30)</f>
        <v>0</v>
      </c>
      <c r="W269" s="525"/>
      <c r="X269" s="1154">
        <f t="shared" si="30"/>
        <v>0</v>
      </c>
      <c r="Y269" s="1155"/>
      <c r="Z269" s="1156"/>
      <c r="AA269" s="529"/>
      <c r="AB269" s="525"/>
      <c r="AC269" s="525">
        <f>'HIV-Key Info'!$E$74*('HPM costs'!K27+'HPM costs'!K30)</f>
        <v>0</v>
      </c>
      <c r="AD269" s="525"/>
      <c r="AE269" s="525">
        <f>'HIV-Key Info'!$E$74*('HPM costs'!L27+'HPM costs'!L30)</f>
        <v>0</v>
      </c>
      <c r="AF269" s="525"/>
      <c r="AG269" s="525">
        <f>'HIV-Key Info'!$E$74*('HPM costs'!M27+'HPM costs'!M30)</f>
        <v>0</v>
      </c>
      <c r="AH269" s="525"/>
      <c r="AI269" s="525">
        <f>'HIV-Key Info'!$E$74*('HPM costs'!N27+'HPM costs'!N30)</f>
        <v>0</v>
      </c>
      <c r="AJ269" s="525"/>
      <c r="AK269" s="1154">
        <f t="shared" si="31"/>
        <v>0</v>
      </c>
      <c r="AL269" s="1155"/>
      <c r="AM269" s="1156"/>
      <c r="AN269" s="529"/>
      <c r="AO269" s="525"/>
      <c r="AP269" s="525">
        <f>'HIV-Key Info'!$E$74*('HPM costs'!P27+'HPM costs'!P30)</f>
        <v>0</v>
      </c>
      <c r="AQ269" s="525"/>
      <c r="AR269" s="525">
        <f>'HIV-Key Info'!$E$74*('HPM costs'!Q27+'HPM costs'!Q30)</f>
        <v>0</v>
      </c>
      <c r="AS269" s="525"/>
      <c r="AT269" s="525">
        <f>'HIV-Key Info'!$E$74*('HPM costs'!R27+'HPM costs'!R30)</f>
        <v>0</v>
      </c>
      <c r="AU269" s="525"/>
      <c r="AV269" s="525">
        <f>'HIV-Key Info'!$E$74*('HPM costs'!S27+'HPM costs'!S30)</f>
        <v>0</v>
      </c>
      <c r="AW269" s="525"/>
      <c r="AX269" s="1154">
        <f t="shared" si="32"/>
        <v>0</v>
      </c>
      <c r="AY269" s="1154"/>
      <c r="AZ269" s="528"/>
      <c r="BA269" s="529"/>
      <c r="BB269" s="527"/>
      <c r="BC269" s="527">
        <v>0</v>
      </c>
      <c r="BD269" s="527">
        <v>0</v>
      </c>
      <c r="BE269" s="527">
        <v>0</v>
      </c>
      <c r="BF269" s="527">
        <v>0</v>
      </c>
      <c r="BG269" s="527">
        <v>0</v>
      </c>
      <c r="BH269" s="527">
        <v>0</v>
      </c>
      <c r="BI269" s="527">
        <v>0</v>
      </c>
      <c r="BJ269" s="527">
        <v>0</v>
      </c>
      <c r="BK269" s="1154">
        <f t="shared" si="33"/>
        <v>0</v>
      </c>
      <c r="BL269" s="1154"/>
      <c r="BM269" s="1154">
        <f t="shared" si="34"/>
        <v>0</v>
      </c>
      <c r="BN269" s="1154">
        <f t="shared" si="35"/>
        <v>0</v>
      </c>
      <c r="BO269" s="527"/>
      <c r="BP269" s="527"/>
      <c r="BQ269" s="1157" t="s">
        <v>223</v>
      </c>
      <c r="BR269" s="1157" t="s">
        <v>690</v>
      </c>
      <c r="BS269" s="1157" t="s">
        <v>527</v>
      </c>
      <c r="BT269" s="1376" t="s">
        <v>1573</v>
      </c>
    </row>
    <row r="270" spans="1:72" s="1371" customFormat="1" ht="13">
      <c r="A270" s="1204">
        <v>814</v>
      </c>
      <c r="B270" s="1205" t="s">
        <v>223</v>
      </c>
      <c r="C270" s="1205" t="s">
        <v>669</v>
      </c>
      <c r="D270" s="1206" t="s">
        <v>527</v>
      </c>
      <c r="E270" s="1386" t="s">
        <v>530</v>
      </c>
      <c r="F270" s="521"/>
      <c r="G270" s="522"/>
      <c r="H270" s="522"/>
      <c r="I270" s="522"/>
      <c r="J270" s="523"/>
      <c r="K270" s="523"/>
      <c r="L270" s="523"/>
      <c r="M270" s="524"/>
      <c r="N270" s="525"/>
      <c r="O270" s="526" t="s">
        <v>1237</v>
      </c>
      <c r="P270" s="525">
        <f>'HIV-Key Info'!$E$74*('HPM costs'!F113+'HPM costs'!F116)</f>
        <v>0</v>
      </c>
      <c r="Q270" s="525" t="s">
        <v>1237</v>
      </c>
      <c r="R270" s="525">
        <f>'HIV-Key Info'!$E$74*('HPM costs'!G113+'HPM costs'!G116)</f>
        <v>0</v>
      </c>
      <c r="S270" s="525" t="s">
        <v>1237</v>
      </c>
      <c r="T270" s="525">
        <f>'HIV-Key Info'!$E$74*('HPM costs'!H113+'HPM costs'!H116)</f>
        <v>0</v>
      </c>
      <c r="U270" s="525" t="s">
        <v>1237</v>
      </c>
      <c r="V270" s="525">
        <f>'HIV-Key Info'!$E$74*('HPM costs'!I113+'HPM costs'!I116)</f>
        <v>0</v>
      </c>
      <c r="W270" s="525"/>
      <c r="X270" s="1154">
        <f t="shared" si="30"/>
        <v>0</v>
      </c>
      <c r="Y270" s="1155"/>
      <c r="Z270" s="1156"/>
      <c r="AA270" s="529"/>
      <c r="AB270" s="525"/>
      <c r="AC270" s="525">
        <f>'HIV-Key Info'!$E$74*('HPM costs'!K113+'HPM costs'!K116)</f>
        <v>0</v>
      </c>
      <c r="AD270" s="525"/>
      <c r="AE270" s="525">
        <f>'HIV-Key Info'!$E$74*('HPM costs'!L113+'HPM costs'!L116)</f>
        <v>0</v>
      </c>
      <c r="AF270" s="525"/>
      <c r="AG270" s="525">
        <f>'HIV-Key Info'!$E$74*('HPM costs'!M113+'HPM costs'!M116)</f>
        <v>0</v>
      </c>
      <c r="AH270" s="525"/>
      <c r="AI270" s="525">
        <f>'HIV-Key Info'!$E$74*('HPM costs'!N113+'HPM costs'!N116)</f>
        <v>0</v>
      </c>
      <c r="AJ270" s="525"/>
      <c r="AK270" s="1154">
        <f t="shared" si="31"/>
        <v>0</v>
      </c>
      <c r="AL270" s="1155"/>
      <c r="AM270" s="1156"/>
      <c r="AN270" s="529"/>
      <c r="AO270" s="525"/>
      <c r="AP270" s="525">
        <f>'HIV-Key Info'!$E$74*('HPM costs'!P113+'HPM costs'!P116)</f>
        <v>0</v>
      </c>
      <c r="AQ270" s="525"/>
      <c r="AR270" s="525">
        <f>'HIV-Key Info'!$E$74*('HPM costs'!Q113+'HPM costs'!Q116)</f>
        <v>0</v>
      </c>
      <c r="AS270" s="525"/>
      <c r="AT270" s="525">
        <f>'HIV-Key Info'!$E$74*('HPM costs'!R113+'HPM costs'!R116)</f>
        <v>0</v>
      </c>
      <c r="AU270" s="525"/>
      <c r="AV270" s="525">
        <f>'HIV-Key Info'!$E$74*('HPM costs'!S113+'HPM costs'!S116)</f>
        <v>0</v>
      </c>
      <c r="AW270" s="525"/>
      <c r="AX270" s="1154">
        <f t="shared" si="32"/>
        <v>0</v>
      </c>
      <c r="AY270" s="1154"/>
      <c r="AZ270" s="528"/>
      <c r="BA270" s="529"/>
      <c r="BB270" s="527"/>
      <c r="BC270" s="527">
        <v>0</v>
      </c>
      <c r="BD270" s="527">
        <v>0</v>
      </c>
      <c r="BE270" s="527">
        <v>0</v>
      </c>
      <c r="BF270" s="527">
        <v>0</v>
      </c>
      <c r="BG270" s="527">
        <v>0</v>
      </c>
      <c r="BH270" s="527">
        <v>0</v>
      </c>
      <c r="BI270" s="527">
        <v>0</v>
      </c>
      <c r="BJ270" s="527">
        <v>0</v>
      </c>
      <c r="BK270" s="1154">
        <f t="shared" si="33"/>
        <v>0</v>
      </c>
      <c r="BL270" s="1154"/>
      <c r="BM270" s="1154">
        <f t="shared" si="34"/>
        <v>0</v>
      </c>
      <c r="BN270" s="1154">
        <f t="shared" si="35"/>
        <v>0</v>
      </c>
      <c r="BO270" s="527"/>
      <c r="BP270" s="527"/>
      <c r="BQ270" s="1157" t="s">
        <v>223</v>
      </c>
      <c r="BR270" s="1157" t="s">
        <v>690</v>
      </c>
      <c r="BS270" s="1157" t="s">
        <v>527</v>
      </c>
      <c r="BT270" s="1376" t="s">
        <v>1574</v>
      </c>
    </row>
    <row r="271" spans="1:72" s="1371" customFormat="1" ht="13">
      <c r="A271" s="1204">
        <v>815</v>
      </c>
      <c r="B271" s="1205" t="s">
        <v>223</v>
      </c>
      <c r="C271" s="1205" t="s">
        <v>669</v>
      </c>
      <c r="D271" s="1206" t="s">
        <v>527</v>
      </c>
      <c r="E271" s="1386" t="s">
        <v>532</v>
      </c>
      <c r="F271" s="521"/>
      <c r="G271" s="522"/>
      <c r="H271" s="522"/>
      <c r="I271" s="522"/>
      <c r="J271" s="523"/>
      <c r="K271" s="523"/>
      <c r="L271" s="523"/>
      <c r="M271" s="524"/>
      <c r="N271" s="525"/>
      <c r="O271" s="526" t="s">
        <v>1237</v>
      </c>
      <c r="P271" s="525">
        <f>'HIV-Key Info'!$E$74*('HPM costs'!F373+'HPM costs'!F376)</f>
        <v>0</v>
      </c>
      <c r="Q271" s="525" t="s">
        <v>1237</v>
      </c>
      <c r="R271" s="525">
        <f>'HIV-Key Info'!$E$74*('HPM costs'!G373+'HPM costs'!G376)</f>
        <v>0</v>
      </c>
      <c r="S271" s="525" t="s">
        <v>1237</v>
      </c>
      <c r="T271" s="525">
        <f>'HIV-Key Info'!$E$74*('HPM costs'!H373+'HPM costs'!H376)</f>
        <v>0</v>
      </c>
      <c r="U271" s="525" t="s">
        <v>1237</v>
      </c>
      <c r="V271" s="525">
        <f>'HIV-Key Info'!$E$74*('HPM costs'!I373+'HPM costs'!I376)</f>
        <v>0</v>
      </c>
      <c r="W271" s="525"/>
      <c r="X271" s="1154">
        <f t="shared" si="30"/>
        <v>0</v>
      </c>
      <c r="Y271" s="1155"/>
      <c r="Z271" s="1156"/>
      <c r="AA271" s="529"/>
      <c r="AB271" s="525"/>
      <c r="AC271" s="525">
        <f>'HIV-Key Info'!$E$74*('HPM costs'!K373+'HPM costs'!K376)</f>
        <v>0</v>
      </c>
      <c r="AD271" s="525"/>
      <c r="AE271" s="525">
        <f>'HIV-Key Info'!$E$74*('HPM costs'!L373+'HPM costs'!L376)</f>
        <v>0</v>
      </c>
      <c r="AF271" s="525"/>
      <c r="AG271" s="525">
        <f>'HIV-Key Info'!$E$74*('HPM costs'!M373+'HPM costs'!M376)</f>
        <v>0</v>
      </c>
      <c r="AH271" s="525"/>
      <c r="AI271" s="525">
        <f>'HIV-Key Info'!$E$74*('HPM costs'!N373+'HPM costs'!N376)</f>
        <v>0</v>
      </c>
      <c r="AJ271" s="525"/>
      <c r="AK271" s="1154">
        <f t="shared" si="31"/>
        <v>0</v>
      </c>
      <c r="AL271" s="1155"/>
      <c r="AM271" s="1156"/>
      <c r="AN271" s="529"/>
      <c r="AO271" s="525"/>
      <c r="AP271" s="525">
        <f>'HIV-Key Info'!$E$74*('HPM costs'!P373+'HPM costs'!P376)</f>
        <v>0</v>
      </c>
      <c r="AQ271" s="525"/>
      <c r="AR271" s="525">
        <f>'HIV-Key Info'!$E$74*('HPM costs'!Q373+'HPM costs'!Q376)</f>
        <v>0</v>
      </c>
      <c r="AS271" s="525"/>
      <c r="AT271" s="525">
        <f>'HIV-Key Info'!$E$74*('HPM costs'!R373+'HPM costs'!R376)</f>
        <v>0</v>
      </c>
      <c r="AU271" s="525"/>
      <c r="AV271" s="525">
        <f>'HIV-Key Info'!$E$74*('HPM costs'!S373+'HPM costs'!S376)</f>
        <v>0</v>
      </c>
      <c r="AW271" s="525"/>
      <c r="AX271" s="1154">
        <f t="shared" si="32"/>
        <v>0</v>
      </c>
      <c r="AY271" s="1154"/>
      <c r="AZ271" s="528"/>
      <c r="BA271" s="529"/>
      <c r="BB271" s="527"/>
      <c r="BC271" s="527">
        <v>0</v>
      </c>
      <c r="BD271" s="527">
        <v>0</v>
      </c>
      <c r="BE271" s="527">
        <v>0</v>
      </c>
      <c r="BF271" s="527">
        <v>0</v>
      </c>
      <c r="BG271" s="527">
        <v>0</v>
      </c>
      <c r="BH271" s="527">
        <v>0</v>
      </c>
      <c r="BI271" s="527">
        <v>0</v>
      </c>
      <c r="BJ271" s="527">
        <v>0</v>
      </c>
      <c r="BK271" s="1154">
        <f t="shared" si="33"/>
        <v>0</v>
      </c>
      <c r="BL271" s="1154"/>
      <c r="BM271" s="1154">
        <f t="shared" si="34"/>
        <v>0</v>
      </c>
      <c r="BN271" s="1154">
        <f t="shared" si="35"/>
        <v>0</v>
      </c>
      <c r="BO271" s="527"/>
      <c r="BP271" s="527"/>
      <c r="BQ271" s="1157" t="s">
        <v>223</v>
      </c>
      <c r="BR271" s="1157" t="s">
        <v>690</v>
      </c>
      <c r="BS271" s="1157" t="s">
        <v>527</v>
      </c>
      <c r="BT271" s="1376" t="s">
        <v>1575</v>
      </c>
    </row>
    <row r="272" spans="1:72" s="1371" customFormat="1" ht="13">
      <c r="A272" s="1204">
        <v>816</v>
      </c>
      <c r="B272" s="1205" t="s">
        <v>223</v>
      </c>
      <c r="C272" s="1205" t="s">
        <v>669</v>
      </c>
      <c r="D272" s="1206" t="s">
        <v>527</v>
      </c>
      <c r="E272" s="1386" t="s">
        <v>534</v>
      </c>
      <c r="F272" s="521"/>
      <c r="G272" s="522"/>
      <c r="H272" s="522"/>
      <c r="I272" s="522"/>
      <c r="J272" s="523"/>
      <c r="K272" s="523"/>
      <c r="L272" s="523"/>
      <c r="M272" s="524"/>
      <c r="N272" s="525"/>
      <c r="O272" s="526" t="s">
        <v>1237</v>
      </c>
      <c r="P272" s="525">
        <f>'HIV-Key Info'!$E$74*('HPM costs'!F459+'HPM costs'!F462)</f>
        <v>0</v>
      </c>
      <c r="Q272" s="525" t="s">
        <v>1237</v>
      </c>
      <c r="R272" s="525">
        <f>'HIV-Key Info'!$E$74*('HPM costs'!G459+'HPM costs'!G462)</f>
        <v>0</v>
      </c>
      <c r="S272" s="525" t="s">
        <v>1237</v>
      </c>
      <c r="T272" s="525">
        <f>'HIV-Key Info'!$E$74*('HPM costs'!H459+'HPM costs'!H462)</f>
        <v>0</v>
      </c>
      <c r="U272" s="525" t="s">
        <v>1237</v>
      </c>
      <c r="V272" s="525">
        <f>'HIV-Key Info'!$E$74*('HPM costs'!I459+'HPM costs'!I462)</f>
        <v>0</v>
      </c>
      <c r="W272" s="525"/>
      <c r="X272" s="1154">
        <f t="shared" si="30"/>
        <v>0</v>
      </c>
      <c r="Y272" s="1155"/>
      <c r="Z272" s="1156"/>
      <c r="AA272" s="529"/>
      <c r="AB272" s="525"/>
      <c r="AC272" s="525">
        <f>'HIV-Key Info'!$E$74*('HPM costs'!K459+'HPM costs'!K462)</f>
        <v>0</v>
      </c>
      <c r="AD272" s="525"/>
      <c r="AE272" s="525">
        <f>'HIV-Key Info'!$E$74*('HPM costs'!L459+'HPM costs'!L462)</f>
        <v>0</v>
      </c>
      <c r="AF272" s="525"/>
      <c r="AG272" s="525">
        <f>'HIV-Key Info'!$E$74*('HPM costs'!M459+'HPM costs'!M462)</f>
        <v>0</v>
      </c>
      <c r="AH272" s="525"/>
      <c r="AI272" s="525">
        <f>'HIV-Key Info'!$E$74*('HPM costs'!N459+'HPM costs'!N462)</f>
        <v>0</v>
      </c>
      <c r="AJ272" s="525"/>
      <c r="AK272" s="1154">
        <f t="shared" si="31"/>
        <v>0</v>
      </c>
      <c r="AL272" s="1155"/>
      <c r="AM272" s="1156"/>
      <c r="AN272" s="529"/>
      <c r="AO272" s="525"/>
      <c r="AP272" s="525">
        <f>'HIV-Key Info'!$E$74*('HPM costs'!P459+'HPM costs'!P462)</f>
        <v>0</v>
      </c>
      <c r="AQ272" s="525"/>
      <c r="AR272" s="525">
        <f>'HIV-Key Info'!$E$74*('HPM costs'!Q459+'HPM costs'!Q462)</f>
        <v>0</v>
      </c>
      <c r="AS272" s="525"/>
      <c r="AT272" s="525">
        <f>'HIV-Key Info'!$E$74*('HPM costs'!R459+'HPM costs'!R462)</f>
        <v>0</v>
      </c>
      <c r="AU272" s="525"/>
      <c r="AV272" s="525">
        <f>'HIV-Key Info'!$E$74*('HPM costs'!S459+'HPM costs'!S462)</f>
        <v>0</v>
      </c>
      <c r="AW272" s="525"/>
      <c r="AX272" s="1154">
        <f t="shared" si="32"/>
        <v>0</v>
      </c>
      <c r="AY272" s="1154"/>
      <c r="AZ272" s="528"/>
      <c r="BA272" s="529"/>
      <c r="BB272" s="527"/>
      <c r="BC272" s="527">
        <v>0</v>
      </c>
      <c r="BD272" s="527">
        <v>0</v>
      </c>
      <c r="BE272" s="527">
        <v>0</v>
      </c>
      <c r="BF272" s="527">
        <v>0</v>
      </c>
      <c r="BG272" s="527">
        <v>0</v>
      </c>
      <c r="BH272" s="527">
        <v>0</v>
      </c>
      <c r="BI272" s="527">
        <v>0</v>
      </c>
      <c r="BJ272" s="527">
        <v>0</v>
      </c>
      <c r="BK272" s="1154">
        <f t="shared" si="33"/>
        <v>0</v>
      </c>
      <c r="BL272" s="1154"/>
      <c r="BM272" s="1154">
        <f t="shared" si="34"/>
        <v>0</v>
      </c>
      <c r="BN272" s="1154">
        <f t="shared" si="35"/>
        <v>0</v>
      </c>
      <c r="BO272" s="527"/>
      <c r="BP272" s="527"/>
      <c r="BQ272" s="1157" t="s">
        <v>223</v>
      </c>
      <c r="BR272" s="1157" t="s">
        <v>690</v>
      </c>
      <c r="BS272" s="1157" t="s">
        <v>527</v>
      </c>
      <c r="BT272" s="1376" t="s">
        <v>1576</v>
      </c>
    </row>
    <row r="273" spans="1:72" s="1371" customFormat="1" ht="13">
      <c r="A273" s="1204">
        <v>817</v>
      </c>
      <c r="B273" s="1205" t="s">
        <v>223</v>
      </c>
      <c r="C273" s="1205" t="s">
        <v>669</v>
      </c>
      <c r="D273" s="1206" t="s">
        <v>527</v>
      </c>
      <c r="E273" s="1386" t="s">
        <v>536</v>
      </c>
      <c r="F273" s="521"/>
      <c r="G273" s="522"/>
      <c r="H273" s="522"/>
      <c r="I273" s="522"/>
      <c r="J273" s="523"/>
      <c r="K273" s="523"/>
      <c r="L273" s="523"/>
      <c r="M273" s="524"/>
      <c r="N273" s="525"/>
      <c r="O273" s="526" t="s">
        <v>1237</v>
      </c>
      <c r="P273" s="525">
        <f>'HIV-Key Info'!$E$74*('HPM costs'!F199+'HPM costs'!F202+'HPM costs'!F545+'HPM costs'!F548)</f>
        <v>0</v>
      </c>
      <c r="Q273" s="525" t="s">
        <v>1237</v>
      </c>
      <c r="R273" s="525">
        <f>'HIV-Key Info'!$E$74*('HPM costs'!G199+'HPM costs'!G202+'HPM costs'!G545+'HPM costs'!G548)</f>
        <v>0</v>
      </c>
      <c r="S273" s="525" t="s">
        <v>1237</v>
      </c>
      <c r="T273" s="525">
        <f>'HIV-Key Info'!$E$74*('HPM costs'!H199+'HPM costs'!H202+'HPM costs'!H545+'HPM costs'!H548)</f>
        <v>0</v>
      </c>
      <c r="U273" s="525" t="s">
        <v>1237</v>
      </c>
      <c r="V273" s="525">
        <f>'HIV-Key Info'!$E$74*('HPM costs'!I199+'HPM costs'!I202+'HPM costs'!I545+'HPM costs'!I548)</f>
        <v>0</v>
      </c>
      <c r="W273" s="525"/>
      <c r="X273" s="1154">
        <f t="shared" si="30"/>
        <v>0</v>
      </c>
      <c r="Y273" s="1155"/>
      <c r="Z273" s="1156"/>
      <c r="AA273" s="529"/>
      <c r="AB273" s="525"/>
      <c r="AC273" s="525">
        <f>'HIV-Key Info'!$E$74*('HPM costs'!K199+'HPM costs'!K202+'HPM costs'!K545+'HPM costs'!K548)</f>
        <v>0</v>
      </c>
      <c r="AD273" s="525"/>
      <c r="AE273" s="525">
        <f>'HIV-Key Info'!$E$74*('HPM costs'!L199+'HPM costs'!L202+'HPM costs'!L545+'HPM costs'!L548)</f>
        <v>0</v>
      </c>
      <c r="AF273" s="525"/>
      <c r="AG273" s="525">
        <f>'HIV-Key Info'!$E$74*('HPM costs'!M199+'HPM costs'!M202+'HPM costs'!M545+'HPM costs'!M548)</f>
        <v>0</v>
      </c>
      <c r="AH273" s="525"/>
      <c r="AI273" s="525">
        <f>'HIV-Key Info'!$E$74*('HPM costs'!N199+'HPM costs'!N202+'HPM costs'!N545+'HPM costs'!N548)</f>
        <v>0</v>
      </c>
      <c r="AJ273" s="525"/>
      <c r="AK273" s="1154">
        <f t="shared" si="31"/>
        <v>0</v>
      </c>
      <c r="AL273" s="1155"/>
      <c r="AM273" s="1156"/>
      <c r="AN273" s="529"/>
      <c r="AO273" s="525"/>
      <c r="AP273" s="525">
        <f>'HIV-Key Info'!$E$74*('HPM costs'!P199+'HPM costs'!P202+'HPM costs'!P545+'HPM costs'!P548)</f>
        <v>0</v>
      </c>
      <c r="AQ273" s="525"/>
      <c r="AR273" s="525">
        <f>'HIV-Key Info'!$E$74*('HPM costs'!Q199+'HPM costs'!Q202+'HPM costs'!Q545+'HPM costs'!Q548)</f>
        <v>0</v>
      </c>
      <c r="AS273" s="525"/>
      <c r="AT273" s="525">
        <f>'HIV-Key Info'!$E$74*('HPM costs'!R199+'HPM costs'!R202+'HPM costs'!R545+'HPM costs'!R548)</f>
        <v>0</v>
      </c>
      <c r="AU273" s="525"/>
      <c r="AV273" s="525">
        <f>'HIV-Key Info'!$E$74*('HPM costs'!S199+'HPM costs'!S202+'HPM costs'!S545+'HPM costs'!S548)</f>
        <v>0</v>
      </c>
      <c r="AW273" s="525"/>
      <c r="AX273" s="1154">
        <f t="shared" si="32"/>
        <v>0</v>
      </c>
      <c r="AY273" s="1154"/>
      <c r="AZ273" s="528"/>
      <c r="BA273" s="529"/>
      <c r="BB273" s="527"/>
      <c r="BC273" s="527">
        <v>0</v>
      </c>
      <c r="BD273" s="527">
        <v>0</v>
      </c>
      <c r="BE273" s="527">
        <v>0</v>
      </c>
      <c r="BF273" s="527">
        <v>0</v>
      </c>
      <c r="BG273" s="527">
        <v>0</v>
      </c>
      <c r="BH273" s="527">
        <v>0</v>
      </c>
      <c r="BI273" s="527">
        <v>0</v>
      </c>
      <c r="BJ273" s="527">
        <v>0</v>
      </c>
      <c r="BK273" s="1154">
        <f t="shared" si="33"/>
        <v>0</v>
      </c>
      <c r="BL273" s="1154"/>
      <c r="BM273" s="1154">
        <f t="shared" si="34"/>
        <v>0</v>
      </c>
      <c r="BN273" s="1154">
        <f t="shared" si="35"/>
        <v>0</v>
      </c>
      <c r="BO273" s="527"/>
      <c r="BP273" s="527"/>
      <c r="BQ273" s="1157" t="s">
        <v>223</v>
      </c>
      <c r="BR273" s="1157" t="s">
        <v>690</v>
      </c>
      <c r="BS273" s="1157" t="s">
        <v>527</v>
      </c>
      <c r="BT273" s="1376" t="s">
        <v>1577</v>
      </c>
    </row>
    <row r="274" spans="1:72" s="1371" customFormat="1" ht="13">
      <c r="A274" s="1204">
        <v>818</v>
      </c>
      <c r="B274" s="1205" t="s">
        <v>223</v>
      </c>
      <c r="C274" s="1205" t="s">
        <v>669</v>
      </c>
      <c r="D274" s="1206" t="s">
        <v>527</v>
      </c>
      <c r="E274" s="1386" t="s">
        <v>538</v>
      </c>
      <c r="F274" s="521"/>
      <c r="G274" s="522"/>
      <c r="H274" s="522"/>
      <c r="I274" s="522"/>
      <c r="J274" s="523"/>
      <c r="K274" s="523"/>
      <c r="L274" s="523"/>
      <c r="M274" s="524"/>
      <c r="N274" s="525"/>
      <c r="O274" s="526" t="s">
        <v>1237</v>
      </c>
      <c r="P274" s="525">
        <f>'HIV-Key Info'!$E$74*('HPM costs'!F285+'HPM costs'!F288)</f>
        <v>0</v>
      </c>
      <c r="Q274" s="525" t="s">
        <v>1237</v>
      </c>
      <c r="R274" s="525">
        <f>'HIV-Key Info'!$E$74*('HPM costs'!G285+'HPM costs'!G288)</f>
        <v>0</v>
      </c>
      <c r="S274" s="525" t="s">
        <v>1237</v>
      </c>
      <c r="T274" s="525">
        <f>'HIV-Key Info'!$E$74*('HPM costs'!H285+'HPM costs'!H288)</f>
        <v>0</v>
      </c>
      <c r="U274" s="525" t="s">
        <v>1237</v>
      </c>
      <c r="V274" s="525">
        <f>'HIV-Key Info'!$E$74*('HPM costs'!I285+'HPM costs'!I288)</f>
        <v>0</v>
      </c>
      <c r="W274" s="525"/>
      <c r="X274" s="1154">
        <f t="shared" si="30"/>
        <v>0</v>
      </c>
      <c r="Y274" s="1155"/>
      <c r="Z274" s="1156"/>
      <c r="AA274" s="529"/>
      <c r="AB274" s="525"/>
      <c r="AC274" s="525">
        <f>'HIV-Key Info'!$E$74*('HPM costs'!K285+'HPM costs'!K288)</f>
        <v>0</v>
      </c>
      <c r="AD274" s="525"/>
      <c r="AE274" s="525">
        <f>'HIV-Key Info'!$E$74*('HPM costs'!L285+'HPM costs'!L288)</f>
        <v>0</v>
      </c>
      <c r="AF274" s="525"/>
      <c r="AG274" s="525">
        <f>'HIV-Key Info'!$E$74*('HPM costs'!M285+'HPM costs'!M288)</f>
        <v>0</v>
      </c>
      <c r="AH274" s="525"/>
      <c r="AI274" s="525">
        <f>'HIV-Key Info'!$E$74*('HPM costs'!N285+'HPM costs'!N288)</f>
        <v>0</v>
      </c>
      <c r="AJ274" s="525"/>
      <c r="AK274" s="1154">
        <f t="shared" si="31"/>
        <v>0</v>
      </c>
      <c r="AL274" s="1155"/>
      <c r="AM274" s="1156"/>
      <c r="AN274" s="529"/>
      <c r="AO274" s="525"/>
      <c r="AP274" s="525">
        <f>'HIV-Key Info'!$E$74*('HPM costs'!P285+'HPM costs'!P288)</f>
        <v>0</v>
      </c>
      <c r="AQ274" s="525"/>
      <c r="AR274" s="525">
        <f>'HIV-Key Info'!$E$74*('HPM costs'!Q285+'HPM costs'!Q288)</f>
        <v>0</v>
      </c>
      <c r="AS274" s="525"/>
      <c r="AT274" s="525">
        <f>'HIV-Key Info'!$E$74*('HPM costs'!R285+'HPM costs'!R288)</f>
        <v>0</v>
      </c>
      <c r="AU274" s="525"/>
      <c r="AV274" s="525">
        <f>'HIV-Key Info'!$E$74*('HPM costs'!S285+'HPM costs'!S288)</f>
        <v>0</v>
      </c>
      <c r="AW274" s="525"/>
      <c r="AX274" s="1154">
        <f t="shared" si="32"/>
        <v>0</v>
      </c>
      <c r="AY274" s="1154"/>
      <c r="AZ274" s="528"/>
      <c r="BA274" s="529"/>
      <c r="BB274" s="527"/>
      <c r="BC274" s="527">
        <v>0</v>
      </c>
      <c r="BD274" s="527">
        <v>0</v>
      </c>
      <c r="BE274" s="527">
        <v>0</v>
      </c>
      <c r="BF274" s="527">
        <v>0</v>
      </c>
      <c r="BG274" s="527">
        <v>0</v>
      </c>
      <c r="BH274" s="527">
        <v>0</v>
      </c>
      <c r="BI274" s="527">
        <v>0</v>
      </c>
      <c r="BJ274" s="527">
        <v>0</v>
      </c>
      <c r="BK274" s="1154">
        <f t="shared" si="33"/>
        <v>0</v>
      </c>
      <c r="BL274" s="1154"/>
      <c r="BM274" s="1154">
        <f t="shared" si="34"/>
        <v>0</v>
      </c>
      <c r="BN274" s="1154">
        <f t="shared" si="35"/>
        <v>0</v>
      </c>
      <c r="BO274" s="527"/>
      <c r="BP274" s="527"/>
      <c r="BQ274" s="1157" t="s">
        <v>223</v>
      </c>
      <c r="BR274" s="1157" t="s">
        <v>690</v>
      </c>
      <c r="BS274" s="1157" t="s">
        <v>527</v>
      </c>
      <c r="BT274" s="1376" t="s">
        <v>1578</v>
      </c>
    </row>
    <row r="275" spans="1:72" s="1371" customFormat="1" ht="13">
      <c r="A275" s="1204">
        <v>819</v>
      </c>
      <c r="B275" s="1205" t="s">
        <v>223</v>
      </c>
      <c r="C275" s="1205" t="s">
        <v>669</v>
      </c>
      <c r="D275" s="1206" t="s">
        <v>527</v>
      </c>
      <c r="E275" s="1386" t="s">
        <v>540</v>
      </c>
      <c r="F275" s="521"/>
      <c r="G275" s="522"/>
      <c r="H275" s="522"/>
      <c r="I275" s="522"/>
      <c r="J275" s="523"/>
      <c r="K275" s="523"/>
      <c r="L275" s="523"/>
      <c r="M275" s="524"/>
      <c r="N275" s="525"/>
      <c r="O275" s="526" t="s">
        <v>1237</v>
      </c>
      <c r="P275" s="525">
        <f>'HIV-Key Info'!$E$74*('HPM costs'!F630+'HPM costs'!F633)</f>
        <v>0</v>
      </c>
      <c r="Q275" s="525" t="s">
        <v>1237</v>
      </c>
      <c r="R275" s="525">
        <f>'HIV-Key Info'!$E$74*('HPM costs'!G630+'HPM costs'!G633)</f>
        <v>0</v>
      </c>
      <c r="S275" s="525" t="s">
        <v>1237</v>
      </c>
      <c r="T275" s="525">
        <f>'HIV-Key Info'!$E$74*('HPM costs'!H630+'HPM costs'!H633)</f>
        <v>0</v>
      </c>
      <c r="U275" s="525" t="s">
        <v>1237</v>
      </c>
      <c r="V275" s="525">
        <f>'HIV-Key Info'!$E$74*('HPM costs'!I630+'HPM costs'!I633)</f>
        <v>0</v>
      </c>
      <c r="W275" s="525"/>
      <c r="X275" s="1154">
        <f t="shared" si="30"/>
        <v>0</v>
      </c>
      <c r="Y275" s="1155"/>
      <c r="Z275" s="1156"/>
      <c r="AA275" s="529"/>
      <c r="AB275" s="525"/>
      <c r="AC275" s="525">
        <f>'HIV-Key Info'!$E$74*('HPM costs'!K630+'HPM costs'!K633)</f>
        <v>0</v>
      </c>
      <c r="AD275" s="525"/>
      <c r="AE275" s="525">
        <f>'HIV-Key Info'!$E$74*('HPM costs'!L630+'HPM costs'!L633)</f>
        <v>0</v>
      </c>
      <c r="AF275" s="525"/>
      <c r="AG275" s="525">
        <f>'HIV-Key Info'!$E$74*('HPM costs'!M630+'HPM costs'!M633)</f>
        <v>0</v>
      </c>
      <c r="AH275" s="525"/>
      <c r="AI275" s="525">
        <f>'HIV-Key Info'!$E$74*('HPM costs'!N630+'HPM costs'!N633)</f>
        <v>0</v>
      </c>
      <c r="AJ275" s="525"/>
      <c r="AK275" s="1154">
        <f t="shared" si="31"/>
        <v>0</v>
      </c>
      <c r="AL275" s="1155"/>
      <c r="AM275" s="1156"/>
      <c r="AN275" s="529"/>
      <c r="AO275" s="525"/>
      <c r="AP275" s="525">
        <f>'HIV-Key Info'!$E$74*('HPM costs'!P630+'HPM costs'!P633)</f>
        <v>0</v>
      </c>
      <c r="AQ275" s="525"/>
      <c r="AR275" s="525">
        <f>'HIV-Key Info'!$E$74*('HPM costs'!Q630+'HPM costs'!Q633)</f>
        <v>0</v>
      </c>
      <c r="AS275" s="525"/>
      <c r="AT275" s="525">
        <f>'HIV-Key Info'!$E$74*('HPM costs'!R630+'HPM costs'!R633)</f>
        <v>0</v>
      </c>
      <c r="AU275" s="525"/>
      <c r="AV275" s="525">
        <f>'HIV-Key Info'!$E$74*('HPM costs'!S630+'HPM costs'!S633)</f>
        <v>0</v>
      </c>
      <c r="AW275" s="525"/>
      <c r="AX275" s="1154">
        <f t="shared" si="32"/>
        <v>0</v>
      </c>
      <c r="AY275" s="1154"/>
      <c r="AZ275" s="528"/>
      <c r="BA275" s="529"/>
      <c r="BB275" s="527"/>
      <c r="BC275" s="527">
        <v>0</v>
      </c>
      <c r="BD275" s="527">
        <v>0</v>
      </c>
      <c r="BE275" s="527">
        <v>0</v>
      </c>
      <c r="BF275" s="527">
        <v>0</v>
      </c>
      <c r="BG275" s="527">
        <v>0</v>
      </c>
      <c r="BH275" s="527">
        <v>0</v>
      </c>
      <c r="BI275" s="527">
        <v>0</v>
      </c>
      <c r="BJ275" s="527">
        <v>0</v>
      </c>
      <c r="BK275" s="1154">
        <f t="shared" si="33"/>
        <v>0</v>
      </c>
      <c r="BL275" s="1154"/>
      <c r="BM275" s="1154">
        <f t="shared" si="34"/>
        <v>0</v>
      </c>
      <c r="BN275" s="1154">
        <f t="shared" si="35"/>
        <v>0</v>
      </c>
      <c r="BO275" s="527"/>
      <c r="BP275" s="527"/>
      <c r="BQ275" s="1157" t="s">
        <v>223</v>
      </c>
      <c r="BR275" s="1157" t="s">
        <v>690</v>
      </c>
      <c r="BS275" s="1157" t="s">
        <v>527</v>
      </c>
      <c r="BT275" s="1376" t="s">
        <v>1579</v>
      </c>
    </row>
    <row r="276" spans="1:72" s="1371" customFormat="1" ht="13">
      <c r="A276" s="1204">
        <v>821</v>
      </c>
      <c r="B276" s="1205" t="s">
        <v>223</v>
      </c>
      <c r="C276" s="1205" t="s">
        <v>670</v>
      </c>
      <c r="D276" s="1206" t="s">
        <v>2570</v>
      </c>
      <c r="E276" s="1386" t="s">
        <v>603</v>
      </c>
      <c r="F276" s="521"/>
      <c r="G276" s="522"/>
      <c r="H276" s="522"/>
      <c r="I276" s="522"/>
      <c r="J276" s="523"/>
      <c r="K276" s="523"/>
      <c r="L276" s="523"/>
      <c r="M276" s="524"/>
      <c r="N276" s="525"/>
      <c r="O276" s="526" t="s">
        <v>1237</v>
      </c>
      <c r="P276" s="525">
        <f>'HIV-Key Info'!$G$89*('HIV-Key Info'!$E$89*('HPM costs'!F119/'HPM costs'!$E$119)+'HIV-Key Info'!$F$89*('HPM costs'!F125/'HPM costs'!$E$125+'HPM costs'!F122/'HPM costs'!$E$122))</f>
        <v>0</v>
      </c>
      <c r="Q276" s="525" t="s">
        <v>1237</v>
      </c>
      <c r="R276" s="525">
        <f>'HIV-Key Info'!$G$89*('HIV-Key Info'!$E$89*('HPM costs'!G119/'HPM costs'!$E$119)+'HIV-Key Info'!$F$89*('HPM costs'!G125/'HPM costs'!$E$125+'HPM costs'!G122/'HPM costs'!$E$122))</f>
        <v>96534.396599999993</v>
      </c>
      <c r="S276" s="525" t="s">
        <v>1237</v>
      </c>
      <c r="T276" s="525">
        <f>'HIV-Key Info'!$G$89*('HIV-Key Info'!$E$89*('HPM costs'!H119/'HPM costs'!$E$119)+'HIV-Key Info'!$F$89*('HPM costs'!H125/'HPM costs'!$E$125+'HPM costs'!H122/'HPM costs'!$E$122))</f>
        <v>0</v>
      </c>
      <c r="U276" s="525" t="s">
        <v>1237</v>
      </c>
      <c r="V276" s="525">
        <f>'HIV-Key Info'!$G$89*('HIV-Key Info'!$E$89*('HPM costs'!I119/'HPM costs'!$E$119)+'HIV-Key Info'!$F$89*('HPM costs'!I125/'HPM costs'!$E$125+'HPM costs'!I122/'HPM costs'!$E$122))</f>
        <v>0</v>
      </c>
      <c r="W276" s="525"/>
      <c r="X276" s="1154">
        <f t="shared" si="30"/>
        <v>96534.396599999993</v>
      </c>
      <c r="Y276" s="1155"/>
      <c r="Z276" s="1156"/>
      <c r="AA276" s="529"/>
      <c r="AB276" s="525"/>
      <c r="AC276" s="525">
        <f>'HIV-Key Info'!$G$89*('HIV-Key Info'!$E$89*('HPM costs'!K119/'HPM costs'!$E$119)+'HIV-Key Info'!$F$89*('HPM costs'!K125/'HPM costs'!$E$125+'HPM costs'!K122/'HPM costs'!$E$122))</f>
        <v>0</v>
      </c>
      <c r="AD276" s="525"/>
      <c r="AE276" s="525">
        <f>'HIV-Key Info'!$G$89*('HIV-Key Info'!$E$89*('HPM costs'!L119/'HPM costs'!$E$119)+'HIV-Key Info'!$F$89*('HPM costs'!L125/'HPM costs'!$E$125+'HPM costs'!L122/'HPM costs'!$E$122))</f>
        <v>100698.50429100002</v>
      </c>
      <c r="AF276" s="525"/>
      <c r="AG276" s="525">
        <f>'HIV-Key Info'!$G$89*('HIV-Key Info'!$E$89*('HPM costs'!M119/'HPM costs'!$E$119)+'HIV-Key Info'!$F$89*('HPM costs'!M125/'HPM costs'!$E$125+'HPM costs'!M122/'HPM costs'!$E$122))</f>
        <v>0</v>
      </c>
      <c r="AH276" s="525"/>
      <c r="AI276" s="525">
        <f>'HIV-Key Info'!$G$89*('HIV-Key Info'!$E$89*('HPM costs'!N119/'HPM costs'!$E$119)+'HIV-Key Info'!$F$89*('HPM costs'!N125/'HPM costs'!$E$125+'HPM costs'!N122/'HPM costs'!$E$122))</f>
        <v>0</v>
      </c>
      <c r="AJ276" s="525"/>
      <c r="AK276" s="1154">
        <f t="shared" si="31"/>
        <v>100698.50429100002</v>
      </c>
      <c r="AL276" s="1155"/>
      <c r="AM276" s="1156"/>
      <c r="AN276" s="529"/>
      <c r="AO276" s="525"/>
      <c r="AP276" s="525">
        <f>'HIV-Key Info'!$G$89*('HIV-Key Info'!$E$89*('HPM costs'!P119/'HPM costs'!$E$119)+'HIV-Key Info'!$F$89*('HPM costs'!P125/'HPM costs'!$E$125+'HPM costs'!P122/'HPM costs'!$E$122))</f>
        <v>0</v>
      </c>
      <c r="AQ276" s="525"/>
      <c r="AR276" s="525">
        <f>'HIV-Key Info'!$G$89*('HIV-Key Info'!$E$89*('HPM costs'!Q119/'HPM costs'!$E$119)+'HIV-Key Info'!$F$89*('HPM costs'!Q125/'HPM costs'!$E$125+'HPM costs'!Q122/'HPM costs'!$E$122))</f>
        <v>107223.984681</v>
      </c>
      <c r="AS276" s="525"/>
      <c r="AT276" s="525">
        <f>'HIV-Key Info'!$G$89*('HIV-Key Info'!$E$89*('HPM costs'!R119/'HPM costs'!$E$119)+'HIV-Key Info'!$F$89*('HPM costs'!R125/'HPM costs'!$E$125+'HPM costs'!R122/'HPM costs'!$E$122))</f>
        <v>0</v>
      </c>
      <c r="AU276" s="525"/>
      <c r="AV276" s="525">
        <f>'HIV-Key Info'!$G$89*('HIV-Key Info'!$E$89*('HPM costs'!S119/'HPM costs'!$E$119)+'HIV-Key Info'!$F$89*('HPM costs'!S125/'HPM costs'!$E$125+'HPM costs'!S122/'HPM costs'!$E$122))</f>
        <v>0</v>
      </c>
      <c r="AW276" s="525"/>
      <c r="AX276" s="1154">
        <f t="shared" si="32"/>
        <v>107223.984681</v>
      </c>
      <c r="AY276" s="1154"/>
      <c r="AZ276" s="528"/>
      <c r="BA276" s="529"/>
      <c r="BB276" s="527"/>
      <c r="BC276" s="527">
        <v>0</v>
      </c>
      <c r="BD276" s="527">
        <v>0</v>
      </c>
      <c r="BE276" s="527">
        <v>0</v>
      </c>
      <c r="BF276" s="527">
        <v>0</v>
      </c>
      <c r="BG276" s="527">
        <v>0</v>
      </c>
      <c r="BH276" s="527">
        <v>0</v>
      </c>
      <c r="BI276" s="527">
        <v>0</v>
      </c>
      <c r="BJ276" s="527">
        <v>0</v>
      </c>
      <c r="BK276" s="1154">
        <f t="shared" si="33"/>
        <v>0</v>
      </c>
      <c r="BL276" s="1154"/>
      <c r="BM276" s="1154">
        <f t="shared" si="34"/>
        <v>0</v>
      </c>
      <c r="BN276" s="1154">
        <f t="shared" si="35"/>
        <v>304456.885572</v>
      </c>
      <c r="BO276" s="527"/>
      <c r="BP276" s="527" t="s">
        <v>4294</v>
      </c>
      <c r="BQ276" s="1157" t="s">
        <v>223</v>
      </c>
      <c r="BR276" s="1157" t="s">
        <v>690</v>
      </c>
      <c r="BS276" s="1157" t="s">
        <v>2570</v>
      </c>
      <c r="BT276" s="1376" t="s">
        <v>1580</v>
      </c>
    </row>
    <row r="277" spans="1:72" s="1371" customFormat="1" ht="13">
      <c r="A277" s="1204">
        <v>822</v>
      </c>
      <c r="B277" s="1205" t="s">
        <v>223</v>
      </c>
      <c r="C277" s="1205" t="s">
        <v>670</v>
      </c>
      <c r="D277" s="1206" t="s">
        <v>527</v>
      </c>
      <c r="E277" s="1386" t="s">
        <v>528</v>
      </c>
      <c r="F277" s="521"/>
      <c r="G277" s="522"/>
      <c r="H277" s="522"/>
      <c r="I277" s="522"/>
      <c r="J277" s="523"/>
      <c r="K277" s="523"/>
      <c r="L277" s="523"/>
      <c r="M277" s="524"/>
      <c r="N277" s="525"/>
      <c r="O277" s="526" t="s">
        <v>1237</v>
      </c>
      <c r="P277" s="525">
        <f>'HIV-Key Info'!$G$89*(('HIV-Key Info'!$E$89*'HPM costs'!F33)+('HIV-Key Info'!$F$89*('HPM costs'!F36+'HPM costs'!F39)))</f>
        <v>0</v>
      </c>
      <c r="Q277" s="525" t="s">
        <v>1237</v>
      </c>
      <c r="R277" s="525">
        <f>'HIV-Key Info'!$G$89*(('HIV-Key Info'!$E$89*'HPM costs'!G33)+('HIV-Key Info'!$F$89*('HPM costs'!G36+'HPM costs'!G39)))</f>
        <v>5792.0637959999995</v>
      </c>
      <c r="S277" s="525" t="s">
        <v>1237</v>
      </c>
      <c r="T277" s="525">
        <f>'HIV-Key Info'!$G$89*(('HIV-Key Info'!$E$89*'HPM costs'!H33)+('HIV-Key Info'!$F$89*('HPM costs'!H36+'HPM costs'!H39)))</f>
        <v>0</v>
      </c>
      <c r="U277" s="525" t="s">
        <v>1237</v>
      </c>
      <c r="V277" s="525">
        <f>'HIV-Key Info'!$G$89*(('HIV-Key Info'!$E$89*'HPM costs'!I33)+('HIV-Key Info'!$F$89*('HPM costs'!I36+'HPM costs'!I39)))</f>
        <v>0</v>
      </c>
      <c r="W277" s="525"/>
      <c r="X277" s="1154">
        <f t="shared" si="30"/>
        <v>5792.0637959999995</v>
      </c>
      <c r="Y277" s="1155"/>
      <c r="Z277" s="1156"/>
      <c r="AA277" s="529"/>
      <c r="AB277" s="525"/>
      <c r="AC277" s="525">
        <f>'HIV-Key Info'!$G$89*(('HIV-Key Info'!$E$89*'HPM costs'!K33)+('HIV-Key Info'!$F$89*('HPM costs'!K36+'HPM costs'!K39)))</f>
        <v>0</v>
      </c>
      <c r="AD277" s="525"/>
      <c r="AE277" s="525">
        <f>'HIV-Key Info'!$G$89*(('HIV-Key Info'!$E$89*'HPM costs'!L33)+('HIV-Key Info'!$F$89*('HPM costs'!L36+'HPM costs'!L39)))</f>
        <v>6041.9102574599992</v>
      </c>
      <c r="AF277" s="525"/>
      <c r="AG277" s="525">
        <f>'HIV-Key Info'!$G$89*(('HIV-Key Info'!$E$89*'HPM costs'!M33)+('HIV-Key Info'!$F$89*('HPM costs'!M36+'HPM costs'!M39)))</f>
        <v>0</v>
      </c>
      <c r="AH277" s="525"/>
      <c r="AI277" s="525">
        <f>'HIV-Key Info'!$G$89*(('HIV-Key Info'!$E$89*'HPM costs'!N33)+('HIV-Key Info'!$F$89*('HPM costs'!N36+'HPM costs'!N39)))</f>
        <v>0</v>
      </c>
      <c r="AJ277" s="525"/>
      <c r="AK277" s="1154">
        <f t="shared" si="31"/>
        <v>6041.9102574599992</v>
      </c>
      <c r="AL277" s="1155"/>
      <c r="AM277" s="1156"/>
      <c r="AN277" s="529"/>
      <c r="AO277" s="525"/>
      <c r="AP277" s="525">
        <f>'HIV-Key Info'!$G$89*(('HIV-Key Info'!$E$89*'HPM costs'!P33)+('HIV-Key Info'!$F$89*('HPM costs'!P36+'HPM costs'!P39)))</f>
        <v>0</v>
      </c>
      <c r="AQ277" s="525"/>
      <c r="AR277" s="525">
        <f>'HIV-Key Info'!$G$89*(('HIV-Key Info'!$E$89*'HPM costs'!Q33)+('HIV-Key Info'!$F$89*('HPM costs'!Q36+'HPM costs'!Q39)))</f>
        <v>6433.4390808600001</v>
      </c>
      <c r="AS277" s="525"/>
      <c r="AT277" s="525">
        <f>'HIV-Key Info'!$G$89*(('HIV-Key Info'!$E$89*'HPM costs'!R33)+('HIV-Key Info'!$F$89*('HPM costs'!R36+'HPM costs'!R39)))</f>
        <v>0</v>
      </c>
      <c r="AU277" s="525"/>
      <c r="AV277" s="525">
        <f>'HIV-Key Info'!$G$89*(('HIV-Key Info'!$E$89*'HPM costs'!S33)+('HIV-Key Info'!$F$89*('HPM costs'!S36+'HPM costs'!S39)))</f>
        <v>0</v>
      </c>
      <c r="AW277" s="525"/>
      <c r="AX277" s="1154">
        <f t="shared" si="32"/>
        <v>6433.4390808600001</v>
      </c>
      <c r="AY277" s="1154"/>
      <c r="AZ277" s="528"/>
      <c r="BA277" s="529"/>
      <c r="BB277" s="527"/>
      <c r="BC277" s="527">
        <v>0</v>
      </c>
      <c r="BD277" s="527">
        <v>0</v>
      </c>
      <c r="BE277" s="527">
        <v>0</v>
      </c>
      <c r="BF277" s="527">
        <v>0</v>
      </c>
      <c r="BG277" s="527">
        <v>0</v>
      </c>
      <c r="BH277" s="527">
        <v>0</v>
      </c>
      <c r="BI277" s="527">
        <v>0</v>
      </c>
      <c r="BJ277" s="527">
        <v>0</v>
      </c>
      <c r="BK277" s="1154">
        <f t="shared" si="33"/>
        <v>0</v>
      </c>
      <c r="BL277" s="1154"/>
      <c r="BM277" s="1154">
        <f t="shared" si="34"/>
        <v>0</v>
      </c>
      <c r="BN277" s="1154">
        <f t="shared" si="35"/>
        <v>18267.413134319999</v>
      </c>
      <c r="BO277" s="527"/>
      <c r="BP277" s="527" t="s">
        <v>4303</v>
      </c>
      <c r="BQ277" s="1157" t="s">
        <v>223</v>
      </c>
      <c r="BR277" s="1157" t="s">
        <v>690</v>
      </c>
      <c r="BS277" s="1157" t="s">
        <v>527</v>
      </c>
      <c r="BT277" s="1376" t="s">
        <v>1581</v>
      </c>
    </row>
    <row r="278" spans="1:72" s="1371" customFormat="1" ht="13">
      <c r="A278" s="1204">
        <v>823</v>
      </c>
      <c r="B278" s="1205" t="s">
        <v>223</v>
      </c>
      <c r="C278" s="1205" t="s">
        <v>670</v>
      </c>
      <c r="D278" s="1206" t="s">
        <v>527</v>
      </c>
      <c r="E278" s="1386" t="s">
        <v>530</v>
      </c>
      <c r="F278" s="521"/>
      <c r="G278" s="522"/>
      <c r="H278" s="522"/>
      <c r="I278" s="522"/>
      <c r="J278" s="523"/>
      <c r="K278" s="523"/>
      <c r="L278" s="523"/>
      <c r="M278" s="524"/>
      <c r="N278" s="525"/>
      <c r="O278" s="526" t="s">
        <v>1237</v>
      </c>
      <c r="P278" s="525">
        <f>'HIV-Key Info'!$G$89*(('HIV-Key Info'!$E$89*'HPM costs'!F119)+('HIV-Key Info'!$F$89*('HPM costs'!F122+'HPM costs'!F125)))</f>
        <v>0</v>
      </c>
      <c r="Q278" s="525" t="s">
        <v>1237</v>
      </c>
      <c r="R278" s="525">
        <f>'HIV-Key Info'!$G$89*(('HIV-Key Info'!$E$89*'HPM costs'!G119)+('HIV-Key Info'!$F$89*('HPM costs'!G122+'HPM costs'!G125)))</f>
        <v>9.65343966E-12</v>
      </c>
      <c r="S278" s="525" t="s">
        <v>1237</v>
      </c>
      <c r="T278" s="525">
        <f>'HIV-Key Info'!$G$89*(('HIV-Key Info'!$E$89*'HPM costs'!H119)+('HIV-Key Info'!$F$89*('HPM costs'!H122+'HPM costs'!H125)))</f>
        <v>0</v>
      </c>
      <c r="U278" s="525" t="s">
        <v>1237</v>
      </c>
      <c r="V278" s="525">
        <f>'HIV-Key Info'!$G$89*(('HIV-Key Info'!$E$89*'HPM costs'!I119)+('HIV-Key Info'!$F$89*('HPM costs'!I122+'HPM costs'!I125)))</f>
        <v>0</v>
      </c>
      <c r="W278" s="525"/>
      <c r="X278" s="1154">
        <f t="shared" si="30"/>
        <v>9.65343966E-12</v>
      </c>
      <c r="Y278" s="1155"/>
      <c r="Z278" s="1156"/>
      <c r="AA278" s="529"/>
      <c r="AB278" s="525"/>
      <c r="AC278" s="525">
        <f>'HIV-Key Info'!$G$89*(('HIV-Key Info'!$E$89*'HPM costs'!K119)+('HIV-Key Info'!$F$89*('HPM costs'!K122+'HPM costs'!K125)))</f>
        <v>0</v>
      </c>
      <c r="AD278" s="525"/>
      <c r="AE278" s="525">
        <f>'HIV-Key Info'!$G$89*(('HIV-Key Info'!$E$89*'HPM costs'!L119)+('HIV-Key Info'!$F$89*('HPM costs'!L122+'HPM costs'!L125)))</f>
        <v>1.00698504291E-11</v>
      </c>
      <c r="AF278" s="525"/>
      <c r="AG278" s="525">
        <f>'HIV-Key Info'!$G$89*(('HIV-Key Info'!$E$89*'HPM costs'!M119)+('HIV-Key Info'!$F$89*('HPM costs'!M122+'HPM costs'!M125)))</f>
        <v>0</v>
      </c>
      <c r="AH278" s="525"/>
      <c r="AI278" s="525">
        <f>'HIV-Key Info'!$G$89*(('HIV-Key Info'!$E$89*'HPM costs'!N119)+('HIV-Key Info'!$F$89*('HPM costs'!N122+'HPM costs'!N125)))</f>
        <v>0</v>
      </c>
      <c r="AJ278" s="525"/>
      <c r="AK278" s="1154">
        <f t="shared" si="31"/>
        <v>1.00698504291E-11</v>
      </c>
      <c r="AL278" s="1155"/>
      <c r="AM278" s="1156"/>
      <c r="AN278" s="529"/>
      <c r="AO278" s="525"/>
      <c r="AP278" s="525">
        <f>'HIV-Key Info'!$G$89*(('HIV-Key Info'!$E$89*'HPM costs'!P119)+('HIV-Key Info'!$F$89*('HPM costs'!P122+'HPM costs'!P125)))</f>
        <v>0</v>
      </c>
      <c r="AQ278" s="525"/>
      <c r="AR278" s="525">
        <f>'HIV-Key Info'!$G$89*(('HIV-Key Info'!$E$89*'HPM costs'!Q119)+('HIV-Key Info'!$F$89*('HPM costs'!Q122+'HPM costs'!Q125)))</f>
        <v>1.0722398468100001E-11</v>
      </c>
      <c r="AS278" s="525"/>
      <c r="AT278" s="525">
        <f>'HIV-Key Info'!$G$89*(('HIV-Key Info'!$E$89*'HPM costs'!R119)+('HIV-Key Info'!$F$89*('HPM costs'!R122+'HPM costs'!R125)))</f>
        <v>0</v>
      </c>
      <c r="AU278" s="525"/>
      <c r="AV278" s="525">
        <f>'HIV-Key Info'!$G$89*(('HIV-Key Info'!$E$89*'HPM costs'!S119)+('HIV-Key Info'!$F$89*('HPM costs'!S122+'HPM costs'!S125)))</f>
        <v>0</v>
      </c>
      <c r="AW278" s="525"/>
      <c r="AX278" s="1154">
        <f t="shared" si="32"/>
        <v>1.0722398468100001E-11</v>
      </c>
      <c r="AY278" s="1154"/>
      <c r="AZ278" s="528"/>
      <c r="BA278" s="529"/>
      <c r="BB278" s="527"/>
      <c r="BC278" s="527">
        <v>0</v>
      </c>
      <c r="BD278" s="527">
        <v>0</v>
      </c>
      <c r="BE278" s="527">
        <v>0</v>
      </c>
      <c r="BF278" s="527">
        <v>0</v>
      </c>
      <c r="BG278" s="527">
        <v>0</v>
      </c>
      <c r="BH278" s="527">
        <v>0</v>
      </c>
      <c r="BI278" s="527">
        <v>0</v>
      </c>
      <c r="BJ278" s="527">
        <v>0</v>
      </c>
      <c r="BK278" s="1154">
        <f t="shared" si="33"/>
        <v>0</v>
      </c>
      <c r="BL278" s="1154"/>
      <c r="BM278" s="1154">
        <f t="shared" si="34"/>
        <v>0</v>
      </c>
      <c r="BN278" s="1154">
        <f t="shared" si="35"/>
        <v>3.0445688557200003E-11</v>
      </c>
      <c r="BO278" s="527"/>
      <c r="BP278" s="527"/>
      <c r="BQ278" s="1157" t="s">
        <v>223</v>
      </c>
      <c r="BR278" s="1157" t="s">
        <v>690</v>
      </c>
      <c r="BS278" s="1157" t="s">
        <v>527</v>
      </c>
      <c r="BT278" s="1376" t="s">
        <v>1582</v>
      </c>
    </row>
    <row r="279" spans="1:72" s="1371" customFormat="1" ht="13">
      <c r="A279" s="1204">
        <v>824</v>
      </c>
      <c r="B279" s="1205" t="s">
        <v>223</v>
      </c>
      <c r="C279" s="1205" t="s">
        <v>670</v>
      </c>
      <c r="D279" s="1206" t="s">
        <v>527</v>
      </c>
      <c r="E279" s="1386" t="s">
        <v>532</v>
      </c>
      <c r="F279" s="521"/>
      <c r="G279" s="522"/>
      <c r="H279" s="522"/>
      <c r="I279" s="522"/>
      <c r="J279" s="523"/>
      <c r="K279" s="523"/>
      <c r="L279" s="523"/>
      <c r="M279" s="524"/>
      <c r="N279" s="525"/>
      <c r="O279" s="526" t="s">
        <v>1237</v>
      </c>
      <c r="P279" s="525">
        <f>'HIV-Key Info'!$G$89*(('HIV-Key Info'!$E$89*'HPM costs'!F379)+('HIV-Key Info'!$F$89*('HPM costs'!F382+'HPM costs'!F385)))</f>
        <v>0</v>
      </c>
      <c r="Q279" s="525" t="s">
        <v>1237</v>
      </c>
      <c r="R279" s="525">
        <f>'HIV-Key Info'!$G$89*(('HIV-Key Info'!$E$89*'HPM costs'!G379)+('HIV-Key Info'!$F$89*('HPM costs'!G382+'HPM costs'!G385)))</f>
        <v>0</v>
      </c>
      <c r="S279" s="525" t="s">
        <v>1237</v>
      </c>
      <c r="T279" s="525">
        <f>'HIV-Key Info'!$G$89*(('HIV-Key Info'!$E$89*'HPM costs'!H379)+('HIV-Key Info'!$F$89*('HPM costs'!H382+'HPM costs'!H385)))</f>
        <v>0</v>
      </c>
      <c r="U279" s="525" t="s">
        <v>1237</v>
      </c>
      <c r="V279" s="525">
        <f>'HIV-Key Info'!$G$89*(('HIV-Key Info'!$E$89*'HPM costs'!I379)+('HIV-Key Info'!$F$89*('HPM costs'!I382+'HPM costs'!I385)))</f>
        <v>0</v>
      </c>
      <c r="W279" s="525"/>
      <c r="X279" s="1154">
        <f t="shared" si="30"/>
        <v>0</v>
      </c>
      <c r="Y279" s="1155"/>
      <c r="Z279" s="1156"/>
      <c r="AA279" s="529"/>
      <c r="AB279" s="525"/>
      <c r="AC279" s="525">
        <f>'HIV-Key Info'!$G$89*(('HIV-Key Info'!$E$89*'HPM costs'!K379)+('HIV-Key Info'!$F$89*('HPM costs'!K382+'HPM costs'!K385)))</f>
        <v>0</v>
      </c>
      <c r="AD279" s="525"/>
      <c r="AE279" s="525">
        <f>'HIV-Key Info'!$G$89*(('HIV-Key Info'!$E$89*'HPM costs'!L379)+('HIV-Key Info'!$F$89*('HPM costs'!L382+'HPM costs'!L385)))</f>
        <v>0</v>
      </c>
      <c r="AF279" s="525"/>
      <c r="AG279" s="525">
        <f>'HIV-Key Info'!$G$89*(('HIV-Key Info'!$E$89*'HPM costs'!M379)+('HIV-Key Info'!$F$89*('HPM costs'!M382+'HPM costs'!M385)))</f>
        <v>0</v>
      </c>
      <c r="AH279" s="525"/>
      <c r="AI279" s="525">
        <f>'HIV-Key Info'!$G$89*(('HIV-Key Info'!$E$89*'HPM costs'!N379)+('HIV-Key Info'!$F$89*('HPM costs'!N382+'HPM costs'!N385)))</f>
        <v>0</v>
      </c>
      <c r="AJ279" s="525"/>
      <c r="AK279" s="1154">
        <f t="shared" si="31"/>
        <v>0</v>
      </c>
      <c r="AL279" s="1155"/>
      <c r="AM279" s="1156"/>
      <c r="AN279" s="529"/>
      <c r="AO279" s="525"/>
      <c r="AP279" s="525">
        <f>'HIV-Key Info'!$G$89*(('HIV-Key Info'!$E$89*'HPM costs'!P379)+('HIV-Key Info'!$F$89*('HPM costs'!P382+'HPM costs'!P385)))</f>
        <v>0</v>
      </c>
      <c r="AQ279" s="525"/>
      <c r="AR279" s="525">
        <f>'HIV-Key Info'!$G$89*(('HIV-Key Info'!$E$89*'HPM costs'!Q379)+('HIV-Key Info'!$F$89*('HPM costs'!Q382+'HPM costs'!Q385)))</f>
        <v>0</v>
      </c>
      <c r="AS279" s="525"/>
      <c r="AT279" s="525">
        <f>'HIV-Key Info'!$G$89*(('HIV-Key Info'!$E$89*'HPM costs'!R379)+('HIV-Key Info'!$F$89*('HPM costs'!R382+'HPM costs'!R385)))</f>
        <v>0</v>
      </c>
      <c r="AU279" s="525"/>
      <c r="AV279" s="525">
        <f>'HIV-Key Info'!$G$89*(('HIV-Key Info'!$E$89*'HPM costs'!S379)+('HIV-Key Info'!$F$89*('HPM costs'!S382+'HPM costs'!S385)))</f>
        <v>0</v>
      </c>
      <c r="AW279" s="525"/>
      <c r="AX279" s="1154">
        <f t="shared" si="32"/>
        <v>0</v>
      </c>
      <c r="AY279" s="1154"/>
      <c r="AZ279" s="528"/>
      <c r="BA279" s="529"/>
      <c r="BB279" s="527"/>
      <c r="BC279" s="527">
        <v>0</v>
      </c>
      <c r="BD279" s="527">
        <v>0</v>
      </c>
      <c r="BE279" s="527">
        <v>0</v>
      </c>
      <c r="BF279" s="527">
        <v>0</v>
      </c>
      <c r="BG279" s="527">
        <v>0</v>
      </c>
      <c r="BH279" s="527">
        <v>0</v>
      </c>
      <c r="BI279" s="527">
        <v>0</v>
      </c>
      <c r="BJ279" s="527">
        <v>0</v>
      </c>
      <c r="BK279" s="1154">
        <f t="shared" si="33"/>
        <v>0</v>
      </c>
      <c r="BL279" s="1154"/>
      <c r="BM279" s="1154">
        <f t="shared" si="34"/>
        <v>0</v>
      </c>
      <c r="BN279" s="1154">
        <f t="shared" si="35"/>
        <v>0</v>
      </c>
      <c r="BO279" s="527"/>
      <c r="BP279" s="527"/>
      <c r="BQ279" s="1157" t="s">
        <v>223</v>
      </c>
      <c r="BR279" s="1157" t="s">
        <v>690</v>
      </c>
      <c r="BS279" s="1157" t="s">
        <v>527</v>
      </c>
      <c r="BT279" s="1376" t="s">
        <v>1583</v>
      </c>
    </row>
    <row r="280" spans="1:72" s="1371" customFormat="1" ht="13">
      <c r="A280" s="1204">
        <v>825</v>
      </c>
      <c r="B280" s="1205" t="s">
        <v>223</v>
      </c>
      <c r="C280" s="1205" t="s">
        <v>670</v>
      </c>
      <c r="D280" s="1206" t="s">
        <v>527</v>
      </c>
      <c r="E280" s="1386" t="s">
        <v>534</v>
      </c>
      <c r="F280" s="521"/>
      <c r="G280" s="522"/>
      <c r="H280" s="522"/>
      <c r="I280" s="522"/>
      <c r="J280" s="523"/>
      <c r="K280" s="523"/>
      <c r="L280" s="523"/>
      <c r="M280" s="524"/>
      <c r="N280" s="525"/>
      <c r="O280" s="526" t="s">
        <v>1237</v>
      </c>
      <c r="P280" s="525">
        <f>'HIV-Key Info'!$G$89*(('HIV-Key Info'!$E$89*'HPM costs'!F465)+('HIV-Key Info'!$F$89*('HPM costs'!F468+'HPM costs'!F471)))</f>
        <v>0</v>
      </c>
      <c r="Q280" s="525" t="s">
        <v>1237</v>
      </c>
      <c r="R280" s="525">
        <f>'HIV-Key Info'!$G$89*(('HIV-Key Info'!$E$89*'HPM costs'!G465)+('HIV-Key Info'!$F$89*('HPM costs'!G468+'HPM costs'!G471)))</f>
        <v>0</v>
      </c>
      <c r="S280" s="525" t="s">
        <v>1237</v>
      </c>
      <c r="T280" s="525">
        <f>'HIV-Key Info'!$G$89*(('HIV-Key Info'!$E$89*'HPM costs'!H465)+('HIV-Key Info'!$F$89*('HPM costs'!H468+'HPM costs'!H471)))</f>
        <v>0</v>
      </c>
      <c r="U280" s="525" t="s">
        <v>1237</v>
      </c>
      <c r="V280" s="525">
        <f>'HIV-Key Info'!$G$89*(('HIV-Key Info'!$E$89*'HPM costs'!I465)+('HIV-Key Info'!$F$89*('HPM costs'!I468+'HPM costs'!I471)))</f>
        <v>0</v>
      </c>
      <c r="W280" s="525"/>
      <c r="X280" s="1154">
        <f t="shared" si="30"/>
        <v>0</v>
      </c>
      <c r="Y280" s="1155"/>
      <c r="Z280" s="1156"/>
      <c r="AA280" s="529"/>
      <c r="AB280" s="525"/>
      <c r="AC280" s="525">
        <f>'HIV-Key Info'!$G$89*(('HIV-Key Info'!$E$89*'HPM costs'!K465)+('HIV-Key Info'!$F$89*('HPM costs'!K468+'HPM costs'!K471)))</f>
        <v>0</v>
      </c>
      <c r="AD280" s="525"/>
      <c r="AE280" s="525">
        <f>'HIV-Key Info'!$G$89*(('HIV-Key Info'!$E$89*'HPM costs'!L465)+('HIV-Key Info'!$F$89*('HPM costs'!L468+'HPM costs'!L471)))</f>
        <v>0</v>
      </c>
      <c r="AF280" s="525"/>
      <c r="AG280" s="525">
        <f>'HIV-Key Info'!$G$89*(('HIV-Key Info'!$E$89*'HPM costs'!M465)+('HIV-Key Info'!$F$89*('HPM costs'!M468+'HPM costs'!M471)))</f>
        <v>0</v>
      </c>
      <c r="AH280" s="525"/>
      <c r="AI280" s="525">
        <f>'HIV-Key Info'!$G$89*(('HIV-Key Info'!$E$89*'HPM costs'!N465)+('HIV-Key Info'!$F$89*('HPM costs'!N468+'HPM costs'!N471)))</f>
        <v>0</v>
      </c>
      <c r="AJ280" s="525"/>
      <c r="AK280" s="1154">
        <f t="shared" si="31"/>
        <v>0</v>
      </c>
      <c r="AL280" s="1155"/>
      <c r="AM280" s="1156"/>
      <c r="AN280" s="529"/>
      <c r="AO280" s="525"/>
      <c r="AP280" s="525">
        <f>'HIV-Key Info'!$G$89*(('HIV-Key Info'!$E$89*'HPM costs'!P465)+('HIV-Key Info'!$F$89*('HPM costs'!P468+'HPM costs'!P471)))</f>
        <v>0</v>
      </c>
      <c r="AQ280" s="525"/>
      <c r="AR280" s="525">
        <f>'HIV-Key Info'!$G$89*(('HIV-Key Info'!$E$89*'HPM costs'!Q465)+('HIV-Key Info'!$F$89*('HPM costs'!Q468+'HPM costs'!Q471)))</f>
        <v>0</v>
      </c>
      <c r="AS280" s="525"/>
      <c r="AT280" s="525">
        <f>'HIV-Key Info'!$G$89*(('HIV-Key Info'!$E$89*'HPM costs'!R465)+('HIV-Key Info'!$F$89*('HPM costs'!R468+'HPM costs'!R471)))</f>
        <v>0</v>
      </c>
      <c r="AU280" s="525"/>
      <c r="AV280" s="525">
        <f>'HIV-Key Info'!$G$89*(('HIV-Key Info'!$E$89*'HPM costs'!S465)+('HIV-Key Info'!$F$89*('HPM costs'!S468+'HPM costs'!S471)))</f>
        <v>0</v>
      </c>
      <c r="AW280" s="525"/>
      <c r="AX280" s="1154">
        <f t="shared" si="32"/>
        <v>0</v>
      </c>
      <c r="AY280" s="1154"/>
      <c r="AZ280" s="528"/>
      <c r="BA280" s="529"/>
      <c r="BB280" s="527"/>
      <c r="BC280" s="527">
        <v>0</v>
      </c>
      <c r="BD280" s="527">
        <v>0</v>
      </c>
      <c r="BE280" s="527">
        <v>0</v>
      </c>
      <c r="BF280" s="527">
        <v>0</v>
      </c>
      <c r="BG280" s="527">
        <v>0</v>
      </c>
      <c r="BH280" s="527">
        <v>0</v>
      </c>
      <c r="BI280" s="527">
        <v>0</v>
      </c>
      <c r="BJ280" s="527">
        <v>0</v>
      </c>
      <c r="BK280" s="1154">
        <f t="shared" si="33"/>
        <v>0</v>
      </c>
      <c r="BL280" s="1154"/>
      <c r="BM280" s="1154">
        <f t="shared" si="34"/>
        <v>0</v>
      </c>
      <c r="BN280" s="1154">
        <f t="shared" si="35"/>
        <v>0</v>
      </c>
      <c r="BO280" s="527"/>
      <c r="BP280" s="527"/>
      <c r="BQ280" s="1157" t="s">
        <v>223</v>
      </c>
      <c r="BR280" s="1157" t="s">
        <v>690</v>
      </c>
      <c r="BS280" s="1157" t="s">
        <v>527</v>
      </c>
      <c r="BT280" s="1376" t="s">
        <v>1584</v>
      </c>
    </row>
    <row r="281" spans="1:72" s="1371" customFormat="1" ht="13">
      <c r="A281" s="1204">
        <v>826</v>
      </c>
      <c r="B281" s="1205" t="s">
        <v>223</v>
      </c>
      <c r="C281" s="1205" t="s">
        <v>670</v>
      </c>
      <c r="D281" s="1206" t="s">
        <v>527</v>
      </c>
      <c r="E281" s="1386" t="s">
        <v>536</v>
      </c>
      <c r="F281" s="521"/>
      <c r="G281" s="522"/>
      <c r="H281" s="522"/>
      <c r="I281" s="522"/>
      <c r="J281" s="523"/>
      <c r="K281" s="523"/>
      <c r="L281" s="523"/>
      <c r="M281" s="524"/>
      <c r="N281" s="525"/>
      <c r="O281" s="526" t="s">
        <v>1237</v>
      </c>
      <c r="P281" s="525">
        <f>'HIV-Key Info'!$G$89*(('HIV-Key Info'!$E$89*('HPM costs'!F205+'HPM costs'!F551))+('HIV-Key Info'!$F$89*('HPM costs'!F208+'HPM costs'!F211+'HPM costs'!F554+'HPM costs'!F557)))</f>
        <v>0</v>
      </c>
      <c r="Q281" s="525" t="s">
        <v>1237</v>
      </c>
      <c r="R281" s="525">
        <f>'HIV-Key Info'!$G$89*(('HIV-Key Info'!$E$89*('HPM costs'!G205+'HPM costs'!G551))+('HIV-Key Info'!$F$89*('HPM costs'!G208+'HPM costs'!G211+'HPM costs'!G554+'HPM costs'!G557)))</f>
        <v>0</v>
      </c>
      <c r="S281" s="525" t="s">
        <v>1237</v>
      </c>
      <c r="T281" s="525">
        <f>'HIV-Key Info'!$G$89*(('HIV-Key Info'!$E$89*('HPM costs'!H205+'HPM costs'!H551))+('HIV-Key Info'!$F$89*('HPM costs'!H208+'HPM costs'!H211+'HPM costs'!H554+'HPM costs'!H557)))</f>
        <v>0</v>
      </c>
      <c r="U281" s="525" t="s">
        <v>1237</v>
      </c>
      <c r="V281" s="525">
        <f>'HIV-Key Info'!$G$89*(('HIV-Key Info'!$E$89*('HPM costs'!I205+'HPM costs'!I551))+('HIV-Key Info'!$F$89*('HPM costs'!I208+'HPM costs'!I211+'HPM costs'!I554+'HPM costs'!I557)))</f>
        <v>0</v>
      </c>
      <c r="W281" s="525"/>
      <c r="X281" s="1154">
        <f t="shared" si="30"/>
        <v>0</v>
      </c>
      <c r="Y281" s="1155"/>
      <c r="Z281" s="1156"/>
      <c r="AA281" s="529"/>
      <c r="AB281" s="525"/>
      <c r="AC281" s="525">
        <f>'HIV-Key Info'!$G$89*(('HIV-Key Info'!$E$89*('HPM costs'!K205+'HPM costs'!K551))+('HIV-Key Info'!$F$89*('HPM costs'!K208+'HPM costs'!K211+'HPM costs'!K554+'HPM costs'!K557)))</f>
        <v>0</v>
      </c>
      <c r="AD281" s="525"/>
      <c r="AE281" s="525">
        <f>'HIV-Key Info'!$G$89*(('HIV-Key Info'!$E$89*('HPM costs'!L205+'HPM costs'!L551))+('HIV-Key Info'!$F$89*('HPM costs'!L208+'HPM costs'!L211+'HPM costs'!L554+'HPM costs'!L557)))</f>
        <v>0</v>
      </c>
      <c r="AF281" s="525"/>
      <c r="AG281" s="525">
        <f>'HIV-Key Info'!$G$89*(('HIV-Key Info'!$E$89*('HPM costs'!M205+'HPM costs'!M551))+('HIV-Key Info'!$F$89*('HPM costs'!M208+'HPM costs'!M211+'HPM costs'!M554+'HPM costs'!M557)))</f>
        <v>0</v>
      </c>
      <c r="AH281" s="525"/>
      <c r="AI281" s="525">
        <f>'HIV-Key Info'!$G$89*(('HIV-Key Info'!$E$89*('HPM costs'!N205+'HPM costs'!N551))+('HIV-Key Info'!$F$89*('HPM costs'!N208+'HPM costs'!N211+'HPM costs'!N554+'HPM costs'!N557)))</f>
        <v>0</v>
      </c>
      <c r="AJ281" s="525"/>
      <c r="AK281" s="1154">
        <f t="shared" si="31"/>
        <v>0</v>
      </c>
      <c r="AL281" s="1155"/>
      <c r="AM281" s="1156"/>
      <c r="AN281" s="529"/>
      <c r="AO281" s="525"/>
      <c r="AP281" s="525">
        <f>'HIV-Key Info'!$G$89*(('HIV-Key Info'!$E$89*('HPM costs'!P205+'HPM costs'!P551))+('HIV-Key Info'!$F$89*('HPM costs'!P208+'HPM costs'!P211+'HPM costs'!P554+'HPM costs'!P557)))</f>
        <v>0</v>
      </c>
      <c r="AQ281" s="525"/>
      <c r="AR281" s="525">
        <f>'HIV-Key Info'!$G$89*(('HIV-Key Info'!$E$89*('HPM costs'!Q205+'HPM costs'!Q551))+('HIV-Key Info'!$F$89*('HPM costs'!Q208+'HPM costs'!Q211+'HPM costs'!Q554+'HPM costs'!Q557)))</f>
        <v>0</v>
      </c>
      <c r="AS281" s="525"/>
      <c r="AT281" s="525">
        <f>'HIV-Key Info'!$G$89*(('HIV-Key Info'!$E$89*('HPM costs'!R205+'HPM costs'!R551))+('HIV-Key Info'!$F$89*('HPM costs'!R208+'HPM costs'!R211+'HPM costs'!R554+'HPM costs'!R557)))</f>
        <v>0</v>
      </c>
      <c r="AU281" s="525"/>
      <c r="AV281" s="525">
        <f>'HIV-Key Info'!$G$89*(('HIV-Key Info'!$E$89*('HPM costs'!S205+'HPM costs'!S551))+('HIV-Key Info'!$F$89*('HPM costs'!S208+'HPM costs'!S211+'HPM costs'!S554+'HPM costs'!S557)))</f>
        <v>0</v>
      </c>
      <c r="AW281" s="525"/>
      <c r="AX281" s="1154">
        <f t="shared" si="32"/>
        <v>0</v>
      </c>
      <c r="AY281" s="1154"/>
      <c r="AZ281" s="528"/>
      <c r="BA281" s="529"/>
      <c r="BB281" s="527"/>
      <c r="BC281" s="527">
        <v>0</v>
      </c>
      <c r="BD281" s="527">
        <v>0</v>
      </c>
      <c r="BE281" s="527">
        <v>0</v>
      </c>
      <c r="BF281" s="527">
        <v>0</v>
      </c>
      <c r="BG281" s="527">
        <v>0</v>
      </c>
      <c r="BH281" s="527">
        <v>0</v>
      </c>
      <c r="BI281" s="527">
        <v>0</v>
      </c>
      <c r="BJ281" s="527">
        <v>0</v>
      </c>
      <c r="BK281" s="1154">
        <f t="shared" si="33"/>
        <v>0</v>
      </c>
      <c r="BL281" s="1154"/>
      <c r="BM281" s="1154">
        <f t="shared" si="34"/>
        <v>0</v>
      </c>
      <c r="BN281" s="1154">
        <f t="shared" si="35"/>
        <v>0</v>
      </c>
      <c r="BO281" s="527"/>
      <c r="BP281" s="527"/>
      <c r="BQ281" s="1157" t="s">
        <v>223</v>
      </c>
      <c r="BR281" s="1157" t="s">
        <v>690</v>
      </c>
      <c r="BS281" s="1157" t="s">
        <v>527</v>
      </c>
      <c r="BT281" s="1376" t="s">
        <v>1585</v>
      </c>
    </row>
    <row r="282" spans="1:72" s="1371" customFormat="1" ht="13">
      <c r="A282" s="1204">
        <v>827</v>
      </c>
      <c r="B282" s="1205" t="s">
        <v>223</v>
      </c>
      <c r="C282" s="1205" t="s">
        <v>670</v>
      </c>
      <c r="D282" s="1206" t="s">
        <v>527</v>
      </c>
      <c r="E282" s="1386" t="s">
        <v>538</v>
      </c>
      <c r="F282" s="521"/>
      <c r="G282" s="522"/>
      <c r="H282" s="522"/>
      <c r="I282" s="522"/>
      <c r="J282" s="523"/>
      <c r="K282" s="523"/>
      <c r="L282" s="523"/>
      <c r="M282" s="524"/>
      <c r="N282" s="525"/>
      <c r="O282" s="526" t="s">
        <v>1237</v>
      </c>
      <c r="P282" s="525">
        <f>'HIV-Key Info'!$G$89*(('HIV-Key Info'!$E$89*'HPM costs'!F291)+('HIV-Key Info'!$F$89*('HPM costs'!F294+'HPM costs'!F297)))</f>
        <v>0</v>
      </c>
      <c r="Q282" s="525" t="s">
        <v>1237</v>
      </c>
      <c r="R282" s="525">
        <f>'HIV-Key Info'!$G$89*(('HIV-Key Info'!$E$89*'HPM costs'!G291)+('HIV-Key Info'!$F$89*('HPM costs'!G294+'HPM costs'!G297)))</f>
        <v>0</v>
      </c>
      <c r="S282" s="525" t="s">
        <v>1237</v>
      </c>
      <c r="T282" s="525">
        <f>'HIV-Key Info'!$G$89*(('HIV-Key Info'!$E$89*'HPM costs'!H291)+('HIV-Key Info'!$F$89*('HPM costs'!H294+'HPM costs'!H297)))</f>
        <v>0</v>
      </c>
      <c r="U282" s="525" t="s">
        <v>1237</v>
      </c>
      <c r="V282" s="525">
        <f>'HIV-Key Info'!$G$89*(('HIV-Key Info'!$E$89*'HPM costs'!I291)+('HIV-Key Info'!$F$89*('HPM costs'!I294+'HPM costs'!I297)))</f>
        <v>0</v>
      </c>
      <c r="W282" s="525"/>
      <c r="X282" s="1154">
        <f t="shared" si="30"/>
        <v>0</v>
      </c>
      <c r="Y282" s="1155"/>
      <c r="Z282" s="1156"/>
      <c r="AA282" s="529"/>
      <c r="AB282" s="525"/>
      <c r="AC282" s="525">
        <f>'HIV-Key Info'!$G$89*(('HIV-Key Info'!$E$89*'HPM costs'!K291)+('HIV-Key Info'!$F$89*('HPM costs'!K294+'HPM costs'!K297)))</f>
        <v>0</v>
      </c>
      <c r="AD282" s="525"/>
      <c r="AE282" s="525">
        <f>'HIV-Key Info'!$G$89*(('HIV-Key Info'!$E$89*'HPM costs'!L291)+('HIV-Key Info'!$F$89*('HPM costs'!L294+'HPM costs'!L297)))</f>
        <v>0</v>
      </c>
      <c r="AF282" s="525"/>
      <c r="AG282" s="525">
        <f>'HIV-Key Info'!$G$89*(('HIV-Key Info'!$E$89*'HPM costs'!M291)+('HIV-Key Info'!$F$89*('HPM costs'!M294+'HPM costs'!M297)))</f>
        <v>0</v>
      </c>
      <c r="AH282" s="525"/>
      <c r="AI282" s="525">
        <f>'HIV-Key Info'!$G$89*(('HIV-Key Info'!$E$89*'HPM costs'!N291)+('HIV-Key Info'!$F$89*('HPM costs'!N294+'HPM costs'!N297)))</f>
        <v>0</v>
      </c>
      <c r="AJ282" s="525"/>
      <c r="AK282" s="1154">
        <f t="shared" si="31"/>
        <v>0</v>
      </c>
      <c r="AL282" s="1155"/>
      <c r="AM282" s="1156"/>
      <c r="AN282" s="529"/>
      <c r="AO282" s="525"/>
      <c r="AP282" s="525">
        <f>'HIV-Key Info'!$G$89*(('HIV-Key Info'!$E$89*'HPM costs'!P291)+('HIV-Key Info'!$F$89*('HPM costs'!P294+'HPM costs'!P297)))</f>
        <v>0</v>
      </c>
      <c r="AQ282" s="525"/>
      <c r="AR282" s="525">
        <f>'HIV-Key Info'!$G$89*(('HIV-Key Info'!$E$89*'HPM costs'!Q291)+('HIV-Key Info'!$F$89*('HPM costs'!Q294+'HPM costs'!Q297)))</f>
        <v>0</v>
      </c>
      <c r="AS282" s="525"/>
      <c r="AT282" s="525">
        <f>'HIV-Key Info'!$G$89*(('HIV-Key Info'!$E$89*'HPM costs'!R291)+('HIV-Key Info'!$F$89*('HPM costs'!R294+'HPM costs'!R297)))</f>
        <v>0</v>
      </c>
      <c r="AU282" s="525"/>
      <c r="AV282" s="525">
        <f>'HIV-Key Info'!$G$89*(('HIV-Key Info'!$E$89*'HPM costs'!S291)+('HIV-Key Info'!$F$89*('HPM costs'!S294+'HPM costs'!S297)))</f>
        <v>0</v>
      </c>
      <c r="AW282" s="525"/>
      <c r="AX282" s="1154">
        <f t="shared" si="32"/>
        <v>0</v>
      </c>
      <c r="AY282" s="1154"/>
      <c r="AZ282" s="528"/>
      <c r="BA282" s="529"/>
      <c r="BB282" s="527"/>
      <c r="BC282" s="527">
        <v>0</v>
      </c>
      <c r="BD282" s="527">
        <v>0</v>
      </c>
      <c r="BE282" s="527">
        <v>0</v>
      </c>
      <c r="BF282" s="527">
        <v>0</v>
      </c>
      <c r="BG282" s="527">
        <v>0</v>
      </c>
      <c r="BH282" s="527">
        <v>0</v>
      </c>
      <c r="BI282" s="527">
        <v>0</v>
      </c>
      <c r="BJ282" s="527">
        <v>0</v>
      </c>
      <c r="BK282" s="1154">
        <f t="shared" si="33"/>
        <v>0</v>
      </c>
      <c r="BL282" s="1154"/>
      <c r="BM282" s="1154">
        <f t="shared" si="34"/>
        <v>0</v>
      </c>
      <c r="BN282" s="1154">
        <f t="shared" si="35"/>
        <v>0</v>
      </c>
      <c r="BO282" s="527"/>
      <c r="BP282" s="527"/>
      <c r="BQ282" s="1157" t="s">
        <v>223</v>
      </c>
      <c r="BR282" s="1157" t="s">
        <v>690</v>
      </c>
      <c r="BS282" s="1157" t="s">
        <v>527</v>
      </c>
      <c r="BT282" s="1376" t="s">
        <v>1586</v>
      </c>
    </row>
    <row r="283" spans="1:72" s="1371" customFormat="1" ht="13">
      <c r="A283" s="1204">
        <v>828</v>
      </c>
      <c r="B283" s="1205" t="s">
        <v>223</v>
      </c>
      <c r="C283" s="1205" t="s">
        <v>670</v>
      </c>
      <c r="D283" s="1206" t="s">
        <v>527</v>
      </c>
      <c r="E283" s="1386" t="s">
        <v>540</v>
      </c>
      <c r="F283" s="521"/>
      <c r="G283" s="522"/>
      <c r="H283" s="522"/>
      <c r="I283" s="522"/>
      <c r="J283" s="523"/>
      <c r="K283" s="523"/>
      <c r="L283" s="523"/>
      <c r="M283" s="524"/>
      <c r="N283" s="525"/>
      <c r="O283" s="526" t="s">
        <v>1237</v>
      </c>
      <c r="P283" s="525">
        <f>'HIV-Key Info'!$G$89*(('HIV-Key Info'!$E$89*'HPM costs'!F636)+('HIV-Key Info'!$F$89*('HPM costs'!F639+'HPM costs'!F642)))</f>
        <v>0</v>
      </c>
      <c r="Q283" s="525" t="s">
        <v>1237</v>
      </c>
      <c r="R283" s="525">
        <f>'HIV-Key Info'!$G$89*(('HIV-Key Info'!$E$89*'HPM costs'!G636)+('HIV-Key Info'!$F$89*('HPM costs'!G639+'HPM costs'!G642)))</f>
        <v>0</v>
      </c>
      <c r="S283" s="525" t="s">
        <v>1237</v>
      </c>
      <c r="T283" s="525">
        <f>'HIV-Key Info'!$G$89*(('HIV-Key Info'!$E$89*'HPM costs'!H636)+('HIV-Key Info'!$F$89*('HPM costs'!H639+'HPM costs'!H642)))</f>
        <v>0</v>
      </c>
      <c r="U283" s="525" t="s">
        <v>1237</v>
      </c>
      <c r="V283" s="525">
        <f>'HIV-Key Info'!$G$89*(('HIV-Key Info'!$E$89*'HPM costs'!I636)+('HIV-Key Info'!$F$89*('HPM costs'!I639+'HPM costs'!I642)))</f>
        <v>0</v>
      </c>
      <c r="W283" s="525"/>
      <c r="X283" s="1154">
        <f t="shared" si="30"/>
        <v>0</v>
      </c>
      <c r="Y283" s="1155"/>
      <c r="Z283" s="1156"/>
      <c r="AA283" s="529"/>
      <c r="AB283" s="525"/>
      <c r="AC283" s="525">
        <f>'HIV-Key Info'!$G$89*(('HIV-Key Info'!$E$89*'HPM costs'!K636)+('HIV-Key Info'!$F$89*('HPM costs'!K639+'HPM costs'!K642)))</f>
        <v>0</v>
      </c>
      <c r="AD283" s="525"/>
      <c r="AE283" s="525">
        <f>'HIV-Key Info'!$G$89*(('HIV-Key Info'!$E$89*'HPM costs'!L636)+('HIV-Key Info'!$F$89*('HPM costs'!L639+'HPM costs'!L642)))</f>
        <v>0</v>
      </c>
      <c r="AF283" s="525"/>
      <c r="AG283" s="525">
        <f>'HIV-Key Info'!$G$89*(('HIV-Key Info'!$E$89*'HPM costs'!M636)+('HIV-Key Info'!$F$89*('HPM costs'!M639+'HPM costs'!M642)))</f>
        <v>0</v>
      </c>
      <c r="AH283" s="525"/>
      <c r="AI283" s="525">
        <f>'HIV-Key Info'!$G$89*(('HIV-Key Info'!$E$89*'HPM costs'!N636)+('HIV-Key Info'!$F$89*('HPM costs'!N639+'HPM costs'!N642)))</f>
        <v>0</v>
      </c>
      <c r="AJ283" s="525"/>
      <c r="AK283" s="1154">
        <f t="shared" si="31"/>
        <v>0</v>
      </c>
      <c r="AL283" s="1155"/>
      <c r="AM283" s="1156"/>
      <c r="AN283" s="529"/>
      <c r="AO283" s="525"/>
      <c r="AP283" s="525">
        <f>'HIV-Key Info'!$G$89*(('HIV-Key Info'!$E$89*'HPM costs'!P636)+('HIV-Key Info'!$F$89*('HPM costs'!P639+'HPM costs'!P642)))</f>
        <v>0</v>
      </c>
      <c r="AQ283" s="525"/>
      <c r="AR283" s="525">
        <f>'HIV-Key Info'!$G$89*(('HIV-Key Info'!$E$89*'HPM costs'!Q636)+('HIV-Key Info'!$F$89*('HPM costs'!Q639+'HPM costs'!Q642)))</f>
        <v>0</v>
      </c>
      <c r="AS283" s="525"/>
      <c r="AT283" s="525">
        <f>'HIV-Key Info'!$G$89*(('HIV-Key Info'!$E$89*'HPM costs'!R636)+('HIV-Key Info'!$F$89*('HPM costs'!R639+'HPM costs'!R642)))</f>
        <v>0</v>
      </c>
      <c r="AU283" s="525"/>
      <c r="AV283" s="525">
        <f>'HIV-Key Info'!$G$89*(('HIV-Key Info'!$E$89*'HPM costs'!S636)+('HIV-Key Info'!$F$89*('HPM costs'!S639+'HPM costs'!S642)))</f>
        <v>0</v>
      </c>
      <c r="AW283" s="525"/>
      <c r="AX283" s="1154">
        <f t="shared" si="32"/>
        <v>0</v>
      </c>
      <c r="AY283" s="1154"/>
      <c r="AZ283" s="528"/>
      <c r="BA283" s="529"/>
      <c r="BB283" s="527"/>
      <c r="BC283" s="527">
        <v>0</v>
      </c>
      <c r="BD283" s="527">
        <v>0</v>
      </c>
      <c r="BE283" s="527">
        <v>0</v>
      </c>
      <c r="BF283" s="527">
        <v>0</v>
      </c>
      <c r="BG283" s="527">
        <v>0</v>
      </c>
      <c r="BH283" s="527">
        <v>0</v>
      </c>
      <c r="BI283" s="527">
        <v>0</v>
      </c>
      <c r="BJ283" s="527">
        <v>0</v>
      </c>
      <c r="BK283" s="1154">
        <f t="shared" si="33"/>
        <v>0</v>
      </c>
      <c r="BL283" s="1154"/>
      <c r="BM283" s="1154">
        <f t="shared" si="34"/>
        <v>0</v>
      </c>
      <c r="BN283" s="1154">
        <f t="shared" si="35"/>
        <v>0</v>
      </c>
      <c r="BO283" s="527"/>
      <c r="BP283" s="527"/>
      <c r="BQ283" s="1157" t="s">
        <v>223</v>
      </c>
      <c r="BR283" s="1157" t="s">
        <v>690</v>
      </c>
      <c r="BS283" s="1157" t="s">
        <v>527</v>
      </c>
      <c r="BT283" s="1376" t="s">
        <v>1587</v>
      </c>
    </row>
    <row r="284" spans="1:72" s="1371" customFormat="1" ht="13">
      <c r="A284" s="1204">
        <v>840</v>
      </c>
      <c r="B284" s="1205" t="s">
        <v>672</v>
      </c>
      <c r="C284" s="1205" t="s">
        <v>673</v>
      </c>
      <c r="D284" s="1206" t="s">
        <v>2571</v>
      </c>
      <c r="E284" s="1386" t="s">
        <v>603</v>
      </c>
      <c r="F284" s="521"/>
      <c r="G284" s="522"/>
      <c r="H284" s="522"/>
      <c r="I284" s="522"/>
      <c r="J284" s="523"/>
      <c r="K284" s="523"/>
      <c r="L284" s="523"/>
      <c r="M284" s="524"/>
      <c r="N284" s="525"/>
      <c r="O284" s="526" t="s">
        <v>1237</v>
      </c>
      <c r="P284" s="525">
        <f>'HIV-Key Info'!$G$80*('HIV-Key Info'!$E$80*('HPM costs'!F119/'HPM costs'!$E$119)+'HIV-Key Info'!$F$80*('HPM costs'!F125/'HPM costs'!$E$125+'HPM costs'!F122/'HPM costs'!$E$122))</f>
        <v>0</v>
      </c>
      <c r="Q284" s="525" t="s">
        <v>1237</v>
      </c>
      <c r="R284" s="525">
        <f>'HIV-Key Info'!$G$80*('HIV-Key Info'!$E$80*('HPM costs'!G119/'HPM costs'!$E$119)+'HIV-Key Info'!$F$80*('HPM costs'!G125/'HPM costs'!$E$125+'HPM costs'!G122/'HPM costs'!$E$122))</f>
        <v>35980.321041315001</v>
      </c>
      <c r="S284" s="525" t="s">
        <v>1237</v>
      </c>
      <c r="T284" s="525">
        <f>'HIV-Key Info'!$G$80*('HIV-Key Info'!$E$80*('HPM costs'!H119/'HPM costs'!$E$119)+'HIV-Key Info'!$F$80*('HPM costs'!H125/'HPM costs'!$E$125+'HPM costs'!H122/'HPM costs'!$E$122))</f>
        <v>0</v>
      </c>
      <c r="U284" s="525" t="s">
        <v>1237</v>
      </c>
      <c r="V284" s="525">
        <f>'HIV-Key Info'!$G$80*('HIV-Key Info'!$E$80*('HPM costs'!I119/'HPM costs'!$E$119)+'HIV-Key Info'!$F$80*('HPM costs'!I125/'HPM costs'!$E$125+'HPM costs'!I122/'HPM costs'!$E$122))</f>
        <v>0</v>
      </c>
      <c r="W284" s="525"/>
      <c r="X284" s="1154">
        <f t="shared" si="30"/>
        <v>35980.321041315001</v>
      </c>
      <c r="Y284" s="1155"/>
      <c r="Z284" s="1156"/>
      <c r="AA284" s="529"/>
      <c r="AB284" s="525"/>
      <c r="AC284" s="525">
        <f>'HIV-Key Info'!$G$80*('HIV-Key Info'!$E$80*('HPM costs'!K119/'HPM costs'!$E$119)+'HIV-Key Info'!$F$80*('HPM costs'!K125/'HPM costs'!$E$125+'HPM costs'!K122/'HPM costs'!$E$122))</f>
        <v>0</v>
      </c>
      <c r="AD284" s="525"/>
      <c r="AE284" s="525">
        <f>'HIV-Key Info'!$G$80*('HIV-Key Info'!$E$80*('HPM costs'!L119/'HPM costs'!$E$119)+'HIV-Key Info'!$F$80*('HPM costs'!L125/'HPM costs'!$E$125+'HPM costs'!L122/'HPM costs'!$E$122))</f>
        <v>37640.942865141005</v>
      </c>
      <c r="AF284" s="525"/>
      <c r="AG284" s="525">
        <f>'HIV-Key Info'!$G$80*('HIV-Key Info'!$E$80*('HPM costs'!M119/'HPM costs'!$E$119)+'HIV-Key Info'!$F$80*('HPM costs'!M125/'HPM costs'!$E$125+'HPM costs'!M122/'HPM costs'!$E$122))</f>
        <v>0</v>
      </c>
      <c r="AH284" s="525"/>
      <c r="AI284" s="525">
        <f>'HIV-Key Info'!$G$80*('HIV-Key Info'!$E$80*('HPM costs'!N119/'HPM costs'!$E$119)+'HIV-Key Info'!$F$80*('HPM costs'!N125/'HPM costs'!$E$125+'HPM costs'!N122/'HPM costs'!$E$122))</f>
        <v>0</v>
      </c>
      <c r="AJ284" s="525"/>
      <c r="AK284" s="1154">
        <f t="shared" si="31"/>
        <v>37640.942865141005</v>
      </c>
      <c r="AL284" s="1155"/>
      <c r="AM284" s="1156"/>
      <c r="AN284" s="529"/>
      <c r="AO284" s="525"/>
      <c r="AP284" s="525">
        <f>'HIV-Key Info'!$G$80*('HIV-Key Info'!$E$80*('HPM costs'!P119/'HPM costs'!$E$119)+'HIV-Key Info'!$F$80*('HPM costs'!P125/'HPM costs'!$E$125+'HPM costs'!P122/'HPM costs'!$E$122))</f>
        <v>0</v>
      </c>
      <c r="AQ284" s="525"/>
      <c r="AR284" s="525">
        <f>'HIV-Key Info'!$G$80*('HIV-Key Info'!$E$80*('HPM costs'!Q119/'HPM costs'!$E$119)+'HIV-Key Info'!$F$80*('HPM costs'!Q125/'HPM costs'!$E$125+'HPM costs'!Q122/'HPM costs'!$E$122))</f>
        <v>40047.613783716006</v>
      </c>
      <c r="AS284" s="525"/>
      <c r="AT284" s="525">
        <f>'HIV-Key Info'!$G$80*('HIV-Key Info'!$E$80*('HPM costs'!R119/'HPM costs'!$E$119)+'HIV-Key Info'!$F$80*('HPM costs'!R125/'HPM costs'!$E$125+'HPM costs'!R122/'HPM costs'!$E$122))</f>
        <v>0</v>
      </c>
      <c r="AU284" s="525"/>
      <c r="AV284" s="525">
        <f>'HIV-Key Info'!$G$80*('HIV-Key Info'!$E$80*('HPM costs'!S119/'HPM costs'!$E$119)+'HIV-Key Info'!$F$80*('HPM costs'!S125/'HPM costs'!$E$125+'HPM costs'!S122/'HPM costs'!$E$122))</f>
        <v>0</v>
      </c>
      <c r="AW284" s="525"/>
      <c r="AX284" s="1154">
        <f t="shared" si="32"/>
        <v>40047.613783716006</v>
      </c>
      <c r="AY284" s="1154"/>
      <c r="AZ284" s="528"/>
      <c r="BA284" s="529"/>
      <c r="BB284" s="527"/>
      <c r="BC284" s="527">
        <v>0</v>
      </c>
      <c r="BD284" s="527">
        <v>0</v>
      </c>
      <c r="BE284" s="527">
        <v>0</v>
      </c>
      <c r="BF284" s="527">
        <v>0</v>
      </c>
      <c r="BG284" s="527">
        <v>0</v>
      </c>
      <c r="BH284" s="527">
        <v>0</v>
      </c>
      <c r="BI284" s="527">
        <v>0</v>
      </c>
      <c r="BJ284" s="527">
        <v>0</v>
      </c>
      <c r="BK284" s="1154">
        <f t="shared" si="33"/>
        <v>0</v>
      </c>
      <c r="BL284" s="1154"/>
      <c r="BM284" s="1154">
        <f t="shared" si="34"/>
        <v>0</v>
      </c>
      <c r="BN284" s="1154">
        <f t="shared" si="35"/>
        <v>113668.87769017203</v>
      </c>
      <c r="BO284" s="527"/>
      <c r="BP284" s="527" t="s">
        <v>4293</v>
      </c>
      <c r="BQ284" s="1157" t="s">
        <v>2550</v>
      </c>
      <c r="BR284" s="1157" t="s">
        <v>690</v>
      </c>
      <c r="BS284" s="1157" t="s">
        <v>2570</v>
      </c>
      <c r="BT284" s="1376" t="s">
        <v>1588</v>
      </c>
    </row>
    <row r="285" spans="1:72" s="1371" customFormat="1" ht="13">
      <c r="A285" s="1204">
        <v>841</v>
      </c>
      <c r="B285" s="1205" t="s">
        <v>672</v>
      </c>
      <c r="C285" s="1205" t="s">
        <v>673</v>
      </c>
      <c r="D285" s="1206" t="s">
        <v>2506</v>
      </c>
      <c r="E285" s="1386" t="s">
        <v>528</v>
      </c>
      <c r="F285" s="521"/>
      <c r="G285" s="522"/>
      <c r="H285" s="522"/>
      <c r="I285" s="522"/>
      <c r="J285" s="523"/>
      <c r="K285" s="523"/>
      <c r="L285" s="523"/>
      <c r="M285" s="524"/>
      <c r="N285" s="525"/>
      <c r="O285" s="526" t="s">
        <v>1237</v>
      </c>
      <c r="P285" s="525">
        <f>'HIV-Key Info'!$G$80*(('HIV-Key Info'!$E$80*'HPM costs'!F33)+('HIV-Key Info'!$F$80*('HPM costs'!F36+'HPM costs'!F39)))</f>
        <v>0</v>
      </c>
      <c r="Q285" s="525" t="s">
        <v>1237</v>
      </c>
      <c r="R285" s="525">
        <f>'HIV-Key Info'!$G$80*(('HIV-Key Info'!$E$80*'HPM costs'!G33)+('HIV-Key Info'!$F$80*('HPM costs'!G36+'HPM costs'!G39)))</f>
        <v>2158.8192624788999</v>
      </c>
      <c r="S285" s="525" t="s">
        <v>1237</v>
      </c>
      <c r="T285" s="525">
        <f>'HIV-Key Info'!$G$80*(('HIV-Key Info'!$E$80*'HPM costs'!H33)+('HIV-Key Info'!$F$80*('HPM costs'!H36+'HPM costs'!H39)))</f>
        <v>0</v>
      </c>
      <c r="U285" s="525" t="s">
        <v>1237</v>
      </c>
      <c r="V285" s="525">
        <f>'HIV-Key Info'!$G$80*(('HIV-Key Info'!$E$80*'HPM costs'!I33)+('HIV-Key Info'!$F$80*('HPM costs'!I36+'HPM costs'!I39)))</f>
        <v>0</v>
      </c>
      <c r="W285" s="525"/>
      <c r="X285" s="1154">
        <f t="shared" si="30"/>
        <v>2158.8192624788999</v>
      </c>
      <c r="Y285" s="1155"/>
      <c r="Z285" s="1156"/>
      <c r="AA285" s="529"/>
      <c r="AB285" s="525"/>
      <c r="AC285" s="525">
        <f>'HIV-Key Info'!$G$80*(('HIV-Key Info'!$E$80*'HPM costs'!K33)+('HIV-Key Info'!$F$80*('HPM costs'!K36+'HPM costs'!K39)))</f>
        <v>0</v>
      </c>
      <c r="AD285" s="525"/>
      <c r="AE285" s="525">
        <f>'HIV-Key Info'!$G$80*(('HIV-Key Info'!$E$80*'HPM costs'!L33)+('HIV-Key Info'!$F$80*('HPM costs'!L36+'HPM costs'!L39)))</f>
        <v>2258.4565719084603</v>
      </c>
      <c r="AF285" s="525"/>
      <c r="AG285" s="525">
        <f>'HIV-Key Info'!$G$80*(('HIV-Key Info'!$E$80*'HPM costs'!M33)+('HIV-Key Info'!$F$80*('HPM costs'!M36+'HPM costs'!M39)))</f>
        <v>0</v>
      </c>
      <c r="AH285" s="525"/>
      <c r="AI285" s="525">
        <f>'HIV-Key Info'!$G$80*(('HIV-Key Info'!$E$80*'HPM costs'!N33)+('HIV-Key Info'!$F$80*('HPM costs'!N36+'HPM costs'!N39)))</f>
        <v>0</v>
      </c>
      <c r="AJ285" s="525"/>
      <c r="AK285" s="1154">
        <f t="shared" si="31"/>
        <v>2258.4565719084603</v>
      </c>
      <c r="AL285" s="1155"/>
      <c r="AM285" s="1156"/>
      <c r="AN285" s="529"/>
      <c r="AO285" s="525"/>
      <c r="AP285" s="525">
        <f>'HIV-Key Info'!$G$80*(('HIV-Key Info'!$E$80*'HPM costs'!P33)+('HIV-Key Info'!$F$80*('HPM costs'!P36+'HPM costs'!P39)))</f>
        <v>0</v>
      </c>
      <c r="AQ285" s="525"/>
      <c r="AR285" s="525">
        <f>'HIV-Key Info'!$G$80*(('HIV-Key Info'!$E$80*'HPM costs'!Q33)+('HIV-Key Info'!$F$80*('HPM costs'!Q36+'HPM costs'!Q39)))</f>
        <v>2402.8568270229603</v>
      </c>
      <c r="AS285" s="525"/>
      <c r="AT285" s="525">
        <f>'HIV-Key Info'!$G$80*(('HIV-Key Info'!$E$80*'HPM costs'!R33)+('HIV-Key Info'!$F$80*('HPM costs'!R36+'HPM costs'!R39)))</f>
        <v>0</v>
      </c>
      <c r="AU285" s="525"/>
      <c r="AV285" s="525">
        <f>'HIV-Key Info'!$G$80*(('HIV-Key Info'!$E$80*'HPM costs'!S33)+('HIV-Key Info'!$F$80*('HPM costs'!S36+'HPM costs'!S39)))</f>
        <v>0</v>
      </c>
      <c r="AW285" s="525"/>
      <c r="AX285" s="1154">
        <f t="shared" si="32"/>
        <v>2402.8568270229603</v>
      </c>
      <c r="AY285" s="1154"/>
      <c r="AZ285" s="528"/>
      <c r="BA285" s="529"/>
      <c r="BB285" s="527"/>
      <c r="BC285" s="527">
        <v>0</v>
      </c>
      <c r="BD285" s="527">
        <v>0</v>
      </c>
      <c r="BE285" s="527">
        <v>0</v>
      </c>
      <c r="BF285" s="527">
        <v>0</v>
      </c>
      <c r="BG285" s="527">
        <v>0</v>
      </c>
      <c r="BH285" s="527">
        <v>0</v>
      </c>
      <c r="BI285" s="527">
        <v>0</v>
      </c>
      <c r="BJ285" s="527">
        <v>0</v>
      </c>
      <c r="BK285" s="1154">
        <f t="shared" si="33"/>
        <v>0</v>
      </c>
      <c r="BL285" s="1154"/>
      <c r="BM285" s="1154">
        <f t="shared" si="34"/>
        <v>0</v>
      </c>
      <c r="BN285" s="1154">
        <f t="shared" si="35"/>
        <v>6820.1326614103209</v>
      </c>
      <c r="BO285" s="527"/>
      <c r="BP285" s="527" t="s">
        <v>4303</v>
      </c>
      <c r="BQ285" s="1157" t="s">
        <v>2550</v>
      </c>
      <c r="BR285" s="1157" t="s">
        <v>690</v>
      </c>
      <c r="BS285" s="1157" t="s">
        <v>527</v>
      </c>
      <c r="BT285" s="1376" t="s">
        <v>1589</v>
      </c>
    </row>
    <row r="286" spans="1:72" s="1371" customFormat="1" ht="13">
      <c r="A286" s="1204">
        <v>842</v>
      </c>
      <c r="B286" s="1205" t="s">
        <v>672</v>
      </c>
      <c r="C286" s="1205" t="s">
        <v>673</v>
      </c>
      <c r="D286" s="1206" t="s">
        <v>2506</v>
      </c>
      <c r="E286" s="1386" t="s">
        <v>530</v>
      </c>
      <c r="F286" s="521"/>
      <c r="G286" s="522"/>
      <c r="H286" s="522"/>
      <c r="I286" s="522"/>
      <c r="J286" s="523"/>
      <c r="K286" s="523"/>
      <c r="L286" s="523"/>
      <c r="M286" s="524"/>
      <c r="N286" s="525"/>
      <c r="O286" s="526" t="s">
        <v>1237</v>
      </c>
      <c r="P286" s="525">
        <f>'HIV-Key Info'!$G$80*(('HIV-Key Info'!$E$80*'HPM costs'!F119)+('HIV-Key Info'!$F$80*('HPM costs'!F122+'HPM costs'!F125)))</f>
        <v>0</v>
      </c>
      <c r="Q286" s="525" t="s">
        <v>1237</v>
      </c>
      <c r="R286" s="525">
        <f>'HIV-Key Info'!$G$80*(('HIV-Key Info'!$E$80*'HPM costs'!G119)+('HIV-Key Info'!$F$80*('HPM costs'!G122+'HPM costs'!G125)))</f>
        <v>3.5980321041314995E-12</v>
      </c>
      <c r="S286" s="525" t="s">
        <v>1237</v>
      </c>
      <c r="T286" s="525">
        <f>'HIV-Key Info'!$G$80*(('HIV-Key Info'!$E$80*'HPM costs'!H119)+('HIV-Key Info'!$F$80*('HPM costs'!H122+'HPM costs'!H125)))</f>
        <v>0</v>
      </c>
      <c r="U286" s="525" t="s">
        <v>1237</v>
      </c>
      <c r="V286" s="525">
        <f>'HIV-Key Info'!$G$80*(('HIV-Key Info'!$E$80*'HPM costs'!I119)+('HIV-Key Info'!$F$80*('HPM costs'!I122+'HPM costs'!I125)))</f>
        <v>0</v>
      </c>
      <c r="W286" s="525"/>
      <c r="X286" s="1154">
        <f t="shared" si="30"/>
        <v>3.5980321041314995E-12</v>
      </c>
      <c r="Y286" s="1155"/>
      <c r="Z286" s="1156"/>
      <c r="AA286" s="529"/>
      <c r="AB286" s="525"/>
      <c r="AC286" s="525">
        <f>'HIV-Key Info'!$G$80*(('HIV-Key Info'!$E$80*'HPM costs'!K119)+('HIV-Key Info'!$F$80*('HPM costs'!K122+'HPM costs'!K125)))</f>
        <v>0</v>
      </c>
      <c r="AD286" s="525"/>
      <c r="AE286" s="525">
        <f>'HIV-Key Info'!$G$80*(('HIV-Key Info'!$E$80*'HPM costs'!L119)+('HIV-Key Info'!$F$80*('HPM costs'!L122+'HPM costs'!L125)))</f>
        <v>3.7640942865140997E-12</v>
      </c>
      <c r="AF286" s="525"/>
      <c r="AG286" s="525">
        <f>'HIV-Key Info'!$G$80*(('HIV-Key Info'!$E$80*'HPM costs'!M119)+('HIV-Key Info'!$F$80*('HPM costs'!M122+'HPM costs'!M125)))</f>
        <v>0</v>
      </c>
      <c r="AH286" s="525"/>
      <c r="AI286" s="525">
        <f>'HIV-Key Info'!$G$80*(('HIV-Key Info'!$E$80*'HPM costs'!N119)+('HIV-Key Info'!$F$80*('HPM costs'!N122+'HPM costs'!N125)))</f>
        <v>0</v>
      </c>
      <c r="AJ286" s="525"/>
      <c r="AK286" s="1154">
        <f t="shared" si="31"/>
        <v>3.7640942865140997E-12</v>
      </c>
      <c r="AL286" s="1155"/>
      <c r="AM286" s="1156"/>
      <c r="AN286" s="529"/>
      <c r="AO286" s="525"/>
      <c r="AP286" s="525">
        <f>'HIV-Key Info'!$G$80*(('HIV-Key Info'!$E$80*'HPM costs'!P119)+('HIV-Key Info'!$F$80*('HPM costs'!P122+'HPM costs'!P125)))</f>
        <v>0</v>
      </c>
      <c r="AQ286" s="525"/>
      <c r="AR286" s="525">
        <f>'HIV-Key Info'!$G$80*(('HIV-Key Info'!$E$80*'HPM costs'!Q119)+('HIV-Key Info'!$F$80*('HPM costs'!Q122+'HPM costs'!Q125)))</f>
        <v>4.0047613783715999E-12</v>
      </c>
      <c r="AS286" s="525"/>
      <c r="AT286" s="525">
        <f>'HIV-Key Info'!$G$80*(('HIV-Key Info'!$E$80*'HPM costs'!R119)+('HIV-Key Info'!$F$80*('HPM costs'!R122+'HPM costs'!R125)))</f>
        <v>0</v>
      </c>
      <c r="AU286" s="525"/>
      <c r="AV286" s="525">
        <f>'HIV-Key Info'!$G$80*(('HIV-Key Info'!$E$80*'HPM costs'!S119)+('HIV-Key Info'!$F$80*('HPM costs'!S122+'HPM costs'!S125)))</f>
        <v>0</v>
      </c>
      <c r="AW286" s="525"/>
      <c r="AX286" s="1154">
        <f t="shared" si="32"/>
        <v>4.0047613783715999E-12</v>
      </c>
      <c r="AY286" s="1154"/>
      <c r="AZ286" s="528"/>
      <c r="BA286" s="529"/>
      <c r="BB286" s="527"/>
      <c r="BC286" s="527">
        <v>0</v>
      </c>
      <c r="BD286" s="527">
        <v>0</v>
      </c>
      <c r="BE286" s="527">
        <v>0</v>
      </c>
      <c r="BF286" s="527">
        <v>0</v>
      </c>
      <c r="BG286" s="527">
        <v>0</v>
      </c>
      <c r="BH286" s="527">
        <v>0</v>
      </c>
      <c r="BI286" s="527">
        <v>0</v>
      </c>
      <c r="BJ286" s="527">
        <v>0</v>
      </c>
      <c r="BK286" s="1154">
        <f t="shared" si="33"/>
        <v>0</v>
      </c>
      <c r="BL286" s="1154"/>
      <c r="BM286" s="1154">
        <f t="shared" si="34"/>
        <v>0</v>
      </c>
      <c r="BN286" s="1154">
        <f t="shared" si="35"/>
        <v>1.1366887769017199E-11</v>
      </c>
      <c r="BO286" s="527"/>
      <c r="BP286" s="527"/>
      <c r="BQ286" s="1157" t="s">
        <v>2550</v>
      </c>
      <c r="BR286" s="1157" t="s">
        <v>690</v>
      </c>
      <c r="BS286" s="1157" t="s">
        <v>527</v>
      </c>
      <c r="BT286" s="1376" t="s">
        <v>1590</v>
      </c>
    </row>
    <row r="287" spans="1:72" s="1371" customFormat="1" ht="13">
      <c r="A287" s="1204">
        <v>843</v>
      </c>
      <c r="B287" s="1205" t="s">
        <v>672</v>
      </c>
      <c r="C287" s="1205" t="s">
        <v>673</v>
      </c>
      <c r="D287" s="1206" t="s">
        <v>2506</v>
      </c>
      <c r="E287" s="1386" t="s">
        <v>532</v>
      </c>
      <c r="F287" s="521"/>
      <c r="G287" s="522"/>
      <c r="H287" s="522"/>
      <c r="I287" s="522"/>
      <c r="J287" s="523"/>
      <c r="K287" s="523"/>
      <c r="L287" s="523"/>
      <c r="M287" s="524"/>
      <c r="N287" s="525"/>
      <c r="O287" s="526" t="s">
        <v>1237</v>
      </c>
      <c r="P287" s="525">
        <f>'HIV-Key Info'!$G$80*(('HIV-Key Info'!$E$80*'HPM costs'!F379)+('HIV-Key Info'!$F$80*('HPM costs'!F382+'HPM costs'!F385)))</f>
        <v>0</v>
      </c>
      <c r="Q287" s="525" t="s">
        <v>1237</v>
      </c>
      <c r="R287" s="525">
        <f>'HIV-Key Info'!$G$80*(('HIV-Key Info'!$E$80*'HPM costs'!G379)+('HIV-Key Info'!$F$80*('HPM costs'!G382+'HPM costs'!G385)))</f>
        <v>0</v>
      </c>
      <c r="S287" s="525" t="s">
        <v>1237</v>
      </c>
      <c r="T287" s="525">
        <f>'HIV-Key Info'!$G$80*(('HIV-Key Info'!$E$80*'HPM costs'!H379)+('HIV-Key Info'!$F$80*('HPM costs'!H382+'HPM costs'!H385)))</f>
        <v>0</v>
      </c>
      <c r="U287" s="525" t="s">
        <v>1237</v>
      </c>
      <c r="V287" s="525">
        <f>'HIV-Key Info'!$G$80*(('HIV-Key Info'!$E$80*'HPM costs'!I379)+('HIV-Key Info'!$F$80*('HPM costs'!I382+'HPM costs'!I385)))</f>
        <v>0</v>
      </c>
      <c r="W287" s="525"/>
      <c r="X287" s="1154">
        <f t="shared" si="30"/>
        <v>0</v>
      </c>
      <c r="Y287" s="1155"/>
      <c r="Z287" s="1156"/>
      <c r="AA287" s="529"/>
      <c r="AB287" s="525"/>
      <c r="AC287" s="525">
        <f>'HIV-Key Info'!$G$80*(('HIV-Key Info'!$E$80*'HPM costs'!K379)+('HIV-Key Info'!$F$80*('HPM costs'!K382+'HPM costs'!K385)))</f>
        <v>0</v>
      </c>
      <c r="AD287" s="525"/>
      <c r="AE287" s="525">
        <f>'HIV-Key Info'!$G$80*(('HIV-Key Info'!$E$80*'HPM costs'!L379)+('HIV-Key Info'!$F$80*('HPM costs'!L382+'HPM costs'!L385)))</f>
        <v>0</v>
      </c>
      <c r="AF287" s="525"/>
      <c r="AG287" s="525">
        <f>'HIV-Key Info'!$G$80*(('HIV-Key Info'!$E$80*'HPM costs'!M379)+('HIV-Key Info'!$F$80*('HPM costs'!M382+'HPM costs'!M385)))</f>
        <v>0</v>
      </c>
      <c r="AH287" s="525"/>
      <c r="AI287" s="525">
        <f>'HIV-Key Info'!$G$80*(('HIV-Key Info'!$E$80*'HPM costs'!N379)+('HIV-Key Info'!$F$80*('HPM costs'!N382+'HPM costs'!N385)))</f>
        <v>0</v>
      </c>
      <c r="AJ287" s="525"/>
      <c r="AK287" s="1154">
        <f t="shared" si="31"/>
        <v>0</v>
      </c>
      <c r="AL287" s="1155"/>
      <c r="AM287" s="1156"/>
      <c r="AN287" s="529"/>
      <c r="AO287" s="525"/>
      <c r="AP287" s="525">
        <f>'HIV-Key Info'!$G$80*(('HIV-Key Info'!$E$80*'HPM costs'!P379)+('HIV-Key Info'!$F$80*('HPM costs'!P382+'HPM costs'!P385)))</f>
        <v>0</v>
      </c>
      <c r="AQ287" s="525"/>
      <c r="AR287" s="525">
        <f>'HIV-Key Info'!$G$80*(('HIV-Key Info'!$E$80*'HPM costs'!Q379)+('HIV-Key Info'!$F$80*('HPM costs'!Q382+'HPM costs'!Q385)))</f>
        <v>0</v>
      </c>
      <c r="AS287" s="525"/>
      <c r="AT287" s="525">
        <f>'HIV-Key Info'!$G$80*(('HIV-Key Info'!$E$80*'HPM costs'!R379)+('HIV-Key Info'!$F$80*('HPM costs'!R382+'HPM costs'!R385)))</f>
        <v>0</v>
      </c>
      <c r="AU287" s="525"/>
      <c r="AV287" s="525">
        <f>'HIV-Key Info'!$G$80*(('HIV-Key Info'!$E$80*'HPM costs'!S379)+('HIV-Key Info'!$F$80*('HPM costs'!S382+'HPM costs'!S385)))</f>
        <v>0</v>
      </c>
      <c r="AW287" s="525"/>
      <c r="AX287" s="1154">
        <f t="shared" si="32"/>
        <v>0</v>
      </c>
      <c r="AY287" s="1154"/>
      <c r="AZ287" s="528"/>
      <c r="BA287" s="529"/>
      <c r="BB287" s="527"/>
      <c r="BC287" s="527">
        <v>0</v>
      </c>
      <c r="BD287" s="527">
        <v>0</v>
      </c>
      <c r="BE287" s="527">
        <v>0</v>
      </c>
      <c r="BF287" s="527">
        <v>0</v>
      </c>
      <c r="BG287" s="527">
        <v>0</v>
      </c>
      <c r="BH287" s="527">
        <v>0</v>
      </c>
      <c r="BI287" s="527">
        <v>0</v>
      </c>
      <c r="BJ287" s="527">
        <v>0</v>
      </c>
      <c r="BK287" s="1154">
        <f t="shared" si="33"/>
        <v>0</v>
      </c>
      <c r="BL287" s="1154"/>
      <c r="BM287" s="1154">
        <f t="shared" si="34"/>
        <v>0</v>
      </c>
      <c r="BN287" s="1154">
        <f t="shared" si="35"/>
        <v>0</v>
      </c>
      <c r="BO287" s="527"/>
      <c r="BP287" s="527"/>
      <c r="BQ287" s="1157" t="s">
        <v>2550</v>
      </c>
      <c r="BR287" s="1157" t="s">
        <v>690</v>
      </c>
      <c r="BS287" s="1157" t="s">
        <v>527</v>
      </c>
      <c r="BT287" s="1376" t="s">
        <v>1591</v>
      </c>
    </row>
    <row r="288" spans="1:72" s="1371" customFormat="1" ht="13">
      <c r="A288" s="1204">
        <v>844</v>
      </c>
      <c r="B288" s="1205" t="s">
        <v>672</v>
      </c>
      <c r="C288" s="1205" t="s">
        <v>673</v>
      </c>
      <c r="D288" s="1206" t="s">
        <v>2506</v>
      </c>
      <c r="E288" s="1386" t="s">
        <v>534</v>
      </c>
      <c r="F288" s="521"/>
      <c r="G288" s="522"/>
      <c r="H288" s="522"/>
      <c r="I288" s="522"/>
      <c r="J288" s="523"/>
      <c r="K288" s="523"/>
      <c r="L288" s="523"/>
      <c r="M288" s="524"/>
      <c r="N288" s="525"/>
      <c r="O288" s="526" t="s">
        <v>1237</v>
      </c>
      <c r="P288" s="525">
        <f>'HIV-Key Info'!$G$80*(('HIV-Key Info'!$E$80*'HPM costs'!F465)+('HIV-Key Info'!$F$80*('HPM costs'!F468+'HPM costs'!F471)))</f>
        <v>0</v>
      </c>
      <c r="Q288" s="525" t="s">
        <v>1237</v>
      </c>
      <c r="R288" s="525">
        <f>'HIV-Key Info'!$G$80*(('HIV-Key Info'!$E$80*'HPM costs'!G465)+('HIV-Key Info'!$F$80*('HPM costs'!G468+'HPM costs'!G471)))</f>
        <v>0</v>
      </c>
      <c r="S288" s="525" t="s">
        <v>1237</v>
      </c>
      <c r="T288" s="525">
        <f>'HIV-Key Info'!$G$80*(('HIV-Key Info'!$E$80*'HPM costs'!H465)+('HIV-Key Info'!$F$80*('HPM costs'!H468+'HPM costs'!H471)))</f>
        <v>0</v>
      </c>
      <c r="U288" s="525" t="s">
        <v>1237</v>
      </c>
      <c r="V288" s="525">
        <f>'HIV-Key Info'!$G$80*(('HIV-Key Info'!$E$80*'HPM costs'!I465)+('HIV-Key Info'!$F$80*('HPM costs'!I468+'HPM costs'!I471)))</f>
        <v>0</v>
      </c>
      <c r="W288" s="525"/>
      <c r="X288" s="1154">
        <f t="shared" si="30"/>
        <v>0</v>
      </c>
      <c r="Y288" s="1155"/>
      <c r="Z288" s="1156"/>
      <c r="AA288" s="529"/>
      <c r="AB288" s="525"/>
      <c r="AC288" s="525">
        <f>'HIV-Key Info'!$G$80*(('HIV-Key Info'!$E$80*'HPM costs'!K465)+('HIV-Key Info'!$F$80*('HPM costs'!K468+'HPM costs'!K471)))</f>
        <v>0</v>
      </c>
      <c r="AD288" s="525"/>
      <c r="AE288" s="525">
        <f>'HIV-Key Info'!$G$80*(('HIV-Key Info'!$E$80*'HPM costs'!L465)+('HIV-Key Info'!$F$80*('HPM costs'!L468+'HPM costs'!L471)))</f>
        <v>0</v>
      </c>
      <c r="AF288" s="525"/>
      <c r="AG288" s="525">
        <f>'HIV-Key Info'!$G$80*(('HIV-Key Info'!$E$80*'HPM costs'!M465)+('HIV-Key Info'!$F$80*('HPM costs'!M468+'HPM costs'!M471)))</f>
        <v>0</v>
      </c>
      <c r="AH288" s="525"/>
      <c r="AI288" s="525">
        <f>'HIV-Key Info'!$G$80*(('HIV-Key Info'!$E$80*'HPM costs'!N465)+('HIV-Key Info'!$F$80*('HPM costs'!N468+'HPM costs'!N471)))</f>
        <v>0</v>
      </c>
      <c r="AJ288" s="525"/>
      <c r="AK288" s="1154">
        <f t="shared" si="31"/>
        <v>0</v>
      </c>
      <c r="AL288" s="1155"/>
      <c r="AM288" s="1156"/>
      <c r="AN288" s="529"/>
      <c r="AO288" s="525"/>
      <c r="AP288" s="525">
        <f>'HIV-Key Info'!$G$80*(('HIV-Key Info'!$E$80*'HPM costs'!P465)+('HIV-Key Info'!$F$80*('HPM costs'!P468+'HPM costs'!P471)))</f>
        <v>0</v>
      </c>
      <c r="AQ288" s="525"/>
      <c r="AR288" s="525">
        <f>'HIV-Key Info'!$G$80*(('HIV-Key Info'!$E$80*'HPM costs'!Q465)+('HIV-Key Info'!$F$80*('HPM costs'!Q468+'HPM costs'!Q471)))</f>
        <v>0</v>
      </c>
      <c r="AS288" s="525"/>
      <c r="AT288" s="525">
        <f>'HIV-Key Info'!$G$80*(('HIV-Key Info'!$E$80*'HPM costs'!R465)+('HIV-Key Info'!$F$80*('HPM costs'!R468+'HPM costs'!R471)))</f>
        <v>0</v>
      </c>
      <c r="AU288" s="525"/>
      <c r="AV288" s="525">
        <f>'HIV-Key Info'!$G$80*(('HIV-Key Info'!$E$80*'HPM costs'!S465)+('HIV-Key Info'!$F$80*('HPM costs'!S468+'HPM costs'!S471)))</f>
        <v>0</v>
      </c>
      <c r="AW288" s="525"/>
      <c r="AX288" s="1154">
        <f t="shared" si="32"/>
        <v>0</v>
      </c>
      <c r="AY288" s="1154"/>
      <c r="AZ288" s="528"/>
      <c r="BA288" s="529"/>
      <c r="BB288" s="527"/>
      <c r="BC288" s="527">
        <v>0</v>
      </c>
      <c r="BD288" s="527">
        <v>0</v>
      </c>
      <c r="BE288" s="527">
        <v>0</v>
      </c>
      <c r="BF288" s="527">
        <v>0</v>
      </c>
      <c r="BG288" s="527">
        <v>0</v>
      </c>
      <c r="BH288" s="527">
        <v>0</v>
      </c>
      <c r="BI288" s="527">
        <v>0</v>
      </c>
      <c r="BJ288" s="527">
        <v>0</v>
      </c>
      <c r="BK288" s="1154">
        <f t="shared" si="33"/>
        <v>0</v>
      </c>
      <c r="BL288" s="1154"/>
      <c r="BM288" s="1154">
        <f t="shared" si="34"/>
        <v>0</v>
      </c>
      <c r="BN288" s="1154">
        <f t="shared" si="35"/>
        <v>0</v>
      </c>
      <c r="BO288" s="527"/>
      <c r="BP288" s="527"/>
      <c r="BQ288" s="1157" t="s">
        <v>2550</v>
      </c>
      <c r="BR288" s="1157" t="s">
        <v>690</v>
      </c>
      <c r="BS288" s="1157" t="s">
        <v>527</v>
      </c>
      <c r="BT288" s="1376" t="s">
        <v>1592</v>
      </c>
    </row>
    <row r="289" spans="1:72" s="1371" customFormat="1" ht="13">
      <c r="A289" s="1204">
        <v>845</v>
      </c>
      <c r="B289" s="1205" t="s">
        <v>672</v>
      </c>
      <c r="C289" s="1205" t="s">
        <v>673</v>
      </c>
      <c r="D289" s="1206" t="s">
        <v>2506</v>
      </c>
      <c r="E289" s="1386" t="s">
        <v>536</v>
      </c>
      <c r="F289" s="521"/>
      <c r="G289" s="522"/>
      <c r="H289" s="522"/>
      <c r="I289" s="522"/>
      <c r="J289" s="523"/>
      <c r="K289" s="523"/>
      <c r="L289" s="523"/>
      <c r="M289" s="524"/>
      <c r="N289" s="525"/>
      <c r="O289" s="526" t="s">
        <v>1237</v>
      </c>
      <c r="P289" s="525">
        <f>'HIV-Key Info'!$G$80*(('HIV-Key Info'!$E$80*('HPM costs'!F205+'HPM costs'!F551))+('HIV-Key Info'!$F$80*('HPM costs'!F208+'HPM costs'!F211+'HPM costs'!F554+'HPM costs'!F557)))</f>
        <v>0</v>
      </c>
      <c r="Q289" s="525" t="s">
        <v>1237</v>
      </c>
      <c r="R289" s="525">
        <f>'HIV-Key Info'!$G$80*(('HIV-Key Info'!$E$80*('HPM costs'!G205+'HPM costs'!G551))+('HIV-Key Info'!$F$80*('HPM costs'!G208+'HPM costs'!G211+'HPM costs'!G554+'HPM costs'!G557)))</f>
        <v>0</v>
      </c>
      <c r="S289" s="525" t="s">
        <v>1237</v>
      </c>
      <c r="T289" s="525">
        <f>'HIV-Key Info'!$G$80*(('HIV-Key Info'!$E$80*('HPM costs'!H205+'HPM costs'!H551))+('HIV-Key Info'!$F$80*('HPM costs'!H208+'HPM costs'!H211+'HPM costs'!H554+'HPM costs'!H557)))</f>
        <v>0</v>
      </c>
      <c r="U289" s="525" t="s">
        <v>1237</v>
      </c>
      <c r="V289" s="525">
        <f>'HIV-Key Info'!$G$80*(('HIV-Key Info'!$E$80*('HPM costs'!I205+'HPM costs'!I551))+('HIV-Key Info'!$F$80*('HPM costs'!I208+'HPM costs'!I211+'HPM costs'!I554+'HPM costs'!I557)))</f>
        <v>0</v>
      </c>
      <c r="W289" s="525"/>
      <c r="X289" s="1154">
        <f t="shared" si="30"/>
        <v>0</v>
      </c>
      <c r="Y289" s="1155"/>
      <c r="Z289" s="1156"/>
      <c r="AA289" s="529"/>
      <c r="AB289" s="525"/>
      <c r="AC289" s="525">
        <f>'HIV-Key Info'!$G$80*(('HIV-Key Info'!$E$80*('HPM costs'!K205+'HPM costs'!K551))+('HIV-Key Info'!$F$80*('HPM costs'!K208+'HPM costs'!K211+'HPM costs'!K554+'HPM costs'!K557)))</f>
        <v>0</v>
      </c>
      <c r="AD289" s="525"/>
      <c r="AE289" s="525">
        <f>'HIV-Key Info'!$G$80*(('HIV-Key Info'!$E$80*('HPM costs'!L205+'HPM costs'!L551))+('HIV-Key Info'!$F$80*('HPM costs'!L208+'HPM costs'!L211+'HPM costs'!L554+'HPM costs'!L557)))</f>
        <v>0</v>
      </c>
      <c r="AF289" s="525"/>
      <c r="AG289" s="525">
        <f>'HIV-Key Info'!$G$80*(('HIV-Key Info'!$E$80*('HPM costs'!M205+'HPM costs'!M551))+('HIV-Key Info'!$F$80*('HPM costs'!M208+'HPM costs'!M211+'HPM costs'!M554+'HPM costs'!M557)))</f>
        <v>0</v>
      </c>
      <c r="AH289" s="525"/>
      <c r="AI289" s="525">
        <f>'HIV-Key Info'!$G$80*(('HIV-Key Info'!$E$80*('HPM costs'!N205+'HPM costs'!N551))+('HIV-Key Info'!$F$80*('HPM costs'!N208+'HPM costs'!N211+'HPM costs'!N554+'HPM costs'!N557)))</f>
        <v>0</v>
      </c>
      <c r="AJ289" s="525"/>
      <c r="AK289" s="1154">
        <f t="shared" si="31"/>
        <v>0</v>
      </c>
      <c r="AL289" s="1155"/>
      <c r="AM289" s="1156"/>
      <c r="AN289" s="529"/>
      <c r="AO289" s="525"/>
      <c r="AP289" s="525">
        <f>'HIV-Key Info'!$G$80*(('HIV-Key Info'!$E$80*('HPM costs'!P205+'HPM costs'!P551))+('HIV-Key Info'!$F$80*('HPM costs'!P208+'HPM costs'!P211+'HPM costs'!P554+'HPM costs'!P557)))</f>
        <v>0</v>
      </c>
      <c r="AQ289" s="525"/>
      <c r="AR289" s="525">
        <f>'HIV-Key Info'!$G$80*(('HIV-Key Info'!$E$80*('HPM costs'!Q205+'HPM costs'!Q551))+('HIV-Key Info'!$F$80*('HPM costs'!Q208+'HPM costs'!Q211+'HPM costs'!Q554+'HPM costs'!Q557)))</f>
        <v>0</v>
      </c>
      <c r="AS289" s="525"/>
      <c r="AT289" s="525">
        <f>'HIV-Key Info'!$G$80*(('HIV-Key Info'!$E$80*('HPM costs'!R205+'HPM costs'!R551))+('HIV-Key Info'!$F$80*('HPM costs'!R208+'HPM costs'!R211+'HPM costs'!R554+'HPM costs'!R557)))</f>
        <v>0</v>
      </c>
      <c r="AU289" s="525"/>
      <c r="AV289" s="525">
        <f>'HIV-Key Info'!$G$80*(('HIV-Key Info'!$E$80*('HPM costs'!S205+'HPM costs'!S551))+('HIV-Key Info'!$F$80*('HPM costs'!S208+'HPM costs'!S211+'HPM costs'!S554+'HPM costs'!S557)))</f>
        <v>0</v>
      </c>
      <c r="AW289" s="525"/>
      <c r="AX289" s="1154">
        <f t="shared" si="32"/>
        <v>0</v>
      </c>
      <c r="AY289" s="1154"/>
      <c r="AZ289" s="528"/>
      <c r="BA289" s="529"/>
      <c r="BB289" s="527"/>
      <c r="BC289" s="527">
        <v>0</v>
      </c>
      <c r="BD289" s="527">
        <v>0</v>
      </c>
      <c r="BE289" s="527">
        <v>0</v>
      </c>
      <c r="BF289" s="527">
        <v>0</v>
      </c>
      <c r="BG289" s="527">
        <v>0</v>
      </c>
      <c r="BH289" s="527">
        <v>0</v>
      </c>
      <c r="BI289" s="527">
        <v>0</v>
      </c>
      <c r="BJ289" s="527">
        <v>0</v>
      </c>
      <c r="BK289" s="1154">
        <f t="shared" si="33"/>
        <v>0</v>
      </c>
      <c r="BL289" s="1154"/>
      <c r="BM289" s="1154">
        <f t="shared" si="34"/>
        <v>0</v>
      </c>
      <c r="BN289" s="1154">
        <f t="shared" si="35"/>
        <v>0</v>
      </c>
      <c r="BO289" s="527"/>
      <c r="BP289" s="527"/>
      <c r="BQ289" s="1157" t="s">
        <v>2550</v>
      </c>
      <c r="BR289" s="1157" t="s">
        <v>690</v>
      </c>
      <c r="BS289" s="1157" t="s">
        <v>527</v>
      </c>
      <c r="BT289" s="1376" t="s">
        <v>1593</v>
      </c>
    </row>
    <row r="290" spans="1:72" s="1371" customFormat="1" ht="13">
      <c r="A290" s="1204">
        <v>846</v>
      </c>
      <c r="B290" s="1205" t="s">
        <v>672</v>
      </c>
      <c r="C290" s="1205" t="s">
        <v>673</v>
      </c>
      <c r="D290" s="1206" t="s">
        <v>2506</v>
      </c>
      <c r="E290" s="1386" t="s">
        <v>538</v>
      </c>
      <c r="F290" s="521"/>
      <c r="G290" s="522"/>
      <c r="H290" s="522"/>
      <c r="I290" s="522"/>
      <c r="J290" s="523"/>
      <c r="K290" s="523"/>
      <c r="L290" s="523"/>
      <c r="M290" s="524"/>
      <c r="N290" s="525"/>
      <c r="O290" s="526" t="s">
        <v>1237</v>
      </c>
      <c r="P290" s="525">
        <f>'HIV-Key Info'!$G$80*(('HIV-Key Info'!$E$80*'HPM costs'!F291)+('HIV-Key Info'!$F$80*('HPM costs'!F294+'HPM costs'!F297)))</f>
        <v>0</v>
      </c>
      <c r="Q290" s="525" t="s">
        <v>1237</v>
      </c>
      <c r="R290" s="525">
        <f>'HIV-Key Info'!$G$80*(('HIV-Key Info'!$E$80*'HPM costs'!G291)+('HIV-Key Info'!$F$80*('HPM costs'!G294+'HPM costs'!G297)))</f>
        <v>0</v>
      </c>
      <c r="S290" s="525" t="s">
        <v>1237</v>
      </c>
      <c r="T290" s="525">
        <f>'HIV-Key Info'!$G$80*(('HIV-Key Info'!$E$80*'HPM costs'!H291)+('HIV-Key Info'!$F$80*('HPM costs'!H294+'HPM costs'!H297)))</f>
        <v>0</v>
      </c>
      <c r="U290" s="525" t="s">
        <v>1237</v>
      </c>
      <c r="V290" s="525">
        <f>'HIV-Key Info'!$G$80*(('HIV-Key Info'!$E$80*'HPM costs'!I291)+('HIV-Key Info'!$F$80*('HPM costs'!I294+'HPM costs'!I297)))</f>
        <v>0</v>
      </c>
      <c r="W290" s="525"/>
      <c r="X290" s="1154">
        <f t="shared" si="30"/>
        <v>0</v>
      </c>
      <c r="Y290" s="1155"/>
      <c r="Z290" s="1156"/>
      <c r="AA290" s="529"/>
      <c r="AB290" s="525"/>
      <c r="AC290" s="525">
        <f>'HIV-Key Info'!$G$80*(('HIV-Key Info'!$E$80*'HPM costs'!K291)+('HIV-Key Info'!$F$80*('HPM costs'!K294+'HPM costs'!K297)))</f>
        <v>0</v>
      </c>
      <c r="AD290" s="525"/>
      <c r="AE290" s="525">
        <f>'HIV-Key Info'!$G$80*(('HIV-Key Info'!$E$80*'HPM costs'!L291)+('HIV-Key Info'!$F$80*('HPM costs'!L294+'HPM costs'!L297)))</f>
        <v>0</v>
      </c>
      <c r="AF290" s="525"/>
      <c r="AG290" s="525">
        <f>'HIV-Key Info'!$G$80*(('HIV-Key Info'!$E$80*'HPM costs'!M291)+('HIV-Key Info'!$F$80*('HPM costs'!M294+'HPM costs'!M297)))</f>
        <v>0</v>
      </c>
      <c r="AH290" s="525"/>
      <c r="AI290" s="525">
        <f>'HIV-Key Info'!$G$80*(('HIV-Key Info'!$E$80*'HPM costs'!N291)+('HIV-Key Info'!$F$80*('HPM costs'!N294+'HPM costs'!N297)))</f>
        <v>0</v>
      </c>
      <c r="AJ290" s="525"/>
      <c r="AK290" s="1154">
        <f t="shared" si="31"/>
        <v>0</v>
      </c>
      <c r="AL290" s="1155"/>
      <c r="AM290" s="1156"/>
      <c r="AN290" s="529"/>
      <c r="AO290" s="525"/>
      <c r="AP290" s="525">
        <f>'HIV-Key Info'!$G$80*(('HIV-Key Info'!$E$80*'HPM costs'!P291)+('HIV-Key Info'!$F$80*('HPM costs'!P294+'HPM costs'!P297)))</f>
        <v>0</v>
      </c>
      <c r="AQ290" s="525"/>
      <c r="AR290" s="525">
        <f>'HIV-Key Info'!$G$80*(('HIV-Key Info'!$E$80*'HPM costs'!Q291)+('HIV-Key Info'!$F$80*('HPM costs'!Q294+'HPM costs'!Q297)))</f>
        <v>0</v>
      </c>
      <c r="AS290" s="525"/>
      <c r="AT290" s="525">
        <f>'HIV-Key Info'!$G$80*(('HIV-Key Info'!$E$80*'HPM costs'!R291)+('HIV-Key Info'!$F$80*('HPM costs'!R294+'HPM costs'!R297)))</f>
        <v>0</v>
      </c>
      <c r="AU290" s="525"/>
      <c r="AV290" s="525">
        <f>'HIV-Key Info'!$G$80*(('HIV-Key Info'!$E$80*'HPM costs'!S291)+('HIV-Key Info'!$F$80*('HPM costs'!S294+'HPM costs'!S297)))</f>
        <v>0</v>
      </c>
      <c r="AW290" s="525"/>
      <c r="AX290" s="1154">
        <f t="shared" si="32"/>
        <v>0</v>
      </c>
      <c r="AY290" s="1154"/>
      <c r="AZ290" s="528"/>
      <c r="BA290" s="529"/>
      <c r="BB290" s="527"/>
      <c r="BC290" s="527">
        <v>0</v>
      </c>
      <c r="BD290" s="527">
        <v>0</v>
      </c>
      <c r="BE290" s="527">
        <v>0</v>
      </c>
      <c r="BF290" s="527">
        <v>0</v>
      </c>
      <c r="BG290" s="527">
        <v>0</v>
      </c>
      <c r="BH290" s="527">
        <v>0</v>
      </c>
      <c r="BI290" s="527">
        <v>0</v>
      </c>
      <c r="BJ290" s="527">
        <v>0</v>
      </c>
      <c r="BK290" s="1154">
        <f t="shared" si="33"/>
        <v>0</v>
      </c>
      <c r="BL290" s="1154"/>
      <c r="BM290" s="1154">
        <f t="shared" si="34"/>
        <v>0</v>
      </c>
      <c r="BN290" s="1154">
        <f t="shared" si="35"/>
        <v>0</v>
      </c>
      <c r="BO290" s="527"/>
      <c r="BP290" s="527"/>
      <c r="BQ290" s="1157" t="s">
        <v>2550</v>
      </c>
      <c r="BR290" s="1157" t="s">
        <v>690</v>
      </c>
      <c r="BS290" s="1157" t="s">
        <v>527</v>
      </c>
      <c r="BT290" s="1376" t="s">
        <v>1594</v>
      </c>
    </row>
    <row r="291" spans="1:72" s="1371" customFormat="1" ht="13">
      <c r="A291" s="1204">
        <v>847</v>
      </c>
      <c r="B291" s="1205" t="s">
        <v>672</v>
      </c>
      <c r="C291" s="1205" t="s">
        <v>673</v>
      </c>
      <c r="D291" s="1206" t="s">
        <v>2506</v>
      </c>
      <c r="E291" s="1386" t="s">
        <v>540</v>
      </c>
      <c r="F291" s="521"/>
      <c r="G291" s="522"/>
      <c r="H291" s="522"/>
      <c r="I291" s="522"/>
      <c r="J291" s="523"/>
      <c r="K291" s="523"/>
      <c r="L291" s="523"/>
      <c r="M291" s="524"/>
      <c r="N291" s="525"/>
      <c r="O291" s="526" t="s">
        <v>1237</v>
      </c>
      <c r="P291" s="525">
        <f>'HIV-Key Info'!$G$80*(('HIV-Key Info'!$E$80*'HPM costs'!F636)+('HIV-Key Info'!$F$80*('HPM costs'!F639+'HPM costs'!F642)))</f>
        <v>0</v>
      </c>
      <c r="Q291" s="525" t="s">
        <v>1237</v>
      </c>
      <c r="R291" s="525">
        <f>'HIV-Key Info'!$G$80*(('HIV-Key Info'!$E$80*'HPM costs'!G636)+('HIV-Key Info'!$F$80*('HPM costs'!G639+'HPM costs'!G642)))</f>
        <v>0</v>
      </c>
      <c r="S291" s="525" t="s">
        <v>1237</v>
      </c>
      <c r="T291" s="525">
        <f>'HIV-Key Info'!$G$80*(('HIV-Key Info'!$E$80*'HPM costs'!H636)+('HIV-Key Info'!$F$80*('HPM costs'!H639+'HPM costs'!H642)))</f>
        <v>0</v>
      </c>
      <c r="U291" s="525" t="s">
        <v>1237</v>
      </c>
      <c r="V291" s="525">
        <f>'HIV-Key Info'!$G$80*(('HIV-Key Info'!$E$80*'HPM costs'!I636)+('HIV-Key Info'!$F$80*('HPM costs'!I639+'HPM costs'!I642)))</f>
        <v>0</v>
      </c>
      <c r="W291" s="525"/>
      <c r="X291" s="1154">
        <f t="shared" si="30"/>
        <v>0</v>
      </c>
      <c r="Y291" s="1155"/>
      <c r="Z291" s="1156"/>
      <c r="AA291" s="529"/>
      <c r="AB291" s="525"/>
      <c r="AC291" s="525">
        <f>'HIV-Key Info'!$G$80*(('HIV-Key Info'!$E$80*'HPM costs'!K636)+('HIV-Key Info'!$F$80*('HPM costs'!K639+'HPM costs'!K642)))</f>
        <v>0</v>
      </c>
      <c r="AD291" s="525"/>
      <c r="AE291" s="525">
        <f>'HIV-Key Info'!$G$80*(('HIV-Key Info'!$E$80*'HPM costs'!L636)+('HIV-Key Info'!$F$80*('HPM costs'!L639+'HPM costs'!L642)))</f>
        <v>0</v>
      </c>
      <c r="AF291" s="525"/>
      <c r="AG291" s="525">
        <f>'HIV-Key Info'!$G$80*(('HIV-Key Info'!$E$80*'HPM costs'!M636)+('HIV-Key Info'!$F$80*('HPM costs'!M639+'HPM costs'!M642)))</f>
        <v>0</v>
      </c>
      <c r="AH291" s="525"/>
      <c r="AI291" s="525">
        <f>'HIV-Key Info'!$G$80*(('HIV-Key Info'!$E$80*'HPM costs'!N636)+('HIV-Key Info'!$F$80*('HPM costs'!N639+'HPM costs'!N642)))</f>
        <v>0</v>
      </c>
      <c r="AJ291" s="525"/>
      <c r="AK291" s="1154">
        <f t="shared" si="31"/>
        <v>0</v>
      </c>
      <c r="AL291" s="1155"/>
      <c r="AM291" s="1156"/>
      <c r="AN291" s="529"/>
      <c r="AO291" s="525"/>
      <c r="AP291" s="525">
        <f>'HIV-Key Info'!$G$80*(('HIV-Key Info'!$E$80*'HPM costs'!P636)+('HIV-Key Info'!$F$80*('HPM costs'!P639+'HPM costs'!P642)))</f>
        <v>0</v>
      </c>
      <c r="AQ291" s="525"/>
      <c r="AR291" s="525">
        <f>'HIV-Key Info'!$G$80*(('HIV-Key Info'!$E$80*'HPM costs'!Q636)+('HIV-Key Info'!$F$80*('HPM costs'!Q639+'HPM costs'!Q642)))</f>
        <v>0</v>
      </c>
      <c r="AS291" s="525"/>
      <c r="AT291" s="525">
        <f>'HIV-Key Info'!$G$80*(('HIV-Key Info'!$E$80*'HPM costs'!R636)+('HIV-Key Info'!$F$80*('HPM costs'!R639+'HPM costs'!R642)))</f>
        <v>0</v>
      </c>
      <c r="AU291" s="525"/>
      <c r="AV291" s="525">
        <f>'HIV-Key Info'!$G$80*(('HIV-Key Info'!$E$80*'HPM costs'!S636)+('HIV-Key Info'!$F$80*('HPM costs'!S639+'HPM costs'!S642)))</f>
        <v>0</v>
      </c>
      <c r="AW291" s="525"/>
      <c r="AX291" s="1154">
        <f t="shared" si="32"/>
        <v>0</v>
      </c>
      <c r="AY291" s="1154"/>
      <c r="AZ291" s="528"/>
      <c r="BA291" s="529"/>
      <c r="BB291" s="527"/>
      <c r="BC291" s="527">
        <v>0</v>
      </c>
      <c r="BD291" s="527">
        <v>0</v>
      </c>
      <c r="BE291" s="527">
        <v>0</v>
      </c>
      <c r="BF291" s="527">
        <v>0</v>
      </c>
      <c r="BG291" s="527">
        <v>0</v>
      </c>
      <c r="BH291" s="527">
        <v>0</v>
      </c>
      <c r="BI291" s="527">
        <v>0</v>
      </c>
      <c r="BJ291" s="527">
        <v>0</v>
      </c>
      <c r="BK291" s="1154">
        <f t="shared" si="33"/>
        <v>0</v>
      </c>
      <c r="BL291" s="1154"/>
      <c r="BM291" s="1154">
        <f t="shared" si="34"/>
        <v>0</v>
      </c>
      <c r="BN291" s="1154">
        <f t="shared" si="35"/>
        <v>0</v>
      </c>
      <c r="BO291" s="527"/>
      <c r="BP291" s="527"/>
      <c r="BQ291" s="1157" t="s">
        <v>2550</v>
      </c>
      <c r="BR291" s="1157" t="s">
        <v>690</v>
      </c>
      <c r="BS291" s="1157" t="s">
        <v>527</v>
      </c>
      <c r="BT291" s="1376" t="s">
        <v>1595</v>
      </c>
    </row>
    <row r="292" spans="1:72" s="1371" customFormat="1" ht="13">
      <c r="A292" s="1204">
        <v>848</v>
      </c>
      <c r="B292" s="1205" t="s">
        <v>672</v>
      </c>
      <c r="C292" s="1205" t="s">
        <v>674</v>
      </c>
      <c r="D292" s="1206" t="s">
        <v>2571</v>
      </c>
      <c r="E292" s="1386" t="s">
        <v>603</v>
      </c>
      <c r="F292" s="521"/>
      <c r="G292" s="522"/>
      <c r="H292" s="522"/>
      <c r="I292" s="522"/>
      <c r="J292" s="523"/>
      <c r="K292" s="523"/>
      <c r="L292" s="523"/>
      <c r="M292" s="524"/>
      <c r="N292" s="525"/>
      <c r="O292" s="526" t="s">
        <v>1237</v>
      </c>
      <c r="P292" s="525">
        <f>'HIV-Key Info'!$H$80*('HIV-Key Info'!$E$80*('HPM costs'!F119/'HPM costs'!$E$119)+'HIV-Key Info'!$F$80*('HPM costs'!F125/'HPM costs'!$E$125+'HPM costs'!F122/'HPM costs'!$E$122))</f>
        <v>0</v>
      </c>
      <c r="Q292" s="525" t="s">
        <v>1237</v>
      </c>
      <c r="R292" s="525">
        <f>'HIV-Key Info'!$H$80*('HIV-Key Info'!$E$80*('HPM costs'!G119/'HPM costs'!$E$119)+'HIV-Key Info'!$F$80*('HPM costs'!G125/'HPM costs'!$E$125+'HPM costs'!G122/'HPM costs'!$E$122))</f>
        <v>0</v>
      </c>
      <c r="S292" s="525" t="s">
        <v>1237</v>
      </c>
      <c r="T292" s="525">
        <f>'HIV-Key Info'!$H$80*('HIV-Key Info'!$E$80*('HPM costs'!H119/'HPM costs'!$E$119)+'HIV-Key Info'!$F$80*('HPM costs'!H125/'HPM costs'!$E$125+'HPM costs'!H122/'HPM costs'!$E$122))</f>
        <v>0</v>
      </c>
      <c r="U292" s="525" t="s">
        <v>1237</v>
      </c>
      <c r="V292" s="525">
        <f>'HIV-Key Info'!$H$80*('HIV-Key Info'!$E$80*('HPM costs'!I119/'HPM costs'!$E$119)+'HIV-Key Info'!$F$80*('HPM costs'!I125/'HPM costs'!$E$125+'HPM costs'!I122/'HPM costs'!$E$122))</f>
        <v>0</v>
      </c>
      <c r="W292" s="525"/>
      <c r="X292" s="1154">
        <f t="shared" si="30"/>
        <v>0</v>
      </c>
      <c r="Y292" s="1155"/>
      <c r="Z292" s="1156"/>
      <c r="AA292" s="529"/>
      <c r="AB292" s="525"/>
      <c r="AC292" s="525">
        <f>'HIV-Key Info'!$H$80*('HIV-Key Info'!$E$80*('HPM costs'!K119/'HPM costs'!$E$119)+'HIV-Key Info'!$F$80*('HPM costs'!K125/'HPM costs'!$E$125+'HPM costs'!K122/'HPM costs'!$E$122))</f>
        <v>0</v>
      </c>
      <c r="AD292" s="525"/>
      <c r="AE292" s="525">
        <f>'HIV-Key Info'!$H$80*('HIV-Key Info'!$E$80*('HPM costs'!L119/'HPM costs'!$E$119)+'HIV-Key Info'!$F$80*('HPM costs'!L125/'HPM costs'!$E$125+'HPM costs'!L122/'HPM costs'!$E$122))</f>
        <v>0</v>
      </c>
      <c r="AF292" s="525"/>
      <c r="AG292" s="525">
        <f>'HIV-Key Info'!$H$80*('HIV-Key Info'!$E$80*('HPM costs'!M119/'HPM costs'!$E$119)+'HIV-Key Info'!$F$80*('HPM costs'!M125/'HPM costs'!$E$125+'HPM costs'!M122/'HPM costs'!$E$122))</f>
        <v>0</v>
      </c>
      <c r="AH292" s="525"/>
      <c r="AI292" s="525">
        <f>'HIV-Key Info'!$H$80*('HIV-Key Info'!$E$80*('HPM costs'!N119/'HPM costs'!$E$119)+'HIV-Key Info'!$F$80*('HPM costs'!N125/'HPM costs'!$E$125+'HPM costs'!N122/'HPM costs'!$E$122))</f>
        <v>0</v>
      </c>
      <c r="AJ292" s="525"/>
      <c r="AK292" s="1154">
        <f t="shared" si="31"/>
        <v>0</v>
      </c>
      <c r="AL292" s="1155"/>
      <c r="AM292" s="1156"/>
      <c r="AN292" s="529"/>
      <c r="AO292" s="525"/>
      <c r="AP292" s="525">
        <f>'HIV-Key Info'!$H$80*('HIV-Key Info'!$E$80*('HPM costs'!P119/'HPM costs'!$E$119)+'HIV-Key Info'!$F$80*('HPM costs'!P125/'HPM costs'!$E$125+'HPM costs'!P122/'HPM costs'!$E$122))</f>
        <v>0</v>
      </c>
      <c r="AQ292" s="525"/>
      <c r="AR292" s="525">
        <f>'HIV-Key Info'!$H$80*('HIV-Key Info'!$E$80*('HPM costs'!Q119/'HPM costs'!$E$119)+'HIV-Key Info'!$F$80*('HPM costs'!Q125/'HPM costs'!$E$125+'HPM costs'!Q122/'HPM costs'!$E$122))</f>
        <v>0</v>
      </c>
      <c r="AS292" s="525"/>
      <c r="AT292" s="525">
        <f>'HIV-Key Info'!$H$80*('HIV-Key Info'!$E$80*('HPM costs'!R119/'HPM costs'!$E$119)+'HIV-Key Info'!$F$80*('HPM costs'!R125/'HPM costs'!$E$125+'HPM costs'!R122/'HPM costs'!$E$122))</f>
        <v>0</v>
      </c>
      <c r="AU292" s="525"/>
      <c r="AV292" s="525">
        <f>'HIV-Key Info'!$H$80*('HIV-Key Info'!$E$80*('HPM costs'!S119/'HPM costs'!$E$119)+'HIV-Key Info'!$F$80*('HPM costs'!S125/'HPM costs'!$E$125+'HPM costs'!S122/'HPM costs'!$E$122))</f>
        <v>0</v>
      </c>
      <c r="AW292" s="525"/>
      <c r="AX292" s="1154">
        <f t="shared" si="32"/>
        <v>0</v>
      </c>
      <c r="AY292" s="1154"/>
      <c r="AZ292" s="528"/>
      <c r="BA292" s="529"/>
      <c r="BB292" s="527"/>
      <c r="BC292" s="527">
        <v>0</v>
      </c>
      <c r="BD292" s="527">
        <v>0</v>
      </c>
      <c r="BE292" s="527">
        <v>0</v>
      </c>
      <c r="BF292" s="527">
        <v>0</v>
      </c>
      <c r="BG292" s="527">
        <v>0</v>
      </c>
      <c r="BH292" s="527">
        <v>0</v>
      </c>
      <c r="BI292" s="527">
        <v>0</v>
      </c>
      <c r="BJ292" s="527">
        <v>0</v>
      </c>
      <c r="BK292" s="1154">
        <f t="shared" si="33"/>
        <v>0</v>
      </c>
      <c r="BL292" s="1154"/>
      <c r="BM292" s="1154">
        <f t="shared" si="34"/>
        <v>0</v>
      </c>
      <c r="BN292" s="1154">
        <f t="shared" si="35"/>
        <v>0</v>
      </c>
      <c r="BO292" s="527"/>
      <c r="BP292" s="527"/>
      <c r="BQ292" s="1157" t="s">
        <v>2550</v>
      </c>
      <c r="BR292" s="1157" t="s">
        <v>690</v>
      </c>
      <c r="BS292" s="1157" t="s">
        <v>2570</v>
      </c>
      <c r="BT292" s="1376" t="s">
        <v>1596</v>
      </c>
    </row>
    <row r="293" spans="1:72" s="1371" customFormat="1" ht="13">
      <c r="A293" s="1204">
        <v>849</v>
      </c>
      <c r="B293" s="1205" t="s">
        <v>672</v>
      </c>
      <c r="C293" s="1205" t="s">
        <v>674</v>
      </c>
      <c r="D293" s="1206" t="s">
        <v>2506</v>
      </c>
      <c r="E293" s="1386" t="s">
        <v>528</v>
      </c>
      <c r="F293" s="521"/>
      <c r="G293" s="522"/>
      <c r="H293" s="522"/>
      <c r="I293" s="522"/>
      <c r="J293" s="523"/>
      <c r="K293" s="523"/>
      <c r="L293" s="523"/>
      <c r="M293" s="524"/>
      <c r="N293" s="525"/>
      <c r="O293" s="526" t="s">
        <v>1237</v>
      </c>
      <c r="P293" s="525">
        <f>'HIV-Key Info'!$H$80*(('HIV-Key Info'!$E$80*'HPM costs'!F33)+('HIV-Key Info'!$F$80*('HPM costs'!F36+'HPM costs'!F39)))</f>
        <v>0</v>
      </c>
      <c r="Q293" s="525" t="s">
        <v>1237</v>
      </c>
      <c r="R293" s="525">
        <f>'HIV-Key Info'!$H$80*(('HIV-Key Info'!$E$80*'HPM costs'!G33)+('HIV-Key Info'!$F$80*('HPM costs'!G36+'HPM costs'!G39)))</f>
        <v>0</v>
      </c>
      <c r="S293" s="525" t="s">
        <v>1237</v>
      </c>
      <c r="T293" s="525">
        <f>'HIV-Key Info'!$H$80*(('HIV-Key Info'!$E$80*'HPM costs'!H33)+('HIV-Key Info'!$F$80*('HPM costs'!H36+'HPM costs'!H39)))</f>
        <v>0</v>
      </c>
      <c r="U293" s="525" t="s">
        <v>1237</v>
      </c>
      <c r="V293" s="525">
        <f>'HIV-Key Info'!$H$80*(('HIV-Key Info'!$E$80*'HPM costs'!I33)+('HIV-Key Info'!$F$80*('HPM costs'!I36+'HPM costs'!I39)))</f>
        <v>0</v>
      </c>
      <c r="W293" s="525"/>
      <c r="X293" s="1154">
        <f t="shared" si="30"/>
        <v>0</v>
      </c>
      <c r="Y293" s="1155"/>
      <c r="Z293" s="1156"/>
      <c r="AA293" s="529"/>
      <c r="AB293" s="525"/>
      <c r="AC293" s="525">
        <f>'HIV-Key Info'!$H$80*(('HIV-Key Info'!$E$80*'HPM costs'!K33)+('HIV-Key Info'!$F$80*('HPM costs'!K36+'HPM costs'!K39)))</f>
        <v>0</v>
      </c>
      <c r="AD293" s="525"/>
      <c r="AE293" s="525">
        <f>'HIV-Key Info'!$H$80*(('HIV-Key Info'!$E$80*'HPM costs'!L33)+('HIV-Key Info'!$F$80*('HPM costs'!L36+'HPM costs'!L39)))</f>
        <v>0</v>
      </c>
      <c r="AF293" s="525"/>
      <c r="AG293" s="525">
        <f>'HIV-Key Info'!$H$80*(('HIV-Key Info'!$E$80*'HPM costs'!M33)+('HIV-Key Info'!$F$80*('HPM costs'!M36+'HPM costs'!M39)))</f>
        <v>0</v>
      </c>
      <c r="AH293" s="525"/>
      <c r="AI293" s="525">
        <f>'HIV-Key Info'!$H$80*(('HIV-Key Info'!$E$80*'HPM costs'!N33)+('HIV-Key Info'!$F$80*('HPM costs'!N36+'HPM costs'!N39)))</f>
        <v>0</v>
      </c>
      <c r="AJ293" s="525"/>
      <c r="AK293" s="1154">
        <f t="shared" si="31"/>
        <v>0</v>
      </c>
      <c r="AL293" s="1155"/>
      <c r="AM293" s="1156"/>
      <c r="AN293" s="529"/>
      <c r="AO293" s="525"/>
      <c r="AP293" s="525">
        <f>'HIV-Key Info'!$H$80*(('HIV-Key Info'!$E$80*'HPM costs'!P33)+('HIV-Key Info'!$F$80*('HPM costs'!P36+'HPM costs'!P39)))</f>
        <v>0</v>
      </c>
      <c r="AQ293" s="525"/>
      <c r="AR293" s="525">
        <f>'HIV-Key Info'!$H$80*(('HIV-Key Info'!$E$80*'HPM costs'!Q33)+('HIV-Key Info'!$F$80*('HPM costs'!Q36+'HPM costs'!Q39)))</f>
        <v>0</v>
      </c>
      <c r="AS293" s="525"/>
      <c r="AT293" s="525">
        <f>'HIV-Key Info'!$H$80*(('HIV-Key Info'!$E$80*'HPM costs'!R33)+('HIV-Key Info'!$F$80*('HPM costs'!R36+'HPM costs'!R39)))</f>
        <v>0</v>
      </c>
      <c r="AU293" s="525"/>
      <c r="AV293" s="525">
        <f>'HIV-Key Info'!$H$80*(('HIV-Key Info'!$E$80*'HPM costs'!S33)+('HIV-Key Info'!$F$80*('HPM costs'!S36+'HPM costs'!S39)))</f>
        <v>0</v>
      </c>
      <c r="AW293" s="525"/>
      <c r="AX293" s="1154">
        <f t="shared" si="32"/>
        <v>0</v>
      </c>
      <c r="AY293" s="1154"/>
      <c r="AZ293" s="528"/>
      <c r="BA293" s="529"/>
      <c r="BB293" s="527"/>
      <c r="BC293" s="527">
        <v>0</v>
      </c>
      <c r="BD293" s="527">
        <v>0</v>
      </c>
      <c r="BE293" s="527">
        <v>0</v>
      </c>
      <c r="BF293" s="527">
        <v>0</v>
      </c>
      <c r="BG293" s="527">
        <v>0</v>
      </c>
      <c r="BH293" s="527">
        <v>0</v>
      </c>
      <c r="BI293" s="527">
        <v>0</v>
      </c>
      <c r="BJ293" s="527">
        <v>0</v>
      </c>
      <c r="BK293" s="1154">
        <f t="shared" si="33"/>
        <v>0</v>
      </c>
      <c r="BL293" s="1154"/>
      <c r="BM293" s="1154">
        <f t="shared" si="34"/>
        <v>0</v>
      </c>
      <c r="BN293" s="1154">
        <f t="shared" si="35"/>
        <v>0</v>
      </c>
      <c r="BO293" s="527"/>
      <c r="BP293" s="527"/>
      <c r="BQ293" s="1157" t="s">
        <v>2550</v>
      </c>
      <c r="BR293" s="1157" t="s">
        <v>690</v>
      </c>
      <c r="BS293" s="1157" t="s">
        <v>527</v>
      </c>
      <c r="BT293" s="1376" t="s">
        <v>1597</v>
      </c>
    </row>
    <row r="294" spans="1:72" s="1371" customFormat="1" ht="13">
      <c r="A294" s="1204">
        <v>850</v>
      </c>
      <c r="B294" s="1205" t="s">
        <v>672</v>
      </c>
      <c r="C294" s="1205" t="s">
        <v>674</v>
      </c>
      <c r="D294" s="1206" t="s">
        <v>2506</v>
      </c>
      <c r="E294" s="1386" t="s">
        <v>530</v>
      </c>
      <c r="F294" s="521"/>
      <c r="G294" s="522"/>
      <c r="H294" s="522"/>
      <c r="I294" s="522"/>
      <c r="J294" s="523"/>
      <c r="K294" s="523"/>
      <c r="L294" s="523"/>
      <c r="M294" s="524"/>
      <c r="N294" s="525"/>
      <c r="O294" s="526" t="s">
        <v>1237</v>
      </c>
      <c r="P294" s="525">
        <f>'HIV-Key Info'!$H$80*(('HIV-Key Info'!$E$80*'HPM costs'!F119)+('HIV-Key Info'!$F$80*('HPM costs'!F122+'HPM costs'!F125)))</f>
        <v>0</v>
      </c>
      <c r="Q294" s="525" t="s">
        <v>1237</v>
      </c>
      <c r="R294" s="525">
        <f>'HIV-Key Info'!$H$80*(('HIV-Key Info'!$E$80*'HPM costs'!G119)+('HIV-Key Info'!$F$80*('HPM costs'!G122+'HPM costs'!G125)))</f>
        <v>0</v>
      </c>
      <c r="S294" s="525" t="s">
        <v>1237</v>
      </c>
      <c r="T294" s="525">
        <f>'HIV-Key Info'!$H$80*(('HIV-Key Info'!$E$80*'HPM costs'!H119)+('HIV-Key Info'!$F$80*('HPM costs'!H122+'HPM costs'!H125)))</f>
        <v>0</v>
      </c>
      <c r="U294" s="525" t="s">
        <v>1237</v>
      </c>
      <c r="V294" s="525">
        <f>'HIV-Key Info'!$H$80*(('HIV-Key Info'!$E$80*'HPM costs'!I119)+('HIV-Key Info'!$F$80*('HPM costs'!I122+'HPM costs'!I125)))</f>
        <v>0</v>
      </c>
      <c r="W294" s="525"/>
      <c r="X294" s="1154">
        <f t="shared" si="30"/>
        <v>0</v>
      </c>
      <c r="Y294" s="1155"/>
      <c r="Z294" s="1156"/>
      <c r="AA294" s="529"/>
      <c r="AB294" s="525"/>
      <c r="AC294" s="525">
        <f>'HIV-Key Info'!$H$80*(('HIV-Key Info'!$E$80*'HPM costs'!K119)+('HIV-Key Info'!$F$80*('HPM costs'!K122+'HPM costs'!K125)))</f>
        <v>0</v>
      </c>
      <c r="AD294" s="525"/>
      <c r="AE294" s="525">
        <f>'HIV-Key Info'!$H$80*(('HIV-Key Info'!$E$80*'HPM costs'!L119)+('HIV-Key Info'!$F$80*('HPM costs'!L122+'HPM costs'!L125)))</f>
        <v>0</v>
      </c>
      <c r="AF294" s="525"/>
      <c r="AG294" s="525">
        <f>'HIV-Key Info'!$H$80*(('HIV-Key Info'!$E$80*'HPM costs'!M119)+('HIV-Key Info'!$F$80*('HPM costs'!M122+'HPM costs'!M125)))</f>
        <v>0</v>
      </c>
      <c r="AH294" s="525"/>
      <c r="AI294" s="525">
        <f>'HIV-Key Info'!$H$80*(('HIV-Key Info'!$E$80*'HPM costs'!N119)+('HIV-Key Info'!$F$80*('HPM costs'!N122+'HPM costs'!N125)))</f>
        <v>0</v>
      </c>
      <c r="AJ294" s="525"/>
      <c r="AK294" s="1154">
        <f t="shared" si="31"/>
        <v>0</v>
      </c>
      <c r="AL294" s="1155"/>
      <c r="AM294" s="1156"/>
      <c r="AN294" s="529"/>
      <c r="AO294" s="525"/>
      <c r="AP294" s="525">
        <f>'HIV-Key Info'!$H$80*(('HIV-Key Info'!$E$80*'HPM costs'!P119)+('HIV-Key Info'!$F$80*('HPM costs'!P122+'HPM costs'!P125)))</f>
        <v>0</v>
      </c>
      <c r="AQ294" s="525"/>
      <c r="AR294" s="525">
        <f>'HIV-Key Info'!$H$80*(('HIV-Key Info'!$E$80*'HPM costs'!Q119)+('HIV-Key Info'!$F$80*('HPM costs'!Q122+'HPM costs'!Q125)))</f>
        <v>0</v>
      </c>
      <c r="AS294" s="525"/>
      <c r="AT294" s="525">
        <f>'HIV-Key Info'!$H$80*(('HIV-Key Info'!$E$80*'HPM costs'!R119)+('HIV-Key Info'!$F$80*('HPM costs'!R122+'HPM costs'!R125)))</f>
        <v>0</v>
      </c>
      <c r="AU294" s="525"/>
      <c r="AV294" s="525">
        <f>'HIV-Key Info'!$H$80*(('HIV-Key Info'!$E$80*'HPM costs'!S119)+('HIV-Key Info'!$F$80*('HPM costs'!S122+'HPM costs'!S125)))</f>
        <v>0</v>
      </c>
      <c r="AW294" s="525"/>
      <c r="AX294" s="1154">
        <f t="shared" si="32"/>
        <v>0</v>
      </c>
      <c r="AY294" s="1154"/>
      <c r="AZ294" s="528"/>
      <c r="BA294" s="529"/>
      <c r="BB294" s="527"/>
      <c r="BC294" s="527">
        <v>0</v>
      </c>
      <c r="BD294" s="527">
        <v>0</v>
      </c>
      <c r="BE294" s="527">
        <v>0</v>
      </c>
      <c r="BF294" s="527">
        <v>0</v>
      </c>
      <c r="BG294" s="527">
        <v>0</v>
      </c>
      <c r="BH294" s="527">
        <v>0</v>
      </c>
      <c r="BI294" s="527">
        <v>0</v>
      </c>
      <c r="BJ294" s="527">
        <v>0</v>
      </c>
      <c r="BK294" s="1154">
        <f t="shared" si="33"/>
        <v>0</v>
      </c>
      <c r="BL294" s="1154"/>
      <c r="BM294" s="1154">
        <f t="shared" si="34"/>
        <v>0</v>
      </c>
      <c r="BN294" s="1154">
        <f t="shared" si="35"/>
        <v>0</v>
      </c>
      <c r="BO294" s="527"/>
      <c r="BP294" s="527"/>
      <c r="BQ294" s="1157" t="s">
        <v>2550</v>
      </c>
      <c r="BR294" s="1157" t="s">
        <v>690</v>
      </c>
      <c r="BS294" s="1157" t="s">
        <v>527</v>
      </c>
      <c r="BT294" s="1376" t="s">
        <v>1598</v>
      </c>
    </row>
    <row r="295" spans="1:72" s="1371" customFormat="1" ht="13">
      <c r="A295" s="1204">
        <v>851</v>
      </c>
      <c r="B295" s="1205" t="s">
        <v>672</v>
      </c>
      <c r="C295" s="1205" t="s">
        <v>674</v>
      </c>
      <c r="D295" s="1206" t="s">
        <v>2506</v>
      </c>
      <c r="E295" s="1386" t="s">
        <v>532</v>
      </c>
      <c r="F295" s="521"/>
      <c r="G295" s="522"/>
      <c r="H295" s="522"/>
      <c r="I295" s="522"/>
      <c r="J295" s="523"/>
      <c r="K295" s="523"/>
      <c r="L295" s="523"/>
      <c r="M295" s="524"/>
      <c r="N295" s="525"/>
      <c r="O295" s="526" t="s">
        <v>1237</v>
      </c>
      <c r="P295" s="525">
        <f>'HIV-Key Info'!$H$80*(('HIV-Key Info'!$E$80*'HPM costs'!F379)+('HIV-Key Info'!$F$80*('HPM costs'!F382+'HPM costs'!F385)))</f>
        <v>0</v>
      </c>
      <c r="Q295" s="525" t="s">
        <v>1237</v>
      </c>
      <c r="R295" s="525">
        <f>'HIV-Key Info'!$H$80*(('HIV-Key Info'!$E$80*'HPM costs'!G379)+('HIV-Key Info'!$F$80*('HPM costs'!G382+'HPM costs'!G385)))</f>
        <v>0</v>
      </c>
      <c r="S295" s="525" t="s">
        <v>1237</v>
      </c>
      <c r="T295" s="525">
        <f>'HIV-Key Info'!$H$80*(('HIV-Key Info'!$E$80*'HPM costs'!H379)+('HIV-Key Info'!$F$80*('HPM costs'!H382+'HPM costs'!H385)))</f>
        <v>0</v>
      </c>
      <c r="U295" s="525" t="s">
        <v>1237</v>
      </c>
      <c r="V295" s="525">
        <f>'HIV-Key Info'!$H$80*(('HIV-Key Info'!$E$80*'HPM costs'!I379)+('HIV-Key Info'!$F$80*('HPM costs'!I382+'HPM costs'!I385)))</f>
        <v>0</v>
      </c>
      <c r="W295" s="525"/>
      <c r="X295" s="1154">
        <f t="shared" si="30"/>
        <v>0</v>
      </c>
      <c r="Y295" s="1155"/>
      <c r="Z295" s="1156"/>
      <c r="AA295" s="529"/>
      <c r="AB295" s="525"/>
      <c r="AC295" s="525">
        <f>'HIV-Key Info'!$H$80*(('HIV-Key Info'!$E$80*'HPM costs'!K379)+('HIV-Key Info'!$F$80*('HPM costs'!K382+'HPM costs'!K385)))</f>
        <v>0</v>
      </c>
      <c r="AD295" s="525"/>
      <c r="AE295" s="525">
        <f>'HIV-Key Info'!$H$80*(('HIV-Key Info'!$E$80*'HPM costs'!L379)+('HIV-Key Info'!$F$80*('HPM costs'!L382+'HPM costs'!L385)))</f>
        <v>0</v>
      </c>
      <c r="AF295" s="525"/>
      <c r="AG295" s="525">
        <f>'HIV-Key Info'!$H$80*(('HIV-Key Info'!$E$80*'HPM costs'!M379)+('HIV-Key Info'!$F$80*('HPM costs'!M382+'HPM costs'!M385)))</f>
        <v>0</v>
      </c>
      <c r="AH295" s="525"/>
      <c r="AI295" s="525">
        <f>'HIV-Key Info'!$H$80*(('HIV-Key Info'!$E$80*'HPM costs'!N379)+('HIV-Key Info'!$F$80*('HPM costs'!N382+'HPM costs'!N385)))</f>
        <v>0</v>
      </c>
      <c r="AJ295" s="525"/>
      <c r="AK295" s="1154">
        <f t="shared" si="31"/>
        <v>0</v>
      </c>
      <c r="AL295" s="1155"/>
      <c r="AM295" s="1156"/>
      <c r="AN295" s="529"/>
      <c r="AO295" s="525"/>
      <c r="AP295" s="525">
        <f>'HIV-Key Info'!$H$80*(('HIV-Key Info'!$E$80*'HPM costs'!P379)+('HIV-Key Info'!$F$80*('HPM costs'!P382+'HPM costs'!P385)))</f>
        <v>0</v>
      </c>
      <c r="AQ295" s="525"/>
      <c r="AR295" s="525">
        <f>'HIV-Key Info'!$H$80*(('HIV-Key Info'!$E$80*'HPM costs'!Q379)+('HIV-Key Info'!$F$80*('HPM costs'!Q382+'HPM costs'!Q385)))</f>
        <v>0</v>
      </c>
      <c r="AS295" s="525"/>
      <c r="AT295" s="525">
        <f>'HIV-Key Info'!$H$80*(('HIV-Key Info'!$E$80*'HPM costs'!R379)+('HIV-Key Info'!$F$80*('HPM costs'!R382+'HPM costs'!R385)))</f>
        <v>0</v>
      </c>
      <c r="AU295" s="525"/>
      <c r="AV295" s="525">
        <f>'HIV-Key Info'!$H$80*(('HIV-Key Info'!$E$80*'HPM costs'!S379)+('HIV-Key Info'!$F$80*('HPM costs'!S382+'HPM costs'!S385)))</f>
        <v>0</v>
      </c>
      <c r="AW295" s="525"/>
      <c r="AX295" s="1154">
        <f t="shared" si="32"/>
        <v>0</v>
      </c>
      <c r="AY295" s="1154"/>
      <c r="AZ295" s="528"/>
      <c r="BA295" s="529"/>
      <c r="BB295" s="527"/>
      <c r="BC295" s="527">
        <v>0</v>
      </c>
      <c r="BD295" s="527">
        <v>0</v>
      </c>
      <c r="BE295" s="527">
        <v>0</v>
      </c>
      <c r="BF295" s="527">
        <v>0</v>
      </c>
      <c r="BG295" s="527">
        <v>0</v>
      </c>
      <c r="BH295" s="527">
        <v>0</v>
      </c>
      <c r="BI295" s="527">
        <v>0</v>
      </c>
      <c r="BJ295" s="527">
        <v>0</v>
      </c>
      <c r="BK295" s="1154">
        <f t="shared" si="33"/>
        <v>0</v>
      </c>
      <c r="BL295" s="1154"/>
      <c r="BM295" s="1154">
        <f t="shared" si="34"/>
        <v>0</v>
      </c>
      <c r="BN295" s="1154">
        <f t="shared" si="35"/>
        <v>0</v>
      </c>
      <c r="BO295" s="527"/>
      <c r="BP295" s="527"/>
      <c r="BQ295" s="1157" t="s">
        <v>2550</v>
      </c>
      <c r="BR295" s="1157" t="s">
        <v>690</v>
      </c>
      <c r="BS295" s="1157" t="s">
        <v>527</v>
      </c>
      <c r="BT295" s="1376" t="s">
        <v>1599</v>
      </c>
    </row>
    <row r="296" spans="1:72" s="1371" customFormat="1" ht="13">
      <c r="A296" s="1204">
        <v>852</v>
      </c>
      <c r="B296" s="1205" t="s">
        <v>672</v>
      </c>
      <c r="C296" s="1205" t="s">
        <v>674</v>
      </c>
      <c r="D296" s="1206" t="s">
        <v>2506</v>
      </c>
      <c r="E296" s="1386" t="s">
        <v>534</v>
      </c>
      <c r="F296" s="521"/>
      <c r="G296" s="522"/>
      <c r="H296" s="522"/>
      <c r="I296" s="522"/>
      <c r="J296" s="523"/>
      <c r="K296" s="523"/>
      <c r="L296" s="523"/>
      <c r="M296" s="524"/>
      <c r="N296" s="525"/>
      <c r="O296" s="526" t="s">
        <v>1237</v>
      </c>
      <c r="P296" s="525">
        <f>'HIV-Key Info'!$H$80*(('HIV-Key Info'!$E$80*'HPM costs'!F465)+('HIV-Key Info'!$F$80*('HPM costs'!F468+'HPM costs'!F471)))</f>
        <v>0</v>
      </c>
      <c r="Q296" s="525" t="s">
        <v>1237</v>
      </c>
      <c r="R296" s="525">
        <f>'HIV-Key Info'!$H$80*(('HIV-Key Info'!$E$80*'HPM costs'!G465)+('HIV-Key Info'!$F$80*('HPM costs'!G468+'HPM costs'!G471)))</f>
        <v>0</v>
      </c>
      <c r="S296" s="525" t="s">
        <v>1237</v>
      </c>
      <c r="T296" s="525">
        <f>'HIV-Key Info'!$H$80*(('HIV-Key Info'!$E$80*'HPM costs'!H465)+('HIV-Key Info'!$F$80*('HPM costs'!H468+'HPM costs'!H471)))</f>
        <v>0</v>
      </c>
      <c r="U296" s="525" t="s">
        <v>1237</v>
      </c>
      <c r="V296" s="525">
        <f>'HIV-Key Info'!$H$80*(('HIV-Key Info'!$E$80*'HPM costs'!I465)+('HIV-Key Info'!$F$80*('HPM costs'!I468+'HPM costs'!I471)))</f>
        <v>0</v>
      </c>
      <c r="W296" s="525"/>
      <c r="X296" s="1154">
        <f t="shared" si="30"/>
        <v>0</v>
      </c>
      <c r="Y296" s="1155"/>
      <c r="Z296" s="1156"/>
      <c r="AA296" s="529"/>
      <c r="AB296" s="525"/>
      <c r="AC296" s="525">
        <f>'HIV-Key Info'!$H$80*(('HIV-Key Info'!$E$80*'HPM costs'!K465)+('HIV-Key Info'!$F$80*('HPM costs'!K468+'HPM costs'!K471)))</f>
        <v>0</v>
      </c>
      <c r="AD296" s="525"/>
      <c r="AE296" s="525">
        <f>'HIV-Key Info'!$H$80*(('HIV-Key Info'!$E$80*'HPM costs'!L465)+('HIV-Key Info'!$F$80*('HPM costs'!L468+'HPM costs'!L471)))</f>
        <v>0</v>
      </c>
      <c r="AF296" s="525"/>
      <c r="AG296" s="525">
        <f>'HIV-Key Info'!$H$80*(('HIV-Key Info'!$E$80*'HPM costs'!M465)+('HIV-Key Info'!$F$80*('HPM costs'!M468+'HPM costs'!M471)))</f>
        <v>0</v>
      </c>
      <c r="AH296" s="525"/>
      <c r="AI296" s="525">
        <f>'HIV-Key Info'!$H$80*(('HIV-Key Info'!$E$80*'HPM costs'!N465)+('HIV-Key Info'!$F$80*('HPM costs'!N468+'HPM costs'!N471)))</f>
        <v>0</v>
      </c>
      <c r="AJ296" s="525"/>
      <c r="AK296" s="1154">
        <f t="shared" si="31"/>
        <v>0</v>
      </c>
      <c r="AL296" s="1155"/>
      <c r="AM296" s="1156"/>
      <c r="AN296" s="529"/>
      <c r="AO296" s="525"/>
      <c r="AP296" s="525">
        <f>'HIV-Key Info'!$H$80*(('HIV-Key Info'!$E$80*'HPM costs'!P465)+('HIV-Key Info'!$F$80*('HPM costs'!P468+'HPM costs'!P471)))</f>
        <v>0</v>
      </c>
      <c r="AQ296" s="525"/>
      <c r="AR296" s="525">
        <f>'HIV-Key Info'!$H$80*(('HIV-Key Info'!$E$80*'HPM costs'!Q465)+('HIV-Key Info'!$F$80*('HPM costs'!Q468+'HPM costs'!Q471)))</f>
        <v>0</v>
      </c>
      <c r="AS296" s="525"/>
      <c r="AT296" s="525">
        <f>'HIV-Key Info'!$H$80*(('HIV-Key Info'!$E$80*'HPM costs'!R465)+('HIV-Key Info'!$F$80*('HPM costs'!R468+'HPM costs'!R471)))</f>
        <v>0</v>
      </c>
      <c r="AU296" s="525"/>
      <c r="AV296" s="525">
        <f>'HIV-Key Info'!$H$80*(('HIV-Key Info'!$E$80*'HPM costs'!S465)+('HIV-Key Info'!$F$80*('HPM costs'!S468+'HPM costs'!S471)))</f>
        <v>0</v>
      </c>
      <c r="AW296" s="525"/>
      <c r="AX296" s="1154">
        <f t="shared" si="32"/>
        <v>0</v>
      </c>
      <c r="AY296" s="1154"/>
      <c r="AZ296" s="528"/>
      <c r="BA296" s="529"/>
      <c r="BB296" s="527"/>
      <c r="BC296" s="527">
        <v>0</v>
      </c>
      <c r="BD296" s="527">
        <v>0</v>
      </c>
      <c r="BE296" s="527">
        <v>0</v>
      </c>
      <c r="BF296" s="527">
        <v>0</v>
      </c>
      <c r="BG296" s="527">
        <v>0</v>
      </c>
      <c r="BH296" s="527">
        <v>0</v>
      </c>
      <c r="BI296" s="527">
        <v>0</v>
      </c>
      <c r="BJ296" s="527">
        <v>0</v>
      </c>
      <c r="BK296" s="1154">
        <f t="shared" si="33"/>
        <v>0</v>
      </c>
      <c r="BL296" s="1154"/>
      <c r="BM296" s="1154">
        <f t="shared" si="34"/>
        <v>0</v>
      </c>
      <c r="BN296" s="1154">
        <f t="shared" si="35"/>
        <v>0</v>
      </c>
      <c r="BO296" s="527"/>
      <c r="BP296" s="527"/>
      <c r="BQ296" s="1157" t="s">
        <v>2550</v>
      </c>
      <c r="BR296" s="1157" t="s">
        <v>690</v>
      </c>
      <c r="BS296" s="1157" t="s">
        <v>527</v>
      </c>
      <c r="BT296" s="1376" t="s">
        <v>1600</v>
      </c>
    </row>
    <row r="297" spans="1:72" s="1371" customFormat="1" ht="13">
      <c r="A297" s="1204">
        <v>853</v>
      </c>
      <c r="B297" s="1205" t="s">
        <v>672</v>
      </c>
      <c r="C297" s="1205" t="s">
        <v>674</v>
      </c>
      <c r="D297" s="1206" t="s">
        <v>2506</v>
      </c>
      <c r="E297" s="1386" t="s">
        <v>536</v>
      </c>
      <c r="F297" s="521"/>
      <c r="G297" s="522"/>
      <c r="H297" s="522"/>
      <c r="I297" s="522"/>
      <c r="J297" s="523"/>
      <c r="K297" s="523"/>
      <c r="L297" s="523"/>
      <c r="M297" s="524"/>
      <c r="N297" s="525"/>
      <c r="O297" s="526" t="s">
        <v>1237</v>
      </c>
      <c r="P297" s="525">
        <f>'HIV-Key Info'!$H$80*(('HIV-Key Info'!$E$80*('HPM costs'!F205+'HPM costs'!F551))+('HIV-Key Info'!$F$80*('HPM costs'!F208+'HPM costs'!F211+'HPM costs'!F554+'HPM costs'!F557)))</f>
        <v>0</v>
      </c>
      <c r="Q297" s="525" t="s">
        <v>1237</v>
      </c>
      <c r="R297" s="525">
        <f>'HIV-Key Info'!$H$80*(('HIV-Key Info'!$E$80*('HPM costs'!G205+'HPM costs'!G551))+('HIV-Key Info'!$F$80*('HPM costs'!G208+'HPM costs'!G211+'HPM costs'!G554+'HPM costs'!G557)))</f>
        <v>0</v>
      </c>
      <c r="S297" s="525" t="s">
        <v>1237</v>
      </c>
      <c r="T297" s="525">
        <f>'HIV-Key Info'!$H$80*(('HIV-Key Info'!$E$80*('HPM costs'!H205+'HPM costs'!H551))+('HIV-Key Info'!$F$80*('HPM costs'!H208+'HPM costs'!H211+'HPM costs'!H554+'HPM costs'!H557)))</f>
        <v>0</v>
      </c>
      <c r="U297" s="525" t="s">
        <v>1237</v>
      </c>
      <c r="V297" s="525">
        <f>'HIV-Key Info'!$H$80*(('HIV-Key Info'!$E$80*('HPM costs'!I205+'HPM costs'!I551))+('HIV-Key Info'!$F$80*('HPM costs'!I208+'HPM costs'!I211+'HPM costs'!I554+'HPM costs'!I557)))</f>
        <v>0</v>
      </c>
      <c r="W297" s="525"/>
      <c r="X297" s="1154">
        <f t="shared" si="30"/>
        <v>0</v>
      </c>
      <c r="Y297" s="1155"/>
      <c r="Z297" s="1156"/>
      <c r="AA297" s="529"/>
      <c r="AB297" s="525"/>
      <c r="AC297" s="525">
        <f>'HIV-Key Info'!$H$80*(('HIV-Key Info'!$E$80*('HPM costs'!K205+'HPM costs'!K551))+('HIV-Key Info'!$F$80*('HPM costs'!K208+'HPM costs'!K211+'HPM costs'!K554+'HPM costs'!K557)))</f>
        <v>0</v>
      </c>
      <c r="AD297" s="525"/>
      <c r="AE297" s="525">
        <f>'HIV-Key Info'!$H$80*(('HIV-Key Info'!$E$80*('HPM costs'!L205+'HPM costs'!L551))+('HIV-Key Info'!$F$80*('HPM costs'!L208+'HPM costs'!L211+'HPM costs'!L554+'HPM costs'!L557)))</f>
        <v>0</v>
      </c>
      <c r="AF297" s="525"/>
      <c r="AG297" s="525">
        <f>'HIV-Key Info'!$H$80*(('HIV-Key Info'!$E$80*('HPM costs'!M205+'HPM costs'!M551))+('HIV-Key Info'!$F$80*('HPM costs'!M208+'HPM costs'!M211+'HPM costs'!M554+'HPM costs'!M557)))</f>
        <v>0</v>
      </c>
      <c r="AH297" s="525"/>
      <c r="AI297" s="525">
        <f>'HIV-Key Info'!$H$80*(('HIV-Key Info'!$E$80*('HPM costs'!N205+'HPM costs'!N551))+('HIV-Key Info'!$F$80*('HPM costs'!N208+'HPM costs'!N211+'HPM costs'!N554+'HPM costs'!N557)))</f>
        <v>0</v>
      </c>
      <c r="AJ297" s="525"/>
      <c r="AK297" s="1154">
        <f t="shared" si="31"/>
        <v>0</v>
      </c>
      <c r="AL297" s="1155"/>
      <c r="AM297" s="1156"/>
      <c r="AN297" s="529"/>
      <c r="AO297" s="525"/>
      <c r="AP297" s="525">
        <f>'HIV-Key Info'!$H$80*(('HIV-Key Info'!$E$80*('HPM costs'!P205+'HPM costs'!P551))+('HIV-Key Info'!$F$80*('HPM costs'!P208+'HPM costs'!P211+'HPM costs'!P554+'HPM costs'!P557)))</f>
        <v>0</v>
      </c>
      <c r="AQ297" s="525"/>
      <c r="AR297" s="525">
        <f>'HIV-Key Info'!$H$80*(('HIV-Key Info'!$E$80*('HPM costs'!Q205+'HPM costs'!Q551))+('HIV-Key Info'!$F$80*('HPM costs'!Q208+'HPM costs'!Q211+'HPM costs'!Q554+'HPM costs'!Q557)))</f>
        <v>0</v>
      </c>
      <c r="AS297" s="525"/>
      <c r="AT297" s="525">
        <f>'HIV-Key Info'!$H$80*(('HIV-Key Info'!$E$80*('HPM costs'!R205+'HPM costs'!R551))+('HIV-Key Info'!$F$80*('HPM costs'!R208+'HPM costs'!R211+'HPM costs'!R554+'HPM costs'!R557)))</f>
        <v>0</v>
      </c>
      <c r="AU297" s="525"/>
      <c r="AV297" s="525">
        <f>'HIV-Key Info'!$H$80*(('HIV-Key Info'!$E$80*('HPM costs'!S205+'HPM costs'!S551))+('HIV-Key Info'!$F$80*('HPM costs'!S208+'HPM costs'!S211+'HPM costs'!S554+'HPM costs'!S557)))</f>
        <v>0</v>
      </c>
      <c r="AW297" s="525"/>
      <c r="AX297" s="1154">
        <f t="shared" si="32"/>
        <v>0</v>
      </c>
      <c r="AY297" s="1154"/>
      <c r="AZ297" s="528"/>
      <c r="BA297" s="529"/>
      <c r="BB297" s="527"/>
      <c r="BC297" s="527">
        <v>0</v>
      </c>
      <c r="BD297" s="527">
        <v>0</v>
      </c>
      <c r="BE297" s="527">
        <v>0</v>
      </c>
      <c r="BF297" s="527">
        <v>0</v>
      </c>
      <c r="BG297" s="527">
        <v>0</v>
      </c>
      <c r="BH297" s="527">
        <v>0</v>
      </c>
      <c r="BI297" s="527">
        <v>0</v>
      </c>
      <c r="BJ297" s="527">
        <v>0</v>
      </c>
      <c r="BK297" s="1154">
        <f t="shared" si="33"/>
        <v>0</v>
      </c>
      <c r="BL297" s="1154"/>
      <c r="BM297" s="1154">
        <f t="shared" si="34"/>
        <v>0</v>
      </c>
      <c r="BN297" s="1154">
        <f t="shared" si="35"/>
        <v>0</v>
      </c>
      <c r="BO297" s="527"/>
      <c r="BP297" s="527"/>
      <c r="BQ297" s="1157" t="s">
        <v>2550</v>
      </c>
      <c r="BR297" s="1157" t="s">
        <v>690</v>
      </c>
      <c r="BS297" s="1157" t="s">
        <v>527</v>
      </c>
      <c r="BT297" s="1376" t="s">
        <v>1601</v>
      </c>
    </row>
    <row r="298" spans="1:72" s="1371" customFormat="1" ht="13">
      <c r="A298" s="1204">
        <v>854</v>
      </c>
      <c r="B298" s="1205" t="s">
        <v>672</v>
      </c>
      <c r="C298" s="1205" t="s">
        <v>674</v>
      </c>
      <c r="D298" s="1206" t="s">
        <v>2506</v>
      </c>
      <c r="E298" s="1386" t="s">
        <v>538</v>
      </c>
      <c r="F298" s="521"/>
      <c r="G298" s="522"/>
      <c r="H298" s="522"/>
      <c r="I298" s="522"/>
      <c r="J298" s="523"/>
      <c r="K298" s="523"/>
      <c r="L298" s="523"/>
      <c r="M298" s="524"/>
      <c r="N298" s="525"/>
      <c r="O298" s="526" t="s">
        <v>1237</v>
      </c>
      <c r="P298" s="525">
        <f>'HIV-Key Info'!$H$80*(('HIV-Key Info'!$E$80*'HPM costs'!F291)+('HIV-Key Info'!$F$80*('HPM costs'!F294+'HPM costs'!F297)))</f>
        <v>0</v>
      </c>
      <c r="Q298" s="525" t="s">
        <v>1237</v>
      </c>
      <c r="R298" s="525">
        <f>'HIV-Key Info'!$H$80*(('HIV-Key Info'!$E$80*'HPM costs'!G291)+('HIV-Key Info'!$F$80*('HPM costs'!G294+'HPM costs'!G297)))</f>
        <v>0</v>
      </c>
      <c r="S298" s="525" t="s">
        <v>1237</v>
      </c>
      <c r="T298" s="525">
        <f>'HIV-Key Info'!$H$80*(('HIV-Key Info'!$E$80*'HPM costs'!H291)+('HIV-Key Info'!$F$80*('HPM costs'!H294+'HPM costs'!H297)))</f>
        <v>0</v>
      </c>
      <c r="U298" s="525" t="s">
        <v>1237</v>
      </c>
      <c r="V298" s="525">
        <f>'HIV-Key Info'!$H$80*(('HIV-Key Info'!$E$80*'HPM costs'!I291)+('HIV-Key Info'!$F$80*('HPM costs'!I294+'HPM costs'!I297)))</f>
        <v>0</v>
      </c>
      <c r="W298" s="525"/>
      <c r="X298" s="1154">
        <f t="shared" si="30"/>
        <v>0</v>
      </c>
      <c r="Y298" s="1155"/>
      <c r="Z298" s="1156"/>
      <c r="AA298" s="529"/>
      <c r="AB298" s="525"/>
      <c r="AC298" s="525">
        <f>'HIV-Key Info'!$H$80*(('HIV-Key Info'!$E$80*'HPM costs'!K291)+('HIV-Key Info'!$F$80*('HPM costs'!K294+'HPM costs'!K297)))</f>
        <v>0</v>
      </c>
      <c r="AD298" s="525"/>
      <c r="AE298" s="525">
        <f>'HIV-Key Info'!$H$80*(('HIV-Key Info'!$E$80*'HPM costs'!L291)+('HIV-Key Info'!$F$80*('HPM costs'!L294+'HPM costs'!L297)))</f>
        <v>0</v>
      </c>
      <c r="AF298" s="525"/>
      <c r="AG298" s="525">
        <f>'HIV-Key Info'!$H$80*(('HIV-Key Info'!$E$80*'HPM costs'!M291)+('HIV-Key Info'!$F$80*('HPM costs'!M294+'HPM costs'!M297)))</f>
        <v>0</v>
      </c>
      <c r="AH298" s="525"/>
      <c r="AI298" s="525">
        <f>'HIV-Key Info'!$H$80*(('HIV-Key Info'!$E$80*'HPM costs'!N291)+('HIV-Key Info'!$F$80*('HPM costs'!N294+'HPM costs'!N297)))</f>
        <v>0</v>
      </c>
      <c r="AJ298" s="525"/>
      <c r="AK298" s="1154">
        <f t="shared" si="31"/>
        <v>0</v>
      </c>
      <c r="AL298" s="1155"/>
      <c r="AM298" s="1156"/>
      <c r="AN298" s="529"/>
      <c r="AO298" s="525"/>
      <c r="AP298" s="525">
        <f>'HIV-Key Info'!$H$80*(('HIV-Key Info'!$E$80*'HPM costs'!P291)+('HIV-Key Info'!$F$80*('HPM costs'!P294+'HPM costs'!P297)))</f>
        <v>0</v>
      </c>
      <c r="AQ298" s="525"/>
      <c r="AR298" s="525">
        <f>'HIV-Key Info'!$H$80*(('HIV-Key Info'!$E$80*'HPM costs'!Q291)+('HIV-Key Info'!$F$80*('HPM costs'!Q294+'HPM costs'!Q297)))</f>
        <v>0</v>
      </c>
      <c r="AS298" s="525"/>
      <c r="AT298" s="525">
        <f>'HIV-Key Info'!$H$80*(('HIV-Key Info'!$E$80*'HPM costs'!R291)+('HIV-Key Info'!$F$80*('HPM costs'!R294+'HPM costs'!R297)))</f>
        <v>0</v>
      </c>
      <c r="AU298" s="525"/>
      <c r="AV298" s="525">
        <f>'HIV-Key Info'!$H$80*(('HIV-Key Info'!$E$80*'HPM costs'!S291)+('HIV-Key Info'!$F$80*('HPM costs'!S294+'HPM costs'!S297)))</f>
        <v>0</v>
      </c>
      <c r="AW298" s="525"/>
      <c r="AX298" s="1154">
        <f t="shared" si="32"/>
        <v>0</v>
      </c>
      <c r="AY298" s="1154"/>
      <c r="AZ298" s="528"/>
      <c r="BA298" s="529"/>
      <c r="BB298" s="527"/>
      <c r="BC298" s="527">
        <v>0</v>
      </c>
      <c r="BD298" s="527">
        <v>0</v>
      </c>
      <c r="BE298" s="527">
        <v>0</v>
      </c>
      <c r="BF298" s="527">
        <v>0</v>
      </c>
      <c r="BG298" s="527">
        <v>0</v>
      </c>
      <c r="BH298" s="527">
        <v>0</v>
      </c>
      <c r="BI298" s="527">
        <v>0</v>
      </c>
      <c r="BJ298" s="527">
        <v>0</v>
      </c>
      <c r="BK298" s="1154">
        <f t="shared" si="33"/>
        <v>0</v>
      </c>
      <c r="BL298" s="1154"/>
      <c r="BM298" s="1154">
        <f t="shared" si="34"/>
        <v>0</v>
      </c>
      <c r="BN298" s="1154">
        <f t="shared" si="35"/>
        <v>0</v>
      </c>
      <c r="BO298" s="527"/>
      <c r="BP298" s="527"/>
      <c r="BQ298" s="1157" t="s">
        <v>2550</v>
      </c>
      <c r="BR298" s="1157" t="s">
        <v>690</v>
      </c>
      <c r="BS298" s="1157" t="s">
        <v>527</v>
      </c>
      <c r="BT298" s="1376" t="s">
        <v>1602</v>
      </c>
    </row>
    <row r="299" spans="1:72" s="1371" customFormat="1" ht="13">
      <c r="A299" s="1204">
        <v>855</v>
      </c>
      <c r="B299" s="1205" t="s">
        <v>672</v>
      </c>
      <c r="C299" s="1205" t="s">
        <v>674</v>
      </c>
      <c r="D299" s="1206" t="s">
        <v>2506</v>
      </c>
      <c r="E299" s="1386" t="s">
        <v>540</v>
      </c>
      <c r="F299" s="521"/>
      <c r="G299" s="522"/>
      <c r="H299" s="522"/>
      <c r="I299" s="522"/>
      <c r="J299" s="523"/>
      <c r="K299" s="523"/>
      <c r="L299" s="523"/>
      <c r="M299" s="524"/>
      <c r="N299" s="525"/>
      <c r="O299" s="526" t="s">
        <v>1237</v>
      </c>
      <c r="P299" s="525">
        <f>'HIV-Key Info'!$H$80*(('HIV-Key Info'!$E$80*'HPM costs'!F636)+('HIV-Key Info'!$F$80*('HPM costs'!F639+'HPM costs'!F642)))</f>
        <v>0</v>
      </c>
      <c r="Q299" s="525" t="s">
        <v>1237</v>
      </c>
      <c r="R299" s="525">
        <f>'HIV-Key Info'!$H$80*(('HIV-Key Info'!$E$80*'HPM costs'!G636)+('HIV-Key Info'!$F$80*('HPM costs'!G639+'HPM costs'!G642)))</f>
        <v>0</v>
      </c>
      <c r="S299" s="525" t="s">
        <v>1237</v>
      </c>
      <c r="T299" s="525">
        <f>'HIV-Key Info'!$H$80*(('HIV-Key Info'!$E$80*'HPM costs'!H636)+('HIV-Key Info'!$F$80*('HPM costs'!H639+'HPM costs'!H642)))</f>
        <v>0</v>
      </c>
      <c r="U299" s="525" t="s">
        <v>1237</v>
      </c>
      <c r="V299" s="525">
        <f>'HIV-Key Info'!$H$80*(('HIV-Key Info'!$E$80*'HPM costs'!I636)+('HIV-Key Info'!$F$80*('HPM costs'!I639+'HPM costs'!I642)))</f>
        <v>0</v>
      </c>
      <c r="W299" s="525"/>
      <c r="X299" s="1154">
        <f t="shared" si="30"/>
        <v>0</v>
      </c>
      <c r="Y299" s="1155"/>
      <c r="Z299" s="1156"/>
      <c r="AA299" s="529"/>
      <c r="AB299" s="525"/>
      <c r="AC299" s="525">
        <f>'HIV-Key Info'!$H$80*(('HIV-Key Info'!$E$80*'HPM costs'!K636)+('HIV-Key Info'!$F$80*('HPM costs'!K639+'HPM costs'!K642)))</f>
        <v>0</v>
      </c>
      <c r="AD299" s="525"/>
      <c r="AE299" s="525">
        <f>'HIV-Key Info'!$H$80*(('HIV-Key Info'!$E$80*'HPM costs'!L636)+('HIV-Key Info'!$F$80*('HPM costs'!L639+'HPM costs'!L642)))</f>
        <v>0</v>
      </c>
      <c r="AF299" s="525"/>
      <c r="AG299" s="525">
        <f>'HIV-Key Info'!$H$80*(('HIV-Key Info'!$E$80*'HPM costs'!M636)+('HIV-Key Info'!$F$80*('HPM costs'!M639+'HPM costs'!M642)))</f>
        <v>0</v>
      </c>
      <c r="AH299" s="525"/>
      <c r="AI299" s="525">
        <f>'HIV-Key Info'!$H$80*(('HIV-Key Info'!$E$80*'HPM costs'!N636)+('HIV-Key Info'!$F$80*('HPM costs'!N639+'HPM costs'!N642)))</f>
        <v>0</v>
      </c>
      <c r="AJ299" s="525"/>
      <c r="AK299" s="1154">
        <f t="shared" si="31"/>
        <v>0</v>
      </c>
      <c r="AL299" s="1155"/>
      <c r="AM299" s="1156"/>
      <c r="AN299" s="529"/>
      <c r="AO299" s="525"/>
      <c r="AP299" s="525">
        <f>'HIV-Key Info'!$H$80*(('HIV-Key Info'!$E$80*'HPM costs'!P636)+('HIV-Key Info'!$F$80*('HPM costs'!P639+'HPM costs'!P642)))</f>
        <v>0</v>
      </c>
      <c r="AQ299" s="525"/>
      <c r="AR299" s="525">
        <f>'HIV-Key Info'!$H$80*(('HIV-Key Info'!$E$80*'HPM costs'!Q636)+('HIV-Key Info'!$F$80*('HPM costs'!Q639+'HPM costs'!Q642)))</f>
        <v>0</v>
      </c>
      <c r="AS299" s="525"/>
      <c r="AT299" s="525">
        <f>'HIV-Key Info'!$H$80*(('HIV-Key Info'!$E$80*'HPM costs'!R636)+('HIV-Key Info'!$F$80*('HPM costs'!R639+'HPM costs'!R642)))</f>
        <v>0</v>
      </c>
      <c r="AU299" s="525"/>
      <c r="AV299" s="525">
        <f>'HIV-Key Info'!$H$80*(('HIV-Key Info'!$E$80*'HPM costs'!S636)+('HIV-Key Info'!$F$80*('HPM costs'!S639+'HPM costs'!S642)))</f>
        <v>0</v>
      </c>
      <c r="AW299" s="525"/>
      <c r="AX299" s="1154">
        <f t="shared" si="32"/>
        <v>0</v>
      </c>
      <c r="AY299" s="1154"/>
      <c r="AZ299" s="528"/>
      <c r="BA299" s="529"/>
      <c r="BB299" s="527"/>
      <c r="BC299" s="527">
        <v>0</v>
      </c>
      <c r="BD299" s="527">
        <v>0</v>
      </c>
      <c r="BE299" s="527">
        <v>0</v>
      </c>
      <c r="BF299" s="527">
        <v>0</v>
      </c>
      <c r="BG299" s="527">
        <v>0</v>
      </c>
      <c r="BH299" s="527">
        <v>0</v>
      </c>
      <c r="BI299" s="527">
        <v>0</v>
      </c>
      <c r="BJ299" s="527">
        <v>0</v>
      </c>
      <c r="BK299" s="1154">
        <f t="shared" si="33"/>
        <v>0</v>
      </c>
      <c r="BL299" s="1154"/>
      <c r="BM299" s="1154">
        <f t="shared" si="34"/>
        <v>0</v>
      </c>
      <c r="BN299" s="1154">
        <f t="shared" si="35"/>
        <v>0</v>
      </c>
      <c r="BO299" s="527"/>
      <c r="BP299" s="527"/>
      <c r="BQ299" s="1157" t="s">
        <v>2550</v>
      </c>
      <c r="BR299" s="1157" t="s">
        <v>690</v>
      </c>
      <c r="BS299" s="1157" t="s">
        <v>527</v>
      </c>
      <c r="BT299" s="1376" t="s">
        <v>1603</v>
      </c>
    </row>
    <row r="300" spans="1:72" s="1371" customFormat="1" ht="13">
      <c r="A300" s="1204">
        <v>856</v>
      </c>
      <c r="B300" s="1205" t="s">
        <v>672</v>
      </c>
      <c r="C300" s="1205" t="s">
        <v>675</v>
      </c>
      <c r="D300" s="1206" t="s">
        <v>2571</v>
      </c>
      <c r="E300" s="1386" t="s">
        <v>603</v>
      </c>
      <c r="F300" s="521"/>
      <c r="G300" s="522"/>
      <c r="H300" s="522"/>
      <c r="I300" s="522"/>
      <c r="J300" s="523"/>
      <c r="K300" s="523"/>
      <c r="L300" s="523"/>
      <c r="M300" s="524"/>
      <c r="N300" s="525"/>
      <c r="O300" s="526" t="s">
        <v>1237</v>
      </c>
      <c r="P300" s="525">
        <f>'HIV-Key Info'!$I$80*('HIV-Key Info'!$E$80*('HPM costs'!F119/'HPM costs'!$E$119)+'HIV-Key Info'!$F$80*('HPM costs'!F125/'HPM costs'!$E$125+'HPM costs'!F122/'HPM costs'!$E$122))</f>
        <v>0</v>
      </c>
      <c r="Q300" s="525" t="s">
        <v>1237</v>
      </c>
      <c r="R300" s="525">
        <f>'HIV-Key Info'!$I$80*('HIV-Key Info'!$E$80*('HPM costs'!G119/'HPM costs'!$E$119)+'HIV-Key Info'!$F$80*('HPM costs'!G125/'HPM costs'!$E$125+'HPM costs'!G122/'HPM costs'!$E$122))</f>
        <v>6878.9059286849997</v>
      </c>
      <c r="S300" s="525" t="s">
        <v>1237</v>
      </c>
      <c r="T300" s="525">
        <f>'HIV-Key Info'!$I$80*('HIV-Key Info'!$E$80*('HPM costs'!H119/'HPM costs'!$E$119)+'HIV-Key Info'!$F$80*('HPM costs'!H125/'HPM costs'!$E$125+'HPM costs'!H122/'HPM costs'!$E$122))</f>
        <v>0</v>
      </c>
      <c r="U300" s="525" t="s">
        <v>1237</v>
      </c>
      <c r="V300" s="525">
        <f>'HIV-Key Info'!$I$80*('HIV-Key Info'!$E$80*('HPM costs'!I119/'HPM costs'!$E$119)+'HIV-Key Info'!$F$80*('HPM costs'!I125/'HPM costs'!$E$125+'HPM costs'!I122/'HPM costs'!$E$122))</f>
        <v>0</v>
      </c>
      <c r="W300" s="525"/>
      <c r="X300" s="1154">
        <f t="shared" si="30"/>
        <v>6878.9059286849997</v>
      </c>
      <c r="Y300" s="1155"/>
      <c r="Z300" s="1156"/>
      <c r="AA300" s="529"/>
      <c r="AB300" s="525"/>
      <c r="AC300" s="525">
        <f>'HIV-Key Info'!$I$80*('HIV-Key Info'!$E$80*('HPM costs'!K119/'HPM costs'!$E$119)+'HIV-Key Info'!$F$80*('HPM costs'!K125/'HPM costs'!$E$125+'HPM costs'!K122/'HPM costs'!$E$122))</f>
        <v>0</v>
      </c>
      <c r="AD300" s="525"/>
      <c r="AE300" s="525">
        <f>'HIV-Key Info'!$I$80*('HIV-Key Info'!$E$80*('HPM costs'!L119/'HPM costs'!$E$119)+'HIV-Key Info'!$F$80*('HPM costs'!L125/'HPM costs'!$E$125+'HPM costs'!L122/'HPM costs'!$E$122))</f>
        <v>7196.392292859</v>
      </c>
      <c r="AF300" s="525"/>
      <c r="AG300" s="525">
        <f>'HIV-Key Info'!$I$80*('HIV-Key Info'!$E$80*('HPM costs'!M119/'HPM costs'!$E$119)+'HIV-Key Info'!$F$80*('HPM costs'!M125/'HPM costs'!$E$125+'HPM costs'!M122/'HPM costs'!$E$122))</f>
        <v>0</v>
      </c>
      <c r="AH300" s="525"/>
      <c r="AI300" s="525">
        <f>'HIV-Key Info'!$I$80*('HIV-Key Info'!$E$80*('HPM costs'!N119/'HPM costs'!$E$119)+'HIV-Key Info'!$F$80*('HPM costs'!N125/'HPM costs'!$E$125+'HPM costs'!N122/'HPM costs'!$E$122))</f>
        <v>0</v>
      </c>
      <c r="AJ300" s="525"/>
      <c r="AK300" s="1154">
        <f t="shared" si="31"/>
        <v>7196.392292859</v>
      </c>
      <c r="AL300" s="1155"/>
      <c r="AM300" s="1156"/>
      <c r="AN300" s="529"/>
      <c r="AO300" s="525"/>
      <c r="AP300" s="525">
        <f>'HIV-Key Info'!$I$80*('HIV-Key Info'!$E$80*('HPM costs'!P119/'HPM costs'!$E$119)+'HIV-Key Info'!$F$80*('HPM costs'!P125/'HPM costs'!$E$125+'HPM costs'!P122/'HPM costs'!$E$122))</f>
        <v>0</v>
      </c>
      <c r="AQ300" s="525"/>
      <c r="AR300" s="525">
        <f>'HIV-Key Info'!$I$80*('HIV-Key Info'!$E$80*('HPM costs'!Q119/'HPM costs'!$E$119)+'HIV-Key Info'!$F$80*('HPM costs'!Q125/'HPM costs'!$E$125+'HPM costs'!Q122/'HPM costs'!$E$122))</f>
        <v>7656.5122242840016</v>
      </c>
      <c r="AS300" s="525"/>
      <c r="AT300" s="525">
        <f>'HIV-Key Info'!$I$80*('HIV-Key Info'!$E$80*('HPM costs'!R119/'HPM costs'!$E$119)+'HIV-Key Info'!$F$80*('HPM costs'!R125/'HPM costs'!$E$125+'HPM costs'!R122/'HPM costs'!$E$122))</f>
        <v>0</v>
      </c>
      <c r="AU300" s="525"/>
      <c r="AV300" s="525">
        <f>'HIV-Key Info'!$I$80*('HIV-Key Info'!$E$80*('HPM costs'!S119/'HPM costs'!$E$119)+'HIV-Key Info'!$F$80*('HPM costs'!S125/'HPM costs'!$E$125+'HPM costs'!S122/'HPM costs'!$E$122))</f>
        <v>0</v>
      </c>
      <c r="AW300" s="525"/>
      <c r="AX300" s="1154">
        <f t="shared" si="32"/>
        <v>7656.5122242840016</v>
      </c>
      <c r="AY300" s="1154"/>
      <c r="AZ300" s="528"/>
      <c r="BA300" s="529"/>
      <c r="BB300" s="527"/>
      <c r="BC300" s="527">
        <v>0</v>
      </c>
      <c r="BD300" s="527">
        <v>0</v>
      </c>
      <c r="BE300" s="527">
        <v>0</v>
      </c>
      <c r="BF300" s="527">
        <v>0</v>
      </c>
      <c r="BG300" s="527">
        <v>0</v>
      </c>
      <c r="BH300" s="527">
        <v>0</v>
      </c>
      <c r="BI300" s="527">
        <v>0</v>
      </c>
      <c r="BJ300" s="527">
        <v>0</v>
      </c>
      <c r="BK300" s="1154">
        <f t="shared" si="33"/>
        <v>0</v>
      </c>
      <c r="BL300" s="1154"/>
      <c r="BM300" s="1154">
        <f t="shared" si="34"/>
        <v>0</v>
      </c>
      <c r="BN300" s="1154">
        <f t="shared" si="35"/>
        <v>21731.810445828</v>
      </c>
      <c r="BO300" s="527"/>
      <c r="BP300" s="527"/>
      <c r="BQ300" s="1157" t="s">
        <v>2550</v>
      </c>
      <c r="BR300" s="1157" t="s">
        <v>690</v>
      </c>
      <c r="BS300" s="1157" t="s">
        <v>2570</v>
      </c>
      <c r="BT300" s="1376" t="s">
        <v>1604</v>
      </c>
    </row>
    <row r="301" spans="1:72" s="1371" customFormat="1" ht="13">
      <c r="A301" s="1204">
        <v>857</v>
      </c>
      <c r="B301" s="1205" t="s">
        <v>672</v>
      </c>
      <c r="C301" s="1205" t="s">
        <v>675</v>
      </c>
      <c r="D301" s="1206" t="s">
        <v>2506</v>
      </c>
      <c r="E301" s="1386" t="s">
        <v>528</v>
      </c>
      <c r="F301" s="521"/>
      <c r="G301" s="522"/>
      <c r="H301" s="522"/>
      <c r="I301" s="522"/>
      <c r="J301" s="523"/>
      <c r="K301" s="523"/>
      <c r="L301" s="523"/>
      <c r="M301" s="524"/>
      <c r="N301" s="525"/>
      <c r="O301" s="526" t="s">
        <v>1237</v>
      </c>
      <c r="P301" s="525">
        <f>'HIV-Key Info'!$I$80*(('HIV-Key Info'!$E$80*'HPM costs'!F33)+('HIV-Key Info'!$F$80*('HPM costs'!F36+'HPM costs'!F39)))</f>
        <v>0</v>
      </c>
      <c r="Q301" s="525" t="s">
        <v>1237</v>
      </c>
      <c r="R301" s="525">
        <f>'HIV-Key Info'!$I$80*(('HIV-Key Info'!$E$80*'HPM costs'!G33)+('HIV-Key Info'!$F$80*('HPM costs'!G36+'HPM costs'!G39)))</f>
        <v>412.73435572109997</v>
      </c>
      <c r="S301" s="525" t="s">
        <v>1237</v>
      </c>
      <c r="T301" s="525">
        <f>'HIV-Key Info'!$I$80*(('HIV-Key Info'!$E$80*'HPM costs'!H33)+('HIV-Key Info'!$F$80*('HPM costs'!H36+'HPM costs'!H39)))</f>
        <v>0</v>
      </c>
      <c r="U301" s="525" t="s">
        <v>1237</v>
      </c>
      <c r="V301" s="525">
        <f>'HIV-Key Info'!$I$80*(('HIV-Key Info'!$E$80*'HPM costs'!I33)+('HIV-Key Info'!$F$80*('HPM costs'!I36+'HPM costs'!I39)))</f>
        <v>0</v>
      </c>
      <c r="W301" s="525"/>
      <c r="X301" s="1154">
        <f t="shared" si="30"/>
        <v>412.73435572109997</v>
      </c>
      <c r="Y301" s="1155"/>
      <c r="Z301" s="1156"/>
      <c r="AA301" s="529"/>
      <c r="AB301" s="525"/>
      <c r="AC301" s="525">
        <f>'HIV-Key Info'!$I$80*(('HIV-Key Info'!$E$80*'HPM costs'!K33)+('HIV-Key Info'!$F$80*('HPM costs'!K36+'HPM costs'!K39)))</f>
        <v>0</v>
      </c>
      <c r="AD301" s="525"/>
      <c r="AE301" s="525">
        <f>'HIV-Key Info'!$I$80*(('HIV-Key Info'!$E$80*'HPM costs'!L33)+('HIV-Key Info'!$F$80*('HPM costs'!L36+'HPM costs'!L39)))</f>
        <v>431.78353757154002</v>
      </c>
      <c r="AF301" s="525"/>
      <c r="AG301" s="525">
        <f>'HIV-Key Info'!$I$80*(('HIV-Key Info'!$E$80*'HPM costs'!M33)+('HIV-Key Info'!$F$80*('HPM costs'!M36+'HPM costs'!M39)))</f>
        <v>0</v>
      </c>
      <c r="AH301" s="525"/>
      <c r="AI301" s="525">
        <f>'HIV-Key Info'!$I$80*(('HIV-Key Info'!$E$80*'HPM costs'!N33)+('HIV-Key Info'!$F$80*('HPM costs'!N36+'HPM costs'!N39)))</f>
        <v>0</v>
      </c>
      <c r="AJ301" s="525"/>
      <c r="AK301" s="1154">
        <f t="shared" si="31"/>
        <v>431.78353757154002</v>
      </c>
      <c r="AL301" s="1155"/>
      <c r="AM301" s="1156"/>
      <c r="AN301" s="529"/>
      <c r="AO301" s="525"/>
      <c r="AP301" s="525">
        <f>'HIV-Key Info'!$I$80*(('HIV-Key Info'!$E$80*'HPM costs'!P33)+('HIV-Key Info'!$F$80*('HPM costs'!P36+'HPM costs'!P39)))</f>
        <v>0</v>
      </c>
      <c r="AQ301" s="525"/>
      <c r="AR301" s="525">
        <f>'HIV-Key Info'!$I$80*(('HIV-Key Info'!$E$80*'HPM costs'!Q33)+('HIV-Key Info'!$F$80*('HPM costs'!Q36+'HPM costs'!Q39)))</f>
        <v>459.39073345704003</v>
      </c>
      <c r="AS301" s="525"/>
      <c r="AT301" s="525">
        <f>'HIV-Key Info'!$I$80*(('HIV-Key Info'!$E$80*'HPM costs'!R33)+('HIV-Key Info'!$F$80*('HPM costs'!R36+'HPM costs'!R39)))</f>
        <v>0</v>
      </c>
      <c r="AU301" s="525"/>
      <c r="AV301" s="525">
        <f>'HIV-Key Info'!$I$80*(('HIV-Key Info'!$E$80*'HPM costs'!S33)+('HIV-Key Info'!$F$80*('HPM costs'!S36+'HPM costs'!S39)))</f>
        <v>0</v>
      </c>
      <c r="AW301" s="525"/>
      <c r="AX301" s="1154">
        <f t="shared" si="32"/>
        <v>459.39073345704003</v>
      </c>
      <c r="AY301" s="1154"/>
      <c r="AZ301" s="528"/>
      <c r="BA301" s="529"/>
      <c r="BB301" s="527"/>
      <c r="BC301" s="527">
        <v>0</v>
      </c>
      <c r="BD301" s="527">
        <v>0</v>
      </c>
      <c r="BE301" s="527">
        <v>0</v>
      </c>
      <c r="BF301" s="527">
        <v>0</v>
      </c>
      <c r="BG301" s="527">
        <v>0</v>
      </c>
      <c r="BH301" s="527">
        <v>0</v>
      </c>
      <c r="BI301" s="527">
        <v>0</v>
      </c>
      <c r="BJ301" s="527">
        <v>0</v>
      </c>
      <c r="BK301" s="1154">
        <f t="shared" si="33"/>
        <v>0</v>
      </c>
      <c r="BL301" s="1154"/>
      <c r="BM301" s="1154">
        <f t="shared" si="34"/>
        <v>0</v>
      </c>
      <c r="BN301" s="1154">
        <f t="shared" si="35"/>
        <v>1303.90862674968</v>
      </c>
      <c r="BO301" s="527"/>
      <c r="BP301" s="527" t="s">
        <v>4303</v>
      </c>
      <c r="BQ301" s="1157" t="s">
        <v>2550</v>
      </c>
      <c r="BR301" s="1157" t="s">
        <v>690</v>
      </c>
      <c r="BS301" s="1157" t="s">
        <v>527</v>
      </c>
      <c r="BT301" s="1376" t="s">
        <v>1605</v>
      </c>
    </row>
    <row r="302" spans="1:72" s="1371" customFormat="1" ht="13">
      <c r="A302" s="1204">
        <v>858</v>
      </c>
      <c r="B302" s="1205" t="s">
        <v>672</v>
      </c>
      <c r="C302" s="1205" t="s">
        <v>675</v>
      </c>
      <c r="D302" s="1206" t="s">
        <v>2506</v>
      </c>
      <c r="E302" s="1386" t="s">
        <v>530</v>
      </c>
      <c r="F302" s="521"/>
      <c r="G302" s="522"/>
      <c r="H302" s="522"/>
      <c r="I302" s="522"/>
      <c r="J302" s="523"/>
      <c r="K302" s="523"/>
      <c r="L302" s="523"/>
      <c r="M302" s="524"/>
      <c r="N302" s="525"/>
      <c r="O302" s="526" t="s">
        <v>1237</v>
      </c>
      <c r="P302" s="525">
        <f>'HIV-Key Info'!$I$80*(('HIV-Key Info'!$E$80*'HPM costs'!F119)+('HIV-Key Info'!$F$80*('HPM costs'!F122+'HPM costs'!F125)))</f>
        <v>0</v>
      </c>
      <c r="Q302" s="525" t="s">
        <v>1237</v>
      </c>
      <c r="R302" s="525">
        <f>'HIV-Key Info'!$I$80*(('HIV-Key Info'!$E$80*'HPM costs'!G119)+('HIV-Key Info'!$F$80*('HPM costs'!G122+'HPM costs'!G125)))</f>
        <v>6.8789059286849986E-13</v>
      </c>
      <c r="S302" s="525" t="s">
        <v>1237</v>
      </c>
      <c r="T302" s="525">
        <f>'HIV-Key Info'!$I$80*(('HIV-Key Info'!$E$80*'HPM costs'!H119)+('HIV-Key Info'!$F$80*('HPM costs'!H122+'HPM costs'!H125)))</f>
        <v>0</v>
      </c>
      <c r="U302" s="525" t="s">
        <v>1237</v>
      </c>
      <c r="V302" s="525">
        <f>'HIV-Key Info'!$I$80*(('HIV-Key Info'!$E$80*'HPM costs'!I119)+('HIV-Key Info'!$F$80*('HPM costs'!I122+'HPM costs'!I125)))</f>
        <v>0</v>
      </c>
      <c r="W302" s="525"/>
      <c r="X302" s="1154">
        <f t="shared" si="30"/>
        <v>6.8789059286849986E-13</v>
      </c>
      <c r="Y302" s="1155"/>
      <c r="Z302" s="1156"/>
      <c r="AA302" s="529"/>
      <c r="AB302" s="525"/>
      <c r="AC302" s="525">
        <f>'HIV-Key Info'!$I$80*(('HIV-Key Info'!$E$80*'HPM costs'!K119)+('HIV-Key Info'!$F$80*('HPM costs'!K122+'HPM costs'!K125)))</f>
        <v>0</v>
      </c>
      <c r="AD302" s="525"/>
      <c r="AE302" s="525">
        <f>'HIV-Key Info'!$I$80*(('HIV-Key Info'!$E$80*'HPM costs'!L119)+('HIV-Key Info'!$F$80*('HPM costs'!L122+'HPM costs'!L125)))</f>
        <v>7.1963922928590004E-13</v>
      </c>
      <c r="AF302" s="525"/>
      <c r="AG302" s="525">
        <f>'HIV-Key Info'!$I$80*(('HIV-Key Info'!$E$80*'HPM costs'!M119)+('HIV-Key Info'!$F$80*('HPM costs'!M122+'HPM costs'!M125)))</f>
        <v>0</v>
      </c>
      <c r="AH302" s="525"/>
      <c r="AI302" s="525">
        <f>'HIV-Key Info'!$I$80*(('HIV-Key Info'!$E$80*'HPM costs'!N119)+('HIV-Key Info'!$F$80*('HPM costs'!N122+'HPM costs'!N125)))</f>
        <v>0</v>
      </c>
      <c r="AJ302" s="525"/>
      <c r="AK302" s="1154">
        <f t="shared" si="31"/>
        <v>7.1963922928590004E-13</v>
      </c>
      <c r="AL302" s="1155"/>
      <c r="AM302" s="1156"/>
      <c r="AN302" s="529"/>
      <c r="AO302" s="525"/>
      <c r="AP302" s="525">
        <f>'HIV-Key Info'!$I$80*(('HIV-Key Info'!$E$80*'HPM costs'!P119)+('HIV-Key Info'!$F$80*('HPM costs'!P122+'HPM costs'!P125)))</f>
        <v>0</v>
      </c>
      <c r="AQ302" s="525"/>
      <c r="AR302" s="525">
        <f>'HIV-Key Info'!$I$80*(('HIV-Key Info'!$E$80*'HPM costs'!Q119)+('HIV-Key Info'!$F$80*('HPM costs'!Q122+'HPM costs'!Q125)))</f>
        <v>7.6565122242839996E-13</v>
      </c>
      <c r="AS302" s="525"/>
      <c r="AT302" s="525">
        <f>'HIV-Key Info'!$I$80*(('HIV-Key Info'!$E$80*'HPM costs'!R119)+('HIV-Key Info'!$F$80*('HPM costs'!R122+'HPM costs'!R125)))</f>
        <v>0</v>
      </c>
      <c r="AU302" s="525"/>
      <c r="AV302" s="525">
        <f>'HIV-Key Info'!$I$80*(('HIV-Key Info'!$E$80*'HPM costs'!S119)+('HIV-Key Info'!$F$80*('HPM costs'!S122+'HPM costs'!S125)))</f>
        <v>0</v>
      </c>
      <c r="AW302" s="525"/>
      <c r="AX302" s="1154">
        <f t="shared" si="32"/>
        <v>7.6565122242839996E-13</v>
      </c>
      <c r="AY302" s="1154"/>
      <c r="AZ302" s="528"/>
      <c r="BA302" s="529"/>
      <c r="BB302" s="527"/>
      <c r="BC302" s="527">
        <v>0</v>
      </c>
      <c r="BD302" s="527">
        <v>0</v>
      </c>
      <c r="BE302" s="527">
        <v>0</v>
      </c>
      <c r="BF302" s="527">
        <v>0</v>
      </c>
      <c r="BG302" s="527">
        <v>0</v>
      </c>
      <c r="BH302" s="527">
        <v>0</v>
      </c>
      <c r="BI302" s="527">
        <v>0</v>
      </c>
      <c r="BJ302" s="527">
        <v>0</v>
      </c>
      <c r="BK302" s="1154">
        <f t="shared" si="33"/>
        <v>0</v>
      </c>
      <c r="BL302" s="1154"/>
      <c r="BM302" s="1154">
        <f t="shared" si="34"/>
        <v>0</v>
      </c>
      <c r="BN302" s="1154">
        <f t="shared" si="35"/>
        <v>2.1731810445827999E-12</v>
      </c>
      <c r="BO302" s="527"/>
      <c r="BP302" s="527"/>
      <c r="BQ302" s="1157" t="s">
        <v>2550</v>
      </c>
      <c r="BR302" s="1157" t="s">
        <v>690</v>
      </c>
      <c r="BS302" s="1157" t="s">
        <v>527</v>
      </c>
      <c r="BT302" s="1376" t="s">
        <v>1606</v>
      </c>
    </row>
    <row r="303" spans="1:72" s="1371" customFormat="1" ht="13">
      <c r="A303" s="1204">
        <v>859</v>
      </c>
      <c r="B303" s="1205" t="s">
        <v>672</v>
      </c>
      <c r="C303" s="1205" t="s">
        <v>675</v>
      </c>
      <c r="D303" s="1206" t="s">
        <v>2506</v>
      </c>
      <c r="E303" s="1386" t="s">
        <v>532</v>
      </c>
      <c r="F303" s="521"/>
      <c r="G303" s="522"/>
      <c r="H303" s="522"/>
      <c r="I303" s="522"/>
      <c r="J303" s="523"/>
      <c r="K303" s="523"/>
      <c r="L303" s="523"/>
      <c r="M303" s="524"/>
      <c r="N303" s="525"/>
      <c r="O303" s="526" t="s">
        <v>1237</v>
      </c>
      <c r="P303" s="525">
        <f>'HIV-Key Info'!$I$80*(('HIV-Key Info'!$E$80*'HPM costs'!F379)+('HIV-Key Info'!$F$80*('HPM costs'!F382+'HPM costs'!F385)))</f>
        <v>0</v>
      </c>
      <c r="Q303" s="525" t="s">
        <v>1237</v>
      </c>
      <c r="R303" s="525">
        <f>'HIV-Key Info'!$I$80*(('HIV-Key Info'!$E$80*'HPM costs'!G379)+('HIV-Key Info'!$F$80*('HPM costs'!G382+'HPM costs'!G385)))</f>
        <v>0</v>
      </c>
      <c r="S303" s="525" t="s">
        <v>1237</v>
      </c>
      <c r="T303" s="525">
        <f>'HIV-Key Info'!$I$80*(('HIV-Key Info'!$E$80*'HPM costs'!H379)+('HIV-Key Info'!$F$80*('HPM costs'!H382+'HPM costs'!H385)))</f>
        <v>0</v>
      </c>
      <c r="U303" s="525" t="s">
        <v>1237</v>
      </c>
      <c r="V303" s="525">
        <f>'HIV-Key Info'!$I$80*(('HIV-Key Info'!$E$80*'HPM costs'!I379)+('HIV-Key Info'!$F$80*('HPM costs'!I382+'HPM costs'!I385)))</f>
        <v>0</v>
      </c>
      <c r="W303" s="525"/>
      <c r="X303" s="1154">
        <f t="shared" si="30"/>
        <v>0</v>
      </c>
      <c r="Y303" s="1155"/>
      <c r="Z303" s="1156"/>
      <c r="AA303" s="529"/>
      <c r="AB303" s="525"/>
      <c r="AC303" s="525">
        <f>'HIV-Key Info'!$I$80*(('HIV-Key Info'!$E$80*'HPM costs'!K379)+('HIV-Key Info'!$F$80*('HPM costs'!K382+'HPM costs'!K385)))</f>
        <v>0</v>
      </c>
      <c r="AD303" s="525"/>
      <c r="AE303" s="525">
        <f>'HIV-Key Info'!$I$80*(('HIV-Key Info'!$E$80*'HPM costs'!L379)+('HIV-Key Info'!$F$80*('HPM costs'!L382+'HPM costs'!L385)))</f>
        <v>0</v>
      </c>
      <c r="AF303" s="525"/>
      <c r="AG303" s="525">
        <f>'HIV-Key Info'!$I$80*(('HIV-Key Info'!$E$80*'HPM costs'!M379)+('HIV-Key Info'!$F$80*('HPM costs'!M382+'HPM costs'!M385)))</f>
        <v>0</v>
      </c>
      <c r="AH303" s="525"/>
      <c r="AI303" s="525">
        <f>'HIV-Key Info'!$I$80*(('HIV-Key Info'!$E$80*'HPM costs'!N379)+('HIV-Key Info'!$F$80*('HPM costs'!N382+'HPM costs'!N385)))</f>
        <v>0</v>
      </c>
      <c r="AJ303" s="525"/>
      <c r="AK303" s="1154">
        <f t="shared" si="31"/>
        <v>0</v>
      </c>
      <c r="AL303" s="1155"/>
      <c r="AM303" s="1156"/>
      <c r="AN303" s="529"/>
      <c r="AO303" s="525"/>
      <c r="AP303" s="525">
        <f>'HIV-Key Info'!$I$80*(('HIV-Key Info'!$E$80*'HPM costs'!P379)+('HIV-Key Info'!$F$80*('HPM costs'!P382+'HPM costs'!P385)))</f>
        <v>0</v>
      </c>
      <c r="AQ303" s="525"/>
      <c r="AR303" s="525">
        <f>'HIV-Key Info'!$I$80*(('HIV-Key Info'!$E$80*'HPM costs'!Q379)+('HIV-Key Info'!$F$80*('HPM costs'!Q382+'HPM costs'!Q385)))</f>
        <v>0</v>
      </c>
      <c r="AS303" s="525"/>
      <c r="AT303" s="525">
        <f>'HIV-Key Info'!$I$80*(('HIV-Key Info'!$E$80*'HPM costs'!R379)+('HIV-Key Info'!$F$80*('HPM costs'!R382+'HPM costs'!R385)))</f>
        <v>0</v>
      </c>
      <c r="AU303" s="525"/>
      <c r="AV303" s="525">
        <f>'HIV-Key Info'!$I$80*(('HIV-Key Info'!$E$80*'HPM costs'!S379)+('HIV-Key Info'!$F$80*('HPM costs'!S382+'HPM costs'!S385)))</f>
        <v>0</v>
      </c>
      <c r="AW303" s="525"/>
      <c r="AX303" s="1154">
        <f t="shared" si="32"/>
        <v>0</v>
      </c>
      <c r="AY303" s="1154"/>
      <c r="AZ303" s="528"/>
      <c r="BA303" s="529"/>
      <c r="BB303" s="527"/>
      <c r="BC303" s="527">
        <v>0</v>
      </c>
      <c r="BD303" s="527">
        <v>0</v>
      </c>
      <c r="BE303" s="527">
        <v>0</v>
      </c>
      <c r="BF303" s="527">
        <v>0</v>
      </c>
      <c r="BG303" s="527">
        <v>0</v>
      </c>
      <c r="BH303" s="527">
        <v>0</v>
      </c>
      <c r="BI303" s="527">
        <v>0</v>
      </c>
      <c r="BJ303" s="527">
        <v>0</v>
      </c>
      <c r="BK303" s="1154">
        <f t="shared" si="33"/>
        <v>0</v>
      </c>
      <c r="BL303" s="1154"/>
      <c r="BM303" s="1154">
        <f t="shared" si="34"/>
        <v>0</v>
      </c>
      <c r="BN303" s="1154">
        <f t="shared" si="35"/>
        <v>0</v>
      </c>
      <c r="BO303" s="527"/>
      <c r="BP303" s="527"/>
      <c r="BQ303" s="1157" t="s">
        <v>2550</v>
      </c>
      <c r="BR303" s="1157" t="s">
        <v>690</v>
      </c>
      <c r="BS303" s="1157" t="s">
        <v>527</v>
      </c>
      <c r="BT303" s="1376" t="s">
        <v>1607</v>
      </c>
    </row>
    <row r="304" spans="1:72" s="1371" customFormat="1" ht="13">
      <c r="A304" s="1204">
        <v>860</v>
      </c>
      <c r="B304" s="1205" t="s">
        <v>672</v>
      </c>
      <c r="C304" s="1205" t="s">
        <v>675</v>
      </c>
      <c r="D304" s="1206" t="s">
        <v>2506</v>
      </c>
      <c r="E304" s="1386" t="s">
        <v>534</v>
      </c>
      <c r="F304" s="521"/>
      <c r="G304" s="522"/>
      <c r="H304" s="522"/>
      <c r="I304" s="522"/>
      <c r="J304" s="523"/>
      <c r="K304" s="523"/>
      <c r="L304" s="523"/>
      <c r="M304" s="524"/>
      <c r="N304" s="525"/>
      <c r="O304" s="526" t="s">
        <v>1237</v>
      </c>
      <c r="P304" s="525">
        <f>'HIV-Key Info'!$I$80*(('HIV-Key Info'!$E$80*'HPM costs'!F465)+('HIV-Key Info'!$F$80*('HPM costs'!F468+'HPM costs'!F471)))</f>
        <v>0</v>
      </c>
      <c r="Q304" s="525" t="s">
        <v>1237</v>
      </c>
      <c r="R304" s="525">
        <f>'HIV-Key Info'!$I$80*(('HIV-Key Info'!$E$80*'HPM costs'!G465)+('HIV-Key Info'!$F$80*('HPM costs'!G468+'HPM costs'!G471)))</f>
        <v>0</v>
      </c>
      <c r="S304" s="525" t="s">
        <v>1237</v>
      </c>
      <c r="T304" s="525">
        <f>'HIV-Key Info'!$I$80*(('HIV-Key Info'!$E$80*'HPM costs'!H465)+('HIV-Key Info'!$F$80*('HPM costs'!H468+'HPM costs'!H471)))</f>
        <v>0</v>
      </c>
      <c r="U304" s="525" t="s">
        <v>1237</v>
      </c>
      <c r="V304" s="525">
        <f>'HIV-Key Info'!$I$80*(('HIV-Key Info'!$E$80*'HPM costs'!I465)+('HIV-Key Info'!$F$80*('HPM costs'!I468+'HPM costs'!I471)))</f>
        <v>0</v>
      </c>
      <c r="W304" s="525"/>
      <c r="X304" s="1154">
        <f t="shared" si="30"/>
        <v>0</v>
      </c>
      <c r="Y304" s="1155"/>
      <c r="Z304" s="1156"/>
      <c r="AA304" s="529"/>
      <c r="AB304" s="525"/>
      <c r="AC304" s="525">
        <f>'HIV-Key Info'!$I$80*(('HIV-Key Info'!$E$80*'HPM costs'!K465)+('HIV-Key Info'!$F$80*('HPM costs'!K468+'HPM costs'!K471)))</f>
        <v>0</v>
      </c>
      <c r="AD304" s="525"/>
      <c r="AE304" s="525">
        <f>'HIV-Key Info'!$I$80*(('HIV-Key Info'!$E$80*'HPM costs'!L465)+('HIV-Key Info'!$F$80*('HPM costs'!L468+'HPM costs'!L471)))</f>
        <v>0</v>
      </c>
      <c r="AF304" s="525"/>
      <c r="AG304" s="525">
        <f>'HIV-Key Info'!$I$80*(('HIV-Key Info'!$E$80*'HPM costs'!M465)+('HIV-Key Info'!$F$80*('HPM costs'!M468+'HPM costs'!M471)))</f>
        <v>0</v>
      </c>
      <c r="AH304" s="525"/>
      <c r="AI304" s="525">
        <f>'HIV-Key Info'!$I$80*(('HIV-Key Info'!$E$80*'HPM costs'!N465)+('HIV-Key Info'!$F$80*('HPM costs'!N468+'HPM costs'!N471)))</f>
        <v>0</v>
      </c>
      <c r="AJ304" s="525"/>
      <c r="AK304" s="1154">
        <f t="shared" si="31"/>
        <v>0</v>
      </c>
      <c r="AL304" s="1155"/>
      <c r="AM304" s="1156"/>
      <c r="AN304" s="529"/>
      <c r="AO304" s="525"/>
      <c r="AP304" s="525">
        <f>'HIV-Key Info'!$I$80*(('HIV-Key Info'!$E$80*'HPM costs'!P465)+('HIV-Key Info'!$F$80*('HPM costs'!P468+'HPM costs'!P471)))</f>
        <v>0</v>
      </c>
      <c r="AQ304" s="525"/>
      <c r="AR304" s="525">
        <f>'HIV-Key Info'!$I$80*(('HIV-Key Info'!$E$80*'HPM costs'!Q465)+('HIV-Key Info'!$F$80*('HPM costs'!Q468+'HPM costs'!Q471)))</f>
        <v>0</v>
      </c>
      <c r="AS304" s="525"/>
      <c r="AT304" s="525">
        <f>'HIV-Key Info'!$I$80*(('HIV-Key Info'!$E$80*'HPM costs'!R465)+('HIV-Key Info'!$F$80*('HPM costs'!R468+'HPM costs'!R471)))</f>
        <v>0</v>
      </c>
      <c r="AU304" s="525"/>
      <c r="AV304" s="525">
        <f>'HIV-Key Info'!$I$80*(('HIV-Key Info'!$E$80*'HPM costs'!S465)+('HIV-Key Info'!$F$80*('HPM costs'!S468+'HPM costs'!S471)))</f>
        <v>0</v>
      </c>
      <c r="AW304" s="525"/>
      <c r="AX304" s="1154">
        <f t="shared" si="32"/>
        <v>0</v>
      </c>
      <c r="AY304" s="1154"/>
      <c r="AZ304" s="528"/>
      <c r="BA304" s="529"/>
      <c r="BB304" s="527"/>
      <c r="BC304" s="527">
        <v>0</v>
      </c>
      <c r="BD304" s="527">
        <v>0</v>
      </c>
      <c r="BE304" s="527">
        <v>0</v>
      </c>
      <c r="BF304" s="527">
        <v>0</v>
      </c>
      <c r="BG304" s="527">
        <v>0</v>
      </c>
      <c r="BH304" s="527">
        <v>0</v>
      </c>
      <c r="BI304" s="527">
        <v>0</v>
      </c>
      <c r="BJ304" s="527">
        <v>0</v>
      </c>
      <c r="BK304" s="1154">
        <f t="shared" si="33"/>
        <v>0</v>
      </c>
      <c r="BL304" s="1154"/>
      <c r="BM304" s="1154">
        <f t="shared" si="34"/>
        <v>0</v>
      </c>
      <c r="BN304" s="1154">
        <f t="shared" si="35"/>
        <v>0</v>
      </c>
      <c r="BO304" s="527"/>
      <c r="BP304" s="527"/>
      <c r="BQ304" s="1157" t="s">
        <v>2550</v>
      </c>
      <c r="BR304" s="1157" t="s">
        <v>690</v>
      </c>
      <c r="BS304" s="1157" t="s">
        <v>527</v>
      </c>
      <c r="BT304" s="1376" t="s">
        <v>1608</v>
      </c>
    </row>
    <row r="305" spans="1:72" s="1371" customFormat="1" ht="13">
      <c r="A305" s="1204">
        <v>861</v>
      </c>
      <c r="B305" s="1205" t="s">
        <v>672</v>
      </c>
      <c r="C305" s="1205" t="s">
        <v>675</v>
      </c>
      <c r="D305" s="1206" t="s">
        <v>2506</v>
      </c>
      <c r="E305" s="1386" t="s">
        <v>536</v>
      </c>
      <c r="F305" s="521"/>
      <c r="G305" s="522"/>
      <c r="H305" s="522"/>
      <c r="I305" s="522"/>
      <c r="J305" s="523"/>
      <c r="K305" s="523"/>
      <c r="L305" s="523"/>
      <c r="M305" s="524"/>
      <c r="N305" s="525"/>
      <c r="O305" s="526" t="s">
        <v>1237</v>
      </c>
      <c r="P305" s="525">
        <f>'HIV-Key Info'!$I$80*(('HIV-Key Info'!$E$80*('HPM costs'!F205+'HPM costs'!F551))+('HIV-Key Info'!$F$80*('HPM costs'!F208+'HPM costs'!F211+'HPM costs'!F554+'HPM costs'!F557)))</f>
        <v>0</v>
      </c>
      <c r="Q305" s="525" t="s">
        <v>1237</v>
      </c>
      <c r="R305" s="525">
        <f>'HIV-Key Info'!$I$80*(('HIV-Key Info'!$E$80*('HPM costs'!G205+'HPM costs'!G551))+('HIV-Key Info'!$F$80*('HPM costs'!G208+'HPM costs'!G211+'HPM costs'!G554+'HPM costs'!G557)))</f>
        <v>0</v>
      </c>
      <c r="S305" s="525" t="s">
        <v>1237</v>
      </c>
      <c r="T305" s="525">
        <f>'HIV-Key Info'!$I$80*(('HIV-Key Info'!$E$80*('HPM costs'!H205+'HPM costs'!H551))+('HIV-Key Info'!$F$80*('HPM costs'!H208+'HPM costs'!H211+'HPM costs'!H554+'HPM costs'!H557)))</f>
        <v>0</v>
      </c>
      <c r="U305" s="525" t="s">
        <v>1237</v>
      </c>
      <c r="V305" s="525">
        <f>'HIV-Key Info'!$I$80*(('HIV-Key Info'!$E$80*('HPM costs'!I205+'HPM costs'!I551))+('HIV-Key Info'!$F$80*('HPM costs'!I208+'HPM costs'!I211+'HPM costs'!I554+'HPM costs'!I557)))</f>
        <v>0</v>
      </c>
      <c r="W305" s="525"/>
      <c r="X305" s="1154">
        <f t="shared" si="30"/>
        <v>0</v>
      </c>
      <c r="Y305" s="1155"/>
      <c r="Z305" s="1156"/>
      <c r="AA305" s="529"/>
      <c r="AB305" s="525"/>
      <c r="AC305" s="525">
        <f>'HIV-Key Info'!$I$80*(('HIV-Key Info'!$E$80*('HPM costs'!K205+'HPM costs'!K551))+('HIV-Key Info'!$F$80*('HPM costs'!K208+'HPM costs'!K211+'HPM costs'!K554+'HPM costs'!K557)))</f>
        <v>0</v>
      </c>
      <c r="AD305" s="525"/>
      <c r="AE305" s="525">
        <f>'HIV-Key Info'!$I$80*(('HIV-Key Info'!$E$80*('HPM costs'!L205+'HPM costs'!L551))+('HIV-Key Info'!$F$80*('HPM costs'!L208+'HPM costs'!L211+'HPM costs'!L554+'HPM costs'!L557)))</f>
        <v>0</v>
      </c>
      <c r="AF305" s="525"/>
      <c r="AG305" s="525">
        <f>'HIV-Key Info'!$I$80*(('HIV-Key Info'!$E$80*('HPM costs'!M205+'HPM costs'!M551))+('HIV-Key Info'!$F$80*('HPM costs'!M208+'HPM costs'!M211+'HPM costs'!M554+'HPM costs'!M557)))</f>
        <v>0</v>
      </c>
      <c r="AH305" s="525"/>
      <c r="AI305" s="525">
        <f>'HIV-Key Info'!$I$80*(('HIV-Key Info'!$E$80*('HPM costs'!N205+'HPM costs'!N551))+('HIV-Key Info'!$F$80*('HPM costs'!N208+'HPM costs'!N211+'HPM costs'!N554+'HPM costs'!N557)))</f>
        <v>0</v>
      </c>
      <c r="AJ305" s="525"/>
      <c r="AK305" s="1154">
        <f t="shared" si="31"/>
        <v>0</v>
      </c>
      <c r="AL305" s="1155"/>
      <c r="AM305" s="1156"/>
      <c r="AN305" s="529"/>
      <c r="AO305" s="525"/>
      <c r="AP305" s="525">
        <f>'HIV-Key Info'!$I$80*(('HIV-Key Info'!$E$80*('HPM costs'!P205+'HPM costs'!P551))+('HIV-Key Info'!$F$80*('HPM costs'!P208+'HPM costs'!P211+'HPM costs'!P554+'HPM costs'!P557)))</f>
        <v>0</v>
      </c>
      <c r="AQ305" s="525"/>
      <c r="AR305" s="525">
        <f>'HIV-Key Info'!$I$80*(('HIV-Key Info'!$E$80*('HPM costs'!Q205+'HPM costs'!Q551))+('HIV-Key Info'!$F$80*('HPM costs'!Q208+'HPM costs'!Q211+'HPM costs'!Q554+'HPM costs'!Q557)))</f>
        <v>0</v>
      </c>
      <c r="AS305" s="525"/>
      <c r="AT305" s="525">
        <f>'HIV-Key Info'!$I$80*(('HIV-Key Info'!$E$80*('HPM costs'!R205+'HPM costs'!R551))+('HIV-Key Info'!$F$80*('HPM costs'!R208+'HPM costs'!R211+'HPM costs'!R554+'HPM costs'!R557)))</f>
        <v>0</v>
      </c>
      <c r="AU305" s="525"/>
      <c r="AV305" s="525">
        <f>'HIV-Key Info'!$I$80*(('HIV-Key Info'!$E$80*('HPM costs'!S205+'HPM costs'!S551))+('HIV-Key Info'!$F$80*('HPM costs'!S208+'HPM costs'!S211+'HPM costs'!S554+'HPM costs'!S557)))</f>
        <v>0</v>
      </c>
      <c r="AW305" s="525"/>
      <c r="AX305" s="1154">
        <f t="shared" si="32"/>
        <v>0</v>
      </c>
      <c r="AY305" s="1154"/>
      <c r="AZ305" s="528"/>
      <c r="BA305" s="529"/>
      <c r="BB305" s="527"/>
      <c r="BC305" s="527">
        <v>0</v>
      </c>
      <c r="BD305" s="527">
        <v>0</v>
      </c>
      <c r="BE305" s="527">
        <v>0</v>
      </c>
      <c r="BF305" s="527">
        <v>0</v>
      </c>
      <c r="BG305" s="527">
        <v>0</v>
      </c>
      <c r="BH305" s="527">
        <v>0</v>
      </c>
      <c r="BI305" s="527">
        <v>0</v>
      </c>
      <c r="BJ305" s="527">
        <v>0</v>
      </c>
      <c r="BK305" s="1154">
        <f t="shared" si="33"/>
        <v>0</v>
      </c>
      <c r="BL305" s="1154"/>
      <c r="BM305" s="1154">
        <f t="shared" si="34"/>
        <v>0</v>
      </c>
      <c r="BN305" s="1154">
        <f t="shared" si="35"/>
        <v>0</v>
      </c>
      <c r="BO305" s="527"/>
      <c r="BP305" s="527"/>
      <c r="BQ305" s="1157" t="s">
        <v>2550</v>
      </c>
      <c r="BR305" s="1157" t="s">
        <v>690</v>
      </c>
      <c r="BS305" s="1157" t="s">
        <v>527</v>
      </c>
      <c r="BT305" s="1376" t="s">
        <v>1609</v>
      </c>
    </row>
    <row r="306" spans="1:72" s="1371" customFormat="1" ht="13">
      <c r="A306" s="1204">
        <v>862</v>
      </c>
      <c r="B306" s="1205" t="s">
        <v>672</v>
      </c>
      <c r="C306" s="1205" t="s">
        <v>675</v>
      </c>
      <c r="D306" s="1206" t="s">
        <v>2506</v>
      </c>
      <c r="E306" s="1386" t="s">
        <v>538</v>
      </c>
      <c r="F306" s="521"/>
      <c r="G306" s="522"/>
      <c r="H306" s="522"/>
      <c r="I306" s="522"/>
      <c r="J306" s="523"/>
      <c r="K306" s="523"/>
      <c r="L306" s="523"/>
      <c r="M306" s="524"/>
      <c r="N306" s="525"/>
      <c r="O306" s="526" t="s">
        <v>1237</v>
      </c>
      <c r="P306" s="525">
        <f>'HIV-Key Info'!$I$80*(('HIV-Key Info'!$E$80*'HPM costs'!F291)+('HIV-Key Info'!$F$80*('HPM costs'!F294+'HPM costs'!F297)))</f>
        <v>0</v>
      </c>
      <c r="Q306" s="525" t="s">
        <v>1237</v>
      </c>
      <c r="R306" s="525">
        <f>'HIV-Key Info'!$I$80*(('HIV-Key Info'!$E$80*'HPM costs'!G291)+('HIV-Key Info'!$F$80*('HPM costs'!G294+'HPM costs'!G297)))</f>
        <v>0</v>
      </c>
      <c r="S306" s="525" t="s">
        <v>1237</v>
      </c>
      <c r="T306" s="525">
        <f>'HIV-Key Info'!$I$80*(('HIV-Key Info'!$E$80*'HPM costs'!H291)+('HIV-Key Info'!$F$80*('HPM costs'!H294+'HPM costs'!H297)))</f>
        <v>0</v>
      </c>
      <c r="U306" s="525" t="s">
        <v>1237</v>
      </c>
      <c r="V306" s="525">
        <f>'HIV-Key Info'!$I$80*(('HIV-Key Info'!$E$80*'HPM costs'!I291)+('HIV-Key Info'!$F$80*('HPM costs'!I294+'HPM costs'!I297)))</f>
        <v>0</v>
      </c>
      <c r="W306" s="525"/>
      <c r="X306" s="1154">
        <f t="shared" si="30"/>
        <v>0</v>
      </c>
      <c r="Y306" s="1155"/>
      <c r="Z306" s="1156"/>
      <c r="AA306" s="529"/>
      <c r="AB306" s="525"/>
      <c r="AC306" s="525">
        <f>'HIV-Key Info'!$I$80*(('HIV-Key Info'!$E$80*'HPM costs'!K291)+('HIV-Key Info'!$F$80*('HPM costs'!K294+'HPM costs'!K297)))</f>
        <v>0</v>
      </c>
      <c r="AD306" s="525"/>
      <c r="AE306" s="525">
        <f>'HIV-Key Info'!$I$80*(('HIV-Key Info'!$E$80*'HPM costs'!L291)+('HIV-Key Info'!$F$80*('HPM costs'!L294+'HPM costs'!L297)))</f>
        <v>0</v>
      </c>
      <c r="AF306" s="525"/>
      <c r="AG306" s="525">
        <f>'HIV-Key Info'!$I$80*(('HIV-Key Info'!$E$80*'HPM costs'!M291)+('HIV-Key Info'!$F$80*('HPM costs'!M294+'HPM costs'!M297)))</f>
        <v>0</v>
      </c>
      <c r="AH306" s="525"/>
      <c r="AI306" s="525">
        <f>'HIV-Key Info'!$I$80*(('HIV-Key Info'!$E$80*'HPM costs'!N291)+('HIV-Key Info'!$F$80*('HPM costs'!N294+'HPM costs'!N297)))</f>
        <v>0</v>
      </c>
      <c r="AJ306" s="525"/>
      <c r="AK306" s="1154">
        <f t="shared" si="31"/>
        <v>0</v>
      </c>
      <c r="AL306" s="1155"/>
      <c r="AM306" s="1156"/>
      <c r="AN306" s="529"/>
      <c r="AO306" s="525"/>
      <c r="AP306" s="525">
        <f>'HIV-Key Info'!$I$80*(('HIV-Key Info'!$E$80*'HPM costs'!P291)+('HIV-Key Info'!$F$80*('HPM costs'!P294+'HPM costs'!P297)))</f>
        <v>0</v>
      </c>
      <c r="AQ306" s="525"/>
      <c r="AR306" s="525">
        <f>'HIV-Key Info'!$I$80*(('HIV-Key Info'!$E$80*'HPM costs'!Q291)+('HIV-Key Info'!$F$80*('HPM costs'!Q294+'HPM costs'!Q297)))</f>
        <v>0</v>
      </c>
      <c r="AS306" s="525"/>
      <c r="AT306" s="525">
        <f>'HIV-Key Info'!$I$80*(('HIV-Key Info'!$E$80*'HPM costs'!R291)+('HIV-Key Info'!$F$80*('HPM costs'!R294+'HPM costs'!R297)))</f>
        <v>0</v>
      </c>
      <c r="AU306" s="525"/>
      <c r="AV306" s="525">
        <f>'HIV-Key Info'!$I$80*(('HIV-Key Info'!$E$80*'HPM costs'!S291)+('HIV-Key Info'!$F$80*('HPM costs'!S294+'HPM costs'!S297)))</f>
        <v>0</v>
      </c>
      <c r="AW306" s="525"/>
      <c r="AX306" s="1154">
        <f t="shared" si="32"/>
        <v>0</v>
      </c>
      <c r="AY306" s="1154"/>
      <c r="AZ306" s="528"/>
      <c r="BA306" s="529"/>
      <c r="BB306" s="527"/>
      <c r="BC306" s="527">
        <v>0</v>
      </c>
      <c r="BD306" s="527">
        <v>0</v>
      </c>
      <c r="BE306" s="527">
        <v>0</v>
      </c>
      <c r="BF306" s="527">
        <v>0</v>
      </c>
      <c r="BG306" s="527">
        <v>0</v>
      </c>
      <c r="BH306" s="527">
        <v>0</v>
      </c>
      <c r="BI306" s="527">
        <v>0</v>
      </c>
      <c r="BJ306" s="527">
        <v>0</v>
      </c>
      <c r="BK306" s="1154">
        <f t="shared" si="33"/>
        <v>0</v>
      </c>
      <c r="BL306" s="1154"/>
      <c r="BM306" s="1154">
        <f t="shared" si="34"/>
        <v>0</v>
      </c>
      <c r="BN306" s="1154">
        <f t="shared" si="35"/>
        <v>0</v>
      </c>
      <c r="BO306" s="527"/>
      <c r="BP306" s="527"/>
      <c r="BQ306" s="1157" t="s">
        <v>2550</v>
      </c>
      <c r="BR306" s="1157" t="s">
        <v>690</v>
      </c>
      <c r="BS306" s="1157" t="s">
        <v>527</v>
      </c>
      <c r="BT306" s="1376" t="s">
        <v>1610</v>
      </c>
    </row>
    <row r="307" spans="1:72" s="1371" customFormat="1" ht="13">
      <c r="A307" s="1204">
        <v>863</v>
      </c>
      <c r="B307" s="1205" t="s">
        <v>672</v>
      </c>
      <c r="C307" s="1205" t="s">
        <v>675</v>
      </c>
      <c r="D307" s="1206" t="s">
        <v>2506</v>
      </c>
      <c r="E307" s="1386" t="s">
        <v>540</v>
      </c>
      <c r="F307" s="521"/>
      <c r="G307" s="522"/>
      <c r="H307" s="522"/>
      <c r="I307" s="522"/>
      <c r="J307" s="523"/>
      <c r="K307" s="523"/>
      <c r="L307" s="523"/>
      <c r="M307" s="524"/>
      <c r="N307" s="525"/>
      <c r="O307" s="526" t="s">
        <v>1237</v>
      </c>
      <c r="P307" s="525">
        <f>'HIV-Key Info'!$I$80*(('HIV-Key Info'!$E$80*'HPM costs'!F636)+('HIV-Key Info'!$F$80*('HPM costs'!F639+'HPM costs'!F642)))</f>
        <v>0</v>
      </c>
      <c r="Q307" s="525" t="s">
        <v>1237</v>
      </c>
      <c r="R307" s="525">
        <f>'HIV-Key Info'!$I$80*(('HIV-Key Info'!$E$80*'HPM costs'!G636)+('HIV-Key Info'!$F$80*('HPM costs'!G639+'HPM costs'!G642)))</f>
        <v>0</v>
      </c>
      <c r="S307" s="525" t="s">
        <v>1237</v>
      </c>
      <c r="T307" s="525">
        <f>'HIV-Key Info'!$I$80*(('HIV-Key Info'!$E$80*'HPM costs'!H636)+('HIV-Key Info'!$F$80*('HPM costs'!H639+'HPM costs'!H642)))</f>
        <v>0</v>
      </c>
      <c r="U307" s="525" t="s">
        <v>1237</v>
      </c>
      <c r="V307" s="525">
        <f>'HIV-Key Info'!$I$80*(('HIV-Key Info'!$E$80*'HPM costs'!I636)+('HIV-Key Info'!$F$80*('HPM costs'!I639+'HPM costs'!I642)))</f>
        <v>0</v>
      </c>
      <c r="W307" s="525"/>
      <c r="X307" s="1154">
        <f t="shared" si="30"/>
        <v>0</v>
      </c>
      <c r="Y307" s="1155"/>
      <c r="Z307" s="1156"/>
      <c r="AA307" s="529"/>
      <c r="AB307" s="525"/>
      <c r="AC307" s="525">
        <f>'HIV-Key Info'!$I$80*(('HIV-Key Info'!$E$80*'HPM costs'!K636)+('HIV-Key Info'!$F$80*('HPM costs'!K639+'HPM costs'!K642)))</f>
        <v>0</v>
      </c>
      <c r="AD307" s="525"/>
      <c r="AE307" s="525">
        <f>'HIV-Key Info'!$I$80*(('HIV-Key Info'!$E$80*'HPM costs'!L636)+('HIV-Key Info'!$F$80*('HPM costs'!L639+'HPM costs'!L642)))</f>
        <v>0</v>
      </c>
      <c r="AF307" s="525"/>
      <c r="AG307" s="525">
        <f>'HIV-Key Info'!$I$80*(('HIV-Key Info'!$E$80*'HPM costs'!M636)+('HIV-Key Info'!$F$80*('HPM costs'!M639+'HPM costs'!M642)))</f>
        <v>0</v>
      </c>
      <c r="AH307" s="525"/>
      <c r="AI307" s="525">
        <f>'HIV-Key Info'!$I$80*(('HIV-Key Info'!$E$80*'HPM costs'!N636)+('HIV-Key Info'!$F$80*('HPM costs'!N639+'HPM costs'!N642)))</f>
        <v>0</v>
      </c>
      <c r="AJ307" s="525"/>
      <c r="AK307" s="1154">
        <f t="shared" si="31"/>
        <v>0</v>
      </c>
      <c r="AL307" s="1155"/>
      <c r="AM307" s="1156"/>
      <c r="AN307" s="529"/>
      <c r="AO307" s="525"/>
      <c r="AP307" s="525">
        <f>'HIV-Key Info'!$I$80*(('HIV-Key Info'!$E$80*'HPM costs'!P636)+('HIV-Key Info'!$F$80*('HPM costs'!P639+'HPM costs'!P642)))</f>
        <v>0</v>
      </c>
      <c r="AQ307" s="525"/>
      <c r="AR307" s="525">
        <f>'HIV-Key Info'!$I$80*(('HIV-Key Info'!$E$80*'HPM costs'!Q636)+('HIV-Key Info'!$F$80*('HPM costs'!Q639+'HPM costs'!Q642)))</f>
        <v>0</v>
      </c>
      <c r="AS307" s="525"/>
      <c r="AT307" s="525">
        <f>'HIV-Key Info'!$I$80*(('HIV-Key Info'!$E$80*'HPM costs'!R636)+('HIV-Key Info'!$F$80*('HPM costs'!R639+'HPM costs'!R642)))</f>
        <v>0</v>
      </c>
      <c r="AU307" s="525"/>
      <c r="AV307" s="525">
        <f>'HIV-Key Info'!$I$80*(('HIV-Key Info'!$E$80*'HPM costs'!S636)+('HIV-Key Info'!$F$80*('HPM costs'!S639+'HPM costs'!S642)))</f>
        <v>0</v>
      </c>
      <c r="AW307" s="525"/>
      <c r="AX307" s="1154">
        <f t="shared" si="32"/>
        <v>0</v>
      </c>
      <c r="AY307" s="1154"/>
      <c r="AZ307" s="528"/>
      <c r="BA307" s="529"/>
      <c r="BB307" s="527"/>
      <c r="BC307" s="527">
        <v>0</v>
      </c>
      <c r="BD307" s="527">
        <v>0</v>
      </c>
      <c r="BE307" s="527">
        <v>0</v>
      </c>
      <c r="BF307" s="527">
        <v>0</v>
      </c>
      <c r="BG307" s="527">
        <v>0</v>
      </c>
      <c r="BH307" s="527">
        <v>0</v>
      </c>
      <c r="BI307" s="527">
        <v>0</v>
      </c>
      <c r="BJ307" s="527">
        <v>0</v>
      </c>
      <c r="BK307" s="1154">
        <f t="shared" si="33"/>
        <v>0</v>
      </c>
      <c r="BL307" s="1154"/>
      <c r="BM307" s="1154">
        <f t="shared" si="34"/>
        <v>0</v>
      </c>
      <c r="BN307" s="1154">
        <f t="shared" si="35"/>
        <v>0</v>
      </c>
      <c r="BO307" s="527"/>
      <c r="BP307" s="527"/>
      <c r="BQ307" s="1157" t="s">
        <v>2550</v>
      </c>
      <c r="BR307" s="1157" t="s">
        <v>690</v>
      </c>
      <c r="BS307" s="1157" t="s">
        <v>527</v>
      </c>
      <c r="BT307" s="1376" t="s">
        <v>1611</v>
      </c>
    </row>
    <row r="308" spans="1:72" s="1371" customFormat="1" ht="13">
      <c r="A308" s="1204">
        <v>864</v>
      </c>
      <c r="B308" s="1205" t="s">
        <v>672</v>
      </c>
      <c r="C308" s="1205" t="s">
        <v>673</v>
      </c>
      <c r="D308" s="1206" t="s">
        <v>2572</v>
      </c>
      <c r="E308" s="1386" t="s">
        <v>603</v>
      </c>
      <c r="F308" s="521"/>
      <c r="G308" s="522"/>
      <c r="H308" s="522"/>
      <c r="I308" s="522"/>
      <c r="J308" s="523"/>
      <c r="K308" s="523"/>
      <c r="L308" s="523"/>
      <c r="M308" s="524"/>
      <c r="N308" s="525"/>
      <c r="O308" s="526" t="s">
        <v>1237</v>
      </c>
      <c r="P308" s="525">
        <f>'HIV-Key Info'!$G$82*('HIV-Key Info'!$E$82*('HPM costs'!F119/'HPM costs'!$E$119)+'HIV-Key Info'!$F$82*('HPM costs'!F125/'HPM costs'!$E$125+'HPM costs'!F122/'HPM costs'!$E$122))</f>
        <v>0</v>
      </c>
      <c r="Q308" s="525" t="s">
        <v>1237</v>
      </c>
      <c r="R308" s="525">
        <f>'HIV-Key Info'!$G$82*('HIV-Key Info'!$E$82*('HPM costs'!G119/'HPM costs'!$E$119)+'HIV-Key Info'!$F$82*('HPM costs'!G125/'HPM costs'!$E$125+'HPM costs'!G122/'HPM costs'!$E$122))</f>
        <v>10964.808730960001</v>
      </c>
      <c r="S308" s="525" t="s">
        <v>1237</v>
      </c>
      <c r="T308" s="525">
        <f>'HIV-Key Info'!$G$82*('HIV-Key Info'!$E$82*('HPM costs'!H119/'HPM costs'!$E$119)+'HIV-Key Info'!$F$82*('HPM costs'!H125/'HPM costs'!$E$125+'HPM costs'!H122/'HPM costs'!$E$122))</f>
        <v>0</v>
      </c>
      <c r="U308" s="525" t="s">
        <v>1237</v>
      </c>
      <c r="V308" s="525">
        <f>'HIV-Key Info'!$G$82*('HIV-Key Info'!$E$82*('HPM costs'!I119/'HPM costs'!$E$119)+'HIV-Key Info'!$F$82*('HPM costs'!I125/'HPM costs'!$E$125+'HPM costs'!I122/'HPM costs'!$E$122))</f>
        <v>0</v>
      </c>
      <c r="W308" s="525"/>
      <c r="X308" s="1154">
        <f t="shared" si="30"/>
        <v>10964.808730960001</v>
      </c>
      <c r="Y308" s="1155"/>
      <c r="Z308" s="1156"/>
      <c r="AA308" s="529"/>
      <c r="AB308" s="525"/>
      <c r="AC308" s="525">
        <f>'HIV-Key Info'!$G$82*('HIV-Key Info'!$E$82*('HPM costs'!K119/'HPM costs'!$E$119)+'HIV-Key Info'!$F$82*('HPM costs'!K125/'HPM costs'!$E$125+'HPM costs'!K122/'HPM costs'!$E$122))</f>
        <v>0</v>
      </c>
      <c r="AD308" s="525"/>
      <c r="AE308" s="525">
        <f>'HIV-Key Info'!$G$82*('HIV-Key Info'!$E$82*('HPM costs'!L119/'HPM costs'!$E$119)+'HIV-Key Info'!$F$82*('HPM costs'!L125/'HPM costs'!$E$125+'HPM costs'!L122/'HPM costs'!$E$122))</f>
        <v>11455.211050964803</v>
      </c>
      <c r="AF308" s="525"/>
      <c r="AG308" s="525">
        <f>'HIV-Key Info'!$G$82*('HIV-Key Info'!$E$82*('HPM costs'!M119/'HPM costs'!$E$119)+'HIV-Key Info'!$F$82*('HPM costs'!M125/'HPM costs'!$E$125+'HPM costs'!M122/'HPM costs'!$E$122))</f>
        <v>0</v>
      </c>
      <c r="AH308" s="525"/>
      <c r="AI308" s="525">
        <f>'HIV-Key Info'!$G$82*('HIV-Key Info'!$E$82*('HPM costs'!N119/'HPM costs'!$E$119)+'HIV-Key Info'!$F$82*('HPM costs'!N125/'HPM costs'!$E$125+'HPM costs'!N122/'HPM costs'!$E$122))</f>
        <v>0</v>
      </c>
      <c r="AJ308" s="525"/>
      <c r="AK308" s="1154">
        <f t="shared" si="31"/>
        <v>11455.211050964803</v>
      </c>
      <c r="AL308" s="1155"/>
      <c r="AM308" s="1156"/>
      <c r="AN308" s="529"/>
      <c r="AO308" s="525"/>
      <c r="AP308" s="525">
        <f>'HIV-Key Info'!$G$82*('HIV-Key Info'!$E$82*('HPM costs'!P119/'HPM costs'!$E$119)+'HIV-Key Info'!$F$82*('HPM costs'!P125/'HPM costs'!$E$125+'HPM costs'!P122/'HPM costs'!$E$122))</f>
        <v>0</v>
      </c>
      <c r="AQ308" s="525"/>
      <c r="AR308" s="525">
        <f>'HIV-Key Info'!$G$82*('HIV-Key Info'!$E$82*('HPM costs'!Q119/'HPM costs'!$E$119)+'HIV-Key Info'!$F$82*('HPM costs'!Q125/'HPM costs'!$E$125+'HPM costs'!Q122/'HPM costs'!$E$122))</f>
        <v>12192.310801876802</v>
      </c>
      <c r="AS308" s="525"/>
      <c r="AT308" s="525">
        <f>'HIV-Key Info'!$G$82*('HIV-Key Info'!$E$82*('HPM costs'!R119/'HPM costs'!$E$119)+'HIV-Key Info'!$F$82*('HPM costs'!R125/'HPM costs'!$E$125+'HPM costs'!R122/'HPM costs'!$E$122))</f>
        <v>0</v>
      </c>
      <c r="AU308" s="525"/>
      <c r="AV308" s="525">
        <f>'HIV-Key Info'!$G$82*('HIV-Key Info'!$E$82*('HPM costs'!S119/'HPM costs'!$E$119)+'HIV-Key Info'!$F$82*('HPM costs'!S125/'HPM costs'!$E$125+'HPM costs'!S122/'HPM costs'!$E$122))</f>
        <v>0</v>
      </c>
      <c r="AW308" s="525"/>
      <c r="AX308" s="1154">
        <f t="shared" si="32"/>
        <v>12192.310801876802</v>
      </c>
      <c r="AY308" s="1154"/>
      <c r="AZ308" s="528"/>
      <c r="BA308" s="529"/>
      <c r="BB308" s="527"/>
      <c r="BC308" s="527">
        <v>0</v>
      </c>
      <c r="BD308" s="527">
        <v>0</v>
      </c>
      <c r="BE308" s="527">
        <v>0</v>
      </c>
      <c r="BF308" s="527">
        <v>0</v>
      </c>
      <c r="BG308" s="527">
        <v>0</v>
      </c>
      <c r="BH308" s="527">
        <v>0</v>
      </c>
      <c r="BI308" s="527">
        <v>0</v>
      </c>
      <c r="BJ308" s="527">
        <v>0</v>
      </c>
      <c r="BK308" s="1154">
        <f t="shared" si="33"/>
        <v>0</v>
      </c>
      <c r="BL308" s="1154"/>
      <c r="BM308" s="1154">
        <f t="shared" si="34"/>
        <v>0</v>
      </c>
      <c r="BN308" s="1154">
        <f t="shared" si="35"/>
        <v>34612.330583801609</v>
      </c>
      <c r="BO308" s="527"/>
      <c r="BP308" s="527" t="s">
        <v>4296</v>
      </c>
      <c r="BQ308" s="1157" t="s">
        <v>91</v>
      </c>
      <c r="BR308" s="1157" t="s">
        <v>690</v>
      </c>
      <c r="BS308" s="1157" t="s">
        <v>2570</v>
      </c>
      <c r="BT308" s="1376" t="s">
        <v>1612</v>
      </c>
    </row>
    <row r="309" spans="1:72" s="1371" customFormat="1" ht="13">
      <c r="A309" s="1204">
        <v>865</v>
      </c>
      <c r="B309" s="1205" t="s">
        <v>672</v>
      </c>
      <c r="C309" s="1205" t="s">
        <v>673</v>
      </c>
      <c r="D309" s="1206" t="s">
        <v>2508</v>
      </c>
      <c r="E309" s="1386" t="s">
        <v>528</v>
      </c>
      <c r="F309" s="521"/>
      <c r="G309" s="522"/>
      <c r="H309" s="522"/>
      <c r="I309" s="522"/>
      <c r="J309" s="523"/>
      <c r="K309" s="523"/>
      <c r="L309" s="523"/>
      <c r="M309" s="524"/>
      <c r="N309" s="525"/>
      <c r="O309" s="526" t="s">
        <v>1237</v>
      </c>
      <c r="P309" s="525">
        <f>'HIV-Key Info'!$G$82*(('HIV-Key Info'!$E$82*'HPM costs'!F33)+('HIV-Key Info'!$F$82*('HPM costs'!F36+'HPM costs'!F39)))</f>
        <v>0</v>
      </c>
      <c r="Q309" s="525" t="s">
        <v>1237</v>
      </c>
      <c r="R309" s="525">
        <f>'HIV-Key Info'!$G$82*(('HIV-Key Info'!$E$82*'HPM costs'!G33)+('HIV-Key Info'!$F$82*('HPM costs'!G36+'HPM costs'!G39)))</f>
        <v>657.88852385760003</v>
      </c>
      <c r="S309" s="525" t="s">
        <v>1237</v>
      </c>
      <c r="T309" s="525">
        <f>'HIV-Key Info'!$G$82*(('HIV-Key Info'!$E$82*'HPM costs'!H33)+('HIV-Key Info'!$F$82*('HPM costs'!H36+'HPM costs'!H39)))</f>
        <v>0</v>
      </c>
      <c r="U309" s="525" t="s">
        <v>1237</v>
      </c>
      <c r="V309" s="525">
        <f>'HIV-Key Info'!$G$82*(('HIV-Key Info'!$E$82*'HPM costs'!I33)+('HIV-Key Info'!$F$82*('HPM costs'!I36+'HPM costs'!I39)))</f>
        <v>0</v>
      </c>
      <c r="W309" s="525"/>
      <c r="X309" s="1154">
        <f t="shared" si="30"/>
        <v>657.88852385760003</v>
      </c>
      <c r="Y309" s="1155"/>
      <c r="Z309" s="1156"/>
      <c r="AA309" s="529"/>
      <c r="AB309" s="525"/>
      <c r="AC309" s="525">
        <f>'HIV-Key Info'!$G$82*(('HIV-Key Info'!$E$82*'HPM costs'!K33)+('HIV-Key Info'!$F$82*('HPM costs'!K36+'HPM costs'!K39)))</f>
        <v>0</v>
      </c>
      <c r="AD309" s="525"/>
      <c r="AE309" s="525">
        <f>'HIV-Key Info'!$G$82*(('HIV-Key Info'!$E$82*'HPM costs'!L33)+('HIV-Key Info'!$F$82*('HPM costs'!L36+'HPM costs'!L39)))</f>
        <v>687.31266305788813</v>
      </c>
      <c r="AF309" s="525"/>
      <c r="AG309" s="525">
        <f>'HIV-Key Info'!$G$82*(('HIV-Key Info'!$E$82*'HPM costs'!M33)+('HIV-Key Info'!$F$82*('HPM costs'!M36+'HPM costs'!M39)))</f>
        <v>0</v>
      </c>
      <c r="AH309" s="525"/>
      <c r="AI309" s="525">
        <f>'HIV-Key Info'!$G$82*(('HIV-Key Info'!$E$82*'HPM costs'!N33)+('HIV-Key Info'!$F$82*('HPM costs'!N36+'HPM costs'!N39)))</f>
        <v>0</v>
      </c>
      <c r="AJ309" s="525"/>
      <c r="AK309" s="1154">
        <f t="shared" si="31"/>
        <v>687.31266305788813</v>
      </c>
      <c r="AL309" s="1155"/>
      <c r="AM309" s="1156"/>
      <c r="AN309" s="529"/>
      <c r="AO309" s="525"/>
      <c r="AP309" s="525">
        <f>'HIV-Key Info'!$G$82*(('HIV-Key Info'!$E$82*'HPM costs'!P33)+('HIV-Key Info'!$F$82*('HPM costs'!P36+'HPM costs'!P39)))</f>
        <v>0</v>
      </c>
      <c r="AQ309" s="525"/>
      <c r="AR309" s="525">
        <f>'HIV-Key Info'!$G$82*(('HIV-Key Info'!$E$82*'HPM costs'!Q33)+('HIV-Key Info'!$F$82*('HPM costs'!Q36+'HPM costs'!Q39)))</f>
        <v>731.53864811260814</v>
      </c>
      <c r="AS309" s="525"/>
      <c r="AT309" s="525">
        <f>'HIV-Key Info'!$G$82*(('HIV-Key Info'!$E$82*'HPM costs'!R33)+('HIV-Key Info'!$F$82*('HPM costs'!R36+'HPM costs'!R39)))</f>
        <v>0</v>
      </c>
      <c r="AU309" s="525"/>
      <c r="AV309" s="525">
        <f>'HIV-Key Info'!$G$82*(('HIV-Key Info'!$E$82*'HPM costs'!S33)+('HIV-Key Info'!$F$82*('HPM costs'!S36+'HPM costs'!S39)))</f>
        <v>0</v>
      </c>
      <c r="AW309" s="525"/>
      <c r="AX309" s="1154">
        <f t="shared" si="32"/>
        <v>731.53864811260814</v>
      </c>
      <c r="AY309" s="1154"/>
      <c r="AZ309" s="528"/>
      <c r="BA309" s="529"/>
      <c r="BB309" s="527"/>
      <c r="BC309" s="527">
        <v>0</v>
      </c>
      <c r="BD309" s="527">
        <v>0</v>
      </c>
      <c r="BE309" s="527">
        <v>0</v>
      </c>
      <c r="BF309" s="527">
        <v>0</v>
      </c>
      <c r="BG309" s="527">
        <v>0</v>
      </c>
      <c r="BH309" s="527">
        <v>0</v>
      </c>
      <c r="BI309" s="527">
        <v>0</v>
      </c>
      <c r="BJ309" s="527">
        <v>0</v>
      </c>
      <c r="BK309" s="1154">
        <f t="shared" si="33"/>
        <v>0</v>
      </c>
      <c r="BL309" s="1154"/>
      <c r="BM309" s="1154">
        <f t="shared" si="34"/>
        <v>0</v>
      </c>
      <c r="BN309" s="1154">
        <f t="shared" si="35"/>
        <v>2076.7398350280964</v>
      </c>
      <c r="BO309" s="527"/>
      <c r="BP309" s="527" t="s">
        <v>4303</v>
      </c>
      <c r="BQ309" s="1157" t="s">
        <v>91</v>
      </c>
      <c r="BR309" s="1157" t="s">
        <v>690</v>
      </c>
      <c r="BS309" s="1157" t="s">
        <v>527</v>
      </c>
      <c r="BT309" s="1376" t="s">
        <v>1613</v>
      </c>
    </row>
    <row r="310" spans="1:72" s="1371" customFormat="1" ht="13">
      <c r="A310" s="1204">
        <v>866</v>
      </c>
      <c r="B310" s="1205" t="s">
        <v>672</v>
      </c>
      <c r="C310" s="1205" t="s">
        <v>673</v>
      </c>
      <c r="D310" s="1206" t="s">
        <v>2508</v>
      </c>
      <c r="E310" s="1386" t="s">
        <v>530</v>
      </c>
      <c r="F310" s="521"/>
      <c r="G310" s="522"/>
      <c r="H310" s="522"/>
      <c r="I310" s="522"/>
      <c r="J310" s="523"/>
      <c r="K310" s="523"/>
      <c r="L310" s="523"/>
      <c r="M310" s="524"/>
      <c r="N310" s="525"/>
      <c r="O310" s="526" t="s">
        <v>1237</v>
      </c>
      <c r="P310" s="525">
        <f>'HIV-Key Info'!$G$82*(('HIV-Key Info'!$E$82*'HPM costs'!F119)+('HIV-Key Info'!$F$82*('HPM costs'!F122+'HPM costs'!F125)))</f>
        <v>0</v>
      </c>
      <c r="Q310" s="525" t="s">
        <v>1237</v>
      </c>
      <c r="R310" s="525">
        <f>'HIV-Key Info'!$G$82*(('HIV-Key Info'!$E$82*'HPM costs'!G119)+('HIV-Key Info'!$F$82*('HPM costs'!G122+'HPM costs'!G125)))</f>
        <v>1.0964808730960002E-12</v>
      </c>
      <c r="S310" s="525" t="s">
        <v>1237</v>
      </c>
      <c r="T310" s="525">
        <f>'HIV-Key Info'!$G$82*(('HIV-Key Info'!$E$82*'HPM costs'!H119)+('HIV-Key Info'!$F$82*('HPM costs'!H122+'HPM costs'!H125)))</f>
        <v>0</v>
      </c>
      <c r="U310" s="525" t="s">
        <v>1237</v>
      </c>
      <c r="V310" s="525">
        <f>'HIV-Key Info'!$G$82*(('HIV-Key Info'!$E$82*'HPM costs'!I119)+('HIV-Key Info'!$F$82*('HPM costs'!I122+'HPM costs'!I125)))</f>
        <v>0</v>
      </c>
      <c r="W310" s="525"/>
      <c r="X310" s="1154">
        <f t="shared" si="30"/>
        <v>1.0964808730960002E-12</v>
      </c>
      <c r="Y310" s="1155"/>
      <c r="Z310" s="1156"/>
      <c r="AA310" s="529"/>
      <c r="AB310" s="525"/>
      <c r="AC310" s="525">
        <f>'HIV-Key Info'!$G$82*(('HIV-Key Info'!$E$82*'HPM costs'!K119)+('HIV-Key Info'!$F$82*('HPM costs'!K122+'HPM costs'!K125)))</f>
        <v>0</v>
      </c>
      <c r="AD310" s="525"/>
      <c r="AE310" s="525">
        <f>'HIV-Key Info'!$G$82*(('HIV-Key Info'!$E$82*'HPM costs'!L119)+('HIV-Key Info'!$F$82*('HPM costs'!L122+'HPM costs'!L125)))</f>
        <v>1.1455211050964801E-12</v>
      </c>
      <c r="AF310" s="525"/>
      <c r="AG310" s="525">
        <f>'HIV-Key Info'!$G$82*(('HIV-Key Info'!$E$82*'HPM costs'!M119)+('HIV-Key Info'!$F$82*('HPM costs'!M122+'HPM costs'!M125)))</f>
        <v>0</v>
      </c>
      <c r="AH310" s="525"/>
      <c r="AI310" s="525">
        <f>'HIV-Key Info'!$G$82*(('HIV-Key Info'!$E$82*'HPM costs'!N119)+('HIV-Key Info'!$F$82*('HPM costs'!N122+'HPM costs'!N125)))</f>
        <v>0</v>
      </c>
      <c r="AJ310" s="525"/>
      <c r="AK310" s="1154">
        <f t="shared" si="31"/>
        <v>1.1455211050964801E-12</v>
      </c>
      <c r="AL310" s="1155"/>
      <c r="AM310" s="1156"/>
      <c r="AN310" s="529"/>
      <c r="AO310" s="525"/>
      <c r="AP310" s="525">
        <f>'HIV-Key Info'!$G$82*(('HIV-Key Info'!$E$82*'HPM costs'!P119)+('HIV-Key Info'!$F$82*('HPM costs'!P122+'HPM costs'!P125)))</f>
        <v>0</v>
      </c>
      <c r="AQ310" s="525"/>
      <c r="AR310" s="525">
        <f>'HIV-Key Info'!$G$82*(('HIV-Key Info'!$E$82*'HPM costs'!Q119)+('HIV-Key Info'!$F$82*('HPM costs'!Q122+'HPM costs'!Q125)))</f>
        <v>1.21923108018768E-12</v>
      </c>
      <c r="AS310" s="525"/>
      <c r="AT310" s="525">
        <f>'HIV-Key Info'!$G$82*(('HIV-Key Info'!$E$82*'HPM costs'!R119)+('HIV-Key Info'!$F$82*('HPM costs'!R122+'HPM costs'!R125)))</f>
        <v>0</v>
      </c>
      <c r="AU310" s="525"/>
      <c r="AV310" s="525">
        <f>'HIV-Key Info'!$G$82*(('HIV-Key Info'!$E$82*'HPM costs'!S119)+('HIV-Key Info'!$F$82*('HPM costs'!S122+'HPM costs'!S125)))</f>
        <v>0</v>
      </c>
      <c r="AW310" s="525"/>
      <c r="AX310" s="1154">
        <f t="shared" si="32"/>
        <v>1.21923108018768E-12</v>
      </c>
      <c r="AY310" s="1154"/>
      <c r="AZ310" s="528"/>
      <c r="BA310" s="529"/>
      <c r="BB310" s="527"/>
      <c r="BC310" s="527">
        <v>0</v>
      </c>
      <c r="BD310" s="527">
        <v>0</v>
      </c>
      <c r="BE310" s="527">
        <v>0</v>
      </c>
      <c r="BF310" s="527">
        <v>0</v>
      </c>
      <c r="BG310" s="527">
        <v>0</v>
      </c>
      <c r="BH310" s="527">
        <v>0</v>
      </c>
      <c r="BI310" s="527">
        <v>0</v>
      </c>
      <c r="BJ310" s="527">
        <v>0</v>
      </c>
      <c r="BK310" s="1154">
        <f t="shared" si="33"/>
        <v>0</v>
      </c>
      <c r="BL310" s="1154"/>
      <c r="BM310" s="1154">
        <f t="shared" si="34"/>
        <v>0</v>
      </c>
      <c r="BN310" s="1154">
        <f t="shared" si="35"/>
        <v>3.4612330583801603E-12</v>
      </c>
      <c r="BO310" s="527"/>
      <c r="BP310" s="527"/>
      <c r="BQ310" s="1157" t="s">
        <v>91</v>
      </c>
      <c r="BR310" s="1157" t="s">
        <v>690</v>
      </c>
      <c r="BS310" s="1157" t="s">
        <v>527</v>
      </c>
      <c r="BT310" s="1376" t="s">
        <v>1614</v>
      </c>
    </row>
    <row r="311" spans="1:72" s="1371" customFormat="1" ht="13">
      <c r="A311" s="1204">
        <v>867</v>
      </c>
      <c r="B311" s="1205" t="s">
        <v>672</v>
      </c>
      <c r="C311" s="1205" t="s">
        <v>673</v>
      </c>
      <c r="D311" s="1206" t="s">
        <v>2508</v>
      </c>
      <c r="E311" s="1386" t="s">
        <v>532</v>
      </c>
      <c r="F311" s="521"/>
      <c r="G311" s="522"/>
      <c r="H311" s="522"/>
      <c r="I311" s="522"/>
      <c r="J311" s="523"/>
      <c r="K311" s="523"/>
      <c r="L311" s="523"/>
      <c r="M311" s="524"/>
      <c r="N311" s="525"/>
      <c r="O311" s="526" t="s">
        <v>1237</v>
      </c>
      <c r="P311" s="525">
        <f>'HIV-Key Info'!$G$82*(('HIV-Key Info'!$E$82*'HPM costs'!F379)+('HIV-Key Info'!$F$82*('HPM costs'!F382+'HPM costs'!F385)))</f>
        <v>0</v>
      </c>
      <c r="Q311" s="525" t="s">
        <v>1237</v>
      </c>
      <c r="R311" s="525">
        <f>'HIV-Key Info'!$G$82*(('HIV-Key Info'!$E$82*'HPM costs'!G379)+('HIV-Key Info'!$F$82*('HPM costs'!G382+'HPM costs'!G385)))</f>
        <v>0</v>
      </c>
      <c r="S311" s="525" t="s">
        <v>1237</v>
      </c>
      <c r="T311" s="525">
        <f>'HIV-Key Info'!$G$82*(('HIV-Key Info'!$E$82*'HPM costs'!H379)+('HIV-Key Info'!$F$82*('HPM costs'!H382+'HPM costs'!H385)))</f>
        <v>0</v>
      </c>
      <c r="U311" s="525" t="s">
        <v>1237</v>
      </c>
      <c r="V311" s="525">
        <f>'HIV-Key Info'!$G$82*(('HIV-Key Info'!$E$82*'HPM costs'!I379)+('HIV-Key Info'!$F$82*('HPM costs'!I382+'HPM costs'!I385)))</f>
        <v>0</v>
      </c>
      <c r="W311" s="525"/>
      <c r="X311" s="1154">
        <f t="shared" si="30"/>
        <v>0</v>
      </c>
      <c r="Y311" s="1155"/>
      <c r="Z311" s="1156"/>
      <c r="AA311" s="529"/>
      <c r="AB311" s="525"/>
      <c r="AC311" s="525">
        <f>'HIV-Key Info'!$G$82*(('HIV-Key Info'!$E$82*'HPM costs'!K379)+('HIV-Key Info'!$F$82*('HPM costs'!K382+'HPM costs'!K385)))</f>
        <v>0</v>
      </c>
      <c r="AD311" s="525"/>
      <c r="AE311" s="525">
        <f>'HIV-Key Info'!$G$82*(('HIV-Key Info'!$E$82*'HPM costs'!L379)+('HIV-Key Info'!$F$82*('HPM costs'!L382+'HPM costs'!L385)))</f>
        <v>0</v>
      </c>
      <c r="AF311" s="525"/>
      <c r="AG311" s="525">
        <f>'HIV-Key Info'!$G$82*(('HIV-Key Info'!$E$82*'HPM costs'!M379)+('HIV-Key Info'!$F$82*('HPM costs'!M382+'HPM costs'!M385)))</f>
        <v>0</v>
      </c>
      <c r="AH311" s="525"/>
      <c r="AI311" s="525">
        <f>'HIV-Key Info'!$G$82*(('HIV-Key Info'!$E$82*'HPM costs'!N379)+('HIV-Key Info'!$F$82*('HPM costs'!N382+'HPM costs'!N385)))</f>
        <v>0</v>
      </c>
      <c r="AJ311" s="525"/>
      <c r="AK311" s="1154">
        <f t="shared" si="31"/>
        <v>0</v>
      </c>
      <c r="AL311" s="1155"/>
      <c r="AM311" s="1156"/>
      <c r="AN311" s="529"/>
      <c r="AO311" s="525"/>
      <c r="AP311" s="525">
        <f>'HIV-Key Info'!$G$82*(('HIV-Key Info'!$E$82*'HPM costs'!P379)+('HIV-Key Info'!$F$82*('HPM costs'!P382+'HPM costs'!P385)))</f>
        <v>0</v>
      </c>
      <c r="AQ311" s="525"/>
      <c r="AR311" s="525">
        <f>'HIV-Key Info'!$G$82*(('HIV-Key Info'!$E$82*'HPM costs'!Q379)+('HIV-Key Info'!$F$82*('HPM costs'!Q382+'HPM costs'!Q385)))</f>
        <v>0</v>
      </c>
      <c r="AS311" s="525"/>
      <c r="AT311" s="525">
        <f>'HIV-Key Info'!$G$82*(('HIV-Key Info'!$E$82*'HPM costs'!R379)+('HIV-Key Info'!$F$82*('HPM costs'!R382+'HPM costs'!R385)))</f>
        <v>0</v>
      </c>
      <c r="AU311" s="525"/>
      <c r="AV311" s="525">
        <f>'HIV-Key Info'!$G$82*(('HIV-Key Info'!$E$82*'HPM costs'!S379)+('HIV-Key Info'!$F$82*('HPM costs'!S382+'HPM costs'!S385)))</f>
        <v>0</v>
      </c>
      <c r="AW311" s="525"/>
      <c r="AX311" s="1154">
        <f t="shared" si="32"/>
        <v>0</v>
      </c>
      <c r="AY311" s="1154"/>
      <c r="AZ311" s="528"/>
      <c r="BA311" s="529"/>
      <c r="BB311" s="527"/>
      <c r="BC311" s="527">
        <v>0</v>
      </c>
      <c r="BD311" s="527">
        <v>0</v>
      </c>
      <c r="BE311" s="527">
        <v>0</v>
      </c>
      <c r="BF311" s="527">
        <v>0</v>
      </c>
      <c r="BG311" s="527">
        <v>0</v>
      </c>
      <c r="BH311" s="527">
        <v>0</v>
      </c>
      <c r="BI311" s="527">
        <v>0</v>
      </c>
      <c r="BJ311" s="527">
        <v>0</v>
      </c>
      <c r="BK311" s="1154">
        <f t="shared" si="33"/>
        <v>0</v>
      </c>
      <c r="BL311" s="1154"/>
      <c r="BM311" s="1154">
        <f t="shared" si="34"/>
        <v>0</v>
      </c>
      <c r="BN311" s="1154">
        <f t="shared" si="35"/>
        <v>0</v>
      </c>
      <c r="BO311" s="527"/>
      <c r="BP311" s="527"/>
      <c r="BQ311" s="1157" t="s">
        <v>91</v>
      </c>
      <c r="BR311" s="1157" t="s">
        <v>690</v>
      </c>
      <c r="BS311" s="1157" t="s">
        <v>527</v>
      </c>
      <c r="BT311" s="1376" t="s">
        <v>1615</v>
      </c>
    </row>
    <row r="312" spans="1:72" s="1371" customFormat="1" ht="13">
      <c r="A312" s="1204">
        <v>868</v>
      </c>
      <c r="B312" s="1205" t="s">
        <v>672</v>
      </c>
      <c r="C312" s="1205" t="s">
        <v>673</v>
      </c>
      <c r="D312" s="1206" t="s">
        <v>2508</v>
      </c>
      <c r="E312" s="1386" t="s">
        <v>534</v>
      </c>
      <c r="F312" s="521"/>
      <c r="G312" s="522"/>
      <c r="H312" s="522"/>
      <c r="I312" s="522"/>
      <c r="J312" s="523"/>
      <c r="K312" s="523"/>
      <c r="L312" s="523"/>
      <c r="M312" s="524"/>
      <c r="N312" s="525"/>
      <c r="O312" s="526" t="s">
        <v>1237</v>
      </c>
      <c r="P312" s="525">
        <f>'HIV-Key Info'!$G$82*(('HIV-Key Info'!$E$82*'HPM costs'!F465)+('HIV-Key Info'!$F$82*('HPM costs'!F468+'HPM costs'!F471)))</f>
        <v>0</v>
      </c>
      <c r="Q312" s="525" t="s">
        <v>1237</v>
      </c>
      <c r="R312" s="525">
        <f>'HIV-Key Info'!$G$82*(('HIV-Key Info'!$E$82*'HPM costs'!G465)+('HIV-Key Info'!$F$82*('HPM costs'!G468+'HPM costs'!G471)))</f>
        <v>0</v>
      </c>
      <c r="S312" s="525" t="s">
        <v>1237</v>
      </c>
      <c r="T312" s="525">
        <f>'HIV-Key Info'!$G$82*(('HIV-Key Info'!$E$82*'HPM costs'!H465)+('HIV-Key Info'!$F$82*('HPM costs'!H468+'HPM costs'!H471)))</f>
        <v>0</v>
      </c>
      <c r="U312" s="525" t="s">
        <v>1237</v>
      </c>
      <c r="V312" s="525">
        <f>'HIV-Key Info'!$G$82*(('HIV-Key Info'!$E$82*'HPM costs'!I465)+('HIV-Key Info'!$F$82*('HPM costs'!I468+'HPM costs'!I471)))</f>
        <v>0</v>
      </c>
      <c r="W312" s="525"/>
      <c r="X312" s="1154">
        <f t="shared" si="30"/>
        <v>0</v>
      </c>
      <c r="Y312" s="1155"/>
      <c r="Z312" s="1156"/>
      <c r="AA312" s="529"/>
      <c r="AB312" s="525"/>
      <c r="AC312" s="525">
        <f>'HIV-Key Info'!$G$82*(('HIV-Key Info'!$E$82*'HPM costs'!K465)+('HIV-Key Info'!$F$82*('HPM costs'!K468+'HPM costs'!K471)))</f>
        <v>0</v>
      </c>
      <c r="AD312" s="525"/>
      <c r="AE312" s="525">
        <f>'HIV-Key Info'!$G$82*(('HIV-Key Info'!$E$82*'HPM costs'!L465)+('HIV-Key Info'!$F$82*('HPM costs'!L468+'HPM costs'!L471)))</f>
        <v>0</v>
      </c>
      <c r="AF312" s="525"/>
      <c r="AG312" s="525">
        <f>'HIV-Key Info'!$G$82*(('HIV-Key Info'!$E$82*'HPM costs'!M465)+('HIV-Key Info'!$F$82*('HPM costs'!M468+'HPM costs'!M471)))</f>
        <v>0</v>
      </c>
      <c r="AH312" s="525"/>
      <c r="AI312" s="525">
        <f>'HIV-Key Info'!$G$82*(('HIV-Key Info'!$E$82*'HPM costs'!N465)+('HIV-Key Info'!$F$82*('HPM costs'!N468+'HPM costs'!N471)))</f>
        <v>0</v>
      </c>
      <c r="AJ312" s="525"/>
      <c r="AK312" s="1154">
        <f t="shared" si="31"/>
        <v>0</v>
      </c>
      <c r="AL312" s="1155"/>
      <c r="AM312" s="1156"/>
      <c r="AN312" s="529"/>
      <c r="AO312" s="525"/>
      <c r="AP312" s="525">
        <f>'HIV-Key Info'!$G$82*(('HIV-Key Info'!$E$82*'HPM costs'!P465)+('HIV-Key Info'!$F$82*('HPM costs'!P468+'HPM costs'!P471)))</f>
        <v>0</v>
      </c>
      <c r="AQ312" s="525"/>
      <c r="AR312" s="525">
        <f>'HIV-Key Info'!$G$82*(('HIV-Key Info'!$E$82*'HPM costs'!Q465)+('HIV-Key Info'!$F$82*('HPM costs'!Q468+'HPM costs'!Q471)))</f>
        <v>0</v>
      </c>
      <c r="AS312" s="525"/>
      <c r="AT312" s="525">
        <f>'HIV-Key Info'!$G$82*(('HIV-Key Info'!$E$82*'HPM costs'!R465)+('HIV-Key Info'!$F$82*('HPM costs'!R468+'HPM costs'!R471)))</f>
        <v>0</v>
      </c>
      <c r="AU312" s="525"/>
      <c r="AV312" s="525">
        <f>'HIV-Key Info'!$G$82*(('HIV-Key Info'!$E$82*'HPM costs'!S465)+('HIV-Key Info'!$F$82*('HPM costs'!S468+'HPM costs'!S471)))</f>
        <v>0</v>
      </c>
      <c r="AW312" s="525"/>
      <c r="AX312" s="1154">
        <f t="shared" si="32"/>
        <v>0</v>
      </c>
      <c r="AY312" s="1154"/>
      <c r="AZ312" s="528"/>
      <c r="BA312" s="529"/>
      <c r="BB312" s="527"/>
      <c r="BC312" s="527">
        <v>0</v>
      </c>
      <c r="BD312" s="527">
        <v>0</v>
      </c>
      <c r="BE312" s="527">
        <v>0</v>
      </c>
      <c r="BF312" s="527">
        <v>0</v>
      </c>
      <c r="BG312" s="527">
        <v>0</v>
      </c>
      <c r="BH312" s="527">
        <v>0</v>
      </c>
      <c r="BI312" s="527">
        <v>0</v>
      </c>
      <c r="BJ312" s="527">
        <v>0</v>
      </c>
      <c r="BK312" s="1154">
        <f t="shared" si="33"/>
        <v>0</v>
      </c>
      <c r="BL312" s="1154"/>
      <c r="BM312" s="1154">
        <f t="shared" si="34"/>
        <v>0</v>
      </c>
      <c r="BN312" s="1154">
        <f t="shared" si="35"/>
        <v>0</v>
      </c>
      <c r="BO312" s="527"/>
      <c r="BP312" s="527"/>
      <c r="BQ312" s="1157" t="s">
        <v>91</v>
      </c>
      <c r="BR312" s="1157" t="s">
        <v>690</v>
      </c>
      <c r="BS312" s="1157" t="s">
        <v>527</v>
      </c>
      <c r="BT312" s="1376" t="s">
        <v>1616</v>
      </c>
    </row>
    <row r="313" spans="1:72" s="1371" customFormat="1" ht="13">
      <c r="A313" s="1204">
        <v>869</v>
      </c>
      <c r="B313" s="1205" t="s">
        <v>672</v>
      </c>
      <c r="C313" s="1205" t="s">
        <v>673</v>
      </c>
      <c r="D313" s="1206" t="s">
        <v>2508</v>
      </c>
      <c r="E313" s="1386" t="s">
        <v>536</v>
      </c>
      <c r="F313" s="521"/>
      <c r="G313" s="522"/>
      <c r="H313" s="522"/>
      <c r="I313" s="522"/>
      <c r="J313" s="523"/>
      <c r="K313" s="523"/>
      <c r="L313" s="523"/>
      <c r="M313" s="524"/>
      <c r="N313" s="525"/>
      <c r="O313" s="526" t="s">
        <v>1237</v>
      </c>
      <c r="P313" s="525">
        <f>'HIV-Key Info'!$G$82*(('HIV-Key Info'!$E$82*('HPM costs'!F205+'HPM costs'!F551))+('HIV-Key Info'!$F$82*('HPM costs'!F208+'HPM costs'!F211+'HPM costs'!F554+'HPM costs'!F557)))</f>
        <v>0</v>
      </c>
      <c r="Q313" s="525" t="s">
        <v>1237</v>
      </c>
      <c r="R313" s="525">
        <f>'HIV-Key Info'!$G$82*(('HIV-Key Info'!$E$82*('HPM costs'!G205+'HPM costs'!G551))+('HIV-Key Info'!$F$82*('HPM costs'!G208+'HPM costs'!G211+'HPM costs'!G554+'HPM costs'!G557)))</f>
        <v>0</v>
      </c>
      <c r="S313" s="525" t="s">
        <v>1237</v>
      </c>
      <c r="T313" s="525">
        <f>'HIV-Key Info'!$G$82*(('HIV-Key Info'!$E$82*('HPM costs'!H205+'HPM costs'!H551))+('HIV-Key Info'!$F$82*('HPM costs'!H208+'HPM costs'!H211+'HPM costs'!H554+'HPM costs'!H557)))</f>
        <v>0</v>
      </c>
      <c r="U313" s="525" t="s">
        <v>1237</v>
      </c>
      <c r="V313" s="525">
        <f>'HIV-Key Info'!$G$82*(('HIV-Key Info'!$E$82*('HPM costs'!I205+'HPM costs'!I551))+('HIV-Key Info'!$F$82*('HPM costs'!I208+'HPM costs'!I211+'HPM costs'!I554+'HPM costs'!I557)))</f>
        <v>0</v>
      </c>
      <c r="W313" s="525"/>
      <c r="X313" s="1154">
        <f t="shared" si="30"/>
        <v>0</v>
      </c>
      <c r="Y313" s="1155"/>
      <c r="Z313" s="1156"/>
      <c r="AA313" s="529"/>
      <c r="AB313" s="525"/>
      <c r="AC313" s="525">
        <f>'HIV-Key Info'!$G$82*(('HIV-Key Info'!$E$82*('HPM costs'!K205+'HPM costs'!K551))+('HIV-Key Info'!$F$82*('HPM costs'!K208+'HPM costs'!K211+'HPM costs'!K554+'HPM costs'!K557)))</f>
        <v>0</v>
      </c>
      <c r="AD313" s="525"/>
      <c r="AE313" s="525">
        <f>'HIV-Key Info'!$G$82*(('HIV-Key Info'!$E$82*('HPM costs'!L205+'HPM costs'!L551))+('HIV-Key Info'!$F$82*('HPM costs'!L208+'HPM costs'!L211+'HPM costs'!L554+'HPM costs'!L557)))</f>
        <v>0</v>
      </c>
      <c r="AF313" s="525"/>
      <c r="AG313" s="525">
        <f>'HIV-Key Info'!$G$82*(('HIV-Key Info'!$E$82*('HPM costs'!M205+'HPM costs'!M551))+('HIV-Key Info'!$F$82*('HPM costs'!M208+'HPM costs'!M211+'HPM costs'!M554+'HPM costs'!M557)))</f>
        <v>0</v>
      </c>
      <c r="AH313" s="525"/>
      <c r="AI313" s="525">
        <f>'HIV-Key Info'!$G$82*(('HIV-Key Info'!$E$82*('HPM costs'!N205+'HPM costs'!N551))+('HIV-Key Info'!$F$82*('HPM costs'!N208+'HPM costs'!N211+'HPM costs'!N554+'HPM costs'!N557)))</f>
        <v>0</v>
      </c>
      <c r="AJ313" s="525"/>
      <c r="AK313" s="1154">
        <f t="shared" si="31"/>
        <v>0</v>
      </c>
      <c r="AL313" s="1155"/>
      <c r="AM313" s="1156"/>
      <c r="AN313" s="529"/>
      <c r="AO313" s="525"/>
      <c r="AP313" s="525">
        <f>'HIV-Key Info'!$G$82*(('HIV-Key Info'!$E$82*('HPM costs'!P205+'HPM costs'!P551))+('HIV-Key Info'!$F$82*('HPM costs'!P208+'HPM costs'!P211+'HPM costs'!P554+'HPM costs'!P557)))</f>
        <v>0</v>
      </c>
      <c r="AQ313" s="525"/>
      <c r="AR313" s="525">
        <f>'HIV-Key Info'!$G$82*(('HIV-Key Info'!$E$82*('HPM costs'!Q205+'HPM costs'!Q551))+('HIV-Key Info'!$F$82*('HPM costs'!Q208+'HPM costs'!Q211+'HPM costs'!Q554+'HPM costs'!Q557)))</f>
        <v>0</v>
      </c>
      <c r="AS313" s="525"/>
      <c r="AT313" s="525">
        <f>'HIV-Key Info'!$G$82*(('HIV-Key Info'!$E$82*('HPM costs'!R205+'HPM costs'!R551))+('HIV-Key Info'!$F$82*('HPM costs'!R208+'HPM costs'!R211+'HPM costs'!R554+'HPM costs'!R557)))</f>
        <v>0</v>
      </c>
      <c r="AU313" s="525"/>
      <c r="AV313" s="525">
        <f>'HIV-Key Info'!$G$82*(('HIV-Key Info'!$E$82*('HPM costs'!S205+'HPM costs'!S551))+('HIV-Key Info'!$F$82*('HPM costs'!S208+'HPM costs'!S211+'HPM costs'!S554+'HPM costs'!S557)))</f>
        <v>0</v>
      </c>
      <c r="AW313" s="525"/>
      <c r="AX313" s="1154">
        <f t="shared" si="32"/>
        <v>0</v>
      </c>
      <c r="AY313" s="1154"/>
      <c r="AZ313" s="528"/>
      <c r="BA313" s="529"/>
      <c r="BB313" s="527"/>
      <c r="BC313" s="527">
        <v>0</v>
      </c>
      <c r="BD313" s="527">
        <v>0</v>
      </c>
      <c r="BE313" s="527">
        <v>0</v>
      </c>
      <c r="BF313" s="527">
        <v>0</v>
      </c>
      <c r="BG313" s="527">
        <v>0</v>
      </c>
      <c r="BH313" s="527">
        <v>0</v>
      </c>
      <c r="BI313" s="527">
        <v>0</v>
      </c>
      <c r="BJ313" s="527">
        <v>0</v>
      </c>
      <c r="BK313" s="1154">
        <f t="shared" si="33"/>
        <v>0</v>
      </c>
      <c r="BL313" s="1154"/>
      <c r="BM313" s="1154">
        <f t="shared" si="34"/>
        <v>0</v>
      </c>
      <c r="BN313" s="1154">
        <f t="shared" si="35"/>
        <v>0</v>
      </c>
      <c r="BO313" s="527"/>
      <c r="BP313" s="527"/>
      <c r="BQ313" s="1157" t="s">
        <v>91</v>
      </c>
      <c r="BR313" s="1157" t="s">
        <v>690</v>
      </c>
      <c r="BS313" s="1157" t="s">
        <v>527</v>
      </c>
      <c r="BT313" s="1376" t="s">
        <v>1617</v>
      </c>
    </row>
    <row r="314" spans="1:72" s="1371" customFormat="1" ht="13">
      <c r="A314" s="1204">
        <v>870</v>
      </c>
      <c r="B314" s="1205" t="s">
        <v>672</v>
      </c>
      <c r="C314" s="1205" t="s">
        <v>673</v>
      </c>
      <c r="D314" s="1206" t="s">
        <v>2508</v>
      </c>
      <c r="E314" s="1386" t="s">
        <v>538</v>
      </c>
      <c r="F314" s="521"/>
      <c r="G314" s="522"/>
      <c r="H314" s="522"/>
      <c r="I314" s="522"/>
      <c r="J314" s="523"/>
      <c r="K314" s="523"/>
      <c r="L314" s="523"/>
      <c r="M314" s="524"/>
      <c r="N314" s="525"/>
      <c r="O314" s="526" t="s">
        <v>1237</v>
      </c>
      <c r="P314" s="525">
        <f>'HIV-Key Info'!$G$82*(('HIV-Key Info'!$E$82*'HPM costs'!F291)+('HIV-Key Info'!$F$82*('HPM costs'!F294+'HPM costs'!F297)))</f>
        <v>0</v>
      </c>
      <c r="Q314" s="525" t="s">
        <v>1237</v>
      </c>
      <c r="R314" s="525">
        <f>'HIV-Key Info'!$G$82*(('HIV-Key Info'!$E$82*'HPM costs'!G291)+('HIV-Key Info'!$F$82*('HPM costs'!G294+'HPM costs'!G297)))</f>
        <v>0</v>
      </c>
      <c r="S314" s="525" t="s">
        <v>1237</v>
      </c>
      <c r="T314" s="525">
        <f>'HIV-Key Info'!$G$82*(('HIV-Key Info'!$E$82*'HPM costs'!H291)+('HIV-Key Info'!$F$82*('HPM costs'!H294+'HPM costs'!H297)))</f>
        <v>0</v>
      </c>
      <c r="U314" s="525" t="s">
        <v>1237</v>
      </c>
      <c r="V314" s="525">
        <f>'HIV-Key Info'!$G$82*(('HIV-Key Info'!$E$82*'HPM costs'!I291)+('HIV-Key Info'!$F$82*('HPM costs'!I294+'HPM costs'!I297)))</f>
        <v>0</v>
      </c>
      <c r="W314" s="525"/>
      <c r="X314" s="1154">
        <f t="shared" si="30"/>
        <v>0</v>
      </c>
      <c r="Y314" s="1155"/>
      <c r="Z314" s="1156"/>
      <c r="AA314" s="529"/>
      <c r="AB314" s="525"/>
      <c r="AC314" s="525">
        <f>'HIV-Key Info'!$G$82*(('HIV-Key Info'!$E$82*'HPM costs'!K291)+('HIV-Key Info'!$F$82*('HPM costs'!K294+'HPM costs'!K297)))</f>
        <v>0</v>
      </c>
      <c r="AD314" s="525"/>
      <c r="AE314" s="525">
        <f>'HIV-Key Info'!$G$82*(('HIV-Key Info'!$E$82*'HPM costs'!L291)+('HIV-Key Info'!$F$82*('HPM costs'!L294+'HPM costs'!L297)))</f>
        <v>0</v>
      </c>
      <c r="AF314" s="525"/>
      <c r="AG314" s="525">
        <f>'HIV-Key Info'!$G$82*(('HIV-Key Info'!$E$82*'HPM costs'!M291)+('HIV-Key Info'!$F$82*('HPM costs'!M294+'HPM costs'!M297)))</f>
        <v>0</v>
      </c>
      <c r="AH314" s="525"/>
      <c r="AI314" s="525">
        <f>'HIV-Key Info'!$G$82*(('HIV-Key Info'!$E$82*'HPM costs'!N291)+('HIV-Key Info'!$F$82*('HPM costs'!N294+'HPM costs'!N297)))</f>
        <v>0</v>
      </c>
      <c r="AJ314" s="525"/>
      <c r="AK314" s="1154">
        <f t="shared" si="31"/>
        <v>0</v>
      </c>
      <c r="AL314" s="1155"/>
      <c r="AM314" s="1156"/>
      <c r="AN314" s="529"/>
      <c r="AO314" s="525"/>
      <c r="AP314" s="525">
        <f>'HIV-Key Info'!$G$82*(('HIV-Key Info'!$E$82*'HPM costs'!P291)+('HIV-Key Info'!$F$82*('HPM costs'!P294+'HPM costs'!P297)))</f>
        <v>0</v>
      </c>
      <c r="AQ314" s="525"/>
      <c r="AR314" s="525">
        <f>'HIV-Key Info'!$G$82*(('HIV-Key Info'!$E$82*'HPM costs'!Q291)+('HIV-Key Info'!$F$82*('HPM costs'!Q294+'HPM costs'!Q297)))</f>
        <v>0</v>
      </c>
      <c r="AS314" s="525"/>
      <c r="AT314" s="525">
        <f>'HIV-Key Info'!$G$82*(('HIV-Key Info'!$E$82*'HPM costs'!R291)+('HIV-Key Info'!$F$82*('HPM costs'!R294+'HPM costs'!R297)))</f>
        <v>0</v>
      </c>
      <c r="AU314" s="525"/>
      <c r="AV314" s="525">
        <f>'HIV-Key Info'!$G$82*(('HIV-Key Info'!$E$82*'HPM costs'!S291)+('HIV-Key Info'!$F$82*('HPM costs'!S294+'HPM costs'!S297)))</f>
        <v>0</v>
      </c>
      <c r="AW314" s="525"/>
      <c r="AX314" s="1154">
        <f t="shared" si="32"/>
        <v>0</v>
      </c>
      <c r="AY314" s="1154"/>
      <c r="AZ314" s="528"/>
      <c r="BA314" s="529"/>
      <c r="BB314" s="527"/>
      <c r="BC314" s="527">
        <v>0</v>
      </c>
      <c r="BD314" s="527">
        <v>0</v>
      </c>
      <c r="BE314" s="527">
        <v>0</v>
      </c>
      <c r="BF314" s="527">
        <v>0</v>
      </c>
      <c r="BG314" s="527">
        <v>0</v>
      </c>
      <c r="BH314" s="527">
        <v>0</v>
      </c>
      <c r="BI314" s="527">
        <v>0</v>
      </c>
      <c r="BJ314" s="527">
        <v>0</v>
      </c>
      <c r="BK314" s="1154">
        <f t="shared" si="33"/>
        <v>0</v>
      </c>
      <c r="BL314" s="1154"/>
      <c r="BM314" s="1154">
        <f t="shared" si="34"/>
        <v>0</v>
      </c>
      <c r="BN314" s="1154">
        <f t="shared" si="35"/>
        <v>0</v>
      </c>
      <c r="BO314" s="527"/>
      <c r="BP314" s="527"/>
      <c r="BQ314" s="1157" t="s">
        <v>91</v>
      </c>
      <c r="BR314" s="1157" t="s">
        <v>690</v>
      </c>
      <c r="BS314" s="1157" t="s">
        <v>527</v>
      </c>
      <c r="BT314" s="1376" t="s">
        <v>1618</v>
      </c>
    </row>
    <row r="315" spans="1:72" s="1371" customFormat="1" ht="13">
      <c r="A315" s="1204">
        <v>871</v>
      </c>
      <c r="B315" s="1205" t="s">
        <v>672</v>
      </c>
      <c r="C315" s="1205" t="s">
        <v>673</v>
      </c>
      <c r="D315" s="1206" t="s">
        <v>2508</v>
      </c>
      <c r="E315" s="1386" t="s">
        <v>540</v>
      </c>
      <c r="F315" s="521"/>
      <c r="G315" s="522"/>
      <c r="H315" s="522"/>
      <c r="I315" s="522"/>
      <c r="J315" s="523"/>
      <c r="K315" s="523"/>
      <c r="L315" s="523"/>
      <c r="M315" s="524"/>
      <c r="N315" s="525"/>
      <c r="O315" s="526" t="s">
        <v>1237</v>
      </c>
      <c r="P315" s="525">
        <f>'HIV-Key Info'!$G$82*(('HIV-Key Info'!$E$82*'HPM costs'!F636)+('HIV-Key Info'!$F$82*('HPM costs'!F639+'HPM costs'!F642)))</f>
        <v>0</v>
      </c>
      <c r="Q315" s="525" t="s">
        <v>1237</v>
      </c>
      <c r="R315" s="525">
        <f>'HIV-Key Info'!$G$82*(('HIV-Key Info'!$E$82*'HPM costs'!G636)+('HIV-Key Info'!$F$82*('HPM costs'!G639+'HPM costs'!G642)))</f>
        <v>0</v>
      </c>
      <c r="S315" s="525" t="s">
        <v>1237</v>
      </c>
      <c r="T315" s="525">
        <f>'HIV-Key Info'!$G$82*(('HIV-Key Info'!$E$82*'HPM costs'!H636)+('HIV-Key Info'!$F$82*('HPM costs'!H639+'HPM costs'!H642)))</f>
        <v>0</v>
      </c>
      <c r="U315" s="525" t="s">
        <v>1237</v>
      </c>
      <c r="V315" s="525">
        <f>'HIV-Key Info'!$G$82*(('HIV-Key Info'!$E$82*'HPM costs'!I636)+('HIV-Key Info'!$F$82*('HPM costs'!I639+'HPM costs'!I642)))</f>
        <v>0</v>
      </c>
      <c r="W315" s="525"/>
      <c r="X315" s="1154">
        <f t="shared" si="30"/>
        <v>0</v>
      </c>
      <c r="Y315" s="1155"/>
      <c r="Z315" s="1156"/>
      <c r="AA315" s="529"/>
      <c r="AB315" s="525"/>
      <c r="AC315" s="525">
        <f>'HIV-Key Info'!$G$82*(('HIV-Key Info'!$E$82*'HPM costs'!K636)+('HIV-Key Info'!$F$82*('HPM costs'!K639+'HPM costs'!K642)))</f>
        <v>0</v>
      </c>
      <c r="AD315" s="525"/>
      <c r="AE315" s="525">
        <f>'HIV-Key Info'!$G$82*(('HIV-Key Info'!$E$82*'HPM costs'!L636)+('HIV-Key Info'!$F$82*('HPM costs'!L639+'HPM costs'!L642)))</f>
        <v>0</v>
      </c>
      <c r="AF315" s="525"/>
      <c r="AG315" s="525">
        <f>'HIV-Key Info'!$G$82*(('HIV-Key Info'!$E$82*'HPM costs'!M636)+('HIV-Key Info'!$F$82*('HPM costs'!M639+'HPM costs'!M642)))</f>
        <v>0</v>
      </c>
      <c r="AH315" s="525"/>
      <c r="AI315" s="525">
        <f>'HIV-Key Info'!$G$82*(('HIV-Key Info'!$E$82*'HPM costs'!N636)+('HIV-Key Info'!$F$82*('HPM costs'!N639+'HPM costs'!N642)))</f>
        <v>0</v>
      </c>
      <c r="AJ315" s="525"/>
      <c r="AK315" s="1154">
        <f t="shared" si="31"/>
        <v>0</v>
      </c>
      <c r="AL315" s="1155"/>
      <c r="AM315" s="1156"/>
      <c r="AN315" s="529"/>
      <c r="AO315" s="525"/>
      <c r="AP315" s="525">
        <f>'HIV-Key Info'!$G$82*(('HIV-Key Info'!$E$82*'HPM costs'!P636)+('HIV-Key Info'!$F$82*('HPM costs'!P639+'HPM costs'!P642)))</f>
        <v>0</v>
      </c>
      <c r="AQ315" s="525"/>
      <c r="AR315" s="525">
        <f>'HIV-Key Info'!$G$82*(('HIV-Key Info'!$E$82*'HPM costs'!Q636)+('HIV-Key Info'!$F$82*('HPM costs'!Q639+'HPM costs'!Q642)))</f>
        <v>0</v>
      </c>
      <c r="AS315" s="525"/>
      <c r="AT315" s="525">
        <f>'HIV-Key Info'!$G$82*(('HIV-Key Info'!$E$82*'HPM costs'!R636)+('HIV-Key Info'!$F$82*('HPM costs'!R639+'HPM costs'!R642)))</f>
        <v>0</v>
      </c>
      <c r="AU315" s="525"/>
      <c r="AV315" s="525">
        <f>'HIV-Key Info'!$G$82*(('HIV-Key Info'!$E$82*'HPM costs'!S636)+('HIV-Key Info'!$F$82*('HPM costs'!S639+'HPM costs'!S642)))</f>
        <v>0</v>
      </c>
      <c r="AW315" s="525"/>
      <c r="AX315" s="1154">
        <f t="shared" si="32"/>
        <v>0</v>
      </c>
      <c r="AY315" s="1154"/>
      <c r="AZ315" s="528"/>
      <c r="BA315" s="529"/>
      <c r="BB315" s="527"/>
      <c r="BC315" s="527">
        <v>0</v>
      </c>
      <c r="BD315" s="527">
        <v>0</v>
      </c>
      <c r="BE315" s="527">
        <v>0</v>
      </c>
      <c r="BF315" s="527">
        <v>0</v>
      </c>
      <c r="BG315" s="527">
        <v>0</v>
      </c>
      <c r="BH315" s="527">
        <v>0</v>
      </c>
      <c r="BI315" s="527">
        <v>0</v>
      </c>
      <c r="BJ315" s="527">
        <v>0</v>
      </c>
      <c r="BK315" s="1154">
        <f t="shared" si="33"/>
        <v>0</v>
      </c>
      <c r="BL315" s="1154"/>
      <c r="BM315" s="1154">
        <f t="shared" si="34"/>
        <v>0</v>
      </c>
      <c r="BN315" s="1154">
        <f t="shared" si="35"/>
        <v>0</v>
      </c>
      <c r="BO315" s="527"/>
      <c r="BP315" s="527"/>
      <c r="BQ315" s="1157" t="s">
        <v>91</v>
      </c>
      <c r="BR315" s="1157" t="s">
        <v>690</v>
      </c>
      <c r="BS315" s="1157" t="s">
        <v>527</v>
      </c>
      <c r="BT315" s="1376" t="s">
        <v>1619</v>
      </c>
    </row>
    <row r="316" spans="1:72" s="1371" customFormat="1" ht="13">
      <c r="A316" s="1204">
        <v>872</v>
      </c>
      <c r="B316" s="1205" t="s">
        <v>672</v>
      </c>
      <c r="C316" s="1205" t="s">
        <v>674</v>
      </c>
      <c r="D316" s="1206" t="s">
        <v>2572</v>
      </c>
      <c r="E316" s="1386" t="s">
        <v>603</v>
      </c>
      <c r="F316" s="521"/>
      <c r="G316" s="522"/>
      <c r="H316" s="522"/>
      <c r="I316" s="522"/>
      <c r="J316" s="523"/>
      <c r="K316" s="523"/>
      <c r="L316" s="523"/>
      <c r="M316" s="524"/>
      <c r="N316" s="525"/>
      <c r="O316" s="526" t="s">
        <v>1237</v>
      </c>
      <c r="P316" s="525">
        <f>'HIV-Key Info'!$H$82*('HIV-Key Info'!$E$82*('HPM costs'!F119/'HPM costs'!$E$119)+'HIV-Key Info'!$F$82*('HPM costs'!F125/'HPM costs'!$E$125+'HPM costs'!F122/'HPM costs'!$E$122))</f>
        <v>0</v>
      </c>
      <c r="Q316" s="525" t="s">
        <v>1237</v>
      </c>
      <c r="R316" s="525">
        <f>'HIV-Key Info'!$H$82*('HIV-Key Info'!$E$82*('HPM costs'!G119/'HPM costs'!$E$119)+'HIV-Key Info'!$F$82*('HPM costs'!G125/'HPM costs'!$E$125+'HPM costs'!G122/'HPM costs'!$E$122))</f>
        <v>0</v>
      </c>
      <c r="S316" s="525" t="s">
        <v>1237</v>
      </c>
      <c r="T316" s="525">
        <f>'HIV-Key Info'!$H$82*('HIV-Key Info'!$E$82*('HPM costs'!H119/'HPM costs'!$E$119)+'HIV-Key Info'!$F$82*('HPM costs'!H125/'HPM costs'!$E$125+'HPM costs'!H122/'HPM costs'!$E$122))</f>
        <v>0</v>
      </c>
      <c r="U316" s="525" t="s">
        <v>1237</v>
      </c>
      <c r="V316" s="525">
        <f>'HIV-Key Info'!$H$82*('HIV-Key Info'!$E$82*('HPM costs'!I119/'HPM costs'!$E$119)+'HIV-Key Info'!$F$82*('HPM costs'!I125/'HPM costs'!$E$125+'HPM costs'!I122/'HPM costs'!$E$122))</f>
        <v>0</v>
      </c>
      <c r="W316" s="525"/>
      <c r="X316" s="1154">
        <f t="shared" si="30"/>
        <v>0</v>
      </c>
      <c r="Y316" s="1155"/>
      <c r="Z316" s="1156"/>
      <c r="AA316" s="529"/>
      <c r="AB316" s="525"/>
      <c r="AC316" s="525">
        <f>'HIV-Key Info'!$H$82*('HIV-Key Info'!$E$82*('HPM costs'!K119/'HPM costs'!$E$119)+'HIV-Key Info'!$F$82*('HPM costs'!K125/'HPM costs'!$E$125+'HPM costs'!K122/'HPM costs'!$E$122))</f>
        <v>0</v>
      </c>
      <c r="AD316" s="525"/>
      <c r="AE316" s="525">
        <f>'HIV-Key Info'!$H$82*('HIV-Key Info'!$E$82*('HPM costs'!L119/'HPM costs'!$E$119)+'HIV-Key Info'!$F$82*('HPM costs'!L125/'HPM costs'!$E$125+'HPM costs'!L122/'HPM costs'!$E$122))</f>
        <v>0</v>
      </c>
      <c r="AF316" s="525"/>
      <c r="AG316" s="525">
        <f>'HIV-Key Info'!$H$82*('HIV-Key Info'!$E$82*('HPM costs'!M119/'HPM costs'!$E$119)+'HIV-Key Info'!$F$82*('HPM costs'!M125/'HPM costs'!$E$125+'HPM costs'!M122/'HPM costs'!$E$122))</f>
        <v>0</v>
      </c>
      <c r="AH316" s="525"/>
      <c r="AI316" s="525">
        <f>'HIV-Key Info'!$H$82*('HIV-Key Info'!$E$82*('HPM costs'!N119/'HPM costs'!$E$119)+'HIV-Key Info'!$F$82*('HPM costs'!N125/'HPM costs'!$E$125+'HPM costs'!N122/'HPM costs'!$E$122))</f>
        <v>0</v>
      </c>
      <c r="AJ316" s="525"/>
      <c r="AK316" s="1154">
        <f t="shared" si="31"/>
        <v>0</v>
      </c>
      <c r="AL316" s="1155"/>
      <c r="AM316" s="1156"/>
      <c r="AN316" s="529"/>
      <c r="AO316" s="525"/>
      <c r="AP316" s="525">
        <f>'HIV-Key Info'!$H$82*('HIV-Key Info'!$E$82*('HPM costs'!P119/'HPM costs'!$E$119)+'HIV-Key Info'!$F$82*('HPM costs'!P125/'HPM costs'!$E$125+'HPM costs'!P122/'HPM costs'!$E$122))</f>
        <v>0</v>
      </c>
      <c r="AQ316" s="525"/>
      <c r="AR316" s="525">
        <f>'HIV-Key Info'!$H$82*('HIV-Key Info'!$E$82*('HPM costs'!Q119/'HPM costs'!$E$119)+'HIV-Key Info'!$F$82*('HPM costs'!Q125/'HPM costs'!$E$125+'HPM costs'!Q122/'HPM costs'!$E$122))</f>
        <v>0</v>
      </c>
      <c r="AS316" s="525"/>
      <c r="AT316" s="525">
        <f>'HIV-Key Info'!$H$82*('HIV-Key Info'!$E$82*('HPM costs'!R119/'HPM costs'!$E$119)+'HIV-Key Info'!$F$82*('HPM costs'!R125/'HPM costs'!$E$125+'HPM costs'!R122/'HPM costs'!$E$122))</f>
        <v>0</v>
      </c>
      <c r="AU316" s="525"/>
      <c r="AV316" s="525">
        <f>'HIV-Key Info'!$H$82*('HIV-Key Info'!$E$82*('HPM costs'!S119/'HPM costs'!$E$119)+'HIV-Key Info'!$F$82*('HPM costs'!S125/'HPM costs'!$E$125+'HPM costs'!S122/'HPM costs'!$E$122))</f>
        <v>0</v>
      </c>
      <c r="AW316" s="525"/>
      <c r="AX316" s="1154">
        <f t="shared" si="32"/>
        <v>0</v>
      </c>
      <c r="AY316" s="1154"/>
      <c r="AZ316" s="528"/>
      <c r="BA316" s="529"/>
      <c r="BB316" s="527"/>
      <c r="BC316" s="527">
        <v>0</v>
      </c>
      <c r="BD316" s="527">
        <v>0</v>
      </c>
      <c r="BE316" s="527">
        <v>0</v>
      </c>
      <c r="BF316" s="527">
        <v>0</v>
      </c>
      <c r="BG316" s="527">
        <v>0</v>
      </c>
      <c r="BH316" s="527">
        <v>0</v>
      </c>
      <c r="BI316" s="527">
        <v>0</v>
      </c>
      <c r="BJ316" s="527">
        <v>0</v>
      </c>
      <c r="BK316" s="1154">
        <f t="shared" si="33"/>
        <v>0</v>
      </c>
      <c r="BL316" s="1154"/>
      <c r="BM316" s="1154">
        <f t="shared" si="34"/>
        <v>0</v>
      </c>
      <c r="BN316" s="1154">
        <f t="shared" si="35"/>
        <v>0</v>
      </c>
      <c r="BO316" s="527"/>
      <c r="BP316" s="527"/>
      <c r="BQ316" s="1157" t="s">
        <v>91</v>
      </c>
      <c r="BR316" s="1157" t="s">
        <v>690</v>
      </c>
      <c r="BS316" s="1157" t="s">
        <v>2570</v>
      </c>
      <c r="BT316" s="1376" t="s">
        <v>1620</v>
      </c>
    </row>
    <row r="317" spans="1:72" s="1371" customFormat="1" ht="13">
      <c r="A317" s="1204">
        <v>873</v>
      </c>
      <c r="B317" s="1205" t="s">
        <v>672</v>
      </c>
      <c r="C317" s="1205" t="s">
        <v>674</v>
      </c>
      <c r="D317" s="1206" t="s">
        <v>2508</v>
      </c>
      <c r="E317" s="1386" t="s">
        <v>528</v>
      </c>
      <c r="F317" s="521"/>
      <c r="G317" s="522"/>
      <c r="H317" s="522"/>
      <c r="I317" s="522"/>
      <c r="J317" s="523"/>
      <c r="K317" s="523"/>
      <c r="L317" s="523"/>
      <c r="M317" s="524"/>
      <c r="N317" s="525"/>
      <c r="O317" s="526" t="s">
        <v>1237</v>
      </c>
      <c r="P317" s="525">
        <f>'HIV-Key Info'!$H$82*(('HIV-Key Info'!$E$82*'HPM costs'!F33)+('HIV-Key Info'!$F$82*('HPM costs'!F36+'HPM costs'!F39)))</f>
        <v>0</v>
      </c>
      <c r="Q317" s="525" t="s">
        <v>1237</v>
      </c>
      <c r="R317" s="525">
        <f>'HIV-Key Info'!$H$82*(('HIV-Key Info'!$E$82*'HPM costs'!G33)+('HIV-Key Info'!$F$82*('HPM costs'!G36+'HPM costs'!G39)))</f>
        <v>0</v>
      </c>
      <c r="S317" s="525" t="s">
        <v>1237</v>
      </c>
      <c r="T317" s="525">
        <f>'HIV-Key Info'!$H$82*(('HIV-Key Info'!$E$82*'HPM costs'!H33)+('HIV-Key Info'!$F$82*('HPM costs'!H36+'HPM costs'!H39)))</f>
        <v>0</v>
      </c>
      <c r="U317" s="525" t="s">
        <v>1237</v>
      </c>
      <c r="V317" s="525">
        <f>'HIV-Key Info'!$H$82*(('HIV-Key Info'!$E$82*'HPM costs'!I33)+('HIV-Key Info'!$F$82*('HPM costs'!I36+'HPM costs'!I39)))</f>
        <v>0</v>
      </c>
      <c r="W317" s="525"/>
      <c r="X317" s="1154">
        <f t="shared" si="30"/>
        <v>0</v>
      </c>
      <c r="Y317" s="1155"/>
      <c r="Z317" s="1156"/>
      <c r="AA317" s="529"/>
      <c r="AB317" s="525"/>
      <c r="AC317" s="525">
        <f>'HIV-Key Info'!$H$82*(('HIV-Key Info'!$E$82*'HPM costs'!K33)+('HIV-Key Info'!$F$82*('HPM costs'!K36+'HPM costs'!K39)))</f>
        <v>0</v>
      </c>
      <c r="AD317" s="525"/>
      <c r="AE317" s="525">
        <f>'HIV-Key Info'!$H$82*(('HIV-Key Info'!$E$82*'HPM costs'!L33)+('HIV-Key Info'!$F$82*('HPM costs'!L36+'HPM costs'!L39)))</f>
        <v>0</v>
      </c>
      <c r="AF317" s="525"/>
      <c r="AG317" s="525">
        <f>'HIV-Key Info'!$H$82*(('HIV-Key Info'!$E$82*'HPM costs'!M33)+('HIV-Key Info'!$F$82*('HPM costs'!M36+'HPM costs'!M39)))</f>
        <v>0</v>
      </c>
      <c r="AH317" s="525"/>
      <c r="AI317" s="525">
        <f>'HIV-Key Info'!$H$82*(('HIV-Key Info'!$E$82*'HPM costs'!N33)+('HIV-Key Info'!$F$82*('HPM costs'!N36+'HPM costs'!N39)))</f>
        <v>0</v>
      </c>
      <c r="AJ317" s="525"/>
      <c r="AK317" s="1154">
        <f t="shared" si="31"/>
        <v>0</v>
      </c>
      <c r="AL317" s="1155"/>
      <c r="AM317" s="1156"/>
      <c r="AN317" s="529"/>
      <c r="AO317" s="525"/>
      <c r="AP317" s="525">
        <f>'HIV-Key Info'!$H$82*(('HIV-Key Info'!$E$82*'HPM costs'!P33)+('HIV-Key Info'!$F$82*('HPM costs'!P36+'HPM costs'!P39)))</f>
        <v>0</v>
      </c>
      <c r="AQ317" s="525"/>
      <c r="AR317" s="525">
        <f>'HIV-Key Info'!$H$82*(('HIV-Key Info'!$E$82*'HPM costs'!Q33)+('HIV-Key Info'!$F$82*('HPM costs'!Q36+'HPM costs'!Q39)))</f>
        <v>0</v>
      </c>
      <c r="AS317" s="525"/>
      <c r="AT317" s="525">
        <f>'HIV-Key Info'!$H$82*(('HIV-Key Info'!$E$82*'HPM costs'!R33)+('HIV-Key Info'!$F$82*('HPM costs'!R36+'HPM costs'!R39)))</f>
        <v>0</v>
      </c>
      <c r="AU317" s="525"/>
      <c r="AV317" s="525">
        <f>'HIV-Key Info'!$H$82*(('HIV-Key Info'!$E$82*'HPM costs'!S33)+('HIV-Key Info'!$F$82*('HPM costs'!S36+'HPM costs'!S39)))</f>
        <v>0</v>
      </c>
      <c r="AW317" s="525"/>
      <c r="AX317" s="1154">
        <f t="shared" si="32"/>
        <v>0</v>
      </c>
      <c r="AY317" s="1154"/>
      <c r="AZ317" s="528"/>
      <c r="BA317" s="529"/>
      <c r="BB317" s="527"/>
      <c r="BC317" s="527">
        <v>0</v>
      </c>
      <c r="BD317" s="527">
        <v>0</v>
      </c>
      <c r="BE317" s="527">
        <v>0</v>
      </c>
      <c r="BF317" s="527">
        <v>0</v>
      </c>
      <c r="BG317" s="527">
        <v>0</v>
      </c>
      <c r="BH317" s="527">
        <v>0</v>
      </c>
      <c r="BI317" s="527">
        <v>0</v>
      </c>
      <c r="BJ317" s="527">
        <v>0</v>
      </c>
      <c r="BK317" s="1154">
        <f t="shared" si="33"/>
        <v>0</v>
      </c>
      <c r="BL317" s="1154"/>
      <c r="BM317" s="1154">
        <f t="shared" si="34"/>
        <v>0</v>
      </c>
      <c r="BN317" s="1154">
        <f t="shared" si="35"/>
        <v>0</v>
      </c>
      <c r="BO317" s="527"/>
      <c r="BP317" s="527"/>
      <c r="BQ317" s="1157" t="s">
        <v>91</v>
      </c>
      <c r="BR317" s="1157" t="s">
        <v>690</v>
      </c>
      <c r="BS317" s="1157" t="s">
        <v>527</v>
      </c>
      <c r="BT317" s="1376" t="s">
        <v>1621</v>
      </c>
    </row>
    <row r="318" spans="1:72" s="1371" customFormat="1" ht="13">
      <c r="A318" s="1204">
        <v>874</v>
      </c>
      <c r="B318" s="1205" t="s">
        <v>672</v>
      </c>
      <c r="C318" s="1205" t="s">
        <v>674</v>
      </c>
      <c r="D318" s="1206" t="s">
        <v>2508</v>
      </c>
      <c r="E318" s="1386" t="s">
        <v>530</v>
      </c>
      <c r="F318" s="521"/>
      <c r="G318" s="522"/>
      <c r="H318" s="522"/>
      <c r="I318" s="522"/>
      <c r="J318" s="523"/>
      <c r="K318" s="523"/>
      <c r="L318" s="523"/>
      <c r="M318" s="524"/>
      <c r="N318" s="525"/>
      <c r="O318" s="526" t="s">
        <v>1237</v>
      </c>
      <c r="P318" s="525">
        <f>'HIV-Key Info'!$H$82*(('HIV-Key Info'!$E$82*'HPM costs'!F119)+('HIV-Key Info'!$F$82*('HPM costs'!F122+'HPM costs'!F125)))</f>
        <v>0</v>
      </c>
      <c r="Q318" s="525" t="s">
        <v>1237</v>
      </c>
      <c r="R318" s="525">
        <f>'HIV-Key Info'!$H$82*(('HIV-Key Info'!$E$82*'HPM costs'!G119)+('HIV-Key Info'!$F$82*('HPM costs'!G122+'HPM costs'!G125)))</f>
        <v>0</v>
      </c>
      <c r="S318" s="525" t="s">
        <v>1237</v>
      </c>
      <c r="T318" s="525">
        <f>'HIV-Key Info'!$H$82*(('HIV-Key Info'!$E$82*'HPM costs'!H119)+('HIV-Key Info'!$F$82*('HPM costs'!H122+'HPM costs'!H125)))</f>
        <v>0</v>
      </c>
      <c r="U318" s="525" t="s">
        <v>1237</v>
      </c>
      <c r="V318" s="525">
        <f>'HIV-Key Info'!$H$82*(('HIV-Key Info'!$E$82*'HPM costs'!I119)+('HIV-Key Info'!$F$82*('HPM costs'!I122+'HPM costs'!I125)))</f>
        <v>0</v>
      </c>
      <c r="W318" s="525"/>
      <c r="X318" s="1154">
        <f t="shared" si="30"/>
        <v>0</v>
      </c>
      <c r="Y318" s="1155"/>
      <c r="Z318" s="1156"/>
      <c r="AA318" s="529"/>
      <c r="AB318" s="525"/>
      <c r="AC318" s="525">
        <f>'HIV-Key Info'!$H$82*(('HIV-Key Info'!$E$82*'HPM costs'!K119)+('HIV-Key Info'!$F$82*('HPM costs'!K122+'HPM costs'!K125)))</f>
        <v>0</v>
      </c>
      <c r="AD318" s="525"/>
      <c r="AE318" s="525">
        <f>'HIV-Key Info'!$H$82*(('HIV-Key Info'!$E$82*'HPM costs'!L119)+('HIV-Key Info'!$F$82*('HPM costs'!L122+'HPM costs'!L125)))</f>
        <v>0</v>
      </c>
      <c r="AF318" s="525"/>
      <c r="AG318" s="525">
        <f>'HIV-Key Info'!$H$82*(('HIV-Key Info'!$E$82*'HPM costs'!M119)+('HIV-Key Info'!$F$82*('HPM costs'!M122+'HPM costs'!M125)))</f>
        <v>0</v>
      </c>
      <c r="AH318" s="525"/>
      <c r="AI318" s="525">
        <f>'HIV-Key Info'!$H$82*(('HIV-Key Info'!$E$82*'HPM costs'!N119)+('HIV-Key Info'!$F$82*('HPM costs'!N122+'HPM costs'!N125)))</f>
        <v>0</v>
      </c>
      <c r="AJ318" s="525"/>
      <c r="AK318" s="1154">
        <f t="shared" si="31"/>
        <v>0</v>
      </c>
      <c r="AL318" s="1155"/>
      <c r="AM318" s="1156"/>
      <c r="AN318" s="529"/>
      <c r="AO318" s="525"/>
      <c r="AP318" s="525">
        <f>'HIV-Key Info'!$H$82*(('HIV-Key Info'!$E$82*'HPM costs'!P119)+('HIV-Key Info'!$F$82*('HPM costs'!P122+'HPM costs'!P125)))</f>
        <v>0</v>
      </c>
      <c r="AQ318" s="525"/>
      <c r="AR318" s="525">
        <f>'HIV-Key Info'!$H$82*(('HIV-Key Info'!$E$82*'HPM costs'!Q119)+('HIV-Key Info'!$F$82*('HPM costs'!Q122+'HPM costs'!Q125)))</f>
        <v>0</v>
      </c>
      <c r="AS318" s="525"/>
      <c r="AT318" s="525">
        <f>'HIV-Key Info'!$H$82*(('HIV-Key Info'!$E$82*'HPM costs'!R119)+('HIV-Key Info'!$F$82*('HPM costs'!R122+'HPM costs'!R125)))</f>
        <v>0</v>
      </c>
      <c r="AU318" s="525"/>
      <c r="AV318" s="525">
        <f>'HIV-Key Info'!$H$82*(('HIV-Key Info'!$E$82*'HPM costs'!S119)+('HIV-Key Info'!$F$82*('HPM costs'!S122+'HPM costs'!S125)))</f>
        <v>0</v>
      </c>
      <c r="AW318" s="525"/>
      <c r="AX318" s="1154">
        <f t="shared" si="32"/>
        <v>0</v>
      </c>
      <c r="AY318" s="1154"/>
      <c r="AZ318" s="528"/>
      <c r="BA318" s="529"/>
      <c r="BB318" s="527"/>
      <c r="BC318" s="527">
        <v>0</v>
      </c>
      <c r="BD318" s="527">
        <v>0</v>
      </c>
      <c r="BE318" s="527">
        <v>0</v>
      </c>
      <c r="BF318" s="527">
        <v>0</v>
      </c>
      <c r="BG318" s="527">
        <v>0</v>
      </c>
      <c r="BH318" s="527">
        <v>0</v>
      </c>
      <c r="BI318" s="527">
        <v>0</v>
      </c>
      <c r="BJ318" s="527">
        <v>0</v>
      </c>
      <c r="BK318" s="1154">
        <f t="shared" si="33"/>
        <v>0</v>
      </c>
      <c r="BL318" s="1154"/>
      <c r="BM318" s="1154">
        <f t="shared" si="34"/>
        <v>0</v>
      </c>
      <c r="BN318" s="1154">
        <f t="shared" si="35"/>
        <v>0</v>
      </c>
      <c r="BO318" s="527"/>
      <c r="BP318" s="527"/>
      <c r="BQ318" s="1157" t="s">
        <v>91</v>
      </c>
      <c r="BR318" s="1157" t="s">
        <v>690</v>
      </c>
      <c r="BS318" s="1157" t="s">
        <v>527</v>
      </c>
      <c r="BT318" s="1376" t="s">
        <v>1622</v>
      </c>
    </row>
    <row r="319" spans="1:72" s="1371" customFormat="1" ht="13">
      <c r="A319" s="1204">
        <v>875</v>
      </c>
      <c r="B319" s="1205" t="s">
        <v>672</v>
      </c>
      <c r="C319" s="1205" t="s">
        <v>674</v>
      </c>
      <c r="D319" s="1206" t="s">
        <v>2508</v>
      </c>
      <c r="E319" s="1386" t="s">
        <v>532</v>
      </c>
      <c r="F319" s="521"/>
      <c r="G319" s="522"/>
      <c r="H319" s="522"/>
      <c r="I319" s="522"/>
      <c r="J319" s="523"/>
      <c r="K319" s="523"/>
      <c r="L319" s="523"/>
      <c r="M319" s="524"/>
      <c r="N319" s="525"/>
      <c r="O319" s="526" t="s">
        <v>1237</v>
      </c>
      <c r="P319" s="525">
        <f>'HIV-Key Info'!$H$82*(('HIV-Key Info'!$E$82*'HPM costs'!F379)+('HIV-Key Info'!$F$82*('HPM costs'!F382+'HPM costs'!F385)))</f>
        <v>0</v>
      </c>
      <c r="Q319" s="525" t="s">
        <v>1237</v>
      </c>
      <c r="R319" s="525">
        <f>'HIV-Key Info'!$H$82*(('HIV-Key Info'!$E$82*'HPM costs'!G379)+('HIV-Key Info'!$F$82*('HPM costs'!G382+'HPM costs'!G385)))</f>
        <v>0</v>
      </c>
      <c r="S319" s="525" t="s">
        <v>1237</v>
      </c>
      <c r="T319" s="525">
        <f>'HIV-Key Info'!$H$82*(('HIV-Key Info'!$E$82*'HPM costs'!H379)+('HIV-Key Info'!$F$82*('HPM costs'!H382+'HPM costs'!H385)))</f>
        <v>0</v>
      </c>
      <c r="U319" s="525" t="s">
        <v>1237</v>
      </c>
      <c r="V319" s="525">
        <f>'HIV-Key Info'!$H$82*(('HIV-Key Info'!$E$82*'HPM costs'!I379)+('HIV-Key Info'!$F$82*('HPM costs'!I382+'HPM costs'!I385)))</f>
        <v>0</v>
      </c>
      <c r="W319" s="525"/>
      <c r="X319" s="1154">
        <f t="shared" si="30"/>
        <v>0</v>
      </c>
      <c r="Y319" s="1155"/>
      <c r="Z319" s="1156"/>
      <c r="AA319" s="529"/>
      <c r="AB319" s="525"/>
      <c r="AC319" s="525">
        <f>'HIV-Key Info'!$H$82*(('HIV-Key Info'!$E$82*'HPM costs'!K379)+('HIV-Key Info'!$F$82*('HPM costs'!K382+'HPM costs'!K385)))</f>
        <v>0</v>
      </c>
      <c r="AD319" s="525"/>
      <c r="AE319" s="525">
        <f>'HIV-Key Info'!$H$82*(('HIV-Key Info'!$E$82*'HPM costs'!L379)+('HIV-Key Info'!$F$82*('HPM costs'!L382+'HPM costs'!L385)))</f>
        <v>0</v>
      </c>
      <c r="AF319" s="525"/>
      <c r="AG319" s="525">
        <f>'HIV-Key Info'!$H$82*(('HIV-Key Info'!$E$82*'HPM costs'!M379)+('HIV-Key Info'!$F$82*('HPM costs'!M382+'HPM costs'!M385)))</f>
        <v>0</v>
      </c>
      <c r="AH319" s="525"/>
      <c r="AI319" s="525">
        <f>'HIV-Key Info'!$H$82*(('HIV-Key Info'!$E$82*'HPM costs'!N379)+('HIV-Key Info'!$F$82*('HPM costs'!N382+'HPM costs'!N385)))</f>
        <v>0</v>
      </c>
      <c r="AJ319" s="525"/>
      <c r="AK319" s="1154">
        <f t="shared" si="31"/>
        <v>0</v>
      </c>
      <c r="AL319" s="1155"/>
      <c r="AM319" s="1156"/>
      <c r="AN319" s="529"/>
      <c r="AO319" s="525"/>
      <c r="AP319" s="525">
        <f>'HIV-Key Info'!$H$82*(('HIV-Key Info'!$E$82*'HPM costs'!P379)+('HIV-Key Info'!$F$82*('HPM costs'!P382+'HPM costs'!P385)))</f>
        <v>0</v>
      </c>
      <c r="AQ319" s="525"/>
      <c r="AR319" s="525">
        <f>'HIV-Key Info'!$H$82*(('HIV-Key Info'!$E$82*'HPM costs'!Q379)+('HIV-Key Info'!$F$82*('HPM costs'!Q382+'HPM costs'!Q385)))</f>
        <v>0</v>
      </c>
      <c r="AS319" s="525"/>
      <c r="AT319" s="525">
        <f>'HIV-Key Info'!$H$82*(('HIV-Key Info'!$E$82*'HPM costs'!R379)+('HIV-Key Info'!$F$82*('HPM costs'!R382+'HPM costs'!R385)))</f>
        <v>0</v>
      </c>
      <c r="AU319" s="525"/>
      <c r="AV319" s="525">
        <f>'HIV-Key Info'!$H$82*(('HIV-Key Info'!$E$82*'HPM costs'!S379)+('HIV-Key Info'!$F$82*('HPM costs'!S382+'HPM costs'!S385)))</f>
        <v>0</v>
      </c>
      <c r="AW319" s="525"/>
      <c r="AX319" s="1154">
        <f t="shared" si="32"/>
        <v>0</v>
      </c>
      <c r="AY319" s="1154"/>
      <c r="AZ319" s="528"/>
      <c r="BA319" s="529"/>
      <c r="BB319" s="527"/>
      <c r="BC319" s="527">
        <v>0</v>
      </c>
      <c r="BD319" s="527">
        <v>0</v>
      </c>
      <c r="BE319" s="527">
        <v>0</v>
      </c>
      <c r="BF319" s="527">
        <v>0</v>
      </c>
      <c r="BG319" s="527">
        <v>0</v>
      </c>
      <c r="BH319" s="527">
        <v>0</v>
      </c>
      <c r="BI319" s="527">
        <v>0</v>
      </c>
      <c r="BJ319" s="527">
        <v>0</v>
      </c>
      <c r="BK319" s="1154">
        <f t="shared" si="33"/>
        <v>0</v>
      </c>
      <c r="BL319" s="1154"/>
      <c r="BM319" s="1154">
        <f t="shared" si="34"/>
        <v>0</v>
      </c>
      <c r="BN319" s="1154">
        <f t="shared" si="35"/>
        <v>0</v>
      </c>
      <c r="BO319" s="527"/>
      <c r="BP319" s="527"/>
      <c r="BQ319" s="1157" t="s">
        <v>91</v>
      </c>
      <c r="BR319" s="1157" t="s">
        <v>690</v>
      </c>
      <c r="BS319" s="1157" t="s">
        <v>527</v>
      </c>
      <c r="BT319" s="1376" t="s">
        <v>1623</v>
      </c>
    </row>
    <row r="320" spans="1:72" s="1371" customFormat="1" ht="13">
      <c r="A320" s="1204">
        <v>876</v>
      </c>
      <c r="B320" s="1205" t="s">
        <v>672</v>
      </c>
      <c r="C320" s="1205" t="s">
        <v>674</v>
      </c>
      <c r="D320" s="1206" t="s">
        <v>2508</v>
      </c>
      <c r="E320" s="1386" t="s">
        <v>534</v>
      </c>
      <c r="F320" s="521"/>
      <c r="G320" s="522"/>
      <c r="H320" s="522"/>
      <c r="I320" s="522"/>
      <c r="J320" s="523"/>
      <c r="K320" s="523"/>
      <c r="L320" s="523"/>
      <c r="M320" s="524"/>
      <c r="N320" s="525"/>
      <c r="O320" s="526" t="s">
        <v>1237</v>
      </c>
      <c r="P320" s="525">
        <f>'HIV-Key Info'!$H$82*(('HIV-Key Info'!$E$82*'HPM costs'!F465)+('HIV-Key Info'!$F$82*('HPM costs'!F468+'HPM costs'!F471)))</f>
        <v>0</v>
      </c>
      <c r="Q320" s="525" t="s">
        <v>1237</v>
      </c>
      <c r="R320" s="525">
        <f>'HIV-Key Info'!$H$82*(('HIV-Key Info'!$E$82*'HPM costs'!G465)+('HIV-Key Info'!$F$82*('HPM costs'!G468+'HPM costs'!G471)))</f>
        <v>0</v>
      </c>
      <c r="S320" s="525" t="s">
        <v>1237</v>
      </c>
      <c r="T320" s="525">
        <f>'HIV-Key Info'!$H$82*(('HIV-Key Info'!$E$82*'HPM costs'!H465)+('HIV-Key Info'!$F$82*('HPM costs'!H468+'HPM costs'!H471)))</f>
        <v>0</v>
      </c>
      <c r="U320" s="525" t="s">
        <v>1237</v>
      </c>
      <c r="V320" s="525">
        <f>'HIV-Key Info'!$H$82*(('HIV-Key Info'!$E$82*'HPM costs'!I465)+('HIV-Key Info'!$F$82*('HPM costs'!I468+'HPM costs'!I471)))</f>
        <v>0</v>
      </c>
      <c r="W320" s="525"/>
      <c r="X320" s="1154">
        <f t="shared" si="30"/>
        <v>0</v>
      </c>
      <c r="Y320" s="1155"/>
      <c r="Z320" s="1156"/>
      <c r="AA320" s="529"/>
      <c r="AB320" s="525"/>
      <c r="AC320" s="525">
        <f>'HIV-Key Info'!$H$82*(('HIV-Key Info'!$E$82*'HPM costs'!K465)+('HIV-Key Info'!$F$82*('HPM costs'!K468+'HPM costs'!K471)))</f>
        <v>0</v>
      </c>
      <c r="AD320" s="525"/>
      <c r="AE320" s="525">
        <f>'HIV-Key Info'!$H$82*(('HIV-Key Info'!$E$82*'HPM costs'!L465)+('HIV-Key Info'!$F$82*('HPM costs'!L468+'HPM costs'!L471)))</f>
        <v>0</v>
      </c>
      <c r="AF320" s="525"/>
      <c r="AG320" s="525">
        <f>'HIV-Key Info'!$H$82*(('HIV-Key Info'!$E$82*'HPM costs'!M465)+('HIV-Key Info'!$F$82*('HPM costs'!M468+'HPM costs'!M471)))</f>
        <v>0</v>
      </c>
      <c r="AH320" s="525"/>
      <c r="AI320" s="525">
        <f>'HIV-Key Info'!$H$82*(('HIV-Key Info'!$E$82*'HPM costs'!N465)+('HIV-Key Info'!$F$82*('HPM costs'!N468+'HPM costs'!N471)))</f>
        <v>0</v>
      </c>
      <c r="AJ320" s="525"/>
      <c r="AK320" s="1154">
        <f t="shared" si="31"/>
        <v>0</v>
      </c>
      <c r="AL320" s="1155"/>
      <c r="AM320" s="1156"/>
      <c r="AN320" s="529"/>
      <c r="AO320" s="525"/>
      <c r="AP320" s="525">
        <f>'HIV-Key Info'!$H$82*(('HIV-Key Info'!$E$82*'HPM costs'!P465)+('HIV-Key Info'!$F$82*('HPM costs'!P468+'HPM costs'!P471)))</f>
        <v>0</v>
      </c>
      <c r="AQ320" s="525"/>
      <c r="AR320" s="525">
        <f>'HIV-Key Info'!$H$82*(('HIV-Key Info'!$E$82*'HPM costs'!Q465)+('HIV-Key Info'!$F$82*('HPM costs'!Q468+'HPM costs'!Q471)))</f>
        <v>0</v>
      </c>
      <c r="AS320" s="525"/>
      <c r="AT320" s="525">
        <f>'HIV-Key Info'!$H$82*(('HIV-Key Info'!$E$82*'HPM costs'!R465)+('HIV-Key Info'!$F$82*('HPM costs'!R468+'HPM costs'!R471)))</f>
        <v>0</v>
      </c>
      <c r="AU320" s="525"/>
      <c r="AV320" s="525">
        <f>'HIV-Key Info'!$H$82*(('HIV-Key Info'!$E$82*'HPM costs'!S465)+('HIV-Key Info'!$F$82*('HPM costs'!S468+'HPM costs'!S471)))</f>
        <v>0</v>
      </c>
      <c r="AW320" s="525"/>
      <c r="AX320" s="1154">
        <f t="shared" si="32"/>
        <v>0</v>
      </c>
      <c r="AY320" s="1154"/>
      <c r="AZ320" s="528"/>
      <c r="BA320" s="529"/>
      <c r="BB320" s="527"/>
      <c r="BC320" s="527">
        <v>0</v>
      </c>
      <c r="BD320" s="527">
        <v>0</v>
      </c>
      <c r="BE320" s="527">
        <v>0</v>
      </c>
      <c r="BF320" s="527">
        <v>0</v>
      </c>
      <c r="BG320" s="527">
        <v>0</v>
      </c>
      <c r="BH320" s="527">
        <v>0</v>
      </c>
      <c r="BI320" s="527">
        <v>0</v>
      </c>
      <c r="BJ320" s="527">
        <v>0</v>
      </c>
      <c r="BK320" s="1154">
        <f t="shared" si="33"/>
        <v>0</v>
      </c>
      <c r="BL320" s="1154"/>
      <c r="BM320" s="1154">
        <f t="shared" si="34"/>
        <v>0</v>
      </c>
      <c r="BN320" s="1154">
        <f t="shared" si="35"/>
        <v>0</v>
      </c>
      <c r="BO320" s="527"/>
      <c r="BP320" s="527"/>
      <c r="BQ320" s="1157" t="s">
        <v>91</v>
      </c>
      <c r="BR320" s="1157" t="s">
        <v>690</v>
      </c>
      <c r="BS320" s="1157" t="s">
        <v>527</v>
      </c>
      <c r="BT320" s="1376" t="s">
        <v>1624</v>
      </c>
    </row>
    <row r="321" spans="1:72" s="1371" customFormat="1" ht="13">
      <c r="A321" s="1204">
        <v>877</v>
      </c>
      <c r="B321" s="1205" t="s">
        <v>672</v>
      </c>
      <c r="C321" s="1205" t="s">
        <v>674</v>
      </c>
      <c r="D321" s="1206" t="s">
        <v>2508</v>
      </c>
      <c r="E321" s="1386" t="s">
        <v>536</v>
      </c>
      <c r="F321" s="521"/>
      <c r="G321" s="522"/>
      <c r="H321" s="522"/>
      <c r="I321" s="522"/>
      <c r="J321" s="523"/>
      <c r="K321" s="523"/>
      <c r="L321" s="523"/>
      <c r="M321" s="524"/>
      <c r="N321" s="525"/>
      <c r="O321" s="526" t="s">
        <v>1237</v>
      </c>
      <c r="P321" s="525">
        <f>'HIV-Key Info'!$H$82*(('HIV-Key Info'!$E$82*('HPM costs'!F205+'HPM costs'!F551))+('HIV-Key Info'!$F$82*('HPM costs'!F208+'HPM costs'!F211+'HPM costs'!F554+'HPM costs'!F557)))</f>
        <v>0</v>
      </c>
      <c r="Q321" s="525" t="s">
        <v>1237</v>
      </c>
      <c r="R321" s="525">
        <f>'HIV-Key Info'!$H$82*(('HIV-Key Info'!$E$82*('HPM costs'!G205+'HPM costs'!G551))+('HIV-Key Info'!$F$82*('HPM costs'!G208+'HPM costs'!G211+'HPM costs'!G554+'HPM costs'!G557)))</f>
        <v>0</v>
      </c>
      <c r="S321" s="525" t="s">
        <v>1237</v>
      </c>
      <c r="T321" s="525">
        <f>'HIV-Key Info'!$H$82*(('HIV-Key Info'!$E$82*('HPM costs'!H205+'HPM costs'!H551))+('HIV-Key Info'!$F$82*('HPM costs'!H208+'HPM costs'!H211+'HPM costs'!H554+'HPM costs'!H557)))</f>
        <v>0</v>
      </c>
      <c r="U321" s="525" t="s">
        <v>1237</v>
      </c>
      <c r="V321" s="525">
        <f>'HIV-Key Info'!$H$82*(('HIV-Key Info'!$E$82*('HPM costs'!I205+'HPM costs'!I551))+('HIV-Key Info'!$F$82*('HPM costs'!I208+'HPM costs'!I211+'HPM costs'!I554+'HPM costs'!I557)))</f>
        <v>0</v>
      </c>
      <c r="W321" s="525"/>
      <c r="X321" s="1154">
        <f t="shared" ref="X321:X384" si="36">P321+R321+T321+V321</f>
        <v>0</v>
      </c>
      <c r="Y321" s="1155"/>
      <c r="Z321" s="1156"/>
      <c r="AA321" s="529"/>
      <c r="AB321" s="525"/>
      <c r="AC321" s="525">
        <f>'HIV-Key Info'!$H$82*(('HIV-Key Info'!$E$82*('HPM costs'!K205+'HPM costs'!K551))+('HIV-Key Info'!$F$82*('HPM costs'!K208+'HPM costs'!K211+'HPM costs'!K554+'HPM costs'!K557)))</f>
        <v>0</v>
      </c>
      <c r="AD321" s="525"/>
      <c r="AE321" s="525">
        <f>'HIV-Key Info'!$H$82*(('HIV-Key Info'!$E$82*('HPM costs'!L205+'HPM costs'!L551))+('HIV-Key Info'!$F$82*('HPM costs'!L208+'HPM costs'!L211+'HPM costs'!L554+'HPM costs'!L557)))</f>
        <v>0</v>
      </c>
      <c r="AF321" s="525"/>
      <c r="AG321" s="525">
        <f>'HIV-Key Info'!$H$82*(('HIV-Key Info'!$E$82*('HPM costs'!M205+'HPM costs'!M551))+('HIV-Key Info'!$F$82*('HPM costs'!M208+'HPM costs'!M211+'HPM costs'!M554+'HPM costs'!M557)))</f>
        <v>0</v>
      </c>
      <c r="AH321" s="525"/>
      <c r="AI321" s="525">
        <f>'HIV-Key Info'!$H$82*(('HIV-Key Info'!$E$82*('HPM costs'!N205+'HPM costs'!N551))+('HIV-Key Info'!$F$82*('HPM costs'!N208+'HPM costs'!N211+'HPM costs'!N554+'HPM costs'!N557)))</f>
        <v>0</v>
      </c>
      <c r="AJ321" s="525"/>
      <c r="AK321" s="1154">
        <f t="shared" ref="AK321:AK384" si="37">AI321+AG321+AE321+AC321</f>
        <v>0</v>
      </c>
      <c r="AL321" s="1155"/>
      <c r="AM321" s="1156"/>
      <c r="AN321" s="529"/>
      <c r="AO321" s="525"/>
      <c r="AP321" s="525">
        <f>'HIV-Key Info'!$H$82*(('HIV-Key Info'!$E$82*('HPM costs'!P205+'HPM costs'!P551))+('HIV-Key Info'!$F$82*('HPM costs'!P208+'HPM costs'!P211+'HPM costs'!P554+'HPM costs'!P557)))</f>
        <v>0</v>
      </c>
      <c r="AQ321" s="525"/>
      <c r="AR321" s="525">
        <f>'HIV-Key Info'!$H$82*(('HIV-Key Info'!$E$82*('HPM costs'!Q205+'HPM costs'!Q551))+('HIV-Key Info'!$F$82*('HPM costs'!Q208+'HPM costs'!Q211+'HPM costs'!Q554+'HPM costs'!Q557)))</f>
        <v>0</v>
      </c>
      <c r="AS321" s="525"/>
      <c r="AT321" s="525">
        <f>'HIV-Key Info'!$H$82*(('HIV-Key Info'!$E$82*('HPM costs'!R205+'HPM costs'!R551))+('HIV-Key Info'!$F$82*('HPM costs'!R208+'HPM costs'!R211+'HPM costs'!R554+'HPM costs'!R557)))</f>
        <v>0</v>
      </c>
      <c r="AU321" s="525"/>
      <c r="AV321" s="525">
        <f>'HIV-Key Info'!$H$82*(('HIV-Key Info'!$E$82*('HPM costs'!S205+'HPM costs'!S551))+('HIV-Key Info'!$F$82*('HPM costs'!S208+'HPM costs'!S211+'HPM costs'!S554+'HPM costs'!S557)))</f>
        <v>0</v>
      </c>
      <c r="AW321" s="525"/>
      <c r="AX321" s="1154">
        <f t="shared" ref="AX321:AX384" si="38">AV321+AT321+AR321+AP321</f>
        <v>0</v>
      </c>
      <c r="AY321" s="1154"/>
      <c r="AZ321" s="528"/>
      <c r="BA321" s="529"/>
      <c r="BB321" s="527"/>
      <c r="BC321" s="527">
        <v>0</v>
      </c>
      <c r="BD321" s="527">
        <v>0</v>
      </c>
      <c r="BE321" s="527">
        <v>0</v>
      </c>
      <c r="BF321" s="527">
        <v>0</v>
      </c>
      <c r="BG321" s="527">
        <v>0</v>
      </c>
      <c r="BH321" s="527">
        <v>0</v>
      </c>
      <c r="BI321" s="527">
        <v>0</v>
      </c>
      <c r="BJ321" s="527">
        <v>0</v>
      </c>
      <c r="BK321" s="1154">
        <f t="shared" ref="BK321:BK384" si="39">BI321+BG321+BE321+BC321</f>
        <v>0</v>
      </c>
      <c r="BL321" s="1154"/>
      <c r="BM321" s="1154">
        <f t="shared" si="34"/>
        <v>0</v>
      </c>
      <c r="BN321" s="1154">
        <f t="shared" si="35"/>
        <v>0</v>
      </c>
      <c r="BO321" s="527"/>
      <c r="BP321" s="527"/>
      <c r="BQ321" s="1157" t="s">
        <v>91</v>
      </c>
      <c r="BR321" s="1157" t="s">
        <v>690</v>
      </c>
      <c r="BS321" s="1157" t="s">
        <v>527</v>
      </c>
      <c r="BT321" s="1376" t="s">
        <v>1625</v>
      </c>
    </row>
    <row r="322" spans="1:72" s="1371" customFormat="1" ht="13">
      <c r="A322" s="1204">
        <v>878</v>
      </c>
      <c r="B322" s="1205" t="s">
        <v>672</v>
      </c>
      <c r="C322" s="1205" t="s">
        <v>674</v>
      </c>
      <c r="D322" s="1206" t="s">
        <v>2508</v>
      </c>
      <c r="E322" s="1386" t="s">
        <v>538</v>
      </c>
      <c r="F322" s="521"/>
      <c r="G322" s="522"/>
      <c r="H322" s="522"/>
      <c r="I322" s="522"/>
      <c r="J322" s="523"/>
      <c r="K322" s="523"/>
      <c r="L322" s="523"/>
      <c r="M322" s="524"/>
      <c r="N322" s="525"/>
      <c r="O322" s="526" t="s">
        <v>1237</v>
      </c>
      <c r="P322" s="525">
        <f>'HIV-Key Info'!$H$82*(('HIV-Key Info'!$E$82*'HPM costs'!F291)+('HIV-Key Info'!$F$82*('HPM costs'!F294+'HPM costs'!F297)))</f>
        <v>0</v>
      </c>
      <c r="Q322" s="525" t="s">
        <v>1237</v>
      </c>
      <c r="R322" s="525">
        <f>'HIV-Key Info'!$H$82*(('HIV-Key Info'!$E$82*'HPM costs'!G291)+('HIV-Key Info'!$F$82*('HPM costs'!G294+'HPM costs'!G297)))</f>
        <v>0</v>
      </c>
      <c r="S322" s="525" t="s">
        <v>1237</v>
      </c>
      <c r="T322" s="525">
        <f>'HIV-Key Info'!$H$82*(('HIV-Key Info'!$E$82*'HPM costs'!H291)+('HIV-Key Info'!$F$82*('HPM costs'!H294+'HPM costs'!H297)))</f>
        <v>0</v>
      </c>
      <c r="U322" s="525" t="s">
        <v>1237</v>
      </c>
      <c r="V322" s="525">
        <f>'HIV-Key Info'!$H$82*(('HIV-Key Info'!$E$82*'HPM costs'!I291)+('HIV-Key Info'!$F$82*('HPM costs'!I294+'HPM costs'!I297)))</f>
        <v>0</v>
      </c>
      <c r="W322" s="525"/>
      <c r="X322" s="1154">
        <f t="shared" si="36"/>
        <v>0</v>
      </c>
      <c r="Y322" s="1155"/>
      <c r="Z322" s="1156"/>
      <c r="AA322" s="529"/>
      <c r="AB322" s="525"/>
      <c r="AC322" s="525">
        <f>'HIV-Key Info'!$H$82*(('HIV-Key Info'!$E$82*'HPM costs'!K291)+('HIV-Key Info'!$F$82*('HPM costs'!K294+'HPM costs'!K297)))</f>
        <v>0</v>
      </c>
      <c r="AD322" s="525"/>
      <c r="AE322" s="525">
        <f>'HIV-Key Info'!$H$82*(('HIV-Key Info'!$E$82*'HPM costs'!L291)+('HIV-Key Info'!$F$82*('HPM costs'!L294+'HPM costs'!L297)))</f>
        <v>0</v>
      </c>
      <c r="AF322" s="525"/>
      <c r="AG322" s="525">
        <f>'HIV-Key Info'!$H$82*(('HIV-Key Info'!$E$82*'HPM costs'!M291)+('HIV-Key Info'!$F$82*('HPM costs'!M294+'HPM costs'!M297)))</f>
        <v>0</v>
      </c>
      <c r="AH322" s="525"/>
      <c r="AI322" s="525">
        <f>'HIV-Key Info'!$H$82*(('HIV-Key Info'!$E$82*'HPM costs'!N291)+('HIV-Key Info'!$F$82*('HPM costs'!N294+'HPM costs'!N297)))</f>
        <v>0</v>
      </c>
      <c r="AJ322" s="525"/>
      <c r="AK322" s="1154">
        <f t="shared" si="37"/>
        <v>0</v>
      </c>
      <c r="AL322" s="1155"/>
      <c r="AM322" s="1156"/>
      <c r="AN322" s="529"/>
      <c r="AO322" s="525"/>
      <c r="AP322" s="525">
        <f>'HIV-Key Info'!$H$82*(('HIV-Key Info'!$E$82*'HPM costs'!P291)+('HIV-Key Info'!$F$82*('HPM costs'!P294+'HPM costs'!P297)))</f>
        <v>0</v>
      </c>
      <c r="AQ322" s="525"/>
      <c r="AR322" s="525">
        <f>'HIV-Key Info'!$H$82*(('HIV-Key Info'!$E$82*'HPM costs'!Q291)+('HIV-Key Info'!$F$82*('HPM costs'!Q294+'HPM costs'!Q297)))</f>
        <v>0</v>
      </c>
      <c r="AS322" s="525"/>
      <c r="AT322" s="525">
        <f>'HIV-Key Info'!$H$82*(('HIV-Key Info'!$E$82*'HPM costs'!R291)+('HIV-Key Info'!$F$82*('HPM costs'!R294+'HPM costs'!R297)))</f>
        <v>0</v>
      </c>
      <c r="AU322" s="525"/>
      <c r="AV322" s="525">
        <f>'HIV-Key Info'!$H$82*(('HIV-Key Info'!$E$82*'HPM costs'!S291)+('HIV-Key Info'!$F$82*('HPM costs'!S294+'HPM costs'!S297)))</f>
        <v>0</v>
      </c>
      <c r="AW322" s="525"/>
      <c r="AX322" s="1154">
        <f t="shared" si="38"/>
        <v>0</v>
      </c>
      <c r="AY322" s="1154"/>
      <c r="AZ322" s="528"/>
      <c r="BA322" s="529"/>
      <c r="BB322" s="527"/>
      <c r="BC322" s="527">
        <v>0</v>
      </c>
      <c r="BD322" s="527">
        <v>0</v>
      </c>
      <c r="BE322" s="527">
        <v>0</v>
      </c>
      <c r="BF322" s="527">
        <v>0</v>
      </c>
      <c r="BG322" s="527">
        <v>0</v>
      </c>
      <c r="BH322" s="527">
        <v>0</v>
      </c>
      <c r="BI322" s="527">
        <v>0</v>
      </c>
      <c r="BJ322" s="527">
        <v>0</v>
      </c>
      <c r="BK322" s="1154">
        <f t="shared" si="39"/>
        <v>0</v>
      </c>
      <c r="BL322" s="1154"/>
      <c r="BM322" s="1154">
        <f t="shared" ref="BM322:BM385" si="40">BJ322+AW322+AJ322+W322</f>
        <v>0</v>
      </c>
      <c r="BN322" s="1154">
        <f t="shared" ref="BN322:BN385" si="41">BK322+AX322+AK322+X322</f>
        <v>0</v>
      </c>
      <c r="BO322" s="527"/>
      <c r="BP322" s="527"/>
      <c r="BQ322" s="1157" t="s">
        <v>91</v>
      </c>
      <c r="BR322" s="1157" t="s">
        <v>690</v>
      </c>
      <c r="BS322" s="1157" t="s">
        <v>527</v>
      </c>
      <c r="BT322" s="1376" t="s">
        <v>1626</v>
      </c>
    </row>
    <row r="323" spans="1:72" s="1371" customFormat="1" ht="13">
      <c r="A323" s="1204">
        <v>879</v>
      </c>
      <c r="B323" s="1205" t="s">
        <v>672</v>
      </c>
      <c r="C323" s="1205" t="s">
        <v>674</v>
      </c>
      <c r="D323" s="1206" t="s">
        <v>2508</v>
      </c>
      <c r="E323" s="1386" t="s">
        <v>540</v>
      </c>
      <c r="F323" s="521"/>
      <c r="G323" s="522"/>
      <c r="H323" s="522"/>
      <c r="I323" s="522"/>
      <c r="J323" s="523"/>
      <c r="K323" s="523"/>
      <c r="L323" s="523"/>
      <c r="M323" s="524"/>
      <c r="N323" s="525"/>
      <c r="O323" s="526" t="s">
        <v>1237</v>
      </c>
      <c r="P323" s="525">
        <f>'HIV-Key Info'!$H$82*(('HIV-Key Info'!$E$82*'HPM costs'!F636)+('HIV-Key Info'!$F$82*('HPM costs'!F639+'HPM costs'!F642)))</f>
        <v>0</v>
      </c>
      <c r="Q323" s="525" t="s">
        <v>1237</v>
      </c>
      <c r="R323" s="525">
        <f>'HIV-Key Info'!$H$82*(('HIV-Key Info'!$E$82*'HPM costs'!G636)+('HIV-Key Info'!$F$82*('HPM costs'!G639+'HPM costs'!G642)))</f>
        <v>0</v>
      </c>
      <c r="S323" s="525" t="s">
        <v>1237</v>
      </c>
      <c r="T323" s="525">
        <f>'HIV-Key Info'!$H$82*(('HIV-Key Info'!$E$82*'HPM costs'!H636)+('HIV-Key Info'!$F$82*('HPM costs'!H639+'HPM costs'!H642)))</f>
        <v>0</v>
      </c>
      <c r="U323" s="525" t="s">
        <v>1237</v>
      </c>
      <c r="V323" s="525">
        <f>'HIV-Key Info'!$H$82*(('HIV-Key Info'!$E$82*'HPM costs'!I636)+('HIV-Key Info'!$F$82*('HPM costs'!I639+'HPM costs'!I642)))</f>
        <v>0</v>
      </c>
      <c r="W323" s="525"/>
      <c r="X323" s="1154">
        <f t="shared" si="36"/>
        <v>0</v>
      </c>
      <c r="Y323" s="1155"/>
      <c r="Z323" s="1156"/>
      <c r="AA323" s="529"/>
      <c r="AB323" s="525"/>
      <c r="AC323" s="525">
        <f>'HIV-Key Info'!$H$82*(('HIV-Key Info'!$E$82*'HPM costs'!K636)+('HIV-Key Info'!$F$82*('HPM costs'!K639+'HPM costs'!K642)))</f>
        <v>0</v>
      </c>
      <c r="AD323" s="525"/>
      <c r="AE323" s="525">
        <f>'HIV-Key Info'!$H$82*(('HIV-Key Info'!$E$82*'HPM costs'!L636)+('HIV-Key Info'!$F$82*('HPM costs'!L639+'HPM costs'!L642)))</f>
        <v>0</v>
      </c>
      <c r="AF323" s="525"/>
      <c r="AG323" s="525">
        <f>'HIV-Key Info'!$H$82*(('HIV-Key Info'!$E$82*'HPM costs'!M636)+('HIV-Key Info'!$F$82*('HPM costs'!M639+'HPM costs'!M642)))</f>
        <v>0</v>
      </c>
      <c r="AH323" s="525"/>
      <c r="AI323" s="525">
        <f>'HIV-Key Info'!$H$82*(('HIV-Key Info'!$E$82*'HPM costs'!N636)+('HIV-Key Info'!$F$82*('HPM costs'!N639+'HPM costs'!N642)))</f>
        <v>0</v>
      </c>
      <c r="AJ323" s="525"/>
      <c r="AK323" s="1154">
        <f t="shared" si="37"/>
        <v>0</v>
      </c>
      <c r="AL323" s="1155"/>
      <c r="AM323" s="1156"/>
      <c r="AN323" s="529"/>
      <c r="AO323" s="525"/>
      <c r="AP323" s="525">
        <f>'HIV-Key Info'!$H$82*(('HIV-Key Info'!$E$82*'HPM costs'!P636)+('HIV-Key Info'!$F$82*('HPM costs'!P639+'HPM costs'!P642)))</f>
        <v>0</v>
      </c>
      <c r="AQ323" s="525"/>
      <c r="AR323" s="525">
        <f>'HIV-Key Info'!$H$82*(('HIV-Key Info'!$E$82*'HPM costs'!Q636)+('HIV-Key Info'!$F$82*('HPM costs'!Q639+'HPM costs'!Q642)))</f>
        <v>0</v>
      </c>
      <c r="AS323" s="525"/>
      <c r="AT323" s="525">
        <f>'HIV-Key Info'!$H$82*(('HIV-Key Info'!$E$82*'HPM costs'!R636)+('HIV-Key Info'!$F$82*('HPM costs'!R639+'HPM costs'!R642)))</f>
        <v>0</v>
      </c>
      <c r="AU323" s="525"/>
      <c r="AV323" s="525">
        <f>'HIV-Key Info'!$H$82*(('HIV-Key Info'!$E$82*'HPM costs'!S636)+('HIV-Key Info'!$F$82*('HPM costs'!S639+'HPM costs'!S642)))</f>
        <v>0</v>
      </c>
      <c r="AW323" s="525"/>
      <c r="AX323" s="1154">
        <f t="shared" si="38"/>
        <v>0</v>
      </c>
      <c r="AY323" s="1154"/>
      <c r="AZ323" s="528"/>
      <c r="BA323" s="529"/>
      <c r="BB323" s="527"/>
      <c r="BC323" s="527">
        <v>0</v>
      </c>
      <c r="BD323" s="527">
        <v>0</v>
      </c>
      <c r="BE323" s="527">
        <v>0</v>
      </c>
      <c r="BF323" s="527">
        <v>0</v>
      </c>
      <c r="BG323" s="527">
        <v>0</v>
      </c>
      <c r="BH323" s="527">
        <v>0</v>
      </c>
      <c r="BI323" s="527">
        <v>0</v>
      </c>
      <c r="BJ323" s="527">
        <v>0</v>
      </c>
      <c r="BK323" s="1154">
        <f t="shared" si="39"/>
        <v>0</v>
      </c>
      <c r="BL323" s="1154"/>
      <c r="BM323" s="1154">
        <f t="shared" si="40"/>
        <v>0</v>
      </c>
      <c r="BN323" s="1154">
        <f t="shared" si="41"/>
        <v>0</v>
      </c>
      <c r="BO323" s="527"/>
      <c r="BP323" s="527"/>
      <c r="BQ323" s="1157" t="s">
        <v>91</v>
      </c>
      <c r="BR323" s="1157" t="s">
        <v>690</v>
      </c>
      <c r="BS323" s="1157" t="s">
        <v>527</v>
      </c>
      <c r="BT323" s="1376" t="s">
        <v>1627</v>
      </c>
    </row>
    <row r="324" spans="1:72" s="1371" customFormat="1" ht="13">
      <c r="A324" s="1204">
        <v>880</v>
      </c>
      <c r="B324" s="1205" t="s">
        <v>672</v>
      </c>
      <c r="C324" s="1205" t="s">
        <v>675</v>
      </c>
      <c r="D324" s="1206" t="s">
        <v>2572</v>
      </c>
      <c r="E324" s="1386" t="s">
        <v>603</v>
      </c>
      <c r="F324" s="521"/>
      <c r="G324" s="522"/>
      <c r="H324" s="522"/>
      <c r="I324" s="522"/>
      <c r="J324" s="523"/>
      <c r="K324" s="523"/>
      <c r="L324" s="523"/>
      <c r="M324" s="524"/>
      <c r="N324" s="525"/>
      <c r="O324" s="526" t="s">
        <v>1237</v>
      </c>
      <c r="P324" s="525">
        <f>'HIV-Key Info'!$I$82*('HIV-Key Info'!$E$82*('HPM costs'!F119/'HPM costs'!$E$119)+'HIV-Key Info'!$F$82*('HPM costs'!F125/'HPM costs'!$E$125+'HPM costs'!F122/'HPM costs'!$E$122))</f>
        <v>0</v>
      </c>
      <c r="Q324" s="525" t="s">
        <v>1237</v>
      </c>
      <c r="R324" s="525">
        <f>'HIV-Key Info'!$I$82*('HIV-Key Info'!$E$82*('HPM costs'!G119/'HPM costs'!$E$119)+'HIV-Key Info'!$F$82*('HPM costs'!G125/'HPM costs'!$E$125+'HPM costs'!G122/'HPM costs'!$E$122))</f>
        <v>1728.88046904</v>
      </c>
      <c r="S324" s="525" t="s">
        <v>1237</v>
      </c>
      <c r="T324" s="525">
        <f>'HIV-Key Info'!$I$82*('HIV-Key Info'!$E$82*('HPM costs'!H119/'HPM costs'!$E$119)+'HIV-Key Info'!$F$82*('HPM costs'!H125/'HPM costs'!$E$125+'HPM costs'!H122/'HPM costs'!$E$122))</f>
        <v>0</v>
      </c>
      <c r="U324" s="525" t="s">
        <v>1237</v>
      </c>
      <c r="V324" s="525">
        <f>'HIV-Key Info'!$I$82*('HIV-Key Info'!$E$82*('HPM costs'!I119/'HPM costs'!$E$119)+'HIV-Key Info'!$F$82*('HPM costs'!I125/'HPM costs'!$E$125+'HPM costs'!I122/'HPM costs'!$E$122))</f>
        <v>0</v>
      </c>
      <c r="W324" s="525"/>
      <c r="X324" s="1154">
        <f t="shared" si="36"/>
        <v>1728.88046904</v>
      </c>
      <c r="Y324" s="1155"/>
      <c r="Z324" s="1156"/>
      <c r="AA324" s="529"/>
      <c r="AB324" s="525"/>
      <c r="AC324" s="525">
        <f>'HIV-Key Info'!$I$82*('HIV-Key Info'!$E$82*('HPM costs'!K119/'HPM costs'!$E$119)+'HIV-Key Info'!$F$82*('HPM costs'!K125/'HPM costs'!$E$125+'HPM costs'!K122/'HPM costs'!$E$122))</f>
        <v>0</v>
      </c>
      <c r="AD324" s="525"/>
      <c r="AE324" s="525">
        <f>'HIV-Key Info'!$I$82*('HIV-Key Info'!$E$82*('HPM costs'!L119/'HPM costs'!$E$119)+'HIV-Key Info'!$F$82*('HPM costs'!L125/'HPM costs'!$E$125+'HPM costs'!L122/'HPM costs'!$E$122))</f>
        <v>1806.2048450352002</v>
      </c>
      <c r="AF324" s="525"/>
      <c r="AG324" s="525">
        <f>'HIV-Key Info'!$I$82*('HIV-Key Info'!$E$82*('HPM costs'!M119/'HPM costs'!$E$119)+'HIV-Key Info'!$F$82*('HPM costs'!M125/'HPM costs'!$E$125+'HPM costs'!M122/'HPM costs'!$E$122))</f>
        <v>0</v>
      </c>
      <c r="AH324" s="525"/>
      <c r="AI324" s="525">
        <f>'HIV-Key Info'!$I$82*('HIV-Key Info'!$E$82*('HPM costs'!N119/'HPM costs'!$E$119)+'HIV-Key Info'!$F$82*('HPM costs'!N125/'HPM costs'!$E$125+'HPM costs'!N122/'HPM costs'!$E$122))</f>
        <v>0</v>
      </c>
      <c r="AJ324" s="525"/>
      <c r="AK324" s="1154">
        <f t="shared" si="37"/>
        <v>1806.2048450352002</v>
      </c>
      <c r="AL324" s="1155"/>
      <c r="AM324" s="1156"/>
      <c r="AN324" s="529"/>
      <c r="AO324" s="525"/>
      <c r="AP324" s="525">
        <f>'HIV-Key Info'!$I$82*('HIV-Key Info'!$E$82*('HPM costs'!P119/'HPM costs'!$E$119)+'HIV-Key Info'!$F$82*('HPM costs'!P125/'HPM costs'!$E$125+'HPM costs'!P122/'HPM costs'!$E$122))</f>
        <v>0</v>
      </c>
      <c r="AQ324" s="525"/>
      <c r="AR324" s="525">
        <f>'HIV-Key Info'!$I$82*('HIV-Key Info'!$E$82*('HPM costs'!Q119/'HPM costs'!$E$119)+'HIV-Key Info'!$F$82*('HPM costs'!Q125/'HPM costs'!$E$125+'HPM costs'!Q122/'HPM costs'!$E$122))</f>
        <v>1922.4273341232001</v>
      </c>
      <c r="AS324" s="525"/>
      <c r="AT324" s="525">
        <f>'HIV-Key Info'!$I$82*('HIV-Key Info'!$E$82*('HPM costs'!R119/'HPM costs'!$E$119)+'HIV-Key Info'!$F$82*('HPM costs'!R125/'HPM costs'!$E$125+'HPM costs'!R122/'HPM costs'!$E$122))</f>
        <v>0</v>
      </c>
      <c r="AU324" s="525"/>
      <c r="AV324" s="525">
        <f>'HIV-Key Info'!$I$82*('HIV-Key Info'!$E$82*('HPM costs'!S119/'HPM costs'!$E$119)+'HIV-Key Info'!$F$82*('HPM costs'!S125/'HPM costs'!$E$125+'HPM costs'!S122/'HPM costs'!$E$122))</f>
        <v>0</v>
      </c>
      <c r="AW324" s="525"/>
      <c r="AX324" s="1154">
        <f t="shared" si="38"/>
        <v>1922.4273341232001</v>
      </c>
      <c r="AY324" s="1154"/>
      <c r="AZ324" s="528"/>
      <c r="BA324" s="529"/>
      <c r="BB324" s="527"/>
      <c r="BC324" s="527">
        <v>0</v>
      </c>
      <c r="BD324" s="527">
        <v>0</v>
      </c>
      <c r="BE324" s="527">
        <v>0</v>
      </c>
      <c r="BF324" s="527">
        <v>0</v>
      </c>
      <c r="BG324" s="527">
        <v>0</v>
      </c>
      <c r="BH324" s="527">
        <v>0</v>
      </c>
      <c r="BI324" s="527">
        <v>0</v>
      </c>
      <c r="BJ324" s="527">
        <v>0</v>
      </c>
      <c r="BK324" s="1154">
        <f t="shared" si="39"/>
        <v>0</v>
      </c>
      <c r="BL324" s="1154"/>
      <c r="BM324" s="1154">
        <f t="shared" si="40"/>
        <v>0</v>
      </c>
      <c r="BN324" s="1154">
        <f t="shared" si="41"/>
        <v>5457.5126481984007</v>
      </c>
      <c r="BO324" s="527"/>
      <c r="BP324" s="527"/>
      <c r="BQ324" s="1157" t="s">
        <v>91</v>
      </c>
      <c r="BR324" s="1157" t="s">
        <v>690</v>
      </c>
      <c r="BS324" s="1157" t="s">
        <v>2570</v>
      </c>
      <c r="BT324" s="1376" t="s">
        <v>1628</v>
      </c>
    </row>
    <row r="325" spans="1:72" s="1371" customFormat="1" ht="13">
      <c r="A325" s="1204">
        <v>881</v>
      </c>
      <c r="B325" s="1205" t="s">
        <v>672</v>
      </c>
      <c r="C325" s="1205" t="s">
        <v>675</v>
      </c>
      <c r="D325" s="1206" t="s">
        <v>2508</v>
      </c>
      <c r="E325" s="1386" t="s">
        <v>528</v>
      </c>
      <c r="F325" s="521"/>
      <c r="G325" s="522"/>
      <c r="H325" s="522"/>
      <c r="I325" s="522"/>
      <c r="J325" s="523"/>
      <c r="K325" s="523"/>
      <c r="L325" s="523"/>
      <c r="M325" s="524"/>
      <c r="N325" s="525"/>
      <c r="O325" s="526" t="s">
        <v>1237</v>
      </c>
      <c r="P325" s="525">
        <f>'HIV-Key Info'!$I$82*(('HIV-Key Info'!$E$82*'HPM costs'!F33)+('HIV-Key Info'!$F$82*('HPM costs'!F36+'HPM costs'!F39)))</f>
        <v>0</v>
      </c>
      <c r="Q325" s="525" t="s">
        <v>1237</v>
      </c>
      <c r="R325" s="525">
        <f>'HIV-Key Info'!$I$82*(('HIV-Key Info'!$E$82*'HPM costs'!G33)+('HIV-Key Info'!$F$82*('HPM costs'!G36+'HPM costs'!G39)))</f>
        <v>103.7328281424</v>
      </c>
      <c r="S325" s="525" t="s">
        <v>1237</v>
      </c>
      <c r="T325" s="525">
        <f>'HIV-Key Info'!$I$82*(('HIV-Key Info'!$E$82*'HPM costs'!H33)+('HIV-Key Info'!$F$82*('HPM costs'!H36+'HPM costs'!H39)))</f>
        <v>0</v>
      </c>
      <c r="U325" s="525" t="s">
        <v>1237</v>
      </c>
      <c r="V325" s="525">
        <f>'HIV-Key Info'!$I$82*(('HIV-Key Info'!$E$82*'HPM costs'!I33)+('HIV-Key Info'!$F$82*('HPM costs'!I36+'HPM costs'!I39)))</f>
        <v>0</v>
      </c>
      <c r="W325" s="525"/>
      <c r="X325" s="1154">
        <f t="shared" si="36"/>
        <v>103.7328281424</v>
      </c>
      <c r="Y325" s="1155"/>
      <c r="Z325" s="1156"/>
      <c r="AA325" s="529"/>
      <c r="AB325" s="525"/>
      <c r="AC325" s="525">
        <f>'HIV-Key Info'!$I$82*(('HIV-Key Info'!$E$82*'HPM costs'!K33)+('HIV-Key Info'!$F$82*('HPM costs'!K36+'HPM costs'!K39)))</f>
        <v>0</v>
      </c>
      <c r="AD325" s="525"/>
      <c r="AE325" s="525">
        <f>'HIV-Key Info'!$I$82*(('HIV-Key Info'!$E$82*'HPM costs'!L33)+('HIV-Key Info'!$F$82*('HPM costs'!L36+'HPM costs'!L39)))</f>
        <v>108.37229070211201</v>
      </c>
      <c r="AF325" s="525"/>
      <c r="AG325" s="525">
        <f>'HIV-Key Info'!$I$82*(('HIV-Key Info'!$E$82*'HPM costs'!M33)+('HIV-Key Info'!$F$82*('HPM costs'!M36+'HPM costs'!M39)))</f>
        <v>0</v>
      </c>
      <c r="AH325" s="525"/>
      <c r="AI325" s="525">
        <f>'HIV-Key Info'!$I$82*(('HIV-Key Info'!$E$82*'HPM costs'!N33)+('HIV-Key Info'!$F$82*('HPM costs'!N36+'HPM costs'!N39)))</f>
        <v>0</v>
      </c>
      <c r="AJ325" s="525"/>
      <c r="AK325" s="1154">
        <f t="shared" si="37"/>
        <v>108.37229070211201</v>
      </c>
      <c r="AL325" s="1155"/>
      <c r="AM325" s="1156"/>
      <c r="AN325" s="529"/>
      <c r="AO325" s="525"/>
      <c r="AP325" s="525">
        <f>'HIV-Key Info'!$I$82*(('HIV-Key Info'!$E$82*'HPM costs'!P33)+('HIV-Key Info'!$F$82*('HPM costs'!P36+'HPM costs'!P39)))</f>
        <v>0</v>
      </c>
      <c r="AQ325" s="525"/>
      <c r="AR325" s="525">
        <f>'HIV-Key Info'!$I$82*(('HIV-Key Info'!$E$82*'HPM costs'!Q33)+('HIV-Key Info'!$F$82*('HPM costs'!Q36+'HPM costs'!Q39)))</f>
        <v>115.34564004739201</v>
      </c>
      <c r="AS325" s="525"/>
      <c r="AT325" s="525">
        <f>'HIV-Key Info'!$I$82*(('HIV-Key Info'!$E$82*'HPM costs'!R33)+('HIV-Key Info'!$F$82*('HPM costs'!R36+'HPM costs'!R39)))</f>
        <v>0</v>
      </c>
      <c r="AU325" s="525"/>
      <c r="AV325" s="525">
        <f>'HIV-Key Info'!$I$82*(('HIV-Key Info'!$E$82*'HPM costs'!S33)+('HIV-Key Info'!$F$82*('HPM costs'!S36+'HPM costs'!S39)))</f>
        <v>0</v>
      </c>
      <c r="AW325" s="525"/>
      <c r="AX325" s="1154">
        <f t="shared" si="38"/>
        <v>115.34564004739201</v>
      </c>
      <c r="AY325" s="1154"/>
      <c r="AZ325" s="528"/>
      <c r="BA325" s="529"/>
      <c r="BB325" s="527"/>
      <c r="BC325" s="527">
        <v>0</v>
      </c>
      <c r="BD325" s="527">
        <v>0</v>
      </c>
      <c r="BE325" s="527">
        <v>0</v>
      </c>
      <c r="BF325" s="527">
        <v>0</v>
      </c>
      <c r="BG325" s="527">
        <v>0</v>
      </c>
      <c r="BH325" s="527">
        <v>0</v>
      </c>
      <c r="BI325" s="527">
        <v>0</v>
      </c>
      <c r="BJ325" s="527">
        <v>0</v>
      </c>
      <c r="BK325" s="1154">
        <f t="shared" si="39"/>
        <v>0</v>
      </c>
      <c r="BL325" s="1154"/>
      <c r="BM325" s="1154">
        <f t="shared" si="40"/>
        <v>0</v>
      </c>
      <c r="BN325" s="1154">
        <f t="shared" si="41"/>
        <v>327.450758891904</v>
      </c>
      <c r="BO325" s="527"/>
      <c r="BP325" s="527" t="s">
        <v>4303</v>
      </c>
      <c r="BQ325" s="1157" t="s">
        <v>91</v>
      </c>
      <c r="BR325" s="1157" t="s">
        <v>690</v>
      </c>
      <c r="BS325" s="1157" t="s">
        <v>527</v>
      </c>
      <c r="BT325" s="1376" t="s">
        <v>1629</v>
      </c>
    </row>
    <row r="326" spans="1:72" s="1371" customFormat="1" ht="13">
      <c r="A326" s="1204">
        <v>882</v>
      </c>
      <c r="B326" s="1205" t="s">
        <v>672</v>
      </c>
      <c r="C326" s="1205" t="s">
        <v>675</v>
      </c>
      <c r="D326" s="1206" t="s">
        <v>2508</v>
      </c>
      <c r="E326" s="1386" t="s">
        <v>530</v>
      </c>
      <c r="F326" s="521"/>
      <c r="G326" s="522"/>
      <c r="H326" s="522"/>
      <c r="I326" s="522"/>
      <c r="J326" s="523"/>
      <c r="K326" s="523"/>
      <c r="L326" s="523"/>
      <c r="M326" s="524"/>
      <c r="N326" s="525"/>
      <c r="O326" s="526" t="s">
        <v>1237</v>
      </c>
      <c r="P326" s="525">
        <f>'HIV-Key Info'!$I$82*(('HIV-Key Info'!$E$82*'HPM costs'!F119)+('HIV-Key Info'!$F$82*('HPM costs'!F122+'HPM costs'!F125)))</f>
        <v>0</v>
      </c>
      <c r="Q326" s="525" t="s">
        <v>1237</v>
      </c>
      <c r="R326" s="525">
        <f>'HIV-Key Info'!$I$82*(('HIV-Key Info'!$E$82*'HPM costs'!G119)+('HIV-Key Info'!$F$82*('HPM costs'!G122+'HPM costs'!G125)))</f>
        <v>1.7288804690400001E-13</v>
      </c>
      <c r="S326" s="525" t="s">
        <v>1237</v>
      </c>
      <c r="T326" s="525">
        <f>'HIV-Key Info'!$I$82*(('HIV-Key Info'!$E$82*'HPM costs'!H119)+('HIV-Key Info'!$F$82*('HPM costs'!H122+'HPM costs'!H125)))</f>
        <v>0</v>
      </c>
      <c r="U326" s="525" t="s">
        <v>1237</v>
      </c>
      <c r="V326" s="525">
        <f>'HIV-Key Info'!$I$82*(('HIV-Key Info'!$E$82*'HPM costs'!I119)+('HIV-Key Info'!$F$82*('HPM costs'!I122+'HPM costs'!I125)))</f>
        <v>0</v>
      </c>
      <c r="W326" s="525"/>
      <c r="X326" s="1154">
        <f t="shared" si="36"/>
        <v>1.7288804690400001E-13</v>
      </c>
      <c r="Y326" s="1155"/>
      <c r="Z326" s="1156"/>
      <c r="AA326" s="529"/>
      <c r="AB326" s="525"/>
      <c r="AC326" s="525">
        <f>'HIV-Key Info'!$I$82*(('HIV-Key Info'!$E$82*'HPM costs'!K119)+('HIV-Key Info'!$F$82*('HPM costs'!K122+'HPM costs'!K125)))</f>
        <v>0</v>
      </c>
      <c r="AD326" s="525"/>
      <c r="AE326" s="525">
        <f>'HIV-Key Info'!$I$82*(('HIV-Key Info'!$E$82*'HPM costs'!L119)+('HIV-Key Info'!$F$82*('HPM costs'!L122+'HPM costs'!L125)))</f>
        <v>1.8062048450352E-13</v>
      </c>
      <c r="AF326" s="525"/>
      <c r="AG326" s="525">
        <f>'HIV-Key Info'!$I$82*(('HIV-Key Info'!$E$82*'HPM costs'!M119)+('HIV-Key Info'!$F$82*('HPM costs'!M122+'HPM costs'!M125)))</f>
        <v>0</v>
      </c>
      <c r="AH326" s="525"/>
      <c r="AI326" s="525">
        <f>'HIV-Key Info'!$I$82*(('HIV-Key Info'!$E$82*'HPM costs'!N119)+('HIV-Key Info'!$F$82*('HPM costs'!N122+'HPM costs'!N125)))</f>
        <v>0</v>
      </c>
      <c r="AJ326" s="525"/>
      <c r="AK326" s="1154">
        <f t="shared" si="37"/>
        <v>1.8062048450352E-13</v>
      </c>
      <c r="AL326" s="1155"/>
      <c r="AM326" s="1156"/>
      <c r="AN326" s="529"/>
      <c r="AO326" s="525"/>
      <c r="AP326" s="525">
        <f>'HIV-Key Info'!$I$82*(('HIV-Key Info'!$E$82*'HPM costs'!P119)+('HIV-Key Info'!$F$82*('HPM costs'!P122+'HPM costs'!P125)))</f>
        <v>0</v>
      </c>
      <c r="AQ326" s="525"/>
      <c r="AR326" s="525">
        <f>'HIV-Key Info'!$I$82*(('HIV-Key Info'!$E$82*'HPM costs'!Q119)+('HIV-Key Info'!$F$82*('HPM costs'!Q122+'HPM costs'!Q125)))</f>
        <v>1.9224273341231998E-13</v>
      </c>
      <c r="AS326" s="525"/>
      <c r="AT326" s="525">
        <f>'HIV-Key Info'!$I$82*(('HIV-Key Info'!$E$82*'HPM costs'!R119)+('HIV-Key Info'!$F$82*('HPM costs'!R122+'HPM costs'!R125)))</f>
        <v>0</v>
      </c>
      <c r="AU326" s="525"/>
      <c r="AV326" s="525">
        <f>'HIV-Key Info'!$I$82*(('HIV-Key Info'!$E$82*'HPM costs'!S119)+('HIV-Key Info'!$F$82*('HPM costs'!S122+'HPM costs'!S125)))</f>
        <v>0</v>
      </c>
      <c r="AW326" s="525"/>
      <c r="AX326" s="1154">
        <f t="shared" si="38"/>
        <v>1.9224273341231998E-13</v>
      </c>
      <c r="AY326" s="1154"/>
      <c r="AZ326" s="528"/>
      <c r="BA326" s="529"/>
      <c r="BB326" s="527"/>
      <c r="BC326" s="527">
        <v>0</v>
      </c>
      <c r="BD326" s="527">
        <v>0</v>
      </c>
      <c r="BE326" s="527">
        <v>0</v>
      </c>
      <c r="BF326" s="527">
        <v>0</v>
      </c>
      <c r="BG326" s="527">
        <v>0</v>
      </c>
      <c r="BH326" s="527">
        <v>0</v>
      </c>
      <c r="BI326" s="527">
        <v>0</v>
      </c>
      <c r="BJ326" s="527">
        <v>0</v>
      </c>
      <c r="BK326" s="1154">
        <f t="shared" si="39"/>
        <v>0</v>
      </c>
      <c r="BL326" s="1154"/>
      <c r="BM326" s="1154">
        <f t="shared" si="40"/>
        <v>0</v>
      </c>
      <c r="BN326" s="1154">
        <f t="shared" si="41"/>
        <v>5.4575126481984004E-13</v>
      </c>
      <c r="BO326" s="527"/>
      <c r="BP326" s="527"/>
      <c r="BQ326" s="1157" t="s">
        <v>91</v>
      </c>
      <c r="BR326" s="1157" t="s">
        <v>690</v>
      </c>
      <c r="BS326" s="1157" t="s">
        <v>527</v>
      </c>
      <c r="BT326" s="1376" t="s">
        <v>1630</v>
      </c>
    </row>
    <row r="327" spans="1:72" s="1371" customFormat="1" ht="13">
      <c r="A327" s="1204">
        <v>883</v>
      </c>
      <c r="B327" s="1205" t="s">
        <v>672</v>
      </c>
      <c r="C327" s="1205" t="s">
        <v>675</v>
      </c>
      <c r="D327" s="1206" t="s">
        <v>2508</v>
      </c>
      <c r="E327" s="1386" t="s">
        <v>532</v>
      </c>
      <c r="F327" s="521"/>
      <c r="G327" s="522"/>
      <c r="H327" s="522"/>
      <c r="I327" s="522"/>
      <c r="J327" s="523"/>
      <c r="K327" s="523"/>
      <c r="L327" s="523"/>
      <c r="M327" s="524"/>
      <c r="N327" s="525"/>
      <c r="O327" s="526" t="s">
        <v>1237</v>
      </c>
      <c r="P327" s="525">
        <f>'HIV-Key Info'!$I$82*(('HIV-Key Info'!$E$82*'HPM costs'!F379)+('HIV-Key Info'!$F$82*('HPM costs'!F382+'HPM costs'!F385)))</f>
        <v>0</v>
      </c>
      <c r="Q327" s="525" t="s">
        <v>1237</v>
      </c>
      <c r="R327" s="525">
        <f>'HIV-Key Info'!$I$82*(('HIV-Key Info'!$E$82*'HPM costs'!G379)+('HIV-Key Info'!$F$82*('HPM costs'!G382+'HPM costs'!G385)))</f>
        <v>0</v>
      </c>
      <c r="S327" s="525" t="s">
        <v>1237</v>
      </c>
      <c r="T327" s="525">
        <f>'HIV-Key Info'!$I$82*(('HIV-Key Info'!$E$82*'HPM costs'!H379)+('HIV-Key Info'!$F$82*('HPM costs'!H382+'HPM costs'!H385)))</f>
        <v>0</v>
      </c>
      <c r="U327" s="525" t="s">
        <v>1237</v>
      </c>
      <c r="V327" s="525">
        <f>'HIV-Key Info'!$I$82*(('HIV-Key Info'!$E$82*'HPM costs'!I379)+('HIV-Key Info'!$F$82*('HPM costs'!I382+'HPM costs'!I385)))</f>
        <v>0</v>
      </c>
      <c r="W327" s="525"/>
      <c r="X327" s="1154">
        <f t="shared" si="36"/>
        <v>0</v>
      </c>
      <c r="Y327" s="1155"/>
      <c r="Z327" s="1156"/>
      <c r="AA327" s="529"/>
      <c r="AB327" s="525"/>
      <c r="AC327" s="525">
        <f>'HIV-Key Info'!$I$82*(('HIV-Key Info'!$E$82*'HPM costs'!K379)+('HIV-Key Info'!$F$82*('HPM costs'!K382+'HPM costs'!K385)))</f>
        <v>0</v>
      </c>
      <c r="AD327" s="525"/>
      <c r="AE327" s="525">
        <f>'HIV-Key Info'!$I$82*(('HIV-Key Info'!$E$82*'HPM costs'!L379)+('HIV-Key Info'!$F$82*('HPM costs'!L382+'HPM costs'!L385)))</f>
        <v>0</v>
      </c>
      <c r="AF327" s="525"/>
      <c r="AG327" s="525">
        <f>'HIV-Key Info'!$I$82*(('HIV-Key Info'!$E$82*'HPM costs'!M379)+('HIV-Key Info'!$F$82*('HPM costs'!M382+'HPM costs'!M385)))</f>
        <v>0</v>
      </c>
      <c r="AH327" s="525"/>
      <c r="AI327" s="525">
        <f>'HIV-Key Info'!$I$82*(('HIV-Key Info'!$E$82*'HPM costs'!N379)+('HIV-Key Info'!$F$82*('HPM costs'!N382+'HPM costs'!N385)))</f>
        <v>0</v>
      </c>
      <c r="AJ327" s="525"/>
      <c r="AK327" s="1154">
        <f t="shared" si="37"/>
        <v>0</v>
      </c>
      <c r="AL327" s="1155"/>
      <c r="AM327" s="1156"/>
      <c r="AN327" s="529"/>
      <c r="AO327" s="525"/>
      <c r="AP327" s="525">
        <f>'HIV-Key Info'!$I$82*(('HIV-Key Info'!$E$82*'HPM costs'!P379)+('HIV-Key Info'!$F$82*('HPM costs'!P382+'HPM costs'!P385)))</f>
        <v>0</v>
      </c>
      <c r="AQ327" s="525"/>
      <c r="AR327" s="525">
        <f>'HIV-Key Info'!$I$82*(('HIV-Key Info'!$E$82*'HPM costs'!Q379)+('HIV-Key Info'!$F$82*('HPM costs'!Q382+'HPM costs'!Q385)))</f>
        <v>0</v>
      </c>
      <c r="AS327" s="525"/>
      <c r="AT327" s="525">
        <f>'HIV-Key Info'!$I$82*(('HIV-Key Info'!$E$82*'HPM costs'!R379)+('HIV-Key Info'!$F$82*('HPM costs'!R382+'HPM costs'!R385)))</f>
        <v>0</v>
      </c>
      <c r="AU327" s="525"/>
      <c r="AV327" s="525">
        <f>'HIV-Key Info'!$I$82*(('HIV-Key Info'!$E$82*'HPM costs'!S379)+('HIV-Key Info'!$F$82*('HPM costs'!S382+'HPM costs'!S385)))</f>
        <v>0</v>
      </c>
      <c r="AW327" s="525"/>
      <c r="AX327" s="1154">
        <f t="shared" si="38"/>
        <v>0</v>
      </c>
      <c r="AY327" s="1154"/>
      <c r="AZ327" s="528"/>
      <c r="BA327" s="529"/>
      <c r="BB327" s="527"/>
      <c r="BC327" s="527">
        <v>0</v>
      </c>
      <c r="BD327" s="527">
        <v>0</v>
      </c>
      <c r="BE327" s="527">
        <v>0</v>
      </c>
      <c r="BF327" s="527">
        <v>0</v>
      </c>
      <c r="BG327" s="527">
        <v>0</v>
      </c>
      <c r="BH327" s="527">
        <v>0</v>
      </c>
      <c r="BI327" s="527">
        <v>0</v>
      </c>
      <c r="BJ327" s="527">
        <v>0</v>
      </c>
      <c r="BK327" s="1154">
        <f t="shared" si="39"/>
        <v>0</v>
      </c>
      <c r="BL327" s="1154"/>
      <c r="BM327" s="1154">
        <f t="shared" si="40"/>
        <v>0</v>
      </c>
      <c r="BN327" s="1154">
        <f t="shared" si="41"/>
        <v>0</v>
      </c>
      <c r="BO327" s="527"/>
      <c r="BP327" s="527"/>
      <c r="BQ327" s="1157" t="s">
        <v>91</v>
      </c>
      <c r="BR327" s="1157" t="s">
        <v>690</v>
      </c>
      <c r="BS327" s="1157" t="s">
        <v>527</v>
      </c>
      <c r="BT327" s="1376" t="s">
        <v>1631</v>
      </c>
    </row>
    <row r="328" spans="1:72" s="1371" customFormat="1" ht="13">
      <c r="A328" s="1204">
        <v>884</v>
      </c>
      <c r="B328" s="1205" t="s">
        <v>672</v>
      </c>
      <c r="C328" s="1205" t="s">
        <v>675</v>
      </c>
      <c r="D328" s="1206" t="s">
        <v>2508</v>
      </c>
      <c r="E328" s="1386" t="s">
        <v>534</v>
      </c>
      <c r="F328" s="521"/>
      <c r="G328" s="522"/>
      <c r="H328" s="522"/>
      <c r="I328" s="522"/>
      <c r="J328" s="523"/>
      <c r="K328" s="523"/>
      <c r="L328" s="523"/>
      <c r="M328" s="524"/>
      <c r="N328" s="525"/>
      <c r="O328" s="526" t="s">
        <v>1237</v>
      </c>
      <c r="P328" s="525">
        <f>'HIV-Key Info'!$I$82*(('HIV-Key Info'!$E$82*'HPM costs'!F465)+('HIV-Key Info'!$F$82*('HPM costs'!F468+'HPM costs'!F471)))</f>
        <v>0</v>
      </c>
      <c r="Q328" s="525" t="s">
        <v>1237</v>
      </c>
      <c r="R328" s="525">
        <f>'HIV-Key Info'!$I$82*(('HIV-Key Info'!$E$82*'HPM costs'!G465)+('HIV-Key Info'!$F$82*('HPM costs'!G468+'HPM costs'!G471)))</f>
        <v>0</v>
      </c>
      <c r="S328" s="525" t="s">
        <v>1237</v>
      </c>
      <c r="T328" s="525">
        <f>'HIV-Key Info'!$I$82*(('HIV-Key Info'!$E$82*'HPM costs'!H465)+('HIV-Key Info'!$F$82*('HPM costs'!H468+'HPM costs'!H471)))</f>
        <v>0</v>
      </c>
      <c r="U328" s="525" t="s">
        <v>1237</v>
      </c>
      <c r="V328" s="525">
        <f>'HIV-Key Info'!$I$82*(('HIV-Key Info'!$E$82*'HPM costs'!I465)+('HIV-Key Info'!$F$82*('HPM costs'!I468+'HPM costs'!I471)))</f>
        <v>0</v>
      </c>
      <c r="W328" s="525"/>
      <c r="X328" s="1154">
        <f t="shared" si="36"/>
        <v>0</v>
      </c>
      <c r="Y328" s="1155"/>
      <c r="Z328" s="1156"/>
      <c r="AA328" s="529"/>
      <c r="AB328" s="525"/>
      <c r="AC328" s="525">
        <f>'HIV-Key Info'!$I$82*(('HIV-Key Info'!$E$82*'HPM costs'!K465)+('HIV-Key Info'!$F$82*('HPM costs'!K468+'HPM costs'!K471)))</f>
        <v>0</v>
      </c>
      <c r="AD328" s="525"/>
      <c r="AE328" s="525">
        <f>'HIV-Key Info'!$I$82*(('HIV-Key Info'!$E$82*'HPM costs'!L465)+('HIV-Key Info'!$F$82*('HPM costs'!L468+'HPM costs'!L471)))</f>
        <v>0</v>
      </c>
      <c r="AF328" s="525"/>
      <c r="AG328" s="525">
        <f>'HIV-Key Info'!$I$82*(('HIV-Key Info'!$E$82*'HPM costs'!M465)+('HIV-Key Info'!$F$82*('HPM costs'!M468+'HPM costs'!M471)))</f>
        <v>0</v>
      </c>
      <c r="AH328" s="525"/>
      <c r="AI328" s="525">
        <f>'HIV-Key Info'!$I$82*(('HIV-Key Info'!$E$82*'HPM costs'!N465)+('HIV-Key Info'!$F$82*('HPM costs'!N468+'HPM costs'!N471)))</f>
        <v>0</v>
      </c>
      <c r="AJ328" s="525"/>
      <c r="AK328" s="1154">
        <f t="shared" si="37"/>
        <v>0</v>
      </c>
      <c r="AL328" s="1155"/>
      <c r="AM328" s="1156"/>
      <c r="AN328" s="529"/>
      <c r="AO328" s="525"/>
      <c r="AP328" s="525">
        <f>'HIV-Key Info'!$I$82*(('HIV-Key Info'!$E$82*'HPM costs'!P465)+('HIV-Key Info'!$F$82*('HPM costs'!P468+'HPM costs'!P471)))</f>
        <v>0</v>
      </c>
      <c r="AQ328" s="525"/>
      <c r="AR328" s="525">
        <f>'HIV-Key Info'!$I$82*(('HIV-Key Info'!$E$82*'HPM costs'!Q465)+('HIV-Key Info'!$F$82*('HPM costs'!Q468+'HPM costs'!Q471)))</f>
        <v>0</v>
      </c>
      <c r="AS328" s="525"/>
      <c r="AT328" s="525">
        <f>'HIV-Key Info'!$I$82*(('HIV-Key Info'!$E$82*'HPM costs'!R465)+('HIV-Key Info'!$F$82*('HPM costs'!R468+'HPM costs'!R471)))</f>
        <v>0</v>
      </c>
      <c r="AU328" s="525"/>
      <c r="AV328" s="525">
        <f>'HIV-Key Info'!$I$82*(('HIV-Key Info'!$E$82*'HPM costs'!S465)+('HIV-Key Info'!$F$82*('HPM costs'!S468+'HPM costs'!S471)))</f>
        <v>0</v>
      </c>
      <c r="AW328" s="525"/>
      <c r="AX328" s="1154">
        <f t="shared" si="38"/>
        <v>0</v>
      </c>
      <c r="AY328" s="1154"/>
      <c r="AZ328" s="528"/>
      <c r="BA328" s="529"/>
      <c r="BB328" s="527"/>
      <c r="BC328" s="527">
        <v>0</v>
      </c>
      <c r="BD328" s="527">
        <v>0</v>
      </c>
      <c r="BE328" s="527">
        <v>0</v>
      </c>
      <c r="BF328" s="527">
        <v>0</v>
      </c>
      <c r="BG328" s="527">
        <v>0</v>
      </c>
      <c r="BH328" s="527">
        <v>0</v>
      </c>
      <c r="BI328" s="527">
        <v>0</v>
      </c>
      <c r="BJ328" s="527">
        <v>0</v>
      </c>
      <c r="BK328" s="1154">
        <f t="shared" si="39"/>
        <v>0</v>
      </c>
      <c r="BL328" s="1154"/>
      <c r="BM328" s="1154">
        <f t="shared" si="40"/>
        <v>0</v>
      </c>
      <c r="BN328" s="1154">
        <f t="shared" si="41"/>
        <v>0</v>
      </c>
      <c r="BO328" s="527"/>
      <c r="BP328" s="527"/>
      <c r="BQ328" s="1157" t="s">
        <v>91</v>
      </c>
      <c r="BR328" s="1157" t="s">
        <v>690</v>
      </c>
      <c r="BS328" s="1157" t="s">
        <v>527</v>
      </c>
      <c r="BT328" s="1376" t="s">
        <v>1632</v>
      </c>
    </row>
    <row r="329" spans="1:72" s="1371" customFormat="1" ht="13">
      <c r="A329" s="1204">
        <v>885</v>
      </c>
      <c r="B329" s="1205" t="s">
        <v>672</v>
      </c>
      <c r="C329" s="1205" t="s">
        <v>675</v>
      </c>
      <c r="D329" s="1206" t="s">
        <v>2508</v>
      </c>
      <c r="E329" s="1386" t="s">
        <v>536</v>
      </c>
      <c r="F329" s="521"/>
      <c r="G329" s="522"/>
      <c r="H329" s="522"/>
      <c r="I329" s="522"/>
      <c r="J329" s="523"/>
      <c r="K329" s="523"/>
      <c r="L329" s="523"/>
      <c r="M329" s="524"/>
      <c r="N329" s="525"/>
      <c r="O329" s="526" t="s">
        <v>1237</v>
      </c>
      <c r="P329" s="525">
        <f>'HIV-Key Info'!$I$82*(('HIV-Key Info'!$E$82*('HPM costs'!F205+'HPM costs'!F551))+('HIV-Key Info'!$F$82*('HPM costs'!F208+'HPM costs'!F211+'HPM costs'!F554+'HPM costs'!F557)))</f>
        <v>0</v>
      </c>
      <c r="Q329" s="525" t="s">
        <v>1237</v>
      </c>
      <c r="R329" s="525">
        <f>'HIV-Key Info'!$I$82*(('HIV-Key Info'!$E$82*('HPM costs'!G205+'HPM costs'!G551))+('HIV-Key Info'!$F$82*('HPM costs'!G208+'HPM costs'!G211+'HPM costs'!G554+'HPM costs'!G557)))</f>
        <v>0</v>
      </c>
      <c r="S329" s="525" t="s">
        <v>1237</v>
      </c>
      <c r="T329" s="525">
        <f>'HIV-Key Info'!$I$82*(('HIV-Key Info'!$E$82*('HPM costs'!H205+'HPM costs'!H551))+('HIV-Key Info'!$F$82*('HPM costs'!H208+'HPM costs'!H211+'HPM costs'!H554+'HPM costs'!H557)))</f>
        <v>0</v>
      </c>
      <c r="U329" s="525" t="s">
        <v>1237</v>
      </c>
      <c r="V329" s="525">
        <f>'HIV-Key Info'!$I$82*(('HIV-Key Info'!$E$82*('HPM costs'!I205+'HPM costs'!I551))+('HIV-Key Info'!$F$82*('HPM costs'!I208+'HPM costs'!I211+'HPM costs'!I554+'HPM costs'!I557)))</f>
        <v>0</v>
      </c>
      <c r="W329" s="525"/>
      <c r="X329" s="1154">
        <f t="shared" si="36"/>
        <v>0</v>
      </c>
      <c r="Y329" s="1155"/>
      <c r="Z329" s="1156"/>
      <c r="AA329" s="529"/>
      <c r="AB329" s="525"/>
      <c r="AC329" s="525">
        <f>'HIV-Key Info'!$I$82*(('HIV-Key Info'!$E$82*('HPM costs'!K205+'HPM costs'!K551))+('HIV-Key Info'!$F$82*('HPM costs'!K208+'HPM costs'!K211+'HPM costs'!K554+'HPM costs'!K557)))</f>
        <v>0</v>
      </c>
      <c r="AD329" s="525"/>
      <c r="AE329" s="525">
        <f>'HIV-Key Info'!$I$82*(('HIV-Key Info'!$E$82*('HPM costs'!L205+'HPM costs'!L551))+('HIV-Key Info'!$F$82*('HPM costs'!L208+'HPM costs'!L211+'HPM costs'!L554+'HPM costs'!L557)))</f>
        <v>0</v>
      </c>
      <c r="AF329" s="525"/>
      <c r="AG329" s="525">
        <f>'HIV-Key Info'!$I$82*(('HIV-Key Info'!$E$82*('HPM costs'!M205+'HPM costs'!M551))+('HIV-Key Info'!$F$82*('HPM costs'!M208+'HPM costs'!M211+'HPM costs'!M554+'HPM costs'!M557)))</f>
        <v>0</v>
      </c>
      <c r="AH329" s="525"/>
      <c r="AI329" s="525">
        <f>'HIV-Key Info'!$I$82*(('HIV-Key Info'!$E$82*('HPM costs'!N205+'HPM costs'!N551))+('HIV-Key Info'!$F$82*('HPM costs'!N208+'HPM costs'!N211+'HPM costs'!N554+'HPM costs'!N557)))</f>
        <v>0</v>
      </c>
      <c r="AJ329" s="525"/>
      <c r="AK329" s="1154">
        <f t="shared" si="37"/>
        <v>0</v>
      </c>
      <c r="AL329" s="1155"/>
      <c r="AM329" s="1156"/>
      <c r="AN329" s="529"/>
      <c r="AO329" s="525"/>
      <c r="AP329" s="525">
        <f>'HIV-Key Info'!$I$82*(('HIV-Key Info'!$E$82*('HPM costs'!P205+'HPM costs'!P551))+('HIV-Key Info'!$F$82*('HPM costs'!P208+'HPM costs'!P211+'HPM costs'!P554+'HPM costs'!P557)))</f>
        <v>0</v>
      </c>
      <c r="AQ329" s="525"/>
      <c r="AR329" s="525">
        <f>'HIV-Key Info'!$I$82*(('HIV-Key Info'!$E$82*('HPM costs'!Q205+'HPM costs'!Q551))+('HIV-Key Info'!$F$82*('HPM costs'!Q208+'HPM costs'!Q211+'HPM costs'!Q554+'HPM costs'!Q557)))</f>
        <v>0</v>
      </c>
      <c r="AS329" s="525"/>
      <c r="AT329" s="525">
        <f>'HIV-Key Info'!$I$82*(('HIV-Key Info'!$E$82*('HPM costs'!R205+'HPM costs'!R551))+('HIV-Key Info'!$F$82*('HPM costs'!R208+'HPM costs'!R211+'HPM costs'!R554+'HPM costs'!R557)))</f>
        <v>0</v>
      </c>
      <c r="AU329" s="525"/>
      <c r="AV329" s="525">
        <f>'HIV-Key Info'!$I$82*(('HIV-Key Info'!$E$82*('HPM costs'!S205+'HPM costs'!S551))+('HIV-Key Info'!$F$82*('HPM costs'!S208+'HPM costs'!S211+'HPM costs'!S554+'HPM costs'!S557)))</f>
        <v>0</v>
      </c>
      <c r="AW329" s="525"/>
      <c r="AX329" s="1154">
        <f t="shared" si="38"/>
        <v>0</v>
      </c>
      <c r="AY329" s="1154"/>
      <c r="AZ329" s="528"/>
      <c r="BA329" s="529"/>
      <c r="BB329" s="527"/>
      <c r="BC329" s="527">
        <v>0</v>
      </c>
      <c r="BD329" s="527">
        <v>0</v>
      </c>
      <c r="BE329" s="527">
        <v>0</v>
      </c>
      <c r="BF329" s="527">
        <v>0</v>
      </c>
      <c r="BG329" s="527">
        <v>0</v>
      </c>
      <c r="BH329" s="527">
        <v>0</v>
      </c>
      <c r="BI329" s="527">
        <v>0</v>
      </c>
      <c r="BJ329" s="527">
        <v>0</v>
      </c>
      <c r="BK329" s="1154">
        <f t="shared" si="39"/>
        <v>0</v>
      </c>
      <c r="BL329" s="1154"/>
      <c r="BM329" s="1154">
        <f t="shared" si="40"/>
        <v>0</v>
      </c>
      <c r="BN329" s="1154">
        <f t="shared" si="41"/>
        <v>0</v>
      </c>
      <c r="BO329" s="527"/>
      <c r="BP329" s="527"/>
      <c r="BQ329" s="1157" t="s">
        <v>91</v>
      </c>
      <c r="BR329" s="1157" t="s">
        <v>690</v>
      </c>
      <c r="BS329" s="1157" t="s">
        <v>527</v>
      </c>
      <c r="BT329" s="1376" t="s">
        <v>1633</v>
      </c>
    </row>
    <row r="330" spans="1:72" s="1371" customFormat="1" ht="13">
      <c r="A330" s="1204">
        <v>886</v>
      </c>
      <c r="B330" s="1205" t="s">
        <v>672</v>
      </c>
      <c r="C330" s="1205" t="s">
        <v>675</v>
      </c>
      <c r="D330" s="1206" t="s">
        <v>2508</v>
      </c>
      <c r="E330" s="1386" t="s">
        <v>538</v>
      </c>
      <c r="F330" s="521"/>
      <c r="G330" s="522"/>
      <c r="H330" s="522"/>
      <c r="I330" s="522"/>
      <c r="J330" s="523"/>
      <c r="K330" s="523"/>
      <c r="L330" s="523"/>
      <c r="M330" s="524"/>
      <c r="N330" s="525"/>
      <c r="O330" s="526" t="s">
        <v>1237</v>
      </c>
      <c r="P330" s="525">
        <f>'HIV-Key Info'!$I$82*(('HIV-Key Info'!$E$82*'HPM costs'!F291)+('HIV-Key Info'!$F$82*('HPM costs'!F294+'HPM costs'!F297)))</f>
        <v>0</v>
      </c>
      <c r="Q330" s="525" t="s">
        <v>1237</v>
      </c>
      <c r="R330" s="525">
        <f>'HIV-Key Info'!$I$82*(('HIV-Key Info'!$E$82*'HPM costs'!G291)+('HIV-Key Info'!$F$82*('HPM costs'!G294+'HPM costs'!G297)))</f>
        <v>0</v>
      </c>
      <c r="S330" s="525" t="s">
        <v>1237</v>
      </c>
      <c r="T330" s="525">
        <f>'HIV-Key Info'!$I$82*(('HIV-Key Info'!$E$82*'HPM costs'!H291)+('HIV-Key Info'!$F$82*('HPM costs'!H294+'HPM costs'!H297)))</f>
        <v>0</v>
      </c>
      <c r="U330" s="525" t="s">
        <v>1237</v>
      </c>
      <c r="V330" s="525">
        <f>'HIV-Key Info'!$I$82*(('HIV-Key Info'!$E$82*'HPM costs'!I291)+('HIV-Key Info'!$F$82*('HPM costs'!I294+'HPM costs'!I297)))</f>
        <v>0</v>
      </c>
      <c r="W330" s="525"/>
      <c r="X330" s="1154">
        <f t="shared" si="36"/>
        <v>0</v>
      </c>
      <c r="Y330" s="1155"/>
      <c r="Z330" s="1156"/>
      <c r="AA330" s="529"/>
      <c r="AB330" s="525"/>
      <c r="AC330" s="525">
        <f>'HIV-Key Info'!$I$82*(('HIV-Key Info'!$E$82*'HPM costs'!K291)+('HIV-Key Info'!$F$82*('HPM costs'!K294+'HPM costs'!K297)))</f>
        <v>0</v>
      </c>
      <c r="AD330" s="525"/>
      <c r="AE330" s="525">
        <f>'HIV-Key Info'!$I$82*(('HIV-Key Info'!$E$82*'HPM costs'!L291)+('HIV-Key Info'!$F$82*('HPM costs'!L294+'HPM costs'!L297)))</f>
        <v>0</v>
      </c>
      <c r="AF330" s="525"/>
      <c r="AG330" s="525">
        <f>'HIV-Key Info'!$I$82*(('HIV-Key Info'!$E$82*'HPM costs'!M291)+('HIV-Key Info'!$F$82*('HPM costs'!M294+'HPM costs'!M297)))</f>
        <v>0</v>
      </c>
      <c r="AH330" s="525"/>
      <c r="AI330" s="525">
        <f>'HIV-Key Info'!$I$82*(('HIV-Key Info'!$E$82*'HPM costs'!N291)+('HIV-Key Info'!$F$82*('HPM costs'!N294+'HPM costs'!N297)))</f>
        <v>0</v>
      </c>
      <c r="AJ330" s="525"/>
      <c r="AK330" s="1154">
        <f t="shared" si="37"/>
        <v>0</v>
      </c>
      <c r="AL330" s="1155"/>
      <c r="AM330" s="1156"/>
      <c r="AN330" s="529"/>
      <c r="AO330" s="525"/>
      <c r="AP330" s="525">
        <f>'HIV-Key Info'!$I$82*(('HIV-Key Info'!$E$82*'HPM costs'!P291)+('HIV-Key Info'!$F$82*('HPM costs'!P294+'HPM costs'!P297)))</f>
        <v>0</v>
      </c>
      <c r="AQ330" s="525"/>
      <c r="AR330" s="525">
        <f>'HIV-Key Info'!$I$82*(('HIV-Key Info'!$E$82*'HPM costs'!Q291)+('HIV-Key Info'!$F$82*('HPM costs'!Q294+'HPM costs'!Q297)))</f>
        <v>0</v>
      </c>
      <c r="AS330" s="525"/>
      <c r="AT330" s="525">
        <f>'HIV-Key Info'!$I$82*(('HIV-Key Info'!$E$82*'HPM costs'!R291)+('HIV-Key Info'!$F$82*('HPM costs'!R294+'HPM costs'!R297)))</f>
        <v>0</v>
      </c>
      <c r="AU330" s="525"/>
      <c r="AV330" s="525">
        <f>'HIV-Key Info'!$I$82*(('HIV-Key Info'!$E$82*'HPM costs'!S291)+('HIV-Key Info'!$F$82*('HPM costs'!S294+'HPM costs'!S297)))</f>
        <v>0</v>
      </c>
      <c r="AW330" s="525"/>
      <c r="AX330" s="1154">
        <f t="shared" si="38"/>
        <v>0</v>
      </c>
      <c r="AY330" s="1154"/>
      <c r="AZ330" s="528"/>
      <c r="BA330" s="529"/>
      <c r="BB330" s="527"/>
      <c r="BC330" s="527">
        <v>0</v>
      </c>
      <c r="BD330" s="527">
        <v>0</v>
      </c>
      <c r="BE330" s="527">
        <v>0</v>
      </c>
      <c r="BF330" s="527">
        <v>0</v>
      </c>
      <c r="BG330" s="527">
        <v>0</v>
      </c>
      <c r="BH330" s="527">
        <v>0</v>
      </c>
      <c r="BI330" s="527">
        <v>0</v>
      </c>
      <c r="BJ330" s="527">
        <v>0</v>
      </c>
      <c r="BK330" s="1154">
        <f t="shared" si="39"/>
        <v>0</v>
      </c>
      <c r="BL330" s="1154"/>
      <c r="BM330" s="1154">
        <f t="shared" si="40"/>
        <v>0</v>
      </c>
      <c r="BN330" s="1154">
        <f t="shared" si="41"/>
        <v>0</v>
      </c>
      <c r="BO330" s="527"/>
      <c r="BP330" s="527"/>
      <c r="BQ330" s="1157" t="s">
        <v>91</v>
      </c>
      <c r="BR330" s="1157" t="s">
        <v>690</v>
      </c>
      <c r="BS330" s="1157" t="s">
        <v>527</v>
      </c>
      <c r="BT330" s="1376" t="s">
        <v>1634</v>
      </c>
    </row>
    <row r="331" spans="1:72" s="1371" customFormat="1" ht="13">
      <c r="A331" s="1204">
        <v>887</v>
      </c>
      <c r="B331" s="1205" t="s">
        <v>672</v>
      </c>
      <c r="C331" s="1205" t="s">
        <v>675</v>
      </c>
      <c r="D331" s="1206" t="s">
        <v>2508</v>
      </c>
      <c r="E331" s="1386" t="s">
        <v>540</v>
      </c>
      <c r="F331" s="521"/>
      <c r="G331" s="522"/>
      <c r="H331" s="522"/>
      <c r="I331" s="522"/>
      <c r="J331" s="523"/>
      <c r="K331" s="523"/>
      <c r="L331" s="523"/>
      <c r="M331" s="524"/>
      <c r="N331" s="525"/>
      <c r="O331" s="526" t="s">
        <v>1237</v>
      </c>
      <c r="P331" s="525">
        <f>'HIV-Key Info'!$I$82*(('HIV-Key Info'!$E$82*'HPM costs'!F636)+('HIV-Key Info'!$F$82*('HPM costs'!F639+'HPM costs'!F642)))</f>
        <v>0</v>
      </c>
      <c r="Q331" s="525" t="s">
        <v>1237</v>
      </c>
      <c r="R331" s="525">
        <f>'HIV-Key Info'!$I$82*(('HIV-Key Info'!$E$82*'HPM costs'!G636)+('HIV-Key Info'!$F$82*('HPM costs'!G639+'HPM costs'!G642)))</f>
        <v>0</v>
      </c>
      <c r="S331" s="525" t="s">
        <v>1237</v>
      </c>
      <c r="T331" s="525">
        <f>'HIV-Key Info'!$I$82*(('HIV-Key Info'!$E$82*'HPM costs'!H636)+('HIV-Key Info'!$F$82*('HPM costs'!H639+'HPM costs'!H642)))</f>
        <v>0</v>
      </c>
      <c r="U331" s="525" t="s">
        <v>1237</v>
      </c>
      <c r="V331" s="525">
        <f>'HIV-Key Info'!$I$82*(('HIV-Key Info'!$E$82*'HPM costs'!I636)+('HIV-Key Info'!$F$82*('HPM costs'!I639+'HPM costs'!I642)))</f>
        <v>0</v>
      </c>
      <c r="W331" s="525"/>
      <c r="X331" s="1154">
        <f t="shared" si="36"/>
        <v>0</v>
      </c>
      <c r="Y331" s="1155"/>
      <c r="Z331" s="1156"/>
      <c r="AA331" s="529"/>
      <c r="AB331" s="525"/>
      <c r="AC331" s="525">
        <f>'HIV-Key Info'!$I$82*(('HIV-Key Info'!$E$82*'HPM costs'!K636)+('HIV-Key Info'!$F$82*('HPM costs'!K639+'HPM costs'!K642)))</f>
        <v>0</v>
      </c>
      <c r="AD331" s="525"/>
      <c r="AE331" s="525">
        <f>'HIV-Key Info'!$I$82*(('HIV-Key Info'!$E$82*'HPM costs'!L636)+('HIV-Key Info'!$F$82*('HPM costs'!L639+'HPM costs'!L642)))</f>
        <v>0</v>
      </c>
      <c r="AF331" s="525"/>
      <c r="AG331" s="525">
        <f>'HIV-Key Info'!$I$82*(('HIV-Key Info'!$E$82*'HPM costs'!M636)+('HIV-Key Info'!$F$82*('HPM costs'!M639+'HPM costs'!M642)))</f>
        <v>0</v>
      </c>
      <c r="AH331" s="525"/>
      <c r="AI331" s="525">
        <f>'HIV-Key Info'!$I$82*(('HIV-Key Info'!$E$82*'HPM costs'!N636)+('HIV-Key Info'!$F$82*('HPM costs'!N639+'HPM costs'!N642)))</f>
        <v>0</v>
      </c>
      <c r="AJ331" s="525"/>
      <c r="AK331" s="1154">
        <f t="shared" si="37"/>
        <v>0</v>
      </c>
      <c r="AL331" s="1155"/>
      <c r="AM331" s="1156"/>
      <c r="AN331" s="529"/>
      <c r="AO331" s="525"/>
      <c r="AP331" s="525">
        <f>'HIV-Key Info'!$I$82*(('HIV-Key Info'!$E$82*'HPM costs'!P636)+('HIV-Key Info'!$F$82*('HPM costs'!P639+'HPM costs'!P642)))</f>
        <v>0</v>
      </c>
      <c r="AQ331" s="525"/>
      <c r="AR331" s="525">
        <f>'HIV-Key Info'!$I$82*(('HIV-Key Info'!$E$82*'HPM costs'!Q636)+('HIV-Key Info'!$F$82*('HPM costs'!Q639+'HPM costs'!Q642)))</f>
        <v>0</v>
      </c>
      <c r="AS331" s="525"/>
      <c r="AT331" s="525">
        <f>'HIV-Key Info'!$I$82*(('HIV-Key Info'!$E$82*'HPM costs'!R636)+('HIV-Key Info'!$F$82*('HPM costs'!R639+'HPM costs'!R642)))</f>
        <v>0</v>
      </c>
      <c r="AU331" s="525"/>
      <c r="AV331" s="525">
        <f>'HIV-Key Info'!$I$82*(('HIV-Key Info'!$E$82*'HPM costs'!S636)+('HIV-Key Info'!$F$82*('HPM costs'!S639+'HPM costs'!S642)))</f>
        <v>0</v>
      </c>
      <c r="AW331" s="525"/>
      <c r="AX331" s="1154">
        <f t="shared" si="38"/>
        <v>0</v>
      </c>
      <c r="AY331" s="1154"/>
      <c r="AZ331" s="528"/>
      <c r="BA331" s="529"/>
      <c r="BB331" s="527"/>
      <c r="BC331" s="527">
        <v>0</v>
      </c>
      <c r="BD331" s="527">
        <v>0</v>
      </c>
      <c r="BE331" s="527">
        <v>0</v>
      </c>
      <c r="BF331" s="527">
        <v>0</v>
      </c>
      <c r="BG331" s="527">
        <v>0</v>
      </c>
      <c r="BH331" s="527">
        <v>0</v>
      </c>
      <c r="BI331" s="527">
        <v>0</v>
      </c>
      <c r="BJ331" s="527">
        <v>0</v>
      </c>
      <c r="BK331" s="1154">
        <f t="shared" si="39"/>
        <v>0</v>
      </c>
      <c r="BL331" s="1154"/>
      <c r="BM331" s="1154">
        <f t="shared" si="40"/>
        <v>0</v>
      </c>
      <c r="BN331" s="1154">
        <f t="shared" si="41"/>
        <v>0</v>
      </c>
      <c r="BO331" s="527"/>
      <c r="BP331" s="527"/>
      <c r="BQ331" s="1157" t="s">
        <v>91</v>
      </c>
      <c r="BR331" s="1157" t="s">
        <v>690</v>
      </c>
      <c r="BS331" s="1157" t="s">
        <v>527</v>
      </c>
      <c r="BT331" s="1376" t="s">
        <v>1635</v>
      </c>
    </row>
    <row r="332" spans="1:72" s="1371" customFormat="1" ht="13">
      <c r="A332" s="1204">
        <v>888</v>
      </c>
      <c r="B332" s="1205" t="s">
        <v>672</v>
      </c>
      <c r="C332" s="1205" t="s">
        <v>673</v>
      </c>
      <c r="D332" s="1206" t="s">
        <v>2573</v>
      </c>
      <c r="E332" s="1386" t="s">
        <v>603</v>
      </c>
      <c r="F332" s="521"/>
      <c r="G332" s="522"/>
      <c r="H332" s="522"/>
      <c r="I332" s="522"/>
      <c r="J332" s="523"/>
      <c r="K332" s="523"/>
      <c r="L332" s="523"/>
      <c r="M332" s="524"/>
      <c r="N332" s="525"/>
      <c r="O332" s="526" t="s">
        <v>1237</v>
      </c>
      <c r="P332" s="525">
        <f>'HIV-Key Info'!$G$81*('HIV-Key Info'!$E$81*('HPM costs'!F119/'HPM costs'!$E$119)+'HIV-Key Info'!$F$81*('HPM costs'!F125/'HPM costs'!$E$125+'HPM costs'!F122/'HPM costs'!$E$122))</f>
        <v>0</v>
      </c>
      <c r="Q332" s="525" t="s">
        <v>1237</v>
      </c>
      <c r="R332" s="525">
        <f>'HIV-Key Info'!$G$81*('HIV-Key Info'!$E$81*('HPM costs'!G119/'HPM costs'!$E$119)+'HIV-Key Info'!$F$81*('HPM costs'!G125/'HPM costs'!$E$125+'HPM costs'!G122/'HPM costs'!$E$122))</f>
        <v>2394.1775342160004</v>
      </c>
      <c r="S332" s="525" t="s">
        <v>1237</v>
      </c>
      <c r="T332" s="525">
        <f>'HIV-Key Info'!$G$81*('HIV-Key Info'!$E$81*('HPM costs'!H119/'HPM costs'!$E$119)+'HIV-Key Info'!$F$81*('HPM costs'!H125/'HPM costs'!$E$125+'HPM costs'!H122/'HPM costs'!$E$122))</f>
        <v>0</v>
      </c>
      <c r="U332" s="525" t="s">
        <v>1237</v>
      </c>
      <c r="V332" s="525">
        <f>'HIV-Key Info'!$G$81*('HIV-Key Info'!$E$81*('HPM costs'!I119/'HPM costs'!$E$119)+'HIV-Key Info'!$F$81*('HPM costs'!I125/'HPM costs'!$E$125+'HPM costs'!I122/'HPM costs'!$E$122))</f>
        <v>0</v>
      </c>
      <c r="W332" s="525"/>
      <c r="X332" s="1154">
        <f t="shared" si="36"/>
        <v>2394.1775342160004</v>
      </c>
      <c r="Y332" s="1155"/>
      <c r="Z332" s="1156"/>
      <c r="AA332" s="529"/>
      <c r="AB332" s="525"/>
      <c r="AC332" s="525">
        <f>'HIV-Key Info'!$G$81*('HIV-Key Info'!$E$81*('HPM costs'!K119/'HPM costs'!$E$119)+'HIV-Key Info'!$F$81*('HPM costs'!K125/'HPM costs'!$E$125+'HPM costs'!K122/'HPM costs'!$E$122))</f>
        <v>0</v>
      </c>
      <c r="AD332" s="525"/>
      <c r="AE332" s="525">
        <f>'HIV-Key Info'!$G$81*('HIV-Key Info'!$E$81*('HPM costs'!L119/'HPM costs'!$E$119)+'HIV-Key Info'!$F$81*('HPM costs'!L125/'HPM costs'!$E$125+'HPM costs'!L122/'HPM costs'!$E$122))</f>
        <v>2504.5049524482006</v>
      </c>
      <c r="AF332" s="525"/>
      <c r="AG332" s="525">
        <f>'HIV-Key Info'!$G$81*('HIV-Key Info'!$E$81*('HPM costs'!M119/'HPM costs'!$E$119)+'HIV-Key Info'!$F$81*('HPM costs'!M125/'HPM costs'!$E$125+'HPM costs'!M122/'HPM costs'!$E$122))</f>
        <v>0</v>
      </c>
      <c r="AH332" s="525"/>
      <c r="AI332" s="525">
        <f>'HIV-Key Info'!$G$81*('HIV-Key Info'!$E$81*('HPM costs'!N119/'HPM costs'!$E$119)+'HIV-Key Info'!$F$81*('HPM costs'!N125/'HPM costs'!$E$125+'HPM costs'!N122/'HPM costs'!$E$122))</f>
        <v>0</v>
      </c>
      <c r="AJ332" s="525"/>
      <c r="AK332" s="1154">
        <f t="shared" si="37"/>
        <v>2504.5049524482006</v>
      </c>
      <c r="AL332" s="1155"/>
      <c r="AM332" s="1156"/>
      <c r="AN332" s="529"/>
      <c r="AO332" s="525"/>
      <c r="AP332" s="525">
        <f>'HIV-Key Info'!$G$81*('HIV-Key Info'!$E$81*('HPM costs'!P119/'HPM costs'!$E$119)+'HIV-Key Info'!$F$81*('HPM costs'!P125/'HPM costs'!$E$125+'HPM costs'!P122/'HPM costs'!$E$122))</f>
        <v>0</v>
      </c>
      <c r="AQ332" s="525"/>
      <c r="AR332" s="525">
        <f>'HIV-Key Info'!$G$81*('HIV-Key Info'!$E$81*('HPM costs'!Q119/'HPM costs'!$E$119)+'HIV-Key Info'!$F$81*('HPM costs'!Q125/'HPM costs'!$E$125+'HPM costs'!Q122/'HPM costs'!$E$122))</f>
        <v>2664.6885088902</v>
      </c>
      <c r="AS332" s="525"/>
      <c r="AT332" s="525">
        <f>'HIV-Key Info'!$G$81*('HIV-Key Info'!$E$81*('HPM costs'!R119/'HPM costs'!$E$119)+'HIV-Key Info'!$F$81*('HPM costs'!R125/'HPM costs'!$E$125+'HPM costs'!R122/'HPM costs'!$E$122))</f>
        <v>0</v>
      </c>
      <c r="AU332" s="525"/>
      <c r="AV332" s="525">
        <f>'HIV-Key Info'!$G$81*('HIV-Key Info'!$E$81*('HPM costs'!S119/'HPM costs'!$E$119)+'HIV-Key Info'!$F$81*('HPM costs'!S125/'HPM costs'!$E$125+'HPM costs'!S122/'HPM costs'!$E$122))</f>
        <v>0</v>
      </c>
      <c r="AW332" s="525"/>
      <c r="AX332" s="1154">
        <f t="shared" si="38"/>
        <v>2664.6885088902</v>
      </c>
      <c r="AY332" s="1154"/>
      <c r="AZ332" s="528"/>
      <c r="BA332" s="529"/>
      <c r="BB332" s="527"/>
      <c r="BC332" s="527">
        <v>0</v>
      </c>
      <c r="BD332" s="527">
        <v>0</v>
      </c>
      <c r="BE332" s="527">
        <v>0</v>
      </c>
      <c r="BF332" s="527">
        <v>0</v>
      </c>
      <c r="BG332" s="527">
        <v>0</v>
      </c>
      <c r="BH332" s="527">
        <v>0</v>
      </c>
      <c r="BI332" s="527">
        <v>0</v>
      </c>
      <c r="BJ332" s="527">
        <v>0</v>
      </c>
      <c r="BK332" s="1154">
        <f t="shared" si="39"/>
        <v>0</v>
      </c>
      <c r="BL332" s="1154"/>
      <c r="BM332" s="1154">
        <f t="shared" si="40"/>
        <v>0</v>
      </c>
      <c r="BN332" s="1154">
        <f t="shared" si="41"/>
        <v>7563.3709955544</v>
      </c>
      <c r="BO332" s="527"/>
      <c r="BP332" s="527" t="s">
        <v>4295</v>
      </c>
      <c r="BQ332" s="1157" t="s">
        <v>2551</v>
      </c>
      <c r="BR332" s="1157" t="s">
        <v>690</v>
      </c>
      <c r="BS332" s="1157" t="s">
        <v>2570</v>
      </c>
      <c r="BT332" s="1376" t="s">
        <v>1636</v>
      </c>
    </row>
    <row r="333" spans="1:72" s="1371" customFormat="1" ht="13">
      <c r="A333" s="1204">
        <v>889</v>
      </c>
      <c r="B333" s="1205" t="s">
        <v>672</v>
      </c>
      <c r="C333" s="1205" t="s">
        <v>673</v>
      </c>
      <c r="D333" s="1206" t="s">
        <v>2510</v>
      </c>
      <c r="E333" s="1386" t="s">
        <v>528</v>
      </c>
      <c r="F333" s="521"/>
      <c r="G333" s="522"/>
      <c r="H333" s="522"/>
      <c r="I333" s="522"/>
      <c r="J333" s="523"/>
      <c r="K333" s="523"/>
      <c r="L333" s="523"/>
      <c r="M333" s="524"/>
      <c r="N333" s="525"/>
      <c r="O333" s="526" t="s">
        <v>1237</v>
      </c>
      <c r="P333" s="525">
        <f>'HIV-Key Info'!$G$81*(('HIV-Key Info'!$E$81*'HPM costs'!F33)+('HIV-Key Info'!$F$81*('HPM costs'!F36+'HPM costs'!F39)))</f>
        <v>0</v>
      </c>
      <c r="Q333" s="525" t="s">
        <v>1237</v>
      </c>
      <c r="R333" s="525">
        <f>'HIV-Key Info'!$G$81*(('HIV-Key Info'!$E$81*'HPM costs'!G33)+('HIV-Key Info'!$F$81*('HPM costs'!G36+'HPM costs'!G39)))</f>
        <v>143.65065205296</v>
      </c>
      <c r="S333" s="525" t="s">
        <v>1237</v>
      </c>
      <c r="T333" s="525">
        <f>'HIV-Key Info'!$G$81*(('HIV-Key Info'!$E$81*'HPM costs'!H33)+('HIV-Key Info'!$F$81*('HPM costs'!H36+'HPM costs'!H39)))</f>
        <v>0</v>
      </c>
      <c r="U333" s="525" t="s">
        <v>1237</v>
      </c>
      <c r="V333" s="525">
        <f>'HIV-Key Info'!$G$81*(('HIV-Key Info'!$E$81*'HPM costs'!I33)+('HIV-Key Info'!$F$81*('HPM costs'!I36+'HPM costs'!I39)))</f>
        <v>0</v>
      </c>
      <c r="W333" s="525"/>
      <c r="X333" s="1154">
        <f t="shared" si="36"/>
        <v>143.65065205296</v>
      </c>
      <c r="Y333" s="1155"/>
      <c r="Z333" s="1156"/>
      <c r="AA333" s="529"/>
      <c r="AB333" s="525"/>
      <c r="AC333" s="525">
        <f>'HIV-Key Info'!$G$81*(('HIV-Key Info'!$E$81*'HPM costs'!K33)+('HIV-Key Info'!$F$81*('HPM costs'!K36+'HPM costs'!K39)))</f>
        <v>0</v>
      </c>
      <c r="AD333" s="525"/>
      <c r="AE333" s="525">
        <f>'HIV-Key Info'!$G$81*(('HIV-Key Info'!$E$81*'HPM costs'!L33)+('HIV-Key Info'!$F$81*('HPM costs'!L36+'HPM costs'!L39)))</f>
        <v>150.27029714689201</v>
      </c>
      <c r="AF333" s="525"/>
      <c r="AG333" s="525">
        <f>'HIV-Key Info'!$G$81*(('HIV-Key Info'!$E$81*'HPM costs'!M33)+('HIV-Key Info'!$F$81*('HPM costs'!M36+'HPM costs'!M39)))</f>
        <v>0</v>
      </c>
      <c r="AH333" s="525"/>
      <c r="AI333" s="525">
        <f>'HIV-Key Info'!$G$81*(('HIV-Key Info'!$E$81*'HPM costs'!N33)+('HIV-Key Info'!$F$81*('HPM costs'!N36+'HPM costs'!N39)))</f>
        <v>0</v>
      </c>
      <c r="AJ333" s="525"/>
      <c r="AK333" s="1154">
        <f t="shared" si="37"/>
        <v>150.27029714689201</v>
      </c>
      <c r="AL333" s="1155"/>
      <c r="AM333" s="1156"/>
      <c r="AN333" s="529"/>
      <c r="AO333" s="525"/>
      <c r="AP333" s="525">
        <f>'HIV-Key Info'!$G$81*(('HIV-Key Info'!$E$81*'HPM costs'!P33)+('HIV-Key Info'!$F$81*('HPM costs'!P36+'HPM costs'!P39)))</f>
        <v>0</v>
      </c>
      <c r="AQ333" s="525"/>
      <c r="AR333" s="525">
        <f>'HIV-Key Info'!$G$81*(('HIV-Key Info'!$E$81*'HPM costs'!Q33)+('HIV-Key Info'!$F$81*('HPM costs'!Q36+'HPM costs'!Q39)))</f>
        <v>159.88131053341203</v>
      </c>
      <c r="AS333" s="525"/>
      <c r="AT333" s="525">
        <f>'HIV-Key Info'!$G$81*(('HIV-Key Info'!$E$81*'HPM costs'!R33)+('HIV-Key Info'!$F$81*('HPM costs'!R36+'HPM costs'!R39)))</f>
        <v>0</v>
      </c>
      <c r="AU333" s="525"/>
      <c r="AV333" s="525">
        <f>'HIV-Key Info'!$G$81*(('HIV-Key Info'!$E$81*'HPM costs'!S33)+('HIV-Key Info'!$F$81*('HPM costs'!S36+'HPM costs'!S39)))</f>
        <v>0</v>
      </c>
      <c r="AW333" s="525"/>
      <c r="AX333" s="1154">
        <f t="shared" si="38"/>
        <v>159.88131053341203</v>
      </c>
      <c r="AY333" s="1154"/>
      <c r="AZ333" s="528"/>
      <c r="BA333" s="529"/>
      <c r="BB333" s="527"/>
      <c r="BC333" s="527">
        <v>0</v>
      </c>
      <c r="BD333" s="527">
        <v>0</v>
      </c>
      <c r="BE333" s="527">
        <v>0</v>
      </c>
      <c r="BF333" s="527">
        <v>0</v>
      </c>
      <c r="BG333" s="527">
        <v>0</v>
      </c>
      <c r="BH333" s="527">
        <v>0</v>
      </c>
      <c r="BI333" s="527">
        <v>0</v>
      </c>
      <c r="BJ333" s="527">
        <v>0</v>
      </c>
      <c r="BK333" s="1154">
        <f t="shared" si="39"/>
        <v>0</v>
      </c>
      <c r="BL333" s="1154"/>
      <c r="BM333" s="1154">
        <f t="shared" si="40"/>
        <v>0</v>
      </c>
      <c r="BN333" s="1154">
        <f t="shared" si="41"/>
        <v>453.80225973326401</v>
      </c>
      <c r="BO333" s="527"/>
      <c r="BP333" s="527" t="s">
        <v>4303</v>
      </c>
      <c r="BQ333" s="1157" t="s">
        <v>2551</v>
      </c>
      <c r="BR333" s="1157" t="s">
        <v>690</v>
      </c>
      <c r="BS333" s="1157" t="s">
        <v>527</v>
      </c>
      <c r="BT333" s="1376" t="s">
        <v>1637</v>
      </c>
    </row>
    <row r="334" spans="1:72" s="1371" customFormat="1" ht="13">
      <c r="A334" s="1204">
        <v>890</v>
      </c>
      <c r="B334" s="1205" t="s">
        <v>672</v>
      </c>
      <c r="C334" s="1205" t="s">
        <v>673</v>
      </c>
      <c r="D334" s="1206" t="s">
        <v>2510</v>
      </c>
      <c r="E334" s="1386" t="s">
        <v>530</v>
      </c>
      <c r="F334" s="521"/>
      <c r="G334" s="522"/>
      <c r="H334" s="522"/>
      <c r="I334" s="522"/>
      <c r="J334" s="523"/>
      <c r="K334" s="523"/>
      <c r="L334" s="523"/>
      <c r="M334" s="524"/>
      <c r="N334" s="525"/>
      <c r="O334" s="526" t="s">
        <v>1237</v>
      </c>
      <c r="P334" s="525">
        <f>'HIV-Key Info'!$G$81*(('HIV-Key Info'!$E$81*'HPM costs'!F119)+('HIV-Key Info'!$F$81*('HPM costs'!F122+'HPM costs'!F125)))</f>
        <v>0</v>
      </c>
      <c r="Q334" s="525" t="s">
        <v>1237</v>
      </c>
      <c r="R334" s="525">
        <f>'HIV-Key Info'!$G$81*(('HIV-Key Info'!$E$81*'HPM costs'!G119)+('HIV-Key Info'!$F$81*('HPM costs'!G122+'HPM costs'!G125)))</f>
        <v>2.3941775342160001E-13</v>
      </c>
      <c r="S334" s="525" t="s">
        <v>1237</v>
      </c>
      <c r="T334" s="525">
        <f>'HIV-Key Info'!$G$81*(('HIV-Key Info'!$E$81*'HPM costs'!H119)+('HIV-Key Info'!$F$81*('HPM costs'!H122+'HPM costs'!H125)))</f>
        <v>0</v>
      </c>
      <c r="U334" s="525" t="s">
        <v>1237</v>
      </c>
      <c r="V334" s="525">
        <f>'HIV-Key Info'!$G$81*(('HIV-Key Info'!$E$81*'HPM costs'!I119)+('HIV-Key Info'!$F$81*('HPM costs'!I122+'HPM costs'!I125)))</f>
        <v>0</v>
      </c>
      <c r="W334" s="525"/>
      <c r="X334" s="1154">
        <f t="shared" si="36"/>
        <v>2.3941775342160001E-13</v>
      </c>
      <c r="Y334" s="1155"/>
      <c r="Z334" s="1156"/>
      <c r="AA334" s="529"/>
      <c r="AB334" s="525"/>
      <c r="AC334" s="525">
        <f>'HIV-Key Info'!$G$81*(('HIV-Key Info'!$E$81*'HPM costs'!K119)+('HIV-Key Info'!$F$81*('HPM costs'!K122+'HPM costs'!K125)))</f>
        <v>0</v>
      </c>
      <c r="AD334" s="525"/>
      <c r="AE334" s="525">
        <f>'HIV-Key Info'!$G$81*(('HIV-Key Info'!$E$81*'HPM costs'!L119)+('HIV-Key Info'!$F$81*('HPM costs'!L122+'HPM costs'!L125)))</f>
        <v>2.5045049524482002E-13</v>
      </c>
      <c r="AF334" s="525"/>
      <c r="AG334" s="525">
        <f>'HIV-Key Info'!$G$81*(('HIV-Key Info'!$E$81*'HPM costs'!M119)+('HIV-Key Info'!$F$81*('HPM costs'!M122+'HPM costs'!M125)))</f>
        <v>0</v>
      </c>
      <c r="AH334" s="525"/>
      <c r="AI334" s="525">
        <f>'HIV-Key Info'!$G$81*(('HIV-Key Info'!$E$81*'HPM costs'!N119)+('HIV-Key Info'!$F$81*('HPM costs'!N122+'HPM costs'!N125)))</f>
        <v>0</v>
      </c>
      <c r="AJ334" s="525"/>
      <c r="AK334" s="1154">
        <f t="shared" si="37"/>
        <v>2.5045049524482002E-13</v>
      </c>
      <c r="AL334" s="1155"/>
      <c r="AM334" s="1156"/>
      <c r="AN334" s="529"/>
      <c r="AO334" s="525"/>
      <c r="AP334" s="525">
        <f>'HIV-Key Info'!$G$81*(('HIV-Key Info'!$E$81*'HPM costs'!P119)+('HIV-Key Info'!$F$81*('HPM costs'!P122+'HPM costs'!P125)))</f>
        <v>0</v>
      </c>
      <c r="AQ334" s="525"/>
      <c r="AR334" s="525">
        <f>'HIV-Key Info'!$G$81*(('HIV-Key Info'!$E$81*'HPM costs'!Q119)+('HIV-Key Info'!$F$81*('HPM costs'!Q122+'HPM costs'!Q125)))</f>
        <v>2.6646885088902005E-13</v>
      </c>
      <c r="AS334" s="525"/>
      <c r="AT334" s="525">
        <f>'HIV-Key Info'!$G$81*(('HIV-Key Info'!$E$81*'HPM costs'!R119)+('HIV-Key Info'!$F$81*('HPM costs'!R122+'HPM costs'!R125)))</f>
        <v>0</v>
      </c>
      <c r="AU334" s="525"/>
      <c r="AV334" s="525">
        <f>'HIV-Key Info'!$G$81*(('HIV-Key Info'!$E$81*'HPM costs'!S119)+('HIV-Key Info'!$F$81*('HPM costs'!S122+'HPM costs'!S125)))</f>
        <v>0</v>
      </c>
      <c r="AW334" s="525"/>
      <c r="AX334" s="1154">
        <f t="shared" si="38"/>
        <v>2.6646885088902005E-13</v>
      </c>
      <c r="AY334" s="1154"/>
      <c r="AZ334" s="528"/>
      <c r="BA334" s="529"/>
      <c r="BB334" s="527"/>
      <c r="BC334" s="527">
        <v>0</v>
      </c>
      <c r="BD334" s="527">
        <v>0</v>
      </c>
      <c r="BE334" s="527">
        <v>0</v>
      </c>
      <c r="BF334" s="527">
        <v>0</v>
      </c>
      <c r="BG334" s="527">
        <v>0</v>
      </c>
      <c r="BH334" s="527">
        <v>0</v>
      </c>
      <c r="BI334" s="527">
        <v>0</v>
      </c>
      <c r="BJ334" s="527">
        <v>0</v>
      </c>
      <c r="BK334" s="1154">
        <f t="shared" si="39"/>
        <v>0</v>
      </c>
      <c r="BL334" s="1154"/>
      <c r="BM334" s="1154">
        <f t="shared" si="40"/>
        <v>0</v>
      </c>
      <c r="BN334" s="1154">
        <f t="shared" si="41"/>
        <v>7.5633709955544003E-13</v>
      </c>
      <c r="BO334" s="527"/>
      <c r="BP334" s="527"/>
      <c r="BQ334" s="1157" t="s">
        <v>2551</v>
      </c>
      <c r="BR334" s="1157" t="s">
        <v>690</v>
      </c>
      <c r="BS334" s="1157" t="s">
        <v>527</v>
      </c>
      <c r="BT334" s="1376" t="s">
        <v>1638</v>
      </c>
    </row>
    <row r="335" spans="1:72" s="1371" customFormat="1" ht="13">
      <c r="A335" s="1204">
        <v>891</v>
      </c>
      <c r="B335" s="1205" t="s">
        <v>672</v>
      </c>
      <c r="C335" s="1205" t="s">
        <v>673</v>
      </c>
      <c r="D335" s="1206" t="s">
        <v>2510</v>
      </c>
      <c r="E335" s="1386" t="s">
        <v>532</v>
      </c>
      <c r="F335" s="521"/>
      <c r="G335" s="522"/>
      <c r="H335" s="522"/>
      <c r="I335" s="522"/>
      <c r="J335" s="523"/>
      <c r="K335" s="523"/>
      <c r="L335" s="523"/>
      <c r="M335" s="524"/>
      <c r="N335" s="525"/>
      <c r="O335" s="526" t="s">
        <v>1237</v>
      </c>
      <c r="P335" s="525">
        <f>'HIV-Key Info'!$G$81*(('HIV-Key Info'!$E$81*'HPM costs'!F379)+('HIV-Key Info'!$F$81*('HPM costs'!F382+'HPM costs'!F385)))</f>
        <v>0</v>
      </c>
      <c r="Q335" s="525" t="s">
        <v>1237</v>
      </c>
      <c r="R335" s="525">
        <f>'HIV-Key Info'!$G$81*(('HIV-Key Info'!$E$81*'HPM costs'!G379)+('HIV-Key Info'!$F$81*('HPM costs'!G382+'HPM costs'!G385)))</f>
        <v>0</v>
      </c>
      <c r="S335" s="525" t="s">
        <v>1237</v>
      </c>
      <c r="T335" s="525">
        <f>'HIV-Key Info'!$G$81*(('HIV-Key Info'!$E$81*'HPM costs'!H379)+('HIV-Key Info'!$F$81*('HPM costs'!H382+'HPM costs'!H385)))</f>
        <v>0</v>
      </c>
      <c r="U335" s="525" t="s">
        <v>1237</v>
      </c>
      <c r="V335" s="525">
        <f>'HIV-Key Info'!$G$81*(('HIV-Key Info'!$E$81*'HPM costs'!I379)+('HIV-Key Info'!$F$81*('HPM costs'!I382+'HPM costs'!I385)))</f>
        <v>0</v>
      </c>
      <c r="W335" s="525"/>
      <c r="X335" s="1154">
        <f t="shared" si="36"/>
        <v>0</v>
      </c>
      <c r="Y335" s="1155"/>
      <c r="Z335" s="1156"/>
      <c r="AA335" s="529"/>
      <c r="AB335" s="525"/>
      <c r="AC335" s="525">
        <f>'HIV-Key Info'!$G$81*(('HIV-Key Info'!$E$81*'HPM costs'!K379)+('HIV-Key Info'!$F$81*('HPM costs'!K382+'HPM costs'!K385)))</f>
        <v>0</v>
      </c>
      <c r="AD335" s="525"/>
      <c r="AE335" s="525">
        <f>'HIV-Key Info'!$G$81*(('HIV-Key Info'!$E$81*'HPM costs'!L379)+('HIV-Key Info'!$F$81*('HPM costs'!L382+'HPM costs'!L385)))</f>
        <v>0</v>
      </c>
      <c r="AF335" s="525"/>
      <c r="AG335" s="525">
        <f>'HIV-Key Info'!$G$81*(('HIV-Key Info'!$E$81*'HPM costs'!M379)+('HIV-Key Info'!$F$81*('HPM costs'!M382+'HPM costs'!M385)))</f>
        <v>0</v>
      </c>
      <c r="AH335" s="525"/>
      <c r="AI335" s="525">
        <f>'HIV-Key Info'!$G$81*(('HIV-Key Info'!$E$81*'HPM costs'!N379)+('HIV-Key Info'!$F$81*('HPM costs'!N382+'HPM costs'!N385)))</f>
        <v>0</v>
      </c>
      <c r="AJ335" s="525"/>
      <c r="AK335" s="1154">
        <f t="shared" si="37"/>
        <v>0</v>
      </c>
      <c r="AL335" s="1155"/>
      <c r="AM335" s="1156"/>
      <c r="AN335" s="529"/>
      <c r="AO335" s="525"/>
      <c r="AP335" s="525">
        <f>'HIV-Key Info'!$G$81*(('HIV-Key Info'!$E$81*'HPM costs'!P379)+('HIV-Key Info'!$F$81*('HPM costs'!P382+'HPM costs'!P385)))</f>
        <v>0</v>
      </c>
      <c r="AQ335" s="525"/>
      <c r="AR335" s="525">
        <f>'HIV-Key Info'!$G$81*(('HIV-Key Info'!$E$81*'HPM costs'!Q379)+('HIV-Key Info'!$F$81*('HPM costs'!Q382+'HPM costs'!Q385)))</f>
        <v>0</v>
      </c>
      <c r="AS335" s="525"/>
      <c r="AT335" s="525">
        <f>'HIV-Key Info'!$G$81*(('HIV-Key Info'!$E$81*'HPM costs'!R379)+('HIV-Key Info'!$F$81*('HPM costs'!R382+'HPM costs'!R385)))</f>
        <v>0</v>
      </c>
      <c r="AU335" s="525"/>
      <c r="AV335" s="525">
        <f>'HIV-Key Info'!$G$81*(('HIV-Key Info'!$E$81*'HPM costs'!S379)+('HIV-Key Info'!$F$81*('HPM costs'!S382+'HPM costs'!S385)))</f>
        <v>0</v>
      </c>
      <c r="AW335" s="525"/>
      <c r="AX335" s="1154">
        <f t="shared" si="38"/>
        <v>0</v>
      </c>
      <c r="AY335" s="1154"/>
      <c r="AZ335" s="528"/>
      <c r="BA335" s="529"/>
      <c r="BB335" s="527"/>
      <c r="BC335" s="527">
        <v>0</v>
      </c>
      <c r="BD335" s="527">
        <v>0</v>
      </c>
      <c r="BE335" s="527">
        <v>0</v>
      </c>
      <c r="BF335" s="527">
        <v>0</v>
      </c>
      <c r="BG335" s="527">
        <v>0</v>
      </c>
      <c r="BH335" s="527">
        <v>0</v>
      </c>
      <c r="BI335" s="527">
        <v>0</v>
      </c>
      <c r="BJ335" s="527">
        <v>0</v>
      </c>
      <c r="BK335" s="1154">
        <f t="shared" si="39"/>
        <v>0</v>
      </c>
      <c r="BL335" s="1154"/>
      <c r="BM335" s="1154">
        <f t="shared" si="40"/>
        <v>0</v>
      </c>
      <c r="BN335" s="1154">
        <f t="shared" si="41"/>
        <v>0</v>
      </c>
      <c r="BO335" s="527"/>
      <c r="BP335" s="527"/>
      <c r="BQ335" s="1157" t="s">
        <v>2551</v>
      </c>
      <c r="BR335" s="1157" t="s">
        <v>690</v>
      </c>
      <c r="BS335" s="1157" t="s">
        <v>527</v>
      </c>
      <c r="BT335" s="1376" t="s">
        <v>1639</v>
      </c>
    </row>
    <row r="336" spans="1:72" s="1371" customFormat="1" ht="13">
      <c r="A336" s="1204">
        <v>892</v>
      </c>
      <c r="B336" s="1205" t="s">
        <v>672</v>
      </c>
      <c r="C336" s="1205" t="s">
        <v>673</v>
      </c>
      <c r="D336" s="1206" t="s">
        <v>2510</v>
      </c>
      <c r="E336" s="1386" t="s">
        <v>534</v>
      </c>
      <c r="F336" s="521"/>
      <c r="G336" s="522"/>
      <c r="H336" s="522"/>
      <c r="I336" s="522"/>
      <c r="J336" s="523"/>
      <c r="K336" s="523"/>
      <c r="L336" s="523"/>
      <c r="M336" s="524"/>
      <c r="N336" s="525"/>
      <c r="O336" s="526" t="s">
        <v>1237</v>
      </c>
      <c r="P336" s="525">
        <f>'HIV-Key Info'!$G$81*(('HIV-Key Info'!$E$81*'HPM costs'!F465)+('HIV-Key Info'!$F$81*('HPM costs'!F468+'HPM costs'!F471)))</f>
        <v>0</v>
      </c>
      <c r="Q336" s="525" t="s">
        <v>1237</v>
      </c>
      <c r="R336" s="525">
        <f>'HIV-Key Info'!$G$81*(('HIV-Key Info'!$E$81*'HPM costs'!G465)+('HIV-Key Info'!$F$81*('HPM costs'!G468+'HPM costs'!G471)))</f>
        <v>0</v>
      </c>
      <c r="S336" s="525" t="s">
        <v>1237</v>
      </c>
      <c r="T336" s="525">
        <f>'HIV-Key Info'!$G$81*(('HIV-Key Info'!$E$81*'HPM costs'!H465)+('HIV-Key Info'!$F$81*('HPM costs'!H468+'HPM costs'!H471)))</f>
        <v>0</v>
      </c>
      <c r="U336" s="525" t="s">
        <v>1237</v>
      </c>
      <c r="V336" s="525">
        <f>'HIV-Key Info'!$G$81*(('HIV-Key Info'!$E$81*'HPM costs'!I465)+('HIV-Key Info'!$F$81*('HPM costs'!I468+'HPM costs'!I471)))</f>
        <v>0</v>
      </c>
      <c r="W336" s="525"/>
      <c r="X336" s="1154">
        <f t="shared" si="36"/>
        <v>0</v>
      </c>
      <c r="Y336" s="1155"/>
      <c r="Z336" s="1156"/>
      <c r="AA336" s="529"/>
      <c r="AB336" s="525"/>
      <c r="AC336" s="525">
        <f>'HIV-Key Info'!$G$81*(('HIV-Key Info'!$E$81*'HPM costs'!K465)+('HIV-Key Info'!$F$81*('HPM costs'!K468+'HPM costs'!K471)))</f>
        <v>0</v>
      </c>
      <c r="AD336" s="525"/>
      <c r="AE336" s="525">
        <f>'HIV-Key Info'!$G$81*(('HIV-Key Info'!$E$81*'HPM costs'!L465)+('HIV-Key Info'!$F$81*('HPM costs'!L468+'HPM costs'!L471)))</f>
        <v>0</v>
      </c>
      <c r="AF336" s="525"/>
      <c r="AG336" s="525">
        <f>'HIV-Key Info'!$G$81*(('HIV-Key Info'!$E$81*'HPM costs'!M465)+('HIV-Key Info'!$F$81*('HPM costs'!M468+'HPM costs'!M471)))</f>
        <v>0</v>
      </c>
      <c r="AH336" s="525"/>
      <c r="AI336" s="525">
        <f>'HIV-Key Info'!$G$81*(('HIV-Key Info'!$E$81*'HPM costs'!N465)+('HIV-Key Info'!$F$81*('HPM costs'!N468+'HPM costs'!N471)))</f>
        <v>0</v>
      </c>
      <c r="AJ336" s="525"/>
      <c r="AK336" s="1154">
        <f t="shared" si="37"/>
        <v>0</v>
      </c>
      <c r="AL336" s="1155"/>
      <c r="AM336" s="1156"/>
      <c r="AN336" s="529"/>
      <c r="AO336" s="525"/>
      <c r="AP336" s="525">
        <f>'HIV-Key Info'!$G$81*(('HIV-Key Info'!$E$81*'HPM costs'!P465)+('HIV-Key Info'!$F$81*('HPM costs'!P468+'HPM costs'!P471)))</f>
        <v>0</v>
      </c>
      <c r="AQ336" s="525"/>
      <c r="AR336" s="525">
        <f>'HIV-Key Info'!$G$81*(('HIV-Key Info'!$E$81*'HPM costs'!Q465)+('HIV-Key Info'!$F$81*('HPM costs'!Q468+'HPM costs'!Q471)))</f>
        <v>0</v>
      </c>
      <c r="AS336" s="525"/>
      <c r="AT336" s="525">
        <f>'HIV-Key Info'!$G$81*(('HIV-Key Info'!$E$81*'HPM costs'!R465)+('HIV-Key Info'!$F$81*('HPM costs'!R468+'HPM costs'!R471)))</f>
        <v>0</v>
      </c>
      <c r="AU336" s="525"/>
      <c r="AV336" s="525">
        <f>'HIV-Key Info'!$G$81*(('HIV-Key Info'!$E$81*'HPM costs'!S465)+('HIV-Key Info'!$F$81*('HPM costs'!S468+'HPM costs'!S471)))</f>
        <v>0</v>
      </c>
      <c r="AW336" s="525"/>
      <c r="AX336" s="1154">
        <f t="shared" si="38"/>
        <v>0</v>
      </c>
      <c r="AY336" s="1154"/>
      <c r="AZ336" s="528"/>
      <c r="BA336" s="529"/>
      <c r="BB336" s="527"/>
      <c r="BC336" s="527">
        <v>0</v>
      </c>
      <c r="BD336" s="527">
        <v>0</v>
      </c>
      <c r="BE336" s="527">
        <v>0</v>
      </c>
      <c r="BF336" s="527">
        <v>0</v>
      </c>
      <c r="BG336" s="527">
        <v>0</v>
      </c>
      <c r="BH336" s="527">
        <v>0</v>
      </c>
      <c r="BI336" s="527">
        <v>0</v>
      </c>
      <c r="BJ336" s="527">
        <v>0</v>
      </c>
      <c r="BK336" s="1154">
        <f t="shared" si="39"/>
        <v>0</v>
      </c>
      <c r="BL336" s="1154"/>
      <c r="BM336" s="1154">
        <f t="shared" si="40"/>
        <v>0</v>
      </c>
      <c r="BN336" s="1154">
        <f t="shared" si="41"/>
        <v>0</v>
      </c>
      <c r="BO336" s="527"/>
      <c r="BP336" s="527"/>
      <c r="BQ336" s="1157" t="s">
        <v>2551</v>
      </c>
      <c r="BR336" s="1157" t="s">
        <v>690</v>
      </c>
      <c r="BS336" s="1157" t="s">
        <v>527</v>
      </c>
      <c r="BT336" s="1376" t="s">
        <v>1640</v>
      </c>
    </row>
    <row r="337" spans="1:72" s="1371" customFormat="1" ht="13">
      <c r="A337" s="1204">
        <v>893</v>
      </c>
      <c r="B337" s="1205" t="s">
        <v>672</v>
      </c>
      <c r="C337" s="1205" t="s">
        <v>673</v>
      </c>
      <c r="D337" s="1206" t="s">
        <v>2510</v>
      </c>
      <c r="E337" s="1386" t="s">
        <v>536</v>
      </c>
      <c r="F337" s="521"/>
      <c r="G337" s="522"/>
      <c r="H337" s="522"/>
      <c r="I337" s="522"/>
      <c r="J337" s="523"/>
      <c r="K337" s="523"/>
      <c r="L337" s="523"/>
      <c r="M337" s="524"/>
      <c r="N337" s="525"/>
      <c r="O337" s="526" t="s">
        <v>1237</v>
      </c>
      <c r="P337" s="525">
        <f>'HIV-Key Info'!$G$81*(('HIV-Key Info'!$E$81*('HPM costs'!F205+'HPM costs'!F551))+('HIV-Key Info'!$F$81*('HPM costs'!F208+'HPM costs'!F211+'HPM costs'!F554+'HPM costs'!F557)))</f>
        <v>0</v>
      </c>
      <c r="Q337" s="525" t="s">
        <v>1237</v>
      </c>
      <c r="R337" s="525">
        <f>'HIV-Key Info'!$G$81*(('HIV-Key Info'!$E$81*('HPM costs'!G205+'HPM costs'!G551))+('HIV-Key Info'!$F$81*('HPM costs'!G208+'HPM costs'!G211+'HPM costs'!G554+'HPM costs'!G557)))</f>
        <v>0</v>
      </c>
      <c r="S337" s="525" t="s">
        <v>1237</v>
      </c>
      <c r="T337" s="525">
        <f>'HIV-Key Info'!$G$81*(('HIV-Key Info'!$E$81*('HPM costs'!H205+'HPM costs'!H551))+('HIV-Key Info'!$F$81*('HPM costs'!H208+'HPM costs'!H211+'HPM costs'!H554+'HPM costs'!H557)))</f>
        <v>0</v>
      </c>
      <c r="U337" s="525" t="s">
        <v>1237</v>
      </c>
      <c r="V337" s="525">
        <f>'HIV-Key Info'!$G$81*(('HIV-Key Info'!$E$81*('HPM costs'!I205+'HPM costs'!I551))+('HIV-Key Info'!$F$81*('HPM costs'!I208+'HPM costs'!I211+'HPM costs'!I554+'HPM costs'!I557)))</f>
        <v>0</v>
      </c>
      <c r="W337" s="525"/>
      <c r="X337" s="1154">
        <f t="shared" si="36"/>
        <v>0</v>
      </c>
      <c r="Y337" s="1155"/>
      <c r="Z337" s="1156"/>
      <c r="AA337" s="529"/>
      <c r="AB337" s="525"/>
      <c r="AC337" s="525">
        <f>'HIV-Key Info'!$G$81*(('HIV-Key Info'!$E$81*('HPM costs'!K205+'HPM costs'!K551))+('HIV-Key Info'!$F$81*('HPM costs'!K208+'HPM costs'!K211+'HPM costs'!K554+'HPM costs'!K557)))</f>
        <v>0</v>
      </c>
      <c r="AD337" s="525"/>
      <c r="AE337" s="525">
        <f>'HIV-Key Info'!$G$81*(('HIV-Key Info'!$E$81*('HPM costs'!L205+'HPM costs'!L551))+('HIV-Key Info'!$F$81*('HPM costs'!L208+'HPM costs'!L211+'HPM costs'!L554+'HPM costs'!L557)))</f>
        <v>0</v>
      </c>
      <c r="AF337" s="525"/>
      <c r="AG337" s="525">
        <f>'HIV-Key Info'!$G$81*(('HIV-Key Info'!$E$81*('HPM costs'!M205+'HPM costs'!M551))+('HIV-Key Info'!$F$81*('HPM costs'!M208+'HPM costs'!M211+'HPM costs'!M554+'HPM costs'!M557)))</f>
        <v>0</v>
      </c>
      <c r="AH337" s="525"/>
      <c r="AI337" s="525">
        <f>'HIV-Key Info'!$G$81*(('HIV-Key Info'!$E$81*('HPM costs'!N205+'HPM costs'!N551))+('HIV-Key Info'!$F$81*('HPM costs'!N208+'HPM costs'!N211+'HPM costs'!N554+'HPM costs'!N557)))</f>
        <v>0</v>
      </c>
      <c r="AJ337" s="525"/>
      <c r="AK337" s="1154">
        <f t="shared" si="37"/>
        <v>0</v>
      </c>
      <c r="AL337" s="1155"/>
      <c r="AM337" s="1156"/>
      <c r="AN337" s="529"/>
      <c r="AO337" s="525"/>
      <c r="AP337" s="525">
        <f>'HIV-Key Info'!$G$81*(('HIV-Key Info'!$E$81*('HPM costs'!P205+'HPM costs'!P551))+('HIV-Key Info'!$F$81*('HPM costs'!P208+'HPM costs'!P211+'HPM costs'!P554+'HPM costs'!P557)))</f>
        <v>0</v>
      </c>
      <c r="AQ337" s="525"/>
      <c r="AR337" s="525">
        <f>'HIV-Key Info'!$G$81*(('HIV-Key Info'!$E$81*('HPM costs'!Q205+'HPM costs'!Q551))+('HIV-Key Info'!$F$81*('HPM costs'!Q208+'HPM costs'!Q211+'HPM costs'!Q554+'HPM costs'!Q557)))</f>
        <v>0</v>
      </c>
      <c r="AS337" s="525"/>
      <c r="AT337" s="525">
        <f>'HIV-Key Info'!$G$81*(('HIV-Key Info'!$E$81*('HPM costs'!R205+'HPM costs'!R551))+('HIV-Key Info'!$F$81*('HPM costs'!R208+'HPM costs'!R211+'HPM costs'!R554+'HPM costs'!R557)))</f>
        <v>0</v>
      </c>
      <c r="AU337" s="525"/>
      <c r="AV337" s="525">
        <f>'HIV-Key Info'!$G$81*(('HIV-Key Info'!$E$81*('HPM costs'!S205+'HPM costs'!S551))+('HIV-Key Info'!$F$81*('HPM costs'!S208+'HPM costs'!S211+'HPM costs'!S554+'HPM costs'!S557)))</f>
        <v>0</v>
      </c>
      <c r="AW337" s="525"/>
      <c r="AX337" s="1154">
        <f t="shared" si="38"/>
        <v>0</v>
      </c>
      <c r="AY337" s="1154"/>
      <c r="AZ337" s="528"/>
      <c r="BA337" s="529"/>
      <c r="BB337" s="527"/>
      <c r="BC337" s="527">
        <v>0</v>
      </c>
      <c r="BD337" s="527">
        <v>0</v>
      </c>
      <c r="BE337" s="527">
        <v>0</v>
      </c>
      <c r="BF337" s="527">
        <v>0</v>
      </c>
      <c r="BG337" s="527">
        <v>0</v>
      </c>
      <c r="BH337" s="527">
        <v>0</v>
      </c>
      <c r="BI337" s="527">
        <v>0</v>
      </c>
      <c r="BJ337" s="527">
        <v>0</v>
      </c>
      <c r="BK337" s="1154">
        <f t="shared" si="39"/>
        <v>0</v>
      </c>
      <c r="BL337" s="1154"/>
      <c r="BM337" s="1154">
        <f t="shared" si="40"/>
        <v>0</v>
      </c>
      <c r="BN337" s="1154">
        <f t="shared" si="41"/>
        <v>0</v>
      </c>
      <c r="BO337" s="527"/>
      <c r="BP337" s="527"/>
      <c r="BQ337" s="1157" t="s">
        <v>2551</v>
      </c>
      <c r="BR337" s="1157" t="s">
        <v>690</v>
      </c>
      <c r="BS337" s="1157" t="s">
        <v>527</v>
      </c>
      <c r="BT337" s="1376" t="s">
        <v>1641</v>
      </c>
    </row>
    <row r="338" spans="1:72" s="1371" customFormat="1" ht="13">
      <c r="A338" s="1204">
        <v>894</v>
      </c>
      <c r="B338" s="1205" t="s">
        <v>672</v>
      </c>
      <c r="C338" s="1205" t="s">
        <v>673</v>
      </c>
      <c r="D338" s="1206" t="s">
        <v>2510</v>
      </c>
      <c r="E338" s="1386" t="s">
        <v>538</v>
      </c>
      <c r="F338" s="521"/>
      <c r="G338" s="522"/>
      <c r="H338" s="522"/>
      <c r="I338" s="522"/>
      <c r="J338" s="523"/>
      <c r="K338" s="523"/>
      <c r="L338" s="523"/>
      <c r="M338" s="524"/>
      <c r="N338" s="525"/>
      <c r="O338" s="526" t="s">
        <v>1237</v>
      </c>
      <c r="P338" s="525">
        <f>'HIV-Key Info'!$G$81*(('HIV-Key Info'!$E$81*'HPM costs'!F291)+('HIV-Key Info'!$F$81*('HPM costs'!F294+'HPM costs'!F297)))</f>
        <v>0</v>
      </c>
      <c r="Q338" s="525" t="s">
        <v>1237</v>
      </c>
      <c r="R338" s="525">
        <f>'HIV-Key Info'!$G$81*(('HIV-Key Info'!$E$81*'HPM costs'!G291)+('HIV-Key Info'!$F$81*('HPM costs'!G294+'HPM costs'!G297)))</f>
        <v>0</v>
      </c>
      <c r="S338" s="525" t="s">
        <v>1237</v>
      </c>
      <c r="T338" s="525">
        <f>'HIV-Key Info'!$G$81*(('HIV-Key Info'!$E$81*'HPM costs'!H291)+('HIV-Key Info'!$F$81*('HPM costs'!H294+'HPM costs'!H297)))</f>
        <v>0</v>
      </c>
      <c r="U338" s="525" t="s">
        <v>1237</v>
      </c>
      <c r="V338" s="525">
        <f>'HIV-Key Info'!$G$81*(('HIV-Key Info'!$E$81*'HPM costs'!I291)+('HIV-Key Info'!$F$81*('HPM costs'!I294+'HPM costs'!I297)))</f>
        <v>0</v>
      </c>
      <c r="W338" s="525"/>
      <c r="X338" s="1154">
        <f t="shared" si="36"/>
        <v>0</v>
      </c>
      <c r="Y338" s="1155"/>
      <c r="Z338" s="1156"/>
      <c r="AA338" s="529"/>
      <c r="AB338" s="525"/>
      <c r="AC338" s="525">
        <f>'HIV-Key Info'!$G$81*(('HIV-Key Info'!$E$81*'HPM costs'!K291)+('HIV-Key Info'!$F$81*('HPM costs'!K294+'HPM costs'!K297)))</f>
        <v>0</v>
      </c>
      <c r="AD338" s="525"/>
      <c r="AE338" s="525">
        <f>'HIV-Key Info'!$G$81*(('HIV-Key Info'!$E$81*'HPM costs'!L291)+('HIV-Key Info'!$F$81*('HPM costs'!L294+'HPM costs'!L297)))</f>
        <v>0</v>
      </c>
      <c r="AF338" s="525"/>
      <c r="AG338" s="525">
        <f>'HIV-Key Info'!$G$81*(('HIV-Key Info'!$E$81*'HPM costs'!M291)+('HIV-Key Info'!$F$81*('HPM costs'!M294+'HPM costs'!M297)))</f>
        <v>0</v>
      </c>
      <c r="AH338" s="525"/>
      <c r="AI338" s="525">
        <f>'HIV-Key Info'!$G$81*(('HIV-Key Info'!$E$81*'HPM costs'!N291)+('HIV-Key Info'!$F$81*('HPM costs'!N294+'HPM costs'!N297)))</f>
        <v>0</v>
      </c>
      <c r="AJ338" s="525"/>
      <c r="AK338" s="1154">
        <f t="shared" si="37"/>
        <v>0</v>
      </c>
      <c r="AL338" s="1155"/>
      <c r="AM338" s="1156"/>
      <c r="AN338" s="529"/>
      <c r="AO338" s="525"/>
      <c r="AP338" s="525">
        <f>'HIV-Key Info'!$G$81*(('HIV-Key Info'!$E$81*'HPM costs'!P291)+('HIV-Key Info'!$F$81*('HPM costs'!P294+'HPM costs'!P297)))</f>
        <v>0</v>
      </c>
      <c r="AQ338" s="525"/>
      <c r="AR338" s="525">
        <f>'HIV-Key Info'!$G$81*(('HIV-Key Info'!$E$81*'HPM costs'!Q291)+('HIV-Key Info'!$F$81*('HPM costs'!Q294+'HPM costs'!Q297)))</f>
        <v>0</v>
      </c>
      <c r="AS338" s="525"/>
      <c r="AT338" s="525">
        <f>'HIV-Key Info'!$G$81*(('HIV-Key Info'!$E$81*'HPM costs'!R291)+('HIV-Key Info'!$F$81*('HPM costs'!R294+'HPM costs'!R297)))</f>
        <v>0</v>
      </c>
      <c r="AU338" s="525"/>
      <c r="AV338" s="525">
        <f>'HIV-Key Info'!$G$81*(('HIV-Key Info'!$E$81*'HPM costs'!S291)+('HIV-Key Info'!$F$81*('HPM costs'!S294+'HPM costs'!S297)))</f>
        <v>0</v>
      </c>
      <c r="AW338" s="525"/>
      <c r="AX338" s="1154">
        <f t="shared" si="38"/>
        <v>0</v>
      </c>
      <c r="AY338" s="1154"/>
      <c r="AZ338" s="528"/>
      <c r="BA338" s="529"/>
      <c r="BB338" s="527"/>
      <c r="BC338" s="527">
        <v>0</v>
      </c>
      <c r="BD338" s="527">
        <v>0</v>
      </c>
      <c r="BE338" s="527">
        <v>0</v>
      </c>
      <c r="BF338" s="527">
        <v>0</v>
      </c>
      <c r="BG338" s="527">
        <v>0</v>
      </c>
      <c r="BH338" s="527">
        <v>0</v>
      </c>
      <c r="BI338" s="527">
        <v>0</v>
      </c>
      <c r="BJ338" s="527">
        <v>0</v>
      </c>
      <c r="BK338" s="1154">
        <f t="shared" si="39"/>
        <v>0</v>
      </c>
      <c r="BL338" s="1154"/>
      <c r="BM338" s="1154">
        <f t="shared" si="40"/>
        <v>0</v>
      </c>
      <c r="BN338" s="1154">
        <f t="shared" si="41"/>
        <v>0</v>
      </c>
      <c r="BO338" s="527"/>
      <c r="BP338" s="527"/>
      <c r="BQ338" s="1157" t="s">
        <v>2551</v>
      </c>
      <c r="BR338" s="1157" t="s">
        <v>690</v>
      </c>
      <c r="BS338" s="1157" t="s">
        <v>527</v>
      </c>
      <c r="BT338" s="1376" t="s">
        <v>1642</v>
      </c>
    </row>
    <row r="339" spans="1:72" s="1371" customFormat="1" ht="13">
      <c r="A339" s="1204">
        <v>895</v>
      </c>
      <c r="B339" s="1205" t="s">
        <v>672</v>
      </c>
      <c r="C339" s="1205" t="s">
        <v>673</v>
      </c>
      <c r="D339" s="1206" t="s">
        <v>2510</v>
      </c>
      <c r="E339" s="1386" t="s">
        <v>540</v>
      </c>
      <c r="F339" s="521"/>
      <c r="G339" s="522"/>
      <c r="H339" s="522"/>
      <c r="I339" s="522"/>
      <c r="J339" s="523"/>
      <c r="K339" s="523"/>
      <c r="L339" s="523"/>
      <c r="M339" s="524"/>
      <c r="N339" s="525"/>
      <c r="O339" s="526" t="s">
        <v>1237</v>
      </c>
      <c r="P339" s="525">
        <f>'HIV-Key Info'!$G$81*(('HIV-Key Info'!$E$81*'HPM costs'!F636)+('HIV-Key Info'!$F$81*('HPM costs'!F639+'HPM costs'!F642)))</f>
        <v>0</v>
      </c>
      <c r="Q339" s="525" t="s">
        <v>1237</v>
      </c>
      <c r="R339" s="525">
        <f>'HIV-Key Info'!$G$81*(('HIV-Key Info'!$E$81*'HPM costs'!G636)+('HIV-Key Info'!$F$81*('HPM costs'!G639+'HPM costs'!G642)))</f>
        <v>0</v>
      </c>
      <c r="S339" s="525" t="s">
        <v>1237</v>
      </c>
      <c r="T339" s="525">
        <f>'HIV-Key Info'!$G$81*(('HIV-Key Info'!$E$81*'HPM costs'!H636)+('HIV-Key Info'!$F$81*('HPM costs'!H639+'HPM costs'!H642)))</f>
        <v>0</v>
      </c>
      <c r="U339" s="525" t="s">
        <v>1237</v>
      </c>
      <c r="V339" s="525">
        <f>'HIV-Key Info'!$G$81*(('HIV-Key Info'!$E$81*'HPM costs'!I636)+('HIV-Key Info'!$F$81*('HPM costs'!I639+'HPM costs'!I642)))</f>
        <v>0</v>
      </c>
      <c r="W339" s="525"/>
      <c r="X339" s="1154">
        <f t="shared" si="36"/>
        <v>0</v>
      </c>
      <c r="Y339" s="1155"/>
      <c r="Z339" s="1156"/>
      <c r="AA339" s="529"/>
      <c r="AB339" s="525"/>
      <c r="AC339" s="525">
        <f>'HIV-Key Info'!$G$81*(('HIV-Key Info'!$E$81*'HPM costs'!K636)+('HIV-Key Info'!$F$81*('HPM costs'!K639+'HPM costs'!K642)))</f>
        <v>0</v>
      </c>
      <c r="AD339" s="525"/>
      <c r="AE339" s="525">
        <f>'HIV-Key Info'!$G$81*(('HIV-Key Info'!$E$81*'HPM costs'!L636)+('HIV-Key Info'!$F$81*('HPM costs'!L639+'HPM costs'!L642)))</f>
        <v>0</v>
      </c>
      <c r="AF339" s="525"/>
      <c r="AG339" s="525">
        <f>'HIV-Key Info'!$G$81*(('HIV-Key Info'!$E$81*'HPM costs'!M636)+('HIV-Key Info'!$F$81*('HPM costs'!M639+'HPM costs'!M642)))</f>
        <v>0</v>
      </c>
      <c r="AH339" s="525"/>
      <c r="AI339" s="525">
        <f>'HIV-Key Info'!$G$81*(('HIV-Key Info'!$E$81*'HPM costs'!N636)+('HIV-Key Info'!$F$81*('HPM costs'!N639+'HPM costs'!N642)))</f>
        <v>0</v>
      </c>
      <c r="AJ339" s="525"/>
      <c r="AK339" s="1154">
        <f t="shared" si="37"/>
        <v>0</v>
      </c>
      <c r="AL339" s="1155"/>
      <c r="AM339" s="1156"/>
      <c r="AN339" s="529"/>
      <c r="AO339" s="525"/>
      <c r="AP339" s="525">
        <f>'HIV-Key Info'!$G$81*(('HIV-Key Info'!$E$81*'HPM costs'!P636)+('HIV-Key Info'!$F$81*('HPM costs'!P639+'HPM costs'!P642)))</f>
        <v>0</v>
      </c>
      <c r="AQ339" s="525"/>
      <c r="AR339" s="525">
        <f>'HIV-Key Info'!$G$81*(('HIV-Key Info'!$E$81*'HPM costs'!Q636)+('HIV-Key Info'!$F$81*('HPM costs'!Q639+'HPM costs'!Q642)))</f>
        <v>0</v>
      </c>
      <c r="AS339" s="525"/>
      <c r="AT339" s="525">
        <f>'HIV-Key Info'!$G$81*(('HIV-Key Info'!$E$81*'HPM costs'!R636)+('HIV-Key Info'!$F$81*('HPM costs'!R639+'HPM costs'!R642)))</f>
        <v>0</v>
      </c>
      <c r="AU339" s="525"/>
      <c r="AV339" s="525">
        <f>'HIV-Key Info'!$G$81*(('HIV-Key Info'!$E$81*'HPM costs'!S636)+('HIV-Key Info'!$F$81*('HPM costs'!S639+'HPM costs'!S642)))</f>
        <v>0</v>
      </c>
      <c r="AW339" s="525"/>
      <c r="AX339" s="1154">
        <f t="shared" si="38"/>
        <v>0</v>
      </c>
      <c r="AY339" s="1154"/>
      <c r="AZ339" s="528"/>
      <c r="BA339" s="529"/>
      <c r="BB339" s="527"/>
      <c r="BC339" s="527">
        <v>0</v>
      </c>
      <c r="BD339" s="527">
        <v>0</v>
      </c>
      <c r="BE339" s="527">
        <v>0</v>
      </c>
      <c r="BF339" s="527">
        <v>0</v>
      </c>
      <c r="BG339" s="527">
        <v>0</v>
      </c>
      <c r="BH339" s="527">
        <v>0</v>
      </c>
      <c r="BI339" s="527">
        <v>0</v>
      </c>
      <c r="BJ339" s="527">
        <v>0</v>
      </c>
      <c r="BK339" s="1154">
        <f t="shared" si="39"/>
        <v>0</v>
      </c>
      <c r="BL339" s="1154"/>
      <c r="BM339" s="1154">
        <f t="shared" si="40"/>
        <v>0</v>
      </c>
      <c r="BN339" s="1154">
        <f t="shared" si="41"/>
        <v>0</v>
      </c>
      <c r="BO339" s="527"/>
      <c r="BP339" s="527"/>
      <c r="BQ339" s="1157" t="s">
        <v>2551</v>
      </c>
      <c r="BR339" s="1157" t="s">
        <v>690</v>
      </c>
      <c r="BS339" s="1157" t="s">
        <v>527</v>
      </c>
      <c r="BT339" s="1376" t="s">
        <v>1643</v>
      </c>
    </row>
    <row r="340" spans="1:72" s="1371" customFormat="1" ht="13">
      <c r="A340" s="1204">
        <v>896</v>
      </c>
      <c r="B340" s="1205" t="s">
        <v>672</v>
      </c>
      <c r="C340" s="1205" t="s">
        <v>674</v>
      </c>
      <c r="D340" s="1206" t="s">
        <v>2573</v>
      </c>
      <c r="E340" s="1386" t="s">
        <v>603</v>
      </c>
      <c r="F340" s="521"/>
      <c r="G340" s="522"/>
      <c r="H340" s="522"/>
      <c r="I340" s="522"/>
      <c r="J340" s="523"/>
      <c r="K340" s="523"/>
      <c r="L340" s="523"/>
      <c r="M340" s="524"/>
      <c r="N340" s="525"/>
      <c r="O340" s="526" t="s">
        <v>1237</v>
      </c>
      <c r="P340" s="525">
        <f>'HIV-Key Info'!$H$81*('HIV-Key Info'!$E$81*('HPM costs'!F119/'HPM costs'!$E$119)+'HIV-Key Info'!$F$81*('HPM costs'!F125/'HPM costs'!$E$125+'HPM costs'!F122/'HPM costs'!$E$122))</f>
        <v>0</v>
      </c>
      <c r="Q340" s="525" t="s">
        <v>1237</v>
      </c>
      <c r="R340" s="525">
        <f>'HIV-Key Info'!$H$81*('HIV-Key Info'!$E$81*('HPM costs'!G119/'HPM costs'!$E$119)+'HIV-Key Info'!$F$81*('HPM costs'!G125/'HPM costs'!$E$125+'HPM costs'!G122/'HPM costs'!$E$122))</f>
        <v>0</v>
      </c>
      <c r="S340" s="525" t="s">
        <v>1237</v>
      </c>
      <c r="T340" s="525">
        <f>'HIV-Key Info'!$H$81*('HIV-Key Info'!$E$81*('HPM costs'!H119/'HPM costs'!$E$119)+'HIV-Key Info'!$F$81*('HPM costs'!H125/'HPM costs'!$E$125+'HPM costs'!H122/'HPM costs'!$E$122))</f>
        <v>0</v>
      </c>
      <c r="U340" s="525" t="s">
        <v>1237</v>
      </c>
      <c r="V340" s="525">
        <f>'HIV-Key Info'!$H$81*('HIV-Key Info'!$E$81*('HPM costs'!I119/'HPM costs'!$E$119)+'HIV-Key Info'!$F$81*('HPM costs'!I125/'HPM costs'!$E$125+'HPM costs'!I122/'HPM costs'!$E$122))</f>
        <v>0</v>
      </c>
      <c r="W340" s="525"/>
      <c r="X340" s="1154">
        <f t="shared" si="36"/>
        <v>0</v>
      </c>
      <c r="Y340" s="1155"/>
      <c r="Z340" s="1156"/>
      <c r="AA340" s="529"/>
      <c r="AB340" s="525"/>
      <c r="AC340" s="525">
        <f>'HIV-Key Info'!$H$81*('HIV-Key Info'!$E$81*('HPM costs'!K119/'HPM costs'!$E$119)+'HIV-Key Info'!$F$81*('HPM costs'!K125/'HPM costs'!$E$125+'HPM costs'!K122/'HPM costs'!$E$122))</f>
        <v>0</v>
      </c>
      <c r="AD340" s="525"/>
      <c r="AE340" s="525">
        <f>'HIV-Key Info'!$H$81*('HIV-Key Info'!$E$81*('HPM costs'!L119/'HPM costs'!$E$119)+'HIV-Key Info'!$F$81*('HPM costs'!L125/'HPM costs'!$E$125+'HPM costs'!L122/'HPM costs'!$E$122))</f>
        <v>0</v>
      </c>
      <c r="AF340" s="525"/>
      <c r="AG340" s="525">
        <f>'HIV-Key Info'!$H$81*('HIV-Key Info'!$E$81*('HPM costs'!M119/'HPM costs'!$E$119)+'HIV-Key Info'!$F$81*('HPM costs'!M125/'HPM costs'!$E$125+'HPM costs'!M122/'HPM costs'!$E$122))</f>
        <v>0</v>
      </c>
      <c r="AH340" s="525"/>
      <c r="AI340" s="525">
        <f>'HIV-Key Info'!$H$81*('HIV-Key Info'!$E$81*('HPM costs'!N119/'HPM costs'!$E$119)+'HIV-Key Info'!$F$81*('HPM costs'!N125/'HPM costs'!$E$125+'HPM costs'!N122/'HPM costs'!$E$122))</f>
        <v>0</v>
      </c>
      <c r="AJ340" s="525"/>
      <c r="AK340" s="1154">
        <f t="shared" si="37"/>
        <v>0</v>
      </c>
      <c r="AL340" s="1155"/>
      <c r="AM340" s="1156"/>
      <c r="AN340" s="529"/>
      <c r="AO340" s="525"/>
      <c r="AP340" s="525">
        <f>'HIV-Key Info'!$H$81*('HIV-Key Info'!$E$81*('HPM costs'!P119/'HPM costs'!$E$119)+'HIV-Key Info'!$F$81*('HPM costs'!P125/'HPM costs'!$E$125+'HPM costs'!P122/'HPM costs'!$E$122))</f>
        <v>0</v>
      </c>
      <c r="AQ340" s="525"/>
      <c r="AR340" s="525">
        <f>'HIV-Key Info'!$H$81*('HIV-Key Info'!$E$81*('HPM costs'!Q119/'HPM costs'!$E$119)+'HIV-Key Info'!$F$81*('HPM costs'!Q125/'HPM costs'!$E$125+'HPM costs'!Q122/'HPM costs'!$E$122))</f>
        <v>0</v>
      </c>
      <c r="AS340" s="525"/>
      <c r="AT340" s="525">
        <f>'HIV-Key Info'!$H$81*('HIV-Key Info'!$E$81*('HPM costs'!R119/'HPM costs'!$E$119)+'HIV-Key Info'!$F$81*('HPM costs'!R125/'HPM costs'!$E$125+'HPM costs'!R122/'HPM costs'!$E$122))</f>
        <v>0</v>
      </c>
      <c r="AU340" s="525"/>
      <c r="AV340" s="525">
        <f>'HIV-Key Info'!$H$81*('HIV-Key Info'!$E$81*('HPM costs'!S119/'HPM costs'!$E$119)+'HIV-Key Info'!$F$81*('HPM costs'!S125/'HPM costs'!$E$125+'HPM costs'!S122/'HPM costs'!$E$122))</f>
        <v>0</v>
      </c>
      <c r="AW340" s="525"/>
      <c r="AX340" s="1154">
        <f t="shared" si="38"/>
        <v>0</v>
      </c>
      <c r="AY340" s="1154"/>
      <c r="AZ340" s="528"/>
      <c r="BA340" s="529"/>
      <c r="BB340" s="527"/>
      <c r="BC340" s="527">
        <v>0</v>
      </c>
      <c r="BD340" s="527">
        <v>0</v>
      </c>
      <c r="BE340" s="527">
        <v>0</v>
      </c>
      <c r="BF340" s="527">
        <v>0</v>
      </c>
      <c r="BG340" s="527">
        <v>0</v>
      </c>
      <c r="BH340" s="527">
        <v>0</v>
      </c>
      <c r="BI340" s="527">
        <v>0</v>
      </c>
      <c r="BJ340" s="527">
        <v>0</v>
      </c>
      <c r="BK340" s="1154">
        <f t="shared" si="39"/>
        <v>0</v>
      </c>
      <c r="BL340" s="1154"/>
      <c r="BM340" s="1154">
        <f t="shared" si="40"/>
        <v>0</v>
      </c>
      <c r="BN340" s="1154">
        <f t="shared" si="41"/>
        <v>0</v>
      </c>
      <c r="BO340" s="527"/>
      <c r="BP340" s="527"/>
      <c r="BQ340" s="1157" t="s">
        <v>2551</v>
      </c>
      <c r="BR340" s="1157" t="s">
        <v>690</v>
      </c>
      <c r="BS340" s="1157" t="s">
        <v>2570</v>
      </c>
      <c r="BT340" s="1376" t="s">
        <v>1644</v>
      </c>
    </row>
    <row r="341" spans="1:72" s="1371" customFormat="1" ht="13">
      <c r="A341" s="1204">
        <v>897</v>
      </c>
      <c r="B341" s="1205" t="s">
        <v>672</v>
      </c>
      <c r="C341" s="1205" t="s">
        <v>674</v>
      </c>
      <c r="D341" s="1206" t="s">
        <v>2510</v>
      </c>
      <c r="E341" s="1386" t="s">
        <v>528</v>
      </c>
      <c r="F341" s="521"/>
      <c r="G341" s="522"/>
      <c r="H341" s="522"/>
      <c r="I341" s="522"/>
      <c r="J341" s="523"/>
      <c r="K341" s="523"/>
      <c r="L341" s="523"/>
      <c r="M341" s="524"/>
      <c r="N341" s="525"/>
      <c r="O341" s="526" t="s">
        <v>1237</v>
      </c>
      <c r="P341" s="525">
        <f>'HIV-Key Info'!$H$81*(('HIV-Key Info'!$E$81*'HPM costs'!F33)+('HIV-Key Info'!$F$81*('HPM costs'!F36+'HPM costs'!F39)))</f>
        <v>0</v>
      </c>
      <c r="Q341" s="525" t="s">
        <v>1237</v>
      </c>
      <c r="R341" s="525">
        <f>'HIV-Key Info'!$H$81*(('HIV-Key Info'!$E$81*'HPM costs'!G33)+('HIV-Key Info'!$F$81*('HPM costs'!G36+'HPM costs'!G39)))</f>
        <v>0</v>
      </c>
      <c r="S341" s="525" t="s">
        <v>1237</v>
      </c>
      <c r="T341" s="525">
        <f>'HIV-Key Info'!$H$81*(('HIV-Key Info'!$E$81*'HPM costs'!H33)+('HIV-Key Info'!$F$81*('HPM costs'!H36+'HPM costs'!H39)))</f>
        <v>0</v>
      </c>
      <c r="U341" s="525" t="s">
        <v>1237</v>
      </c>
      <c r="V341" s="525">
        <f>'HIV-Key Info'!$H$81*(('HIV-Key Info'!$E$81*'HPM costs'!I33)+('HIV-Key Info'!$F$81*('HPM costs'!I36+'HPM costs'!I39)))</f>
        <v>0</v>
      </c>
      <c r="W341" s="525"/>
      <c r="X341" s="1154">
        <f t="shared" si="36"/>
        <v>0</v>
      </c>
      <c r="Y341" s="1155"/>
      <c r="Z341" s="1156"/>
      <c r="AA341" s="529"/>
      <c r="AB341" s="525"/>
      <c r="AC341" s="525">
        <f>'HIV-Key Info'!$H$81*(('HIV-Key Info'!$E$81*'HPM costs'!K33)+('HIV-Key Info'!$F$81*('HPM costs'!K36+'HPM costs'!K39)))</f>
        <v>0</v>
      </c>
      <c r="AD341" s="525"/>
      <c r="AE341" s="525">
        <f>'HIV-Key Info'!$H$81*(('HIV-Key Info'!$E$81*'HPM costs'!L33)+('HIV-Key Info'!$F$81*('HPM costs'!L36+'HPM costs'!L39)))</f>
        <v>0</v>
      </c>
      <c r="AF341" s="525"/>
      <c r="AG341" s="525">
        <f>'HIV-Key Info'!$H$81*(('HIV-Key Info'!$E$81*'HPM costs'!M33)+('HIV-Key Info'!$F$81*('HPM costs'!M36+'HPM costs'!M39)))</f>
        <v>0</v>
      </c>
      <c r="AH341" s="525"/>
      <c r="AI341" s="525">
        <f>'HIV-Key Info'!$H$81*(('HIV-Key Info'!$E$81*'HPM costs'!N33)+('HIV-Key Info'!$F$81*('HPM costs'!N36+'HPM costs'!N39)))</f>
        <v>0</v>
      </c>
      <c r="AJ341" s="525"/>
      <c r="AK341" s="1154">
        <f t="shared" si="37"/>
        <v>0</v>
      </c>
      <c r="AL341" s="1155"/>
      <c r="AM341" s="1156"/>
      <c r="AN341" s="529"/>
      <c r="AO341" s="525"/>
      <c r="AP341" s="525">
        <f>'HIV-Key Info'!$H$81*(('HIV-Key Info'!$E$81*'HPM costs'!P33)+('HIV-Key Info'!$F$81*('HPM costs'!P36+'HPM costs'!P39)))</f>
        <v>0</v>
      </c>
      <c r="AQ341" s="525"/>
      <c r="AR341" s="525">
        <f>'HIV-Key Info'!$H$81*(('HIV-Key Info'!$E$81*'HPM costs'!Q33)+('HIV-Key Info'!$F$81*('HPM costs'!Q36+'HPM costs'!Q39)))</f>
        <v>0</v>
      </c>
      <c r="AS341" s="525"/>
      <c r="AT341" s="525">
        <f>'HIV-Key Info'!$H$81*(('HIV-Key Info'!$E$81*'HPM costs'!R33)+('HIV-Key Info'!$F$81*('HPM costs'!R36+'HPM costs'!R39)))</f>
        <v>0</v>
      </c>
      <c r="AU341" s="525"/>
      <c r="AV341" s="525">
        <f>'HIV-Key Info'!$H$81*(('HIV-Key Info'!$E$81*'HPM costs'!S33)+('HIV-Key Info'!$F$81*('HPM costs'!S36+'HPM costs'!S39)))</f>
        <v>0</v>
      </c>
      <c r="AW341" s="525"/>
      <c r="AX341" s="1154">
        <f t="shared" si="38"/>
        <v>0</v>
      </c>
      <c r="AY341" s="1154"/>
      <c r="AZ341" s="528"/>
      <c r="BA341" s="529"/>
      <c r="BB341" s="527"/>
      <c r="BC341" s="527">
        <v>0</v>
      </c>
      <c r="BD341" s="527">
        <v>0</v>
      </c>
      <c r="BE341" s="527">
        <v>0</v>
      </c>
      <c r="BF341" s="527">
        <v>0</v>
      </c>
      <c r="BG341" s="527">
        <v>0</v>
      </c>
      <c r="BH341" s="527">
        <v>0</v>
      </c>
      <c r="BI341" s="527">
        <v>0</v>
      </c>
      <c r="BJ341" s="527">
        <v>0</v>
      </c>
      <c r="BK341" s="1154">
        <f t="shared" si="39"/>
        <v>0</v>
      </c>
      <c r="BL341" s="1154"/>
      <c r="BM341" s="1154">
        <f t="shared" si="40"/>
        <v>0</v>
      </c>
      <c r="BN341" s="1154">
        <f t="shared" si="41"/>
        <v>0</v>
      </c>
      <c r="BO341" s="527"/>
      <c r="BP341" s="527"/>
      <c r="BQ341" s="1157" t="s">
        <v>2551</v>
      </c>
      <c r="BR341" s="1157" t="s">
        <v>690</v>
      </c>
      <c r="BS341" s="1157" t="s">
        <v>527</v>
      </c>
      <c r="BT341" s="1376" t="s">
        <v>1645</v>
      </c>
    </row>
    <row r="342" spans="1:72" s="1371" customFormat="1" ht="13">
      <c r="A342" s="1204">
        <v>898</v>
      </c>
      <c r="B342" s="1205" t="s">
        <v>672</v>
      </c>
      <c r="C342" s="1205" t="s">
        <v>674</v>
      </c>
      <c r="D342" s="1206" t="s">
        <v>2510</v>
      </c>
      <c r="E342" s="1386" t="s">
        <v>530</v>
      </c>
      <c r="F342" s="521"/>
      <c r="G342" s="522"/>
      <c r="H342" s="522"/>
      <c r="I342" s="522"/>
      <c r="J342" s="523"/>
      <c r="K342" s="523"/>
      <c r="L342" s="523"/>
      <c r="M342" s="524"/>
      <c r="N342" s="525"/>
      <c r="O342" s="526" t="s">
        <v>1237</v>
      </c>
      <c r="P342" s="525">
        <f>'HIV-Key Info'!$H$81*(('HIV-Key Info'!$E$81*'HPM costs'!F119)+('HIV-Key Info'!$F$81*('HPM costs'!F122+'HPM costs'!F125)))</f>
        <v>0</v>
      </c>
      <c r="Q342" s="525" t="s">
        <v>1237</v>
      </c>
      <c r="R342" s="525">
        <f>'HIV-Key Info'!$H$81*(('HIV-Key Info'!$E$81*'HPM costs'!G119)+('HIV-Key Info'!$F$81*('HPM costs'!G122+'HPM costs'!G125)))</f>
        <v>0</v>
      </c>
      <c r="S342" s="525" t="s">
        <v>1237</v>
      </c>
      <c r="T342" s="525">
        <f>'HIV-Key Info'!$H$81*(('HIV-Key Info'!$E$81*'HPM costs'!H119)+('HIV-Key Info'!$F$81*('HPM costs'!H122+'HPM costs'!H125)))</f>
        <v>0</v>
      </c>
      <c r="U342" s="525" t="s">
        <v>1237</v>
      </c>
      <c r="V342" s="525">
        <f>'HIV-Key Info'!$H$81*(('HIV-Key Info'!$E$81*'HPM costs'!I119)+('HIV-Key Info'!$F$81*('HPM costs'!I122+'HPM costs'!I125)))</f>
        <v>0</v>
      </c>
      <c r="W342" s="525"/>
      <c r="X342" s="1154">
        <f t="shared" si="36"/>
        <v>0</v>
      </c>
      <c r="Y342" s="1155"/>
      <c r="Z342" s="1156"/>
      <c r="AA342" s="529"/>
      <c r="AB342" s="525"/>
      <c r="AC342" s="525">
        <f>'HIV-Key Info'!$H$81*(('HIV-Key Info'!$E$81*'HPM costs'!K119)+('HIV-Key Info'!$F$81*('HPM costs'!K122+'HPM costs'!K125)))</f>
        <v>0</v>
      </c>
      <c r="AD342" s="525"/>
      <c r="AE342" s="525">
        <f>'HIV-Key Info'!$H$81*(('HIV-Key Info'!$E$81*'HPM costs'!L119)+('HIV-Key Info'!$F$81*('HPM costs'!L122+'HPM costs'!L125)))</f>
        <v>0</v>
      </c>
      <c r="AF342" s="525"/>
      <c r="AG342" s="525">
        <f>'HIV-Key Info'!$H$81*(('HIV-Key Info'!$E$81*'HPM costs'!M119)+('HIV-Key Info'!$F$81*('HPM costs'!M122+'HPM costs'!M125)))</f>
        <v>0</v>
      </c>
      <c r="AH342" s="525"/>
      <c r="AI342" s="525">
        <f>'HIV-Key Info'!$H$81*(('HIV-Key Info'!$E$81*'HPM costs'!N119)+('HIV-Key Info'!$F$81*('HPM costs'!N122+'HPM costs'!N125)))</f>
        <v>0</v>
      </c>
      <c r="AJ342" s="525"/>
      <c r="AK342" s="1154">
        <f t="shared" si="37"/>
        <v>0</v>
      </c>
      <c r="AL342" s="1155"/>
      <c r="AM342" s="1156"/>
      <c r="AN342" s="529"/>
      <c r="AO342" s="525"/>
      <c r="AP342" s="525">
        <f>'HIV-Key Info'!$H$81*(('HIV-Key Info'!$E$81*'HPM costs'!P119)+('HIV-Key Info'!$F$81*('HPM costs'!P122+'HPM costs'!P125)))</f>
        <v>0</v>
      </c>
      <c r="AQ342" s="525"/>
      <c r="AR342" s="525">
        <f>'HIV-Key Info'!$H$81*(('HIV-Key Info'!$E$81*'HPM costs'!Q119)+('HIV-Key Info'!$F$81*('HPM costs'!Q122+'HPM costs'!Q125)))</f>
        <v>0</v>
      </c>
      <c r="AS342" s="525"/>
      <c r="AT342" s="525">
        <f>'HIV-Key Info'!$H$81*(('HIV-Key Info'!$E$81*'HPM costs'!R119)+('HIV-Key Info'!$F$81*('HPM costs'!R122+'HPM costs'!R125)))</f>
        <v>0</v>
      </c>
      <c r="AU342" s="525"/>
      <c r="AV342" s="525">
        <f>'HIV-Key Info'!$H$81*(('HIV-Key Info'!$E$81*'HPM costs'!S119)+('HIV-Key Info'!$F$81*('HPM costs'!S122+'HPM costs'!S125)))</f>
        <v>0</v>
      </c>
      <c r="AW342" s="525"/>
      <c r="AX342" s="1154">
        <f t="shared" si="38"/>
        <v>0</v>
      </c>
      <c r="AY342" s="1154"/>
      <c r="AZ342" s="528"/>
      <c r="BA342" s="529"/>
      <c r="BB342" s="527"/>
      <c r="BC342" s="527">
        <v>0</v>
      </c>
      <c r="BD342" s="527">
        <v>0</v>
      </c>
      <c r="BE342" s="527">
        <v>0</v>
      </c>
      <c r="BF342" s="527">
        <v>0</v>
      </c>
      <c r="BG342" s="527">
        <v>0</v>
      </c>
      <c r="BH342" s="527">
        <v>0</v>
      </c>
      <c r="BI342" s="527">
        <v>0</v>
      </c>
      <c r="BJ342" s="527">
        <v>0</v>
      </c>
      <c r="BK342" s="1154">
        <f t="shared" si="39"/>
        <v>0</v>
      </c>
      <c r="BL342" s="1154"/>
      <c r="BM342" s="1154">
        <f t="shared" si="40"/>
        <v>0</v>
      </c>
      <c r="BN342" s="1154">
        <f t="shared" si="41"/>
        <v>0</v>
      </c>
      <c r="BO342" s="527"/>
      <c r="BP342" s="527"/>
      <c r="BQ342" s="1157" t="s">
        <v>2551</v>
      </c>
      <c r="BR342" s="1157" t="s">
        <v>690</v>
      </c>
      <c r="BS342" s="1157" t="s">
        <v>527</v>
      </c>
      <c r="BT342" s="1376" t="s">
        <v>1646</v>
      </c>
    </row>
    <row r="343" spans="1:72" s="1371" customFormat="1" ht="13">
      <c r="A343" s="1204">
        <v>899</v>
      </c>
      <c r="B343" s="1205" t="s">
        <v>672</v>
      </c>
      <c r="C343" s="1205" t="s">
        <v>674</v>
      </c>
      <c r="D343" s="1206" t="s">
        <v>2510</v>
      </c>
      <c r="E343" s="1386" t="s">
        <v>532</v>
      </c>
      <c r="F343" s="521"/>
      <c r="G343" s="522"/>
      <c r="H343" s="522"/>
      <c r="I343" s="522"/>
      <c r="J343" s="523"/>
      <c r="K343" s="523"/>
      <c r="L343" s="523"/>
      <c r="M343" s="524"/>
      <c r="N343" s="525"/>
      <c r="O343" s="526" t="s">
        <v>1237</v>
      </c>
      <c r="P343" s="525">
        <f>'HIV-Key Info'!$H$81*(('HIV-Key Info'!$E$81*'HPM costs'!F379)+('HIV-Key Info'!$F$81*('HPM costs'!F382+'HPM costs'!F385)))</f>
        <v>0</v>
      </c>
      <c r="Q343" s="525" t="s">
        <v>1237</v>
      </c>
      <c r="R343" s="525">
        <f>'HIV-Key Info'!$H$81*(('HIV-Key Info'!$E$81*'HPM costs'!G379)+('HIV-Key Info'!$F$81*('HPM costs'!G382+'HPM costs'!G385)))</f>
        <v>0</v>
      </c>
      <c r="S343" s="525" t="s">
        <v>1237</v>
      </c>
      <c r="T343" s="525">
        <f>'HIV-Key Info'!$H$81*(('HIV-Key Info'!$E$81*'HPM costs'!H379)+('HIV-Key Info'!$F$81*('HPM costs'!H382+'HPM costs'!H385)))</f>
        <v>0</v>
      </c>
      <c r="U343" s="525" t="s">
        <v>1237</v>
      </c>
      <c r="V343" s="525">
        <f>'HIV-Key Info'!$H$81*(('HIV-Key Info'!$E$81*'HPM costs'!I379)+('HIV-Key Info'!$F$81*('HPM costs'!I382+'HPM costs'!I385)))</f>
        <v>0</v>
      </c>
      <c r="W343" s="525"/>
      <c r="X343" s="1154">
        <f t="shared" si="36"/>
        <v>0</v>
      </c>
      <c r="Y343" s="1155"/>
      <c r="Z343" s="1156"/>
      <c r="AA343" s="529"/>
      <c r="AB343" s="525"/>
      <c r="AC343" s="525">
        <f>'HIV-Key Info'!$H$81*(('HIV-Key Info'!$E$81*'HPM costs'!K379)+('HIV-Key Info'!$F$81*('HPM costs'!K382+'HPM costs'!K385)))</f>
        <v>0</v>
      </c>
      <c r="AD343" s="525"/>
      <c r="AE343" s="525">
        <f>'HIV-Key Info'!$H$81*(('HIV-Key Info'!$E$81*'HPM costs'!L379)+('HIV-Key Info'!$F$81*('HPM costs'!L382+'HPM costs'!L385)))</f>
        <v>0</v>
      </c>
      <c r="AF343" s="525"/>
      <c r="AG343" s="525">
        <f>'HIV-Key Info'!$H$81*(('HIV-Key Info'!$E$81*'HPM costs'!M379)+('HIV-Key Info'!$F$81*('HPM costs'!M382+'HPM costs'!M385)))</f>
        <v>0</v>
      </c>
      <c r="AH343" s="525"/>
      <c r="AI343" s="525">
        <f>'HIV-Key Info'!$H$81*(('HIV-Key Info'!$E$81*'HPM costs'!N379)+('HIV-Key Info'!$F$81*('HPM costs'!N382+'HPM costs'!N385)))</f>
        <v>0</v>
      </c>
      <c r="AJ343" s="525"/>
      <c r="AK343" s="1154">
        <f t="shared" si="37"/>
        <v>0</v>
      </c>
      <c r="AL343" s="1155"/>
      <c r="AM343" s="1156"/>
      <c r="AN343" s="529"/>
      <c r="AO343" s="525"/>
      <c r="AP343" s="525">
        <f>'HIV-Key Info'!$H$81*(('HIV-Key Info'!$E$81*'HPM costs'!P379)+('HIV-Key Info'!$F$81*('HPM costs'!P382+'HPM costs'!P385)))</f>
        <v>0</v>
      </c>
      <c r="AQ343" s="525"/>
      <c r="AR343" s="525">
        <f>'HIV-Key Info'!$H$81*(('HIV-Key Info'!$E$81*'HPM costs'!Q379)+('HIV-Key Info'!$F$81*('HPM costs'!Q382+'HPM costs'!Q385)))</f>
        <v>0</v>
      </c>
      <c r="AS343" s="525"/>
      <c r="AT343" s="525">
        <f>'HIV-Key Info'!$H$81*(('HIV-Key Info'!$E$81*'HPM costs'!R379)+('HIV-Key Info'!$F$81*('HPM costs'!R382+'HPM costs'!R385)))</f>
        <v>0</v>
      </c>
      <c r="AU343" s="525"/>
      <c r="AV343" s="525">
        <f>'HIV-Key Info'!$H$81*(('HIV-Key Info'!$E$81*'HPM costs'!S379)+('HIV-Key Info'!$F$81*('HPM costs'!S382+'HPM costs'!S385)))</f>
        <v>0</v>
      </c>
      <c r="AW343" s="525"/>
      <c r="AX343" s="1154">
        <f t="shared" si="38"/>
        <v>0</v>
      </c>
      <c r="AY343" s="1154"/>
      <c r="AZ343" s="528"/>
      <c r="BA343" s="529"/>
      <c r="BB343" s="527"/>
      <c r="BC343" s="527">
        <v>0</v>
      </c>
      <c r="BD343" s="527">
        <v>0</v>
      </c>
      <c r="BE343" s="527">
        <v>0</v>
      </c>
      <c r="BF343" s="527">
        <v>0</v>
      </c>
      <c r="BG343" s="527">
        <v>0</v>
      </c>
      <c r="BH343" s="527">
        <v>0</v>
      </c>
      <c r="BI343" s="527">
        <v>0</v>
      </c>
      <c r="BJ343" s="527">
        <v>0</v>
      </c>
      <c r="BK343" s="1154">
        <f t="shared" si="39"/>
        <v>0</v>
      </c>
      <c r="BL343" s="1154"/>
      <c r="BM343" s="1154">
        <f t="shared" si="40"/>
        <v>0</v>
      </c>
      <c r="BN343" s="1154">
        <f t="shared" si="41"/>
        <v>0</v>
      </c>
      <c r="BO343" s="527"/>
      <c r="BP343" s="527"/>
      <c r="BQ343" s="1157" t="s">
        <v>2551</v>
      </c>
      <c r="BR343" s="1157" t="s">
        <v>690</v>
      </c>
      <c r="BS343" s="1157" t="s">
        <v>527</v>
      </c>
      <c r="BT343" s="1376" t="s">
        <v>1647</v>
      </c>
    </row>
    <row r="344" spans="1:72" s="1371" customFormat="1" ht="13">
      <c r="A344" s="1204">
        <v>900</v>
      </c>
      <c r="B344" s="1205" t="s">
        <v>672</v>
      </c>
      <c r="C344" s="1205" t="s">
        <v>674</v>
      </c>
      <c r="D344" s="1206" t="s">
        <v>2510</v>
      </c>
      <c r="E344" s="1386" t="s">
        <v>534</v>
      </c>
      <c r="F344" s="521"/>
      <c r="G344" s="522"/>
      <c r="H344" s="522"/>
      <c r="I344" s="522"/>
      <c r="J344" s="523"/>
      <c r="K344" s="523"/>
      <c r="L344" s="523"/>
      <c r="M344" s="524"/>
      <c r="N344" s="525"/>
      <c r="O344" s="526" t="s">
        <v>1237</v>
      </c>
      <c r="P344" s="525">
        <f>'HIV-Key Info'!$H$81*(('HIV-Key Info'!$E$81*'HPM costs'!F465)+('HIV-Key Info'!$F$81*('HPM costs'!F468+'HPM costs'!F471)))</f>
        <v>0</v>
      </c>
      <c r="Q344" s="525" t="s">
        <v>1237</v>
      </c>
      <c r="R344" s="525">
        <f>'HIV-Key Info'!$H$81*(('HIV-Key Info'!$E$81*'HPM costs'!G465)+('HIV-Key Info'!$F$81*('HPM costs'!G468+'HPM costs'!G471)))</f>
        <v>0</v>
      </c>
      <c r="S344" s="525" t="s">
        <v>1237</v>
      </c>
      <c r="T344" s="525">
        <f>'HIV-Key Info'!$H$81*(('HIV-Key Info'!$E$81*'HPM costs'!H465)+('HIV-Key Info'!$F$81*('HPM costs'!H468+'HPM costs'!H471)))</f>
        <v>0</v>
      </c>
      <c r="U344" s="525" t="s">
        <v>1237</v>
      </c>
      <c r="V344" s="525">
        <f>'HIV-Key Info'!$H$81*(('HIV-Key Info'!$E$81*'HPM costs'!I465)+('HIV-Key Info'!$F$81*('HPM costs'!I468+'HPM costs'!I471)))</f>
        <v>0</v>
      </c>
      <c r="W344" s="525"/>
      <c r="X344" s="1154">
        <f t="shared" si="36"/>
        <v>0</v>
      </c>
      <c r="Y344" s="1155"/>
      <c r="Z344" s="1156"/>
      <c r="AA344" s="529"/>
      <c r="AB344" s="525"/>
      <c r="AC344" s="525">
        <f>'HIV-Key Info'!$H$81*(('HIV-Key Info'!$E$81*'HPM costs'!K465)+('HIV-Key Info'!$F$81*('HPM costs'!K468+'HPM costs'!K471)))</f>
        <v>0</v>
      </c>
      <c r="AD344" s="525"/>
      <c r="AE344" s="525">
        <f>'HIV-Key Info'!$H$81*(('HIV-Key Info'!$E$81*'HPM costs'!L465)+('HIV-Key Info'!$F$81*('HPM costs'!L468+'HPM costs'!L471)))</f>
        <v>0</v>
      </c>
      <c r="AF344" s="525"/>
      <c r="AG344" s="525">
        <f>'HIV-Key Info'!$H$81*(('HIV-Key Info'!$E$81*'HPM costs'!M465)+('HIV-Key Info'!$F$81*('HPM costs'!M468+'HPM costs'!M471)))</f>
        <v>0</v>
      </c>
      <c r="AH344" s="525"/>
      <c r="AI344" s="525">
        <f>'HIV-Key Info'!$H$81*(('HIV-Key Info'!$E$81*'HPM costs'!N465)+('HIV-Key Info'!$F$81*('HPM costs'!N468+'HPM costs'!N471)))</f>
        <v>0</v>
      </c>
      <c r="AJ344" s="525"/>
      <c r="AK344" s="1154">
        <f t="shared" si="37"/>
        <v>0</v>
      </c>
      <c r="AL344" s="1155"/>
      <c r="AM344" s="1156"/>
      <c r="AN344" s="529"/>
      <c r="AO344" s="525"/>
      <c r="AP344" s="525">
        <f>'HIV-Key Info'!$H$81*(('HIV-Key Info'!$E$81*'HPM costs'!P465)+('HIV-Key Info'!$F$81*('HPM costs'!P468+'HPM costs'!P471)))</f>
        <v>0</v>
      </c>
      <c r="AQ344" s="525"/>
      <c r="AR344" s="525">
        <f>'HIV-Key Info'!$H$81*(('HIV-Key Info'!$E$81*'HPM costs'!Q465)+('HIV-Key Info'!$F$81*('HPM costs'!Q468+'HPM costs'!Q471)))</f>
        <v>0</v>
      </c>
      <c r="AS344" s="525"/>
      <c r="AT344" s="525">
        <f>'HIV-Key Info'!$H$81*(('HIV-Key Info'!$E$81*'HPM costs'!R465)+('HIV-Key Info'!$F$81*('HPM costs'!R468+'HPM costs'!R471)))</f>
        <v>0</v>
      </c>
      <c r="AU344" s="525"/>
      <c r="AV344" s="525">
        <f>'HIV-Key Info'!$H$81*(('HIV-Key Info'!$E$81*'HPM costs'!S465)+('HIV-Key Info'!$F$81*('HPM costs'!S468+'HPM costs'!S471)))</f>
        <v>0</v>
      </c>
      <c r="AW344" s="525"/>
      <c r="AX344" s="1154">
        <f t="shared" si="38"/>
        <v>0</v>
      </c>
      <c r="AY344" s="1154"/>
      <c r="AZ344" s="528"/>
      <c r="BA344" s="529"/>
      <c r="BB344" s="527"/>
      <c r="BC344" s="527">
        <v>0</v>
      </c>
      <c r="BD344" s="527">
        <v>0</v>
      </c>
      <c r="BE344" s="527">
        <v>0</v>
      </c>
      <c r="BF344" s="527">
        <v>0</v>
      </c>
      <c r="BG344" s="527">
        <v>0</v>
      </c>
      <c r="BH344" s="527">
        <v>0</v>
      </c>
      <c r="BI344" s="527">
        <v>0</v>
      </c>
      <c r="BJ344" s="527">
        <v>0</v>
      </c>
      <c r="BK344" s="1154">
        <f t="shared" si="39"/>
        <v>0</v>
      </c>
      <c r="BL344" s="1154"/>
      <c r="BM344" s="1154">
        <f t="shared" si="40"/>
        <v>0</v>
      </c>
      <c r="BN344" s="1154">
        <f t="shared" si="41"/>
        <v>0</v>
      </c>
      <c r="BO344" s="527"/>
      <c r="BP344" s="527"/>
      <c r="BQ344" s="1157" t="s">
        <v>2551</v>
      </c>
      <c r="BR344" s="1157" t="s">
        <v>690</v>
      </c>
      <c r="BS344" s="1157" t="s">
        <v>527</v>
      </c>
      <c r="BT344" s="1376" t="s">
        <v>1648</v>
      </c>
    </row>
    <row r="345" spans="1:72" s="1371" customFormat="1" ht="13">
      <c r="A345" s="1204">
        <v>901</v>
      </c>
      <c r="B345" s="1205" t="s">
        <v>672</v>
      </c>
      <c r="C345" s="1205" t="s">
        <v>674</v>
      </c>
      <c r="D345" s="1206" t="s">
        <v>2510</v>
      </c>
      <c r="E345" s="1386" t="s">
        <v>536</v>
      </c>
      <c r="F345" s="521"/>
      <c r="G345" s="522"/>
      <c r="H345" s="522"/>
      <c r="I345" s="522"/>
      <c r="J345" s="523"/>
      <c r="K345" s="523"/>
      <c r="L345" s="523"/>
      <c r="M345" s="524"/>
      <c r="N345" s="525"/>
      <c r="O345" s="526" t="s">
        <v>1237</v>
      </c>
      <c r="P345" s="525">
        <f>'HIV-Key Info'!$H$81*(('HIV-Key Info'!$E$81*('HPM costs'!F205+'HPM costs'!F551))+('HIV-Key Info'!$F$81*('HPM costs'!F208+'HPM costs'!F211+'HPM costs'!F554+'HPM costs'!F557)))</f>
        <v>0</v>
      </c>
      <c r="Q345" s="525" t="s">
        <v>1237</v>
      </c>
      <c r="R345" s="525">
        <f>'HIV-Key Info'!$H$81*(('HIV-Key Info'!$E$81*('HPM costs'!G205+'HPM costs'!G551))+('HIV-Key Info'!$F$81*('HPM costs'!G208+'HPM costs'!G211+'HPM costs'!G554+'HPM costs'!G557)))</f>
        <v>0</v>
      </c>
      <c r="S345" s="525" t="s">
        <v>1237</v>
      </c>
      <c r="T345" s="525">
        <f>'HIV-Key Info'!$H$81*(('HIV-Key Info'!$E$81*('HPM costs'!H205+'HPM costs'!H551))+('HIV-Key Info'!$F$81*('HPM costs'!H208+'HPM costs'!H211+'HPM costs'!H554+'HPM costs'!H557)))</f>
        <v>0</v>
      </c>
      <c r="U345" s="525" t="s">
        <v>1237</v>
      </c>
      <c r="V345" s="525">
        <f>'HIV-Key Info'!$H$81*(('HIV-Key Info'!$E$81*('HPM costs'!I205+'HPM costs'!I551))+('HIV-Key Info'!$F$81*('HPM costs'!I208+'HPM costs'!I211+'HPM costs'!I554+'HPM costs'!I557)))</f>
        <v>0</v>
      </c>
      <c r="W345" s="525"/>
      <c r="X345" s="1154">
        <f t="shared" si="36"/>
        <v>0</v>
      </c>
      <c r="Y345" s="1155"/>
      <c r="Z345" s="1156"/>
      <c r="AA345" s="529"/>
      <c r="AB345" s="525"/>
      <c r="AC345" s="525">
        <f>'HIV-Key Info'!$H$81*(('HIV-Key Info'!$E$81*('HPM costs'!K205+'HPM costs'!K551))+('HIV-Key Info'!$F$81*('HPM costs'!K208+'HPM costs'!K211+'HPM costs'!K554+'HPM costs'!K557)))</f>
        <v>0</v>
      </c>
      <c r="AD345" s="525"/>
      <c r="AE345" s="525">
        <f>'HIV-Key Info'!$H$81*(('HIV-Key Info'!$E$81*('HPM costs'!L205+'HPM costs'!L551))+('HIV-Key Info'!$F$81*('HPM costs'!L208+'HPM costs'!L211+'HPM costs'!L554+'HPM costs'!L557)))</f>
        <v>0</v>
      </c>
      <c r="AF345" s="525"/>
      <c r="AG345" s="525">
        <f>'HIV-Key Info'!$H$81*(('HIV-Key Info'!$E$81*('HPM costs'!M205+'HPM costs'!M551))+('HIV-Key Info'!$F$81*('HPM costs'!M208+'HPM costs'!M211+'HPM costs'!M554+'HPM costs'!M557)))</f>
        <v>0</v>
      </c>
      <c r="AH345" s="525"/>
      <c r="AI345" s="525">
        <f>'HIV-Key Info'!$H$81*(('HIV-Key Info'!$E$81*('HPM costs'!N205+'HPM costs'!N551))+('HIV-Key Info'!$F$81*('HPM costs'!N208+'HPM costs'!N211+'HPM costs'!N554+'HPM costs'!N557)))</f>
        <v>0</v>
      </c>
      <c r="AJ345" s="525"/>
      <c r="AK345" s="1154">
        <f t="shared" si="37"/>
        <v>0</v>
      </c>
      <c r="AL345" s="1155"/>
      <c r="AM345" s="1156"/>
      <c r="AN345" s="529"/>
      <c r="AO345" s="525"/>
      <c r="AP345" s="525">
        <f>'HIV-Key Info'!$H$81*(('HIV-Key Info'!$E$81*('HPM costs'!P205+'HPM costs'!P551))+('HIV-Key Info'!$F$81*('HPM costs'!P208+'HPM costs'!P211+'HPM costs'!P554+'HPM costs'!P557)))</f>
        <v>0</v>
      </c>
      <c r="AQ345" s="525"/>
      <c r="AR345" s="525">
        <f>'HIV-Key Info'!$H$81*(('HIV-Key Info'!$E$81*('HPM costs'!Q205+'HPM costs'!Q551))+('HIV-Key Info'!$F$81*('HPM costs'!Q208+'HPM costs'!Q211+'HPM costs'!Q554+'HPM costs'!Q557)))</f>
        <v>0</v>
      </c>
      <c r="AS345" s="525"/>
      <c r="AT345" s="525">
        <f>'HIV-Key Info'!$H$81*(('HIV-Key Info'!$E$81*('HPM costs'!R205+'HPM costs'!R551))+('HIV-Key Info'!$F$81*('HPM costs'!R208+'HPM costs'!R211+'HPM costs'!R554+'HPM costs'!R557)))</f>
        <v>0</v>
      </c>
      <c r="AU345" s="525"/>
      <c r="AV345" s="525">
        <f>'HIV-Key Info'!$H$81*(('HIV-Key Info'!$E$81*('HPM costs'!S205+'HPM costs'!S551))+('HIV-Key Info'!$F$81*('HPM costs'!S208+'HPM costs'!S211+'HPM costs'!S554+'HPM costs'!S557)))</f>
        <v>0</v>
      </c>
      <c r="AW345" s="525"/>
      <c r="AX345" s="1154">
        <f t="shared" si="38"/>
        <v>0</v>
      </c>
      <c r="AY345" s="1154"/>
      <c r="AZ345" s="528"/>
      <c r="BA345" s="529"/>
      <c r="BB345" s="527"/>
      <c r="BC345" s="527">
        <v>0</v>
      </c>
      <c r="BD345" s="527">
        <v>0</v>
      </c>
      <c r="BE345" s="527">
        <v>0</v>
      </c>
      <c r="BF345" s="527">
        <v>0</v>
      </c>
      <c r="BG345" s="527">
        <v>0</v>
      </c>
      <c r="BH345" s="527">
        <v>0</v>
      </c>
      <c r="BI345" s="527">
        <v>0</v>
      </c>
      <c r="BJ345" s="527">
        <v>0</v>
      </c>
      <c r="BK345" s="1154">
        <f t="shared" si="39"/>
        <v>0</v>
      </c>
      <c r="BL345" s="1154"/>
      <c r="BM345" s="1154">
        <f t="shared" si="40"/>
        <v>0</v>
      </c>
      <c r="BN345" s="1154">
        <f t="shared" si="41"/>
        <v>0</v>
      </c>
      <c r="BO345" s="527"/>
      <c r="BP345" s="527"/>
      <c r="BQ345" s="1157" t="s">
        <v>2551</v>
      </c>
      <c r="BR345" s="1157" t="s">
        <v>690</v>
      </c>
      <c r="BS345" s="1157" t="s">
        <v>527</v>
      </c>
      <c r="BT345" s="1376" t="s">
        <v>1649</v>
      </c>
    </row>
    <row r="346" spans="1:72" s="1371" customFormat="1" ht="13">
      <c r="A346" s="1204">
        <v>902</v>
      </c>
      <c r="B346" s="1205" t="s">
        <v>672</v>
      </c>
      <c r="C346" s="1205" t="s">
        <v>674</v>
      </c>
      <c r="D346" s="1206" t="s">
        <v>2510</v>
      </c>
      <c r="E346" s="1386" t="s">
        <v>538</v>
      </c>
      <c r="F346" s="521"/>
      <c r="G346" s="522"/>
      <c r="H346" s="522"/>
      <c r="I346" s="522"/>
      <c r="J346" s="523"/>
      <c r="K346" s="523"/>
      <c r="L346" s="523"/>
      <c r="M346" s="524"/>
      <c r="N346" s="525"/>
      <c r="O346" s="526" t="s">
        <v>1237</v>
      </c>
      <c r="P346" s="525">
        <f>'HIV-Key Info'!$H$81*(('HIV-Key Info'!$E$81*'HPM costs'!F291)+('HIV-Key Info'!$F$81*('HPM costs'!F294+'HPM costs'!F297)))</f>
        <v>0</v>
      </c>
      <c r="Q346" s="525" t="s">
        <v>1237</v>
      </c>
      <c r="R346" s="525">
        <f>'HIV-Key Info'!$H$81*(('HIV-Key Info'!$E$81*'HPM costs'!G291)+('HIV-Key Info'!$F$81*('HPM costs'!G294+'HPM costs'!G297)))</f>
        <v>0</v>
      </c>
      <c r="S346" s="525" t="s">
        <v>1237</v>
      </c>
      <c r="T346" s="525">
        <f>'HIV-Key Info'!$H$81*(('HIV-Key Info'!$E$81*'HPM costs'!H291)+('HIV-Key Info'!$F$81*('HPM costs'!H294+'HPM costs'!H297)))</f>
        <v>0</v>
      </c>
      <c r="U346" s="525" t="s">
        <v>1237</v>
      </c>
      <c r="V346" s="525">
        <f>'HIV-Key Info'!$H$81*(('HIV-Key Info'!$E$81*'HPM costs'!I291)+('HIV-Key Info'!$F$81*('HPM costs'!I294+'HPM costs'!I297)))</f>
        <v>0</v>
      </c>
      <c r="W346" s="525"/>
      <c r="X346" s="1154">
        <f t="shared" si="36"/>
        <v>0</v>
      </c>
      <c r="Y346" s="1155"/>
      <c r="Z346" s="1156"/>
      <c r="AA346" s="529"/>
      <c r="AB346" s="525"/>
      <c r="AC346" s="525">
        <f>'HIV-Key Info'!$H$81*(('HIV-Key Info'!$E$81*'HPM costs'!K291)+('HIV-Key Info'!$F$81*('HPM costs'!K294+'HPM costs'!K297)))</f>
        <v>0</v>
      </c>
      <c r="AD346" s="525"/>
      <c r="AE346" s="525">
        <f>'HIV-Key Info'!$H$81*(('HIV-Key Info'!$E$81*'HPM costs'!L291)+('HIV-Key Info'!$F$81*('HPM costs'!L294+'HPM costs'!L297)))</f>
        <v>0</v>
      </c>
      <c r="AF346" s="525"/>
      <c r="AG346" s="525">
        <f>'HIV-Key Info'!$H$81*(('HIV-Key Info'!$E$81*'HPM costs'!M291)+('HIV-Key Info'!$F$81*('HPM costs'!M294+'HPM costs'!M297)))</f>
        <v>0</v>
      </c>
      <c r="AH346" s="525"/>
      <c r="AI346" s="525">
        <f>'HIV-Key Info'!$H$81*(('HIV-Key Info'!$E$81*'HPM costs'!N291)+('HIV-Key Info'!$F$81*('HPM costs'!N294+'HPM costs'!N297)))</f>
        <v>0</v>
      </c>
      <c r="AJ346" s="525"/>
      <c r="AK346" s="1154">
        <f t="shared" si="37"/>
        <v>0</v>
      </c>
      <c r="AL346" s="1155"/>
      <c r="AM346" s="1156"/>
      <c r="AN346" s="529"/>
      <c r="AO346" s="525"/>
      <c r="AP346" s="525">
        <f>'HIV-Key Info'!$H$81*(('HIV-Key Info'!$E$81*'HPM costs'!P291)+('HIV-Key Info'!$F$81*('HPM costs'!P294+'HPM costs'!P297)))</f>
        <v>0</v>
      </c>
      <c r="AQ346" s="525"/>
      <c r="AR346" s="525">
        <f>'HIV-Key Info'!$H$81*(('HIV-Key Info'!$E$81*'HPM costs'!Q291)+('HIV-Key Info'!$F$81*('HPM costs'!Q294+'HPM costs'!Q297)))</f>
        <v>0</v>
      </c>
      <c r="AS346" s="525"/>
      <c r="AT346" s="525">
        <f>'HIV-Key Info'!$H$81*(('HIV-Key Info'!$E$81*'HPM costs'!R291)+('HIV-Key Info'!$F$81*('HPM costs'!R294+'HPM costs'!R297)))</f>
        <v>0</v>
      </c>
      <c r="AU346" s="525"/>
      <c r="AV346" s="525">
        <f>'HIV-Key Info'!$H$81*(('HIV-Key Info'!$E$81*'HPM costs'!S291)+('HIV-Key Info'!$F$81*('HPM costs'!S294+'HPM costs'!S297)))</f>
        <v>0</v>
      </c>
      <c r="AW346" s="525"/>
      <c r="AX346" s="1154">
        <f t="shared" si="38"/>
        <v>0</v>
      </c>
      <c r="AY346" s="1154"/>
      <c r="AZ346" s="528"/>
      <c r="BA346" s="529"/>
      <c r="BB346" s="527"/>
      <c r="BC346" s="527">
        <v>0</v>
      </c>
      <c r="BD346" s="527">
        <v>0</v>
      </c>
      <c r="BE346" s="527">
        <v>0</v>
      </c>
      <c r="BF346" s="527">
        <v>0</v>
      </c>
      <c r="BG346" s="527">
        <v>0</v>
      </c>
      <c r="BH346" s="527">
        <v>0</v>
      </c>
      <c r="BI346" s="527">
        <v>0</v>
      </c>
      <c r="BJ346" s="527">
        <v>0</v>
      </c>
      <c r="BK346" s="1154">
        <f t="shared" si="39"/>
        <v>0</v>
      </c>
      <c r="BL346" s="1154"/>
      <c r="BM346" s="1154">
        <f t="shared" si="40"/>
        <v>0</v>
      </c>
      <c r="BN346" s="1154">
        <f t="shared" si="41"/>
        <v>0</v>
      </c>
      <c r="BO346" s="527"/>
      <c r="BP346" s="527"/>
      <c r="BQ346" s="1157" t="s">
        <v>2551</v>
      </c>
      <c r="BR346" s="1157" t="s">
        <v>690</v>
      </c>
      <c r="BS346" s="1157" t="s">
        <v>527</v>
      </c>
      <c r="BT346" s="1376" t="s">
        <v>1650</v>
      </c>
    </row>
    <row r="347" spans="1:72" s="1371" customFormat="1" ht="13">
      <c r="A347" s="1204">
        <v>903</v>
      </c>
      <c r="B347" s="1205" t="s">
        <v>672</v>
      </c>
      <c r="C347" s="1205" t="s">
        <v>674</v>
      </c>
      <c r="D347" s="1206" t="s">
        <v>2510</v>
      </c>
      <c r="E347" s="1386" t="s">
        <v>540</v>
      </c>
      <c r="F347" s="521"/>
      <c r="G347" s="522"/>
      <c r="H347" s="522"/>
      <c r="I347" s="522"/>
      <c r="J347" s="523"/>
      <c r="K347" s="523"/>
      <c r="L347" s="523"/>
      <c r="M347" s="524"/>
      <c r="N347" s="525"/>
      <c r="O347" s="526" t="s">
        <v>1237</v>
      </c>
      <c r="P347" s="525">
        <f>'HIV-Key Info'!$H$81*(('HIV-Key Info'!$E$81*'HPM costs'!F636)+('HIV-Key Info'!$F$81*('HPM costs'!F639+'HPM costs'!F642)))</f>
        <v>0</v>
      </c>
      <c r="Q347" s="525" t="s">
        <v>1237</v>
      </c>
      <c r="R347" s="525">
        <f>'HIV-Key Info'!$H$81*(('HIV-Key Info'!$E$81*'HPM costs'!G636)+('HIV-Key Info'!$F$81*('HPM costs'!G639+'HPM costs'!G642)))</f>
        <v>0</v>
      </c>
      <c r="S347" s="525" t="s">
        <v>1237</v>
      </c>
      <c r="T347" s="525">
        <f>'HIV-Key Info'!$H$81*(('HIV-Key Info'!$E$81*'HPM costs'!H636)+('HIV-Key Info'!$F$81*('HPM costs'!H639+'HPM costs'!H642)))</f>
        <v>0</v>
      </c>
      <c r="U347" s="525" t="s">
        <v>1237</v>
      </c>
      <c r="V347" s="525">
        <f>'HIV-Key Info'!$H$81*(('HIV-Key Info'!$E$81*'HPM costs'!I636)+('HIV-Key Info'!$F$81*('HPM costs'!I639+'HPM costs'!I642)))</f>
        <v>0</v>
      </c>
      <c r="W347" s="525"/>
      <c r="X347" s="1154">
        <f t="shared" si="36"/>
        <v>0</v>
      </c>
      <c r="Y347" s="1155"/>
      <c r="Z347" s="1156"/>
      <c r="AA347" s="529"/>
      <c r="AB347" s="525"/>
      <c r="AC347" s="525">
        <f>'HIV-Key Info'!$H$81*(('HIV-Key Info'!$E$81*'HPM costs'!K636)+('HIV-Key Info'!$F$81*('HPM costs'!K639+'HPM costs'!K642)))</f>
        <v>0</v>
      </c>
      <c r="AD347" s="525"/>
      <c r="AE347" s="525">
        <f>'HIV-Key Info'!$H$81*(('HIV-Key Info'!$E$81*'HPM costs'!L636)+('HIV-Key Info'!$F$81*('HPM costs'!L639+'HPM costs'!L642)))</f>
        <v>0</v>
      </c>
      <c r="AF347" s="525"/>
      <c r="AG347" s="525">
        <f>'HIV-Key Info'!$H$81*(('HIV-Key Info'!$E$81*'HPM costs'!M636)+('HIV-Key Info'!$F$81*('HPM costs'!M639+'HPM costs'!M642)))</f>
        <v>0</v>
      </c>
      <c r="AH347" s="525"/>
      <c r="AI347" s="525">
        <f>'HIV-Key Info'!$H$81*(('HIV-Key Info'!$E$81*'HPM costs'!N636)+('HIV-Key Info'!$F$81*('HPM costs'!N639+'HPM costs'!N642)))</f>
        <v>0</v>
      </c>
      <c r="AJ347" s="525"/>
      <c r="AK347" s="1154">
        <f t="shared" si="37"/>
        <v>0</v>
      </c>
      <c r="AL347" s="1155"/>
      <c r="AM347" s="1156"/>
      <c r="AN347" s="529"/>
      <c r="AO347" s="525"/>
      <c r="AP347" s="525">
        <f>'HIV-Key Info'!$H$81*(('HIV-Key Info'!$E$81*'HPM costs'!P636)+('HIV-Key Info'!$F$81*('HPM costs'!P639+'HPM costs'!P642)))</f>
        <v>0</v>
      </c>
      <c r="AQ347" s="525"/>
      <c r="AR347" s="525">
        <f>'HIV-Key Info'!$H$81*(('HIV-Key Info'!$E$81*'HPM costs'!Q636)+('HIV-Key Info'!$F$81*('HPM costs'!Q639+'HPM costs'!Q642)))</f>
        <v>0</v>
      </c>
      <c r="AS347" s="525"/>
      <c r="AT347" s="525">
        <f>'HIV-Key Info'!$H$81*(('HIV-Key Info'!$E$81*'HPM costs'!R636)+('HIV-Key Info'!$F$81*('HPM costs'!R639+'HPM costs'!R642)))</f>
        <v>0</v>
      </c>
      <c r="AU347" s="525"/>
      <c r="AV347" s="525">
        <f>'HIV-Key Info'!$H$81*(('HIV-Key Info'!$E$81*'HPM costs'!S636)+('HIV-Key Info'!$F$81*('HPM costs'!S639+'HPM costs'!S642)))</f>
        <v>0</v>
      </c>
      <c r="AW347" s="525"/>
      <c r="AX347" s="1154">
        <f t="shared" si="38"/>
        <v>0</v>
      </c>
      <c r="AY347" s="1154"/>
      <c r="AZ347" s="528"/>
      <c r="BA347" s="529"/>
      <c r="BB347" s="527"/>
      <c r="BC347" s="527">
        <v>0</v>
      </c>
      <c r="BD347" s="527">
        <v>0</v>
      </c>
      <c r="BE347" s="527">
        <v>0</v>
      </c>
      <c r="BF347" s="527">
        <v>0</v>
      </c>
      <c r="BG347" s="527">
        <v>0</v>
      </c>
      <c r="BH347" s="527">
        <v>0</v>
      </c>
      <c r="BI347" s="527">
        <v>0</v>
      </c>
      <c r="BJ347" s="527">
        <v>0</v>
      </c>
      <c r="BK347" s="1154">
        <f t="shared" si="39"/>
        <v>0</v>
      </c>
      <c r="BL347" s="1154"/>
      <c r="BM347" s="1154">
        <f t="shared" si="40"/>
        <v>0</v>
      </c>
      <c r="BN347" s="1154">
        <f t="shared" si="41"/>
        <v>0</v>
      </c>
      <c r="BO347" s="527"/>
      <c r="BP347" s="527"/>
      <c r="BQ347" s="1157" t="s">
        <v>2551</v>
      </c>
      <c r="BR347" s="1157" t="s">
        <v>690</v>
      </c>
      <c r="BS347" s="1157" t="s">
        <v>527</v>
      </c>
      <c r="BT347" s="1376" t="s">
        <v>1651</v>
      </c>
    </row>
    <row r="348" spans="1:72" s="1371" customFormat="1" ht="13">
      <c r="A348" s="1204">
        <v>904</v>
      </c>
      <c r="B348" s="1205" t="s">
        <v>672</v>
      </c>
      <c r="C348" s="1205" t="s">
        <v>675</v>
      </c>
      <c r="D348" s="1206" t="s">
        <v>2573</v>
      </c>
      <c r="E348" s="1386" t="s">
        <v>603</v>
      </c>
      <c r="F348" s="521"/>
      <c r="G348" s="522"/>
      <c r="H348" s="522"/>
      <c r="I348" s="522"/>
      <c r="J348" s="523"/>
      <c r="K348" s="523"/>
      <c r="L348" s="523"/>
      <c r="M348" s="524"/>
      <c r="N348" s="525"/>
      <c r="O348" s="526" t="s">
        <v>1237</v>
      </c>
      <c r="P348" s="525">
        <f>'HIV-Key Info'!$I$81*('HIV-Key Info'!$E$81*('HPM costs'!F119/'HPM costs'!$E$119)+'HIV-Key Info'!$F$81*('HPM costs'!F125/'HPM costs'!$E$125+'HPM costs'!F122/'HPM costs'!$E$122))</f>
        <v>0</v>
      </c>
      <c r="Q348" s="525" t="s">
        <v>1237</v>
      </c>
      <c r="R348" s="525">
        <f>'HIV-Key Info'!$I$81*('HIV-Key Info'!$E$81*('HPM costs'!G119/'HPM costs'!$E$119)+'HIV-Key Info'!$F$81*('HPM costs'!G125/'HPM costs'!$E$125+'HPM costs'!G122/'HPM costs'!$E$122))</f>
        <v>22.718825784000003</v>
      </c>
      <c r="S348" s="525" t="s">
        <v>1237</v>
      </c>
      <c r="T348" s="525">
        <f>'HIV-Key Info'!$I$81*('HIV-Key Info'!$E$81*('HPM costs'!H119/'HPM costs'!$E$119)+'HIV-Key Info'!$F$81*('HPM costs'!H125/'HPM costs'!$E$125+'HPM costs'!H122/'HPM costs'!$E$122))</f>
        <v>0</v>
      </c>
      <c r="U348" s="525" t="s">
        <v>1237</v>
      </c>
      <c r="V348" s="525">
        <f>'HIV-Key Info'!$I$81*('HIV-Key Info'!$E$81*('HPM costs'!I119/'HPM costs'!$E$119)+'HIV-Key Info'!$F$81*('HPM costs'!I125/'HPM costs'!$E$125+'HPM costs'!I122/'HPM costs'!$E$122))</f>
        <v>0</v>
      </c>
      <c r="W348" s="525"/>
      <c r="X348" s="1154">
        <f t="shared" si="36"/>
        <v>22.718825784000003</v>
      </c>
      <c r="Y348" s="1155"/>
      <c r="Z348" s="1156"/>
      <c r="AA348" s="529"/>
      <c r="AB348" s="525"/>
      <c r="AC348" s="525">
        <f>'HIV-Key Info'!$I$81*('HIV-Key Info'!$E$81*('HPM costs'!K119/'HPM costs'!$E$119)+'HIV-Key Info'!$F$81*('HPM costs'!K125/'HPM costs'!$E$125+'HPM costs'!K122/'HPM costs'!$E$122))</f>
        <v>0</v>
      </c>
      <c r="AD348" s="525"/>
      <c r="AE348" s="525">
        <f>'HIV-Key Info'!$I$81*('HIV-Key Info'!$E$81*('HPM costs'!L119/'HPM costs'!$E$119)+'HIV-Key Info'!$F$81*('HPM costs'!L125/'HPM costs'!$E$125+'HPM costs'!L122/'HPM costs'!$E$122))</f>
        <v>23.765744551800005</v>
      </c>
      <c r="AF348" s="525"/>
      <c r="AG348" s="525">
        <f>'HIV-Key Info'!$I$81*('HIV-Key Info'!$E$81*('HPM costs'!M119/'HPM costs'!$E$119)+'HIV-Key Info'!$F$81*('HPM costs'!M125/'HPM costs'!$E$125+'HPM costs'!M122/'HPM costs'!$E$122))</f>
        <v>0</v>
      </c>
      <c r="AH348" s="525"/>
      <c r="AI348" s="525">
        <f>'HIV-Key Info'!$I$81*('HIV-Key Info'!$E$81*('HPM costs'!N119/'HPM costs'!$E$119)+'HIV-Key Info'!$F$81*('HPM costs'!N125/'HPM costs'!$E$125+'HPM costs'!N122/'HPM costs'!$E$122))</f>
        <v>0</v>
      </c>
      <c r="AJ348" s="525"/>
      <c r="AK348" s="1154">
        <f t="shared" si="37"/>
        <v>23.765744551800005</v>
      </c>
      <c r="AL348" s="1155"/>
      <c r="AM348" s="1156"/>
      <c r="AN348" s="529"/>
      <c r="AO348" s="525"/>
      <c r="AP348" s="525">
        <f>'HIV-Key Info'!$I$81*('HIV-Key Info'!$E$81*('HPM costs'!P119/'HPM costs'!$E$119)+'HIV-Key Info'!$F$81*('HPM costs'!P125/'HPM costs'!$E$125+'HPM costs'!P122/'HPM costs'!$E$122))</f>
        <v>0</v>
      </c>
      <c r="AQ348" s="525"/>
      <c r="AR348" s="525">
        <f>'HIV-Key Info'!$I$81*('HIV-Key Info'!$E$81*('HPM costs'!Q119/'HPM costs'!$E$119)+'HIV-Key Info'!$F$81*('HPM costs'!Q125/'HPM costs'!$E$125+'HPM costs'!Q122/'HPM costs'!$E$122))</f>
        <v>25.285758109800003</v>
      </c>
      <c r="AS348" s="525"/>
      <c r="AT348" s="525">
        <f>'HIV-Key Info'!$I$81*('HIV-Key Info'!$E$81*('HPM costs'!R119/'HPM costs'!$E$119)+'HIV-Key Info'!$F$81*('HPM costs'!R125/'HPM costs'!$E$125+'HPM costs'!R122/'HPM costs'!$E$122))</f>
        <v>0</v>
      </c>
      <c r="AU348" s="525"/>
      <c r="AV348" s="525">
        <f>'HIV-Key Info'!$I$81*('HIV-Key Info'!$E$81*('HPM costs'!S119/'HPM costs'!$E$119)+'HIV-Key Info'!$F$81*('HPM costs'!S125/'HPM costs'!$E$125+'HPM costs'!S122/'HPM costs'!$E$122))</f>
        <v>0</v>
      </c>
      <c r="AW348" s="525"/>
      <c r="AX348" s="1154">
        <f t="shared" si="38"/>
        <v>25.285758109800003</v>
      </c>
      <c r="AY348" s="1154"/>
      <c r="AZ348" s="528"/>
      <c r="BA348" s="529"/>
      <c r="BB348" s="527"/>
      <c r="BC348" s="527">
        <v>0</v>
      </c>
      <c r="BD348" s="527">
        <v>0</v>
      </c>
      <c r="BE348" s="527">
        <v>0</v>
      </c>
      <c r="BF348" s="527">
        <v>0</v>
      </c>
      <c r="BG348" s="527">
        <v>0</v>
      </c>
      <c r="BH348" s="527">
        <v>0</v>
      </c>
      <c r="BI348" s="527">
        <v>0</v>
      </c>
      <c r="BJ348" s="527">
        <v>0</v>
      </c>
      <c r="BK348" s="1154">
        <f t="shared" si="39"/>
        <v>0</v>
      </c>
      <c r="BL348" s="1154"/>
      <c r="BM348" s="1154">
        <f t="shared" si="40"/>
        <v>0</v>
      </c>
      <c r="BN348" s="1154">
        <f t="shared" si="41"/>
        <v>71.770328445600015</v>
      </c>
      <c r="BO348" s="527"/>
      <c r="BP348" s="527"/>
      <c r="BQ348" s="1157" t="s">
        <v>2551</v>
      </c>
      <c r="BR348" s="1157" t="s">
        <v>690</v>
      </c>
      <c r="BS348" s="1157" t="s">
        <v>2570</v>
      </c>
      <c r="BT348" s="1376" t="s">
        <v>1652</v>
      </c>
    </row>
    <row r="349" spans="1:72" s="1371" customFormat="1" ht="13">
      <c r="A349" s="1204">
        <v>905</v>
      </c>
      <c r="B349" s="1205" t="s">
        <v>672</v>
      </c>
      <c r="C349" s="1205" t="s">
        <v>675</v>
      </c>
      <c r="D349" s="1206" t="s">
        <v>2510</v>
      </c>
      <c r="E349" s="1386" t="s">
        <v>528</v>
      </c>
      <c r="F349" s="521"/>
      <c r="G349" s="522"/>
      <c r="H349" s="522"/>
      <c r="I349" s="522"/>
      <c r="J349" s="523"/>
      <c r="K349" s="523"/>
      <c r="L349" s="523"/>
      <c r="M349" s="524"/>
      <c r="N349" s="525"/>
      <c r="O349" s="526" t="s">
        <v>1237</v>
      </c>
      <c r="P349" s="525">
        <f>'HIV-Key Info'!$I$81*(('HIV-Key Info'!$E$81*'HPM costs'!F33)+('HIV-Key Info'!$F$81*('HPM costs'!F36+'HPM costs'!F39)))</f>
        <v>0</v>
      </c>
      <c r="Q349" s="525" t="s">
        <v>1237</v>
      </c>
      <c r="R349" s="525">
        <f>'HIV-Key Info'!$I$81*(('HIV-Key Info'!$E$81*'HPM costs'!G33)+('HIV-Key Info'!$F$81*('HPM costs'!G36+'HPM costs'!G39)))</f>
        <v>1.36312954704</v>
      </c>
      <c r="S349" s="525" t="s">
        <v>1237</v>
      </c>
      <c r="T349" s="525">
        <f>'HIV-Key Info'!$I$81*(('HIV-Key Info'!$E$81*'HPM costs'!H33)+('HIV-Key Info'!$F$81*('HPM costs'!H36+'HPM costs'!H39)))</f>
        <v>0</v>
      </c>
      <c r="U349" s="525" t="s">
        <v>1237</v>
      </c>
      <c r="V349" s="525">
        <f>'HIV-Key Info'!$I$81*(('HIV-Key Info'!$E$81*'HPM costs'!I33)+('HIV-Key Info'!$F$81*('HPM costs'!I36+'HPM costs'!I39)))</f>
        <v>0</v>
      </c>
      <c r="W349" s="525"/>
      <c r="X349" s="1154">
        <f t="shared" si="36"/>
        <v>1.36312954704</v>
      </c>
      <c r="Y349" s="1155"/>
      <c r="Z349" s="1156"/>
      <c r="AA349" s="529"/>
      <c r="AB349" s="525"/>
      <c r="AC349" s="525">
        <f>'HIV-Key Info'!$I$81*(('HIV-Key Info'!$E$81*'HPM costs'!K33)+('HIV-Key Info'!$F$81*('HPM costs'!K36+'HPM costs'!K39)))</f>
        <v>0</v>
      </c>
      <c r="AD349" s="525"/>
      <c r="AE349" s="525">
        <f>'HIV-Key Info'!$I$81*(('HIV-Key Info'!$E$81*'HPM costs'!L33)+('HIV-Key Info'!$F$81*('HPM costs'!L36+'HPM costs'!L39)))</f>
        <v>1.4259446731080001</v>
      </c>
      <c r="AF349" s="525"/>
      <c r="AG349" s="525">
        <f>'HIV-Key Info'!$I$81*(('HIV-Key Info'!$E$81*'HPM costs'!M33)+('HIV-Key Info'!$F$81*('HPM costs'!M36+'HPM costs'!M39)))</f>
        <v>0</v>
      </c>
      <c r="AH349" s="525"/>
      <c r="AI349" s="525">
        <f>'HIV-Key Info'!$I$81*(('HIV-Key Info'!$E$81*'HPM costs'!N33)+('HIV-Key Info'!$F$81*('HPM costs'!N36+'HPM costs'!N39)))</f>
        <v>0</v>
      </c>
      <c r="AJ349" s="525"/>
      <c r="AK349" s="1154">
        <f t="shared" si="37"/>
        <v>1.4259446731080001</v>
      </c>
      <c r="AL349" s="1155"/>
      <c r="AM349" s="1156"/>
      <c r="AN349" s="529"/>
      <c r="AO349" s="525"/>
      <c r="AP349" s="525">
        <f>'HIV-Key Info'!$I$81*(('HIV-Key Info'!$E$81*'HPM costs'!P33)+('HIV-Key Info'!$F$81*('HPM costs'!P36+'HPM costs'!P39)))</f>
        <v>0</v>
      </c>
      <c r="AQ349" s="525"/>
      <c r="AR349" s="525">
        <f>'HIV-Key Info'!$I$81*(('HIV-Key Info'!$E$81*'HPM costs'!Q33)+('HIV-Key Info'!$F$81*('HPM costs'!Q36+'HPM costs'!Q39)))</f>
        <v>1.5171454865880003</v>
      </c>
      <c r="AS349" s="525"/>
      <c r="AT349" s="525">
        <f>'HIV-Key Info'!$I$81*(('HIV-Key Info'!$E$81*'HPM costs'!R33)+('HIV-Key Info'!$F$81*('HPM costs'!R36+'HPM costs'!R39)))</f>
        <v>0</v>
      </c>
      <c r="AU349" s="525"/>
      <c r="AV349" s="525">
        <f>'HIV-Key Info'!$I$81*(('HIV-Key Info'!$E$81*'HPM costs'!S33)+('HIV-Key Info'!$F$81*('HPM costs'!S36+'HPM costs'!S39)))</f>
        <v>0</v>
      </c>
      <c r="AW349" s="525"/>
      <c r="AX349" s="1154">
        <f t="shared" si="38"/>
        <v>1.5171454865880003</v>
      </c>
      <c r="AY349" s="1154"/>
      <c r="AZ349" s="528"/>
      <c r="BA349" s="529"/>
      <c r="BB349" s="527"/>
      <c r="BC349" s="527">
        <v>0</v>
      </c>
      <c r="BD349" s="527">
        <v>0</v>
      </c>
      <c r="BE349" s="527">
        <v>0</v>
      </c>
      <c r="BF349" s="527">
        <v>0</v>
      </c>
      <c r="BG349" s="527">
        <v>0</v>
      </c>
      <c r="BH349" s="527">
        <v>0</v>
      </c>
      <c r="BI349" s="527">
        <v>0</v>
      </c>
      <c r="BJ349" s="527">
        <v>0</v>
      </c>
      <c r="BK349" s="1154">
        <f t="shared" si="39"/>
        <v>0</v>
      </c>
      <c r="BL349" s="1154"/>
      <c r="BM349" s="1154">
        <f t="shared" si="40"/>
        <v>0</v>
      </c>
      <c r="BN349" s="1154">
        <f t="shared" si="41"/>
        <v>4.306219706736</v>
      </c>
      <c r="BO349" s="527"/>
      <c r="BP349" s="527" t="s">
        <v>4303</v>
      </c>
      <c r="BQ349" s="1157" t="s">
        <v>2551</v>
      </c>
      <c r="BR349" s="1157" t="s">
        <v>690</v>
      </c>
      <c r="BS349" s="1157" t="s">
        <v>527</v>
      </c>
      <c r="BT349" s="1376" t="s">
        <v>1653</v>
      </c>
    </row>
    <row r="350" spans="1:72" s="1371" customFormat="1" ht="13">
      <c r="A350" s="1204">
        <v>906</v>
      </c>
      <c r="B350" s="1205" t="s">
        <v>672</v>
      </c>
      <c r="C350" s="1205" t="s">
        <v>675</v>
      </c>
      <c r="D350" s="1206" t="s">
        <v>2510</v>
      </c>
      <c r="E350" s="1386" t="s">
        <v>530</v>
      </c>
      <c r="F350" s="521"/>
      <c r="G350" s="522"/>
      <c r="H350" s="522"/>
      <c r="I350" s="522"/>
      <c r="J350" s="523"/>
      <c r="K350" s="523"/>
      <c r="L350" s="523"/>
      <c r="M350" s="524"/>
      <c r="N350" s="525"/>
      <c r="O350" s="526" t="s">
        <v>1237</v>
      </c>
      <c r="P350" s="525">
        <f>'HIV-Key Info'!$I$81*(('HIV-Key Info'!$E$81*'HPM costs'!F119)+('HIV-Key Info'!$F$81*('HPM costs'!F122+'HPM costs'!F125)))</f>
        <v>0</v>
      </c>
      <c r="Q350" s="525" t="s">
        <v>1237</v>
      </c>
      <c r="R350" s="525">
        <f>'HIV-Key Info'!$I$81*(('HIV-Key Info'!$E$81*'HPM costs'!G119)+('HIV-Key Info'!$F$81*('HPM costs'!G122+'HPM costs'!G125)))</f>
        <v>2.2718825784E-15</v>
      </c>
      <c r="S350" s="525" t="s">
        <v>1237</v>
      </c>
      <c r="T350" s="525">
        <f>'HIV-Key Info'!$I$81*(('HIV-Key Info'!$E$81*'HPM costs'!H119)+('HIV-Key Info'!$F$81*('HPM costs'!H122+'HPM costs'!H125)))</f>
        <v>0</v>
      </c>
      <c r="U350" s="525" t="s">
        <v>1237</v>
      </c>
      <c r="V350" s="525">
        <f>'HIV-Key Info'!$I$81*(('HIV-Key Info'!$E$81*'HPM costs'!I119)+('HIV-Key Info'!$F$81*('HPM costs'!I122+'HPM costs'!I125)))</f>
        <v>0</v>
      </c>
      <c r="W350" s="525"/>
      <c r="X350" s="1154">
        <f t="shared" si="36"/>
        <v>2.2718825784E-15</v>
      </c>
      <c r="Y350" s="1155"/>
      <c r="Z350" s="1156"/>
      <c r="AA350" s="529"/>
      <c r="AB350" s="525"/>
      <c r="AC350" s="525">
        <f>'HIV-Key Info'!$I$81*(('HIV-Key Info'!$E$81*'HPM costs'!K119)+('HIV-Key Info'!$F$81*('HPM costs'!K122+'HPM costs'!K125)))</f>
        <v>0</v>
      </c>
      <c r="AD350" s="525"/>
      <c r="AE350" s="525">
        <f>'HIV-Key Info'!$I$81*(('HIV-Key Info'!$E$81*'HPM costs'!L119)+('HIV-Key Info'!$F$81*('HPM costs'!L122+'HPM costs'!L125)))</f>
        <v>2.3765744551800002E-15</v>
      </c>
      <c r="AF350" s="525"/>
      <c r="AG350" s="525">
        <f>'HIV-Key Info'!$I$81*(('HIV-Key Info'!$E$81*'HPM costs'!M119)+('HIV-Key Info'!$F$81*('HPM costs'!M122+'HPM costs'!M125)))</f>
        <v>0</v>
      </c>
      <c r="AH350" s="525"/>
      <c r="AI350" s="525">
        <f>'HIV-Key Info'!$I$81*(('HIV-Key Info'!$E$81*'HPM costs'!N119)+('HIV-Key Info'!$F$81*('HPM costs'!N122+'HPM costs'!N125)))</f>
        <v>0</v>
      </c>
      <c r="AJ350" s="525"/>
      <c r="AK350" s="1154">
        <f t="shared" si="37"/>
        <v>2.3765744551800002E-15</v>
      </c>
      <c r="AL350" s="1155"/>
      <c r="AM350" s="1156"/>
      <c r="AN350" s="529"/>
      <c r="AO350" s="525"/>
      <c r="AP350" s="525">
        <f>'HIV-Key Info'!$I$81*(('HIV-Key Info'!$E$81*'HPM costs'!P119)+('HIV-Key Info'!$F$81*('HPM costs'!P122+'HPM costs'!P125)))</f>
        <v>0</v>
      </c>
      <c r="AQ350" s="525"/>
      <c r="AR350" s="525">
        <f>'HIV-Key Info'!$I$81*(('HIV-Key Info'!$E$81*'HPM costs'!Q119)+('HIV-Key Info'!$F$81*('HPM costs'!Q122+'HPM costs'!Q125)))</f>
        <v>2.5285758109800004E-15</v>
      </c>
      <c r="AS350" s="525"/>
      <c r="AT350" s="525">
        <f>'HIV-Key Info'!$I$81*(('HIV-Key Info'!$E$81*'HPM costs'!R119)+('HIV-Key Info'!$F$81*('HPM costs'!R122+'HPM costs'!R125)))</f>
        <v>0</v>
      </c>
      <c r="AU350" s="525"/>
      <c r="AV350" s="525">
        <f>'HIV-Key Info'!$I$81*(('HIV-Key Info'!$E$81*'HPM costs'!S119)+('HIV-Key Info'!$F$81*('HPM costs'!S122+'HPM costs'!S125)))</f>
        <v>0</v>
      </c>
      <c r="AW350" s="525"/>
      <c r="AX350" s="1154">
        <f t="shared" si="38"/>
        <v>2.5285758109800004E-15</v>
      </c>
      <c r="AY350" s="1154"/>
      <c r="AZ350" s="528"/>
      <c r="BA350" s="529"/>
      <c r="BB350" s="527"/>
      <c r="BC350" s="527">
        <v>0</v>
      </c>
      <c r="BD350" s="527">
        <v>0</v>
      </c>
      <c r="BE350" s="527">
        <v>0</v>
      </c>
      <c r="BF350" s="527">
        <v>0</v>
      </c>
      <c r="BG350" s="527">
        <v>0</v>
      </c>
      <c r="BH350" s="527">
        <v>0</v>
      </c>
      <c r="BI350" s="527">
        <v>0</v>
      </c>
      <c r="BJ350" s="527">
        <v>0</v>
      </c>
      <c r="BK350" s="1154">
        <f t="shared" si="39"/>
        <v>0</v>
      </c>
      <c r="BL350" s="1154"/>
      <c r="BM350" s="1154">
        <f t="shared" si="40"/>
        <v>0</v>
      </c>
      <c r="BN350" s="1154">
        <f t="shared" si="41"/>
        <v>7.1770328445600011E-15</v>
      </c>
      <c r="BO350" s="527"/>
      <c r="BP350" s="527"/>
      <c r="BQ350" s="1157" t="s">
        <v>2551</v>
      </c>
      <c r="BR350" s="1157" t="s">
        <v>690</v>
      </c>
      <c r="BS350" s="1157" t="s">
        <v>527</v>
      </c>
      <c r="BT350" s="1376" t="s">
        <v>1654</v>
      </c>
    </row>
    <row r="351" spans="1:72" s="1371" customFormat="1" ht="13">
      <c r="A351" s="1204">
        <v>907</v>
      </c>
      <c r="B351" s="1205" t="s">
        <v>672</v>
      </c>
      <c r="C351" s="1205" t="s">
        <v>675</v>
      </c>
      <c r="D351" s="1206" t="s">
        <v>2510</v>
      </c>
      <c r="E351" s="1386" t="s">
        <v>532</v>
      </c>
      <c r="F351" s="521"/>
      <c r="G351" s="522"/>
      <c r="H351" s="522"/>
      <c r="I351" s="522"/>
      <c r="J351" s="523"/>
      <c r="K351" s="523"/>
      <c r="L351" s="523"/>
      <c r="M351" s="524"/>
      <c r="N351" s="525"/>
      <c r="O351" s="526" t="s">
        <v>1237</v>
      </c>
      <c r="P351" s="525">
        <f>'HIV-Key Info'!$I$81*(('HIV-Key Info'!$E$81*'HPM costs'!F379)+('HIV-Key Info'!$F$81*('HPM costs'!F382+'HPM costs'!F385)))</f>
        <v>0</v>
      </c>
      <c r="Q351" s="525" t="s">
        <v>1237</v>
      </c>
      <c r="R351" s="525">
        <f>'HIV-Key Info'!$I$81*(('HIV-Key Info'!$E$81*'HPM costs'!G379)+('HIV-Key Info'!$F$81*('HPM costs'!G382+'HPM costs'!G385)))</f>
        <v>0</v>
      </c>
      <c r="S351" s="525" t="s">
        <v>1237</v>
      </c>
      <c r="T351" s="525">
        <f>'HIV-Key Info'!$I$81*(('HIV-Key Info'!$E$81*'HPM costs'!H379)+('HIV-Key Info'!$F$81*('HPM costs'!H382+'HPM costs'!H385)))</f>
        <v>0</v>
      </c>
      <c r="U351" s="525" t="s">
        <v>1237</v>
      </c>
      <c r="V351" s="525">
        <f>'HIV-Key Info'!$I$81*(('HIV-Key Info'!$E$81*'HPM costs'!I379)+('HIV-Key Info'!$F$81*('HPM costs'!I382+'HPM costs'!I385)))</f>
        <v>0</v>
      </c>
      <c r="W351" s="525"/>
      <c r="X351" s="1154">
        <f t="shared" si="36"/>
        <v>0</v>
      </c>
      <c r="Y351" s="1155"/>
      <c r="Z351" s="1156"/>
      <c r="AA351" s="529"/>
      <c r="AB351" s="525"/>
      <c r="AC351" s="525">
        <f>'HIV-Key Info'!$I$81*(('HIV-Key Info'!$E$81*'HPM costs'!K379)+('HIV-Key Info'!$F$81*('HPM costs'!K382+'HPM costs'!K385)))</f>
        <v>0</v>
      </c>
      <c r="AD351" s="525"/>
      <c r="AE351" s="525">
        <f>'HIV-Key Info'!$I$81*(('HIV-Key Info'!$E$81*'HPM costs'!L379)+('HIV-Key Info'!$F$81*('HPM costs'!L382+'HPM costs'!L385)))</f>
        <v>0</v>
      </c>
      <c r="AF351" s="525"/>
      <c r="AG351" s="525">
        <f>'HIV-Key Info'!$I$81*(('HIV-Key Info'!$E$81*'HPM costs'!M379)+('HIV-Key Info'!$F$81*('HPM costs'!M382+'HPM costs'!M385)))</f>
        <v>0</v>
      </c>
      <c r="AH351" s="525"/>
      <c r="AI351" s="525">
        <f>'HIV-Key Info'!$I$81*(('HIV-Key Info'!$E$81*'HPM costs'!N379)+('HIV-Key Info'!$F$81*('HPM costs'!N382+'HPM costs'!N385)))</f>
        <v>0</v>
      </c>
      <c r="AJ351" s="525"/>
      <c r="AK351" s="1154">
        <f t="shared" si="37"/>
        <v>0</v>
      </c>
      <c r="AL351" s="1155"/>
      <c r="AM351" s="1156"/>
      <c r="AN351" s="529"/>
      <c r="AO351" s="525"/>
      <c r="AP351" s="525">
        <f>'HIV-Key Info'!$I$81*(('HIV-Key Info'!$E$81*'HPM costs'!P379)+('HIV-Key Info'!$F$81*('HPM costs'!P382+'HPM costs'!P385)))</f>
        <v>0</v>
      </c>
      <c r="AQ351" s="525"/>
      <c r="AR351" s="525">
        <f>'HIV-Key Info'!$I$81*(('HIV-Key Info'!$E$81*'HPM costs'!Q379)+('HIV-Key Info'!$F$81*('HPM costs'!Q382+'HPM costs'!Q385)))</f>
        <v>0</v>
      </c>
      <c r="AS351" s="525"/>
      <c r="AT351" s="525">
        <f>'HIV-Key Info'!$I$81*(('HIV-Key Info'!$E$81*'HPM costs'!R379)+('HIV-Key Info'!$F$81*('HPM costs'!R382+'HPM costs'!R385)))</f>
        <v>0</v>
      </c>
      <c r="AU351" s="525"/>
      <c r="AV351" s="525">
        <f>'HIV-Key Info'!$I$81*(('HIV-Key Info'!$E$81*'HPM costs'!S379)+('HIV-Key Info'!$F$81*('HPM costs'!S382+'HPM costs'!S385)))</f>
        <v>0</v>
      </c>
      <c r="AW351" s="525"/>
      <c r="AX351" s="1154">
        <f t="shared" si="38"/>
        <v>0</v>
      </c>
      <c r="AY351" s="1154"/>
      <c r="AZ351" s="528"/>
      <c r="BA351" s="529"/>
      <c r="BB351" s="527"/>
      <c r="BC351" s="527">
        <v>0</v>
      </c>
      <c r="BD351" s="527">
        <v>0</v>
      </c>
      <c r="BE351" s="527">
        <v>0</v>
      </c>
      <c r="BF351" s="527">
        <v>0</v>
      </c>
      <c r="BG351" s="527">
        <v>0</v>
      </c>
      <c r="BH351" s="527">
        <v>0</v>
      </c>
      <c r="BI351" s="527">
        <v>0</v>
      </c>
      <c r="BJ351" s="527">
        <v>0</v>
      </c>
      <c r="BK351" s="1154">
        <f t="shared" si="39"/>
        <v>0</v>
      </c>
      <c r="BL351" s="1154"/>
      <c r="BM351" s="1154">
        <f t="shared" si="40"/>
        <v>0</v>
      </c>
      <c r="BN351" s="1154">
        <f t="shared" si="41"/>
        <v>0</v>
      </c>
      <c r="BO351" s="527"/>
      <c r="BP351" s="527"/>
      <c r="BQ351" s="1157" t="s">
        <v>2551</v>
      </c>
      <c r="BR351" s="1157" t="s">
        <v>690</v>
      </c>
      <c r="BS351" s="1157" t="s">
        <v>527</v>
      </c>
      <c r="BT351" s="1376" t="s">
        <v>1655</v>
      </c>
    </row>
    <row r="352" spans="1:72" s="1371" customFormat="1" ht="13">
      <c r="A352" s="1204">
        <v>908</v>
      </c>
      <c r="B352" s="1205" t="s">
        <v>672</v>
      </c>
      <c r="C352" s="1205" t="s">
        <v>675</v>
      </c>
      <c r="D352" s="1206" t="s">
        <v>2510</v>
      </c>
      <c r="E352" s="1386" t="s">
        <v>534</v>
      </c>
      <c r="F352" s="521"/>
      <c r="G352" s="522"/>
      <c r="H352" s="522"/>
      <c r="I352" s="522"/>
      <c r="J352" s="523"/>
      <c r="K352" s="523"/>
      <c r="L352" s="523"/>
      <c r="M352" s="524"/>
      <c r="N352" s="525"/>
      <c r="O352" s="526" t="s">
        <v>1237</v>
      </c>
      <c r="P352" s="525">
        <f>'HIV-Key Info'!$I$81*(('HIV-Key Info'!$E$81*'HPM costs'!F465)+('HIV-Key Info'!$F$81*('HPM costs'!F468+'HPM costs'!F471)))</f>
        <v>0</v>
      </c>
      <c r="Q352" s="525" t="s">
        <v>1237</v>
      </c>
      <c r="R352" s="525">
        <f>'HIV-Key Info'!$I$81*(('HIV-Key Info'!$E$81*'HPM costs'!G465)+('HIV-Key Info'!$F$81*('HPM costs'!G468+'HPM costs'!G471)))</f>
        <v>0</v>
      </c>
      <c r="S352" s="525" t="s">
        <v>1237</v>
      </c>
      <c r="T352" s="525">
        <f>'HIV-Key Info'!$I$81*(('HIV-Key Info'!$E$81*'HPM costs'!H465)+('HIV-Key Info'!$F$81*('HPM costs'!H468+'HPM costs'!H471)))</f>
        <v>0</v>
      </c>
      <c r="U352" s="525" t="s">
        <v>1237</v>
      </c>
      <c r="V352" s="525">
        <f>'HIV-Key Info'!$I$81*(('HIV-Key Info'!$E$81*'HPM costs'!I465)+('HIV-Key Info'!$F$81*('HPM costs'!I468+'HPM costs'!I471)))</f>
        <v>0</v>
      </c>
      <c r="W352" s="525"/>
      <c r="X352" s="1154">
        <f t="shared" si="36"/>
        <v>0</v>
      </c>
      <c r="Y352" s="1155"/>
      <c r="Z352" s="1156"/>
      <c r="AA352" s="529"/>
      <c r="AB352" s="525"/>
      <c r="AC352" s="525">
        <f>'HIV-Key Info'!$I$81*(('HIV-Key Info'!$E$81*'HPM costs'!K465)+('HIV-Key Info'!$F$81*('HPM costs'!K468+'HPM costs'!K471)))</f>
        <v>0</v>
      </c>
      <c r="AD352" s="525"/>
      <c r="AE352" s="525">
        <f>'HIV-Key Info'!$I$81*(('HIV-Key Info'!$E$81*'HPM costs'!L465)+('HIV-Key Info'!$F$81*('HPM costs'!L468+'HPM costs'!L471)))</f>
        <v>0</v>
      </c>
      <c r="AF352" s="525"/>
      <c r="AG352" s="525">
        <f>'HIV-Key Info'!$I$81*(('HIV-Key Info'!$E$81*'HPM costs'!M465)+('HIV-Key Info'!$F$81*('HPM costs'!M468+'HPM costs'!M471)))</f>
        <v>0</v>
      </c>
      <c r="AH352" s="525"/>
      <c r="AI352" s="525">
        <f>'HIV-Key Info'!$I$81*(('HIV-Key Info'!$E$81*'HPM costs'!N465)+('HIV-Key Info'!$F$81*('HPM costs'!N468+'HPM costs'!N471)))</f>
        <v>0</v>
      </c>
      <c r="AJ352" s="525"/>
      <c r="AK352" s="1154">
        <f t="shared" si="37"/>
        <v>0</v>
      </c>
      <c r="AL352" s="1155"/>
      <c r="AM352" s="1156"/>
      <c r="AN352" s="529"/>
      <c r="AO352" s="525"/>
      <c r="AP352" s="525">
        <f>'HIV-Key Info'!$I$81*(('HIV-Key Info'!$E$81*'HPM costs'!P465)+('HIV-Key Info'!$F$81*('HPM costs'!P468+'HPM costs'!P471)))</f>
        <v>0</v>
      </c>
      <c r="AQ352" s="525"/>
      <c r="AR352" s="525">
        <f>'HIV-Key Info'!$I$81*(('HIV-Key Info'!$E$81*'HPM costs'!Q465)+('HIV-Key Info'!$F$81*('HPM costs'!Q468+'HPM costs'!Q471)))</f>
        <v>0</v>
      </c>
      <c r="AS352" s="525"/>
      <c r="AT352" s="525">
        <f>'HIV-Key Info'!$I$81*(('HIV-Key Info'!$E$81*'HPM costs'!R465)+('HIV-Key Info'!$F$81*('HPM costs'!R468+'HPM costs'!R471)))</f>
        <v>0</v>
      </c>
      <c r="AU352" s="525"/>
      <c r="AV352" s="525">
        <f>'HIV-Key Info'!$I$81*(('HIV-Key Info'!$E$81*'HPM costs'!S465)+('HIV-Key Info'!$F$81*('HPM costs'!S468+'HPM costs'!S471)))</f>
        <v>0</v>
      </c>
      <c r="AW352" s="525"/>
      <c r="AX352" s="1154">
        <f t="shared" si="38"/>
        <v>0</v>
      </c>
      <c r="AY352" s="1154"/>
      <c r="AZ352" s="528"/>
      <c r="BA352" s="529"/>
      <c r="BB352" s="527"/>
      <c r="BC352" s="527">
        <v>0</v>
      </c>
      <c r="BD352" s="527">
        <v>0</v>
      </c>
      <c r="BE352" s="527">
        <v>0</v>
      </c>
      <c r="BF352" s="527">
        <v>0</v>
      </c>
      <c r="BG352" s="527">
        <v>0</v>
      </c>
      <c r="BH352" s="527">
        <v>0</v>
      </c>
      <c r="BI352" s="527">
        <v>0</v>
      </c>
      <c r="BJ352" s="527">
        <v>0</v>
      </c>
      <c r="BK352" s="1154">
        <f t="shared" si="39"/>
        <v>0</v>
      </c>
      <c r="BL352" s="1154"/>
      <c r="BM352" s="1154">
        <f t="shared" si="40"/>
        <v>0</v>
      </c>
      <c r="BN352" s="1154">
        <f t="shared" si="41"/>
        <v>0</v>
      </c>
      <c r="BO352" s="527"/>
      <c r="BP352" s="527"/>
      <c r="BQ352" s="1157" t="s">
        <v>2551</v>
      </c>
      <c r="BR352" s="1157" t="s">
        <v>690</v>
      </c>
      <c r="BS352" s="1157" t="s">
        <v>527</v>
      </c>
      <c r="BT352" s="1376" t="s">
        <v>1656</v>
      </c>
    </row>
    <row r="353" spans="1:72" s="1371" customFormat="1" ht="13">
      <c r="A353" s="1204">
        <v>909</v>
      </c>
      <c r="B353" s="1205" t="s">
        <v>672</v>
      </c>
      <c r="C353" s="1205" t="s">
        <v>675</v>
      </c>
      <c r="D353" s="1206" t="s">
        <v>2510</v>
      </c>
      <c r="E353" s="1386" t="s">
        <v>536</v>
      </c>
      <c r="F353" s="521"/>
      <c r="G353" s="522"/>
      <c r="H353" s="522"/>
      <c r="I353" s="522"/>
      <c r="J353" s="523"/>
      <c r="K353" s="523"/>
      <c r="L353" s="523"/>
      <c r="M353" s="524"/>
      <c r="N353" s="525"/>
      <c r="O353" s="526" t="s">
        <v>1237</v>
      </c>
      <c r="P353" s="525">
        <f>'HIV-Key Info'!$I$81*(('HIV-Key Info'!$E$81*('HPM costs'!F205+'HPM costs'!F551))+('HIV-Key Info'!$F$81*('HPM costs'!F208+'HPM costs'!F211+'HPM costs'!F554+'HPM costs'!F557)))</f>
        <v>0</v>
      </c>
      <c r="Q353" s="525" t="s">
        <v>1237</v>
      </c>
      <c r="R353" s="525">
        <f>'HIV-Key Info'!$I$81*(('HIV-Key Info'!$E$81*('HPM costs'!G205+'HPM costs'!G551))+('HIV-Key Info'!$F$81*('HPM costs'!G208+'HPM costs'!G211+'HPM costs'!G554+'HPM costs'!G557)))</f>
        <v>0</v>
      </c>
      <c r="S353" s="525" t="s">
        <v>1237</v>
      </c>
      <c r="T353" s="525">
        <f>'HIV-Key Info'!$I$81*(('HIV-Key Info'!$E$81*('HPM costs'!H205+'HPM costs'!H551))+('HIV-Key Info'!$F$81*('HPM costs'!H208+'HPM costs'!H211+'HPM costs'!H554+'HPM costs'!H557)))</f>
        <v>0</v>
      </c>
      <c r="U353" s="525" t="s">
        <v>1237</v>
      </c>
      <c r="V353" s="525">
        <f>'HIV-Key Info'!$I$81*(('HIV-Key Info'!$E$81*('HPM costs'!I205+'HPM costs'!I551))+('HIV-Key Info'!$F$81*('HPM costs'!I208+'HPM costs'!I211+'HPM costs'!I554+'HPM costs'!I557)))</f>
        <v>0</v>
      </c>
      <c r="W353" s="525"/>
      <c r="X353" s="1154">
        <f t="shared" si="36"/>
        <v>0</v>
      </c>
      <c r="Y353" s="1155"/>
      <c r="Z353" s="1156"/>
      <c r="AA353" s="529"/>
      <c r="AB353" s="525"/>
      <c r="AC353" s="525">
        <f>'HIV-Key Info'!$I$81*(('HIV-Key Info'!$E$81*('HPM costs'!K205+'HPM costs'!K551))+('HIV-Key Info'!$F$81*('HPM costs'!K208+'HPM costs'!K211+'HPM costs'!K554+'HPM costs'!K557)))</f>
        <v>0</v>
      </c>
      <c r="AD353" s="525"/>
      <c r="AE353" s="525">
        <f>'HIV-Key Info'!$I$81*(('HIV-Key Info'!$E$81*('HPM costs'!L205+'HPM costs'!L551))+('HIV-Key Info'!$F$81*('HPM costs'!L208+'HPM costs'!L211+'HPM costs'!L554+'HPM costs'!L557)))</f>
        <v>0</v>
      </c>
      <c r="AF353" s="525"/>
      <c r="AG353" s="525">
        <f>'HIV-Key Info'!$I$81*(('HIV-Key Info'!$E$81*('HPM costs'!M205+'HPM costs'!M551))+('HIV-Key Info'!$F$81*('HPM costs'!M208+'HPM costs'!M211+'HPM costs'!M554+'HPM costs'!M557)))</f>
        <v>0</v>
      </c>
      <c r="AH353" s="525"/>
      <c r="AI353" s="525">
        <f>'HIV-Key Info'!$I$81*(('HIV-Key Info'!$E$81*('HPM costs'!N205+'HPM costs'!N551))+('HIV-Key Info'!$F$81*('HPM costs'!N208+'HPM costs'!N211+'HPM costs'!N554+'HPM costs'!N557)))</f>
        <v>0</v>
      </c>
      <c r="AJ353" s="525"/>
      <c r="AK353" s="1154">
        <f t="shared" si="37"/>
        <v>0</v>
      </c>
      <c r="AL353" s="1155"/>
      <c r="AM353" s="1156"/>
      <c r="AN353" s="529"/>
      <c r="AO353" s="525"/>
      <c r="AP353" s="525">
        <f>'HIV-Key Info'!$I$81*(('HIV-Key Info'!$E$81*('HPM costs'!P205+'HPM costs'!P551))+('HIV-Key Info'!$F$81*('HPM costs'!P208+'HPM costs'!P211+'HPM costs'!P554+'HPM costs'!P557)))</f>
        <v>0</v>
      </c>
      <c r="AQ353" s="525"/>
      <c r="AR353" s="525">
        <f>'HIV-Key Info'!$I$81*(('HIV-Key Info'!$E$81*('HPM costs'!Q205+'HPM costs'!Q551))+('HIV-Key Info'!$F$81*('HPM costs'!Q208+'HPM costs'!Q211+'HPM costs'!Q554+'HPM costs'!Q557)))</f>
        <v>0</v>
      </c>
      <c r="AS353" s="525"/>
      <c r="AT353" s="525">
        <f>'HIV-Key Info'!$I$81*(('HIV-Key Info'!$E$81*('HPM costs'!R205+'HPM costs'!R551))+('HIV-Key Info'!$F$81*('HPM costs'!R208+'HPM costs'!R211+'HPM costs'!R554+'HPM costs'!R557)))</f>
        <v>0</v>
      </c>
      <c r="AU353" s="525"/>
      <c r="AV353" s="525">
        <f>'HIV-Key Info'!$I$81*(('HIV-Key Info'!$E$81*('HPM costs'!S205+'HPM costs'!S551))+('HIV-Key Info'!$F$81*('HPM costs'!S208+'HPM costs'!S211+'HPM costs'!S554+'HPM costs'!S557)))</f>
        <v>0</v>
      </c>
      <c r="AW353" s="525"/>
      <c r="AX353" s="1154">
        <f t="shared" si="38"/>
        <v>0</v>
      </c>
      <c r="AY353" s="1154"/>
      <c r="AZ353" s="528"/>
      <c r="BA353" s="529"/>
      <c r="BB353" s="527"/>
      <c r="BC353" s="527">
        <v>0</v>
      </c>
      <c r="BD353" s="527">
        <v>0</v>
      </c>
      <c r="BE353" s="527">
        <v>0</v>
      </c>
      <c r="BF353" s="527">
        <v>0</v>
      </c>
      <c r="BG353" s="527">
        <v>0</v>
      </c>
      <c r="BH353" s="527">
        <v>0</v>
      </c>
      <c r="BI353" s="527">
        <v>0</v>
      </c>
      <c r="BJ353" s="527">
        <v>0</v>
      </c>
      <c r="BK353" s="1154">
        <f t="shared" si="39"/>
        <v>0</v>
      </c>
      <c r="BL353" s="1154"/>
      <c r="BM353" s="1154">
        <f t="shared" si="40"/>
        <v>0</v>
      </c>
      <c r="BN353" s="1154">
        <f t="shared" si="41"/>
        <v>0</v>
      </c>
      <c r="BO353" s="527"/>
      <c r="BP353" s="527"/>
      <c r="BQ353" s="1157" t="s">
        <v>2551</v>
      </c>
      <c r="BR353" s="1157" t="s">
        <v>690</v>
      </c>
      <c r="BS353" s="1157" t="s">
        <v>527</v>
      </c>
      <c r="BT353" s="1376" t="s">
        <v>1657</v>
      </c>
    </row>
    <row r="354" spans="1:72" s="1371" customFormat="1" ht="13">
      <c r="A354" s="1204">
        <v>910</v>
      </c>
      <c r="B354" s="1205" t="s">
        <v>672</v>
      </c>
      <c r="C354" s="1205" t="s">
        <v>675</v>
      </c>
      <c r="D354" s="1206" t="s">
        <v>2510</v>
      </c>
      <c r="E354" s="1386" t="s">
        <v>538</v>
      </c>
      <c r="F354" s="521"/>
      <c r="G354" s="522"/>
      <c r="H354" s="522"/>
      <c r="I354" s="522"/>
      <c r="J354" s="523"/>
      <c r="K354" s="523"/>
      <c r="L354" s="523"/>
      <c r="M354" s="524"/>
      <c r="N354" s="525"/>
      <c r="O354" s="526" t="s">
        <v>1237</v>
      </c>
      <c r="P354" s="525">
        <f>'HIV-Key Info'!$I$81*(('HIV-Key Info'!$E$81*'HPM costs'!F291)+('HIV-Key Info'!$F$81*('HPM costs'!F294+'HPM costs'!F297)))</f>
        <v>0</v>
      </c>
      <c r="Q354" s="525" t="s">
        <v>1237</v>
      </c>
      <c r="R354" s="525">
        <f>'HIV-Key Info'!$I$81*(('HIV-Key Info'!$E$81*'HPM costs'!G291)+('HIV-Key Info'!$F$81*('HPM costs'!G294+'HPM costs'!G297)))</f>
        <v>0</v>
      </c>
      <c r="S354" s="525" t="s">
        <v>1237</v>
      </c>
      <c r="T354" s="525">
        <f>'HIV-Key Info'!$I$81*(('HIV-Key Info'!$E$81*'HPM costs'!H291)+('HIV-Key Info'!$F$81*('HPM costs'!H294+'HPM costs'!H297)))</f>
        <v>0</v>
      </c>
      <c r="U354" s="525" t="s">
        <v>1237</v>
      </c>
      <c r="V354" s="525">
        <f>'HIV-Key Info'!$I$81*(('HIV-Key Info'!$E$81*'HPM costs'!I291)+('HIV-Key Info'!$F$81*('HPM costs'!I294+'HPM costs'!I297)))</f>
        <v>0</v>
      </c>
      <c r="W354" s="525"/>
      <c r="X354" s="1154">
        <f t="shared" si="36"/>
        <v>0</v>
      </c>
      <c r="Y354" s="1155"/>
      <c r="Z354" s="1156"/>
      <c r="AA354" s="529"/>
      <c r="AB354" s="525"/>
      <c r="AC354" s="525">
        <f>'HIV-Key Info'!$I$81*(('HIV-Key Info'!$E$81*'HPM costs'!K291)+('HIV-Key Info'!$F$81*('HPM costs'!K294+'HPM costs'!K297)))</f>
        <v>0</v>
      </c>
      <c r="AD354" s="525"/>
      <c r="AE354" s="525">
        <f>'HIV-Key Info'!$I$81*(('HIV-Key Info'!$E$81*'HPM costs'!L291)+('HIV-Key Info'!$F$81*('HPM costs'!L294+'HPM costs'!L297)))</f>
        <v>0</v>
      </c>
      <c r="AF354" s="525"/>
      <c r="AG354" s="525">
        <f>'HIV-Key Info'!$I$81*(('HIV-Key Info'!$E$81*'HPM costs'!M291)+('HIV-Key Info'!$F$81*('HPM costs'!M294+'HPM costs'!M297)))</f>
        <v>0</v>
      </c>
      <c r="AH354" s="525"/>
      <c r="AI354" s="525">
        <f>'HIV-Key Info'!$I$81*(('HIV-Key Info'!$E$81*'HPM costs'!N291)+('HIV-Key Info'!$F$81*('HPM costs'!N294+'HPM costs'!N297)))</f>
        <v>0</v>
      </c>
      <c r="AJ354" s="525"/>
      <c r="AK354" s="1154">
        <f t="shared" si="37"/>
        <v>0</v>
      </c>
      <c r="AL354" s="1155"/>
      <c r="AM354" s="1156"/>
      <c r="AN354" s="529"/>
      <c r="AO354" s="525"/>
      <c r="AP354" s="525">
        <f>'HIV-Key Info'!$I$81*(('HIV-Key Info'!$E$81*'HPM costs'!P291)+('HIV-Key Info'!$F$81*('HPM costs'!P294+'HPM costs'!P297)))</f>
        <v>0</v>
      </c>
      <c r="AQ354" s="525"/>
      <c r="AR354" s="525">
        <f>'HIV-Key Info'!$I$81*(('HIV-Key Info'!$E$81*'HPM costs'!Q291)+('HIV-Key Info'!$F$81*('HPM costs'!Q294+'HPM costs'!Q297)))</f>
        <v>0</v>
      </c>
      <c r="AS354" s="525"/>
      <c r="AT354" s="525">
        <f>'HIV-Key Info'!$I$81*(('HIV-Key Info'!$E$81*'HPM costs'!R291)+('HIV-Key Info'!$F$81*('HPM costs'!R294+'HPM costs'!R297)))</f>
        <v>0</v>
      </c>
      <c r="AU354" s="525"/>
      <c r="AV354" s="525">
        <f>'HIV-Key Info'!$I$81*(('HIV-Key Info'!$E$81*'HPM costs'!S291)+('HIV-Key Info'!$F$81*('HPM costs'!S294+'HPM costs'!S297)))</f>
        <v>0</v>
      </c>
      <c r="AW354" s="525"/>
      <c r="AX354" s="1154">
        <f t="shared" si="38"/>
        <v>0</v>
      </c>
      <c r="AY354" s="1154"/>
      <c r="AZ354" s="528"/>
      <c r="BA354" s="529"/>
      <c r="BB354" s="527"/>
      <c r="BC354" s="527">
        <v>0</v>
      </c>
      <c r="BD354" s="527">
        <v>0</v>
      </c>
      <c r="BE354" s="527">
        <v>0</v>
      </c>
      <c r="BF354" s="527">
        <v>0</v>
      </c>
      <c r="BG354" s="527">
        <v>0</v>
      </c>
      <c r="BH354" s="527">
        <v>0</v>
      </c>
      <c r="BI354" s="527">
        <v>0</v>
      </c>
      <c r="BJ354" s="527">
        <v>0</v>
      </c>
      <c r="BK354" s="1154">
        <f t="shared" si="39"/>
        <v>0</v>
      </c>
      <c r="BL354" s="1154"/>
      <c r="BM354" s="1154">
        <f t="shared" si="40"/>
        <v>0</v>
      </c>
      <c r="BN354" s="1154">
        <f t="shared" si="41"/>
        <v>0</v>
      </c>
      <c r="BO354" s="527"/>
      <c r="BP354" s="527"/>
      <c r="BQ354" s="1157" t="s">
        <v>2551</v>
      </c>
      <c r="BR354" s="1157" t="s">
        <v>690</v>
      </c>
      <c r="BS354" s="1157" t="s">
        <v>527</v>
      </c>
      <c r="BT354" s="1376" t="s">
        <v>1658</v>
      </c>
    </row>
    <row r="355" spans="1:72" s="1371" customFormat="1" ht="13">
      <c r="A355" s="1204">
        <v>911</v>
      </c>
      <c r="B355" s="1205" t="s">
        <v>672</v>
      </c>
      <c r="C355" s="1205" t="s">
        <v>675</v>
      </c>
      <c r="D355" s="1206" t="s">
        <v>2510</v>
      </c>
      <c r="E355" s="1386" t="s">
        <v>540</v>
      </c>
      <c r="F355" s="521"/>
      <c r="G355" s="522"/>
      <c r="H355" s="522"/>
      <c r="I355" s="522"/>
      <c r="J355" s="523"/>
      <c r="K355" s="523"/>
      <c r="L355" s="523"/>
      <c r="M355" s="524"/>
      <c r="N355" s="525"/>
      <c r="O355" s="526" t="s">
        <v>1237</v>
      </c>
      <c r="P355" s="525">
        <f>'HIV-Key Info'!$I$81*(('HIV-Key Info'!$E$81*'HPM costs'!F636)+('HIV-Key Info'!$F$81*('HPM costs'!F639+'HPM costs'!F642)))</f>
        <v>0</v>
      </c>
      <c r="Q355" s="525" t="s">
        <v>1237</v>
      </c>
      <c r="R355" s="525">
        <f>'HIV-Key Info'!$I$81*(('HIV-Key Info'!$E$81*'HPM costs'!G636)+('HIV-Key Info'!$F$81*('HPM costs'!G639+'HPM costs'!G642)))</f>
        <v>0</v>
      </c>
      <c r="S355" s="525" t="s">
        <v>1237</v>
      </c>
      <c r="T355" s="525">
        <f>'HIV-Key Info'!$I$81*(('HIV-Key Info'!$E$81*'HPM costs'!H636)+('HIV-Key Info'!$F$81*('HPM costs'!H639+'HPM costs'!H642)))</f>
        <v>0</v>
      </c>
      <c r="U355" s="525" t="s">
        <v>1237</v>
      </c>
      <c r="V355" s="525">
        <f>'HIV-Key Info'!$I$81*(('HIV-Key Info'!$E$81*'HPM costs'!I636)+('HIV-Key Info'!$F$81*('HPM costs'!I639+'HPM costs'!I642)))</f>
        <v>0</v>
      </c>
      <c r="W355" s="525"/>
      <c r="X355" s="1154">
        <f t="shared" si="36"/>
        <v>0</v>
      </c>
      <c r="Y355" s="1155"/>
      <c r="Z355" s="1156"/>
      <c r="AA355" s="529"/>
      <c r="AB355" s="525"/>
      <c r="AC355" s="525">
        <f>'HIV-Key Info'!$I$81*(('HIV-Key Info'!$E$81*'HPM costs'!K636)+('HIV-Key Info'!$F$81*('HPM costs'!K639+'HPM costs'!K642)))</f>
        <v>0</v>
      </c>
      <c r="AD355" s="525"/>
      <c r="AE355" s="525">
        <f>'HIV-Key Info'!$I$81*(('HIV-Key Info'!$E$81*'HPM costs'!L636)+('HIV-Key Info'!$F$81*('HPM costs'!L639+'HPM costs'!L642)))</f>
        <v>0</v>
      </c>
      <c r="AF355" s="525"/>
      <c r="AG355" s="525">
        <f>'HIV-Key Info'!$I$81*(('HIV-Key Info'!$E$81*'HPM costs'!M636)+('HIV-Key Info'!$F$81*('HPM costs'!M639+'HPM costs'!M642)))</f>
        <v>0</v>
      </c>
      <c r="AH355" s="525"/>
      <c r="AI355" s="525">
        <f>'HIV-Key Info'!$I$81*(('HIV-Key Info'!$E$81*'HPM costs'!N636)+('HIV-Key Info'!$F$81*('HPM costs'!N639+'HPM costs'!N642)))</f>
        <v>0</v>
      </c>
      <c r="AJ355" s="525"/>
      <c r="AK355" s="1154">
        <f t="shared" si="37"/>
        <v>0</v>
      </c>
      <c r="AL355" s="1155"/>
      <c r="AM355" s="1156"/>
      <c r="AN355" s="529"/>
      <c r="AO355" s="525"/>
      <c r="AP355" s="525">
        <f>'HIV-Key Info'!$I$81*(('HIV-Key Info'!$E$81*'HPM costs'!P636)+('HIV-Key Info'!$F$81*('HPM costs'!P639+'HPM costs'!P642)))</f>
        <v>0</v>
      </c>
      <c r="AQ355" s="525"/>
      <c r="AR355" s="525">
        <f>'HIV-Key Info'!$I$81*(('HIV-Key Info'!$E$81*'HPM costs'!Q636)+('HIV-Key Info'!$F$81*('HPM costs'!Q639+'HPM costs'!Q642)))</f>
        <v>0</v>
      </c>
      <c r="AS355" s="525"/>
      <c r="AT355" s="525">
        <f>'HIV-Key Info'!$I$81*(('HIV-Key Info'!$E$81*'HPM costs'!R636)+('HIV-Key Info'!$F$81*('HPM costs'!R639+'HPM costs'!R642)))</f>
        <v>0</v>
      </c>
      <c r="AU355" s="525"/>
      <c r="AV355" s="525">
        <f>'HIV-Key Info'!$I$81*(('HIV-Key Info'!$E$81*'HPM costs'!S636)+('HIV-Key Info'!$F$81*('HPM costs'!S639+'HPM costs'!S642)))</f>
        <v>0</v>
      </c>
      <c r="AW355" s="525"/>
      <c r="AX355" s="1154">
        <f t="shared" si="38"/>
        <v>0</v>
      </c>
      <c r="AY355" s="1154"/>
      <c r="AZ355" s="528"/>
      <c r="BA355" s="529"/>
      <c r="BB355" s="527"/>
      <c r="BC355" s="527">
        <v>0</v>
      </c>
      <c r="BD355" s="527">
        <v>0</v>
      </c>
      <c r="BE355" s="527">
        <v>0</v>
      </c>
      <c r="BF355" s="527">
        <v>0</v>
      </c>
      <c r="BG355" s="527">
        <v>0</v>
      </c>
      <c r="BH355" s="527">
        <v>0</v>
      </c>
      <c r="BI355" s="527">
        <v>0</v>
      </c>
      <c r="BJ355" s="527">
        <v>0</v>
      </c>
      <c r="BK355" s="1154">
        <f t="shared" si="39"/>
        <v>0</v>
      </c>
      <c r="BL355" s="1154"/>
      <c r="BM355" s="1154">
        <f t="shared" si="40"/>
        <v>0</v>
      </c>
      <c r="BN355" s="1154">
        <f t="shared" si="41"/>
        <v>0</v>
      </c>
      <c r="BO355" s="527"/>
      <c r="BP355" s="527"/>
      <c r="BQ355" s="1157" t="s">
        <v>2551</v>
      </c>
      <c r="BR355" s="1157" t="s">
        <v>690</v>
      </c>
      <c r="BS355" s="1157" t="s">
        <v>527</v>
      </c>
      <c r="BT355" s="1376" t="s">
        <v>1659</v>
      </c>
    </row>
    <row r="356" spans="1:72" s="1371" customFormat="1" ht="13">
      <c r="A356" s="1204">
        <v>912</v>
      </c>
      <c r="B356" s="1205" t="s">
        <v>672</v>
      </c>
      <c r="C356" s="1205" t="s">
        <v>673</v>
      </c>
      <c r="D356" s="1206" t="s">
        <v>2574</v>
      </c>
      <c r="E356" s="1386" t="s">
        <v>603</v>
      </c>
      <c r="F356" s="521"/>
      <c r="G356" s="522"/>
      <c r="H356" s="522"/>
      <c r="I356" s="522"/>
      <c r="J356" s="523"/>
      <c r="K356" s="523"/>
      <c r="L356" s="523"/>
      <c r="M356" s="524"/>
      <c r="N356" s="525"/>
      <c r="O356" s="526" t="s">
        <v>1237</v>
      </c>
      <c r="P356" s="525">
        <f>'HIV-Key Info'!$G$83*('HIV-Key Info'!$E$83*('HPM costs'!F119/'HPM costs'!$E$119)+'HIV-Key Info'!$F$83*('HPM costs'!F125/'HPM costs'!$E$125+'HPM costs'!F122/'HPM costs'!$E$122))</f>
        <v>0</v>
      </c>
      <c r="Q356" s="525" t="s">
        <v>1237</v>
      </c>
      <c r="R356" s="525">
        <f>'HIV-Key Info'!$G$83*('HIV-Key Info'!$E$83*('HPM costs'!G119/'HPM costs'!$E$119)+'HIV-Key Info'!$F$83*('HPM costs'!G125/'HPM costs'!$E$125+'HPM costs'!G122/'HPM costs'!$E$122))</f>
        <v>0</v>
      </c>
      <c r="S356" s="525" t="s">
        <v>1237</v>
      </c>
      <c r="T356" s="525">
        <f>'HIV-Key Info'!$G$83*('HIV-Key Info'!$E$83*('HPM costs'!H119/'HPM costs'!$E$119)+'HIV-Key Info'!$F$83*('HPM costs'!H125/'HPM costs'!$E$125+'HPM costs'!H122/'HPM costs'!$E$122))</f>
        <v>0</v>
      </c>
      <c r="U356" s="525" t="s">
        <v>1237</v>
      </c>
      <c r="V356" s="525">
        <f>'HIV-Key Info'!$G$83*('HIV-Key Info'!$E$83*('HPM costs'!I119/'HPM costs'!$E$119)+'HIV-Key Info'!$F$83*('HPM costs'!I125/'HPM costs'!$E$125+'HPM costs'!I122/'HPM costs'!$E$122))</f>
        <v>0</v>
      </c>
      <c r="W356" s="525"/>
      <c r="X356" s="1154">
        <f t="shared" si="36"/>
        <v>0</v>
      </c>
      <c r="Y356" s="1155"/>
      <c r="Z356" s="1156"/>
      <c r="AA356" s="529"/>
      <c r="AB356" s="525"/>
      <c r="AC356" s="525">
        <f>'HIV-Key Info'!$G$83*('HIV-Key Info'!$E$83*('HPM costs'!K119/'HPM costs'!$E$119)+'HIV-Key Info'!$F$83*('HPM costs'!K125/'HPM costs'!$E$125+'HPM costs'!K122/'HPM costs'!$E$122))</f>
        <v>0</v>
      </c>
      <c r="AD356" s="525"/>
      <c r="AE356" s="525">
        <f>'HIV-Key Info'!$G$83*('HIV-Key Info'!$E$83*('HPM costs'!L119/'HPM costs'!$E$119)+'HIV-Key Info'!$F$83*('HPM costs'!L125/'HPM costs'!$E$125+'HPM costs'!L122/'HPM costs'!$E$122))</f>
        <v>0</v>
      </c>
      <c r="AF356" s="525"/>
      <c r="AG356" s="525">
        <f>'HIV-Key Info'!$G$83*('HIV-Key Info'!$E$83*('HPM costs'!M119/'HPM costs'!$E$119)+'HIV-Key Info'!$F$83*('HPM costs'!M125/'HPM costs'!$E$125+'HPM costs'!M122/'HPM costs'!$E$122))</f>
        <v>0</v>
      </c>
      <c r="AH356" s="525"/>
      <c r="AI356" s="525">
        <f>'HIV-Key Info'!$G$83*('HIV-Key Info'!$E$83*('HPM costs'!N119/'HPM costs'!$E$119)+'HIV-Key Info'!$F$83*('HPM costs'!N125/'HPM costs'!$E$125+'HPM costs'!N122/'HPM costs'!$E$122))</f>
        <v>0</v>
      </c>
      <c r="AJ356" s="525"/>
      <c r="AK356" s="1154">
        <f t="shared" si="37"/>
        <v>0</v>
      </c>
      <c r="AL356" s="1155"/>
      <c r="AM356" s="1156"/>
      <c r="AN356" s="529"/>
      <c r="AO356" s="525"/>
      <c r="AP356" s="525">
        <f>'HIV-Key Info'!$G$83*('HIV-Key Info'!$E$83*('HPM costs'!P119/'HPM costs'!$E$119)+'HIV-Key Info'!$F$83*('HPM costs'!P125/'HPM costs'!$E$125+'HPM costs'!P122/'HPM costs'!$E$122))</f>
        <v>0</v>
      </c>
      <c r="AQ356" s="525"/>
      <c r="AR356" s="525">
        <f>'HIV-Key Info'!$G$83*('HIV-Key Info'!$E$83*('HPM costs'!Q119/'HPM costs'!$E$119)+'HIV-Key Info'!$F$83*('HPM costs'!Q125/'HPM costs'!$E$125+'HPM costs'!Q122/'HPM costs'!$E$122))</f>
        <v>0</v>
      </c>
      <c r="AS356" s="525"/>
      <c r="AT356" s="525">
        <f>'HIV-Key Info'!$G$83*('HIV-Key Info'!$E$83*('HPM costs'!R119/'HPM costs'!$E$119)+'HIV-Key Info'!$F$83*('HPM costs'!R125/'HPM costs'!$E$125+'HPM costs'!R122/'HPM costs'!$E$122))</f>
        <v>0</v>
      </c>
      <c r="AU356" s="525"/>
      <c r="AV356" s="525">
        <f>'HIV-Key Info'!$G$83*('HIV-Key Info'!$E$83*('HPM costs'!S119/'HPM costs'!$E$119)+'HIV-Key Info'!$F$83*('HPM costs'!S125/'HPM costs'!$E$125+'HPM costs'!S122/'HPM costs'!$E$122))</f>
        <v>0</v>
      </c>
      <c r="AW356" s="525"/>
      <c r="AX356" s="1154">
        <f t="shared" si="38"/>
        <v>0</v>
      </c>
      <c r="AY356" s="1154"/>
      <c r="AZ356" s="528"/>
      <c r="BA356" s="529"/>
      <c r="BB356" s="527"/>
      <c r="BC356" s="527">
        <v>0</v>
      </c>
      <c r="BD356" s="527">
        <v>0</v>
      </c>
      <c r="BE356" s="527">
        <v>0</v>
      </c>
      <c r="BF356" s="527">
        <v>0</v>
      </c>
      <c r="BG356" s="527">
        <v>0</v>
      </c>
      <c r="BH356" s="527">
        <v>0</v>
      </c>
      <c r="BI356" s="527">
        <v>0</v>
      </c>
      <c r="BJ356" s="527">
        <v>0</v>
      </c>
      <c r="BK356" s="1154">
        <f t="shared" si="39"/>
        <v>0</v>
      </c>
      <c r="BL356" s="1154"/>
      <c r="BM356" s="1154">
        <f t="shared" si="40"/>
        <v>0</v>
      </c>
      <c r="BN356" s="1154">
        <f t="shared" si="41"/>
        <v>0</v>
      </c>
      <c r="BO356" s="527"/>
      <c r="BP356" s="527"/>
      <c r="BQ356" s="1157" t="s">
        <v>2552</v>
      </c>
      <c r="BR356" s="1157" t="s">
        <v>690</v>
      </c>
      <c r="BS356" s="1157" t="s">
        <v>2570</v>
      </c>
      <c r="BT356" s="1376" t="s">
        <v>1660</v>
      </c>
    </row>
    <row r="357" spans="1:72" s="1371" customFormat="1" ht="13">
      <c r="A357" s="1204">
        <v>913</v>
      </c>
      <c r="B357" s="1205" t="s">
        <v>672</v>
      </c>
      <c r="C357" s="1205" t="s">
        <v>673</v>
      </c>
      <c r="D357" s="1206" t="s">
        <v>2525</v>
      </c>
      <c r="E357" s="1386" t="s">
        <v>528</v>
      </c>
      <c r="F357" s="521"/>
      <c r="G357" s="522"/>
      <c r="H357" s="522"/>
      <c r="I357" s="522"/>
      <c r="J357" s="523"/>
      <c r="K357" s="523"/>
      <c r="L357" s="523"/>
      <c r="M357" s="524"/>
      <c r="N357" s="525"/>
      <c r="O357" s="526" t="s">
        <v>1237</v>
      </c>
      <c r="P357" s="525">
        <f>'HIV-Key Info'!$G$83*(('HIV-Key Info'!$E$83*'HPM costs'!F33)+('HIV-Key Info'!$F$83*('HPM costs'!F36+'HPM costs'!F39)))</f>
        <v>0</v>
      </c>
      <c r="Q357" s="525" t="s">
        <v>1237</v>
      </c>
      <c r="R357" s="525">
        <f>'HIV-Key Info'!$G$83*(('HIV-Key Info'!$E$83*'HPM costs'!G33)+('HIV-Key Info'!$F$83*('HPM costs'!G36+'HPM costs'!G39)))</f>
        <v>0</v>
      </c>
      <c r="S357" s="525" t="s">
        <v>1237</v>
      </c>
      <c r="T357" s="525">
        <f>'HIV-Key Info'!$G$83*(('HIV-Key Info'!$E$83*'HPM costs'!H33)+('HIV-Key Info'!$F$83*('HPM costs'!H36+'HPM costs'!H39)))</f>
        <v>0</v>
      </c>
      <c r="U357" s="525" t="s">
        <v>1237</v>
      </c>
      <c r="V357" s="525">
        <f>'HIV-Key Info'!$G$83*(('HIV-Key Info'!$E$83*'HPM costs'!I33)+('HIV-Key Info'!$F$83*('HPM costs'!I36+'HPM costs'!I39)))</f>
        <v>0</v>
      </c>
      <c r="W357" s="525"/>
      <c r="X357" s="1154">
        <f t="shared" si="36"/>
        <v>0</v>
      </c>
      <c r="Y357" s="1155"/>
      <c r="Z357" s="1156"/>
      <c r="AA357" s="529"/>
      <c r="AB357" s="525"/>
      <c r="AC357" s="525">
        <f>'HIV-Key Info'!$G$83*(('HIV-Key Info'!$E$83*'HPM costs'!K33)+('HIV-Key Info'!$F$83*('HPM costs'!K36+'HPM costs'!K39)))</f>
        <v>0</v>
      </c>
      <c r="AD357" s="525"/>
      <c r="AE357" s="525">
        <f>'HIV-Key Info'!$G$83*(('HIV-Key Info'!$E$83*'HPM costs'!L33)+('HIV-Key Info'!$F$83*('HPM costs'!L36+'HPM costs'!L39)))</f>
        <v>0</v>
      </c>
      <c r="AF357" s="525"/>
      <c r="AG357" s="525">
        <f>'HIV-Key Info'!$G$83*(('HIV-Key Info'!$E$83*'HPM costs'!M33)+('HIV-Key Info'!$F$83*('HPM costs'!M36+'HPM costs'!M39)))</f>
        <v>0</v>
      </c>
      <c r="AH357" s="525"/>
      <c r="AI357" s="525">
        <f>'HIV-Key Info'!$G$83*(('HIV-Key Info'!$E$83*'HPM costs'!N33)+('HIV-Key Info'!$F$83*('HPM costs'!N36+'HPM costs'!N39)))</f>
        <v>0</v>
      </c>
      <c r="AJ357" s="525"/>
      <c r="AK357" s="1154">
        <f t="shared" si="37"/>
        <v>0</v>
      </c>
      <c r="AL357" s="1155"/>
      <c r="AM357" s="1156"/>
      <c r="AN357" s="529"/>
      <c r="AO357" s="525"/>
      <c r="AP357" s="525">
        <f>'HIV-Key Info'!$G$83*(('HIV-Key Info'!$E$83*'HPM costs'!P33)+('HIV-Key Info'!$F$83*('HPM costs'!P36+'HPM costs'!P39)))</f>
        <v>0</v>
      </c>
      <c r="AQ357" s="525"/>
      <c r="AR357" s="525">
        <f>'HIV-Key Info'!$G$83*(('HIV-Key Info'!$E$83*'HPM costs'!Q33)+('HIV-Key Info'!$F$83*('HPM costs'!Q36+'HPM costs'!Q39)))</f>
        <v>0</v>
      </c>
      <c r="AS357" s="525"/>
      <c r="AT357" s="525">
        <f>'HIV-Key Info'!$G$83*(('HIV-Key Info'!$E$83*'HPM costs'!R33)+('HIV-Key Info'!$F$83*('HPM costs'!R36+'HPM costs'!R39)))</f>
        <v>0</v>
      </c>
      <c r="AU357" s="525"/>
      <c r="AV357" s="525">
        <f>'HIV-Key Info'!$G$83*(('HIV-Key Info'!$E$83*'HPM costs'!S33)+('HIV-Key Info'!$F$83*('HPM costs'!S36+'HPM costs'!S39)))</f>
        <v>0</v>
      </c>
      <c r="AW357" s="525"/>
      <c r="AX357" s="1154">
        <f t="shared" si="38"/>
        <v>0</v>
      </c>
      <c r="AY357" s="1154"/>
      <c r="AZ357" s="528"/>
      <c r="BA357" s="529"/>
      <c r="BB357" s="527"/>
      <c r="BC357" s="527">
        <v>0</v>
      </c>
      <c r="BD357" s="527">
        <v>0</v>
      </c>
      <c r="BE357" s="527">
        <v>0</v>
      </c>
      <c r="BF357" s="527">
        <v>0</v>
      </c>
      <c r="BG357" s="527">
        <v>0</v>
      </c>
      <c r="BH357" s="527">
        <v>0</v>
      </c>
      <c r="BI357" s="527">
        <v>0</v>
      </c>
      <c r="BJ357" s="527">
        <v>0</v>
      </c>
      <c r="BK357" s="1154">
        <f t="shared" si="39"/>
        <v>0</v>
      </c>
      <c r="BL357" s="1154"/>
      <c r="BM357" s="1154">
        <f t="shared" si="40"/>
        <v>0</v>
      </c>
      <c r="BN357" s="1154">
        <f t="shared" si="41"/>
        <v>0</v>
      </c>
      <c r="BO357" s="527"/>
      <c r="BP357" s="527"/>
      <c r="BQ357" s="1157" t="s">
        <v>2552</v>
      </c>
      <c r="BR357" s="1157" t="s">
        <v>690</v>
      </c>
      <c r="BS357" s="1157" t="s">
        <v>527</v>
      </c>
      <c r="BT357" s="1376" t="s">
        <v>1661</v>
      </c>
    </row>
    <row r="358" spans="1:72" s="1371" customFormat="1" ht="13">
      <c r="A358" s="1204">
        <v>914</v>
      </c>
      <c r="B358" s="1205" t="s">
        <v>672</v>
      </c>
      <c r="C358" s="1205" t="s">
        <v>673</v>
      </c>
      <c r="D358" s="1206" t="s">
        <v>2525</v>
      </c>
      <c r="E358" s="1386" t="s">
        <v>530</v>
      </c>
      <c r="F358" s="521"/>
      <c r="G358" s="522"/>
      <c r="H358" s="522"/>
      <c r="I358" s="522"/>
      <c r="J358" s="523"/>
      <c r="K358" s="523"/>
      <c r="L358" s="523"/>
      <c r="M358" s="524"/>
      <c r="N358" s="525"/>
      <c r="O358" s="526" t="s">
        <v>1237</v>
      </c>
      <c r="P358" s="525">
        <f>'HIV-Key Info'!$G$83*(('HIV-Key Info'!$E$83*'HPM costs'!F119)+('HIV-Key Info'!$F$83*('HPM costs'!F122+'HPM costs'!F125)))</f>
        <v>0</v>
      </c>
      <c r="Q358" s="525" t="s">
        <v>1237</v>
      </c>
      <c r="R358" s="525">
        <f>'HIV-Key Info'!$G$83*(('HIV-Key Info'!$E$83*'HPM costs'!G119)+('HIV-Key Info'!$F$83*('HPM costs'!G122+'HPM costs'!G125)))</f>
        <v>0</v>
      </c>
      <c r="S358" s="525" t="s">
        <v>1237</v>
      </c>
      <c r="T358" s="525">
        <f>'HIV-Key Info'!$G$83*(('HIV-Key Info'!$E$83*'HPM costs'!H119)+('HIV-Key Info'!$F$83*('HPM costs'!H122+'HPM costs'!H125)))</f>
        <v>0</v>
      </c>
      <c r="U358" s="525" t="s">
        <v>1237</v>
      </c>
      <c r="V358" s="525">
        <f>'HIV-Key Info'!$G$83*(('HIV-Key Info'!$E$83*'HPM costs'!I119)+('HIV-Key Info'!$F$83*('HPM costs'!I122+'HPM costs'!I125)))</f>
        <v>0</v>
      </c>
      <c r="W358" s="525"/>
      <c r="X358" s="1154">
        <f t="shared" si="36"/>
        <v>0</v>
      </c>
      <c r="Y358" s="1155"/>
      <c r="Z358" s="1156"/>
      <c r="AA358" s="529"/>
      <c r="AB358" s="525"/>
      <c r="AC358" s="525">
        <f>'HIV-Key Info'!$G$83*(('HIV-Key Info'!$E$83*'HPM costs'!K119)+('HIV-Key Info'!$F$83*('HPM costs'!K122+'HPM costs'!K125)))</f>
        <v>0</v>
      </c>
      <c r="AD358" s="525"/>
      <c r="AE358" s="525">
        <f>'HIV-Key Info'!$G$83*(('HIV-Key Info'!$E$83*'HPM costs'!L119)+('HIV-Key Info'!$F$83*('HPM costs'!L122+'HPM costs'!L125)))</f>
        <v>0</v>
      </c>
      <c r="AF358" s="525"/>
      <c r="AG358" s="525">
        <f>'HIV-Key Info'!$G$83*(('HIV-Key Info'!$E$83*'HPM costs'!M119)+('HIV-Key Info'!$F$83*('HPM costs'!M122+'HPM costs'!M125)))</f>
        <v>0</v>
      </c>
      <c r="AH358" s="525"/>
      <c r="AI358" s="525">
        <f>'HIV-Key Info'!$G$83*(('HIV-Key Info'!$E$83*'HPM costs'!N119)+('HIV-Key Info'!$F$83*('HPM costs'!N122+'HPM costs'!N125)))</f>
        <v>0</v>
      </c>
      <c r="AJ358" s="525"/>
      <c r="AK358" s="1154">
        <f t="shared" si="37"/>
        <v>0</v>
      </c>
      <c r="AL358" s="1155"/>
      <c r="AM358" s="1156"/>
      <c r="AN358" s="529"/>
      <c r="AO358" s="525"/>
      <c r="AP358" s="525">
        <f>'HIV-Key Info'!$G$83*(('HIV-Key Info'!$E$83*'HPM costs'!P119)+('HIV-Key Info'!$F$83*('HPM costs'!P122+'HPM costs'!P125)))</f>
        <v>0</v>
      </c>
      <c r="AQ358" s="525"/>
      <c r="AR358" s="525">
        <f>'HIV-Key Info'!$G$83*(('HIV-Key Info'!$E$83*'HPM costs'!Q119)+('HIV-Key Info'!$F$83*('HPM costs'!Q122+'HPM costs'!Q125)))</f>
        <v>0</v>
      </c>
      <c r="AS358" s="525"/>
      <c r="AT358" s="525">
        <f>'HIV-Key Info'!$G$83*(('HIV-Key Info'!$E$83*'HPM costs'!R119)+('HIV-Key Info'!$F$83*('HPM costs'!R122+'HPM costs'!R125)))</f>
        <v>0</v>
      </c>
      <c r="AU358" s="525"/>
      <c r="AV358" s="525">
        <f>'HIV-Key Info'!$G$83*(('HIV-Key Info'!$E$83*'HPM costs'!S119)+('HIV-Key Info'!$F$83*('HPM costs'!S122+'HPM costs'!S125)))</f>
        <v>0</v>
      </c>
      <c r="AW358" s="525"/>
      <c r="AX358" s="1154">
        <f t="shared" si="38"/>
        <v>0</v>
      </c>
      <c r="AY358" s="1154"/>
      <c r="AZ358" s="528"/>
      <c r="BA358" s="529"/>
      <c r="BB358" s="527"/>
      <c r="BC358" s="527">
        <v>0</v>
      </c>
      <c r="BD358" s="527">
        <v>0</v>
      </c>
      <c r="BE358" s="527">
        <v>0</v>
      </c>
      <c r="BF358" s="527">
        <v>0</v>
      </c>
      <c r="BG358" s="527">
        <v>0</v>
      </c>
      <c r="BH358" s="527">
        <v>0</v>
      </c>
      <c r="BI358" s="527">
        <v>0</v>
      </c>
      <c r="BJ358" s="527">
        <v>0</v>
      </c>
      <c r="BK358" s="1154">
        <f t="shared" si="39"/>
        <v>0</v>
      </c>
      <c r="BL358" s="1154"/>
      <c r="BM358" s="1154">
        <f t="shared" si="40"/>
        <v>0</v>
      </c>
      <c r="BN358" s="1154">
        <f t="shared" si="41"/>
        <v>0</v>
      </c>
      <c r="BO358" s="527"/>
      <c r="BP358" s="527"/>
      <c r="BQ358" s="1157" t="s">
        <v>2552</v>
      </c>
      <c r="BR358" s="1157" t="s">
        <v>690</v>
      </c>
      <c r="BS358" s="1157" t="s">
        <v>527</v>
      </c>
      <c r="BT358" s="1376" t="s">
        <v>1662</v>
      </c>
    </row>
    <row r="359" spans="1:72" s="1371" customFormat="1" ht="13">
      <c r="A359" s="1204">
        <v>915</v>
      </c>
      <c r="B359" s="1205" t="s">
        <v>672</v>
      </c>
      <c r="C359" s="1205" t="s">
        <v>673</v>
      </c>
      <c r="D359" s="1206" t="s">
        <v>2525</v>
      </c>
      <c r="E359" s="1386" t="s">
        <v>532</v>
      </c>
      <c r="F359" s="521"/>
      <c r="G359" s="522"/>
      <c r="H359" s="522"/>
      <c r="I359" s="522"/>
      <c r="J359" s="523"/>
      <c r="K359" s="523"/>
      <c r="L359" s="523"/>
      <c r="M359" s="524"/>
      <c r="N359" s="525"/>
      <c r="O359" s="526" t="s">
        <v>1237</v>
      </c>
      <c r="P359" s="525">
        <f>'HIV-Key Info'!$G$83*(('HIV-Key Info'!$E$83*'HPM costs'!F379)+('HIV-Key Info'!$F$83*('HPM costs'!F382+'HPM costs'!F385)))</f>
        <v>0</v>
      </c>
      <c r="Q359" s="525" t="s">
        <v>1237</v>
      </c>
      <c r="R359" s="525">
        <f>'HIV-Key Info'!$G$83*(('HIV-Key Info'!$E$83*'HPM costs'!G379)+('HIV-Key Info'!$F$83*('HPM costs'!G382+'HPM costs'!G385)))</f>
        <v>0</v>
      </c>
      <c r="S359" s="525" t="s">
        <v>1237</v>
      </c>
      <c r="T359" s="525">
        <f>'HIV-Key Info'!$G$83*(('HIV-Key Info'!$E$83*'HPM costs'!H379)+('HIV-Key Info'!$F$83*('HPM costs'!H382+'HPM costs'!H385)))</f>
        <v>0</v>
      </c>
      <c r="U359" s="525" t="s">
        <v>1237</v>
      </c>
      <c r="V359" s="525">
        <f>'HIV-Key Info'!$G$83*(('HIV-Key Info'!$E$83*'HPM costs'!I379)+('HIV-Key Info'!$F$83*('HPM costs'!I382+'HPM costs'!I385)))</f>
        <v>0</v>
      </c>
      <c r="W359" s="525"/>
      <c r="X359" s="1154">
        <f t="shared" si="36"/>
        <v>0</v>
      </c>
      <c r="Y359" s="1155"/>
      <c r="Z359" s="1156"/>
      <c r="AA359" s="529"/>
      <c r="AB359" s="525"/>
      <c r="AC359" s="525">
        <f>'HIV-Key Info'!$G$83*(('HIV-Key Info'!$E$83*'HPM costs'!K379)+('HIV-Key Info'!$F$83*('HPM costs'!K382+'HPM costs'!K385)))</f>
        <v>0</v>
      </c>
      <c r="AD359" s="525"/>
      <c r="AE359" s="525">
        <f>'HIV-Key Info'!$G$83*(('HIV-Key Info'!$E$83*'HPM costs'!L379)+('HIV-Key Info'!$F$83*('HPM costs'!L382+'HPM costs'!L385)))</f>
        <v>0</v>
      </c>
      <c r="AF359" s="525"/>
      <c r="AG359" s="525">
        <f>'HIV-Key Info'!$G$83*(('HIV-Key Info'!$E$83*'HPM costs'!M379)+('HIV-Key Info'!$F$83*('HPM costs'!M382+'HPM costs'!M385)))</f>
        <v>0</v>
      </c>
      <c r="AH359" s="525"/>
      <c r="AI359" s="525">
        <f>'HIV-Key Info'!$G$83*(('HIV-Key Info'!$E$83*'HPM costs'!N379)+('HIV-Key Info'!$F$83*('HPM costs'!N382+'HPM costs'!N385)))</f>
        <v>0</v>
      </c>
      <c r="AJ359" s="525"/>
      <c r="AK359" s="1154">
        <f t="shared" si="37"/>
        <v>0</v>
      </c>
      <c r="AL359" s="1155"/>
      <c r="AM359" s="1156"/>
      <c r="AN359" s="529"/>
      <c r="AO359" s="525"/>
      <c r="AP359" s="525">
        <f>'HIV-Key Info'!$G$83*(('HIV-Key Info'!$E$83*'HPM costs'!P379)+('HIV-Key Info'!$F$83*('HPM costs'!P382+'HPM costs'!P385)))</f>
        <v>0</v>
      </c>
      <c r="AQ359" s="525"/>
      <c r="AR359" s="525">
        <f>'HIV-Key Info'!$G$83*(('HIV-Key Info'!$E$83*'HPM costs'!Q379)+('HIV-Key Info'!$F$83*('HPM costs'!Q382+'HPM costs'!Q385)))</f>
        <v>0</v>
      </c>
      <c r="AS359" s="525"/>
      <c r="AT359" s="525">
        <f>'HIV-Key Info'!$G$83*(('HIV-Key Info'!$E$83*'HPM costs'!R379)+('HIV-Key Info'!$F$83*('HPM costs'!R382+'HPM costs'!R385)))</f>
        <v>0</v>
      </c>
      <c r="AU359" s="525"/>
      <c r="AV359" s="525">
        <f>'HIV-Key Info'!$G$83*(('HIV-Key Info'!$E$83*'HPM costs'!S379)+('HIV-Key Info'!$F$83*('HPM costs'!S382+'HPM costs'!S385)))</f>
        <v>0</v>
      </c>
      <c r="AW359" s="525"/>
      <c r="AX359" s="1154">
        <f t="shared" si="38"/>
        <v>0</v>
      </c>
      <c r="AY359" s="1154"/>
      <c r="AZ359" s="528"/>
      <c r="BA359" s="529"/>
      <c r="BB359" s="527"/>
      <c r="BC359" s="527">
        <v>0</v>
      </c>
      <c r="BD359" s="527">
        <v>0</v>
      </c>
      <c r="BE359" s="527">
        <v>0</v>
      </c>
      <c r="BF359" s="527">
        <v>0</v>
      </c>
      <c r="BG359" s="527">
        <v>0</v>
      </c>
      <c r="BH359" s="527">
        <v>0</v>
      </c>
      <c r="BI359" s="527">
        <v>0</v>
      </c>
      <c r="BJ359" s="527">
        <v>0</v>
      </c>
      <c r="BK359" s="1154">
        <f t="shared" si="39"/>
        <v>0</v>
      </c>
      <c r="BL359" s="1154"/>
      <c r="BM359" s="1154">
        <f t="shared" si="40"/>
        <v>0</v>
      </c>
      <c r="BN359" s="1154">
        <f t="shared" si="41"/>
        <v>0</v>
      </c>
      <c r="BO359" s="527"/>
      <c r="BP359" s="527"/>
      <c r="BQ359" s="1157" t="s">
        <v>2552</v>
      </c>
      <c r="BR359" s="1157" t="s">
        <v>690</v>
      </c>
      <c r="BS359" s="1157" t="s">
        <v>527</v>
      </c>
      <c r="BT359" s="1376" t="s">
        <v>1663</v>
      </c>
    </row>
    <row r="360" spans="1:72" s="1371" customFormat="1" ht="13">
      <c r="A360" s="1204">
        <v>916</v>
      </c>
      <c r="B360" s="1205" t="s">
        <v>672</v>
      </c>
      <c r="C360" s="1205" t="s">
        <v>673</v>
      </c>
      <c r="D360" s="1206" t="s">
        <v>2525</v>
      </c>
      <c r="E360" s="1386" t="s">
        <v>534</v>
      </c>
      <c r="F360" s="521"/>
      <c r="G360" s="522"/>
      <c r="H360" s="522"/>
      <c r="I360" s="522"/>
      <c r="J360" s="523"/>
      <c r="K360" s="523"/>
      <c r="L360" s="523"/>
      <c r="M360" s="524"/>
      <c r="N360" s="525"/>
      <c r="O360" s="526" t="s">
        <v>1237</v>
      </c>
      <c r="P360" s="525">
        <f>'HIV-Key Info'!$G$83*(('HIV-Key Info'!$E$83*'HPM costs'!F465)+('HIV-Key Info'!$F$83*('HPM costs'!F468+'HPM costs'!F471)))</f>
        <v>0</v>
      </c>
      <c r="Q360" s="525" t="s">
        <v>1237</v>
      </c>
      <c r="R360" s="525">
        <f>'HIV-Key Info'!$G$83*(('HIV-Key Info'!$E$83*'HPM costs'!G465)+('HIV-Key Info'!$F$83*('HPM costs'!G468+'HPM costs'!G471)))</f>
        <v>0</v>
      </c>
      <c r="S360" s="525" t="s">
        <v>1237</v>
      </c>
      <c r="T360" s="525">
        <f>'HIV-Key Info'!$G$83*(('HIV-Key Info'!$E$83*'HPM costs'!H465)+('HIV-Key Info'!$F$83*('HPM costs'!H468+'HPM costs'!H471)))</f>
        <v>0</v>
      </c>
      <c r="U360" s="525" t="s">
        <v>1237</v>
      </c>
      <c r="V360" s="525">
        <f>'HIV-Key Info'!$G$83*(('HIV-Key Info'!$E$83*'HPM costs'!I465)+('HIV-Key Info'!$F$83*('HPM costs'!I468+'HPM costs'!I471)))</f>
        <v>0</v>
      </c>
      <c r="W360" s="525"/>
      <c r="X360" s="1154">
        <f t="shared" si="36"/>
        <v>0</v>
      </c>
      <c r="Y360" s="1155"/>
      <c r="Z360" s="1156"/>
      <c r="AA360" s="529"/>
      <c r="AB360" s="525"/>
      <c r="AC360" s="525">
        <f>'HIV-Key Info'!$G$83*(('HIV-Key Info'!$E$83*'HPM costs'!K465)+('HIV-Key Info'!$F$83*('HPM costs'!K468+'HPM costs'!K471)))</f>
        <v>0</v>
      </c>
      <c r="AD360" s="525"/>
      <c r="AE360" s="525">
        <f>'HIV-Key Info'!$G$83*(('HIV-Key Info'!$E$83*'HPM costs'!L465)+('HIV-Key Info'!$F$83*('HPM costs'!L468+'HPM costs'!L471)))</f>
        <v>0</v>
      </c>
      <c r="AF360" s="525"/>
      <c r="AG360" s="525">
        <f>'HIV-Key Info'!$G$83*(('HIV-Key Info'!$E$83*'HPM costs'!M465)+('HIV-Key Info'!$F$83*('HPM costs'!M468+'HPM costs'!M471)))</f>
        <v>0</v>
      </c>
      <c r="AH360" s="525"/>
      <c r="AI360" s="525">
        <f>'HIV-Key Info'!$G$83*(('HIV-Key Info'!$E$83*'HPM costs'!N465)+('HIV-Key Info'!$F$83*('HPM costs'!N468+'HPM costs'!N471)))</f>
        <v>0</v>
      </c>
      <c r="AJ360" s="525"/>
      <c r="AK360" s="1154">
        <f t="shared" si="37"/>
        <v>0</v>
      </c>
      <c r="AL360" s="1155"/>
      <c r="AM360" s="1156"/>
      <c r="AN360" s="529"/>
      <c r="AO360" s="525"/>
      <c r="AP360" s="525">
        <f>'HIV-Key Info'!$G$83*(('HIV-Key Info'!$E$83*'HPM costs'!P465)+('HIV-Key Info'!$F$83*('HPM costs'!P468+'HPM costs'!P471)))</f>
        <v>0</v>
      </c>
      <c r="AQ360" s="525"/>
      <c r="AR360" s="525">
        <f>'HIV-Key Info'!$G$83*(('HIV-Key Info'!$E$83*'HPM costs'!Q465)+('HIV-Key Info'!$F$83*('HPM costs'!Q468+'HPM costs'!Q471)))</f>
        <v>0</v>
      </c>
      <c r="AS360" s="525"/>
      <c r="AT360" s="525">
        <f>'HIV-Key Info'!$G$83*(('HIV-Key Info'!$E$83*'HPM costs'!R465)+('HIV-Key Info'!$F$83*('HPM costs'!R468+'HPM costs'!R471)))</f>
        <v>0</v>
      </c>
      <c r="AU360" s="525"/>
      <c r="AV360" s="525">
        <f>'HIV-Key Info'!$G$83*(('HIV-Key Info'!$E$83*'HPM costs'!S465)+('HIV-Key Info'!$F$83*('HPM costs'!S468+'HPM costs'!S471)))</f>
        <v>0</v>
      </c>
      <c r="AW360" s="525"/>
      <c r="AX360" s="1154">
        <f t="shared" si="38"/>
        <v>0</v>
      </c>
      <c r="AY360" s="1154"/>
      <c r="AZ360" s="528"/>
      <c r="BA360" s="529"/>
      <c r="BB360" s="527"/>
      <c r="BC360" s="527">
        <v>0</v>
      </c>
      <c r="BD360" s="527">
        <v>0</v>
      </c>
      <c r="BE360" s="527">
        <v>0</v>
      </c>
      <c r="BF360" s="527">
        <v>0</v>
      </c>
      <c r="BG360" s="527">
        <v>0</v>
      </c>
      <c r="BH360" s="527">
        <v>0</v>
      </c>
      <c r="BI360" s="527">
        <v>0</v>
      </c>
      <c r="BJ360" s="527">
        <v>0</v>
      </c>
      <c r="BK360" s="1154">
        <f t="shared" si="39"/>
        <v>0</v>
      </c>
      <c r="BL360" s="1154"/>
      <c r="BM360" s="1154">
        <f t="shared" si="40"/>
        <v>0</v>
      </c>
      <c r="BN360" s="1154">
        <f t="shared" si="41"/>
        <v>0</v>
      </c>
      <c r="BO360" s="527"/>
      <c r="BP360" s="527"/>
      <c r="BQ360" s="1157" t="s">
        <v>2552</v>
      </c>
      <c r="BR360" s="1157" t="s">
        <v>690</v>
      </c>
      <c r="BS360" s="1157" t="s">
        <v>527</v>
      </c>
      <c r="BT360" s="1376" t="s">
        <v>1664</v>
      </c>
    </row>
    <row r="361" spans="1:72" s="1371" customFormat="1" ht="13">
      <c r="A361" s="1204">
        <v>917</v>
      </c>
      <c r="B361" s="1205" t="s">
        <v>672</v>
      </c>
      <c r="C361" s="1205" t="s">
        <v>673</v>
      </c>
      <c r="D361" s="1206" t="s">
        <v>2525</v>
      </c>
      <c r="E361" s="1386" t="s">
        <v>536</v>
      </c>
      <c r="F361" s="521"/>
      <c r="G361" s="522"/>
      <c r="H361" s="522"/>
      <c r="I361" s="522"/>
      <c r="J361" s="523"/>
      <c r="K361" s="523"/>
      <c r="L361" s="523"/>
      <c r="M361" s="524"/>
      <c r="N361" s="525"/>
      <c r="O361" s="526" t="s">
        <v>1237</v>
      </c>
      <c r="P361" s="525">
        <f>'HIV-Key Info'!$G$83*(('HIV-Key Info'!$E$83*('HPM costs'!F205+'HPM costs'!F551))+('HIV-Key Info'!$F$83*('HPM costs'!F208+'HPM costs'!F211+'HPM costs'!F554+'HPM costs'!F557)))</f>
        <v>0</v>
      </c>
      <c r="Q361" s="525" t="s">
        <v>1237</v>
      </c>
      <c r="R361" s="525">
        <f>'HIV-Key Info'!$G$83*(('HIV-Key Info'!$E$83*('HPM costs'!G205+'HPM costs'!G551))+('HIV-Key Info'!$F$83*('HPM costs'!G208+'HPM costs'!G211+'HPM costs'!G554+'HPM costs'!G557)))</f>
        <v>0</v>
      </c>
      <c r="S361" s="525" t="s">
        <v>1237</v>
      </c>
      <c r="T361" s="525">
        <f>'HIV-Key Info'!$G$83*(('HIV-Key Info'!$E$83*('HPM costs'!H205+'HPM costs'!H551))+('HIV-Key Info'!$F$83*('HPM costs'!H208+'HPM costs'!H211+'HPM costs'!H554+'HPM costs'!H557)))</f>
        <v>0</v>
      </c>
      <c r="U361" s="525" t="s">
        <v>1237</v>
      </c>
      <c r="V361" s="525">
        <f>'HIV-Key Info'!$G$83*(('HIV-Key Info'!$E$83*('HPM costs'!I205+'HPM costs'!I551))+('HIV-Key Info'!$F$83*('HPM costs'!I208+'HPM costs'!I211+'HPM costs'!I554+'HPM costs'!I557)))</f>
        <v>0</v>
      </c>
      <c r="W361" s="525"/>
      <c r="X361" s="1154">
        <f t="shared" si="36"/>
        <v>0</v>
      </c>
      <c r="Y361" s="1155"/>
      <c r="Z361" s="1156"/>
      <c r="AA361" s="529"/>
      <c r="AB361" s="525"/>
      <c r="AC361" s="525">
        <f>'HIV-Key Info'!$G$83*(('HIV-Key Info'!$E$83*('HPM costs'!K205+'HPM costs'!K551))+('HIV-Key Info'!$F$83*('HPM costs'!K208+'HPM costs'!K211+'HPM costs'!K554+'HPM costs'!K557)))</f>
        <v>0</v>
      </c>
      <c r="AD361" s="525"/>
      <c r="AE361" s="525">
        <f>'HIV-Key Info'!$G$83*(('HIV-Key Info'!$E$83*('HPM costs'!L205+'HPM costs'!L551))+('HIV-Key Info'!$F$83*('HPM costs'!L208+'HPM costs'!L211+'HPM costs'!L554+'HPM costs'!L557)))</f>
        <v>0</v>
      </c>
      <c r="AF361" s="525"/>
      <c r="AG361" s="525">
        <f>'HIV-Key Info'!$G$83*(('HIV-Key Info'!$E$83*('HPM costs'!M205+'HPM costs'!M551))+('HIV-Key Info'!$F$83*('HPM costs'!M208+'HPM costs'!M211+'HPM costs'!M554+'HPM costs'!M557)))</f>
        <v>0</v>
      </c>
      <c r="AH361" s="525"/>
      <c r="AI361" s="525">
        <f>'HIV-Key Info'!$G$83*(('HIV-Key Info'!$E$83*('HPM costs'!N205+'HPM costs'!N551))+('HIV-Key Info'!$F$83*('HPM costs'!N208+'HPM costs'!N211+'HPM costs'!N554+'HPM costs'!N557)))</f>
        <v>0</v>
      </c>
      <c r="AJ361" s="525"/>
      <c r="AK361" s="1154">
        <f t="shared" si="37"/>
        <v>0</v>
      </c>
      <c r="AL361" s="1155"/>
      <c r="AM361" s="1156"/>
      <c r="AN361" s="529"/>
      <c r="AO361" s="525"/>
      <c r="AP361" s="525">
        <f>'HIV-Key Info'!$G$83*(('HIV-Key Info'!$E$83*('HPM costs'!P205+'HPM costs'!P551))+('HIV-Key Info'!$F$83*('HPM costs'!P208+'HPM costs'!P211+'HPM costs'!P554+'HPM costs'!P557)))</f>
        <v>0</v>
      </c>
      <c r="AQ361" s="525"/>
      <c r="AR361" s="525">
        <f>'HIV-Key Info'!$G$83*(('HIV-Key Info'!$E$83*('HPM costs'!Q205+'HPM costs'!Q551))+('HIV-Key Info'!$F$83*('HPM costs'!Q208+'HPM costs'!Q211+'HPM costs'!Q554+'HPM costs'!Q557)))</f>
        <v>0</v>
      </c>
      <c r="AS361" s="525"/>
      <c r="AT361" s="525">
        <f>'HIV-Key Info'!$G$83*(('HIV-Key Info'!$E$83*('HPM costs'!R205+'HPM costs'!R551))+('HIV-Key Info'!$F$83*('HPM costs'!R208+'HPM costs'!R211+'HPM costs'!R554+'HPM costs'!R557)))</f>
        <v>0</v>
      </c>
      <c r="AU361" s="525"/>
      <c r="AV361" s="525">
        <f>'HIV-Key Info'!$G$83*(('HIV-Key Info'!$E$83*('HPM costs'!S205+'HPM costs'!S551))+('HIV-Key Info'!$F$83*('HPM costs'!S208+'HPM costs'!S211+'HPM costs'!S554+'HPM costs'!S557)))</f>
        <v>0</v>
      </c>
      <c r="AW361" s="525"/>
      <c r="AX361" s="1154">
        <f t="shared" si="38"/>
        <v>0</v>
      </c>
      <c r="AY361" s="1154"/>
      <c r="AZ361" s="528"/>
      <c r="BA361" s="529"/>
      <c r="BB361" s="527"/>
      <c r="BC361" s="527">
        <v>0</v>
      </c>
      <c r="BD361" s="527">
        <v>0</v>
      </c>
      <c r="BE361" s="527">
        <v>0</v>
      </c>
      <c r="BF361" s="527">
        <v>0</v>
      </c>
      <c r="BG361" s="527">
        <v>0</v>
      </c>
      <c r="BH361" s="527">
        <v>0</v>
      </c>
      <c r="BI361" s="527">
        <v>0</v>
      </c>
      <c r="BJ361" s="527">
        <v>0</v>
      </c>
      <c r="BK361" s="1154">
        <f t="shared" si="39"/>
        <v>0</v>
      </c>
      <c r="BL361" s="1154"/>
      <c r="BM361" s="1154">
        <f t="shared" si="40"/>
        <v>0</v>
      </c>
      <c r="BN361" s="1154">
        <f t="shared" si="41"/>
        <v>0</v>
      </c>
      <c r="BO361" s="527"/>
      <c r="BP361" s="527"/>
      <c r="BQ361" s="1157" t="s">
        <v>2552</v>
      </c>
      <c r="BR361" s="1157" t="s">
        <v>690</v>
      </c>
      <c r="BS361" s="1157" t="s">
        <v>527</v>
      </c>
      <c r="BT361" s="1376" t="s">
        <v>1665</v>
      </c>
    </row>
    <row r="362" spans="1:72" s="1371" customFormat="1" ht="13">
      <c r="A362" s="1204">
        <v>918</v>
      </c>
      <c r="B362" s="1205" t="s">
        <v>672</v>
      </c>
      <c r="C362" s="1205" t="s">
        <v>673</v>
      </c>
      <c r="D362" s="1206" t="s">
        <v>2525</v>
      </c>
      <c r="E362" s="1386" t="s">
        <v>538</v>
      </c>
      <c r="F362" s="521"/>
      <c r="G362" s="522"/>
      <c r="H362" s="522"/>
      <c r="I362" s="522"/>
      <c r="J362" s="523"/>
      <c r="K362" s="523"/>
      <c r="L362" s="523"/>
      <c r="M362" s="524"/>
      <c r="N362" s="525"/>
      <c r="O362" s="526" t="s">
        <v>1237</v>
      </c>
      <c r="P362" s="525">
        <f>'HIV-Key Info'!$G$83*(('HIV-Key Info'!$E$83*'HPM costs'!F291)+('HIV-Key Info'!$F$83*('HPM costs'!F294+'HPM costs'!F297)))</f>
        <v>0</v>
      </c>
      <c r="Q362" s="525" t="s">
        <v>1237</v>
      </c>
      <c r="R362" s="525">
        <f>'HIV-Key Info'!$G$83*(('HIV-Key Info'!$E$83*'HPM costs'!G291)+('HIV-Key Info'!$F$83*('HPM costs'!G294+'HPM costs'!G297)))</f>
        <v>0</v>
      </c>
      <c r="S362" s="525" t="s">
        <v>1237</v>
      </c>
      <c r="T362" s="525">
        <f>'HIV-Key Info'!$G$83*(('HIV-Key Info'!$E$83*'HPM costs'!H291)+('HIV-Key Info'!$F$83*('HPM costs'!H294+'HPM costs'!H297)))</f>
        <v>0</v>
      </c>
      <c r="U362" s="525" t="s">
        <v>1237</v>
      </c>
      <c r="V362" s="525">
        <f>'HIV-Key Info'!$G$83*(('HIV-Key Info'!$E$83*'HPM costs'!I291)+('HIV-Key Info'!$F$83*('HPM costs'!I294+'HPM costs'!I297)))</f>
        <v>0</v>
      </c>
      <c r="W362" s="525"/>
      <c r="X362" s="1154">
        <f t="shared" si="36"/>
        <v>0</v>
      </c>
      <c r="Y362" s="1155"/>
      <c r="Z362" s="1156"/>
      <c r="AA362" s="529"/>
      <c r="AB362" s="525"/>
      <c r="AC362" s="525">
        <f>'HIV-Key Info'!$G$83*(('HIV-Key Info'!$E$83*'HPM costs'!K291)+('HIV-Key Info'!$F$83*('HPM costs'!K294+'HPM costs'!K297)))</f>
        <v>0</v>
      </c>
      <c r="AD362" s="525"/>
      <c r="AE362" s="525">
        <f>'HIV-Key Info'!$G$83*(('HIV-Key Info'!$E$83*'HPM costs'!L291)+('HIV-Key Info'!$F$83*('HPM costs'!L294+'HPM costs'!L297)))</f>
        <v>0</v>
      </c>
      <c r="AF362" s="525"/>
      <c r="AG362" s="525">
        <f>'HIV-Key Info'!$G$83*(('HIV-Key Info'!$E$83*'HPM costs'!M291)+('HIV-Key Info'!$F$83*('HPM costs'!M294+'HPM costs'!M297)))</f>
        <v>0</v>
      </c>
      <c r="AH362" s="525"/>
      <c r="AI362" s="525">
        <f>'HIV-Key Info'!$G$83*(('HIV-Key Info'!$E$83*'HPM costs'!N291)+('HIV-Key Info'!$F$83*('HPM costs'!N294+'HPM costs'!N297)))</f>
        <v>0</v>
      </c>
      <c r="AJ362" s="525"/>
      <c r="AK362" s="1154">
        <f t="shared" si="37"/>
        <v>0</v>
      </c>
      <c r="AL362" s="1155"/>
      <c r="AM362" s="1156"/>
      <c r="AN362" s="529"/>
      <c r="AO362" s="525"/>
      <c r="AP362" s="525">
        <f>'HIV-Key Info'!$G$83*(('HIV-Key Info'!$E$83*'HPM costs'!P291)+('HIV-Key Info'!$F$83*('HPM costs'!P294+'HPM costs'!P297)))</f>
        <v>0</v>
      </c>
      <c r="AQ362" s="525"/>
      <c r="AR362" s="525">
        <f>'HIV-Key Info'!$G$83*(('HIV-Key Info'!$E$83*'HPM costs'!Q291)+('HIV-Key Info'!$F$83*('HPM costs'!Q294+'HPM costs'!Q297)))</f>
        <v>0</v>
      </c>
      <c r="AS362" s="525"/>
      <c r="AT362" s="525">
        <f>'HIV-Key Info'!$G$83*(('HIV-Key Info'!$E$83*'HPM costs'!R291)+('HIV-Key Info'!$F$83*('HPM costs'!R294+'HPM costs'!R297)))</f>
        <v>0</v>
      </c>
      <c r="AU362" s="525"/>
      <c r="AV362" s="525">
        <f>'HIV-Key Info'!$G$83*(('HIV-Key Info'!$E$83*'HPM costs'!S291)+('HIV-Key Info'!$F$83*('HPM costs'!S294+'HPM costs'!S297)))</f>
        <v>0</v>
      </c>
      <c r="AW362" s="525"/>
      <c r="AX362" s="1154">
        <f t="shared" si="38"/>
        <v>0</v>
      </c>
      <c r="AY362" s="1154"/>
      <c r="AZ362" s="528"/>
      <c r="BA362" s="529"/>
      <c r="BB362" s="527"/>
      <c r="BC362" s="527">
        <v>0</v>
      </c>
      <c r="BD362" s="527">
        <v>0</v>
      </c>
      <c r="BE362" s="527">
        <v>0</v>
      </c>
      <c r="BF362" s="527">
        <v>0</v>
      </c>
      <c r="BG362" s="527">
        <v>0</v>
      </c>
      <c r="BH362" s="527">
        <v>0</v>
      </c>
      <c r="BI362" s="527">
        <v>0</v>
      </c>
      <c r="BJ362" s="527">
        <v>0</v>
      </c>
      <c r="BK362" s="1154">
        <f t="shared" si="39"/>
        <v>0</v>
      </c>
      <c r="BL362" s="1154"/>
      <c r="BM362" s="1154">
        <f t="shared" si="40"/>
        <v>0</v>
      </c>
      <c r="BN362" s="1154">
        <f t="shared" si="41"/>
        <v>0</v>
      </c>
      <c r="BO362" s="527"/>
      <c r="BP362" s="527"/>
      <c r="BQ362" s="1157" t="s">
        <v>2552</v>
      </c>
      <c r="BR362" s="1157" t="s">
        <v>690</v>
      </c>
      <c r="BS362" s="1157" t="s">
        <v>527</v>
      </c>
      <c r="BT362" s="1376" t="s">
        <v>1666</v>
      </c>
    </row>
    <row r="363" spans="1:72" s="1371" customFormat="1" ht="13">
      <c r="A363" s="1204">
        <v>919</v>
      </c>
      <c r="B363" s="1205" t="s">
        <v>672</v>
      </c>
      <c r="C363" s="1205" t="s">
        <v>673</v>
      </c>
      <c r="D363" s="1206" t="s">
        <v>2525</v>
      </c>
      <c r="E363" s="1386" t="s">
        <v>540</v>
      </c>
      <c r="F363" s="521"/>
      <c r="G363" s="522"/>
      <c r="H363" s="522"/>
      <c r="I363" s="522"/>
      <c r="J363" s="523"/>
      <c r="K363" s="523"/>
      <c r="L363" s="523"/>
      <c r="M363" s="524"/>
      <c r="N363" s="525"/>
      <c r="O363" s="526" t="s">
        <v>1237</v>
      </c>
      <c r="P363" s="525">
        <f>'HIV-Key Info'!$G$83*(('HIV-Key Info'!$E$83*'HPM costs'!F636)+('HIV-Key Info'!$F$83*('HPM costs'!F639+'HPM costs'!F642)))</f>
        <v>0</v>
      </c>
      <c r="Q363" s="525" t="s">
        <v>1237</v>
      </c>
      <c r="R363" s="525">
        <f>'HIV-Key Info'!$G$83*(('HIV-Key Info'!$E$83*'HPM costs'!G636)+('HIV-Key Info'!$F$83*('HPM costs'!G639+'HPM costs'!G642)))</f>
        <v>0</v>
      </c>
      <c r="S363" s="525" t="s">
        <v>1237</v>
      </c>
      <c r="T363" s="525">
        <f>'HIV-Key Info'!$G$83*(('HIV-Key Info'!$E$83*'HPM costs'!H636)+('HIV-Key Info'!$F$83*('HPM costs'!H639+'HPM costs'!H642)))</f>
        <v>0</v>
      </c>
      <c r="U363" s="525" t="s">
        <v>1237</v>
      </c>
      <c r="V363" s="525">
        <f>'HIV-Key Info'!$G$83*(('HIV-Key Info'!$E$83*'HPM costs'!I636)+('HIV-Key Info'!$F$83*('HPM costs'!I639+'HPM costs'!I642)))</f>
        <v>0</v>
      </c>
      <c r="W363" s="525"/>
      <c r="X363" s="1154">
        <f t="shared" si="36"/>
        <v>0</v>
      </c>
      <c r="Y363" s="1155"/>
      <c r="Z363" s="1156"/>
      <c r="AA363" s="529"/>
      <c r="AB363" s="525"/>
      <c r="AC363" s="525">
        <f>'HIV-Key Info'!$G$83*(('HIV-Key Info'!$E$83*'HPM costs'!K636)+('HIV-Key Info'!$F$83*('HPM costs'!K639+'HPM costs'!K642)))</f>
        <v>0</v>
      </c>
      <c r="AD363" s="525"/>
      <c r="AE363" s="525">
        <f>'HIV-Key Info'!$G$83*(('HIV-Key Info'!$E$83*'HPM costs'!L636)+('HIV-Key Info'!$F$83*('HPM costs'!L639+'HPM costs'!L642)))</f>
        <v>0</v>
      </c>
      <c r="AF363" s="525"/>
      <c r="AG363" s="525">
        <f>'HIV-Key Info'!$G$83*(('HIV-Key Info'!$E$83*'HPM costs'!M636)+('HIV-Key Info'!$F$83*('HPM costs'!M639+'HPM costs'!M642)))</f>
        <v>0</v>
      </c>
      <c r="AH363" s="525"/>
      <c r="AI363" s="525">
        <f>'HIV-Key Info'!$G$83*(('HIV-Key Info'!$E$83*'HPM costs'!N636)+('HIV-Key Info'!$F$83*('HPM costs'!N639+'HPM costs'!N642)))</f>
        <v>0</v>
      </c>
      <c r="AJ363" s="525"/>
      <c r="AK363" s="1154">
        <f t="shared" si="37"/>
        <v>0</v>
      </c>
      <c r="AL363" s="1155"/>
      <c r="AM363" s="1156"/>
      <c r="AN363" s="529"/>
      <c r="AO363" s="525"/>
      <c r="AP363" s="525">
        <f>'HIV-Key Info'!$G$83*(('HIV-Key Info'!$E$83*'HPM costs'!P636)+('HIV-Key Info'!$F$83*('HPM costs'!P639+'HPM costs'!P642)))</f>
        <v>0</v>
      </c>
      <c r="AQ363" s="525"/>
      <c r="AR363" s="525">
        <f>'HIV-Key Info'!$G$83*(('HIV-Key Info'!$E$83*'HPM costs'!Q636)+('HIV-Key Info'!$F$83*('HPM costs'!Q639+'HPM costs'!Q642)))</f>
        <v>0</v>
      </c>
      <c r="AS363" s="525"/>
      <c r="AT363" s="525">
        <f>'HIV-Key Info'!$G$83*(('HIV-Key Info'!$E$83*'HPM costs'!R636)+('HIV-Key Info'!$F$83*('HPM costs'!R639+'HPM costs'!R642)))</f>
        <v>0</v>
      </c>
      <c r="AU363" s="525"/>
      <c r="AV363" s="525">
        <f>'HIV-Key Info'!$G$83*(('HIV-Key Info'!$E$83*'HPM costs'!S636)+('HIV-Key Info'!$F$83*('HPM costs'!S639+'HPM costs'!S642)))</f>
        <v>0</v>
      </c>
      <c r="AW363" s="525"/>
      <c r="AX363" s="1154">
        <f t="shared" si="38"/>
        <v>0</v>
      </c>
      <c r="AY363" s="1154"/>
      <c r="AZ363" s="528"/>
      <c r="BA363" s="529"/>
      <c r="BB363" s="527"/>
      <c r="BC363" s="527">
        <v>0</v>
      </c>
      <c r="BD363" s="527">
        <v>0</v>
      </c>
      <c r="BE363" s="527">
        <v>0</v>
      </c>
      <c r="BF363" s="527">
        <v>0</v>
      </c>
      <c r="BG363" s="527">
        <v>0</v>
      </c>
      <c r="BH363" s="527">
        <v>0</v>
      </c>
      <c r="BI363" s="527">
        <v>0</v>
      </c>
      <c r="BJ363" s="527">
        <v>0</v>
      </c>
      <c r="BK363" s="1154">
        <f t="shared" si="39"/>
        <v>0</v>
      </c>
      <c r="BL363" s="1154"/>
      <c r="BM363" s="1154">
        <f t="shared" si="40"/>
        <v>0</v>
      </c>
      <c r="BN363" s="1154">
        <f t="shared" si="41"/>
        <v>0</v>
      </c>
      <c r="BO363" s="527"/>
      <c r="BP363" s="527"/>
      <c r="BQ363" s="1157" t="s">
        <v>2552</v>
      </c>
      <c r="BR363" s="1157" t="s">
        <v>690</v>
      </c>
      <c r="BS363" s="1157" t="s">
        <v>527</v>
      </c>
      <c r="BT363" s="1376" t="s">
        <v>1667</v>
      </c>
    </row>
    <row r="364" spans="1:72" s="1371" customFormat="1" ht="13">
      <c r="A364" s="1204">
        <v>920</v>
      </c>
      <c r="B364" s="1205" t="s">
        <v>672</v>
      </c>
      <c r="C364" s="1205" t="s">
        <v>674</v>
      </c>
      <c r="D364" s="1206" t="s">
        <v>2574</v>
      </c>
      <c r="E364" s="1386" t="s">
        <v>603</v>
      </c>
      <c r="F364" s="521"/>
      <c r="G364" s="522"/>
      <c r="H364" s="522"/>
      <c r="I364" s="522"/>
      <c r="J364" s="523"/>
      <c r="K364" s="523"/>
      <c r="L364" s="523"/>
      <c r="M364" s="524"/>
      <c r="N364" s="525"/>
      <c r="O364" s="526" t="s">
        <v>1237</v>
      </c>
      <c r="P364" s="525">
        <f>'HIV-Key Info'!$H$83*('HIV-Key Info'!$E$83*('HPM costs'!F119/'HPM costs'!$E$119)+'HIV-Key Info'!$F$83*('HPM costs'!F125/'HPM costs'!$E$125+'HPM costs'!F122/'HPM costs'!$E$122))</f>
        <v>0</v>
      </c>
      <c r="Q364" s="525" t="s">
        <v>1237</v>
      </c>
      <c r="R364" s="525">
        <f>'HIV-Key Info'!$H$83*('HIV-Key Info'!$E$83*('HPM costs'!G119/'HPM costs'!$E$119)+'HIV-Key Info'!$F$83*('HPM costs'!G125/'HPM costs'!$E$125+'HPM costs'!G122/'HPM costs'!$E$122))</f>
        <v>0</v>
      </c>
      <c r="S364" s="525" t="s">
        <v>1237</v>
      </c>
      <c r="T364" s="525">
        <f>'HIV-Key Info'!$H$83*('HIV-Key Info'!$E$83*('HPM costs'!H119/'HPM costs'!$E$119)+'HIV-Key Info'!$F$83*('HPM costs'!H125/'HPM costs'!$E$125+'HPM costs'!H122/'HPM costs'!$E$122))</f>
        <v>0</v>
      </c>
      <c r="U364" s="525" t="s">
        <v>1237</v>
      </c>
      <c r="V364" s="525">
        <f>'HIV-Key Info'!$H$83*('HIV-Key Info'!$E$83*('HPM costs'!I119/'HPM costs'!$E$119)+'HIV-Key Info'!$F$83*('HPM costs'!I125/'HPM costs'!$E$125+'HPM costs'!I122/'HPM costs'!$E$122))</f>
        <v>0</v>
      </c>
      <c r="W364" s="525"/>
      <c r="X364" s="1154">
        <f t="shared" si="36"/>
        <v>0</v>
      </c>
      <c r="Y364" s="1155"/>
      <c r="Z364" s="1156"/>
      <c r="AA364" s="529"/>
      <c r="AB364" s="525"/>
      <c r="AC364" s="525">
        <f>'HIV-Key Info'!$H$83*('HIV-Key Info'!$E$83*('HPM costs'!K119/'HPM costs'!$E$119)+'HIV-Key Info'!$F$83*('HPM costs'!K125/'HPM costs'!$E$125+'HPM costs'!K122/'HPM costs'!$E$122))</f>
        <v>0</v>
      </c>
      <c r="AD364" s="525"/>
      <c r="AE364" s="525">
        <f>'HIV-Key Info'!$H$83*('HIV-Key Info'!$E$83*('HPM costs'!L119/'HPM costs'!$E$119)+'HIV-Key Info'!$F$83*('HPM costs'!L125/'HPM costs'!$E$125+'HPM costs'!L122/'HPM costs'!$E$122))</f>
        <v>0</v>
      </c>
      <c r="AF364" s="525"/>
      <c r="AG364" s="525">
        <f>'HIV-Key Info'!$H$83*('HIV-Key Info'!$E$83*('HPM costs'!M119/'HPM costs'!$E$119)+'HIV-Key Info'!$F$83*('HPM costs'!M125/'HPM costs'!$E$125+'HPM costs'!M122/'HPM costs'!$E$122))</f>
        <v>0</v>
      </c>
      <c r="AH364" s="525"/>
      <c r="AI364" s="525">
        <f>'HIV-Key Info'!$H$83*('HIV-Key Info'!$E$83*('HPM costs'!N119/'HPM costs'!$E$119)+'HIV-Key Info'!$F$83*('HPM costs'!N125/'HPM costs'!$E$125+'HPM costs'!N122/'HPM costs'!$E$122))</f>
        <v>0</v>
      </c>
      <c r="AJ364" s="525"/>
      <c r="AK364" s="1154">
        <f t="shared" si="37"/>
        <v>0</v>
      </c>
      <c r="AL364" s="1155"/>
      <c r="AM364" s="1156"/>
      <c r="AN364" s="529"/>
      <c r="AO364" s="525"/>
      <c r="AP364" s="525">
        <f>'HIV-Key Info'!$H$83*('HIV-Key Info'!$E$83*('HPM costs'!P119/'HPM costs'!$E$119)+'HIV-Key Info'!$F$83*('HPM costs'!P125/'HPM costs'!$E$125+'HPM costs'!P122/'HPM costs'!$E$122))</f>
        <v>0</v>
      </c>
      <c r="AQ364" s="525"/>
      <c r="AR364" s="525">
        <f>'HIV-Key Info'!$H$83*('HIV-Key Info'!$E$83*('HPM costs'!Q119/'HPM costs'!$E$119)+'HIV-Key Info'!$F$83*('HPM costs'!Q125/'HPM costs'!$E$125+'HPM costs'!Q122/'HPM costs'!$E$122))</f>
        <v>0</v>
      </c>
      <c r="AS364" s="525"/>
      <c r="AT364" s="525">
        <f>'HIV-Key Info'!$H$83*('HIV-Key Info'!$E$83*('HPM costs'!R119/'HPM costs'!$E$119)+'HIV-Key Info'!$F$83*('HPM costs'!R125/'HPM costs'!$E$125+'HPM costs'!R122/'HPM costs'!$E$122))</f>
        <v>0</v>
      </c>
      <c r="AU364" s="525"/>
      <c r="AV364" s="525">
        <f>'HIV-Key Info'!$H$83*('HIV-Key Info'!$E$83*('HPM costs'!S119/'HPM costs'!$E$119)+'HIV-Key Info'!$F$83*('HPM costs'!S125/'HPM costs'!$E$125+'HPM costs'!S122/'HPM costs'!$E$122))</f>
        <v>0</v>
      </c>
      <c r="AW364" s="525"/>
      <c r="AX364" s="1154">
        <f t="shared" si="38"/>
        <v>0</v>
      </c>
      <c r="AY364" s="1154"/>
      <c r="AZ364" s="528"/>
      <c r="BA364" s="529"/>
      <c r="BB364" s="527"/>
      <c r="BC364" s="527">
        <v>0</v>
      </c>
      <c r="BD364" s="527">
        <v>0</v>
      </c>
      <c r="BE364" s="527">
        <v>0</v>
      </c>
      <c r="BF364" s="527">
        <v>0</v>
      </c>
      <c r="BG364" s="527">
        <v>0</v>
      </c>
      <c r="BH364" s="527">
        <v>0</v>
      </c>
      <c r="BI364" s="527">
        <v>0</v>
      </c>
      <c r="BJ364" s="527">
        <v>0</v>
      </c>
      <c r="BK364" s="1154">
        <f t="shared" si="39"/>
        <v>0</v>
      </c>
      <c r="BL364" s="1154"/>
      <c r="BM364" s="1154">
        <f t="shared" si="40"/>
        <v>0</v>
      </c>
      <c r="BN364" s="1154">
        <f t="shared" si="41"/>
        <v>0</v>
      </c>
      <c r="BO364" s="527"/>
      <c r="BP364" s="527"/>
      <c r="BQ364" s="1157" t="s">
        <v>2552</v>
      </c>
      <c r="BR364" s="1157" t="s">
        <v>690</v>
      </c>
      <c r="BS364" s="1157" t="s">
        <v>2570</v>
      </c>
      <c r="BT364" s="1376" t="s">
        <v>1668</v>
      </c>
    </row>
    <row r="365" spans="1:72" s="1371" customFormat="1" ht="13">
      <c r="A365" s="1204">
        <v>921</v>
      </c>
      <c r="B365" s="1205" t="s">
        <v>672</v>
      </c>
      <c r="C365" s="1205" t="s">
        <v>674</v>
      </c>
      <c r="D365" s="1206" t="s">
        <v>2525</v>
      </c>
      <c r="E365" s="1386" t="s">
        <v>528</v>
      </c>
      <c r="F365" s="521"/>
      <c r="G365" s="522"/>
      <c r="H365" s="522"/>
      <c r="I365" s="522"/>
      <c r="J365" s="523"/>
      <c r="K365" s="523"/>
      <c r="L365" s="523"/>
      <c r="M365" s="524"/>
      <c r="N365" s="525"/>
      <c r="O365" s="526" t="s">
        <v>1237</v>
      </c>
      <c r="P365" s="525">
        <f>'HIV-Key Info'!$H$83*(('HIV-Key Info'!$E$83*'HPM costs'!F33)+('HIV-Key Info'!$F$83*('HPM costs'!F36+'HPM costs'!F39)))</f>
        <v>0</v>
      </c>
      <c r="Q365" s="525" t="s">
        <v>1237</v>
      </c>
      <c r="R365" s="525">
        <f>'HIV-Key Info'!$H$83*(('HIV-Key Info'!$E$83*'HPM costs'!G33)+('HIV-Key Info'!$F$83*('HPM costs'!G36+'HPM costs'!G39)))</f>
        <v>0</v>
      </c>
      <c r="S365" s="525" t="s">
        <v>1237</v>
      </c>
      <c r="T365" s="525">
        <f>'HIV-Key Info'!$H$83*(('HIV-Key Info'!$E$83*'HPM costs'!H33)+('HIV-Key Info'!$F$83*('HPM costs'!H36+'HPM costs'!H39)))</f>
        <v>0</v>
      </c>
      <c r="U365" s="525" t="s">
        <v>1237</v>
      </c>
      <c r="V365" s="525">
        <f>'HIV-Key Info'!$H$83*(('HIV-Key Info'!$E$83*'HPM costs'!I33)+('HIV-Key Info'!$F$83*('HPM costs'!I36+'HPM costs'!I39)))</f>
        <v>0</v>
      </c>
      <c r="W365" s="525"/>
      <c r="X365" s="1154">
        <f t="shared" si="36"/>
        <v>0</v>
      </c>
      <c r="Y365" s="1155"/>
      <c r="Z365" s="1156"/>
      <c r="AA365" s="529"/>
      <c r="AB365" s="525"/>
      <c r="AC365" s="525">
        <f>'HIV-Key Info'!$H$83*(('HIV-Key Info'!$E$83*'HPM costs'!K33)+('HIV-Key Info'!$F$83*('HPM costs'!K36+'HPM costs'!K39)))</f>
        <v>0</v>
      </c>
      <c r="AD365" s="525"/>
      <c r="AE365" s="525">
        <f>'HIV-Key Info'!$H$83*(('HIV-Key Info'!$E$83*'HPM costs'!L33)+('HIV-Key Info'!$F$83*('HPM costs'!L36+'HPM costs'!L39)))</f>
        <v>0</v>
      </c>
      <c r="AF365" s="525"/>
      <c r="AG365" s="525">
        <f>'HIV-Key Info'!$H$83*(('HIV-Key Info'!$E$83*'HPM costs'!M33)+('HIV-Key Info'!$F$83*('HPM costs'!M36+'HPM costs'!M39)))</f>
        <v>0</v>
      </c>
      <c r="AH365" s="525"/>
      <c r="AI365" s="525">
        <f>'HIV-Key Info'!$H$83*(('HIV-Key Info'!$E$83*'HPM costs'!N33)+('HIV-Key Info'!$F$83*('HPM costs'!N36+'HPM costs'!N39)))</f>
        <v>0</v>
      </c>
      <c r="AJ365" s="525"/>
      <c r="AK365" s="1154">
        <f t="shared" si="37"/>
        <v>0</v>
      </c>
      <c r="AL365" s="1155"/>
      <c r="AM365" s="1156"/>
      <c r="AN365" s="529"/>
      <c r="AO365" s="525"/>
      <c r="AP365" s="525">
        <f>'HIV-Key Info'!$H$83*(('HIV-Key Info'!$E$83*'HPM costs'!P33)+('HIV-Key Info'!$F$83*('HPM costs'!P36+'HPM costs'!P39)))</f>
        <v>0</v>
      </c>
      <c r="AQ365" s="525"/>
      <c r="AR365" s="525">
        <f>'HIV-Key Info'!$H$83*(('HIV-Key Info'!$E$83*'HPM costs'!Q33)+('HIV-Key Info'!$F$83*('HPM costs'!Q36+'HPM costs'!Q39)))</f>
        <v>0</v>
      </c>
      <c r="AS365" s="525"/>
      <c r="AT365" s="525">
        <f>'HIV-Key Info'!$H$83*(('HIV-Key Info'!$E$83*'HPM costs'!R33)+('HIV-Key Info'!$F$83*('HPM costs'!R36+'HPM costs'!R39)))</f>
        <v>0</v>
      </c>
      <c r="AU365" s="525"/>
      <c r="AV365" s="525">
        <f>'HIV-Key Info'!$H$83*(('HIV-Key Info'!$E$83*'HPM costs'!S33)+('HIV-Key Info'!$F$83*('HPM costs'!S36+'HPM costs'!S39)))</f>
        <v>0</v>
      </c>
      <c r="AW365" s="525"/>
      <c r="AX365" s="1154">
        <f t="shared" si="38"/>
        <v>0</v>
      </c>
      <c r="AY365" s="1154"/>
      <c r="AZ365" s="528"/>
      <c r="BA365" s="529"/>
      <c r="BB365" s="527"/>
      <c r="BC365" s="527">
        <v>0</v>
      </c>
      <c r="BD365" s="527">
        <v>0</v>
      </c>
      <c r="BE365" s="527">
        <v>0</v>
      </c>
      <c r="BF365" s="527">
        <v>0</v>
      </c>
      <c r="BG365" s="527">
        <v>0</v>
      </c>
      <c r="BH365" s="527">
        <v>0</v>
      </c>
      <c r="BI365" s="527">
        <v>0</v>
      </c>
      <c r="BJ365" s="527">
        <v>0</v>
      </c>
      <c r="BK365" s="1154">
        <f t="shared" si="39"/>
        <v>0</v>
      </c>
      <c r="BL365" s="1154"/>
      <c r="BM365" s="1154">
        <f t="shared" si="40"/>
        <v>0</v>
      </c>
      <c r="BN365" s="1154">
        <f t="shared" si="41"/>
        <v>0</v>
      </c>
      <c r="BO365" s="527"/>
      <c r="BP365" s="527"/>
      <c r="BQ365" s="1157" t="s">
        <v>2552</v>
      </c>
      <c r="BR365" s="1157" t="s">
        <v>690</v>
      </c>
      <c r="BS365" s="1157" t="s">
        <v>527</v>
      </c>
      <c r="BT365" s="1376" t="s">
        <v>1669</v>
      </c>
    </row>
    <row r="366" spans="1:72" s="1371" customFormat="1" ht="13">
      <c r="A366" s="1204">
        <v>922</v>
      </c>
      <c r="B366" s="1205" t="s">
        <v>672</v>
      </c>
      <c r="C366" s="1205" t="s">
        <v>674</v>
      </c>
      <c r="D366" s="1206" t="s">
        <v>2525</v>
      </c>
      <c r="E366" s="1386" t="s">
        <v>530</v>
      </c>
      <c r="F366" s="521"/>
      <c r="G366" s="522"/>
      <c r="H366" s="522"/>
      <c r="I366" s="522"/>
      <c r="J366" s="523"/>
      <c r="K366" s="523"/>
      <c r="L366" s="523"/>
      <c r="M366" s="524"/>
      <c r="N366" s="525"/>
      <c r="O366" s="526" t="s">
        <v>1237</v>
      </c>
      <c r="P366" s="525">
        <f>'HIV-Key Info'!$H$83*(('HIV-Key Info'!$E$83*'HPM costs'!F119)+('HIV-Key Info'!$F$83*('HPM costs'!F122+'HPM costs'!F125)))</f>
        <v>0</v>
      </c>
      <c r="Q366" s="525" t="s">
        <v>1237</v>
      </c>
      <c r="R366" s="525">
        <f>'HIV-Key Info'!$H$83*(('HIV-Key Info'!$E$83*'HPM costs'!G119)+('HIV-Key Info'!$F$83*('HPM costs'!G122+'HPM costs'!G125)))</f>
        <v>0</v>
      </c>
      <c r="S366" s="525" t="s">
        <v>1237</v>
      </c>
      <c r="T366" s="525">
        <f>'HIV-Key Info'!$H$83*(('HIV-Key Info'!$E$83*'HPM costs'!H119)+('HIV-Key Info'!$F$83*('HPM costs'!H122+'HPM costs'!H125)))</f>
        <v>0</v>
      </c>
      <c r="U366" s="525" t="s">
        <v>1237</v>
      </c>
      <c r="V366" s="525">
        <f>'HIV-Key Info'!$H$83*(('HIV-Key Info'!$E$83*'HPM costs'!I119)+('HIV-Key Info'!$F$83*('HPM costs'!I122+'HPM costs'!I125)))</f>
        <v>0</v>
      </c>
      <c r="W366" s="525"/>
      <c r="X366" s="1154">
        <f t="shared" si="36"/>
        <v>0</v>
      </c>
      <c r="Y366" s="1155"/>
      <c r="Z366" s="1156"/>
      <c r="AA366" s="529"/>
      <c r="AB366" s="525"/>
      <c r="AC366" s="525">
        <f>'HIV-Key Info'!$H$83*(('HIV-Key Info'!$E$83*'HPM costs'!K119)+('HIV-Key Info'!$F$83*('HPM costs'!K122+'HPM costs'!K125)))</f>
        <v>0</v>
      </c>
      <c r="AD366" s="525"/>
      <c r="AE366" s="525">
        <f>'HIV-Key Info'!$H$83*(('HIV-Key Info'!$E$83*'HPM costs'!L119)+('HIV-Key Info'!$F$83*('HPM costs'!L122+'HPM costs'!L125)))</f>
        <v>0</v>
      </c>
      <c r="AF366" s="525"/>
      <c r="AG366" s="525">
        <f>'HIV-Key Info'!$H$83*(('HIV-Key Info'!$E$83*'HPM costs'!M119)+('HIV-Key Info'!$F$83*('HPM costs'!M122+'HPM costs'!M125)))</f>
        <v>0</v>
      </c>
      <c r="AH366" s="525"/>
      <c r="AI366" s="525">
        <f>'HIV-Key Info'!$H$83*(('HIV-Key Info'!$E$83*'HPM costs'!N119)+('HIV-Key Info'!$F$83*('HPM costs'!N122+'HPM costs'!N125)))</f>
        <v>0</v>
      </c>
      <c r="AJ366" s="525"/>
      <c r="AK366" s="1154">
        <f t="shared" si="37"/>
        <v>0</v>
      </c>
      <c r="AL366" s="1155"/>
      <c r="AM366" s="1156"/>
      <c r="AN366" s="529"/>
      <c r="AO366" s="525"/>
      <c r="AP366" s="525">
        <f>'HIV-Key Info'!$H$83*(('HIV-Key Info'!$E$83*'HPM costs'!P119)+('HIV-Key Info'!$F$83*('HPM costs'!P122+'HPM costs'!P125)))</f>
        <v>0</v>
      </c>
      <c r="AQ366" s="525"/>
      <c r="AR366" s="525">
        <f>'HIV-Key Info'!$H$83*(('HIV-Key Info'!$E$83*'HPM costs'!Q119)+('HIV-Key Info'!$F$83*('HPM costs'!Q122+'HPM costs'!Q125)))</f>
        <v>0</v>
      </c>
      <c r="AS366" s="525"/>
      <c r="AT366" s="525">
        <f>'HIV-Key Info'!$H$83*(('HIV-Key Info'!$E$83*'HPM costs'!R119)+('HIV-Key Info'!$F$83*('HPM costs'!R122+'HPM costs'!R125)))</f>
        <v>0</v>
      </c>
      <c r="AU366" s="525"/>
      <c r="AV366" s="525">
        <f>'HIV-Key Info'!$H$83*(('HIV-Key Info'!$E$83*'HPM costs'!S119)+('HIV-Key Info'!$F$83*('HPM costs'!S122+'HPM costs'!S125)))</f>
        <v>0</v>
      </c>
      <c r="AW366" s="525"/>
      <c r="AX366" s="1154">
        <f t="shared" si="38"/>
        <v>0</v>
      </c>
      <c r="AY366" s="1154"/>
      <c r="AZ366" s="528"/>
      <c r="BA366" s="529"/>
      <c r="BB366" s="527"/>
      <c r="BC366" s="527">
        <v>0</v>
      </c>
      <c r="BD366" s="527">
        <v>0</v>
      </c>
      <c r="BE366" s="527">
        <v>0</v>
      </c>
      <c r="BF366" s="527">
        <v>0</v>
      </c>
      <c r="BG366" s="527">
        <v>0</v>
      </c>
      <c r="BH366" s="527">
        <v>0</v>
      </c>
      <c r="BI366" s="527">
        <v>0</v>
      </c>
      <c r="BJ366" s="527">
        <v>0</v>
      </c>
      <c r="BK366" s="1154">
        <f t="shared" si="39"/>
        <v>0</v>
      </c>
      <c r="BL366" s="1154"/>
      <c r="BM366" s="1154">
        <f t="shared" si="40"/>
        <v>0</v>
      </c>
      <c r="BN366" s="1154">
        <f t="shared" si="41"/>
        <v>0</v>
      </c>
      <c r="BO366" s="527"/>
      <c r="BP366" s="527"/>
      <c r="BQ366" s="1157" t="s">
        <v>2552</v>
      </c>
      <c r="BR366" s="1157" t="s">
        <v>690</v>
      </c>
      <c r="BS366" s="1157" t="s">
        <v>527</v>
      </c>
      <c r="BT366" s="1376" t="s">
        <v>1670</v>
      </c>
    </row>
    <row r="367" spans="1:72" s="1371" customFormat="1" ht="13">
      <c r="A367" s="1204">
        <v>923</v>
      </c>
      <c r="B367" s="1205" t="s">
        <v>672</v>
      </c>
      <c r="C367" s="1205" t="s">
        <v>674</v>
      </c>
      <c r="D367" s="1206" t="s">
        <v>2525</v>
      </c>
      <c r="E367" s="1386" t="s">
        <v>532</v>
      </c>
      <c r="F367" s="521"/>
      <c r="G367" s="522"/>
      <c r="H367" s="522"/>
      <c r="I367" s="522"/>
      <c r="J367" s="523"/>
      <c r="K367" s="523"/>
      <c r="L367" s="523"/>
      <c r="M367" s="524"/>
      <c r="N367" s="525"/>
      <c r="O367" s="526" t="s">
        <v>1237</v>
      </c>
      <c r="P367" s="525">
        <f>'HIV-Key Info'!$H$83*(('HIV-Key Info'!$E$83*'HPM costs'!F379)+('HIV-Key Info'!$F$83*('HPM costs'!F382+'HPM costs'!F385)))</f>
        <v>0</v>
      </c>
      <c r="Q367" s="525" t="s">
        <v>1237</v>
      </c>
      <c r="R367" s="525">
        <f>'HIV-Key Info'!$H$83*(('HIV-Key Info'!$E$83*'HPM costs'!G379)+('HIV-Key Info'!$F$83*('HPM costs'!G382+'HPM costs'!G385)))</f>
        <v>0</v>
      </c>
      <c r="S367" s="525" t="s">
        <v>1237</v>
      </c>
      <c r="T367" s="525">
        <f>'HIV-Key Info'!$H$83*(('HIV-Key Info'!$E$83*'HPM costs'!H379)+('HIV-Key Info'!$F$83*('HPM costs'!H382+'HPM costs'!H385)))</f>
        <v>0</v>
      </c>
      <c r="U367" s="525" t="s">
        <v>1237</v>
      </c>
      <c r="V367" s="525">
        <f>'HIV-Key Info'!$H$83*(('HIV-Key Info'!$E$83*'HPM costs'!I379)+('HIV-Key Info'!$F$83*('HPM costs'!I382+'HPM costs'!I385)))</f>
        <v>0</v>
      </c>
      <c r="W367" s="525"/>
      <c r="X367" s="1154">
        <f t="shared" si="36"/>
        <v>0</v>
      </c>
      <c r="Y367" s="1155"/>
      <c r="Z367" s="1156"/>
      <c r="AA367" s="529"/>
      <c r="AB367" s="525"/>
      <c r="AC367" s="525">
        <f>'HIV-Key Info'!$H$83*(('HIV-Key Info'!$E$83*'HPM costs'!K379)+('HIV-Key Info'!$F$83*('HPM costs'!K382+'HPM costs'!K385)))</f>
        <v>0</v>
      </c>
      <c r="AD367" s="525"/>
      <c r="AE367" s="525">
        <f>'HIV-Key Info'!$H$83*(('HIV-Key Info'!$E$83*'HPM costs'!L379)+('HIV-Key Info'!$F$83*('HPM costs'!L382+'HPM costs'!L385)))</f>
        <v>0</v>
      </c>
      <c r="AF367" s="525"/>
      <c r="AG367" s="525">
        <f>'HIV-Key Info'!$H$83*(('HIV-Key Info'!$E$83*'HPM costs'!M379)+('HIV-Key Info'!$F$83*('HPM costs'!M382+'HPM costs'!M385)))</f>
        <v>0</v>
      </c>
      <c r="AH367" s="525"/>
      <c r="AI367" s="525">
        <f>'HIV-Key Info'!$H$83*(('HIV-Key Info'!$E$83*'HPM costs'!N379)+('HIV-Key Info'!$F$83*('HPM costs'!N382+'HPM costs'!N385)))</f>
        <v>0</v>
      </c>
      <c r="AJ367" s="525"/>
      <c r="AK367" s="1154">
        <f t="shared" si="37"/>
        <v>0</v>
      </c>
      <c r="AL367" s="1155"/>
      <c r="AM367" s="1156"/>
      <c r="AN367" s="529"/>
      <c r="AO367" s="525"/>
      <c r="AP367" s="525">
        <f>'HIV-Key Info'!$H$83*(('HIV-Key Info'!$E$83*'HPM costs'!P379)+('HIV-Key Info'!$F$83*('HPM costs'!P382+'HPM costs'!P385)))</f>
        <v>0</v>
      </c>
      <c r="AQ367" s="525"/>
      <c r="AR367" s="525">
        <f>'HIV-Key Info'!$H$83*(('HIV-Key Info'!$E$83*'HPM costs'!Q379)+('HIV-Key Info'!$F$83*('HPM costs'!Q382+'HPM costs'!Q385)))</f>
        <v>0</v>
      </c>
      <c r="AS367" s="525"/>
      <c r="AT367" s="525">
        <f>'HIV-Key Info'!$H$83*(('HIV-Key Info'!$E$83*'HPM costs'!R379)+('HIV-Key Info'!$F$83*('HPM costs'!R382+'HPM costs'!R385)))</f>
        <v>0</v>
      </c>
      <c r="AU367" s="525"/>
      <c r="AV367" s="525">
        <f>'HIV-Key Info'!$H$83*(('HIV-Key Info'!$E$83*'HPM costs'!S379)+('HIV-Key Info'!$F$83*('HPM costs'!S382+'HPM costs'!S385)))</f>
        <v>0</v>
      </c>
      <c r="AW367" s="525"/>
      <c r="AX367" s="1154">
        <f t="shared" si="38"/>
        <v>0</v>
      </c>
      <c r="AY367" s="1154"/>
      <c r="AZ367" s="528"/>
      <c r="BA367" s="529"/>
      <c r="BB367" s="527"/>
      <c r="BC367" s="527">
        <v>0</v>
      </c>
      <c r="BD367" s="527">
        <v>0</v>
      </c>
      <c r="BE367" s="527">
        <v>0</v>
      </c>
      <c r="BF367" s="527">
        <v>0</v>
      </c>
      <c r="BG367" s="527">
        <v>0</v>
      </c>
      <c r="BH367" s="527">
        <v>0</v>
      </c>
      <c r="BI367" s="527">
        <v>0</v>
      </c>
      <c r="BJ367" s="527">
        <v>0</v>
      </c>
      <c r="BK367" s="1154">
        <f t="shared" si="39"/>
        <v>0</v>
      </c>
      <c r="BL367" s="1154"/>
      <c r="BM367" s="1154">
        <f t="shared" si="40"/>
        <v>0</v>
      </c>
      <c r="BN367" s="1154">
        <f t="shared" si="41"/>
        <v>0</v>
      </c>
      <c r="BO367" s="527"/>
      <c r="BP367" s="527"/>
      <c r="BQ367" s="1157" t="s">
        <v>2552</v>
      </c>
      <c r="BR367" s="1157" t="s">
        <v>690</v>
      </c>
      <c r="BS367" s="1157" t="s">
        <v>527</v>
      </c>
      <c r="BT367" s="1376" t="s">
        <v>1671</v>
      </c>
    </row>
    <row r="368" spans="1:72" s="1371" customFormat="1" ht="13">
      <c r="A368" s="1204">
        <v>924</v>
      </c>
      <c r="B368" s="1205" t="s">
        <v>672</v>
      </c>
      <c r="C368" s="1205" t="s">
        <v>674</v>
      </c>
      <c r="D368" s="1206" t="s">
        <v>2525</v>
      </c>
      <c r="E368" s="1386" t="s">
        <v>534</v>
      </c>
      <c r="F368" s="521"/>
      <c r="G368" s="522"/>
      <c r="H368" s="522"/>
      <c r="I368" s="522"/>
      <c r="J368" s="523"/>
      <c r="K368" s="523"/>
      <c r="L368" s="523"/>
      <c r="M368" s="524"/>
      <c r="N368" s="525"/>
      <c r="O368" s="526" t="s">
        <v>1237</v>
      </c>
      <c r="P368" s="525">
        <f>'HIV-Key Info'!$H$83*(('HIV-Key Info'!$E$83*'HPM costs'!F465)+('HIV-Key Info'!$F$83*('HPM costs'!F468+'HPM costs'!F471)))</f>
        <v>0</v>
      </c>
      <c r="Q368" s="525" t="s">
        <v>1237</v>
      </c>
      <c r="R368" s="525">
        <f>'HIV-Key Info'!$H$83*(('HIV-Key Info'!$E$83*'HPM costs'!G465)+('HIV-Key Info'!$F$83*('HPM costs'!G468+'HPM costs'!G471)))</f>
        <v>0</v>
      </c>
      <c r="S368" s="525" t="s">
        <v>1237</v>
      </c>
      <c r="T368" s="525">
        <f>'HIV-Key Info'!$H$83*(('HIV-Key Info'!$E$83*'HPM costs'!H465)+('HIV-Key Info'!$F$83*('HPM costs'!H468+'HPM costs'!H471)))</f>
        <v>0</v>
      </c>
      <c r="U368" s="525" t="s">
        <v>1237</v>
      </c>
      <c r="V368" s="525">
        <f>'HIV-Key Info'!$H$83*(('HIV-Key Info'!$E$83*'HPM costs'!I465)+('HIV-Key Info'!$F$83*('HPM costs'!I468+'HPM costs'!I471)))</f>
        <v>0</v>
      </c>
      <c r="W368" s="525"/>
      <c r="X368" s="1154">
        <f t="shared" si="36"/>
        <v>0</v>
      </c>
      <c r="Y368" s="1155"/>
      <c r="Z368" s="1156"/>
      <c r="AA368" s="529"/>
      <c r="AB368" s="525"/>
      <c r="AC368" s="525">
        <f>'HIV-Key Info'!$H$83*(('HIV-Key Info'!$E$83*'HPM costs'!K465)+('HIV-Key Info'!$F$83*('HPM costs'!K468+'HPM costs'!K471)))</f>
        <v>0</v>
      </c>
      <c r="AD368" s="525"/>
      <c r="AE368" s="525">
        <f>'HIV-Key Info'!$H$83*(('HIV-Key Info'!$E$83*'HPM costs'!L465)+('HIV-Key Info'!$F$83*('HPM costs'!L468+'HPM costs'!L471)))</f>
        <v>0</v>
      </c>
      <c r="AF368" s="525"/>
      <c r="AG368" s="525">
        <f>'HIV-Key Info'!$H$83*(('HIV-Key Info'!$E$83*'HPM costs'!M465)+('HIV-Key Info'!$F$83*('HPM costs'!M468+'HPM costs'!M471)))</f>
        <v>0</v>
      </c>
      <c r="AH368" s="525"/>
      <c r="AI368" s="525">
        <f>'HIV-Key Info'!$H$83*(('HIV-Key Info'!$E$83*'HPM costs'!N465)+('HIV-Key Info'!$F$83*('HPM costs'!N468+'HPM costs'!N471)))</f>
        <v>0</v>
      </c>
      <c r="AJ368" s="525"/>
      <c r="AK368" s="1154">
        <f t="shared" si="37"/>
        <v>0</v>
      </c>
      <c r="AL368" s="1155"/>
      <c r="AM368" s="1156"/>
      <c r="AN368" s="529"/>
      <c r="AO368" s="525"/>
      <c r="AP368" s="525">
        <f>'HIV-Key Info'!$H$83*(('HIV-Key Info'!$E$83*'HPM costs'!P465)+('HIV-Key Info'!$F$83*('HPM costs'!P468+'HPM costs'!P471)))</f>
        <v>0</v>
      </c>
      <c r="AQ368" s="525"/>
      <c r="AR368" s="525">
        <f>'HIV-Key Info'!$H$83*(('HIV-Key Info'!$E$83*'HPM costs'!Q465)+('HIV-Key Info'!$F$83*('HPM costs'!Q468+'HPM costs'!Q471)))</f>
        <v>0</v>
      </c>
      <c r="AS368" s="525"/>
      <c r="AT368" s="525">
        <f>'HIV-Key Info'!$H$83*(('HIV-Key Info'!$E$83*'HPM costs'!R465)+('HIV-Key Info'!$F$83*('HPM costs'!R468+'HPM costs'!R471)))</f>
        <v>0</v>
      </c>
      <c r="AU368" s="525"/>
      <c r="AV368" s="525">
        <f>'HIV-Key Info'!$H$83*(('HIV-Key Info'!$E$83*'HPM costs'!S465)+('HIV-Key Info'!$F$83*('HPM costs'!S468+'HPM costs'!S471)))</f>
        <v>0</v>
      </c>
      <c r="AW368" s="525"/>
      <c r="AX368" s="1154">
        <f t="shared" si="38"/>
        <v>0</v>
      </c>
      <c r="AY368" s="1154"/>
      <c r="AZ368" s="528"/>
      <c r="BA368" s="529"/>
      <c r="BB368" s="527"/>
      <c r="BC368" s="527">
        <v>0</v>
      </c>
      <c r="BD368" s="527">
        <v>0</v>
      </c>
      <c r="BE368" s="527">
        <v>0</v>
      </c>
      <c r="BF368" s="527">
        <v>0</v>
      </c>
      <c r="BG368" s="527">
        <v>0</v>
      </c>
      <c r="BH368" s="527">
        <v>0</v>
      </c>
      <c r="BI368" s="527">
        <v>0</v>
      </c>
      <c r="BJ368" s="527">
        <v>0</v>
      </c>
      <c r="BK368" s="1154">
        <f t="shared" si="39"/>
        <v>0</v>
      </c>
      <c r="BL368" s="1154"/>
      <c r="BM368" s="1154">
        <f t="shared" si="40"/>
        <v>0</v>
      </c>
      <c r="BN368" s="1154">
        <f t="shared" si="41"/>
        <v>0</v>
      </c>
      <c r="BO368" s="527"/>
      <c r="BP368" s="527"/>
      <c r="BQ368" s="1157" t="s">
        <v>2552</v>
      </c>
      <c r="BR368" s="1157" t="s">
        <v>690</v>
      </c>
      <c r="BS368" s="1157" t="s">
        <v>527</v>
      </c>
      <c r="BT368" s="1376" t="s">
        <v>1672</v>
      </c>
    </row>
    <row r="369" spans="1:72" s="1371" customFormat="1" ht="13">
      <c r="A369" s="1204">
        <v>925</v>
      </c>
      <c r="B369" s="1205" t="s">
        <v>672</v>
      </c>
      <c r="C369" s="1205" t="s">
        <v>674</v>
      </c>
      <c r="D369" s="1206" t="s">
        <v>2525</v>
      </c>
      <c r="E369" s="1386" t="s">
        <v>536</v>
      </c>
      <c r="F369" s="521"/>
      <c r="G369" s="522"/>
      <c r="H369" s="522"/>
      <c r="I369" s="522"/>
      <c r="J369" s="523"/>
      <c r="K369" s="523"/>
      <c r="L369" s="523"/>
      <c r="M369" s="524"/>
      <c r="N369" s="525"/>
      <c r="O369" s="526" t="s">
        <v>1237</v>
      </c>
      <c r="P369" s="525">
        <f>'HIV-Key Info'!$H$83*(('HIV-Key Info'!$E$83*('HPM costs'!F205+'HPM costs'!F551))+('HIV-Key Info'!$F$83*('HPM costs'!F208+'HPM costs'!F211+'HPM costs'!F554+'HPM costs'!F557)))</f>
        <v>0</v>
      </c>
      <c r="Q369" s="525" t="s">
        <v>1237</v>
      </c>
      <c r="R369" s="525">
        <f>'HIV-Key Info'!$H$83*(('HIV-Key Info'!$E$83*('HPM costs'!G205+'HPM costs'!G551))+('HIV-Key Info'!$F$83*('HPM costs'!G208+'HPM costs'!G211+'HPM costs'!G554+'HPM costs'!G557)))</f>
        <v>0</v>
      </c>
      <c r="S369" s="525" t="s">
        <v>1237</v>
      </c>
      <c r="T369" s="525">
        <f>'HIV-Key Info'!$H$83*(('HIV-Key Info'!$E$83*('HPM costs'!H205+'HPM costs'!H551))+('HIV-Key Info'!$F$83*('HPM costs'!H208+'HPM costs'!H211+'HPM costs'!H554+'HPM costs'!H557)))</f>
        <v>0</v>
      </c>
      <c r="U369" s="525" t="s">
        <v>1237</v>
      </c>
      <c r="V369" s="525">
        <f>'HIV-Key Info'!$H$83*(('HIV-Key Info'!$E$83*('HPM costs'!I205+'HPM costs'!I551))+('HIV-Key Info'!$F$83*('HPM costs'!I208+'HPM costs'!I211+'HPM costs'!I554+'HPM costs'!I557)))</f>
        <v>0</v>
      </c>
      <c r="W369" s="525"/>
      <c r="X369" s="1154">
        <f t="shared" si="36"/>
        <v>0</v>
      </c>
      <c r="Y369" s="1155"/>
      <c r="Z369" s="1156"/>
      <c r="AA369" s="529"/>
      <c r="AB369" s="525"/>
      <c r="AC369" s="525">
        <f>'HIV-Key Info'!$H$83*(('HIV-Key Info'!$E$83*('HPM costs'!K205+'HPM costs'!K551))+('HIV-Key Info'!$F$83*('HPM costs'!K208+'HPM costs'!K211+'HPM costs'!K554+'HPM costs'!K557)))</f>
        <v>0</v>
      </c>
      <c r="AD369" s="525"/>
      <c r="AE369" s="525">
        <f>'HIV-Key Info'!$H$83*(('HIV-Key Info'!$E$83*('HPM costs'!L205+'HPM costs'!L551))+('HIV-Key Info'!$F$83*('HPM costs'!L208+'HPM costs'!L211+'HPM costs'!L554+'HPM costs'!L557)))</f>
        <v>0</v>
      </c>
      <c r="AF369" s="525"/>
      <c r="AG369" s="525">
        <f>'HIV-Key Info'!$H$83*(('HIV-Key Info'!$E$83*('HPM costs'!M205+'HPM costs'!M551))+('HIV-Key Info'!$F$83*('HPM costs'!M208+'HPM costs'!M211+'HPM costs'!M554+'HPM costs'!M557)))</f>
        <v>0</v>
      </c>
      <c r="AH369" s="525"/>
      <c r="AI369" s="525">
        <f>'HIV-Key Info'!$H$83*(('HIV-Key Info'!$E$83*('HPM costs'!N205+'HPM costs'!N551))+('HIV-Key Info'!$F$83*('HPM costs'!N208+'HPM costs'!N211+'HPM costs'!N554+'HPM costs'!N557)))</f>
        <v>0</v>
      </c>
      <c r="AJ369" s="525"/>
      <c r="AK369" s="1154">
        <f t="shared" si="37"/>
        <v>0</v>
      </c>
      <c r="AL369" s="1155"/>
      <c r="AM369" s="1156"/>
      <c r="AN369" s="529"/>
      <c r="AO369" s="525"/>
      <c r="AP369" s="525">
        <f>'HIV-Key Info'!$H$83*(('HIV-Key Info'!$E$83*('HPM costs'!P205+'HPM costs'!P551))+('HIV-Key Info'!$F$83*('HPM costs'!P208+'HPM costs'!P211+'HPM costs'!P554+'HPM costs'!P557)))</f>
        <v>0</v>
      </c>
      <c r="AQ369" s="525"/>
      <c r="AR369" s="525">
        <f>'HIV-Key Info'!$H$83*(('HIV-Key Info'!$E$83*('HPM costs'!Q205+'HPM costs'!Q551))+('HIV-Key Info'!$F$83*('HPM costs'!Q208+'HPM costs'!Q211+'HPM costs'!Q554+'HPM costs'!Q557)))</f>
        <v>0</v>
      </c>
      <c r="AS369" s="525"/>
      <c r="AT369" s="525">
        <f>'HIV-Key Info'!$H$83*(('HIV-Key Info'!$E$83*('HPM costs'!R205+'HPM costs'!R551))+('HIV-Key Info'!$F$83*('HPM costs'!R208+'HPM costs'!R211+'HPM costs'!R554+'HPM costs'!R557)))</f>
        <v>0</v>
      </c>
      <c r="AU369" s="525"/>
      <c r="AV369" s="525">
        <f>'HIV-Key Info'!$H$83*(('HIV-Key Info'!$E$83*('HPM costs'!S205+'HPM costs'!S551))+('HIV-Key Info'!$F$83*('HPM costs'!S208+'HPM costs'!S211+'HPM costs'!S554+'HPM costs'!S557)))</f>
        <v>0</v>
      </c>
      <c r="AW369" s="525"/>
      <c r="AX369" s="1154">
        <f t="shared" si="38"/>
        <v>0</v>
      </c>
      <c r="AY369" s="1154"/>
      <c r="AZ369" s="528"/>
      <c r="BA369" s="529"/>
      <c r="BB369" s="527"/>
      <c r="BC369" s="527">
        <v>0</v>
      </c>
      <c r="BD369" s="527">
        <v>0</v>
      </c>
      <c r="BE369" s="527">
        <v>0</v>
      </c>
      <c r="BF369" s="527">
        <v>0</v>
      </c>
      <c r="BG369" s="527">
        <v>0</v>
      </c>
      <c r="BH369" s="527">
        <v>0</v>
      </c>
      <c r="BI369" s="527">
        <v>0</v>
      </c>
      <c r="BJ369" s="527">
        <v>0</v>
      </c>
      <c r="BK369" s="1154">
        <f t="shared" si="39"/>
        <v>0</v>
      </c>
      <c r="BL369" s="1154"/>
      <c r="BM369" s="1154">
        <f t="shared" si="40"/>
        <v>0</v>
      </c>
      <c r="BN369" s="1154">
        <f t="shared" si="41"/>
        <v>0</v>
      </c>
      <c r="BO369" s="527"/>
      <c r="BP369" s="527"/>
      <c r="BQ369" s="1157" t="s">
        <v>2552</v>
      </c>
      <c r="BR369" s="1157" t="s">
        <v>690</v>
      </c>
      <c r="BS369" s="1157" t="s">
        <v>527</v>
      </c>
      <c r="BT369" s="1376" t="s">
        <v>1673</v>
      </c>
    </row>
    <row r="370" spans="1:72" s="1371" customFormat="1" ht="13">
      <c r="A370" s="1204">
        <v>926</v>
      </c>
      <c r="B370" s="1205" t="s">
        <v>672</v>
      </c>
      <c r="C370" s="1205" t="s">
        <v>674</v>
      </c>
      <c r="D370" s="1206" t="s">
        <v>2525</v>
      </c>
      <c r="E370" s="1386" t="s">
        <v>538</v>
      </c>
      <c r="F370" s="521"/>
      <c r="G370" s="522"/>
      <c r="H370" s="522"/>
      <c r="I370" s="522"/>
      <c r="J370" s="523"/>
      <c r="K370" s="523"/>
      <c r="L370" s="523"/>
      <c r="M370" s="524"/>
      <c r="N370" s="525"/>
      <c r="O370" s="526" t="s">
        <v>1237</v>
      </c>
      <c r="P370" s="525">
        <f>'HIV-Key Info'!$H$83*(('HIV-Key Info'!$E$83*'HPM costs'!F291)+('HIV-Key Info'!$F$83*('HPM costs'!F294+'HPM costs'!F297)))</f>
        <v>0</v>
      </c>
      <c r="Q370" s="525" t="s">
        <v>1237</v>
      </c>
      <c r="R370" s="525">
        <f>'HIV-Key Info'!$H$83*(('HIV-Key Info'!$E$83*'HPM costs'!G291)+('HIV-Key Info'!$F$83*('HPM costs'!G294+'HPM costs'!G297)))</f>
        <v>0</v>
      </c>
      <c r="S370" s="525" t="s">
        <v>1237</v>
      </c>
      <c r="T370" s="525">
        <f>'HIV-Key Info'!$H$83*(('HIV-Key Info'!$E$83*'HPM costs'!H291)+('HIV-Key Info'!$F$83*('HPM costs'!H294+'HPM costs'!H297)))</f>
        <v>0</v>
      </c>
      <c r="U370" s="525" t="s">
        <v>1237</v>
      </c>
      <c r="V370" s="525">
        <f>'HIV-Key Info'!$H$83*(('HIV-Key Info'!$E$83*'HPM costs'!I291)+('HIV-Key Info'!$F$83*('HPM costs'!I294+'HPM costs'!I297)))</f>
        <v>0</v>
      </c>
      <c r="W370" s="525"/>
      <c r="X370" s="1154">
        <f t="shared" si="36"/>
        <v>0</v>
      </c>
      <c r="Y370" s="1155"/>
      <c r="Z370" s="1156"/>
      <c r="AA370" s="529"/>
      <c r="AB370" s="525"/>
      <c r="AC370" s="525">
        <f>'HIV-Key Info'!$H$83*(('HIV-Key Info'!$E$83*'HPM costs'!K291)+('HIV-Key Info'!$F$83*('HPM costs'!K294+'HPM costs'!K297)))</f>
        <v>0</v>
      </c>
      <c r="AD370" s="525"/>
      <c r="AE370" s="525">
        <f>'HIV-Key Info'!$H$83*(('HIV-Key Info'!$E$83*'HPM costs'!L291)+('HIV-Key Info'!$F$83*('HPM costs'!L294+'HPM costs'!L297)))</f>
        <v>0</v>
      </c>
      <c r="AF370" s="525"/>
      <c r="AG370" s="525">
        <f>'HIV-Key Info'!$H$83*(('HIV-Key Info'!$E$83*'HPM costs'!M291)+('HIV-Key Info'!$F$83*('HPM costs'!M294+'HPM costs'!M297)))</f>
        <v>0</v>
      </c>
      <c r="AH370" s="525"/>
      <c r="AI370" s="525">
        <f>'HIV-Key Info'!$H$83*(('HIV-Key Info'!$E$83*'HPM costs'!N291)+('HIV-Key Info'!$F$83*('HPM costs'!N294+'HPM costs'!N297)))</f>
        <v>0</v>
      </c>
      <c r="AJ370" s="525"/>
      <c r="AK370" s="1154">
        <f t="shared" si="37"/>
        <v>0</v>
      </c>
      <c r="AL370" s="1155"/>
      <c r="AM370" s="1156"/>
      <c r="AN370" s="529"/>
      <c r="AO370" s="525"/>
      <c r="AP370" s="525">
        <f>'HIV-Key Info'!$H$83*(('HIV-Key Info'!$E$83*'HPM costs'!P291)+('HIV-Key Info'!$F$83*('HPM costs'!P294+'HPM costs'!P297)))</f>
        <v>0</v>
      </c>
      <c r="AQ370" s="525"/>
      <c r="AR370" s="525">
        <f>'HIV-Key Info'!$H$83*(('HIV-Key Info'!$E$83*'HPM costs'!Q291)+('HIV-Key Info'!$F$83*('HPM costs'!Q294+'HPM costs'!Q297)))</f>
        <v>0</v>
      </c>
      <c r="AS370" s="525"/>
      <c r="AT370" s="525">
        <f>'HIV-Key Info'!$H$83*(('HIV-Key Info'!$E$83*'HPM costs'!R291)+('HIV-Key Info'!$F$83*('HPM costs'!R294+'HPM costs'!R297)))</f>
        <v>0</v>
      </c>
      <c r="AU370" s="525"/>
      <c r="AV370" s="525">
        <f>'HIV-Key Info'!$H$83*(('HIV-Key Info'!$E$83*'HPM costs'!S291)+('HIV-Key Info'!$F$83*('HPM costs'!S294+'HPM costs'!S297)))</f>
        <v>0</v>
      </c>
      <c r="AW370" s="525"/>
      <c r="AX370" s="1154">
        <f t="shared" si="38"/>
        <v>0</v>
      </c>
      <c r="AY370" s="1154"/>
      <c r="AZ370" s="528"/>
      <c r="BA370" s="529"/>
      <c r="BB370" s="527"/>
      <c r="BC370" s="527">
        <v>0</v>
      </c>
      <c r="BD370" s="527">
        <v>0</v>
      </c>
      <c r="BE370" s="527">
        <v>0</v>
      </c>
      <c r="BF370" s="527">
        <v>0</v>
      </c>
      <c r="BG370" s="527">
        <v>0</v>
      </c>
      <c r="BH370" s="527">
        <v>0</v>
      </c>
      <c r="BI370" s="527">
        <v>0</v>
      </c>
      <c r="BJ370" s="527">
        <v>0</v>
      </c>
      <c r="BK370" s="1154">
        <f t="shared" si="39"/>
        <v>0</v>
      </c>
      <c r="BL370" s="1154"/>
      <c r="BM370" s="1154">
        <f t="shared" si="40"/>
        <v>0</v>
      </c>
      <c r="BN370" s="1154">
        <f t="shared" si="41"/>
        <v>0</v>
      </c>
      <c r="BO370" s="527"/>
      <c r="BP370" s="527"/>
      <c r="BQ370" s="1157" t="s">
        <v>2552</v>
      </c>
      <c r="BR370" s="1157" t="s">
        <v>690</v>
      </c>
      <c r="BS370" s="1157" t="s">
        <v>527</v>
      </c>
      <c r="BT370" s="1376" t="s">
        <v>1674</v>
      </c>
    </row>
    <row r="371" spans="1:72" s="1371" customFormat="1" ht="13">
      <c r="A371" s="1204">
        <v>927</v>
      </c>
      <c r="B371" s="1205" t="s">
        <v>672</v>
      </c>
      <c r="C371" s="1205" t="s">
        <v>674</v>
      </c>
      <c r="D371" s="1206" t="s">
        <v>2525</v>
      </c>
      <c r="E371" s="1386" t="s">
        <v>540</v>
      </c>
      <c r="F371" s="521"/>
      <c r="G371" s="522"/>
      <c r="H371" s="522"/>
      <c r="I371" s="522"/>
      <c r="J371" s="523"/>
      <c r="K371" s="523"/>
      <c r="L371" s="523"/>
      <c r="M371" s="524"/>
      <c r="N371" s="525"/>
      <c r="O371" s="526" t="s">
        <v>1237</v>
      </c>
      <c r="P371" s="525">
        <f>'HIV-Key Info'!$H$83*(('HIV-Key Info'!$E$83*'HPM costs'!F636)+('HIV-Key Info'!$F$83*('HPM costs'!F639+'HPM costs'!F642)))</f>
        <v>0</v>
      </c>
      <c r="Q371" s="525" t="s">
        <v>1237</v>
      </c>
      <c r="R371" s="525">
        <f>'HIV-Key Info'!$H$83*(('HIV-Key Info'!$E$83*'HPM costs'!G636)+('HIV-Key Info'!$F$83*('HPM costs'!G639+'HPM costs'!G642)))</f>
        <v>0</v>
      </c>
      <c r="S371" s="525" t="s">
        <v>1237</v>
      </c>
      <c r="T371" s="525">
        <f>'HIV-Key Info'!$H$83*(('HIV-Key Info'!$E$83*'HPM costs'!H636)+('HIV-Key Info'!$F$83*('HPM costs'!H639+'HPM costs'!H642)))</f>
        <v>0</v>
      </c>
      <c r="U371" s="525" t="s">
        <v>1237</v>
      </c>
      <c r="V371" s="525">
        <f>'HIV-Key Info'!$H$83*(('HIV-Key Info'!$E$83*'HPM costs'!I636)+('HIV-Key Info'!$F$83*('HPM costs'!I639+'HPM costs'!I642)))</f>
        <v>0</v>
      </c>
      <c r="W371" s="525"/>
      <c r="X371" s="1154">
        <f t="shared" si="36"/>
        <v>0</v>
      </c>
      <c r="Y371" s="1155"/>
      <c r="Z371" s="1156"/>
      <c r="AA371" s="529"/>
      <c r="AB371" s="525"/>
      <c r="AC371" s="525">
        <f>'HIV-Key Info'!$H$83*(('HIV-Key Info'!$E$83*'HPM costs'!K636)+('HIV-Key Info'!$F$83*('HPM costs'!K639+'HPM costs'!K642)))</f>
        <v>0</v>
      </c>
      <c r="AD371" s="525"/>
      <c r="AE371" s="525">
        <f>'HIV-Key Info'!$H$83*(('HIV-Key Info'!$E$83*'HPM costs'!L636)+('HIV-Key Info'!$F$83*('HPM costs'!L639+'HPM costs'!L642)))</f>
        <v>0</v>
      </c>
      <c r="AF371" s="525"/>
      <c r="AG371" s="525">
        <f>'HIV-Key Info'!$H$83*(('HIV-Key Info'!$E$83*'HPM costs'!M636)+('HIV-Key Info'!$F$83*('HPM costs'!M639+'HPM costs'!M642)))</f>
        <v>0</v>
      </c>
      <c r="AH371" s="525"/>
      <c r="AI371" s="525">
        <f>'HIV-Key Info'!$H$83*(('HIV-Key Info'!$E$83*'HPM costs'!N636)+('HIV-Key Info'!$F$83*('HPM costs'!N639+'HPM costs'!N642)))</f>
        <v>0</v>
      </c>
      <c r="AJ371" s="525"/>
      <c r="AK371" s="1154">
        <f t="shared" si="37"/>
        <v>0</v>
      </c>
      <c r="AL371" s="1155"/>
      <c r="AM371" s="1156"/>
      <c r="AN371" s="529"/>
      <c r="AO371" s="525"/>
      <c r="AP371" s="525">
        <f>'HIV-Key Info'!$H$83*(('HIV-Key Info'!$E$83*'HPM costs'!P636)+('HIV-Key Info'!$F$83*('HPM costs'!P639+'HPM costs'!P642)))</f>
        <v>0</v>
      </c>
      <c r="AQ371" s="525"/>
      <c r="AR371" s="525">
        <f>'HIV-Key Info'!$H$83*(('HIV-Key Info'!$E$83*'HPM costs'!Q636)+('HIV-Key Info'!$F$83*('HPM costs'!Q639+'HPM costs'!Q642)))</f>
        <v>0</v>
      </c>
      <c r="AS371" s="525"/>
      <c r="AT371" s="525">
        <f>'HIV-Key Info'!$H$83*(('HIV-Key Info'!$E$83*'HPM costs'!R636)+('HIV-Key Info'!$F$83*('HPM costs'!R639+'HPM costs'!R642)))</f>
        <v>0</v>
      </c>
      <c r="AU371" s="525"/>
      <c r="AV371" s="525">
        <f>'HIV-Key Info'!$H$83*(('HIV-Key Info'!$E$83*'HPM costs'!S636)+('HIV-Key Info'!$F$83*('HPM costs'!S639+'HPM costs'!S642)))</f>
        <v>0</v>
      </c>
      <c r="AW371" s="525"/>
      <c r="AX371" s="1154">
        <f t="shared" si="38"/>
        <v>0</v>
      </c>
      <c r="AY371" s="1154"/>
      <c r="AZ371" s="528"/>
      <c r="BA371" s="529"/>
      <c r="BB371" s="527"/>
      <c r="BC371" s="527">
        <v>0</v>
      </c>
      <c r="BD371" s="527">
        <v>0</v>
      </c>
      <c r="BE371" s="527">
        <v>0</v>
      </c>
      <c r="BF371" s="527">
        <v>0</v>
      </c>
      <c r="BG371" s="527">
        <v>0</v>
      </c>
      <c r="BH371" s="527">
        <v>0</v>
      </c>
      <c r="BI371" s="527">
        <v>0</v>
      </c>
      <c r="BJ371" s="527">
        <v>0</v>
      </c>
      <c r="BK371" s="1154">
        <f t="shared" si="39"/>
        <v>0</v>
      </c>
      <c r="BL371" s="1154"/>
      <c r="BM371" s="1154">
        <f t="shared" si="40"/>
        <v>0</v>
      </c>
      <c r="BN371" s="1154">
        <f t="shared" si="41"/>
        <v>0</v>
      </c>
      <c r="BO371" s="527"/>
      <c r="BP371" s="527"/>
      <c r="BQ371" s="1157" t="s">
        <v>2552</v>
      </c>
      <c r="BR371" s="1157" t="s">
        <v>690</v>
      </c>
      <c r="BS371" s="1157" t="s">
        <v>527</v>
      </c>
      <c r="BT371" s="1376" t="s">
        <v>1675</v>
      </c>
    </row>
    <row r="372" spans="1:72" s="1371" customFormat="1" ht="13">
      <c r="A372" s="1204">
        <v>928</v>
      </c>
      <c r="B372" s="1205" t="s">
        <v>672</v>
      </c>
      <c r="C372" s="1205" t="s">
        <v>675</v>
      </c>
      <c r="D372" s="1206" t="s">
        <v>2574</v>
      </c>
      <c r="E372" s="1386" t="s">
        <v>603</v>
      </c>
      <c r="F372" s="521"/>
      <c r="G372" s="522"/>
      <c r="H372" s="522"/>
      <c r="I372" s="522"/>
      <c r="J372" s="523"/>
      <c r="K372" s="523"/>
      <c r="L372" s="523"/>
      <c r="M372" s="524"/>
      <c r="N372" s="525"/>
      <c r="O372" s="526" t="s">
        <v>1237</v>
      </c>
      <c r="P372" s="525">
        <f>'HIV-Key Info'!$I$83*('HIV-Key Info'!$E$83*('HPM costs'!F119/'HPM costs'!$E$119)+'HIV-Key Info'!$F$83*('HPM costs'!F125/'HPM costs'!$E$125+'HPM costs'!F122/'HPM costs'!$E$122))</f>
        <v>0</v>
      </c>
      <c r="Q372" s="525" t="s">
        <v>1237</v>
      </c>
      <c r="R372" s="525">
        <f>'HIV-Key Info'!$I$83*('HIV-Key Info'!$E$83*('HPM costs'!G119/'HPM costs'!$E$119)+'HIV-Key Info'!$F$83*('HPM costs'!G125/'HPM costs'!$E$125+'HPM costs'!G122/'HPM costs'!$E$122))</f>
        <v>0</v>
      </c>
      <c r="S372" s="525" t="s">
        <v>1237</v>
      </c>
      <c r="T372" s="525">
        <f>'HIV-Key Info'!$I$83*('HIV-Key Info'!$E$83*('HPM costs'!H119/'HPM costs'!$E$119)+'HIV-Key Info'!$F$83*('HPM costs'!H125/'HPM costs'!$E$125+'HPM costs'!H122/'HPM costs'!$E$122))</f>
        <v>0</v>
      </c>
      <c r="U372" s="525" t="s">
        <v>1237</v>
      </c>
      <c r="V372" s="525">
        <f>'HIV-Key Info'!$I$83*('HIV-Key Info'!$E$83*('HPM costs'!I119/'HPM costs'!$E$119)+'HIV-Key Info'!$F$83*('HPM costs'!I125/'HPM costs'!$E$125+'HPM costs'!I122/'HPM costs'!$E$122))</f>
        <v>0</v>
      </c>
      <c r="W372" s="525"/>
      <c r="X372" s="1154">
        <f t="shared" si="36"/>
        <v>0</v>
      </c>
      <c r="Y372" s="1155"/>
      <c r="Z372" s="1156"/>
      <c r="AA372" s="529"/>
      <c r="AB372" s="525"/>
      <c r="AC372" s="525">
        <f>'HIV-Key Info'!$I$83*('HIV-Key Info'!$E$83*('HPM costs'!K119/'HPM costs'!$E$119)+'HIV-Key Info'!$F$83*('HPM costs'!K125/'HPM costs'!$E$125+'HPM costs'!K122/'HPM costs'!$E$122))</f>
        <v>0</v>
      </c>
      <c r="AD372" s="525"/>
      <c r="AE372" s="525">
        <f>'HIV-Key Info'!$I$83*('HIV-Key Info'!$E$83*('HPM costs'!L119/'HPM costs'!$E$119)+'HIV-Key Info'!$F$83*('HPM costs'!L125/'HPM costs'!$E$125+'HPM costs'!L122/'HPM costs'!$E$122))</f>
        <v>0</v>
      </c>
      <c r="AF372" s="525"/>
      <c r="AG372" s="525">
        <f>'HIV-Key Info'!$I$83*('HIV-Key Info'!$E$83*('HPM costs'!M119/'HPM costs'!$E$119)+'HIV-Key Info'!$F$83*('HPM costs'!M125/'HPM costs'!$E$125+'HPM costs'!M122/'HPM costs'!$E$122))</f>
        <v>0</v>
      </c>
      <c r="AH372" s="525"/>
      <c r="AI372" s="525">
        <f>'HIV-Key Info'!$I$83*('HIV-Key Info'!$E$83*('HPM costs'!N119/'HPM costs'!$E$119)+'HIV-Key Info'!$F$83*('HPM costs'!N125/'HPM costs'!$E$125+'HPM costs'!N122/'HPM costs'!$E$122))</f>
        <v>0</v>
      </c>
      <c r="AJ372" s="525"/>
      <c r="AK372" s="1154">
        <f t="shared" si="37"/>
        <v>0</v>
      </c>
      <c r="AL372" s="1155"/>
      <c r="AM372" s="1156"/>
      <c r="AN372" s="529"/>
      <c r="AO372" s="525"/>
      <c r="AP372" s="525">
        <f>'HIV-Key Info'!$I$83*('HIV-Key Info'!$E$83*('HPM costs'!P119/'HPM costs'!$E$119)+'HIV-Key Info'!$F$83*('HPM costs'!P125/'HPM costs'!$E$125+'HPM costs'!P122/'HPM costs'!$E$122))</f>
        <v>0</v>
      </c>
      <c r="AQ372" s="525"/>
      <c r="AR372" s="525">
        <f>'HIV-Key Info'!$I$83*('HIV-Key Info'!$E$83*('HPM costs'!Q119/'HPM costs'!$E$119)+'HIV-Key Info'!$F$83*('HPM costs'!Q125/'HPM costs'!$E$125+'HPM costs'!Q122/'HPM costs'!$E$122))</f>
        <v>0</v>
      </c>
      <c r="AS372" s="525"/>
      <c r="AT372" s="525">
        <f>'HIV-Key Info'!$I$83*('HIV-Key Info'!$E$83*('HPM costs'!R119/'HPM costs'!$E$119)+'HIV-Key Info'!$F$83*('HPM costs'!R125/'HPM costs'!$E$125+'HPM costs'!R122/'HPM costs'!$E$122))</f>
        <v>0</v>
      </c>
      <c r="AU372" s="525"/>
      <c r="AV372" s="525">
        <f>'HIV-Key Info'!$I$83*('HIV-Key Info'!$E$83*('HPM costs'!S119/'HPM costs'!$E$119)+'HIV-Key Info'!$F$83*('HPM costs'!S125/'HPM costs'!$E$125+'HPM costs'!S122/'HPM costs'!$E$122))</f>
        <v>0</v>
      </c>
      <c r="AW372" s="525"/>
      <c r="AX372" s="1154">
        <f t="shared" si="38"/>
        <v>0</v>
      </c>
      <c r="AY372" s="1154"/>
      <c r="AZ372" s="528"/>
      <c r="BA372" s="529"/>
      <c r="BB372" s="527"/>
      <c r="BC372" s="527">
        <v>0</v>
      </c>
      <c r="BD372" s="527">
        <v>0</v>
      </c>
      <c r="BE372" s="527">
        <v>0</v>
      </c>
      <c r="BF372" s="527">
        <v>0</v>
      </c>
      <c r="BG372" s="527">
        <v>0</v>
      </c>
      <c r="BH372" s="527">
        <v>0</v>
      </c>
      <c r="BI372" s="527">
        <v>0</v>
      </c>
      <c r="BJ372" s="527">
        <v>0</v>
      </c>
      <c r="BK372" s="1154">
        <f t="shared" si="39"/>
        <v>0</v>
      </c>
      <c r="BL372" s="1154"/>
      <c r="BM372" s="1154">
        <f t="shared" si="40"/>
        <v>0</v>
      </c>
      <c r="BN372" s="1154">
        <f t="shared" si="41"/>
        <v>0</v>
      </c>
      <c r="BO372" s="527"/>
      <c r="BP372" s="527"/>
      <c r="BQ372" s="1157" t="s">
        <v>2552</v>
      </c>
      <c r="BR372" s="1157" t="s">
        <v>690</v>
      </c>
      <c r="BS372" s="1157" t="s">
        <v>2570</v>
      </c>
      <c r="BT372" s="1376" t="s">
        <v>1676</v>
      </c>
    </row>
    <row r="373" spans="1:72" s="1371" customFormat="1" ht="13">
      <c r="A373" s="1204">
        <v>929</v>
      </c>
      <c r="B373" s="1205" t="s">
        <v>672</v>
      </c>
      <c r="C373" s="1205" t="s">
        <v>675</v>
      </c>
      <c r="D373" s="1206" t="s">
        <v>2525</v>
      </c>
      <c r="E373" s="1386" t="s">
        <v>528</v>
      </c>
      <c r="F373" s="521"/>
      <c r="G373" s="522"/>
      <c r="H373" s="522"/>
      <c r="I373" s="522"/>
      <c r="J373" s="523"/>
      <c r="K373" s="523"/>
      <c r="L373" s="523"/>
      <c r="M373" s="524"/>
      <c r="N373" s="525"/>
      <c r="O373" s="526" t="s">
        <v>1237</v>
      </c>
      <c r="P373" s="525">
        <f>'HIV-Key Info'!$I$83*(('HIV-Key Info'!$E$83*'HPM costs'!F33)+('HIV-Key Info'!$F$83*('HPM costs'!F36+'HPM costs'!F39)))</f>
        <v>0</v>
      </c>
      <c r="Q373" s="525" t="s">
        <v>1237</v>
      </c>
      <c r="R373" s="525">
        <f>'HIV-Key Info'!$I$83*(('HIV-Key Info'!$E$83*'HPM costs'!G33)+('HIV-Key Info'!$F$83*('HPM costs'!G36+'HPM costs'!G39)))</f>
        <v>0</v>
      </c>
      <c r="S373" s="525" t="s">
        <v>1237</v>
      </c>
      <c r="T373" s="525">
        <f>'HIV-Key Info'!$I$83*(('HIV-Key Info'!$E$83*'HPM costs'!H33)+('HIV-Key Info'!$F$83*('HPM costs'!H36+'HPM costs'!H39)))</f>
        <v>0</v>
      </c>
      <c r="U373" s="525" t="s">
        <v>1237</v>
      </c>
      <c r="V373" s="525">
        <f>'HIV-Key Info'!$I$83*(('HIV-Key Info'!$E$83*'HPM costs'!I33)+('HIV-Key Info'!$F$83*('HPM costs'!I36+'HPM costs'!I39)))</f>
        <v>0</v>
      </c>
      <c r="W373" s="525"/>
      <c r="X373" s="1154">
        <f t="shared" si="36"/>
        <v>0</v>
      </c>
      <c r="Y373" s="1155"/>
      <c r="Z373" s="1156"/>
      <c r="AA373" s="529"/>
      <c r="AB373" s="525"/>
      <c r="AC373" s="525">
        <f>'HIV-Key Info'!$I$83*(('HIV-Key Info'!$E$83*'HPM costs'!K33)+('HIV-Key Info'!$F$83*('HPM costs'!K36+'HPM costs'!K39)))</f>
        <v>0</v>
      </c>
      <c r="AD373" s="525"/>
      <c r="AE373" s="525">
        <f>'HIV-Key Info'!$I$83*(('HIV-Key Info'!$E$83*'HPM costs'!L33)+('HIV-Key Info'!$F$83*('HPM costs'!L36+'HPM costs'!L39)))</f>
        <v>0</v>
      </c>
      <c r="AF373" s="525"/>
      <c r="AG373" s="525">
        <f>'HIV-Key Info'!$I$83*(('HIV-Key Info'!$E$83*'HPM costs'!M33)+('HIV-Key Info'!$F$83*('HPM costs'!M36+'HPM costs'!M39)))</f>
        <v>0</v>
      </c>
      <c r="AH373" s="525"/>
      <c r="AI373" s="525">
        <f>'HIV-Key Info'!$I$83*(('HIV-Key Info'!$E$83*'HPM costs'!N33)+('HIV-Key Info'!$F$83*('HPM costs'!N36+'HPM costs'!N39)))</f>
        <v>0</v>
      </c>
      <c r="AJ373" s="525"/>
      <c r="AK373" s="1154">
        <f t="shared" si="37"/>
        <v>0</v>
      </c>
      <c r="AL373" s="1155"/>
      <c r="AM373" s="1156"/>
      <c r="AN373" s="529"/>
      <c r="AO373" s="525"/>
      <c r="AP373" s="525">
        <f>'HIV-Key Info'!$I$83*(('HIV-Key Info'!$E$83*'HPM costs'!P33)+('HIV-Key Info'!$F$83*('HPM costs'!P36+'HPM costs'!P39)))</f>
        <v>0</v>
      </c>
      <c r="AQ373" s="525"/>
      <c r="AR373" s="525">
        <f>'HIV-Key Info'!$I$83*(('HIV-Key Info'!$E$83*'HPM costs'!Q33)+('HIV-Key Info'!$F$83*('HPM costs'!Q36+'HPM costs'!Q39)))</f>
        <v>0</v>
      </c>
      <c r="AS373" s="525"/>
      <c r="AT373" s="525">
        <f>'HIV-Key Info'!$I$83*(('HIV-Key Info'!$E$83*'HPM costs'!R33)+('HIV-Key Info'!$F$83*('HPM costs'!R36+'HPM costs'!R39)))</f>
        <v>0</v>
      </c>
      <c r="AU373" s="525"/>
      <c r="AV373" s="525">
        <f>'HIV-Key Info'!$I$83*(('HIV-Key Info'!$E$83*'HPM costs'!S33)+('HIV-Key Info'!$F$83*('HPM costs'!S36+'HPM costs'!S39)))</f>
        <v>0</v>
      </c>
      <c r="AW373" s="525"/>
      <c r="AX373" s="1154">
        <f t="shared" si="38"/>
        <v>0</v>
      </c>
      <c r="AY373" s="1154"/>
      <c r="AZ373" s="528"/>
      <c r="BA373" s="529"/>
      <c r="BB373" s="527"/>
      <c r="BC373" s="527">
        <v>0</v>
      </c>
      <c r="BD373" s="527">
        <v>0</v>
      </c>
      <c r="BE373" s="527">
        <v>0</v>
      </c>
      <c r="BF373" s="527">
        <v>0</v>
      </c>
      <c r="BG373" s="527">
        <v>0</v>
      </c>
      <c r="BH373" s="527">
        <v>0</v>
      </c>
      <c r="BI373" s="527">
        <v>0</v>
      </c>
      <c r="BJ373" s="527">
        <v>0</v>
      </c>
      <c r="BK373" s="1154">
        <f t="shared" si="39"/>
        <v>0</v>
      </c>
      <c r="BL373" s="1154"/>
      <c r="BM373" s="1154">
        <f t="shared" si="40"/>
        <v>0</v>
      </c>
      <c r="BN373" s="1154">
        <f t="shared" si="41"/>
        <v>0</v>
      </c>
      <c r="BO373" s="527"/>
      <c r="BP373" s="527"/>
      <c r="BQ373" s="1157" t="s">
        <v>2552</v>
      </c>
      <c r="BR373" s="1157" t="s">
        <v>690</v>
      </c>
      <c r="BS373" s="1157" t="s">
        <v>527</v>
      </c>
      <c r="BT373" s="1376" t="s">
        <v>1677</v>
      </c>
    </row>
    <row r="374" spans="1:72" s="1371" customFormat="1" ht="13">
      <c r="A374" s="1204">
        <v>930</v>
      </c>
      <c r="B374" s="1205" t="s">
        <v>672</v>
      </c>
      <c r="C374" s="1205" t="s">
        <v>675</v>
      </c>
      <c r="D374" s="1206" t="s">
        <v>2525</v>
      </c>
      <c r="E374" s="1386" t="s">
        <v>530</v>
      </c>
      <c r="F374" s="521"/>
      <c r="G374" s="522"/>
      <c r="H374" s="522"/>
      <c r="I374" s="522"/>
      <c r="J374" s="523"/>
      <c r="K374" s="523"/>
      <c r="L374" s="523"/>
      <c r="M374" s="524"/>
      <c r="N374" s="525"/>
      <c r="O374" s="526" t="s">
        <v>1237</v>
      </c>
      <c r="P374" s="525">
        <f>'HIV-Key Info'!$I$83*(('HIV-Key Info'!$E$83*'HPM costs'!F119)+('HIV-Key Info'!$F$83*('HPM costs'!F122+'HPM costs'!F125)))</f>
        <v>0</v>
      </c>
      <c r="Q374" s="525" t="s">
        <v>1237</v>
      </c>
      <c r="R374" s="525">
        <f>'HIV-Key Info'!$I$83*(('HIV-Key Info'!$E$83*'HPM costs'!G119)+('HIV-Key Info'!$F$83*('HPM costs'!G122+'HPM costs'!G125)))</f>
        <v>0</v>
      </c>
      <c r="S374" s="525" t="s">
        <v>1237</v>
      </c>
      <c r="T374" s="525">
        <f>'HIV-Key Info'!$I$83*(('HIV-Key Info'!$E$83*'HPM costs'!H119)+('HIV-Key Info'!$F$83*('HPM costs'!H122+'HPM costs'!H125)))</f>
        <v>0</v>
      </c>
      <c r="U374" s="525" t="s">
        <v>1237</v>
      </c>
      <c r="V374" s="525">
        <f>'HIV-Key Info'!$I$83*(('HIV-Key Info'!$E$83*'HPM costs'!I119)+('HIV-Key Info'!$F$83*('HPM costs'!I122+'HPM costs'!I125)))</f>
        <v>0</v>
      </c>
      <c r="W374" s="525"/>
      <c r="X374" s="1154">
        <f t="shared" si="36"/>
        <v>0</v>
      </c>
      <c r="Y374" s="1155"/>
      <c r="Z374" s="1156"/>
      <c r="AA374" s="529"/>
      <c r="AB374" s="525"/>
      <c r="AC374" s="525">
        <f>'HIV-Key Info'!$I$83*(('HIV-Key Info'!$E$83*'HPM costs'!K119)+('HIV-Key Info'!$F$83*('HPM costs'!K122+'HPM costs'!K125)))</f>
        <v>0</v>
      </c>
      <c r="AD374" s="525"/>
      <c r="AE374" s="525">
        <f>'HIV-Key Info'!$I$83*(('HIV-Key Info'!$E$83*'HPM costs'!L119)+('HIV-Key Info'!$F$83*('HPM costs'!L122+'HPM costs'!L125)))</f>
        <v>0</v>
      </c>
      <c r="AF374" s="525"/>
      <c r="AG374" s="525">
        <f>'HIV-Key Info'!$I$83*(('HIV-Key Info'!$E$83*'HPM costs'!M119)+('HIV-Key Info'!$F$83*('HPM costs'!M122+'HPM costs'!M125)))</f>
        <v>0</v>
      </c>
      <c r="AH374" s="525"/>
      <c r="AI374" s="525">
        <f>'HIV-Key Info'!$I$83*(('HIV-Key Info'!$E$83*'HPM costs'!N119)+('HIV-Key Info'!$F$83*('HPM costs'!N122+'HPM costs'!N125)))</f>
        <v>0</v>
      </c>
      <c r="AJ374" s="525"/>
      <c r="AK374" s="1154">
        <f t="shared" si="37"/>
        <v>0</v>
      </c>
      <c r="AL374" s="1155"/>
      <c r="AM374" s="1156"/>
      <c r="AN374" s="529"/>
      <c r="AO374" s="525"/>
      <c r="AP374" s="525">
        <f>'HIV-Key Info'!$I$83*(('HIV-Key Info'!$E$83*'HPM costs'!P119)+('HIV-Key Info'!$F$83*('HPM costs'!P122+'HPM costs'!P125)))</f>
        <v>0</v>
      </c>
      <c r="AQ374" s="525"/>
      <c r="AR374" s="525">
        <f>'HIV-Key Info'!$I$83*(('HIV-Key Info'!$E$83*'HPM costs'!Q119)+('HIV-Key Info'!$F$83*('HPM costs'!Q122+'HPM costs'!Q125)))</f>
        <v>0</v>
      </c>
      <c r="AS374" s="525"/>
      <c r="AT374" s="525">
        <f>'HIV-Key Info'!$I$83*(('HIV-Key Info'!$E$83*'HPM costs'!R119)+('HIV-Key Info'!$F$83*('HPM costs'!R122+'HPM costs'!R125)))</f>
        <v>0</v>
      </c>
      <c r="AU374" s="525"/>
      <c r="AV374" s="525">
        <f>'HIV-Key Info'!$I$83*(('HIV-Key Info'!$E$83*'HPM costs'!S119)+('HIV-Key Info'!$F$83*('HPM costs'!S122+'HPM costs'!S125)))</f>
        <v>0</v>
      </c>
      <c r="AW374" s="525"/>
      <c r="AX374" s="1154">
        <f t="shared" si="38"/>
        <v>0</v>
      </c>
      <c r="AY374" s="1154"/>
      <c r="AZ374" s="528"/>
      <c r="BA374" s="529"/>
      <c r="BB374" s="527"/>
      <c r="BC374" s="527">
        <v>0</v>
      </c>
      <c r="BD374" s="527">
        <v>0</v>
      </c>
      <c r="BE374" s="527">
        <v>0</v>
      </c>
      <c r="BF374" s="527">
        <v>0</v>
      </c>
      <c r="BG374" s="527">
        <v>0</v>
      </c>
      <c r="BH374" s="527">
        <v>0</v>
      </c>
      <c r="BI374" s="527">
        <v>0</v>
      </c>
      <c r="BJ374" s="527">
        <v>0</v>
      </c>
      <c r="BK374" s="1154">
        <f t="shared" si="39"/>
        <v>0</v>
      </c>
      <c r="BL374" s="1154"/>
      <c r="BM374" s="1154">
        <f t="shared" si="40"/>
        <v>0</v>
      </c>
      <c r="BN374" s="1154">
        <f t="shared" si="41"/>
        <v>0</v>
      </c>
      <c r="BO374" s="527"/>
      <c r="BP374" s="527"/>
      <c r="BQ374" s="1157" t="s">
        <v>2552</v>
      </c>
      <c r="BR374" s="1157" t="s">
        <v>690</v>
      </c>
      <c r="BS374" s="1157" t="s">
        <v>527</v>
      </c>
      <c r="BT374" s="1376" t="s">
        <v>1678</v>
      </c>
    </row>
    <row r="375" spans="1:72" s="1371" customFormat="1" ht="13">
      <c r="A375" s="1204">
        <v>931</v>
      </c>
      <c r="B375" s="1205" t="s">
        <v>672</v>
      </c>
      <c r="C375" s="1205" t="s">
        <v>675</v>
      </c>
      <c r="D375" s="1206" t="s">
        <v>2525</v>
      </c>
      <c r="E375" s="1386" t="s">
        <v>532</v>
      </c>
      <c r="F375" s="521"/>
      <c r="G375" s="522"/>
      <c r="H375" s="522"/>
      <c r="I375" s="522"/>
      <c r="J375" s="523"/>
      <c r="K375" s="523"/>
      <c r="L375" s="523"/>
      <c r="M375" s="524"/>
      <c r="N375" s="525"/>
      <c r="O375" s="526" t="s">
        <v>1237</v>
      </c>
      <c r="P375" s="525">
        <f>'HIV-Key Info'!$I$83*(('HIV-Key Info'!$E$83*'HPM costs'!F379)+('HIV-Key Info'!$F$83*('HPM costs'!F382+'HPM costs'!F385)))</f>
        <v>0</v>
      </c>
      <c r="Q375" s="525" t="s">
        <v>1237</v>
      </c>
      <c r="R375" s="525">
        <f>'HIV-Key Info'!$I$83*(('HIV-Key Info'!$E$83*'HPM costs'!G379)+('HIV-Key Info'!$F$83*('HPM costs'!G382+'HPM costs'!G385)))</f>
        <v>0</v>
      </c>
      <c r="S375" s="525" t="s">
        <v>1237</v>
      </c>
      <c r="T375" s="525">
        <f>'HIV-Key Info'!$I$83*(('HIV-Key Info'!$E$83*'HPM costs'!H379)+('HIV-Key Info'!$F$83*('HPM costs'!H382+'HPM costs'!H385)))</f>
        <v>0</v>
      </c>
      <c r="U375" s="525" t="s">
        <v>1237</v>
      </c>
      <c r="V375" s="525">
        <f>'HIV-Key Info'!$I$83*(('HIV-Key Info'!$E$83*'HPM costs'!I379)+('HIV-Key Info'!$F$83*('HPM costs'!I382+'HPM costs'!I385)))</f>
        <v>0</v>
      </c>
      <c r="W375" s="525"/>
      <c r="X375" s="1154">
        <f t="shared" si="36"/>
        <v>0</v>
      </c>
      <c r="Y375" s="1155"/>
      <c r="Z375" s="1156"/>
      <c r="AA375" s="529"/>
      <c r="AB375" s="525"/>
      <c r="AC375" s="525">
        <f>'HIV-Key Info'!$I$83*(('HIV-Key Info'!$E$83*'HPM costs'!K379)+('HIV-Key Info'!$F$83*('HPM costs'!K382+'HPM costs'!K385)))</f>
        <v>0</v>
      </c>
      <c r="AD375" s="525"/>
      <c r="AE375" s="525">
        <f>'HIV-Key Info'!$I$83*(('HIV-Key Info'!$E$83*'HPM costs'!L379)+('HIV-Key Info'!$F$83*('HPM costs'!L382+'HPM costs'!L385)))</f>
        <v>0</v>
      </c>
      <c r="AF375" s="525"/>
      <c r="AG375" s="525">
        <f>'HIV-Key Info'!$I$83*(('HIV-Key Info'!$E$83*'HPM costs'!M379)+('HIV-Key Info'!$F$83*('HPM costs'!M382+'HPM costs'!M385)))</f>
        <v>0</v>
      </c>
      <c r="AH375" s="525"/>
      <c r="AI375" s="525">
        <f>'HIV-Key Info'!$I$83*(('HIV-Key Info'!$E$83*'HPM costs'!N379)+('HIV-Key Info'!$F$83*('HPM costs'!N382+'HPM costs'!N385)))</f>
        <v>0</v>
      </c>
      <c r="AJ375" s="525"/>
      <c r="AK375" s="1154">
        <f t="shared" si="37"/>
        <v>0</v>
      </c>
      <c r="AL375" s="1155"/>
      <c r="AM375" s="1156"/>
      <c r="AN375" s="529"/>
      <c r="AO375" s="525"/>
      <c r="AP375" s="525">
        <f>'HIV-Key Info'!$I$83*(('HIV-Key Info'!$E$83*'HPM costs'!P379)+('HIV-Key Info'!$F$83*('HPM costs'!P382+'HPM costs'!P385)))</f>
        <v>0</v>
      </c>
      <c r="AQ375" s="525"/>
      <c r="AR375" s="525">
        <f>'HIV-Key Info'!$I$83*(('HIV-Key Info'!$E$83*'HPM costs'!Q379)+('HIV-Key Info'!$F$83*('HPM costs'!Q382+'HPM costs'!Q385)))</f>
        <v>0</v>
      </c>
      <c r="AS375" s="525"/>
      <c r="AT375" s="525">
        <f>'HIV-Key Info'!$I$83*(('HIV-Key Info'!$E$83*'HPM costs'!R379)+('HIV-Key Info'!$F$83*('HPM costs'!R382+'HPM costs'!R385)))</f>
        <v>0</v>
      </c>
      <c r="AU375" s="525"/>
      <c r="AV375" s="525">
        <f>'HIV-Key Info'!$I$83*(('HIV-Key Info'!$E$83*'HPM costs'!S379)+('HIV-Key Info'!$F$83*('HPM costs'!S382+'HPM costs'!S385)))</f>
        <v>0</v>
      </c>
      <c r="AW375" s="525"/>
      <c r="AX375" s="1154">
        <f t="shared" si="38"/>
        <v>0</v>
      </c>
      <c r="AY375" s="1154"/>
      <c r="AZ375" s="528"/>
      <c r="BA375" s="529"/>
      <c r="BB375" s="527"/>
      <c r="BC375" s="527">
        <v>0</v>
      </c>
      <c r="BD375" s="527">
        <v>0</v>
      </c>
      <c r="BE375" s="527">
        <v>0</v>
      </c>
      <c r="BF375" s="527">
        <v>0</v>
      </c>
      <c r="BG375" s="527">
        <v>0</v>
      </c>
      <c r="BH375" s="527">
        <v>0</v>
      </c>
      <c r="BI375" s="527">
        <v>0</v>
      </c>
      <c r="BJ375" s="527">
        <v>0</v>
      </c>
      <c r="BK375" s="1154">
        <f t="shared" si="39"/>
        <v>0</v>
      </c>
      <c r="BL375" s="1154"/>
      <c r="BM375" s="1154">
        <f t="shared" si="40"/>
        <v>0</v>
      </c>
      <c r="BN375" s="1154">
        <f t="shared" si="41"/>
        <v>0</v>
      </c>
      <c r="BO375" s="527"/>
      <c r="BP375" s="527"/>
      <c r="BQ375" s="1157" t="s">
        <v>2552</v>
      </c>
      <c r="BR375" s="1157" t="s">
        <v>690</v>
      </c>
      <c r="BS375" s="1157" t="s">
        <v>527</v>
      </c>
      <c r="BT375" s="1376" t="s">
        <v>1679</v>
      </c>
    </row>
    <row r="376" spans="1:72" s="1371" customFormat="1" ht="13">
      <c r="A376" s="1204">
        <v>932</v>
      </c>
      <c r="B376" s="1205" t="s">
        <v>672</v>
      </c>
      <c r="C376" s="1205" t="s">
        <v>675</v>
      </c>
      <c r="D376" s="1206" t="s">
        <v>2525</v>
      </c>
      <c r="E376" s="1386" t="s">
        <v>534</v>
      </c>
      <c r="F376" s="521"/>
      <c r="G376" s="522"/>
      <c r="H376" s="522"/>
      <c r="I376" s="522"/>
      <c r="J376" s="523"/>
      <c r="K376" s="523"/>
      <c r="L376" s="523"/>
      <c r="M376" s="524"/>
      <c r="N376" s="525"/>
      <c r="O376" s="526" t="s">
        <v>1237</v>
      </c>
      <c r="P376" s="525">
        <f>'HIV-Key Info'!$I$83*(('HIV-Key Info'!$E$83*'HPM costs'!F465)+('HIV-Key Info'!$F$83*('HPM costs'!F468+'HPM costs'!F471)))</f>
        <v>0</v>
      </c>
      <c r="Q376" s="525" t="s">
        <v>1237</v>
      </c>
      <c r="R376" s="525">
        <f>'HIV-Key Info'!$I$83*(('HIV-Key Info'!$E$83*'HPM costs'!G465)+('HIV-Key Info'!$F$83*('HPM costs'!G468+'HPM costs'!G471)))</f>
        <v>0</v>
      </c>
      <c r="S376" s="525" t="s">
        <v>1237</v>
      </c>
      <c r="T376" s="525">
        <f>'HIV-Key Info'!$I$83*(('HIV-Key Info'!$E$83*'HPM costs'!H465)+('HIV-Key Info'!$F$83*('HPM costs'!H468+'HPM costs'!H471)))</f>
        <v>0</v>
      </c>
      <c r="U376" s="525" t="s">
        <v>1237</v>
      </c>
      <c r="V376" s="525">
        <f>'HIV-Key Info'!$I$83*(('HIV-Key Info'!$E$83*'HPM costs'!I465)+('HIV-Key Info'!$F$83*('HPM costs'!I468+'HPM costs'!I471)))</f>
        <v>0</v>
      </c>
      <c r="W376" s="525"/>
      <c r="X376" s="1154">
        <f t="shared" si="36"/>
        <v>0</v>
      </c>
      <c r="Y376" s="1155"/>
      <c r="Z376" s="1156"/>
      <c r="AA376" s="529"/>
      <c r="AB376" s="525"/>
      <c r="AC376" s="525">
        <f>'HIV-Key Info'!$I$83*(('HIV-Key Info'!$E$83*'HPM costs'!K465)+('HIV-Key Info'!$F$83*('HPM costs'!K468+'HPM costs'!K471)))</f>
        <v>0</v>
      </c>
      <c r="AD376" s="525"/>
      <c r="AE376" s="525">
        <f>'HIV-Key Info'!$I$83*(('HIV-Key Info'!$E$83*'HPM costs'!L465)+('HIV-Key Info'!$F$83*('HPM costs'!L468+'HPM costs'!L471)))</f>
        <v>0</v>
      </c>
      <c r="AF376" s="525"/>
      <c r="AG376" s="525">
        <f>'HIV-Key Info'!$I$83*(('HIV-Key Info'!$E$83*'HPM costs'!M465)+('HIV-Key Info'!$F$83*('HPM costs'!M468+'HPM costs'!M471)))</f>
        <v>0</v>
      </c>
      <c r="AH376" s="525"/>
      <c r="AI376" s="525">
        <f>'HIV-Key Info'!$I$83*(('HIV-Key Info'!$E$83*'HPM costs'!N465)+('HIV-Key Info'!$F$83*('HPM costs'!N468+'HPM costs'!N471)))</f>
        <v>0</v>
      </c>
      <c r="AJ376" s="525"/>
      <c r="AK376" s="1154">
        <f t="shared" si="37"/>
        <v>0</v>
      </c>
      <c r="AL376" s="1155"/>
      <c r="AM376" s="1156"/>
      <c r="AN376" s="529"/>
      <c r="AO376" s="525"/>
      <c r="AP376" s="525">
        <f>'HIV-Key Info'!$I$83*(('HIV-Key Info'!$E$83*'HPM costs'!P465)+('HIV-Key Info'!$F$83*('HPM costs'!P468+'HPM costs'!P471)))</f>
        <v>0</v>
      </c>
      <c r="AQ376" s="525"/>
      <c r="AR376" s="525">
        <f>'HIV-Key Info'!$I$83*(('HIV-Key Info'!$E$83*'HPM costs'!Q465)+('HIV-Key Info'!$F$83*('HPM costs'!Q468+'HPM costs'!Q471)))</f>
        <v>0</v>
      </c>
      <c r="AS376" s="525"/>
      <c r="AT376" s="525">
        <f>'HIV-Key Info'!$I$83*(('HIV-Key Info'!$E$83*'HPM costs'!R465)+('HIV-Key Info'!$F$83*('HPM costs'!R468+'HPM costs'!R471)))</f>
        <v>0</v>
      </c>
      <c r="AU376" s="525"/>
      <c r="AV376" s="525">
        <f>'HIV-Key Info'!$I$83*(('HIV-Key Info'!$E$83*'HPM costs'!S465)+('HIV-Key Info'!$F$83*('HPM costs'!S468+'HPM costs'!S471)))</f>
        <v>0</v>
      </c>
      <c r="AW376" s="525"/>
      <c r="AX376" s="1154">
        <f t="shared" si="38"/>
        <v>0</v>
      </c>
      <c r="AY376" s="1154"/>
      <c r="AZ376" s="528"/>
      <c r="BA376" s="529"/>
      <c r="BB376" s="527"/>
      <c r="BC376" s="527">
        <v>0</v>
      </c>
      <c r="BD376" s="527">
        <v>0</v>
      </c>
      <c r="BE376" s="527">
        <v>0</v>
      </c>
      <c r="BF376" s="527">
        <v>0</v>
      </c>
      <c r="BG376" s="527">
        <v>0</v>
      </c>
      <c r="BH376" s="527">
        <v>0</v>
      </c>
      <c r="BI376" s="527">
        <v>0</v>
      </c>
      <c r="BJ376" s="527">
        <v>0</v>
      </c>
      <c r="BK376" s="1154">
        <f t="shared" si="39"/>
        <v>0</v>
      </c>
      <c r="BL376" s="1154"/>
      <c r="BM376" s="1154">
        <f t="shared" si="40"/>
        <v>0</v>
      </c>
      <c r="BN376" s="1154">
        <f t="shared" si="41"/>
        <v>0</v>
      </c>
      <c r="BO376" s="527"/>
      <c r="BP376" s="527"/>
      <c r="BQ376" s="1157" t="s">
        <v>2552</v>
      </c>
      <c r="BR376" s="1157" t="s">
        <v>690</v>
      </c>
      <c r="BS376" s="1157" t="s">
        <v>527</v>
      </c>
      <c r="BT376" s="1376" t="s">
        <v>1680</v>
      </c>
    </row>
    <row r="377" spans="1:72" s="1371" customFormat="1" ht="13">
      <c r="A377" s="1204">
        <v>933</v>
      </c>
      <c r="B377" s="1205" t="s">
        <v>672</v>
      </c>
      <c r="C377" s="1205" t="s">
        <v>675</v>
      </c>
      <c r="D377" s="1206" t="s">
        <v>2525</v>
      </c>
      <c r="E377" s="1386" t="s">
        <v>536</v>
      </c>
      <c r="F377" s="521"/>
      <c r="G377" s="522"/>
      <c r="H377" s="522"/>
      <c r="I377" s="522"/>
      <c r="J377" s="523"/>
      <c r="K377" s="523"/>
      <c r="L377" s="523"/>
      <c r="M377" s="524"/>
      <c r="N377" s="525"/>
      <c r="O377" s="526" t="s">
        <v>1237</v>
      </c>
      <c r="P377" s="525">
        <f>'HIV-Key Info'!$I$83*(('HIV-Key Info'!$E$83*('HPM costs'!F205+'HPM costs'!F551))+('HIV-Key Info'!$F$83*('HPM costs'!F208+'HPM costs'!F211+'HPM costs'!F554+'HPM costs'!F557)))</f>
        <v>0</v>
      </c>
      <c r="Q377" s="525" t="s">
        <v>1237</v>
      </c>
      <c r="R377" s="525">
        <f>'HIV-Key Info'!$I$83*(('HIV-Key Info'!$E$83*('HPM costs'!G205+'HPM costs'!G551))+('HIV-Key Info'!$F$83*('HPM costs'!G208+'HPM costs'!G211+'HPM costs'!G554+'HPM costs'!G557)))</f>
        <v>0</v>
      </c>
      <c r="S377" s="525" t="s">
        <v>1237</v>
      </c>
      <c r="T377" s="525">
        <f>'HIV-Key Info'!$I$83*(('HIV-Key Info'!$E$83*('HPM costs'!H205+'HPM costs'!H551))+('HIV-Key Info'!$F$83*('HPM costs'!H208+'HPM costs'!H211+'HPM costs'!H554+'HPM costs'!H557)))</f>
        <v>0</v>
      </c>
      <c r="U377" s="525" t="s">
        <v>1237</v>
      </c>
      <c r="V377" s="525">
        <f>'HIV-Key Info'!$I$83*(('HIV-Key Info'!$E$83*('HPM costs'!I205+'HPM costs'!I551))+('HIV-Key Info'!$F$83*('HPM costs'!I208+'HPM costs'!I211+'HPM costs'!I554+'HPM costs'!I557)))</f>
        <v>0</v>
      </c>
      <c r="W377" s="525"/>
      <c r="X377" s="1154">
        <f t="shared" si="36"/>
        <v>0</v>
      </c>
      <c r="Y377" s="1155"/>
      <c r="Z377" s="1156"/>
      <c r="AA377" s="529"/>
      <c r="AB377" s="525"/>
      <c r="AC377" s="525">
        <f>'HIV-Key Info'!$I$83*(('HIV-Key Info'!$E$83*('HPM costs'!K205+'HPM costs'!K551))+('HIV-Key Info'!$F$83*('HPM costs'!K208+'HPM costs'!K211+'HPM costs'!K554+'HPM costs'!K557)))</f>
        <v>0</v>
      </c>
      <c r="AD377" s="525"/>
      <c r="AE377" s="525">
        <f>'HIV-Key Info'!$I$83*(('HIV-Key Info'!$E$83*('HPM costs'!L205+'HPM costs'!L551))+('HIV-Key Info'!$F$83*('HPM costs'!L208+'HPM costs'!L211+'HPM costs'!L554+'HPM costs'!L557)))</f>
        <v>0</v>
      </c>
      <c r="AF377" s="525"/>
      <c r="AG377" s="525">
        <f>'HIV-Key Info'!$I$83*(('HIV-Key Info'!$E$83*('HPM costs'!M205+'HPM costs'!M551))+('HIV-Key Info'!$F$83*('HPM costs'!M208+'HPM costs'!M211+'HPM costs'!M554+'HPM costs'!M557)))</f>
        <v>0</v>
      </c>
      <c r="AH377" s="525"/>
      <c r="AI377" s="525">
        <f>'HIV-Key Info'!$I$83*(('HIV-Key Info'!$E$83*('HPM costs'!N205+'HPM costs'!N551))+('HIV-Key Info'!$F$83*('HPM costs'!N208+'HPM costs'!N211+'HPM costs'!N554+'HPM costs'!N557)))</f>
        <v>0</v>
      </c>
      <c r="AJ377" s="525"/>
      <c r="AK377" s="1154">
        <f t="shared" si="37"/>
        <v>0</v>
      </c>
      <c r="AL377" s="1155"/>
      <c r="AM377" s="1156"/>
      <c r="AN377" s="529"/>
      <c r="AO377" s="525"/>
      <c r="AP377" s="525">
        <f>'HIV-Key Info'!$I$83*(('HIV-Key Info'!$E$83*('HPM costs'!P205+'HPM costs'!P551))+('HIV-Key Info'!$F$83*('HPM costs'!P208+'HPM costs'!P211+'HPM costs'!P554+'HPM costs'!P557)))</f>
        <v>0</v>
      </c>
      <c r="AQ377" s="525"/>
      <c r="AR377" s="525">
        <f>'HIV-Key Info'!$I$83*(('HIV-Key Info'!$E$83*('HPM costs'!Q205+'HPM costs'!Q551))+('HIV-Key Info'!$F$83*('HPM costs'!Q208+'HPM costs'!Q211+'HPM costs'!Q554+'HPM costs'!Q557)))</f>
        <v>0</v>
      </c>
      <c r="AS377" s="525"/>
      <c r="AT377" s="525">
        <f>'HIV-Key Info'!$I$83*(('HIV-Key Info'!$E$83*('HPM costs'!R205+'HPM costs'!R551))+('HIV-Key Info'!$F$83*('HPM costs'!R208+'HPM costs'!R211+'HPM costs'!R554+'HPM costs'!R557)))</f>
        <v>0</v>
      </c>
      <c r="AU377" s="525"/>
      <c r="AV377" s="525">
        <f>'HIV-Key Info'!$I$83*(('HIV-Key Info'!$E$83*('HPM costs'!S205+'HPM costs'!S551))+('HIV-Key Info'!$F$83*('HPM costs'!S208+'HPM costs'!S211+'HPM costs'!S554+'HPM costs'!S557)))</f>
        <v>0</v>
      </c>
      <c r="AW377" s="525"/>
      <c r="AX377" s="1154">
        <f t="shared" si="38"/>
        <v>0</v>
      </c>
      <c r="AY377" s="1154"/>
      <c r="AZ377" s="528"/>
      <c r="BA377" s="529"/>
      <c r="BB377" s="527"/>
      <c r="BC377" s="527">
        <v>0</v>
      </c>
      <c r="BD377" s="527">
        <v>0</v>
      </c>
      <c r="BE377" s="527">
        <v>0</v>
      </c>
      <c r="BF377" s="527">
        <v>0</v>
      </c>
      <c r="BG377" s="527">
        <v>0</v>
      </c>
      <c r="BH377" s="527">
        <v>0</v>
      </c>
      <c r="BI377" s="527">
        <v>0</v>
      </c>
      <c r="BJ377" s="527">
        <v>0</v>
      </c>
      <c r="BK377" s="1154">
        <f t="shared" si="39"/>
        <v>0</v>
      </c>
      <c r="BL377" s="1154"/>
      <c r="BM377" s="1154">
        <f t="shared" si="40"/>
        <v>0</v>
      </c>
      <c r="BN377" s="1154">
        <f t="shared" si="41"/>
        <v>0</v>
      </c>
      <c r="BO377" s="527"/>
      <c r="BP377" s="527"/>
      <c r="BQ377" s="1157" t="s">
        <v>2552</v>
      </c>
      <c r="BR377" s="1157" t="s">
        <v>690</v>
      </c>
      <c r="BS377" s="1157" t="s">
        <v>527</v>
      </c>
      <c r="BT377" s="1376" t="s">
        <v>1681</v>
      </c>
    </row>
    <row r="378" spans="1:72" s="1371" customFormat="1" ht="13">
      <c r="A378" s="1204">
        <v>934</v>
      </c>
      <c r="B378" s="1205" t="s">
        <v>672</v>
      </c>
      <c r="C378" s="1205" t="s">
        <v>675</v>
      </c>
      <c r="D378" s="1206" t="s">
        <v>2525</v>
      </c>
      <c r="E378" s="1386" t="s">
        <v>538</v>
      </c>
      <c r="F378" s="521"/>
      <c r="G378" s="522"/>
      <c r="H378" s="522"/>
      <c r="I378" s="522"/>
      <c r="J378" s="523"/>
      <c r="K378" s="523"/>
      <c r="L378" s="523"/>
      <c r="M378" s="524"/>
      <c r="N378" s="525"/>
      <c r="O378" s="526" t="s">
        <v>1237</v>
      </c>
      <c r="P378" s="525">
        <f>'HIV-Key Info'!$I$83*(('HIV-Key Info'!$E$83*'HPM costs'!F291)+('HIV-Key Info'!$F$83*('HPM costs'!F294+'HPM costs'!F297)))</f>
        <v>0</v>
      </c>
      <c r="Q378" s="525" t="s">
        <v>1237</v>
      </c>
      <c r="R378" s="525">
        <f>'HIV-Key Info'!$I$83*(('HIV-Key Info'!$E$83*'HPM costs'!G291)+('HIV-Key Info'!$F$83*('HPM costs'!G294+'HPM costs'!G297)))</f>
        <v>0</v>
      </c>
      <c r="S378" s="525" t="s">
        <v>1237</v>
      </c>
      <c r="T378" s="525">
        <f>'HIV-Key Info'!$I$83*(('HIV-Key Info'!$E$83*'HPM costs'!H291)+('HIV-Key Info'!$F$83*('HPM costs'!H294+'HPM costs'!H297)))</f>
        <v>0</v>
      </c>
      <c r="U378" s="525" t="s">
        <v>1237</v>
      </c>
      <c r="V378" s="525">
        <f>'HIV-Key Info'!$I$83*(('HIV-Key Info'!$E$83*'HPM costs'!I291)+('HIV-Key Info'!$F$83*('HPM costs'!I294+'HPM costs'!I297)))</f>
        <v>0</v>
      </c>
      <c r="W378" s="525"/>
      <c r="X378" s="1154">
        <f t="shared" si="36"/>
        <v>0</v>
      </c>
      <c r="Y378" s="1155"/>
      <c r="Z378" s="1156"/>
      <c r="AA378" s="529"/>
      <c r="AB378" s="525"/>
      <c r="AC378" s="525">
        <f>'HIV-Key Info'!$I$83*(('HIV-Key Info'!$E$83*'HPM costs'!K291)+('HIV-Key Info'!$F$83*('HPM costs'!K294+'HPM costs'!K297)))</f>
        <v>0</v>
      </c>
      <c r="AD378" s="525"/>
      <c r="AE378" s="525">
        <f>'HIV-Key Info'!$I$83*(('HIV-Key Info'!$E$83*'HPM costs'!L291)+('HIV-Key Info'!$F$83*('HPM costs'!L294+'HPM costs'!L297)))</f>
        <v>0</v>
      </c>
      <c r="AF378" s="525"/>
      <c r="AG378" s="525">
        <f>'HIV-Key Info'!$I$83*(('HIV-Key Info'!$E$83*'HPM costs'!M291)+('HIV-Key Info'!$F$83*('HPM costs'!M294+'HPM costs'!M297)))</f>
        <v>0</v>
      </c>
      <c r="AH378" s="525"/>
      <c r="AI378" s="525">
        <f>'HIV-Key Info'!$I$83*(('HIV-Key Info'!$E$83*'HPM costs'!N291)+('HIV-Key Info'!$F$83*('HPM costs'!N294+'HPM costs'!N297)))</f>
        <v>0</v>
      </c>
      <c r="AJ378" s="525"/>
      <c r="AK378" s="1154">
        <f t="shared" si="37"/>
        <v>0</v>
      </c>
      <c r="AL378" s="1155"/>
      <c r="AM378" s="1156"/>
      <c r="AN378" s="529"/>
      <c r="AO378" s="525"/>
      <c r="AP378" s="525">
        <f>'HIV-Key Info'!$I$83*(('HIV-Key Info'!$E$83*'HPM costs'!P291)+('HIV-Key Info'!$F$83*('HPM costs'!P294+'HPM costs'!P297)))</f>
        <v>0</v>
      </c>
      <c r="AQ378" s="525"/>
      <c r="AR378" s="525">
        <f>'HIV-Key Info'!$I$83*(('HIV-Key Info'!$E$83*'HPM costs'!Q291)+('HIV-Key Info'!$F$83*('HPM costs'!Q294+'HPM costs'!Q297)))</f>
        <v>0</v>
      </c>
      <c r="AS378" s="525"/>
      <c r="AT378" s="525">
        <f>'HIV-Key Info'!$I$83*(('HIV-Key Info'!$E$83*'HPM costs'!R291)+('HIV-Key Info'!$F$83*('HPM costs'!R294+'HPM costs'!R297)))</f>
        <v>0</v>
      </c>
      <c r="AU378" s="525"/>
      <c r="AV378" s="525">
        <f>'HIV-Key Info'!$I$83*(('HIV-Key Info'!$E$83*'HPM costs'!S291)+('HIV-Key Info'!$F$83*('HPM costs'!S294+'HPM costs'!S297)))</f>
        <v>0</v>
      </c>
      <c r="AW378" s="525"/>
      <c r="AX378" s="1154">
        <f t="shared" si="38"/>
        <v>0</v>
      </c>
      <c r="AY378" s="1154"/>
      <c r="AZ378" s="528"/>
      <c r="BA378" s="529"/>
      <c r="BB378" s="527"/>
      <c r="BC378" s="527">
        <v>0</v>
      </c>
      <c r="BD378" s="527">
        <v>0</v>
      </c>
      <c r="BE378" s="527">
        <v>0</v>
      </c>
      <c r="BF378" s="527">
        <v>0</v>
      </c>
      <c r="BG378" s="527">
        <v>0</v>
      </c>
      <c r="BH378" s="527">
        <v>0</v>
      </c>
      <c r="BI378" s="527">
        <v>0</v>
      </c>
      <c r="BJ378" s="527">
        <v>0</v>
      </c>
      <c r="BK378" s="1154">
        <f t="shared" si="39"/>
        <v>0</v>
      </c>
      <c r="BL378" s="1154"/>
      <c r="BM378" s="1154">
        <f t="shared" si="40"/>
        <v>0</v>
      </c>
      <c r="BN378" s="1154">
        <f t="shared" si="41"/>
        <v>0</v>
      </c>
      <c r="BO378" s="527"/>
      <c r="BP378" s="527"/>
      <c r="BQ378" s="1157" t="s">
        <v>2552</v>
      </c>
      <c r="BR378" s="1157" t="s">
        <v>690</v>
      </c>
      <c r="BS378" s="1157" t="s">
        <v>527</v>
      </c>
      <c r="BT378" s="1376" t="s">
        <v>1682</v>
      </c>
    </row>
    <row r="379" spans="1:72" s="1371" customFormat="1" ht="13">
      <c r="A379" s="1204">
        <v>935</v>
      </c>
      <c r="B379" s="1205" t="s">
        <v>672</v>
      </c>
      <c r="C379" s="1205" t="s">
        <v>675</v>
      </c>
      <c r="D379" s="1206" t="s">
        <v>2525</v>
      </c>
      <c r="E379" s="1386" t="s">
        <v>540</v>
      </c>
      <c r="F379" s="521"/>
      <c r="G379" s="522"/>
      <c r="H379" s="522"/>
      <c r="I379" s="522"/>
      <c r="J379" s="523"/>
      <c r="K379" s="523"/>
      <c r="L379" s="523"/>
      <c r="M379" s="524"/>
      <c r="N379" s="525"/>
      <c r="O379" s="526" t="s">
        <v>1237</v>
      </c>
      <c r="P379" s="525">
        <f>'HIV-Key Info'!$I$83*(('HIV-Key Info'!$E$83*'HPM costs'!F636)+('HIV-Key Info'!$F$83*('HPM costs'!F639+'HPM costs'!F642)))</f>
        <v>0</v>
      </c>
      <c r="Q379" s="525" t="s">
        <v>1237</v>
      </c>
      <c r="R379" s="525">
        <f>'HIV-Key Info'!$I$83*(('HIV-Key Info'!$E$83*'HPM costs'!G636)+('HIV-Key Info'!$F$83*('HPM costs'!G639+'HPM costs'!G642)))</f>
        <v>0</v>
      </c>
      <c r="S379" s="525" t="s">
        <v>1237</v>
      </c>
      <c r="T379" s="525">
        <f>'HIV-Key Info'!$I$83*(('HIV-Key Info'!$E$83*'HPM costs'!H636)+('HIV-Key Info'!$F$83*('HPM costs'!H639+'HPM costs'!H642)))</f>
        <v>0</v>
      </c>
      <c r="U379" s="525" t="s">
        <v>1237</v>
      </c>
      <c r="V379" s="525">
        <f>'HIV-Key Info'!$I$83*(('HIV-Key Info'!$E$83*'HPM costs'!I636)+('HIV-Key Info'!$F$83*('HPM costs'!I639+'HPM costs'!I642)))</f>
        <v>0</v>
      </c>
      <c r="W379" s="525"/>
      <c r="X379" s="1154">
        <f t="shared" si="36"/>
        <v>0</v>
      </c>
      <c r="Y379" s="1155"/>
      <c r="Z379" s="1156"/>
      <c r="AA379" s="529"/>
      <c r="AB379" s="525"/>
      <c r="AC379" s="525">
        <f>'HIV-Key Info'!$I$83*(('HIV-Key Info'!$E$83*'HPM costs'!K636)+('HIV-Key Info'!$F$83*('HPM costs'!K639+'HPM costs'!K642)))</f>
        <v>0</v>
      </c>
      <c r="AD379" s="525"/>
      <c r="AE379" s="525">
        <f>'HIV-Key Info'!$I$83*(('HIV-Key Info'!$E$83*'HPM costs'!L636)+('HIV-Key Info'!$F$83*('HPM costs'!L639+'HPM costs'!L642)))</f>
        <v>0</v>
      </c>
      <c r="AF379" s="525"/>
      <c r="AG379" s="525">
        <f>'HIV-Key Info'!$I$83*(('HIV-Key Info'!$E$83*'HPM costs'!M636)+('HIV-Key Info'!$F$83*('HPM costs'!M639+'HPM costs'!M642)))</f>
        <v>0</v>
      </c>
      <c r="AH379" s="525"/>
      <c r="AI379" s="525">
        <f>'HIV-Key Info'!$I$83*(('HIV-Key Info'!$E$83*'HPM costs'!N636)+('HIV-Key Info'!$F$83*('HPM costs'!N639+'HPM costs'!N642)))</f>
        <v>0</v>
      </c>
      <c r="AJ379" s="525"/>
      <c r="AK379" s="1154">
        <f t="shared" si="37"/>
        <v>0</v>
      </c>
      <c r="AL379" s="1155"/>
      <c r="AM379" s="1156"/>
      <c r="AN379" s="529"/>
      <c r="AO379" s="525"/>
      <c r="AP379" s="525">
        <f>'HIV-Key Info'!$I$83*(('HIV-Key Info'!$E$83*'HPM costs'!P636)+('HIV-Key Info'!$F$83*('HPM costs'!P639+'HPM costs'!P642)))</f>
        <v>0</v>
      </c>
      <c r="AQ379" s="525"/>
      <c r="AR379" s="525">
        <f>'HIV-Key Info'!$I$83*(('HIV-Key Info'!$E$83*'HPM costs'!Q636)+('HIV-Key Info'!$F$83*('HPM costs'!Q639+'HPM costs'!Q642)))</f>
        <v>0</v>
      </c>
      <c r="AS379" s="525"/>
      <c r="AT379" s="525">
        <f>'HIV-Key Info'!$I$83*(('HIV-Key Info'!$E$83*'HPM costs'!R636)+('HIV-Key Info'!$F$83*('HPM costs'!R639+'HPM costs'!R642)))</f>
        <v>0</v>
      </c>
      <c r="AU379" s="525"/>
      <c r="AV379" s="525">
        <f>'HIV-Key Info'!$I$83*(('HIV-Key Info'!$E$83*'HPM costs'!S636)+('HIV-Key Info'!$F$83*('HPM costs'!S639+'HPM costs'!S642)))</f>
        <v>0</v>
      </c>
      <c r="AW379" s="525"/>
      <c r="AX379" s="1154">
        <f t="shared" si="38"/>
        <v>0</v>
      </c>
      <c r="AY379" s="1154"/>
      <c r="AZ379" s="528"/>
      <c r="BA379" s="529"/>
      <c r="BB379" s="527"/>
      <c r="BC379" s="527">
        <v>0</v>
      </c>
      <c r="BD379" s="527">
        <v>0</v>
      </c>
      <c r="BE379" s="527">
        <v>0</v>
      </c>
      <c r="BF379" s="527">
        <v>0</v>
      </c>
      <c r="BG379" s="527">
        <v>0</v>
      </c>
      <c r="BH379" s="527">
        <v>0</v>
      </c>
      <c r="BI379" s="527">
        <v>0</v>
      </c>
      <c r="BJ379" s="527">
        <v>0</v>
      </c>
      <c r="BK379" s="1154">
        <f t="shared" si="39"/>
        <v>0</v>
      </c>
      <c r="BL379" s="1154"/>
      <c r="BM379" s="1154">
        <f t="shared" si="40"/>
        <v>0</v>
      </c>
      <c r="BN379" s="1154">
        <f t="shared" si="41"/>
        <v>0</v>
      </c>
      <c r="BO379" s="527"/>
      <c r="BP379" s="527"/>
      <c r="BQ379" s="1157" t="s">
        <v>2552</v>
      </c>
      <c r="BR379" s="1157" t="s">
        <v>690</v>
      </c>
      <c r="BS379" s="1157" t="s">
        <v>527</v>
      </c>
      <c r="BT379" s="1376" t="s">
        <v>1683</v>
      </c>
    </row>
    <row r="380" spans="1:72" s="1371" customFormat="1" ht="13">
      <c r="A380" s="1204">
        <v>936</v>
      </c>
      <c r="B380" s="1205" t="s">
        <v>672</v>
      </c>
      <c r="C380" s="1205" t="s">
        <v>673</v>
      </c>
      <c r="D380" s="1206" t="s">
        <v>2575</v>
      </c>
      <c r="E380" s="1386" t="s">
        <v>603</v>
      </c>
      <c r="F380" s="521"/>
      <c r="G380" s="522"/>
      <c r="H380" s="522"/>
      <c r="I380" s="522"/>
      <c r="J380" s="523"/>
      <c r="K380" s="523"/>
      <c r="L380" s="523"/>
      <c r="M380" s="524"/>
      <c r="N380" s="525"/>
      <c r="O380" s="526" t="s">
        <v>1237</v>
      </c>
      <c r="P380" s="525">
        <f>'HIV-Key Info'!$G$84*('HIV-Key Info'!$E$84*('HPM costs'!F119/'HPM costs'!$E$119)+'HIV-Key Info'!$F$84*('HPM costs'!F125/'HPM costs'!$E$125+'HPM costs'!F122/'HPM costs'!$E$122))</f>
        <v>0</v>
      </c>
      <c r="Q380" s="525" t="s">
        <v>1237</v>
      </c>
      <c r="R380" s="525">
        <f>'HIV-Key Info'!$G$84*('HIV-Key Info'!$E$84*('HPM costs'!G119/'HPM costs'!$E$119)+'HIV-Key Info'!$F$84*('HPM costs'!G125/'HPM costs'!$E$125+'HPM costs'!G122/'HPM costs'!$E$122))</f>
        <v>65353.858739999996</v>
      </c>
      <c r="S380" s="525" t="s">
        <v>1237</v>
      </c>
      <c r="T380" s="525">
        <f>'HIV-Key Info'!$G$84*('HIV-Key Info'!$E$84*('HPM costs'!H119/'HPM costs'!$E$119)+'HIV-Key Info'!$F$84*('HPM costs'!H125/'HPM costs'!$E$125+'HPM costs'!H122/'HPM costs'!$E$122))</f>
        <v>0</v>
      </c>
      <c r="U380" s="525" t="s">
        <v>1237</v>
      </c>
      <c r="V380" s="525">
        <f>'HIV-Key Info'!$G$84*('HIV-Key Info'!$E$84*('HPM costs'!I119/'HPM costs'!$E$119)+'HIV-Key Info'!$F$84*('HPM costs'!I125/'HPM costs'!$E$125+'HPM costs'!I122/'HPM costs'!$E$122))</f>
        <v>0</v>
      </c>
      <c r="W380" s="525"/>
      <c r="X380" s="1154">
        <f t="shared" si="36"/>
        <v>65353.858739999996</v>
      </c>
      <c r="Y380" s="1155"/>
      <c r="Z380" s="1156"/>
      <c r="AA380" s="529"/>
      <c r="AB380" s="525"/>
      <c r="AC380" s="525">
        <f>'HIV-Key Info'!$G$84*('HIV-Key Info'!$E$84*('HPM costs'!K119/'HPM costs'!$E$119)+'HIV-Key Info'!$F$84*('HPM costs'!K125/'HPM costs'!$E$125+'HPM costs'!K122/'HPM costs'!$E$122))</f>
        <v>0</v>
      </c>
      <c r="AD380" s="525"/>
      <c r="AE380" s="525">
        <f>'HIV-Key Info'!$G$84*('HIV-Key Info'!$E$84*('HPM costs'!L119/'HPM costs'!$E$119)+'HIV-Key Info'!$F$84*('HPM costs'!L125/'HPM costs'!$E$125+'HPM costs'!L122/'HPM costs'!$E$122))</f>
        <v>68174.152209000007</v>
      </c>
      <c r="AF380" s="525"/>
      <c r="AG380" s="525">
        <f>'HIV-Key Info'!$G$84*('HIV-Key Info'!$E$84*('HPM costs'!M119/'HPM costs'!$E$119)+'HIV-Key Info'!$F$84*('HPM costs'!M125/'HPM costs'!$E$125+'HPM costs'!M122/'HPM costs'!$E$122))</f>
        <v>0</v>
      </c>
      <c r="AH380" s="525"/>
      <c r="AI380" s="525">
        <f>'HIV-Key Info'!$G$84*('HIV-Key Info'!$E$84*('HPM costs'!N119/'HPM costs'!$E$119)+'HIV-Key Info'!$F$84*('HPM costs'!N125/'HPM costs'!$E$125+'HPM costs'!N122/'HPM costs'!$E$122))</f>
        <v>0</v>
      </c>
      <c r="AJ380" s="525"/>
      <c r="AK380" s="1154">
        <f t="shared" si="37"/>
        <v>68174.152209000007</v>
      </c>
      <c r="AL380" s="1155"/>
      <c r="AM380" s="1156"/>
      <c r="AN380" s="529"/>
      <c r="AO380" s="525"/>
      <c r="AP380" s="525">
        <f>'HIV-Key Info'!$G$84*('HIV-Key Info'!$E$84*('HPM costs'!P119/'HPM costs'!$E$119)+'HIV-Key Info'!$F$84*('HPM costs'!P125/'HPM costs'!$E$125+'HPM costs'!P122/'HPM costs'!$E$122))</f>
        <v>0</v>
      </c>
      <c r="AQ380" s="525"/>
      <c r="AR380" s="525">
        <f>'HIV-Key Info'!$G$84*('HIV-Key Info'!$E$84*('HPM costs'!Q119/'HPM costs'!$E$119)+'HIV-Key Info'!$F$84*('HPM costs'!Q125/'HPM costs'!$E$125+'HPM costs'!Q122/'HPM costs'!$E$122))</f>
        <v>72591.627879000007</v>
      </c>
      <c r="AS380" s="525"/>
      <c r="AT380" s="525">
        <f>'HIV-Key Info'!$G$84*('HIV-Key Info'!$E$84*('HPM costs'!R119/'HPM costs'!$E$119)+'HIV-Key Info'!$F$84*('HPM costs'!R125/'HPM costs'!$E$125+'HPM costs'!R122/'HPM costs'!$E$122))</f>
        <v>0</v>
      </c>
      <c r="AU380" s="525"/>
      <c r="AV380" s="525">
        <f>'HIV-Key Info'!$G$84*('HIV-Key Info'!$E$84*('HPM costs'!S119/'HPM costs'!$E$119)+'HIV-Key Info'!$F$84*('HPM costs'!S125/'HPM costs'!$E$125+'HPM costs'!S122/'HPM costs'!$E$122))</f>
        <v>0</v>
      </c>
      <c r="AW380" s="525"/>
      <c r="AX380" s="1154">
        <f t="shared" si="38"/>
        <v>72591.627879000007</v>
      </c>
      <c r="AY380" s="1154"/>
      <c r="AZ380" s="528"/>
      <c r="BA380" s="529"/>
      <c r="BB380" s="527"/>
      <c r="BC380" s="527">
        <v>0</v>
      </c>
      <c r="BD380" s="527">
        <v>0</v>
      </c>
      <c r="BE380" s="527">
        <v>0</v>
      </c>
      <c r="BF380" s="527">
        <v>0</v>
      </c>
      <c r="BG380" s="527">
        <v>0</v>
      </c>
      <c r="BH380" s="527">
        <v>0</v>
      </c>
      <c r="BI380" s="527">
        <v>0</v>
      </c>
      <c r="BJ380" s="527">
        <v>0</v>
      </c>
      <c r="BK380" s="1154">
        <f t="shared" si="39"/>
        <v>0</v>
      </c>
      <c r="BL380" s="1154"/>
      <c r="BM380" s="1154">
        <f t="shared" si="40"/>
        <v>0</v>
      </c>
      <c r="BN380" s="1154">
        <f t="shared" si="41"/>
        <v>206119.638828</v>
      </c>
      <c r="BO380" s="527"/>
      <c r="BP380" s="527" t="s">
        <v>4297</v>
      </c>
      <c r="BQ380" s="1157" t="s">
        <v>2553</v>
      </c>
      <c r="BR380" s="1157" t="s">
        <v>690</v>
      </c>
      <c r="BS380" s="1157" t="s">
        <v>2570</v>
      </c>
      <c r="BT380" s="1376" t="s">
        <v>1684</v>
      </c>
    </row>
    <row r="381" spans="1:72" s="1371" customFormat="1" ht="13">
      <c r="A381" s="1204">
        <v>937</v>
      </c>
      <c r="B381" s="1205" t="s">
        <v>672</v>
      </c>
      <c r="C381" s="1205" t="s">
        <v>673</v>
      </c>
      <c r="D381" s="1206" t="s">
        <v>2516</v>
      </c>
      <c r="E381" s="1386" t="s">
        <v>528</v>
      </c>
      <c r="F381" s="521"/>
      <c r="G381" s="522"/>
      <c r="H381" s="522"/>
      <c r="I381" s="522"/>
      <c r="J381" s="523"/>
      <c r="K381" s="523"/>
      <c r="L381" s="523"/>
      <c r="M381" s="524"/>
      <c r="N381" s="525"/>
      <c r="O381" s="526" t="s">
        <v>1237</v>
      </c>
      <c r="P381" s="525">
        <f>'HIV-Key Info'!$G$84*(('HIV-Key Info'!$E$84*'HPM costs'!F33)+('HIV-Key Info'!$F$84*('HPM costs'!F36+'HPM costs'!F39)))</f>
        <v>0</v>
      </c>
      <c r="Q381" s="525" t="s">
        <v>1237</v>
      </c>
      <c r="R381" s="525">
        <f>'HIV-Key Info'!$G$84*(('HIV-Key Info'!$E$84*'HPM costs'!G33)+('HIV-Key Info'!$F$84*('HPM costs'!G36+'HPM costs'!G39)))</f>
        <v>3921.2315243999997</v>
      </c>
      <c r="S381" s="525" t="s">
        <v>1237</v>
      </c>
      <c r="T381" s="525">
        <f>'HIV-Key Info'!$G$84*(('HIV-Key Info'!$E$84*'HPM costs'!H33)+('HIV-Key Info'!$F$84*('HPM costs'!H36+'HPM costs'!H39)))</f>
        <v>0</v>
      </c>
      <c r="U381" s="525" t="s">
        <v>1237</v>
      </c>
      <c r="V381" s="525">
        <f>'HIV-Key Info'!$G$84*(('HIV-Key Info'!$E$84*'HPM costs'!I33)+('HIV-Key Info'!$F$84*('HPM costs'!I36+'HPM costs'!I39)))</f>
        <v>0</v>
      </c>
      <c r="W381" s="525"/>
      <c r="X381" s="1154">
        <f t="shared" si="36"/>
        <v>3921.2315243999997</v>
      </c>
      <c r="Y381" s="1155"/>
      <c r="Z381" s="1156"/>
      <c r="AA381" s="529"/>
      <c r="AB381" s="525"/>
      <c r="AC381" s="525">
        <f>'HIV-Key Info'!$G$84*(('HIV-Key Info'!$E$84*'HPM costs'!K33)+('HIV-Key Info'!$F$84*('HPM costs'!K36+'HPM costs'!K39)))</f>
        <v>0</v>
      </c>
      <c r="AD381" s="525"/>
      <c r="AE381" s="525">
        <f>'HIV-Key Info'!$G$84*(('HIV-Key Info'!$E$84*'HPM costs'!L33)+('HIV-Key Info'!$F$84*('HPM costs'!L36+'HPM costs'!L39)))</f>
        <v>4090.4491325399999</v>
      </c>
      <c r="AF381" s="525"/>
      <c r="AG381" s="525">
        <f>'HIV-Key Info'!$G$84*(('HIV-Key Info'!$E$84*'HPM costs'!M33)+('HIV-Key Info'!$F$84*('HPM costs'!M36+'HPM costs'!M39)))</f>
        <v>0</v>
      </c>
      <c r="AH381" s="525"/>
      <c r="AI381" s="525">
        <f>'HIV-Key Info'!$G$84*(('HIV-Key Info'!$E$84*'HPM costs'!N33)+('HIV-Key Info'!$F$84*('HPM costs'!N36+'HPM costs'!N39)))</f>
        <v>0</v>
      </c>
      <c r="AJ381" s="525"/>
      <c r="AK381" s="1154">
        <f t="shared" si="37"/>
        <v>4090.4491325399999</v>
      </c>
      <c r="AL381" s="1155"/>
      <c r="AM381" s="1156"/>
      <c r="AN381" s="529"/>
      <c r="AO381" s="525"/>
      <c r="AP381" s="525">
        <f>'HIV-Key Info'!$G$84*(('HIV-Key Info'!$E$84*'HPM costs'!P33)+('HIV-Key Info'!$F$84*('HPM costs'!P36+'HPM costs'!P39)))</f>
        <v>0</v>
      </c>
      <c r="AQ381" s="525"/>
      <c r="AR381" s="525">
        <f>'HIV-Key Info'!$G$84*(('HIV-Key Info'!$E$84*'HPM costs'!Q33)+('HIV-Key Info'!$F$84*('HPM costs'!Q36+'HPM costs'!Q39)))</f>
        <v>4355.4976727399999</v>
      </c>
      <c r="AS381" s="525"/>
      <c r="AT381" s="525">
        <f>'HIV-Key Info'!$G$84*(('HIV-Key Info'!$E$84*'HPM costs'!R33)+('HIV-Key Info'!$F$84*('HPM costs'!R36+'HPM costs'!R39)))</f>
        <v>0</v>
      </c>
      <c r="AU381" s="525"/>
      <c r="AV381" s="525">
        <f>'HIV-Key Info'!$G$84*(('HIV-Key Info'!$E$84*'HPM costs'!S33)+('HIV-Key Info'!$F$84*('HPM costs'!S36+'HPM costs'!S39)))</f>
        <v>0</v>
      </c>
      <c r="AW381" s="525"/>
      <c r="AX381" s="1154">
        <f t="shared" si="38"/>
        <v>4355.4976727399999</v>
      </c>
      <c r="AY381" s="1154"/>
      <c r="AZ381" s="528"/>
      <c r="BA381" s="529"/>
      <c r="BB381" s="527"/>
      <c r="BC381" s="527">
        <v>0</v>
      </c>
      <c r="BD381" s="527">
        <v>0</v>
      </c>
      <c r="BE381" s="527">
        <v>0</v>
      </c>
      <c r="BF381" s="527">
        <v>0</v>
      </c>
      <c r="BG381" s="527">
        <v>0</v>
      </c>
      <c r="BH381" s="527">
        <v>0</v>
      </c>
      <c r="BI381" s="527">
        <v>0</v>
      </c>
      <c r="BJ381" s="527">
        <v>0</v>
      </c>
      <c r="BK381" s="1154">
        <f t="shared" si="39"/>
        <v>0</v>
      </c>
      <c r="BL381" s="1154"/>
      <c r="BM381" s="1154">
        <f t="shared" si="40"/>
        <v>0</v>
      </c>
      <c r="BN381" s="1154">
        <f t="shared" si="41"/>
        <v>12367.17832968</v>
      </c>
      <c r="BO381" s="527"/>
      <c r="BP381" s="527" t="s">
        <v>4303</v>
      </c>
      <c r="BQ381" s="1157" t="s">
        <v>2553</v>
      </c>
      <c r="BR381" s="1157" t="s">
        <v>690</v>
      </c>
      <c r="BS381" s="1157" t="s">
        <v>527</v>
      </c>
      <c r="BT381" s="1376" t="s">
        <v>1685</v>
      </c>
    </row>
    <row r="382" spans="1:72" s="1371" customFormat="1" ht="13">
      <c r="A382" s="1204">
        <v>938</v>
      </c>
      <c r="B382" s="1205" t="s">
        <v>672</v>
      </c>
      <c r="C382" s="1205" t="s">
        <v>673</v>
      </c>
      <c r="D382" s="1206" t="s">
        <v>2516</v>
      </c>
      <c r="E382" s="1386" t="s">
        <v>530</v>
      </c>
      <c r="F382" s="521"/>
      <c r="G382" s="522"/>
      <c r="H382" s="522"/>
      <c r="I382" s="522"/>
      <c r="J382" s="523"/>
      <c r="K382" s="523"/>
      <c r="L382" s="523"/>
      <c r="M382" s="524"/>
      <c r="N382" s="525"/>
      <c r="O382" s="526" t="s">
        <v>1237</v>
      </c>
      <c r="P382" s="525">
        <f>'HIV-Key Info'!$G$84*(('HIV-Key Info'!$E$84*'HPM costs'!F119)+('HIV-Key Info'!$F$84*('HPM costs'!F122+'HPM costs'!F125)))</f>
        <v>0</v>
      </c>
      <c r="Q382" s="525" t="s">
        <v>1237</v>
      </c>
      <c r="R382" s="525">
        <f>'HIV-Key Info'!$G$84*(('HIV-Key Info'!$E$84*'HPM costs'!G119)+('HIV-Key Info'!$F$84*('HPM costs'!G122+'HPM costs'!G125)))</f>
        <v>6.5353858740000006E-12</v>
      </c>
      <c r="S382" s="525" t="s">
        <v>1237</v>
      </c>
      <c r="T382" s="525">
        <f>'HIV-Key Info'!$G$84*(('HIV-Key Info'!$E$84*'HPM costs'!H119)+('HIV-Key Info'!$F$84*('HPM costs'!H122+'HPM costs'!H125)))</f>
        <v>0</v>
      </c>
      <c r="U382" s="525" t="s">
        <v>1237</v>
      </c>
      <c r="V382" s="525">
        <f>'HIV-Key Info'!$G$84*(('HIV-Key Info'!$E$84*'HPM costs'!I119)+('HIV-Key Info'!$F$84*('HPM costs'!I122+'HPM costs'!I125)))</f>
        <v>0</v>
      </c>
      <c r="W382" s="525"/>
      <c r="X382" s="1154">
        <f t="shared" si="36"/>
        <v>6.5353858740000006E-12</v>
      </c>
      <c r="Y382" s="1155"/>
      <c r="Z382" s="1156"/>
      <c r="AA382" s="529"/>
      <c r="AB382" s="525"/>
      <c r="AC382" s="525">
        <f>'HIV-Key Info'!$G$84*(('HIV-Key Info'!$E$84*'HPM costs'!K119)+('HIV-Key Info'!$F$84*('HPM costs'!K122+'HPM costs'!K125)))</f>
        <v>0</v>
      </c>
      <c r="AD382" s="525"/>
      <c r="AE382" s="525">
        <f>'HIV-Key Info'!$G$84*(('HIV-Key Info'!$E$84*'HPM costs'!L119)+('HIV-Key Info'!$F$84*('HPM costs'!L122+'HPM costs'!L125)))</f>
        <v>6.8174152209000004E-12</v>
      </c>
      <c r="AF382" s="525"/>
      <c r="AG382" s="525">
        <f>'HIV-Key Info'!$G$84*(('HIV-Key Info'!$E$84*'HPM costs'!M119)+('HIV-Key Info'!$F$84*('HPM costs'!M122+'HPM costs'!M125)))</f>
        <v>0</v>
      </c>
      <c r="AH382" s="525"/>
      <c r="AI382" s="525">
        <f>'HIV-Key Info'!$G$84*(('HIV-Key Info'!$E$84*'HPM costs'!N119)+('HIV-Key Info'!$F$84*('HPM costs'!N122+'HPM costs'!N125)))</f>
        <v>0</v>
      </c>
      <c r="AJ382" s="525"/>
      <c r="AK382" s="1154">
        <f t="shared" si="37"/>
        <v>6.8174152209000004E-12</v>
      </c>
      <c r="AL382" s="1155"/>
      <c r="AM382" s="1156"/>
      <c r="AN382" s="529"/>
      <c r="AO382" s="525"/>
      <c r="AP382" s="525">
        <f>'HIV-Key Info'!$G$84*(('HIV-Key Info'!$E$84*'HPM costs'!P119)+('HIV-Key Info'!$F$84*('HPM costs'!P122+'HPM costs'!P125)))</f>
        <v>0</v>
      </c>
      <c r="AQ382" s="525"/>
      <c r="AR382" s="525">
        <f>'HIV-Key Info'!$G$84*(('HIV-Key Info'!$E$84*'HPM costs'!Q119)+('HIV-Key Info'!$F$84*('HPM costs'!Q122+'HPM costs'!Q125)))</f>
        <v>7.2591627878999995E-12</v>
      </c>
      <c r="AS382" s="525"/>
      <c r="AT382" s="525">
        <f>'HIV-Key Info'!$G$84*(('HIV-Key Info'!$E$84*'HPM costs'!R119)+('HIV-Key Info'!$F$84*('HPM costs'!R122+'HPM costs'!R125)))</f>
        <v>0</v>
      </c>
      <c r="AU382" s="525"/>
      <c r="AV382" s="525">
        <f>'HIV-Key Info'!$G$84*(('HIV-Key Info'!$E$84*'HPM costs'!S119)+('HIV-Key Info'!$F$84*('HPM costs'!S122+'HPM costs'!S125)))</f>
        <v>0</v>
      </c>
      <c r="AW382" s="525"/>
      <c r="AX382" s="1154">
        <f t="shared" si="38"/>
        <v>7.2591627878999995E-12</v>
      </c>
      <c r="AY382" s="1154"/>
      <c r="AZ382" s="528"/>
      <c r="BA382" s="529"/>
      <c r="BB382" s="527"/>
      <c r="BC382" s="527">
        <v>0</v>
      </c>
      <c r="BD382" s="527">
        <v>0</v>
      </c>
      <c r="BE382" s="527">
        <v>0</v>
      </c>
      <c r="BF382" s="527">
        <v>0</v>
      </c>
      <c r="BG382" s="527">
        <v>0</v>
      </c>
      <c r="BH382" s="527">
        <v>0</v>
      </c>
      <c r="BI382" s="527">
        <v>0</v>
      </c>
      <c r="BJ382" s="527">
        <v>0</v>
      </c>
      <c r="BK382" s="1154">
        <f t="shared" si="39"/>
        <v>0</v>
      </c>
      <c r="BL382" s="1154"/>
      <c r="BM382" s="1154">
        <f t="shared" si="40"/>
        <v>0</v>
      </c>
      <c r="BN382" s="1154">
        <f t="shared" si="41"/>
        <v>2.0611963882800001E-11</v>
      </c>
      <c r="BO382" s="527"/>
      <c r="BP382" s="527"/>
      <c r="BQ382" s="1157" t="s">
        <v>2553</v>
      </c>
      <c r="BR382" s="1157" t="s">
        <v>690</v>
      </c>
      <c r="BS382" s="1157" t="s">
        <v>527</v>
      </c>
      <c r="BT382" s="1376" t="s">
        <v>1686</v>
      </c>
    </row>
    <row r="383" spans="1:72" s="1371" customFormat="1" ht="13">
      <c r="A383" s="1204">
        <v>939</v>
      </c>
      <c r="B383" s="1205" t="s">
        <v>672</v>
      </c>
      <c r="C383" s="1205" t="s">
        <v>673</v>
      </c>
      <c r="D383" s="1206" t="s">
        <v>2516</v>
      </c>
      <c r="E383" s="1386" t="s">
        <v>532</v>
      </c>
      <c r="F383" s="521"/>
      <c r="G383" s="522"/>
      <c r="H383" s="522"/>
      <c r="I383" s="522"/>
      <c r="J383" s="523"/>
      <c r="K383" s="523"/>
      <c r="L383" s="523"/>
      <c r="M383" s="524"/>
      <c r="N383" s="525"/>
      <c r="O383" s="526" t="s">
        <v>1237</v>
      </c>
      <c r="P383" s="525">
        <f>'HIV-Key Info'!$G$84*(('HIV-Key Info'!$E$84*'HPM costs'!F379)+('HIV-Key Info'!$F$84*('HPM costs'!F382+'HPM costs'!F385)))</f>
        <v>0</v>
      </c>
      <c r="Q383" s="525" t="s">
        <v>1237</v>
      </c>
      <c r="R383" s="525">
        <f>'HIV-Key Info'!$G$84*(('HIV-Key Info'!$E$84*'HPM costs'!G379)+('HIV-Key Info'!$F$84*('HPM costs'!G382+'HPM costs'!G385)))</f>
        <v>0</v>
      </c>
      <c r="S383" s="525" t="s">
        <v>1237</v>
      </c>
      <c r="T383" s="525">
        <f>'HIV-Key Info'!$G$84*(('HIV-Key Info'!$E$84*'HPM costs'!H379)+('HIV-Key Info'!$F$84*('HPM costs'!H382+'HPM costs'!H385)))</f>
        <v>0</v>
      </c>
      <c r="U383" s="525" t="s">
        <v>1237</v>
      </c>
      <c r="V383" s="525">
        <f>'HIV-Key Info'!$G$84*(('HIV-Key Info'!$E$84*'HPM costs'!I379)+('HIV-Key Info'!$F$84*('HPM costs'!I382+'HPM costs'!I385)))</f>
        <v>0</v>
      </c>
      <c r="W383" s="525"/>
      <c r="X383" s="1154">
        <f t="shared" si="36"/>
        <v>0</v>
      </c>
      <c r="Y383" s="1155"/>
      <c r="Z383" s="1156"/>
      <c r="AA383" s="529"/>
      <c r="AB383" s="525"/>
      <c r="AC383" s="525">
        <f>'HIV-Key Info'!$G$84*(('HIV-Key Info'!$E$84*'HPM costs'!K379)+('HIV-Key Info'!$F$84*('HPM costs'!K382+'HPM costs'!K385)))</f>
        <v>0</v>
      </c>
      <c r="AD383" s="525"/>
      <c r="AE383" s="525">
        <f>'HIV-Key Info'!$G$84*(('HIV-Key Info'!$E$84*'HPM costs'!L379)+('HIV-Key Info'!$F$84*('HPM costs'!L382+'HPM costs'!L385)))</f>
        <v>0</v>
      </c>
      <c r="AF383" s="525"/>
      <c r="AG383" s="525">
        <f>'HIV-Key Info'!$G$84*(('HIV-Key Info'!$E$84*'HPM costs'!M379)+('HIV-Key Info'!$F$84*('HPM costs'!M382+'HPM costs'!M385)))</f>
        <v>0</v>
      </c>
      <c r="AH383" s="525"/>
      <c r="AI383" s="525">
        <f>'HIV-Key Info'!$G$84*(('HIV-Key Info'!$E$84*'HPM costs'!N379)+('HIV-Key Info'!$F$84*('HPM costs'!N382+'HPM costs'!N385)))</f>
        <v>0</v>
      </c>
      <c r="AJ383" s="525"/>
      <c r="AK383" s="1154">
        <f t="shared" si="37"/>
        <v>0</v>
      </c>
      <c r="AL383" s="1155"/>
      <c r="AM383" s="1156"/>
      <c r="AN383" s="529"/>
      <c r="AO383" s="525"/>
      <c r="AP383" s="525">
        <f>'HIV-Key Info'!$G$84*(('HIV-Key Info'!$E$84*'HPM costs'!P379)+('HIV-Key Info'!$F$84*('HPM costs'!P382+'HPM costs'!P385)))</f>
        <v>0</v>
      </c>
      <c r="AQ383" s="525"/>
      <c r="AR383" s="525">
        <f>'HIV-Key Info'!$G$84*(('HIV-Key Info'!$E$84*'HPM costs'!Q379)+('HIV-Key Info'!$F$84*('HPM costs'!Q382+'HPM costs'!Q385)))</f>
        <v>0</v>
      </c>
      <c r="AS383" s="525"/>
      <c r="AT383" s="525">
        <f>'HIV-Key Info'!$G$84*(('HIV-Key Info'!$E$84*'HPM costs'!R379)+('HIV-Key Info'!$F$84*('HPM costs'!R382+'HPM costs'!R385)))</f>
        <v>0</v>
      </c>
      <c r="AU383" s="525"/>
      <c r="AV383" s="525">
        <f>'HIV-Key Info'!$G$84*(('HIV-Key Info'!$E$84*'HPM costs'!S379)+('HIV-Key Info'!$F$84*('HPM costs'!S382+'HPM costs'!S385)))</f>
        <v>0</v>
      </c>
      <c r="AW383" s="525"/>
      <c r="AX383" s="1154">
        <f t="shared" si="38"/>
        <v>0</v>
      </c>
      <c r="AY383" s="1154"/>
      <c r="AZ383" s="528"/>
      <c r="BA383" s="529"/>
      <c r="BB383" s="527"/>
      <c r="BC383" s="527">
        <v>0</v>
      </c>
      <c r="BD383" s="527">
        <v>0</v>
      </c>
      <c r="BE383" s="527">
        <v>0</v>
      </c>
      <c r="BF383" s="527">
        <v>0</v>
      </c>
      <c r="BG383" s="527">
        <v>0</v>
      </c>
      <c r="BH383" s="527">
        <v>0</v>
      </c>
      <c r="BI383" s="527">
        <v>0</v>
      </c>
      <c r="BJ383" s="527">
        <v>0</v>
      </c>
      <c r="BK383" s="1154">
        <f t="shared" si="39"/>
        <v>0</v>
      </c>
      <c r="BL383" s="1154"/>
      <c r="BM383" s="1154">
        <f t="shared" si="40"/>
        <v>0</v>
      </c>
      <c r="BN383" s="1154">
        <f t="shared" si="41"/>
        <v>0</v>
      </c>
      <c r="BO383" s="527"/>
      <c r="BP383" s="527"/>
      <c r="BQ383" s="1157" t="s">
        <v>2553</v>
      </c>
      <c r="BR383" s="1157" t="s">
        <v>690</v>
      </c>
      <c r="BS383" s="1157" t="s">
        <v>527</v>
      </c>
      <c r="BT383" s="1376" t="s">
        <v>1687</v>
      </c>
    </row>
    <row r="384" spans="1:72" s="1371" customFormat="1" ht="13">
      <c r="A384" s="1204">
        <v>940</v>
      </c>
      <c r="B384" s="1205" t="s">
        <v>672</v>
      </c>
      <c r="C384" s="1205" t="s">
        <v>673</v>
      </c>
      <c r="D384" s="1206" t="s">
        <v>2516</v>
      </c>
      <c r="E384" s="1386" t="s">
        <v>534</v>
      </c>
      <c r="F384" s="521"/>
      <c r="G384" s="522"/>
      <c r="H384" s="522"/>
      <c r="I384" s="522"/>
      <c r="J384" s="523"/>
      <c r="K384" s="523"/>
      <c r="L384" s="523"/>
      <c r="M384" s="524"/>
      <c r="N384" s="525"/>
      <c r="O384" s="526" t="s">
        <v>1237</v>
      </c>
      <c r="P384" s="525">
        <f>'HIV-Key Info'!$G$84*(('HIV-Key Info'!$E$84*'HPM costs'!F465)+('HIV-Key Info'!$F$84*('HPM costs'!F468+'HPM costs'!F471)))</f>
        <v>0</v>
      </c>
      <c r="Q384" s="525" t="s">
        <v>1237</v>
      </c>
      <c r="R384" s="525">
        <f>'HIV-Key Info'!$G$84*(('HIV-Key Info'!$E$84*'HPM costs'!G465)+('HIV-Key Info'!$F$84*('HPM costs'!G468+'HPM costs'!G471)))</f>
        <v>0</v>
      </c>
      <c r="S384" s="525" t="s">
        <v>1237</v>
      </c>
      <c r="T384" s="525">
        <f>'HIV-Key Info'!$G$84*(('HIV-Key Info'!$E$84*'HPM costs'!H465)+('HIV-Key Info'!$F$84*('HPM costs'!H468+'HPM costs'!H471)))</f>
        <v>0</v>
      </c>
      <c r="U384" s="525" t="s">
        <v>1237</v>
      </c>
      <c r="V384" s="525">
        <f>'HIV-Key Info'!$G$84*(('HIV-Key Info'!$E$84*'HPM costs'!I465)+('HIV-Key Info'!$F$84*('HPM costs'!I468+'HPM costs'!I471)))</f>
        <v>0</v>
      </c>
      <c r="W384" s="525"/>
      <c r="X384" s="1154">
        <f t="shared" si="36"/>
        <v>0</v>
      </c>
      <c r="Y384" s="1155"/>
      <c r="Z384" s="1156"/>
      <c r="AA384" s="529"/>
      <c r="AB384" s="525"/>
      <c r="AC384" s="525">
        <f>'HIV-Key Info'!$G$84*(('HIV-Key Info'!$E$84*'HPM costs'!K465)+('HIV-Key Info'!$F$84*('HPM costs'!K468+'HPM costs'!K471)))</f>
        <v>0</v>
      </c>
      <c r="AD384" s="525"/>
      <c r="AE384" s="525">
        <f>'HIV-Key Info'!$G$84*(('HIV-Key Info'!$E$84*'HPM costs'!L465)+('HIV-Key Info'!$F$84*('HPM costs'!L468+'HPM costs'!L471)))</f>
        <v>0</v>
      </c>
      <c r="AF384" s="525"/>
      <c r="AG384" s="525">
        <f>'HIV-Key Info'!$G$84*(('HIV-Key Info'!$E$84*'HPM costs'!M465)+('HIV-Key Info'!$F$84*('HPM costs'!M468+'HPM costs'!M471)))</f>
        <v>0</v>
      </c>
      <c r="AH384" s="525"/>
      <c r="AI384" s="525">
        <f>'HIV-Key Info'!$G$84*(('HIV-Key Info'!$E$84*'HPM costs'!N465)+('HIV-Key Info'!$F$84*('HPM costs'!N468+'HPM costs'!N471)))</f>
        <v>0</v>
      </c>
      <c r="AJ384" s="525"/>
      <c r="AK384" s="1154">
        <f t="shared" si="37"/>
        <v>0</v>
      </c>
      <c r="AL384" s="1155"/>
      <c r="AM384" s="1156"/>
      <c r="AN384" s="529"/>
      <c r="AO384" s="525"/>
      <c r="AP384" s="525">
        <f>'HIV-Key Info'!$G$84*(('HIV-Key Info'!$E$84*'HPM costs'!P465)+('HIV-Key Info'!$F$84*('HPM costs'!P468+'HPM costs'!P471)))</f>
        <v>0</v>
      </c>
      <c r="AQ384" s="525"/>
      <c r="AR384" s="525">
        <f>'HIV-Key Info'!$G$84*(('HIV-Key Info'!$E$84*'HPM costs'!Q465)+('HIV-Key Info'!$F$84*('HPM costs'!Q468+'HPM costs'!Q471)))</f>
        <v>0</v>
      </c>
      <c r="AS384" s="525"/>
      <c r="AT384" s="525">
        <f>'HIV-Key Info'!$G$84*(('HIV-Key Info'!$E$84*'HPM costs'!R465)+('HIV-Key Info'!$F$84*('HPM costs'!R468+'HPM costs'!R471)))</f>
        <v>0</v>
      </c>
      <c r="AU384" s="525"/>
      <c r="AV384" s="525">
        <f>'HIV-Key Info'!$G$84*(('HIV-Key Info'!$E$84*'HPM costs'!S465)+('HIV-Key Info'!$F$84*('HPM costs'!S468+'HPM costs'!S471)))</f>
        <v>0</v>
      </c>
      <c r="AW384" s="525"/>
      <c r="AX384" s="1154">
        <f t="shared" si="38"/>
        <v>0</v>
      </c>
      <c r="AY384" s="1154"/>
      <c r="AZ384" s="528"/>
      <c r="BA384" s="529"/>
      <c r="BB384" s="527"/>
      <c r="BC384" s="527">
        <v>0</v>
      </c>
      <c r="BD384" s="527">
        <v>0</v>
      </c>
      <c r="BE384" s="527">
        <v>0</v>
      </c>
      <c r="BF384" s="527">
        <v>0</v>
      </c>
      <c r="BG384" s="527">
        <v>0</v>
      </c>
      <c r="BH384" s="527">
        <v>0</v>
      </c>
      <c r="BI384" s="527">
        <v>0</v>
      </c>
      <c r="BJ384" s="527">
        <v>0</v>
      </c>
      <c r="BK384" s="1154">
        <f t="shared" si="39"/>
        <v>0</v>
      </c>
      <c r="BL384" s="1154"/>
      <c r="BM384" s="1154">
        <f t="shared" si="40"/>
        <v>0</v>
      </c>
      <c r="BN384" s="1154">
        <f t="shared" si="41"/>
        <v>0</v>
      </c>
      <c r="BO384" s="527"/>
      <c r="BP384" s="527"/>
      <c r="BQ384" s="1157" t="s">
        <v>2553</v>
      </c>
      <c r="BR384" s="1157" t="s">
        <v>690</v>
      </c>
      <c r="BS384" s="1157" t="s">
        <v>527</v>
      </c>
      <c r="BT384" s="1376" t="s">
        <v>1688</v>
      </c>
    </row>
    <row r="385" spans="1:72" s="1371" customFormat="1" ht="13">
      <c r="A385" s="1204">
        <v>941</v>
      </c>
      <c r="B385" s="1205" t="s">
        <v>672</v>
      </c>
      <c r="C385" s="1205" t="s">
        <v>673</v>
      </c>
      <c r="D385" s="1206" t="s">
        <v>2516</v>
      </c>
      <c r="E385" s="1386" t="s">
        <v>536</v>
      </c>
      <c r="F385" s="521"/>
      <c r="G385" s="522"/>
      <c r="H385" s="522"/>
      <c r="I385" s="522"/>
      <c r="J385" s="523"/>
      <c r="K385" s="523"/>
      <c r="L385" s="523"/>
      <c r="M385" s="524"/>
      <c r="N385" s="525"/>
      <c r="O385" s="526" t="s">
        <v>1237</v>
      </c>
      <c r="P385" s="525">
        <f>'HIV-Key Info'!$G$84*(('HIV-Key Info'!$E$84*('HPM costs'!F205+'HPM costs'!F551))+('HIV-Key Info'!$F$84*('HPM costs'!F208+'HPM costs'!F211+'HPM costs'!F554+'HPM costs'!F557)))</f>
        <v>0</v>
      </c>
      <c r="Q385" s="525" t="s">
        <v>1237</v>
      </c>
      <c r="R385" s="525">
        <f>'HIV-Key Info'!$G$84*(('HIV-Key Info'!$E$84*('HPM costs'!G205+'HPM costs'!G551))+('HIV-Key Info'!$F$84*('HPM costs'!G208+'HPM costs'!G211+'HPM costs'!G554+'HPM costs'!G557)))</f>
        <v>0</v>
      </c>
      <c r="S385" s="525" t="s">
        <v>1237</v>
      </c>
      <c r="T385" s="525">
        <f>'HIV-Key Info'!$G$84*(('HIV-Key Info'!$E$84*('HPM costs'!H205+'HPM costs'!H551))+('HIV-Key Info'!$F$84*('HPM costs'!H208+'HPM costs'!H211+'HPM costs'!H554+'HPM costs'!H557)))</f>
        <v>0</v>
      </c>
      <c r="U385" s="525" t="s">
        <v>1237</v>
      </c>
      <c r="V385" s="525">
        <f>'HIV-Key Info'!$G$84*(('HIV-Key Info'!$E$84*('HPM costs'!I205+'HPM costs'!I551))+('HIV-Key Info'!$F$84*('HPM costs'!I208+'HPM costs'!I211+'HPM costs'!I554+'HPM costs'!I557)))</f>
        <v>0</v>
      </c>
      <c r="W385" s="525"/>
      <c r="X385" s="1154">
        <f t="shared" ref="X385:X448" si="42">P385+R385+T385+V385</f>
        <v>0</v>
      </c>
      <c r="Y385" s="1155"/>
      <c r="Z385" s="1156"/>
      <c r="AA385" s="529"/>
      <c r="AB385" s="525"/>
      <c r="AC385" s="525">
        <f>'HIV-Key Info'!$G$84*(('HIV-Key Info'!$E$84*('HPM costs'!K205+'HPM costs'!K551))+('HIV-Key Info'!$F$84*('HPM costs'!K208+'HPM costs'!K211+'HPM costs'!K554+'HPM costs'!K557)))</f>
        <v>0</v>
      </c>
      <c r="AD385" s="525"/>
      <c r="AE385" s="525">
        <f>'HIV-Key Info'!$G$84*(('HIV-Key Info'!$E$84*('HPM costs'!L205+'HPM costs'!L551))+('HIV-Key Info'!$F$84*('HPM costs'!L208+'HPM costs'!L211+'HPM costs'!L554+'HPM costs'!L557)))</f>
        <v>0</v>
      </c>
      <c r="AF385" s="525"/>
      <c r="AG385" s="525">
        <f>'HIV-Key Info'!$G$84*(('HIV-Key Info'!$E$84*('HPM costs'!M205+'HPM costs'!M551))+('HIV-Key Info'!$F$84*('HPM costs'!M208+'HPM costs'!M211+'HPM costs'!M554+'HPM costs'!M557)))</f>
        <v>0</v>
      </c>
      <c r="AH385" s="525"/>
      <c r="AI385" s="525">
        <f>'HIV-Key Info'!$G$84*(('HIV-Key Info'!$E$84*('HPM costs'!N205+'HPM costs'!N551))+('HIV-Key Info'!$F$84*('HPM costs'!N208+'HPM costs'!N211+'HPM costs'!N554+'HPM costs'!N557)))</f>
        <v>0</v>
      </c>
      <c r="AJ385" s="525"/>
      <c r="AK385" s="1154">
        <f t="shared" ref="AK385:AK448" si="43">AI385+AG385+AE385+AC385</f>
        <v>0</v>
      </c>
      <c r="AL385" s="1155"/>
      <c r="AM385" s="1156"/>
      <c r="AN385" s="529"/>
      <c r="AO385" s="525"/>
      <c r="AP385" s="525">
        <f>'HIV-Key Info'!$G$84*(('HIV-Key Info'!$E$84*('HPM costs'!P205+'HPM costs'!P551))+('HIV-Key Info'!$F$84*('HPM costs'!P208+'HPM costs'!P211+'HPM costs'!P554+'HPM costs'!P557)))</f>
        <v>0</v>
      </c>
      <c r="AQ385" s="525"/>
      <c r="AR385" s="525">
        <f>'HIV-Key Info'!$G$84*(('HIV-Key Info'!$E$84*('HPM costs'!Q205+'HPM costs'!Q551))+('HIV-Key Info'!$F$84*('HPM costs'!Q208+'HPM costs'!Q211+'HPM costs'!Q554+'HPM costs'!Q557)))</f>
        <v>0</v>
      </c>
      <c r="AS385" s="525"/>
      <c r="AT385" s="525">
        <f>'HIV-Key Info'!$G$84*(('HIV-Key Info'!$E$84*('HPM costs'!R205+'HPM costs'!R551))+('HIV-Key Info'!$F$84*('HPM costs'!R208+'HPM costs'!R211+'HPM costs'!R554+'HPM costs'!R557)))</f>
        <v>0</v>
      </c>
      <c r="AU385" s="525"/>
      <c r="AV385" s="525">
        <f>'HIV-Key Info'!$G$84*(('HIV-Key Info'!$E$84*('HPM costs'!S205+'HPM costs'!S551))+('HIV-Key Info'!$F$84*('HPM costs'!S208+'HPM costs'!S211+'HPM costs'!S554+'HPM costs'!S557)))</f>
        <v>0</v>
      </c>
      <c r="AW385" s="525"/>
      <c r="AX385" s="1154">
        <f t="shared" ref="AX385:AX448" si="44">AV385+AT385+AR385+AP385</f>
        <v>0</v>
      </c>
      <c r="AY385" s="1154"/>
      <c r="AZ385" s="528"/>
      <c r="BA385" s="529"/>
      <c r="BB385" s="527"/>
      <c r="BC385" s="527">
        <v>0</v>
      </c>
      <c r="BD385" s="527">
        <v>0</v>
      </c>
      <c r="BE385" s="527">
        <v>0</v>
      </c>
      <c r="BF385" s="527">
        <v>0</v>
      </c>
      <c r="BG385" s="527">
        <v>0</v>
      </c>
      <c r="BH385" s="527">
        <v>0</v>
      </c>
      <c r="BI385" s="527">
        <v>0</v>
      </c>
      <c r="BJ385" s="527">
        <v>0</v>
      </c>
      <c r="BK385" s="1154">
        <f t="shared" ref="BK385:BK448" si="45">BI385+BG385+BE385+BC385</f>
        <v>0</v>
      </c>
      <c r="BL385" s="1154"/>
      <c r="BM385" s="1154">
        <f t="shared" si="40"/>
        <v>0</v>
      </c>
      <c r="BN385" s="1154">
        <f t="shared" si="41"/>
        <v>0</v>
      </c>
      <c r="BO385" s="527"/>
      <c r="BP385" s="527"/>
      <c r="BQ385" s="1157" t="s">
        <v>2553</v>
      </c>
      <c r="BR385" s="1157" t="s">
        <v>690</v>
      </c>
      <c r="BS385" s="1157" t="s">
        <v>527</v>
      </c>
      <c r="BT385" s="1376" t="s">
        <v>1689</v>
      </c>
    </row>
    <row r="386" spans="1:72" s="1371" customFormat="1" ht="13">
      <c r="A386" s="1204">
        <v>942</v>
      </c>
      <c r="B386" s="1205" t="s">
        <v>672</v>
      </c>
      <c r="C386" s="1205" t="s">
        <v>673</v>
      </c>
      <c r="D386" s="1206" t="s">
        <v>2516</v>
      </c>
      <c r="E386" s="1386" t="s">
        <v>538</v>
      </c>
      <c r="F386" s="521"/>
      <c r="G386" s="522"/>
      <c r="H386" s="522"/>
      <c r="I386" s="522"/>
      <c r="J386" s="523"/>
      <c r="K386" s="523"/>
      <c r="L386" s="523"/>
      <c r="M386" s="524"/>
      <c r="N386" s="525"/>
      <c r="O386" s="526" t="s">
        <v>1237</v>
      </c>
      <c r="P386" s="525">
        <f>'HIV-Key Info'!$G$84*(('HIV-Key Info'!$E$84*'HPM costs'!F291)+('HIV-Key Info'!$F$84*('HPM costs'!F294+'HPM costs'!F297)))</f>
        <v>0</v>
      </c>
      <c r="Q386" s="525" t="s">
        <v>1237</v>
      </c>
      <c r="R386" s="525">
        <f>'HIV-Key Info'!$G$84*(('HIV-Key Info'!$E$84*'HPM costs'!G291)+('HIV-Key Info'!$F$84*('HPM costs'!G294+'HPM costs'!G297)))</f>
        <v>0</v>
      </c>
      <c r="S386" s="525" t="s">
        <v>1237</v>
      </c>
      <c r="T386" s="525">
        <f>'HIV-Key Info'!$G$84*(('HIV-Key Info'!$E$84*'HPM costs'!H291)+('HIV-Key Info'!$F$84*('HPM costs'!H294+'HPM costs'!H297)))</f>
        <v>0</v>
      </c>
      <c r="U386" s="525" t="s">
        <v>1237</v>
      </c>
      <c r="V386" s="525">
        <f>'HIV-Key Info'!$G$84*(('HIV-Key Info'!$E$84*'HPM costs'!I291)+('HIV-Key Info'!$F$84*('HPM costs'!I294+'HPM costs'!I297)))</f>
        <v>0</v>
      </c>
      <c r="W386" s="525"/>
      <c r="X386" s="1154">
        <f t="shared" si="42"/>
        <v>0</v>
      </c>
      <c r="Y386" s="1155"/>
      <c r="Z386" s="1156"/>
      <c r="AA386" s="529"/>
      <c r="AB386" s="525"/>
      <c r="AC386" s="525">
        <f>'HIV-Key Info'!$G$84*(('HIV-Key Info'!$E$84*'HPM costs'!K291)+('HIV-Key Info'!$F$84*('HPM costs'!K294+'HPM costs'!K297)))</f>
        <v>0</v>
      </c>
      <c r="AD386" s="525"/>
      <c r="AE386" s="525">
        <f>'HIV-Key Info'!$G$84*(('HIV-Key Info'!$E$84*'HPM costs'!L291)+('HIV-Key Info'!$F$84*('HPM costs'!L294+'HPM costs'!L297)))</f>
        <v>0</v>
      </c>
      <c r="AF386" s="525"/>
      <c r="AG386" s="525">
        <f>'HIV-Key Info'!$G$84*(('HIV-Key Info'!$E$84*'HPM costs'!M291)+('HIV-Key Info'!$F$84*('HPM costs'!M294+'HPM costs'!M297)))</f>
        <v>0</v>
      </c>
      <c r="AH386" s="525"/>
      <c r="AI386" s="525">
        <f>'HIV-Key Info'!$G$84*(('HIV-Key Info'!$E$84*'HPM costs'!N291)+('HIV-Key Info'!$F$84*('HPM costs'!N294+'HPM costs'!N297)))</f>
        <v>0</v>
      </c>
      <c r="AJ386" s="525"/>
      <c r="AK386" s="1154">
        <f t="shared" si="43"/>
        <v>0</v>
      </c>
      <c r="AL386" s="1155"/>
      <c r="AM386" s="1156"/>
      <c r="AN386" s="529"/>
      <c r="AO386" s="525"/>
      <c r="AP386" s="525">
        <f>'HIV-Key Info'!$G$84*(('HIV-Key Info'!$E$84*'HPM costs'!P291)+('HIV-Key Info'!$F$84*('HPM costs'!P294+'HPM costs'!P297)))</f>
        <v>0</v>
      </c>
      <c r="AQ386" s="525"/>
      <c r="AR386" s="525">
        <f>'HIV-Key Info'!$G$84*(('HIV-Key Info'!$E$84*'HPM costs'!Q291)+('HIV-Key Info'!$F$84*('HPM costs'!Q294+'HPM costs'!Q297)))</f>
        <v>0</v>
      </c>
      <c r="AS386" s="525"/>
      <c r="AT386" s="525">
        <f>'HIV-Key Info'!$G$84*(('HIV-Key Info'!$E$84*'HPM costs'!R291)+('HIV-Key Info'!$F$84*('HPM costs'!R294+'HPM costs'!R297)))</f>
        <v>0</v>
      </c>
      <c r="AU386" s="525"/>
      <c r="AV386" s="525">
        <f>'HIV-Key Info'!$G$84*(('HIV-Key Info'!$E$84*'HPM costs'!S291)+('HIV-Key Info'!$F$84*('HPM costs'!S294+'HPM costs'!S297)))</f>
        <v>0</v>
      </c>
      <c r="AW386" s="525"/>
      <c r="AX386" s="1154">
        <f t="shared" si="44"/>
        <v>0</v>
      </c>
      <c r="AY386" s="1154"/>
      <c r="AZ386" s="528"/>
      <c r="BA386" s="529"/>
      <c r="BB386" s="527"/>
      <c r="BC386" s="527">
        <v>0</v>
      </c>
      <c r="BD386" s="527">
        <v>0</v>
      </c>
      <c r="BE386" s="527">
        <v>0</v>
      </c>
      <c r="BF386" s="527">
        <v>0</v>
      </c>
      <c r="BG386" s="527">
        <v>0</v>
      </c>
      <c r="BH386" s="527">
        <v>0</v>
      </c>
      <c r="BI386" s="527">
        <v>0</v>
      </c>
      <c r="BJ386" s="527">
        <v>0</v>
      </c>
      <c r="BK386" s="1154">
        <f t="shared" si="45"/>
        <v>0</v>
      </c>
      <c r="BL386" s="1154"/>
      <c r="BM386" s="1154">
        <f t="shared" ref="BM386:BM449" si="46">BJ386+AW386+AJ386+W386</f>
        <v>0</v>
      </c>
      <c r="BN386" s="1154">
        <f t="shared" ref="BN386:BN449" si="47">BK386+AX386+AK386+X386</f>
        <v>0</v>
      </c>
      <c r="BO386" s="527"/>
      <c r="BP386" s="527"/>
      <c r="BQ386" s="1157" t="s">
        <v>2553</v>
      </c>
      <c r="BR386" s="1157" t="s">
        <v>690</v>
      </c>
      <c r="BS386" s="1157" t="s">
        <v>527</v>
      </c>
      <c r="BT386" s="1376" t="s">
        <v>1690</v>
      </c>
    </row>
    <row r="387" spans="1:72" s="1371" customFormat="1" ht="13">
      <c r="A387" s="1204">
        <v>943</v>
      </c>
      <c r="B387" s="1205" t="s">
        <v>672</v>
      </c>
      <c r="C387" s="1205" t="s">
        <v>673</v>
      </c>
      <c r="D387" s="1206" t="s">
        <v>2516</v>
      </c>
      <c r="E387" s="1386" t="s">
        <v>540</v>
      </c>
      <c r="F387" s="521"/>
      <c r="G387" s="522"/>
      <c r="H387" s="522"/>
      <c r="I387" s="522"/>
      <c r="J387" s="523"/>
      <c r="K387" s="523"/>
      <c r="L387" s="523"/>
      <c r="M387" s="524"/>
      <c r="N387" s="525"/>
      <c r="O387" s="526" t="s">
        <v>1237</v>
      </c>
      <c r="P387" s="525">
        <f>'HIV-Key Info'!$G$84*(('HIV-Key Info'!$E$84*'HPM costs'!F636)+('HIV-Key Info'!$F$84*('HPM costs'!F639+'HPM costs'!F642)))</f>
        <v>0</v>
      </c>
      <c r="Q387" s="525" t="s">
        <v>1237</v>
      </c>
      <c r="R387" s="525">
        <f>'HIV-Key Info'!$G$84*(('HIV-Key Info'!$E$84*'HPM costs'!G636)+('HIV-Key Info'!$F$84*('HPM costs'!G639+'HPM costs'!G642)))</f>
        <v>0</v>
      </c>
      <c r="S387" s="525" t="s">
        <v>1237</v>
      </c>
      <c r="T387" s="525">
        <f>'HIV-Key Info'!$G$84*(('HIV-Key Info'!$E$84*'HPM costs'!H636)+('HIV-Key Info'!$F$84*('HPM costs'!H639+'HPM costs'!H642)))</f>
        <v>0</v>
      </c>
      <c r="U387" s="525" t="s">
        <v>1237</v>
      </c>
      <c r="V387" s="525">
        <f>'HIV-Key Info'!$G$84*(('HIV-Key Info'!$E$84*'HPM costs'!I636)+('HIV-Key Info'!$F$84*('HPM costs'!I639+'HPM costs'!I642)))</f>
        <v>0</v>
      </c>
      <c r="W387" s="525"/>
      <c r="X387" s="1154">
        <f t="shared" si="42"/>
        <v>0</v>
      </c>
      <c r="Y387" s="1155"/>
      <c r="Z387" s="1156"/>
      <c r="AA387" s="529"/>
      <c r="AB387" s="525"/>
      <c r="AC387" s="525">
        <f>'HIV-Key Info'!$G$84*(('HIV-Key Info'!$E$84*'HPM costs'!K636)+('HIV-Key Info'!$F$84*('HPM costs'!K639+'HPM costs'!K642)))</f>
        <v>0</v>
      </c>
      <c r="AD387" s="525"/>
      <c r="AE387" s="525">
        <f>'HIV-Key Info'!$G$84*(('HIV-Key Info'!$E$84*'HPM costs'!L636)+('HIV-Key Info'!$F$84*('HPM costs'!L639+'HPM costs'!L642)))</f>
        <v>0</v>
      </c>
      <c r="AF387" s="525"/>
      <c r="AG387" s="525">
        <f>'HIV-Key Info'!$G$84*(('HIV-Key Info'!$E$84*'HPM costs'!M636)+('HIV-Key Info'!$F$84*('HPM costs'!M639+'HPM costs'!M642)))</f>
        <v>0</v>
      </c>
      <c r="AH387" s="525"/>
      <c r="AI387" s="525">
        <f>'HIV-Key Info'!$G$84*(('HIV-Key Info'!$E$84*'HPM costs'!N636)+('HIV-Key Info'!$F$84*('HPM costs'!N639+'HPM costs'!N642)))</f>
        <v>0</v>
      </c>
      <c r="AJ387" s="525"/>
      <c r="AK387" s="1154">
        <f t="shared" si="43"/>
        <v>0</v>
      </c>
      <c r="AL387" s="1155"/>
      <c r="AM387" s="1156"/>
      <c r="AN387" s="529"/>
      <c r="AO387" s="525"/>
      <c r="AP387" s="525">
        <f>'HIV-Key Info'!$G$84*(('HIV-Key Info'!$E$84*'HPM costs'!P636)+('HIV-Key Info'!$F$84*('HPM costs'!P639+'HPM costs'!P642)))</f>
        <v>0</v>
      </c>
      <c r="AQ387" s="525"/>
      <c r="AR387" s="525">
        <f>'HIV-Key Info'!$G$84*(('HIV-Key Info'!$E$84*'HPM costs'!Q636)+('HIV-Key Info'!$F$84*('HPM costs'!Q639+'HPM costs'!Q642)))</f>
        <v>0</v>
      </c>
      <c r="AS387" s="525"/>
      <c r="AT387" s="525">
        <f>'HIV-Key Info'!$G$84*(('HIV-Key Info'!$E$84*'HPM costs'!R636)+('HIV-Key Info'!$F$84*('HPM costs'!R639+'HPM costs'!R642)))</f>
        <v>0</v>
      </c>
      <c r="AU387" s="525"/>
      <c r="AV387" s="525">
        <f>'HIV-Key Info'!$G$84*(('HIV-Key Info'!$E$84*'HPM costs'!S636)+('HIV-Key Info'!$F$84*('HPM costs'!S639+'HPM costs'!S642)))</f>
        <v>0</v>
      </c>
      <c r="AW387" s="525"/>
      <c r="AX387" s="1154">
        <f t="shared" si="44"/>
        <v>0</v>
      </c>
      <c r="AY387" s="1154"/>
      <c r="AZ387" s="528"/>
      <c r="BA387" s="529"/>
      <c r="BB387" s="527"/>
      <c r="BC387" s="527">
        <v>0</v>
      </c>
      <c r="BD387" s="527">
        <v>0</v>
      </c>
      <c r="BE387" s="527">
        <v>0</v>
      </c>
      <c r="BF387" s="527">
        <v>0</v>
      </c>
      <c r="BG387" s="527">
        <v>0</v>
      </c>
      <c r="BH387" s="527">
        <v>0</v>
      </c>
      <c r="BI387" s="527">
        <v>0</v>
      </c>
      <c r="BJ387" s="527">
        <v>0</v>
      </c>
      <c r="BK387" s="1154">
        <f t="shared" si="45"/>
        <v>0</v>
      </c>
      <c r="BL387" s="1154"/>
      <c r="BM387" s="1154">
        <f t="shared" si="46"/>
        <v>0</v>
      </c>
      <c r="BN387" s="1154">
        <f t="shared" si="47"/>
        <v>0</v>
      </c>
      <c r="BO387" s="527"/>
      <c r="BP387" s="527"/>
      <c r="BQ387" s="1157" t="s">
        <v>2553</v>
      </c>
      <c r="BR387" s="1157" t="s">
        <v>690</v>
      </c>
      <c r="BS387" s="1157" t="s">
        <v>527</v>
      </c>
      <c r="BT387" s="1376" t="s">
        <v>1691</v>
      </c>
    </row>
    <row r="388" spans="1:72" s="1371" customFormat="1" ht="13">
      <c r="A388" s="1204">
        <v>944</v>
      </c>
      <c r="B388" s="1205" t="s">
        <v>672</v>
      </c>
      <c r="C388" s="1205" t="s">
        <v>674</v>
      </c>
      <c r="D388" s="1206" t="s">
        <v>2575</v>
      </c>
      <c r="E388" s="1386" t="s">
        <v>603</v>
      </c>
      <c r="F388" s="521"/>
      <c r="G388" s="522"/>
      <c r="H388" s="522"/>
      <c r="I388" s="522"/>
      <c r="J388" s="523"/>
      <c r="K388" s="523"/>
      <c r="L388" s="523"/>
      <c r="M388" s="524"/>
      <c r="N388" s="525"/>
      <c r="O388" s="526" t="s">
        <v>1237</v>
      </c>
      <c r="P388" s="525">
        <f>'HIV-Key Info'!$H$84*('HIV-Key Info'!$E$84*('HPM costs'!F119/'HPM costs'!$E$119)+'HIV-Key Info'!$F$84*('HPM costs'!F125/'HPM costs'!$E$125+'HPM costs'!F122/'HPM costs'!$E$122))</f>
        <v>0</v>
      </c>
      <c r="Q388" s="525" t="s">
        <v>1237</v>
      </c>
      <c r="R388" s="525">
        <f>'HIV-Key Info'!$H$84*('HIV-Key Info'!$E$84*('HPM costs'!G119/'HPM costs'!$E$119)+'HIV-Key Info'!$F$84*('HPM costs'!G125/'HPM costs'!$E$125+'HPM costs'!G122/'HPM costs'!$E$122))</f>
        <v>0</v>
      </c>
      <c r="S388" s="525" t="s">
        <v>1237</v>
      </c>
      <c r="T388" s="525">
        <f>'HIV-Key Info'!$H$84*('HIV-Key Info'!$E$84*('HPM costs'!H119/'HPM costs'!$E$119)+'HIV-Key Info'!$F$84*('HPM costs'!H125/'HPM costs'!$E$125+'HPM costs'!H122/'HPM costs'!$E$122))</f>
        <v>0</v>
      </c>
      <c r="U388" s="525" t="s">
        <v>1237</v>
      </c>
      <c r="V388" s="525">
        <f>'HIV-Key Info'!$H$84*('HIV-Key Info'!$E$84*('HPM costs'!I119/'HPM costs'!$E$119)+'HIV-Key Info'!$F$84*('HPM costs'!I125/'HPM costs'!$E$125+'HPM costs'!I122/'HPM costs'!$E$122))</f>
        <v>0</v>
      </c>
      <c r="W388" s="525"/>
      <c r="X388" s="1154">
        <f t="shared" si="42"/>
        <v>0</v>
      </c>
      <c r="Y388" s="1155"/>
      <c r="Z388" s="1156"/>
      <c r="AA388" s="529"/>
      <c r="AB388" s="525"/>
      <c r="AC388" s="525">
        <f>'HIV-Key Info'!$H$84*('HIV-Key Info'!$E$84*('HPM costs'!K119/'HPM costs'!$E$119)+'HIV-Key Info'!$F$84*('HPM costs'!K125/'HPM costs'!$E$125+'HPM costs'!K122/'HPM costs'!$E$122))</f>
        <v>0</v>
      </c>
      <c r="AD388" s="525"/>
      <c r="AE388" s="525">
        <f>'HIV-Key Info'!$H$84*('HIV-Key Info'!$E$84*('HPM costs'!L119/'HPM costs'!$E$119)+'HIV-Key Info'!$F$84*('HPM costs'!L125/'HPM costs'!$E$125+'HPM costs'!L122/'HPM costs'!$E$122))</f>
        <v>0</v>
      </c>
      <c r="AF388" s="525"/>
      <c r="AG388" s="525">
        <f>'HIV-Key Info'!$H$84*('HIV-Key Info'!$E$84*('HPM costs'!M119/'HPM costs'!$E$119)+'HIV-Key Info'!$F$84*('HPM costs'!M125/'HPM costs'!$E$125+'HPM costs'!M122/'HPM costs'!$E$122))</f>
        <v>0</v>
      </c>
      <c r="AH388" s="525"/>
      <c r="AI388" s="525">
        <f>'HIV-Key Info'!$H$84*('HIV-Key Info'!$E$84*('HPM costs'!N119/'HPM costs'!$E$119)+'HIV-Key Info'!$F$84*('HPM costs'!N125/'HPM costs'!$E$125+'HPM costs'!N122/'HPM costs'!$E$122))</f>
        <v>0</v>
      </c>
      <c r="AJ388" s="525"/>
      <c r="AK388" s="1154">
        <f t="shared" si="43"/>
        <v>0</v>
      </c>
      <c r="AL388" s="1155"/>
      <c r="AM388" s="1156"/>
      <c r="AN388" s="529"/>
      <c r="AO388" s="525"/>
      <c r="AP388" s="525">
        <f>'HIV-Key Info'!$H$84*('HIV-Key Info'!$E$84*('HPM costs'!P119/'HPM costs'!$E$119)+'HIV-Key Info'!$F$84*('HPM costs'!P125/'HPM costs'!$E$125+'HPM costs'!P122/'HPM costs'!$E$122))</f>
        <v>0</v>
      </c>
      <c r="AQ388" s="525"/>
      <c r="AR388" s="525">
        <f>'HIV-Key Info'!$H$84*('HIV-Key Info'!$E$84*('HPM costs'!Q119/'HPM costs'!$E$119)+'HIV-Key Info'!$F$84*('HPM costs'!Q125/'HPM costs'!$E$125+'HPM costs'!Q122/'HPM costs'!$E$122))</f>
        <v>0</v>
      </c>
      <c r="AS388" s="525"/>
      <c r="AT388" s="525">
        <f>'HIV-Key Info'!$H$84*('HIV-Key Info'!$E$84*('HPM costs'!R119/'HPM costs'!$E$119)+'HIV-Key Info'!$F$84*('HPM costs'!R125/'HPM costs'!$E$125+'HPM costs'!R122/'HPM costs'!$E$122))</f>
        <v>0</v>
      </c>
      <c r="AU388" s="525"/>
      <c r="AV388" s="525">
        <f>'HIV-Key Info'!$H$84*('HIV-Key Info'!$E$84*('HPM costs'!S119/'HPM costs'!$E$119)+'HIV-Key Info'!$F$84*('HPM costs'!S125/'HPM costs'!$E$125+'HPM costs'!S122/'HPM costs'!$E$122))</f>
        <v>0</v>
      </c>
      <c r="AW388" s="525"/>
      <c r="AX388" s="1154">
        <f t="shared" si="44"/>
        <v>0</v>
      </c>
      <c r="AY388" s="1154"/>
      <c r="AZ388" s="528"/>
      <c r="BA388" s="529"/>
      <c r="BB388" s="527"/>
      <c r="BC388" s="527">
        <v>0</v>
      </c>
      <c r="BD388" s="527">
        <v>0</v>
      </c>
      <c r="BE388" s="527">
        <v>0</v>
      </c>
      <c r="BF388" s="527">
        <v>0</v>
      </c>
      <c r="BG388" s="527">
        <v>0</v>
      </c>
      <c r="BH388" s="527">
        <v>0</v>
      </c>
      <c r="BI388" s="527">
        <v>0</v>
      </c>
      <c r="BJ388" s="527">
        <v>0</v>
      </c>
      <c r="BK388" s="1154">
        <f t="shared" si="45"/>
        <v>0</v>
      </c>
      <c r="BL388" s="1154"/>
      <c r="BM388" s="1154">
        <f t="shared" si="46"/>
        <v>0</v>
      </c>
      <c r="BN388" s="1154">
        <f t="shared" si="47"/>
        <v>0</v>
      </c>
      <c r="BO388" s="527"/>
      <c r="BP388" s="527"/>
      <c r="BQ388" s="1157" t="s">
        <v>2553</v>
      </c>
      <c r="BR388" s="1157" t="s">
        <v>690</v>
      </c>
      <c r="BS388" s="1157" t="s">
        <v>2570</v>
      </c>
      <c r="BT388" s="1376" t="s">
        <v>1692</v>
      </c>
    </row>
    <row r="389" spans="1:72" s="1371" customFormat="1" ht="13">
      <c r="A389" s="1204">
        <v>945</v>
      </c>
      <c r="B389" s="1205" t="s">
        <v>672</v>
      </c>
      <c r="C389" s="1205" t="s">
        <v>674</v>
      </c>
      <c r="D389" s="1206" t="s">
        <v>2516</v>
      </c>
      <c r="E389" s="1386" t="s">
        <v>528</v>
      </c>
      <c r="F389" s="521"/>
      <c r="G389" s="522"/>
      <c r="H389" s="522"/>
      <c r="I389" s="522"/>
      <c r="J389" s="523"/>
      <c r="K389" s="523"/>
      <c r="L389" s="523"/>
      <c r="M389" s="524"/>
      <c r="N389" s="525"/>
      <c r="O389" s="526" t="s">
        <v>1237</v>
      </c>
      <c r="P389" s="525">
        <f>'HIV-Key Info'!$H$84*(('HIV-Key Info'!$E$84*'HPM costs'!F33)+('HIV-Key Info'!$F$84*('HPM costs'!F36+'HPM costs'!F39)))</f>
        <v>0</v>
      </c>
      <c r="Q389" s="525" t="s">
        <v>1237</v>
      </c>
      <c r="R389" s="525">
        <f>'HIV-Key Info'!$H$84*(('HIV-Key Info'!$E$84*'HPM costs'!G33)+('HIV-Key Info'!$F$84*('HPM costs'!G36+'HPM costs'!G39)))</f>
        <v>0</v>
      </c>
      <c r="S389" s="525" t="s">
        <v>1237</v>
      </c>
      <c r="T389" s="525">
        <f>'HIV-Key Info'!$H$84*(('HIV-Key Info'!$E$84*'HPM costs'!H33)+('HIV-Key Info'!$F$84*('HPM costs'!H36+'HPM costs'!H39)))</f>
        <v>0</v>
      </c>
      <c r="U389" s="525" t="s">
        <v>1237</v>
      </c>
      <c r="V389" s="525">
        <f>'HIV-Key Info'!$H$84*(('HIV-Key Info'!$E$84*'HPM costs'!I33)+('HIV-Key Info'!$F$84*('HPM costs'!I36+'HPM costs'!I39)))</f>
        <v>0</v>
      </c>
      <c r="W389" s="525"/>
      <c r="X389" s="1154">
        <f t="shared" si="42"/>
        <v>0</v>
      </c>
      <c r="Y389" s="1155"/>
      <c r="Z389" s="1156"/>
      <c r="AA389" s="529"/>
      <c r="AB389" s="525"/>
      <c r="AC389" s="525">
        <f>'HIV-Key Info'!$H$84*(('HIV-Key Info'!$E$84*'HPM costs'!K33)+('HIV-Key Info'!$F$84*('HPM costs'!K36+'HPM costs'!K39)))</f>
        <v>0</v>
      </c>
      <c r="AD389" s="525"/>
      <c r="AE389" s="525">
        <f>'HIV-Key Info'!$H$84*(('HIV-Key Info'!$E$84*'HPM costs'!L33)+('HIV-Key Info'!$F$84*('HPM costs'!L36+'HPM costs'!L39)))</f>
        <v>0</v>
      </c>
      <c r="AF389" s="525"/>
      <c r="AG389" s="525">
        <f>'HIV-Key Info'!$H$84*(('HIV-Key Info'!$E$84*'HPM costs'!M33)+('HIV-Key Info'!$F$84*('HPM costs'!M36+'HPM costs'!M39)))</f>
        <v>0</v>
      </c>
      <c r="AH389" s="525"/>
      <c r="AI389" s="525">
        <f>'HIV-Key Info'!$H$84*(('HIV-Key Info'!$E$84*'HPM costs'!N33)+('HIV-Key Info'!$F$84*('HPM costs'!N36+'HPM costs'!N39)))</f>
        <v>0</v>
      </c>
      <c r="AJ389" s="525"/>
      <c r="AK389" s="1154">
        <f t="shared" si="43"/>
        <v>0</v>
      </c>
      <c r="AL389" s="1155"/>
      <c r="AM389" s="1156"/>
      <c r="AN389" s="529"/>
      <c r="AO389" s="525"/>
      <c r="AP389" s="525">
        <f>'HIV-Key Info'!$H$84*(('HIV-Key Info'!$E$84*'HPM costs'!P33)+('HIV-Key Info'!$F$84*('HPM costs'!P36+'HPM costs'!P39)))</f>
        <v>0</v>
      </c>
      <c r="AQ389" s="525"/>
      <c r="AR389" s="525">
        <f>'HIV-Key Info'!$H$84*(('HIV-Key Info'!$E$84*'HPM costs'!Q33)+('HIV-Key Info'!$F$84*('HPM costs'!Q36+'HPM costs'!Q39)))</f>
        <v>0</v>
      </c>
      <c r="AS389" s="525"/>
      <c r="AT389" s="525">
        <f>'HIV-Key Info'!$H$84*(('HIV-Key Info'!$E$84*'HPM costs'!R33)+('HIV-Key Info'!$F$84*('HPM costs'!R36+'HPM costs'!R39)))</f>
        <v>0</v>
      </c>
      <c r="AU389" s="525"/>
      <c r="AV389" s="525">
        <f>'HIV-Key Info'!$H$84*(('HIV-Key Info'!$E$84*'HPM costs'!S33)+('HIV-Key Info'!$F$84*('HPM costs'!S36+'HPM costs'!S39)))</f>
        <v>0</v>
      </c>
      <c r="AW389" s="525"/>
      <c r="AX389" s="1154">
        <f t="shared" si="44"/>
        <v>0</v>
      </c>
      <c r="AY389" s="1154"/>
      <c r="AZ389" s="528"/>
      <c r="BA389" s="529"/>
      <c r="BB389" s="527"/>
      <c r="BC389" s="527">
        <v>0</v>
      </c>
      <c r="BD389" s="527">
        <v>0</v>
      </c>
      <c r="BE389" s="527">
        <v>0</v>
      </c>
      <c r="BF389" s="527">
        <v>0</v>
      </c>
      <c r="BG389" s="527">
        <v>0</v>
      </c>
      <c r="BH389" s="527">
        <v>0</v>
      </c>
      <c r="BI389" s="527">
        <v>0</v>
      </c>
      <c r="BJ389" s="527">
        <v>0</v>
      </c>
      <c r="BK389" s="1154">
        <f t="shared" si="45"/>
        <v>0</v>
      </c>
      <c r="BL389" s="1154"/>
      <c r="BM389" s="1154">
        <f t="shared" si="46"/>
        <v>0</v>
      </c>
      <c r="BN389" s="1154">
        <f t="shared" si="47"/>
        <v>0</v>
      </c>
      <c r="BO389" s="527"/>
      <c r="BP389" s="527"/>
      <c r="BQ389" s="1157" t="s">
        <v>2553</v>
      </c>
      <c r="BR389" s="1157" t="s">
        <v>690</v>
      </c>
      <c r="BS389" s="1157" t="s">
        <v>527</v>
      </c>
      <c r="BT389" s="1376" t="s">
        <v>1693</v>
      </c>
    </row>
    <row r="390" spans="1:72" s="1371" customFormat="1" ht="13">
      <c r="A390" s="1204">
        <v>946</v>
      </c>
      <c r="B390" s="1205" t="s">
        <v>672</v>
      </c>
      <c r="C390" s="1205" t="s">
        <v>674</v>
      </c>
      <c r="D390" s="1206" t="s">
        <v>2516</v>
      </c>
      <c r="E390" s="1386" t="s">
        <v>530</v>
      </c>
      <c r="F390" s="521"/>
      <c r="G390" s="522"/>
      <c r="H390" s="522"/>
      <c r="I390" s="522"/>
      <c r="J390" s="523"/>
      <c r="K390" s="523"/>
      <c r="L390" s="523"/>
      <c r="M390" s="524"/>
      <c r="N390" s="525"/>
      <c r="O390" s="526" t="s">
        <v>1237</v>
      </c>
      <c r="P390" s="525">
        <f>'HIV-Key Info'!$H$84*(('HIV-Key Info'!$E$84*'HPM costs'!F119)+('HIV-Key Info'!$F$84*('HPM costs'!F122+'HPM costs'!F125)))</f>
        <v>0</v>
      </c>
      <c r="Q390" s="525" t="s">
        <v>1237</v>
      </c>
      <c r="R390" s="525">
        <f>'HIV-Key Info'!$H$84*(('HIV-Key Info'!$E$84*'HPM costs'!G119)+('HIV-Key Info'!$F$84*('HPM costs'!G122+'HPM costs'!G125)))</f>
        <v>0</v>
      </c>
      <c r="S390" s="525" t="s">
        <v>1237</v>
      </c>
      <c r="T390" s="525">
        <f>'HIV-Key Info'!$H$84*(('HIV-Key Info'!$E$84*'HPM costs'!H119)+('HIV-Key Info'!$F$84*('HPM costs'!H122+'HPM costs'!H125)))</f>
        <v>0</v>
      </c>
      <c r="U390" s="525" t="s">
        <v>1237</v>
      </c>
      <c r="V390" s="525">
        <f>'HIV-Key Info'!$H$84*(('HIV-Key Info'!$E$84*'HPM costs'!I119)+('HIV-Key Info'!$F$84*('HPM costs'!I122+'HPM costs'!I125)))</f>
        <v>0</v>
      </c>
      <c r="W390" s="525"/>
      <c r="X390" s="1154">
        <f t="shared" si="42"/>
        <v>0</v>
      </c>
      <c r="Y390" s="1155"/>
      <c r="Z390" s="1156"/>
      <c r="AA390" s="529"/>
      <c r="AB390" s="525"/>
      <c r="AC390" s="525">
        <f>'HIV-Key Info'!$H$84*(('HIV-Key Info'!$E$84*'HPM costs'!K119)+('HIV-Key Info'!$F$84*('HPM costs'!K122+'HPM costs'!K125)))</f>
        <v>0</v>
      </c>
      <c r="AD390" s="525"/>
      <c r="AE390" s="525">
        <f>'HIV-Key Info'!$H$84*(('HIV-Key Info'!$E$84*'HPM costs'!L119)+('HIV-Key Info'!$F$84*('HPM costs'!L122+'HPM costs'!L125)))</f>
        <v>0</v>
      </c>
      <c r="AF390" s="525"/>
      <c r="AG390" s="525">
        <f>'HIV-Key Info'!$H$84*(('HIV-Key Info'!$E$84*'HPM costs'!M119)+('HIV-Key Info'!$F$84*('HPM costs'!M122+'HPM costs'!M125)))</f>
        <v>0</v>
      </c>
      <c r="AH390" s="525"/>
      <c r="AI390" s="525">
        <f>'HIV-Key Info'!$H$84*(('HIV-Key Info'!$E$84*'HPM costs'!N119)+('HIV-Key Info'!$F$84*('HPM costs'!N122+'HPM costs'!N125)))</f>
        <v>0</v>
      </c>
      <c r="AJ390" s="525"/>
      <c r="AK390" s="1154">
        <f t="shared" si="43"/>
        <v>0</v>
      </c>
      <c r="AL390" s="1155"/>
      <c r="AM390" s="1156"/>
      <c r="AN390" s="529"/>
      <c r="AO390" s="525"/>
      <c r="AP390" s="525">
        <f>'HIV-Key Info'!$H$84*(('HIV-Key Info'!$E$84*'HPM costs'!P119)+('HIV-Key Info'!$F$84*('HPM costs'!P122+'HPM costs'!P125)))</f>
        <v>0</v>
      </c>
      <c r="AQ390" s="525"/>
      <c r="AR390" s="525">
        <f>'HIV-Key Info'!$H$84*(('HIV-Key Info'!$E$84*'HPM costs'!Q119)+('HIV-Key Info'!$F$84*('HPM costs'!Q122+'HPM costs'!Q125)))</f>
        <v>0</v>
      </c>
      <c r="AS390" s="525"/>
      <c r="AT390" s="525">
        <f>'HIV-Key Info'!$H$84*(('HIV-Key Info'!$E$84*'HPM costs'!R119)+('HIV-Key Info'!$F$84*('HPM costs'!R122+'HPM costs'!R125)))</f>
        <v>0</v>
      </c>
      <c r="AU390" s="525"/>
      <c r="AV390" s="525">
        <f>'HIV-Key Info'!$H$84*(('HIV-Key Info'!$E$84*'HPM costs'!S119)+('HIV-Key Info'!$F$84*('HPM costs'!S122+'HPM costs'!S125)))</f>
        <v>0</v>
      </c>
      <c r="AW390" s="525"/>
      <c r="AX390" s="1154">
        <f t="shared" si="44"/>
        <v>0</v>
      </c>
      <c r="AY390" s="1154"/>
      <c r="AZ390" s="528"/>
      <c r="BA390" s="529"/>
      <c r="BB390" s="527"/>
      <c r="BC390" s="527">
        <v>0</v>
      </c>
      <c r="BD390" s="527">
        <v>0</v>
      </c>
      <c r="BE390" s="527">
        <v>0</v>
      </c>
      <c r="BF390" s="527">
        <v>0</v>
      </c>
      <c r="BG390" s="527">
        <v>0</v>
      </c>
      <c r="BH390" s="527">
        <v>0</v>
      </c>
      <c r="BI390" s="527">
        <v>0</v>
      </c>
      <c r="BJ390" s="527">
        <v>0</v>
      </c>
      <c r="BK390" s="1154">
        <f t="shared" si="45"/>
        <v>0</v>
      </c>
      <c r="BL390" s="1154"/>
      <c r="BM390" s="1154">
        <f t="shared" si="46"/>
        <v>0</v>
      </c>
      <c r="BN390" s="1154">
        <f t="shared" si="47"/>
        <v>0</v>
      </c>
      <c r="BO390" s="527"/>
      <c r="BP390" s="527"/>
      <c r="BQ390" s="1157" t="s">
        <v>2553</v>
      </c>
      <c r="BR390" s="1157" t="s">
        <v>690</v>
      </c>
      <c r="BS390" s="1157" t="s">
        <v>527</v>
      </c>
      <c r="BT390" s="1376" t="s">
        <v>1694</v>
      </c>
    </row>
    <row r="391" spans="1:72" s="1371" customFormat="1" ht="13">
      <c r="A391" s="1204">
        <v>947</v>
      </c>
      <c r="B391" s="1205" t="s">
        <v>672</v>
      </c>
      <c r="C391" s="1205" t="s">
        <v>674</v>
      </c>
      <c r="D391" s="1206" t="s">
        <v>2516</v>
      </c>
      <c r="E391" s="1386" t="s">
        <v>532</v>
      </c>
      <c r="F391" s="521"/>
      <c r="G391" s="522"/>
      <c r="H391" s="522"/>
      <c r="I391" s="522"/>
      <c r="J391" s="523"/>
      <c r="K391" s="523"/>
      <c r="L391" s="523"/>
      <c r="M391" s="524"/>
      <c r="N391" s="525"/>
      <c r="O391" s="526" t="s">
        <v>1237</v>
      </c>
      <c r="P391" s="525">
        <f>'HIV-Key Info'!$H$84*(('HIV-Key Info'!$E$84*'HPM costs'!F379)+('HIV-Key Info'!$F$84*('HPM costs'!F382+'HPM costs'!F385)))</f>
        <v>0</v>
      </c>
      <c r="Q391" s="525" t="s">
        <v>1237</v>
      </c>
      <c r="R391" s="525">
        <f>'HIV-Key Info'!$H$84*(('HIV-Key Info'!$E$84*'HPM costs'!G379)+('HIV-Key Info'!$F$84*('HPM costs'!G382+'HPM costs'!G385)))</f>
        <v>0</v>
      </c>
      <c r="S391" s="525" t="s">
        <v>1237</v>
      </c>
      <c r="T391" s="525">
        <f>'HIV-Key Info'!$H$84*(('HIV-Key Info'!$E$84*'HPM costs'!H379)+('HIV-Key Info'!$F$84*('HPM costs'!H382+'HPM costs'!H385)))</f>
        <v>0</v>
      </c>
      <c r="U391" s="525" t="s">
        <v>1237</v>
      </c>
      <c r="V391" s="525">
        <f>'HIV-Key Info'!$H$84*(('HIV-Key Info'!$E$84*'HPM costs'!I379)+('HIV-Key Info'!$F$84*('HPM costs'!I382+'HPM costs'!I385)))</f>
        <v>0</v>
      </c>
      <c r="W391" s="525"/>
      <c r="X391" s="1154">
        <f t="shared" si="42"/>
        <v>0</v>
      </c>
      <c r="Y391" s="1155"/>
      <c r="Z391" s="1156"/>
      <c r="AA391" s="529"/>
      <c r="AB391" s="525"/>
      <c r="AC391" s="525">
        <f>'HIV-Key Info'!$H$84*(('HIV-Key Info'!$E$84*'HPM costs'!K379)+('HIV-Key Info'!$F$84*('HPM costs'!K382+'HPM costs'!K385)))</f>
        <v>0</v>
      </c>
      <c r="AD391" s="525"/>
      <c r="AE391" s="525">
        <f>'HIV-Key Info'!$H$84*(('HIV-Key Info'!$E$84*'HPM costs'!L379)+('HIV-Key Info'!$F$84*('HPM costs'!L382+'HPM costs'!L385)))</f>
        <v>0</v>
      </c>
      <c r="AF391" s="525"/>
      <c r="AG391" s="525">
        <f>'HIV-Key Info'!$H$84*(('HIV-Key Info'!$E$84*'HPM costs'!M379)+('HIV-Key Info'!$F$84*('HPM costs'!M382+'HPM costs'!M385)))</f>
        <v>0</v>
      </c>
      <c r="AH391" s="525"/>
      <c r="AI391" s="525">
        <f>'HIV-Key Info'!$H$84*(('HIV-Key Info'!$E$84*'HPM costs'!N379)+('HIV-Key Info'!$F$84*('HPM costs'!N382+'HPM costs'!N385)))</f>
        <v>0</v>
      </c>
      <c r="AJ391" s="525"/>
      <c r="AK391" s="1154">
        <f t="shared" si="43"/>
        <v>0</v>
      </c>
      <c r="AL391" s="1155"/>
      <c r="AM391" s="1156"/>
      <c r="AN391" s="529"/>
      <c r="AO391" s="525"/>
      <c r="AP391" s="525">
        <f>'HIV-Key Info'!$H$84*(('HIV-Key Info'!$E$84*'HPM costs'!P379)+('HIV-Key Info'!$F$84*('HPM costs'!P382+'HPM costs'!P385)))</f>
        <v>0</v>
      </c>
      <c r="AQ391" s="525"/>
      <c r="AR391" s="525">
        <f>'HIV-Key Info'!$H$84*(('HIV-Key Info'!$E$84*'HPM costs'!Q379)+('HIV-Key Info'!$F$84*('HPM costs'!Q382+'HPM costs'!Q385)))</f>
        <v>0</v>
      </c>
      <c r="AS391" s="525"/>
      <c r="AT391" s="525">
        <f>'HIV-Key Info'!$H$84*(('HIV-Key Info'!$E$84*'HPM costs'!R379)+('HIV-Key Info'!$F$84*('HPM costs'!R382+'HPM costs'!R385)))</f>
        <v>0</v>
      </c>
      <c r="AU391" s="525"/>
      <c r="AV391" s="525">
        <f>'HIV-Key Info'!$H$84*(('HIV-Key Info'!$E$84*'HPM costs'!S379)+('HIV-Key Info'!$F$84*('HPM costs'!S382+'HPM costs'!S385)))</f>
        <v>0</v>
      </c>
      <c r="AW391" s="525"/>
      <c r="AX391" s="1154">
        <f t="shared" si="44"/>
        <v>0</v>
      </c>
      <c r="AY391" s="1154"/>
      <c r="AZ391" s="528"/>
      <c r="BA391" s="529"/>
      <c r="BB391" s="527"/>
      <c r="BC391" s="527">
        <v>0</v>
      </c>
      <c r="BD391" s="527">
        <v>0</v>
      </c>
      <c r="BE391" s="527">
        <v>0</v>
      </c>
      <c r="BF391" s="527">
        <v>0</v>
      </c>
      <c r="BG391" s="527">
        <v>0</v>
      </c>
      <c r="BH391" s="527">
        <v>0</v>
      </c>
      <c r="BI391" s="527">
        <v>0</v>
      </c>
      <c r="BJ391" s="527">
        <v>0</v>
      </c>
      <c r="BK391" s="1154">
        <f t="shared" si="45"/>
        <v>0</v>
      </c>
      <c r="BL391" s="1154"/>
      <c r="BM391" s="1154">
        <f t="shared" si="46"/>
        <v>0</v>
      </c>
      <c r="BN391" s="1154">
        <f t="shared" si="47"/>
        <v>0</v>
      </c>
      <c r="BO391" s="527"/>
      <c r="BP391" s="527"/>
      <c r="BQ391" s="1157" t="s">
        <v>2553</v>
      </c>
      <c r="BR391" s="1157" t="s">
        <v>690</v>
      </c>
      <c r="BS391" s="1157" t="s">
        <v>527</v>
      </c>
      <c r="BT391" s="1376" t="s">
        <v>1695</v>
      </c>
    </row>
    <row r="392" spans="1:72" s="1371" customFormat="1" ht="13">
      <c r="A392" s="1204">
        <v>948</v>
      </c>
      <c r="B392" s="1205" t="s">
        <v>672</v>
      </c>
      <c r="C392" s="1205" t="s">
        <v>674</v>
      </c>
      <c r="D392" s="1206" t="s">
        <v>2516</v>
      </c>
      <c r="E392" s="1386" t="s">
        <v>534</v>
      </c>
      <c r="F392" s="521"/>
      <c r="G392" s="522"/>
      <c r="H392" s="522"/>
      <c r="I392" s="522"/>
      <c r="J392" s="523"/>
      <c r="K392" s="523"/>
      <c r="L392" s="523"/>
      <c r="M392" s="524"/>
      <c r="N392" s="525"/>
      <c r="O392" s="526" t="s">
        <v>1237</v>
      </c>
      <c r="P392" s="525">
        <f>'HIV-Key Info'!$H$84*(('HIV-Key Info'!$E$84*'HPM costs'!F465)+('HIV-Key Info'!$F$84*('HPM costs'!F468+'HPM costs'!F471)))</f>
        <v>0</v>
      </c>
      <c r="Q392" s="525" t="s">
        <v>1237</v>
      </c>
      <c r="R392" s="525">
        <f>'HIV-Key Info'!$H$84*(('HIV-Key Info'!$E$84*'HPM costs'!G465)+('HIV-Key Info'!$F$84*('HPM costs'!G468+'HPM costs'!G471)))</f>
        <v>0</v>
      </c>
      <c r="S392" s="525" t="s">
        <v>1237</v>
      </c>
      <c r="T392" s="525">
        <f>'HIV-Key Info'!$H$84*(('HIV-Key Info'!$E$84*'HPM costs'!H465)+('HIV-Key Info'!$F$84*('HPM costs'!H468+'HPM costs'!H471)))</f>
        <v>0</v>
      </c>
      <c r="U392" s="525" t="s">
        <v>1237</v>
      </c>
      <c r="V392" s="525">
        <f>'HIV-Key Info'!$H$84*(('HIV-Key Info'!$E$84*'HPM costs'!I465)+('HIV-Key Info'!$F$84*('HPM costs'!I468+'HPM costs'!I471)))</f>
        <v>0</v>
      </c>
      <c r="W392" s="525"/>
      <c r="X392" s="1154">
        <f t="shared" si="42"/>
        <v>0</v>
      </c>
      <c r="Y392" s="1155"/>
      <c r="Z392" s="1156"/>
      <c r="AA392" s="529"/>
      <c r="AB392" s="525"/>
      <c r="AC392" s="525">
        <f>'HIV-Key Info'!$H$84*(('HIV-Key Info'!$E$84*'HPM costs'!K465)+('HIV-Key Info'!$F$84*('HPM costs'!K468+'HPM costs'!K471)))</f>
        <v>0</v>
      </c>
      <c r="AD392" s="525"/>
      <c r="AE392" s="525">
        <f>'HIV-Key Info'!$H$84*(('HIV-Key Info'!$E$84*'HPM costs'!L465)+('HIV-Key Info'!$F$84*('HPM costs'!L468+'HPM costs'!L471)))</f>
        <v>0</v>
      </c>
      <c r="AF392" s="525"/>
      <c r="AG392" s="525">
        <f>'HIV-Key Info'!$H$84*(('HIV-Key Info'!$E$84*'HPM costs'!M465)+('HIV-Key Info'!$F$84*('HPM costs'!M468+'HPM costs'!M471)))</f>
        <v>0</v>
      </c>
      <c r="AH392" s="525"/>
      <c r="AI392" s="525">
        <f>'HIV-Key Info'!$H$84*(('HIV-Key Info'!$E$84*'HPM costs'!N465)+('HIV-Key Info'!$F$84*('HPM costs'!N468+'HPM costs'!N471)))</f>
        <v>0</v>
      </c>
      <c r="AJ392" s="525"/>
      <c r="AK392" s="1154">
        <f t="shared" si="43"/>
        <v>0</v>
      </c>
      <c r="AL392" s="1155"/>
      <c r="AM392" s="1156"/>
      <c r="AN392" s="529"/>
      <c r="AO392" s="525"/>
      <c r="AP392" s="525">
        <f>'HIV-Key Info'!$H$84*(('HIV-Key Info'!$E$84*'HPM costs'!P465)+('HIV-Key Info'!$F$84*('HPM costs'!P468+'HPM costs'!P471)))</f>
        <v>0</v>
      </c>
      <c r="AQ392" s="525"/>
      <c r="AR392" s="525">
        <f>'HIV-Key Info'!$H$84*(('HIV-Key Info'!$E$84*'HPM costs'!Q465)+('HIV-Key Info'!$F$84*('HPM costs'!Q468+'HPM costs'!Q471)))</f>
        <v>0</v>
      </c>
      <c r="AS392" s="525"/>
      <c r="AT392" s="525">
        <f>'HIV-Key Info'!$H$84*(('HIV-Key Info'!$E$84*'HPM costs'!R465)+('HIV-Key Info'!$F$84*('HPM costs'!R468+'HPM costs'!R471)))</f>
        <v>0</v>
      </c>
      <c r="AU392" s="525"/>
      <c r="AV392" s="525">
        <f>'HIV-Key Info'!$H$84*(('HIV-Key Info'!$E$84*'HPM costs'!S465)+('HIV-Key Info'!$F$84*('HPM costs'!S468+'HPM costs'!S471)))</f>
        <v>0</v>
      </c>
      <c r="AW392" s="525"/>
      <c r="AX392" s="1154">
        <f t="shared" si="44"/>
        <v>0</v>
      </c>
      <c r="AY392" s="1154"/>
      <c r="AZ392" s="528"/>
      <c r="BA392" s="529"/>
      <c r="BB392" s="527"/>
      <c r="BC392" s="527">
        <v>0</v>
      </c>
      <c r="BD392" s="527">
        <v>0</v>
      </c>
      <c r="BE392" s="527">
        <v>0</v>
      </c>
      <c r="BF392" s="527">
        <v>0</v>
      </c>
      <c r="BG392" s="527">
        <v>0</v>
      </c>
      <c r="BH392" s="527">
        <v>0</v>
      </c>
      <c r="BI392" s="527">
        <v>0</v>
      </c>
      <c r="BJ392" s="527">
        <v>0</v>
      </c>
      <c r="BK392" s="1154">
        <f t="shared" si="45"/>
        <v>0</v>
      </c>
      <c r="BL392" s="1154"/>
      <c r="BM392" s="1154">
        <f t="shared" si="46"/>
        <v>0</v>
      </c>
      <c r="BN392" s="1154">
        <f t="shared" si="47"/>
        <v>0</v>
      </c>
      <c r="BO392" s="527"/>
      <c r="BP392" s="527"/>
      <c r="BQ392" s="1157" t="s">
        <v>2553</v>
      </c>
      <c r="BR392" s="1157" t="s">
        <v>690</v>
      </c>
      <c r="BS392" s="1157" t="s">
        <v>527</v>
      </c>
      <c r="BT392" s="1376" t="s">
        <v>1696</v>
      </c>
    </row>
    <row r="393" spans="1:72" s="1371" customFormat="1" ht="13">
      <c r="A393" s="1204">
        <v>949</v>
      </c>
      <c r="B393" s="1205" t="s">
        <v>672</v>
      </c>
      <c r="C393" s="1205" t="s">
        <v>674</v>
      </c>
      <c r="D393" s="1206" t="s">
        <v>2516</v>
      </c>
      <c r="E393" s="1386" t="s">
        <v>536</v>
      </c>
      <c r="F393" s="521"/>
      <c r="G393" s="522"/>
      <c r="H393" s="522"/>
      <c r="I393" s="522"/>
      <c r="J393" s="523"/>
      <c r="K393" s="523"/>
      <c r="L393" s="523"/>
      <c r="M393" s="524"/>
      <c r="N393" s="525"/>
      <c r="O393" s="526" t="s">
        <v>1237</v>
      </c>
      <c r="P393" s="525">
        <f>'HIV-Key Info'!$H$84*(('HIV-Key Info'!$E$84*('HPM costs'!F205+'HPM costs'!F551))+('HIV-Key Info'!$F$84*('HPM costs'!F208+'HPM costs'!F211+'HPM costs'!F554+'HPM costs'!F557)))</f>
        <v>0</v>
      </c>
      <c r="Q393" s="525" t="s">
        <v>1237</v>
      </c>
      <c r="R393" s="525">
        <f>'HIV-Key Info'!$H$84*(('HIV-Key Info'!$E$84*('HPM costs'!G205+'HPM costs'!G551))+('HIV-Key Info'!$F$84*('HPM costs'!G208+'HPM costs'!G211+'HPM costs'!G554+'HPM costs'!G557)))</f>
        <v>0</v>
      </c>
      <c r="S393" s="525" t="s">
        <v>1237</v>
      </c>
      <c r="T393" s="525">
        <f>'HIV-Key Info'!$H$84*(('HIV-Key Info'!$E$84*('HPM costs'!H205+'HPM costs'!H551))+('HIV-Key Info'!$F$84*('HPM costs'!H208+'HPM costs'!H211+'HPM costs'!H554+'HPM costs'!H557)))</f>
        <v>0</v>
      </c>
      <c r="U393" s="525" t="s">
        <v>1237</v>
      </c>
      <c r="V393" s="525">
        <f>'HIV-Key Info'!$H$84*(('HIV-Key Info'!$E$84*('HPM costs'!I205+'HPM costs'!I551))+('HIV-Key Info'!$F$84*('HPM costs'!I208+'HPM costs'!I211+'HPM costs'!I554+'HPM costs'!I557)))</f>
        <v>0</v>
      </c>
      <c r="W393" s="525"/>
      <c r="X393" s="1154">
        <f t="shared" si="42"/>
        <v>0</v>
      </c>
      <c r="Y393" s="1155"/>
      <c r="Z393" s="1156"/>
      <c r="AA393" s="529"/>
      <c r="AB393" s="525"/>
      <c r="AC393" s="525">
        <f>'HIV-Key Info'!$H$84*(('HIV-Key Info'!$E$84*('HPM costs'!K205+'HPM costs'!K551))+('HIV-Key Info'!$F$84*('HPM costs'!K208+'HPM costs'!K211+'HPM costs'!K554+'HPM costs'!K557)))</f>
        <v>0</v>
      </c>
      <c r="AD393" s="525"/>
      <c r="AE393" s="525">
        <f>'HIV-Key Info'!$H$84*(('HIV-Key Info'!$E$84*('HPM costs'!L205+'HPM costs'!L551))+('HIV-Key Info'!$F$84*('HPM costs'!L208+'HPM costs'!L211+'HPM costs'!L554+'HPM costs'!L557)))</f>
        <v>0</v>
      </c>
      <c r="AF393" s="525"/>
      <c r="AG393" s="525">
        <f>'HIV-Key Info'!$H$84*(('HIV-Key Info'!$E$84*('HPM costs'!M205+'HPM costs'!M551))+('HIV-Key Info'!$F$84*('HPM costs'!M208+'HPM costs'!M211+'HPM costs'!M554+'HPM costs'!M557)))</f>
        <v>0</v>
      </c>
      <c r="AH393" s="525"/>
      <c r="AI393" s="525">
        <f>'HIV-Key Info'!$H$84*(('HIV-Key Info'!$E$84*('HPM costs'!N205+'HPM costs'!N551))+('HIV-Key Info'!$F$84*('HPM costs'!N208+'HPM costs'!N211+'HPM costs'!N554+'HPM costs'!N557)))</f>
        <v>0</v>
      </c>
      <c r="AJ393" s="525"/>
      <c r="AK393" s="1154">
        <f t="shared" si="43"/>
        <v>0</v>
      </c>
      <c r="AL393" s="1155"/>
      <c r="AM393" s="1156"/>
      <c r="AN393" s="529"/>
      <c r="AO393" s="525"/>
      <c r="AP393" s="525">
        <f>'HIV-Key Info'!$H$84*(('HIV-Key Info'!$E$84*('HPM costs'!P205+'HPM costs'!P551))+('HIV-Key Info'!$F$84*('HPM costs'!P208+'HPM costs'!P211+'HPM costs'!P554+'HPM costs'!P557)))</f>
        <v>0</v>
      </c>
      <c r="AQ393" s="525"/>
      <c r="AR393" s="525">
        <f>'HIV-Key Info'!$H$84*(('HIV-Key Info'!$E$84*('HPM costs'!Q205+'HPM costs'!Q551))+('HIV-Key Info'!$F$84*('HPM costs'!Q208+'HPM costs'!Q211+'HPM costs'!Q554+'HPM costs'!Q557)))</f>
        <v>0</v>
      </c>
      <c r="AS393" s="525"/>
      <c r="AT393" s="525">
        <f>'HIV-Key Info'!$H$84*(('HIV-Key Info'!$E$84*('HPM costs'!R205+'HPM costs'!R551))+('HIV-Key Info'!$F$84*('HPM costs'!R208+'HPM costs'!R211+'HPM costs'!R554+'HPM costs'!R557)))</f>
        <v>0</v>
      </c>
      <c r="AU393" s="525"/>
      <c r="AV393" s="525">
        <f>'HIV-Key Info'!$H$84*(('HIV-Key Info'!$E$84*('HPM costs'!S205+'HPM costs'!S551))+('HIV-Key Info'!$F$84*('HPM costs'!S208+'HPM costs'!S211+'HPM costs'!S554+'HPM costs'!S557)))</f>
        <v>0</v>
      </c>
      <c r="AW393" s="525"/>
      <c r="AX393" s="1154">
        <f t="shared" si="44"/>
        <v>0</v>
      </c>
      <c r="AY393" s="1154"/>
      <c r="AZ393" s="528"/>
      <c r="BA393" s="529"/>
      <c r="BB393" s="527"/>
      <c r="BC393" s="527">
        <v>0</v>
      </c>
      <c r="BD393" s="527">
        <v>0</v>
      </c>
      <c r="BE393" s="527">
        <v>0</v>
      </c>
      <c r="BF393" s="527">
        <v>0</v>
      </c>
      <c r="BG393" s="527">
        <v>0</v>
      </c>
      <c r="BH393" s="527">
        <v>0</v>
      </c>
      <c r="BI393" s="527">
        <v>0</v>
      </c>
      <c r="BJ393" s="527">
        <v>0</v>
      </c>
      <c r="BK393" s="1154">
        <f t="shared" si="45"/>
        <v>0</v>
      </c>
      <c r="BL393" s="1154"/>
      <c r="BM393" s="1154">
        <f t="shared" si="46"/>
        <v>0</v>
      </c>
      <c r="BN393" s="1154">
        <f t="shared" si="47"/>
        <v>0</v>
      </c>
      <c r="BO393" s="527"/>
      <c r="BP393" s="527"/>
      <c r="BQ393" s="1157" t="s">
        <v>2553</v>
      </c>
      <c r="BR393" s="1157" t="s">
        <v>690</v>
      </c>
      <c r="BS393" s="1157" t="s">
        <v>527</v>
      </c>
      <c r="BT393" s="1376" t="s">
        <v>1697</v>
      </c>
    </row>
    <row r="394" spans="1:72" s="1371" customFormat="1" ht="13">
      <c r="A394" s="1204">
        <v>950</v>
      </c>
      <c r="B394" s="1205" t="s">
        <v>672</v>
      </c>
      <c r="C394" s="1205" t="s">
        <v>674</v>
      </c>
      <c r="D394" s="1206" t="s">
        <v>2516</v>
      </c>
      <c r="E394" s="1386" t="s">
        <v>538</v>
      </c>
      <c r="F394" s="521"/>
      <c r="G394" s="522"/>
      <c r="H394" s="522"/>
      <c r="I394" s="522"/>
      <c r="J394" s="523"/>
      <c r="K394" s="523"/>
      <c r="L394" s="523"/>
      <c r="M394" s="524"/>
      <c r="N394" s="525"/>
      <c r="O394" s="526" t="s">
        <v>1237</v>
      </c>
      <c r="P394" s="525">
        <f>'HIV-Key Info'!$H$84*(('HIV-Key Info'!$E$84*'HPM costs'!F291)+('HIV-Key Info'!$F$84*('HPM costs'!F294+'HPM costs'!F297)))</f>
        <v>0</v>
      </c>
      <c r="Q394" s="525" t="s">
        <v>1237</v>
      </c>
      <c r="R394" s="525">
        <f>'HIV-Key Info'!$H$84*(('HIV-Key Info'!$E$84*'HPM costs'!G291)+('HIV-Key Info'!$F$84*('HPM costs'!G294+'HPM costs'!G297)))</f>
        <v>0</v>
      </c>
      <c r="S394" s="525" t="s">
        <v>1237</v>
      </c>
      <c r="T394" s="525">
        <f>'HIV-Key Info'!$H$84*(('HIV-Key Info'!$E$84*'HPM costs'!H291)+('HIV-Key Info'!$F$84*('HPM costs'!H294+'HPM costs'!H297)))</f>
        <v>0</v>
      </c>
      <c r="U394" s="525" t="s">
        <v>1237</v>
      </c>
      <c r="V394" s="525">
        <f>'HIV-Key Info'!$H$84*(('HIV-Key Info'!$E$84*'HPM costs'!I291)+('HIV-Key Info'!$F$84*('HPM costs'!I294+'HPM costs'!I297)))</f>
        <v>0</v>
      </c>
      <c r="W394" s="525"/>
      <c r="X394" s="1154">
        <f t="shared" si="42"/>
        <v>0</v>
      </c>
      <c r="Y394" s="1155"/>
      <c r="Z394" s="1156"/>
      <c r="AA394" s="529"/>
      <c r="AB394" s="525"/>
      <c r="AC394" s="525">
        <f>'HIV-Key Info'!$H$84*(('HIV-Key Info'!$E$84*'HPM costs'!K291)+('HIV-Key Info'!$F$84*('HPM costs'!K294+'HPM costs'!K297)))</f>
        <v>0</v>
      </c>
      <c r="AD394" s="525"/>
      <c r="AE394" s="525">
        <f>'HIV-Key Info'!$H$84*(('HIV-Key Info'!$E$84*'HPM costs'!L291)+('HIV-Key Info'!$F$84*('HPM costs'!L294+'HPM costs'!L297)))</f>
        <v>0</v>
      </c>
      <c r="AF394" s="525"/>
      <c r="AG394" s="525">
        <f>'HIV-Key Info'!$H$84*(('HIV-Key Info'!$E$84*'HPM costs'!M291)+('HIV-Key Info'!$F$84*('HPM costs'!M294+'HPM costs'!M297)))</f>
        <v>0</v>
      </c>
      <c r="AH394" s="525"/>
      <c r="AI394" s="525">
        <f>'HIV-Key Info'!$H$84*(('HIV-Key Info'!$E$84*'HPM costs'!N291)+('HIV-Key Info'!$F$84*('HPM costs'!N294+'HPM costs'!N297)))</f>
        <v>0</v>
      </c>
      <c r="AJ394" s="525"/>
      <c r="AK394" s="1154">
        <f t="shared" si="43"/>
        <v>0</v>
      </c>
      <c r="AL394" s="1155"/>
      <c r="AM394" s="1156"/>
      <c r="AN394" s="529"/>
      <c r="AO394" s="525"/>
      <c r="AP394" s="525">
        <f>'HIV-Key Info'!$H$84*(('HIV-Key Info'!$E$84*'HPM costs'!P291)+('HIV-Key Info'!$F$84*('HPM costs'!P294+'HPM costs'!P297)))</f>
        <v>0</v>
      </c>
      <c r="AQ394" s="525"/>
      <c r="AR394" s="525">
        <f>'HIV-Key Info'!$H$84*(('HIV-Key Info'!$E$84*'HPM costs'!Q291)+('HIV-Key Info'!$F$84*('HPM costs'!Q294+'HPM costs'!Q297)))</f>
        <v>0</v>
      </c>
      <c r="AS394" s="525"/>
      <c r="AT394" s="525">
        <f>'HIV-Key Info'!$H$84*(('HIV-Key Info'!$E$84*'HPM costs'!R291)+('HIV-Key Info'!$F$84*('HPM costs'!R294+'HPM costs'!R297)))</f>
        <v>0</v>
      </c>
      <c r="AU394" s="525"/>
      <c r="AV394" s="525">
        <f>'HIV-Key Info'!$H$84*(('HIV-Key Info'!$E$84*'HPM costs'!S291)+('HIV-Key Info'!$F$84*('HPM costs'!S294+'HPM costs'!S297)))</f>
        <v>0</v>
      </c>
      <c r="AW394" s="525"/>
      <c r="AX394" s="1154">
        <f t="shared" si="44"/>
        <v>0</v>
      </c>
      <c r="AY394" s="1154"/>
      <c r="AZ394" s="528"/>
      <c r="BA394" s="529"/>
      <c r="BB394" s="527"/>
      <c r="BC394" s="527">
        <v>0</v>
      </c>
      <c r="BD394" s="527">
        <v>0</v>
      </c>
      <c r="BE394" s="527">
        <v>0</v>
      </c>
      <c r="BF394" s="527">
        <v>0</v>
      </c>
      <c r="BG394" s="527">
        <v>0</v>
      </c>
      <c r="BH394" s="527">
        <v>0</v>
      </c>
      <c r="BI394" s="527">
        <v>0</v>
      </c>
      <c r="BJ394" s="527">
        <v>0</v>
      </c>
      <c r="BK394" s="1154">
        <f t="shared" si="45"/>
        <v>0</v>
      </c>
      <c r="BL394" s="1154"/>
      <c r="BM394" s="1154">
        <f t="shared" si="46"/>
        <v>0</v>
      </c>
      <c r="BN394" s="1154">
        <f t="shared" si="47"/>
        <v>0</v>
      </c>
      <c r="BO394" s="527"/>
      <c r="BP394" s="527"/>
      <c r="BQ394" s="1157" t="s">
        <v>2553</v>
      </c>
      <c r="BR394" s="1157" t="s">
        <v>690</v>
      </c>
      <c r="BS394" s="1157" t="s">
        <v>527</v>
      </c>
      <c r="BT394" s="1376" t="s">
        <v>1698</v>
      </c>
    </row>
    <row r="395" spans="1:72" s="1371" customFormat="1" ht="13">
      <c r="A395" s="1204">
        <v>951</v>
      </c>
      <c r="B395" s="1205" t="s">
        <v>672</v>
      </c>
      <c r="C395" s="1205" t="s">
        <v>674</v>
      </c>
      <c r="D395" s="1206" t="s">
        <v>2516</v>
      </c>
      <c r="E395" s="1386" t="s">
        <v>540</v>
      </c>
      <c r="F395" s="521"/>
      <c r="G395" s="522"/>
      <c r="H395" s="522"/>
      <c r="I395" s="522"/>
      <c r="J395" s="523"/>
      <c r="K395" s="523"/>
      <c r="L395" s="523"/>
      <c r="M395" s="524"/>
      <c r="N395" s="525"/>
      <c r="O395" s="526" t="s">
        <v>1237</v>
      </c>
      <c r="P395" s="525">
        <f>'HIV-Key Info'!$H$84*(('HIV-Key Info'!$E$84*'HPM costs'!F636)+('HIV-Key Info'!$F$84*('HPM costs'!F639+'HPM costs'!F642)))</f>
        <v>0</v>
      </c>
      <c r="Q395" s="525" t="s">
        <v>1237</v>
      </c>
      <c r="R395" s="525">
        <f>'HIV-Key Info'!$H$84*(('HIV-Key Info'!$E$84*'HPM costs'!G636)+('HIV-Key Info'!$F$84*('HPM costs'!G639+'HPM costs'!G642)))</f>
        <v>0</v>
      </c>
      <c r="S395" s="525" t="s">
        <v>1237</v>
      </c>
      <c r="T395" s="525">
        <f>'HIV-Key Info'!$H$84*(('HIV-Key Info'!$E$84*'HPM costs'!H636)+('HIV-Key Info'!$F$84*('HPM costs'!H639+'HPM costs'!H642)))</f>
        <v>0</v>
      </c>
      <c r="U395" s="525" t="s">
        <v>1237</v>
      </c>
      <c r="V395" s="525">
        <f>'HIV-Key Info'!$H$84*(('HIV-Key Info'!$E$84*'HPM costs'!I636)+('HIV-Key Info'!$F$84*('HPM costs'!I639+'HPM costs'!I642)))</f>
        <v>0</v>
      </c>
      <c r="W395" s="525"/>
      <c r="X395" s="1154">
        <f t="shared" si="42"/>
        <v>0</v>
      </c>
      <c r="Y395" s="1155"/>
      <c r="Z395" s="1156"/>
      <c r="AA395" s="529"/>
      <c r="AB395" s="525"/>
      <c r="AC395" s="525">
        <f>'HIV-Key Info'!$H$84*(('HIV-Key Info'!$E$84*'HPM costs'!K636)+('HIV-Key Info'!$F$84*('HPM costs'!K639+'HPM costs'!K642)))</f>
        <v>0</v>
      </c>
      <c r="AD395" s="525"/>
      <c r="AE395" s="525">
        <f>'HIV-Key Info'!$H$84*(('HIV-Key Info'!$E$84*'HPM costs'!L636)+('HIV-Key Info'!$F$84*('HPM costs'!L639+'HPM costs'!L642)))</f>
        <v>0</v>
      </c>
      <c r="AF395" s="525"/>
      <c r="AG395" s="525">
        <f>'HIV-Key Info'!$H$84*(('HIV-Key Info'!$E$84*'HPM costs'!M636)+('HIV-Key Info'!$F$84*('HPM costs'!M639+'HPM costs'!M642)))</f>
        <v>0</v>
      </c>
      <c r="AH395" s="525"/>
      <c r="AI395" s="525">
        <f>'HIV-Key Info'!$H$84*(('HIV-Key Info'!$E$84*'HPM costs'!N636)+('HIV-Key Info'!$F$84*('HPM costs'!N639+'HPM costs'!N642)))</f>
        <v>0</v>
      </c>
      <c r="AJ395" s="525"/>
      <c r="AK395" s="1154">
        <f t="shared" si="43"/>
        <v>0</v>
      </c>
      <c r="AL395" s="1155"/>
      <c r="AM395" s="1156"/>
      <c r="AN395" s="529"/>
      <c r="AO395" s="525"/>
      <c r="AP395" s="525">
        <f>'HIV-Key Info'!$H$84*(('HIV-Key Info'!$E$84*'HPM costs'!P636)+('HIV-Key Info'!$F$84*('HPM costs'!P639+'HPM costs'!P642)))</f>
        <v>0</v>
      </c>
      <c r="AQ395" s="525"/>
      <c r="AR395" s="525">
        <f>'HIV-Key Info'!$H$84*(('HIV-Key Info'!$E$84*'HPM costs'!Q636)+('HIV-Key Info'!$F$84*('HPM costs'!Q639+'HPM costs'!Q642)))</f>
        <v>0</v>
      </c>
      <c r="AS395" s="525"/>
      <c r="AT395" s="525">
        <f>'HIV-Key Info'!$H$84*(('HIV-Key Info'!$E$84*'HPM costs'!R636)+('HIV-Key Info'!$F$84*('HPM costs'!R639+'HPM costs'!R642)))</f>
        <v>0</v>
      </c>
      <c r="AU395" s="525"/>
      <c r="AV395" s="525">
        <f>'HIV-Key Info'!$H$84*(('HIV-Key Info'!$E$84*'HPM costs'!S636)+('HIV-Key Info'!$F$84*('HPM costs'!S639+'HPM costs'!S642)))</f>
        <v>0</v>
      </c>
      <c r="AW395" s="525"/>
      <c r="AX395" s="1154">
        <f t="shared" si="44"/>
        <v>0</v>
      </c>
      <c r="AY395" s="1154"/>
      <c r="AZ395" s="528"/>
      <c r="BA395" s="529"/>
      <c r="BB395" s="527"/>
      <c r="BC395" s="527">
        <v>0</v>
      </c>
      <c r="BD395" s="527">
        <v>0</v>
      </c>
      <c r="BE395" s="527">
        <v>0</v>
      </c>
      <c r="BF395" s="527">
        <v>0</v>
      </c>
      <c r="BG395" s="527">
        <v>0</v>
      </c>
      <c r="BH395" s="527">
        <v>0</v>
      </c>
      <c r="BI395" s="527">
        <v>0</v>
      </c>
      <c r="BJ395" s="527">
        <v>0</v>
      </c>
      <c r="BK395" s="1154">
        <f t="shared" si="45"/>
        <v>0</v>
      </c>
      <c r="BL395" s="1154"/>
      <c r="BM395" s="1154">
        <f t="shared" si="46"/>
        <v>0</v>
      </c>
      <c r="BN395" s="1154">
        <f t="shared" si="47"/>
        <v>0</v>
      </c>
      <c r="BO395" s="527"/>
      <c r="BP395" s="527"/>
      <c r="BQ395" s="1157" t="s">
        <v>2553</v>
      </c>
      <c r="BR395" s="1157" t="s">
        <v>690</v>
      </c>
      <c r="BS395" s="1157" t="s">
        <v>527</v>
      </c>
      <c r="BT395" s="1376" t="s">
        <v>1699</v>
      </c>
    </row>
    <row r="396" spans="1:72" s="1371" customFormat="1" ht="13">
      <c r="A396" s="1204">
        <v>952</v>
      </c>
      <c r="B396" s="1205" t="s">
        <v>672</v>
      </c>
      <c r="C396" s="1205" t="s">
        <v>675</v>
      </c>
      <c r="D396" s="1206" t="s">
        <v>2575</v>
      </c>
      <c r="E396" s="1386" t="s">
        <v>603</v>
      </c>
      <c r="F396" s="521"/>
      <c r="G396" s="522"/>
      <c r="H396" s="522"/>
      <c r="I396" s="522"/>
      <c r="J396" s="523"/>
      <c r="K396" s="523"/>
      <c r="L396" s="523"/>
      <c r="M396" s="524"/>
      <c r="N396" s="525"/>
      <c r="O396" s="526" t="s">
        <v>1237</v>
      </c>
      <c r="P396" s="525">
        <f>'HIV-Key Info'!$I$84*('HIV-Key Info'!$E$84*('HPM costs'!F119/'HPM costs'!$E$119)+'HIV-Key Info'!$F$84*('HPM costs'!F125/'HPM costs'!$E$125+'HPM costs'!F122/'HPM costs'!$E$122))</f>
        <v>0</v>
      </c>
      <c r="Q396" s="525" t="s">
        <v>1237</v>
      </c>
      <c r="R396" s="525">
        <f>'HIV-Key Info'!$I$84*('HIV-Key Info'!$E$84*('HPM costs'!G119/'HPM costs'!$E$119)+'HIV-Key Info'!$F$84*('HPM costs'!G125/'HPM costs'!$E$125+'HPM costs'!G122/'HPM costs'!$E$122))</f>
        <v>0</v>
      </c>
      <c r="S396" s="525" t="s">
        <v>1237</v>
      </c>
      <c r="T396" s="525">
        <f>'HIV-Key Info'!$I$84*('HIV-Key Info'!$E$84*('HPM costs'!H119/'HPM costs'!$E$119)+'HIV-Key Info'!$F$84*('HPM costs'!H125/'HPM costs'!$E$125+'HPM costs'!H122/'HPM costs'!$E$122))</f>
        <v>0</v>
      </c>
      <c r="U396" s="525" t="s">
        <v>1237</v>
      </c>
      <c r="V396" s="525">
        <f>'HIV-Key Info'!$I$84*('HIV-Key Info'!$E$84*('HPM costs'!I119/'HPM costs'!$E$119)+'HIV-Key Info'!$F$84*('HPM costs'!I125/'HPM costs'!$E$125+'HPM costs'!I122/'HPM costs'!$E$122))</f>
        <v>0</v>
      </c>
      <c r="W396" s="525"/>
      <c r="X396" s="1154">
        <f t="shared" si="42"/>
        <v>0</v>
      </c>
      <c r="Y396" s="1155"/>
      <c r="Z396" s="1156"/>
      <c r="AA396" s="529"/>
      <c r="AB396" s="525"/>
      <c r="AC396" s="525">
        <f>'HIV-Key Info'!$I$84*('HIV-Key Info'!$E$84*('HPM costs'!K119/'HPM costs'!$E$119)+'HIV-Key Info'!$F$84*('HPM costs'!K125/'HPM costs'!$E$125+'HPM costs'!K122/'HPM costs'!$E$122))</f>
        <v>0</v>
      </c>
      <c r="AD396" s="525"/>
      <c r="AE396" s="525">
        <f>'HIV-Key Info'!$I$84*('HIV-Key Info'!$E$84*('HPM costs'!L119/'HPM costs'!$E$119)+'HIV-Key Info'!$F$84*('HPM costs'!L125/'HPM costs'!$E$125+'HPM costs'!L122/'HPM costs'!$E$122))</f>
        <v>0</v>
      </c>
      <c r="AF396" s="525"/>
      <c r="AG396" s="525">
        <f>'HIV-Key Info'!$I$84*('HIV-Key Info'!$E$84*('HPM costs'!M119/'HPM costs'!$E$119)+'HIV-Key Info'!$F$84*('HPM costs'!M125/'HPM costs'!$E$125+'HPM costs'!M122/'HPM costs'!$E$122))</f>
        <v>0</v>
      </c>
      <c r="AH396" s="525"/>
      <c r="AI396" s="525">
        <f>'HIV-Key Info'!$I$84*('HIV-Key Info'!$E$84*('HPM costs'!N119/'HPM costs'!$E$119)+'HIV-Key Info'!$F$84*('HPM costs'!N125/'HPM costs'!$E$125+'HPM costs'!N122/'HPM costs'!$E$122))</f>
        <v>0</v>
      </c>
      <c r="AJ396" s="525"/>
      <c r="AK396" s="1154">
        <f t="shared" si="43"/>
        <v>0</v>
      </c>
      <c r="AL396" s="1155"/>
      <c r="AM396" s="1156"/>
      <c r="AN396" s="529"/>
      <c r="AO396" s="525"/>
      <c r="AP396" s="525">
        <f>'HIV-Key Info'!$I$84*('HIV-Key Info'!$E$84*('HPM costs'!P119/'HPM costs'!$E$119)+'HIV-Key Info'!$F$84*('HPM costs'!P125/'HPM costs'!$E$125+'HPM costs'!P122/'HPM costs'!$E$122))</f>
        <v>0</v>
      </c>
      <c r="AQ396" s="525"/>
      <c r="AR396" s="525">
        <f>'HIV-Key Info'!$I$84*('HIV-Key Info'!$E$84*('HPM costs'!Q119/'HPM costs'!$E$119)+'HIV-Key Info'!$F$84*('HPM costs'!Q125/'HPM costs'!$E$125+'HPM costs'!Q122/'HPM costs'!$E$122))</f>
        <v>0</v>
      </c>
      <c r="AS396" s="525"/>
      <c r="AT396" s="525">
        <f>'HIV-Key Info'!$I$84*('HIV-Key Info'!$E$84*('HPM costs'!R119/'HPM costs'!$E$119)+'HIV-Key Info'!$F$84*('HPM costs'!R125/'HPM costs'!$E$125+'HPM costs'!R122/'HPM costs'!$E$122))</f>
        <v>0</v>
      </c>
      <c r="AU396" s="525"/>
      <c r="AV396" s="525">
        <f>'HIV-Key Info'!$I$84*('HIV-Key Info'!$E$84*('HPM costs'!S119/'HPM costs'!$E$119)+'HIV-Key Info'!$F$84*('HPM costs'!S125/'HPM costs'!$E$125+'HPM costs'!S122/'HPM costs'!$E$122))</f>
        <v>0</v>
      </c>
      <c r="AW396" s="525"/>
      <c r="AX396" s="1154">
        <f t="shared" si="44"/>
        <v>0</v>
      </c>
      <c r="AY396" s="1154"/>
      <c r="AZ396" s="528"/>
      <c r="BA396" s="529"/>
      <c r="BB396" s="527"/>
      <c r="BC396" s="527">
        <v>0</v>
      </c>
      <c r="BD396" s="527">
        <v>0</v>
      </c>
      <c r="BE396" s="527">
        <v>0</v>
      </c>
      <c r="BF396" s="527">
        <v>0</v>
      </c>
      <c r="BG396" s="527">
        <v>0</v>
      </c>
      <c r="BH396" s="527">
        <v>0</v>
      </c>
      <c r="BI396" s="527">
        <v>0</v>
      </c>
      <c r="BJ396" s="527">
        <v>0</v>
      </c>
      <c r="BK396" s="1154">
        <f t="shared" si="45"/>
        <v>0</v>
      </c>
      <c r="BL396" s="1154"/>
      <c r="BM396" s="1154">
        <f t="shared" si="46"/>
        <v>0</v>
      </c>
      <c r="BN396" s="1154">
        <f t="shared" si="47"/>
        <v>0</v>
      </c>
      <c r="BO396" s="527"/>
      <c r="BP396" s="527"/>
      <c r="BQ396" s="1157" t="s">
        <v>2553</v>
      </c>
      <c r="BR396" s="1157" t="s">
        <v>690</v>
      </c>
      <c r="BS396" s="1157" t="s">
        <v>2570</v>
      </c>
      <c r="BT396" s="1376" t="s">
        <v>1700</v>
      </c>
    </row>
    <row r="397" spans="1:72" s="1371" customFormat="1" ht="13">
      <c r="A397" s="1204">
        <v>953</v>
      </c>
      <c r="B397" s="1205" t="s">
        <v>672</v>
      </c>
      <c r="C397" s="1205" t="s">
        <v>675</v>
      </c>
      <c r="D397" s="1206" t="s">
        <v>2516</v>
      </c>
      <c r="E397" s="1386" t="s">
        <v>528</v>
      </c>
      <c r="F397" s="521"/>
      <c r="G397" s="522"/>
      <c r="H397" s="522"/>
      <c r="I397" s="522"/>
      <c r="J397" s="523"/>
      <c r="K397" s="523"/>
      <c r="L397" s="523"/>
      <c r="M397" s="524"/>
      <c r="N397" s="525"/>
      <c r="O397" s="526" t="s">
        <v>1237</v>
      </c>
      <c r="P397" s="525">
        <f>'HIV-Key Info'!$I$84*(('HIV-Key Info'!$E$84*'HPM costs'!F33)+('HIV-Key Info'!$F$84*('HPM costs'!F36+'HPM costs'!F39)))</f>
        <v>0</v>
      </c>
      <c r="Q397" s="525" t="s">
        <v>1237</v>
      </c>
      <c r="R397" s="525">
        <f>'HIV-Key Info'!$I$84*(('HIV-Key Info'!$E$84*'HPM costs'!G33)+('HIV-Key Info'!$F$84*('HPM costs'!G36+'HPM costs'!G39)))</f>
        <v>0</v>
      </c>
      <c r="S397" s="525" t="s">
        <v>1237</v>
      </c>
      <c r="T397" s="525">
        <f>'HIV-Key Info'!$I$84*(('HIV-Key Info'!$E$84*'HPM costs'!H33)+('HIV-Key Info'!$F$84*('HPM costs'!H36+'HPM costs'!H39)))</f>
        <v>0</v>
      </c>
      <c r="U397" s="525" t="s">
        <v>1237</v>
      </c>
      <c r="V397" s="525">
        <f>'HIV-Key Info'!$I$84*(('HIV-Key Info'!$E$84*'HPM costs'!I33)+('HIV-Key Info'!$F$84*('HPM costs'!I36+'HPM costs'!I39)))</f>
        <v>0</v>
      </c>
      <c r="W397" s="525"/>
      <c r="X397" s="1154">
        <f t="shared" si="42"/>
        <v>0</v>
      </c>
      <c r="Y397" s="1155"/>
      <c r="Z397" s="1156"/>
      <c r="AA397" s="529"/>
      <c r="AB397" s="525"/>
      <c r="AC397" s="525">
        <f>'HIV-Key Info'!$I$84*(('HIV-Key Info'!$E$84*'HPM costs'!K33)+('HIV-Key Info'!$F$84*('HPM costs'!K36+'HPM costs'!K39)))</f>
        <v>0</v>
      </c>
      <c r="AD397" s="525"/>
      <c r="AE397" s="525">
        <f>'HIV-Key Info'!$I$84*(('HIV-Key Info'!$E$84*'HPM costs'!L33)+('HIV-Key Info'!$F$84*('HPM costs'!L36+'HPM costs'!L39)))</f>
        <v>0</v>
      </c>
      <c r="AF397" s="525"/>
      <c r="AG397" s="525">
        <f>'HIV-Key Info'!$I$84*(('HIV-Key Info'!$E$84*'HPM costs'!M33)+('HIV-Key Info'!$F$84*('HPM costs'!M36+'HPM costs'!M39)))</f>
        <v>0</v>
      </c>
      <c r="AH397" s="525"/>
      <c r="AI397" s="525">
        <f>'HIV-Key Info'!$I$84*(('HIV-Key Info'!$E$84*'HPM costs'!N33)+('HIV-Key Info'!$F$84*('HPM costs'!N36+'HPM costs'!N39)))</f>
        <v>0</v>
      </c>
      <c r="AJ397" s="525"/>
      <c r="AK397" s="1154">
        <f t="shared" si="43"/>
        <v>0</v>
      </c>
      <c r="AL397" s="1155"/>
      <c r="AM397" s="1156"/>
      <c r="AN397" s="529"/>
      <c r="AO397" s="525"/>
      <c r="AP397" s="525">
        <f>'HIV-Key Info'!$I$84*(('HIV-Key Info'!$E$84*'HPM costs'!P33)+('HIV-Key Info'!$F$84*('HPM costs'!P36+'HPM costs'!P39)))</f>
        <v>0</v>
      </c>
      <c r="AQ397" s="525"/>
      <c r="AR397" s="525">
        <f>'HIV-Key Info'!$I$84*(('HIV-Key Info'!$E$84*'HPM costs'!Q33)+('HIV-Key Info'!$F$84*('HPM costs'!Q36+'HPM costs'!Q39)))</f>
        <v>0</v>
      </c>
      <c r="AS397" s="525"/>
      <c r="AT397" s="525">
        <f>'HIV-Key Info'!$I$84*(('HIV-Key Info'!$E$84*'HPM costs'!R33)+('HIV-Key Info'!$F$84*('HPM costs'!R36+'HPM costs'!R39)))</f>
        <v>0</v>
      </c>
      <c r="AU397" s="525"/>
      <c r="AV397" s="525">
        <f>'HIV-Key Info'!$I$84*(('HIV-Key Info'!$E$84*'HPM costs'!S33)+('HIV-Key Info'!$F$84*('HPM costs'!S36+'HPM costs'!S39)))</f>
        <v>0</v>
      </c>
      <c r="AW397" s="525"/>
      <c r="AX397" s="1154">
        <f t="shared" si="44"/>
        <v>0</v>
      </c>
      <c r="AY397" s="1154"/>
      <c r="AZ397" s="528"/>
      <c r="BA397" s="529"/>
      <c r="BB397" s="527"/>
      <c r="BC397" s="527">
        <v>0</v>
      </c>
      <c r="BD397" s="527">
        <v>0</v>
      </c>
      <c r="BE397" s="527">
        <v>0</v>
      </c>
      <c r="BF397" s="527">
        <v>0</v>
      </c>
      <c r="BG397" s="527">
        <v>0</v>
      </c>
      <c r="BH397" s="527">
        <v>0</v>
      </c>
      <c r="BI397" s="527">
        <v>0</v>
      </c>
      <c r="BJ397" s="527">
        <v>0</v>
      </c>
      <c r="BK397" s="1154">
        <f t="shared" si="45"/>
        <v>0</v>
      </c>
      <c r="BL397" s="1154"/>
      <c r="BM397" s="1154">
        <f t="shared" si="46"/>
        <v>0</v>
      </c>
      <c r="BN397" s="1154">
        <f t="shared" si="47"/>
        <v>0</v>
      </c>
      <c r="BO397" s="527"/>
      <c r="BP397" s="527"/>
      <c r="BQ397" s="1157" t="s">
        <v>2553</v>
      </c>
      <c r="BR397" s="1157" t="s">
        <v>690</v>
      </c>
      <c r="BS397" s="1157" t="s">
        <v>527</v>
      </c>
      <c r="BT397" s="1376" t="s">
        <v>1701</v>
      </c>
    </row>
    <row r="398" spans="1:72" s="1371" customFormat="1" ht="13">
      <c r="A398" s="1204">
        <v>954</v>
      </c>
      <c r="B398" s="1205" t="s">
        <v>672</v>
      </c>
      <c r="C398" s="1205" t="s">
        <v>675</v>
      </c>
      <c r="D398" s="1206" t="s">
        <v>2516</v>
      </c>
      <c r="E398" s="1386" t="s">
        <v>530</v>
      </c>
      <c r="F398" s="521"/>
      <c r="G398" s="522"/>
      <c r="H398" s="522"/>
      <c r="I398" s="522"/>
      <c r="J398" s="523"/>
      <c r="K398" s="523"/>
      <c r="L398" s="523"/>
      <c r="M398" s="524"/>
      <c r="N398" s="525"/>
      <c r="O398" s="526" t="s">
        <v>1237</v>
      </c>
      <c r="P398" s="525">
        <f>'HIV-Key Info'!$I$84*(('HIV-Key Info'!$E$84*'HPM costs'!F119)+('HIV-Key Info'!$F$84*('HPM costs'!F122+'HPM costs'!F125)))</f>
        <v>0</v>
      </c>
      <c r="Q398" s="525" t="s">
        <v>1237</v>
      </c>
      <c r="R398" s="525">
        <f>'HIV-Key Info'!$I$84*(('HIV-Key Info'!$E$84*'HPM costs'!G119)+('HIV-Key Info'!$F$84*('HPM costs'!G122+'HPM costs'!G125)))</f>
        <v>0</v>
      </c>
      <c r="S398" s="525" t="s">
        <v>1237</v>
      </c>
      <c r="T398" s="525">
        <f>'HIV-Key Info'!$I$84*(('HIV-Key Info'!$E$84*'HPM costs'!H119)+('HIV-Key Info'!$F$84*('HPM costs'!H122+'HPM costs'!H125)))</f>
        <v>0</v>
      </c>
      <c r="U398" s="525" t="s">
        <v>1237</v>
      </c>
      <c r="V398" s="525">
        <f>'HIV-Key Info'!$I$84*(('HIV-Key Info'!$E$84*'HPM costs'!I119)+('HIV-Key Info'!$F$84*('HPM costs'!I122+'HPM costs'!I125)))</f>
        <v>0</v>
      </c>
      <c r="W398" s="525"/>
      <c r="X398" s="1154">
        <f t="shared" si="42"/>
        <v>0</v>
      </c>
      <c r="Y398" s="1155"/>
      <c r="Z398" s="1156"/>
      <c r="AA398" s="529"/>
      <c r="AB398" s="525"/>
      <c r="AC398" s="525">
        <f>'HIV-Key Info'!$I$84*(('HIV-Key Info'!$E$84*'HPM costs'!K119)+('HIV-Key Info'!$F$84*('HPM costs'!K122+'HPM costs'!K125)))</f>
        <v>0</v>
      </c>
      <c r="AD398" s="525"/>
      <c r="AE398" s="525">
        <f>'HIV-Key Info'!$I$84*(('HIV-Key Info'!$E$84*'HPM costs'!L119)+('HIV-Key Info'!$F$84*('HPM costs'!L122+'HPM costs'!L125)))</f>
        <v>0</v>
      </c>
      <c r="AF398" s="525"/>
      <c r="AG398" s="525">
        <f>'HIV-Key Info'!$I$84*(('HIV-Key Info'!$E$84*'HPM costs'!M119)+('HIV-Key Info'!$F$84*('HPM costs'!M122+'HPM costs'!M125)))</f>
        <v>0</v>
      </c>
      <c r="AH398" s="525"/>
      <c r="AI398" s="525">
        <f>'HIV-Key Info'!$I$84*(('HIV-Key Info'!$E$84*'HPM costs'!N119)+('HIV-Key Info'!$F$84*('HPM costs'!N122+'HPM costs'!N125)))</f>
        <v>0</v>
      </c>
      <c r="AJ398" s="525"/>
      <c r="AK398" s="1154">
        <f t="shared" si="43"/>
        <v>0</v>
      </c>
      <c r="AL398" s="1155"/>
      <c r="AM398" s="1156"/>
      <c r="AN398" s="529"/>
      <c r="AO398" s="525"/>
      <c r="AP398" s="525">
        <f>'HIV-Key Info'!$I$84*(('HIV-Key Info'!$E$84*'HPM costs'!P119)+('HIV-Key Info'!$F$84*('HPM costs'!P122+'HPM costs'!P125)))</f>
        <v>0</v>
      </c>
      <c r="AQ398" s="525"/>
      <c r="AR398" s="525">
        <f>'HIV-Key Info'!$I$84*(('HIV-Key Info'!$E$84*'HPM costs'!Q119)+('HIV-Key Info'!$F$84*('HPM costs'!Q122+'HPM costs'!Q125)))</f>
        <v>0</v>
      </c>
      <c r="AS398" s="525"/>
      <c r="AT398" s="525">
        <f>'HIV-Key Info'!$I$84*(('HIV-Key Info'!$E$84*'HPM costs'!R119)+('HIV-Key Info'!$F$84*('HPM costs'!R122+'HPM costs'!R125)))</f>
        <v>0</v>
      </c>
      <c r="AU398" s="525"/>
      <c r="AV398" s="525">
        <f>'HIV-Key Info'!$I$84*(('HIV-Key Info'!$E$84*'HPM costs'!S119)+('HIV-Key Info'!$F$84*('HPM costs'!S122+'HPM costs'!S125)))</f>
        <v>0</v>
      </c>
      <c r="AW398" s="525"/>
      <c r="AX398" s="1154">
        <f t="shared" si="44"/>
        <v>0</v>
      </c>
      <c r="AY398" s="1154"/>
      <c r="AZ398" s="528"/>
      <c r="BA398" s="529"/>
      <c r="BB398" s="527"/>
      <c r="BC398" s="527">
        <v>0</v>
      </c>
      <c r="BD398" s="527">
        <v>0</v>
      </c>
      <c r="BE398" s="527">
        <v>0</v>
      </c>
      <c r="BF398" s="527">
        <v>0</v>
      </c>
      <c r="BG398" s="527">
        <v>0</v>
      </c>
      <c r="BH398" s="527">
        <v>0</v>
      </c>
      <c r="BI398" s="527">
        <v>0</v>
      </c>
      <c r="BJ398" s="527">
        <v>0</v>
      </c>
      <c r="BK398" s="1154">
        <f t="shared" si="45"/>
        <v>0</v>
      </c>
      <c r="BL398" s="1154"/>
      <c r="BM398" s="1154">
        <f t="shared" si="46"/>
        <v>0</v>
      </c>
      <c r="BN398" s="1154">
        <f t="shared" si="47"/>
        <v>0</v>
      </c>
      <c r="BO398" s="527"/>
      <c r="BP398" s="527"/>
      <c r="BQ398" s="1157" t="s">
        <v>2553</v>
      </c>
      <c r="BR398" s="1157" t="s">
        <v>690</v>
      </c>
      <c r="BS398" s="1157" t="s">
        <v>527</v>
      </c>
      <c r="BT398" s="1376" t="s">
        <v>1702</v>
      </c>
    </row>
    <row r="399" spans="1:72" s="1371" customFormat="1" ht="13">
      <c r="A399" s="1204">
        <v>955</v>
      </c>
      <c r="B399" s="1205" t="s">
        <v>672</v>
      </c>
      <c r="C399" s="1205" t="s">
        <v>675</v>
      </c>
      <c r="D399" s="1206" t="s">
        <v>2516</v>
      </c>
      <c r="E399" s="1386" t="s">
        <v>532</v>
      </c>
      <c r="F399" s="521"/>
      <c r="G399" s="522"/>
      <c r="H399" s="522"/>
      <c r="I399" s="522"/>
      <c r="J399" s="523"/>
      <c r="K399" s="523"/>
      <c r="L399" s="523"/>
      <c r="M399" s="524"/>
      <c r="N399" s="525"/>
      <c r="O399" s="526" t="s">
        <v>1237</v>
      </c>
      <c r="P399" s="525">
        <f>'HIV-Key Info'!$I$84*(('HIV-Key Info'!$E$84*'HPM costs'!F379)+('HIV-Key Info'!$F$84*('HPM costs'!F382+'HPM costs'!F385)))</f>
        <v>0</v>
      </c>
      <c r="Q399" s="525" t="s">
        <v>1237</v>
      </c>
      <c r="R399" s="525">
        <f>'HIV-Key Info'!$I$84*(('HIV-Key Info'!$E$84*'HPM costs'!G379)+('HIV-Key Info'!$F$84*('HPM costs'!G382+'HPM costs'!G385)))</f>
        <v>0</v>
      </c>
      <c r="S399" s="525" t="s">
        <v>1237</v>
      </c>
      <c r="T399" s="525">
        <f>'HIV-Key Info'!$I$84*(('HIV-Key Info'!$E$84*'HPM costs'!H379)+('HIV-Key Info'!$F$84*('HPM costs'!H382+'HPM costs'!H385)))</f>
        <v>0</v>
      </c>
      <c r="U399" s="525" t="s">
        <v>1237</v>
      </c>
      <c r="V399" s="525">
        <f>'HIV-Key Info'!$I$84*(('HIV-Key Info'!$E$84*'HPM costs'!I379)+('HIV-Key Info'!$F$84*('HPM costs'!I382+'HPM costs'!I385)))</f>
        <v>0</v>
      </c>
      <c r="W399" s="525"/>
      <c r="X399" s="1154">
        <f t="shared" si="42"/>
        <v>0</v>
      </c>
      <c r="Y399" s="1155"/>
      <c r="Z399" s="1156"/>
      <c r="AA399" s="529"/>
      <c r="AB399" s="525"/>
      <c r="AC399" s="525">
        <f>'HIV-Key Info'!$I$84*(('HIV-Key Info'!$E$84*'HPM costs'!K379)+('HIV-Key Info'!$F$84*('HPM costs'!K382+'HPM costs'!K385)))</f>
        <v>0</v>
      </c>
      <c r="AD399" s="525"/>
      <c r="AE399" s="525">
        <f>'HIV-Key Info'!$I$84*(('HIV-Key Info'!$E$84*'HPM costs'!L379)+('HIV-Key Info'!$F$84*('HPM costs'!L382+'HPM costs'!L385)))</f>
        <v>0</v>
      </c>
      <c r="AF399" s="525"/>
      <c r="AG399" s="525">
        <f>'HIV-Key Info'!$I$84*(('HIV-Key Info'!$E$84*'HPM costs'!M379)+('HIV-Key Info'!$F$84*('HPM costs'!M382+'HPM costs'!M385)))</f>
        <v>0</v>
      </c>
      <c r="AH399" s="525"/>
      <c r="AI399" s="525">
        <f>'HIV-Key Info'!$I$84*(('HIV-Key Info'!$E$84*'HPM costs'!N379)+('HIV-Key Info'!$F$84*('HPM costs'!N382+'HPM costs'!N385)))</f>
        <v>0</v>
      </c>
      <c r="AJ399" s="525"/>
      <c r="AK399" s="1154">
        <f t="shared" si="43"/>
        <v>0</v>
      </c>
      <c r="AL399" s="1155"/>
      <c r="AM399" s="1156"/>
      <c r="AN399" s="529"/>
      <c r="AO399" s="525"/>
      <c r="AP399" s="525">
        <f>'HIV-Key Info'!$I$84*(('HIV-Key Info'!$E$84*'HPM costs'!P379)+('HIV-Key Info'!$F$84*('HPM costs'!P382+'HPM costs'!P385)))</f>
        <v>0</v>
      </c>
      <c r="AQ399" s="525"/>
      <c r="AR399" s="525">
        <f>'HIV-Key Info'!$I$84*(('HIV-Key Info'!$E$84*'HPM costs'!Q379)+('HIV-Key Info'!$F$84*('HPM costs'!Q382+'HPM costs'!Q385)))</f>
        <v>0</v>
      </c>
      <c r="AS399" s="525"/>
      <c r="AT399" s="525">
        <f>'HIV-Key Info'!$I$84*(('HIV-Key Info'!$E$84*'HPM costs'!R379)+('HIV-Key Info'!$F$84*('HPM costs'!R382+'HPM costs'!R385)))</f>
        <v>0</v>
      </c>
      <c r="AU399" s="525"/>
      <c r="AV399" s="525">
        <f>'HIV-Key Info'!$I$84*(('HIV-Key Info'!$E$84*'HPM costs'!S379)+('HIV-Key Info'!$F$84*('HPM costs'!S382+'HPM costs'!S385)))</f>
        <v>0</v>
      </c>
      <c r="AW399" s="525"/>
      <c r="AX399" s="1154">
        <f t="shared" si="44"/>
        <v>0</v>
      </c>
      <c r="AY399" s="1154"/>
      <c r="AZ399" s="528"/>
      <c r="BA399" s="529"/>
      <c r="BB399" s="527"/>
      <c r="BC399" s="527">
        <v>0</v>
      </c>
      <c r="BD399" s="527">
        <v>0</v>
      </c>
      <c r="BE399" s="527">
        <v>0</v>
      </c>
      <c r="BF399" s="527">
        <v>0</v>
      </c>
      <c r="BG399" s="527">
        <v>0</v>
      </c>
      <c r="BH399" s="527">
        <v>0</v>
      </c>
      <c r="BI399" s="527">
        <v>0</v>
      </c>
      <c r="BJ399" s="527">
        <v>0</v>
      </c>
      <c r="BK399" s="1154">
        <f t="shared" si="45"/>
        <v>0</v>
      </c>
      <c r="BL399" s="1154"/>
      <c r="BM399" s="1154">
        <f t="shared" si="46"/>
        <v>0</v>
      </c>
      <c r="BN399" s="1154">
        <f t="shared" si="47"/>
        <v>0</v>
      </c>
      <c r="BO399" s="527"/>
      <c r="BP399" s="527"/>
      <c r="BQ399" s="1157" t="s">
        <v>2553</v>
      </c>
      <c r="BR399" s="1157" t="s">
        <v>690</v>
      </c>
      <c r="BS399" s="1157" t="s">
        <v>527</v>
      </c>
      <c r="BT399" s="1376" t="s">
        <v>1703</v>
      </c>
    </row>
    <row r="400" spans="1:72" s="1371" customFormat="1" ht="13">
      <c r="A400" s="1204">
        <v>956</v>
      </c>
      <c r="B400" s="1205" t="s">
        <v>672</v>
      </c>
      <c r="C400" s="1205" t="s">
        <v>675</v>
      </c>
      <c r="D400" s="1206" t="s">
        <v>2516</v>
      </c>
      <c r="E400" s="1386" t="s">
        <v>534</v>
      </c>
      <c r="F400" s="521"/>
      <c r="G400" s="522"/>
      <c r="H400" s="522"/>
      <c r="I400" s="522"/>
      <c r="J400" s="523"/>
      <c r="K400" s="523"/>
      <c r="L400" s="523"/>
      <c r="M400" s="524"/>
      <c r="N400" s="525"/>
      <c r="O400" s="526" t="s">
        <v>1237</v>
      </c>
      <c r="P400" s="525">
        <f>'HIV-Key Info'!$I$84*(('HIV-Key Info'!$E$84*'HPM costs'!F465)+('HIV-Key Info'!$F$84*('HPM costs'!F468+'HPM costs'!F471)))</f>
        <v>0</v>
      </c>
      <c r="Q400" s="525" t="s">
        <v>1237</v>
      </c>
      <c r="R400" s="525">
        <f>'HIV-Key Info'!$I$84*(('HIV-Key Info'!$E$84*'HPM costs'!G465)+('HIV-Key Info'!$F$84*('HPM costs'!G468+'HPM costs'!G471)))</f>
        <v>0</v>
      </c>
      <c r="S400" s="525" t="s">
        <v>1237</v>
      </c>
      <c r="T400" s="525">
        <f>'HIV-Key Info'!$I$84*(('HIV-Key Info'!$E$84*'HPM costs'!H465)+('HIV-Key Info'!$F$84*('HPM costs'!H468+'HPM costs'!H471)))</f>
        <v>0</v>
      </c>
      <c r="U400" s="525" t="s">
        <v>1237</v>
      </c>
      <c r="V400" s="525">
        <f>'HIV-Key Info'!$I$84*(('HIV-Key Info'!$E$84*'HPM costs'!I465)+('HIV-Key Info'!$F$84*('HPM costs'!I468+'HPM costs'!I471)))</f>
        <v>0</v>
      </c>
      <c r="W400" s="525"/>
      <c r="X400" s="1154">
        <f t="shared" si="42"/>
        <v>0</v>
      </c>
      <c r="Y400" s="1155"/>
      <c r="Z400" s="1156"/>
      <c r="AA400" s="529"/>
      <c r="AB400" s="525"/>
      <c r="AC400" s="525">
        <f>'HIV-Key Info'!$I$84*(('HIV-Key Info'!$E$84*'HPM costs'!K465)+('HIV-Key Info'!$F$84*('HPM costs'!K468+'HPM costs'!K471)))</f>
        <v>0</v>
      </c>
      <c r="AD400" s="525"/>
      <c r="AE400" s="525">
        <f>'HIV-Key Info'!$I$84*(('HIV-Key Info'!$E$84*'HPM costs'!L465)+('HIV-Key Info'!$F$84*('HPM costs'!L468+'HPM costs'!L471)))</f>
        <v>0</v>
      </c>
      <c r="AF400" s="525"/>
      <c r="AG400" s="525">
        <f>'HIV-Key Info'!$I$84*(('HIV-Key Info'!$E$84*'HPM costs'!M465)+('HIV-Key Info'!$F$84*('HPM costs'!M468+'HPM costs'!M471)))</f>
        <v>0</v>
      </c>
      <c r="AH400" s="525"/>
      <c r="AI400" s="525">
        <f>'HIV-Key Info'!$I$84*(('HIV-Key Info'!$E$84*'HPM costs'!N465)+('HIV-Key Info'!$F$84*('HPM costs'!N468+'HPM costs'!N471)))</f>
        <v>0</v>
      </c>
      <c r="AJ400" s="525"/>
      <c r="AK400" s="1154">
        <f t="shared" si="43"/>
        <v>0</v>
      </c>
      <c r="AL400" s="1155"/>
      <c r="AM400" s="1156"/>
      <c r="AN400" s="529"/>
      <c r="AO400" s="525"/>
      <c r="AP400" s="525">
        <f>'HIV-Key Info'!$I$84*(('HIV-Key Info'!$E$84*'HPM costs'!P465)+('HIV-Key Info'!$F$84*('HPM costs'!P468+'HPM costs'!P471)))</f>
        <v>0</v>
      </c>
      <c r="AQ400" s="525"/>
      <c r="AR400" s="525">
        <f>'HIV-Key Info'!$I$84*(('HIV-Key Info'!$E$84*'HPM costs'!Q465)+('HIV-Key Info'!$F$84*('HPM costs'!Q468+'HPM costs'!Q471)))</f>
        <v>0</v>
      </c>
      <c r="AS400" s="525"/>
      <c r="AT400" s="525">
        <f>'HIV-Key Info'!$I$84*(('HIV-Key Info'!$E$84*'HPM costs'!R465)+('HIV-Key Info'!$F$84*('HPM costs'!R468+'HPM costs'!R471)))</f>
        <v>0</v>
      </c>
      <c r="AU400" s="525"/>
      <c r="AV400" s="525">
        <f>'HIV-Key Info'!$I$84*(('HIV-Key Info'!$E$84*'HPM costs'!S465)+('HIV-Key Info'!$F$84*('HPM costs'!S468+'HPM costs'!S471)))</f>
        <v>0</v>
      </c>
      <c r="AW400" s="525"/>
      <c r="AX400" s="1154">
        <f t="shared" si="44"/>
        <v>0</v>
      </c>
      <c r="AY400" s="1154"/>
      <c r="AZ400" s="528"/>
      <c r="BA400" s="529"/>
      <c r="BB400" s="527"/>
      <c r="BC400" s="527">
        <v>0</v>
      </c>
      <c r="BD400" s="527">
        <v>0</v>
      </c>
      <c r="BE400" s="527">
        <v>0</v>
      </c>
      <c r="BF400" s="527">
        <v>0</v>
      </c>
      <c r="BG400" s="527">
        <v>0</v>
      </c>
      <c r="BH400" s="527">
        <v>0</v>
      </c>
      <c r="BI400" s="527">
        <v>0</v>
      </c>
      <c r="BJ400" s="527">
        <v>0</v>
      </c>
      <c r="BK400" s="1154">
        <f t="shared" si="45"/>
        <v>0</v>
      </c>
      <c r="BL400" s="1154"/>
      <c r="BM400" s="1154">
        <f t="shared" si="46"/>
        <v>0</v>
      </c>
      <c r="BN400" s="1154">
        <f t="shared" si="47"/>
        <v>0</v>
      </c>
      <c r="BO400" s="527"/>
      <c r="BP400" s="527"/>
      <c r="BQ400" s="1157" t="s">
        <v>2553</v>
      </c>
      <c r="BR400" s="1157" t="s">
        <v>690</v>
      </c>
      <c r="BS400" s="1157" t="s">
        <v>527</v>
      </c>
      <c r="BT400" s="1376" t="s">
        <v>1704</v>
      </c>
    </row>
    <row r="401" spans="1:72" s="1371" customFormat="1" ht="13">
      <c r="A401" s="1204">
        <v>957</v>
      </c>
      <c r="B401" s="1205" t="s">
        <v>672</v>
      </c>
      <c r="C401" s="1205" t="s">
        <v>675</v>
      </c>
      <c r="D401" s="1206" t="s">
        <v>2516</v>
      </c>
      <c r="E401" s="1386" t="s">
        <v>536</v>
      </c>
      <c r="F401" s="521"/>
      <c r="G401" s="522"/>
      <c r="H401" s="522"/>
      <c r="I401" s="522"/>
      <c r="J401" s="523"/>
      <c r="K401" s="523"/>
      <c r="L401" s="523"/>
      <c r="M401" s="524"/>
      <c r="N401" s="525"/>
      <c r="O401" s="526" t="s">
        <v>1237</v>
      </c>
      <c r="P401" s="525">
        <f>'HIV-Key Info'!$I$84*(('HIV-Key Info'!$E$84*('HPM costs'!F205+'HPM costs'!F551))+('HIV-Key Info'!$F$84*('HPM costs'!F208+'HPM costs'!F211+'HPM costs'!F554+'HPM costs'!F557)))</f>
        <v>0</v>
      </c>
      <c r="Q401" s="525" t="s">
        <v>1237</v>
      </c>
      <c r="R401" s="525">
        <f>'HIV-Key Info'!$I$84*(('HIV-Key Info'!$E$84*('HPM costs'!G205+'HPM costs'!G551))+('HIV-Key Info'!$F$84*('HPM costs'!G208+'HPM costs'!G211+'HPM costs'!G554+'HPM costs'!G557)))</f>
        <v>0</v>
      </c>
      <c r="S401" s="525" t="s">
        <v>1237</v>
      </c>
      <c r="T401" s="525">
        <f>'HIV-Key Info'!$I$84*(('HIV-Key Info'!$E$84*('HPM costs'!H205+'HPM costs'!H551))+('HIV-Key Info'!$F$84*('HPM costs'!H208+'HPM costs'!H211+'HPM costs'!H554+'HPM costs'!H557)))</f>
        <v>0</v>
      </c>
      <c r="U401" s="525" t="s">
        <v>1237</v>
      </c>
      <c r="V401" s="525">
        <f>'HIV-Key Info'!$I$84*(('HIV-Key Info'!$E$84*('HPM costs'!I205+'HPM costs'!I551))+('HIV-Key Info'!$F$84*('HPM costs'!I208+'HPM costs'!I211+'HPM costs'!I554+'HPM costs'!I557)))</f>
        <v>0</v>
      </c>
      <c r="W401" s="525"/>
      <c r="X401" s="1154">
        <f t="shared" si="42"/>
        <v>0</v>
      </c>
      <c r="Y401" s="1155"/>
      <c r="Z401" s="1156"/>
      <c r="AA401" s="529"/>
      <c r="AB401" s="525"/>
      <c r="AC401" s="525">
        <f>'HIV-Key Info'!$I$84*(('HIV-Key Info'!$E$84*('HPM costs'!K205+'HPM costs'!K551))+('HIV-Key Info'!$F$84*('HPM costs'!K208+'HPM costs'!K211+'HPM costs'!K554+'HPM costs'!K557)))</f>
        <v>0</v>
      </c>
      <c r="AD401" s="525"/>
      <c r="AE401" s="525">
        <f>'HIV-Key Info'!$I$84*(('HIV-Key Info'!$E$84*('HPM costs'!L205+'HPM costs'!L551))+('HIV-Key Info'!$F$84*('HPM costs'!L208+'HPM costs'!L211+'HPM costs'!L554+'HPM costs'!L557)))</f>
        <v>0</v>
      </c>
      <c r="AF401" s="525"/>
      <c r="AG401" s="525">
        <f>'HIV-Key Info'!$I$84*(('HIV-Key Info'!$E$84*('HPM costs'!M205+'HPM costs'!M551))+('HIV-Key Info'!$F$84*('HPM costs'!M208+'HPM costs'!M211+'HPM costs'!M554+'HPM costs'!M557)))</f>
        <v>0</v>
      </c>
      <c r="AH401" s="525"/>
      <c r="AI401" s="525">
        <f>'HIV-Key Info'!$I$84*(('HIV-Key Info'!$E$84*('HPM costs'!N205+'HPM costs'!N551))+('HIV-Key Info'!$F$84*('HPM costs'!N208+'HPM costs'!N211+'HPM costs'!N554+'HPM costs'!N557)))</f>
        <v>0</v>
      </c>
      <c r="AJ401" s="525"/>
      <c r="AK401" s="1154">
        <f t="shared" si="43"/>
        <v>0</v>
      </c>
      <c r="AL401" s="1155"/>
      <c r="AM401" s="1156"/>
      <c r="AN401" s="529"/>
      <c r="AO401" s="525"/>
      <c r="AP401" s="525">
        <f>'HIV-Key Info'!$I$84*(('HIV-Key Info'!$E$84*('HPM costs'!P205+'HPM costs'!P551))+('HIV-Key Info'!$F$84*('HPM costs'!P208+'HPM costs'!P211+'HPM costs'!P554+'HPM costs'!P557)))</f>
        <v>0</v>
      </c>
      <c r="AQ401" s="525"/>
      <c r="AR401" s="525">
        <f>'HIV-Key Info'!$I$84*(('HIV-Key Info'!$E$84*('HPM costs'!Q205+'HPM costs'!Q551))+('HIV-Key Info'!$F$84*('HPM costs'!Q208+'HPM costs'!Q211+'HPM costs'!Q554+'HPM costs'!Q557)))</f>
        <v>0</v>
      </c>
      <c r="AS401" s="525"/>
      <c r="AT401" s="525">
        <f>'HIV-Key Info'!$I$84*(('HIV-Key Info'!$E$84*('HPM costs'!R205+'HPM costs'!R551))+('HIV-Key Info'!$F$84*('HPM costs'!R208+'HPM costs'!R211+'HPM costs'!R554+'HPM costs'!R557)))</f>
        <v>0</v>
      </c>
      <c r="AU401" s="525"/>
      <c r="AV401" s="525">
        <f>'HIV-Key Info'!$I$84*(('HIV-Key Info'!$E$84*('HPM costs'!S205+'HPM costs'!S551))+('HIV-Key Info'!$F$84*('HPM costs'!S208+'HPM costs'!S211+'HPM costs'!S554+'HPM costs'!S557)))</f>
        <v>0</v>
      </c>
      <c r="AW401" s="525"/>
      <c r="AX401" s="1154">
        <f t="shared" si="44"/>
        <v>0</v>
      </c>
      <c r="AY401" s="1154"/>
      <c r="AZ401" s="528"/>
      <c r="BA401" s="529"/>
      <c r="BB401" s="527"/>
      <c r="BC401" s="527">
        <v>0</v>
      </c>
      <c r="BD401" s="527">
        <v>0</v>
      </c>
      <c r="BE401" s="527">
        <v>0</v>
      </c>
      <c r="BF401" s="527">
        <v>0</v>
      </c>
      <c r="BG401" s="527">
        <v>0</v>
      </c>
      <c r="BH401" s="527">
        <v>0</v>
      </c>
      <c r="BI401" s="527">
        <v>0</v>
      </c>
      <c r="BJ401" s="527">
        <v>0</v>
      </c>
      <c r="BK401" s="1154">
        <f t="shared" si="45"/>
        <v>0</v>
      </c>
      <c r="BL401" s="1154"/>
      <c r="BM401" s="1154">
        <f t="shared" si="46"/>
        <v>0</v>
      </c>
      <c r="BN401" s="1154">
        <f t="shared" si="47"/>
        <v>0</v>
      </c>
      <c r="BO401" s="527"/>
      <c r="BP401" s="527"/>
      <c r="BQ401" s="1157" t="s">
        <v>2553</v>
      </c>
      <c r="BR401" s="1157" t="s">
        <v>690</v>
      </c>
      <c r="BS401" s="1157" t="s">
        <v>527</v>
      </c>
      <c r="BT401" s="1376" t="s">
        <v>1705</v>
      </c>
    </row>
    <row r="402" spans="1:72" s="1371" customFormat="1" ht="13">
      <c r="A402" s="1204">
        <v>958</v>
      </c>
      <c r="B402" s="1205" t="s">
        <v>672</v>
      </c>
      <c r="C402" s="1205" t="s">
        <v>675</v>
      </c>
      <c r="D402" s="1206" t="s">
        <v>2516</v>
      </c>
      <c r="E402" s="1386" t="s">
        <v>538</v>
      </c>
      <c r="F402" s="521"/>
      <c r="G402" s="522"/>
      <c r="H402" s="522"/>
      <c r="I402" s="522"/>
      <c r="J402" s="523"/>
      <c r="K402" s="523"/>
      <c r="L402" s="523"/>
      <c r="M402" s="524"/>
      <c r="N402" s="525"/>
      <c r="O402" s="526" t="s">
        <v>1237</v>
      </c>
      <c r="P402" s="525">
        <f>'HIV-Key Info'!$I$84*(('HIV-Key Info'!$E$84*'HPM costs'!F291)+('HIV-Key Info'!$F$84*('HPM costs'!F294+'HPM costs'!F297)))</f>
        <v>0</v>
      </c>
      <c r="Q402" s="525" t="s">
        <v>1237</v>
      </c>
      <c r="R402" s="525">
        <f>'HIV-Key Info'!$I$84*(('HIV-Key Info'!$E$84*'HPM costs'!G291)+('HIV-Key Info'!$F$84*('HPM costs'!G294+'HPM costs'!G297)))</f>
        <v>0</v>
      </c>
      <c r="S402" s="525" t="s">
        <v>1237</v>
      </c>
      <c r="T402" s="525">
        <f>'HIV-Key Info'!$I$84*(('HIV-Key Info'!$E$84*'HPM costs'!H291)+('HIV-Key Info'!$F$84*('HPM costs'!H294+'HPM costs'!H297)))</f>
        <v>0</v>
      </c>
      <c r="U402" s="525" t="s">
        <v>1237</v>
      </c>
      <c r="V402" s="525">
        <f>'HIV-Key Info'!$I$84*(('HIV-Key Info'!$E$84*'HPM costs'!I291)+('HIV-Key Info'!$F$84*('HPM costs'!I294+'HPM costs'!I297)))</f>
        <v>0</v>
      </c>
      <c r="W402" s="525"/>
      <c r="X402" s="1154">
        <f t="shared" si="42"/>
        <v>0</v>
      </c>
      <c r="Y402" s="1155"/>
      <c r="Z402" s="1156"/>
      <c r="AA402" s="529"/>
      <c r="AB402" s="525"/>
      <c r="AC402" s="525">
        <f>'HIV-Key Info'!$I$84*(('HIV-Key Info'!$E$84*'HPM costs'!K291)+('HIV-Key Info'!$F$84*('HPM costs'!K294+'HPM costs'!K297)))</f>
        <v>0</v>
      </c>
      <c r="AD402" s="525"/>
      <c r="AE402" s="525">
        <f>'HIV-Key Info'!$I$84*(('HIV-Key Info'!$E$84*'HPM costs'!L291)+('HIV-Key Info'!$F$84*('HPM costs'!L294+'HPM costs'!L297)))</f>
        <v>0</v>
      </c>
      <c r="AF402" s="525"/>
      <c r="AG402" s="525">
        <f>'HIV-Key Info'!$I$84*(('HIV-Key Info'!$E$84*'HPM costs'!M291)+('HIV-Key Info'!$F$84*('HPM costs'!M294+'HPM costs'!M297)))</f>
        <v>0</v>
      </c>
      <c r="AH402" s="525"/>
      <c r="AI402" s="525">
        <f>'HIV-Key Info'!$I$84*(('HIV-Key Info'!$E$84*'HPM costs'!N291)+('HIV-Key Info'!$F$84*('HPM costs'!N294+'HPM costs'!N297)))</f>
        <v>0</v>
      </c>
      <c r="AJ402" s="525"/>
      <c r="AK402" s="1154">
        <f t="shared" si="43"/>
        <v>0</v>
      </c>
      <c r="AL402" s="1155"/>
      <c r="AM402" s="1156"/>
      <c r="AN402" s="529"/>
      <c r="AO402" s="525"/>
      <c r="AP402" s="525">
        <f>'HIV-Key Info'!$I$84*(('HIV-Key Info'!$E$84*'HPM costs'!P291)+('HIV-Key Info'!$F$84*('HPM costs'!P294+'HPM costs'!P297)))</f>
        <v>0</v>
      </c>
      <c r="AQ402" s="525"/>
      <c r="AR402" s="525">
        <f>'HIV-Key Info'!$I$84*(('HIV-Key Info'!$E$84*'HPM costs'!Q291)+('HIV-Key Info'!$F$84*('HPM costs'!Q294+'HPM costs'!Q297)))</f>
        <v>0</v>
      </c>
      <c r="AS402" s="525"/>
      <c r="AT402" s="525">
        <f>'HIV-Key Info'!$I$84*(('HIV-Key Info'!$E$84*'HPM costs'!R291)+('HIV-Key Info'!$F$84*('HPM costs'!R294+'HPM costs'!R297)))</f>
        <v>0</v>
      </c>
      <c r="AU402" s="525"/>
      <c r="AV402" s="525">
        <f>'HIV-Key Info'!$I$84*(('HIV-Key Info'!$E$84*'HPM costs'!S291)+('HIV-Key Info'!$F$84*('HPM costs'!S294+'HPM costs'!S297)))</f>
        <v>0</v>
      </c>
      <c r="AW402" s="525"/>
      <c r="AX402" s="1154">
        <f t="shared" si="44"/>
        <v>0</v>
      </c>
      <c r="AY402" s="1154"/>
      <c r="AZ402" s="528"/>
      <c r="BA402" s="529"/>
      <c r="BB402" s="527"/>
      <c r="BC402" s="527">
        <v>0</v>
      </c>
      <c r="BD402" s="527">
        <v>0</v>
      </c>
      <c r="BE402" s="527">
        <v>0</v>
      </c>
      <c r="BF402" s="527">
        <v>0</v>
      </c>
      <c r="BG402" s="527">
        <v>0</v>
      </c>
      <c r="BH402" s="527">
        <v>0</v>
      </c>
      <c r="BI402" s="527">
        <v>0</v>
      </c>
      <c r="BJ402" s="527">
        <v>0</v>
      </c>
      <c r="BK402" s="1154">
        <f t="shared" si="45"/>
        <v>0</v>
      </c>
      <c r="BL402" s="1154"/>
      <c r="BM402" s="1154">
        <f t="shared" si="46"/>
        <v>0</v>
      </c>
      <c r="BN402" s="1154">
        <f t="shared" si="47"/>
        <v>0</v>
      </c>
      <c r="BO402" s="527"/>
      <c r="BP402" s="527"/>
      <c r="BQ402" s="1157" t="s">
        <v>2553</v>
      </c>
      <c r="BR402" s="1157" t="s">
        <v>690</v>
      </c>
      <c r="BS402" s="1157" t="s">
        <v>527</v>
      </c>
      <c r="BT402" s="1376" t="s">
        <v>1706</v>
      </c>
    </row>
    <row r="403" spans="1:72" s="1371" customFormat="1" ht="13">
      <c r="A403" s="1204">
        <v>959</v>
      </c>
      <c r="B403" s="1205" t="s">
        <v>672</v>
      </c>
      <c r="C403" s="1205" t="s">
        <v>675</v>
      </c>
      <c r="D403" s="1206" t="s">
        <v>2516</v>
      </c>
      <c r="E403" s="1386" t="s">
        <v>540</v>
      </c>
      <c r="F403" s="521"/>
      <c r="G403" s="522"/>
      <c r="H403" s="522"/>
      <c r="I403" s="522"/>
      <c r="J403" s="523"/>
      <c r="K403" s="523"/>
      <c r="L403" s="523"/>
      <c r="M403" s="524"/>
      <c r="N403" s="525"/>
      <c r="O403" s="526" t="s">
        <v>1237</v>
      </c>
      <c r="P403" s="525">
        <f>'HIV-Key Info'!$I$84*(('HIV-Key Info'!$E$84*'HPM costs'!F636)+('HIV-Key Info'!$F$84*('HPM costs'!F639+'HPM costs'!F642)))</f>
        <v>0</v>
      </c>
      <c r="Q403" s="525" t="s">
        <v>1237</v>
      </c>
      <c r="R403" s="525">
        <f>'HIV-Key Info'!$I$84*(('HIV-Key Info'!$E$84*'HPM costs'!G636)+('HIV-Key Info'!$F$84*('HPM costs'!G639+'HPM costs'!G642)))</f>
        <v>0</v>
      </c>
      <c r="S403" s="525" t="s">
        <v>1237</v>
      </c>
      <c r="T403" s="525">
        <f>'HIV-Key Info'!$I$84*(('HIV-Key Info'!$E$84*'HPM costs'!H636)+('HIV-Key Info'!$F$84*('HPM costs'!H639+'HPM costs'!H642)))</f>
        <v>0</v>
      </c>
      <c r="U403" s="525" t="s">
        <v>1237</v>
      </c>
      <c r="V403" s="525">
        <f>'HIV-Key Info'!$I$84*(('HIV-Key Info'!$E$84*'HPM costs'!I636)+('HIV-Key Info'!$F$84*('HPM costs'!I639+'HPM costs'!I642)))</f>
        <v>0</v>
      </c>
      <c r="W403" s="525"/>
      <c r="X403" s="1154">
        <f t="shared" si="42"/>
        <v>0</v>
      </c>
      <c r="Y403" s="1155"/>
      <c r="Z403" s="1156"/>
      <c r="AA403" s="529"/>
      <c r="AB403" s="525"/>
      <c r="AC403" s="525">
        <f>'HIV-Key Info'!$I$84*(('HIV-Key Info'!$E$84*'HPM costs'!K636)+('HIV-Key Info'!$F$84*('HPM costs'!K639+'HPM costs'!K642)))</f>
        <v>0</v>
      </c>
      <c r="AD403" s="525"/>
      <c r="AE403" s="525">
        <f>'HIV-Key Info'!$I$84*(('HIV-Key Info'!$E$84*'HPM costs'!L636)+('HIV-Key Info'!$F$84*('HPM costs'!L639+'HPM costs'!L642)))</f>
        <v>0</v>
      </c>
      <c r="AF403" s="525"/>
      <c r="AG403" s="525">
        <f>'HIV-Key Info'!$I$84*(('HIV-Key Info'!$E$84*'HPM costs'!M636)+('HIV-Key Info'!$F$84*('HPM costs'!M639+'HPM costs'!M642)))</f>
        <v>0</v>
      </c>
      <c r="AH403" s="525"/>
      <c r="AI403" s="525">
        <f>'HIV-Key Info'!$I$84*(('HIV-Key Info'!$E$84*'HPM costs'!N636)+('HIV-Key Info'!$F$84*('HPM costs'!N639+'HPM costs'!N642)))</f>
        <v>0</v>
      </c>
      <c r="AJ403" s="525"/>
      <c r="AK403" s="1154">
        <f t="shared" si="43"/>
        <v>0</v>
      </c>
      <c r="AL403" s="1155"/>
      <c r="AM403" s="1156"/>
      <c r="AN403" s="529"/>
      <c r="AO403" s="525"/>
      <c r="AP403" s="525">
        <f>'HIV-Key Info'!$I$84*(('HIV-Key Info'!$E$84*'HPM costs'!P636)+('HIV-Key Info'!$F$84*('HPM costs'!P639+'HPM costs'!P642)))</f>
        <v>0</v>
      </c>
      <c r="AQ403" s="525"/>
      <c r="AR403" s="525">
        <f>'HIV-Key Info'!$I$84*(('HIV-Key Info'!$E$84*'HPM costs'!Q636)+('HIV-Key Info'!$F$84*('HPM costs'!Q639+'HPM costs'!Q642)))</f>
        <v>0</v>
      </c>
      <c r="AS403" s="525"/>
      <c r="AT403" s="525">
        <f>'HIV-Key Info'!$I$84*(('HIV-Key Info'!$E$84*'HPM costs'!R636)+('HIV-Key Info'!$F$84*('HPM costs'!R639+'HPM costs'!R642)))</f>
        <v>0</v>
      </c>
      <c r="AU403" s="525"/>
      <c r="AV403" s="525">
        <f>'HIV-Key Info'!$I$84*(('HIV-Key Info'!$E$84*'HPM costs'!S636)+('HIV-Key Info'!$F$84*('HPM costs'!S639+'HPM costs'!S642)))</f>
        <v>0</v>
      </c>
      <c r="AW403" s="525"/>
      <c r="AX403" s="1154">
        <f t="shared" si="44"/>
        <v>0</v>
      </c>
      <c r="AY403" s="1154"/>
      <c r="AZ403" s="528"/>
      <c r="BA403" s="529"/>
      <c r="BB403" s="527"/>
      <c r="BC403" s="527">
        <v>0</v>
      </c>
      <c r="BD403" s="527">
        <v>0</v>
      </c>
      <c r="BE403" s="527">
        <v>0</v>
      </c>
      <c r="BF403" s="527">
        <v>0</v>
      </c>
      <c r="BG403" s="527">
        <v>0</v>
      </c>
      <c r="BH403" s="527">
        <v>0</v>
      </c>
      <c r="BI403" s="527">
        <v>0</v>
      </c>
      <c r="BJ403" s="527">
        <v>0</v>
      </c>
      <c r="BK403" s="1154">
        <f t="shared" si="45"/>
        <v>0</v>
      </c>
      <c r="BL403" s="1154"/>
      <c r="BM403" s="1154">
        <f t="shared" si="46"/>
        <v>0</v>
      </c>
      <c r="BN403" s="1154">
        <f t="shared" si="47"/>
        <v>0</v>
      </c>
      <c r="BO403" s="527"/>
      <c r="BP403" s="527"/>
      <c r="BQ403" s="1157" t="s">
        <v>2553</v>
      </c>
      <c r="BR403" s="1157" t="s">
        <v>690</v>
      </c>
      <c r="BS403" s="1157" t="s">
        <v>527</v>
      </c>
      <c r="BT403" s="1376" t="s">
        <v>1707</v>
      </c>
    </row>
    <row r="404" spans="1:72" s="1371" customFormat="1" ht="13">
      <c r="A404" s="1204">
        <v>960</v>
      </c>
      <c r="B404" s="1205" t="s">
        <v>672</v>
      </c>
      <c r="C404" s="1205" t="s">
        <v>673</v>
      </c>
      <c r="D404" s="1206" t="s">
        <v>2576</v>
      </c>
      <c r="E404" s="1386" t="s">
        <v>603</v>
      </c>
      <c r="F404" s="521"/>
      <c r="G404" s="522"/>
      <c r="H404" s="522"/>
      <c r="I404" s="522"/>
      <c r="J404" s="523"/>
      <c r="K404" s="523"/>
      <c r="L404" s="523"/>
      <c r="M404" s="524"/>
      <c r="N404" s="525"/>
      <c r="O404" s="526" t="s">
        <v>1237</v>
      </c>
      <c r="P404" s="525">
        <f>'HIV-Key Info'!$G$86*('HIV-Key Info'!$E$86*('HPM costs'!F119/'HPM costs'!$E$119)+'HIV-Key Info'!$F$86*('HPM costs'!F125/'HPM costs'!$E$125+'HPM costs'!F122/'HPM costs'!$E$122))</f>
        <v>0</v>
      </c>
      <c r="Q404" s="525" t="s">
        <v>1237</v>
      </c>
      <c r="R404" s="525">
        <f>'HIV-Key Info'!$G$86*('HIV-Key Info'!$E$86*('HPM costs'!G119/'HPM costs'!$E$119)+'HIV-Key Info'!$F$86*('HPM costs'!G125/'HPM costs'!$E$125+'HPM costs'!G122/'HPM costs'!$E$122))</f>
        <v>2819.8744399999996</v>
      </c>
      <c r="S404" s="525" t="s">
        <v>1237</v>
      </c>
      <c r="T404" s="525">
        <f>'HIV-Key Info'!$G$86*('HIV-Key Info'!$E$86*('HPM costs'!H119/'HPM costs'!$E$119)+'HIV-Key Info'!$F$86*('HPM costs'!H125/'HPM costs'!$E$125+'HPM costs'!H122/'HPM costs'!$E$122))</f>
        <v>0</v>
      </c>
      <c r="U404" s="525" t="s">
        <v>1237</v>
      </c>
      <c r="V404" s="525">
        <f>'HIV-Key Info'!$G$86*('HIV-Key Info'!$E$86*('HPM costs'!I119/'HPM costs'!$E$119)+'HIV-Key Info'!$F$86*('HPM costs'!I125/'HPM costs'!$E$125+'HPM costs'!I122/'HPM costs'!$E$122))</f>
        <v>0</v>
      </c>
      <c r="W404" s="525"/>
      <c r="X404" s="1154">
        <f t="shared" si="42"/>
        <v>2819.8744399999996</v>
      </c>
      <c r="Y404" s="1155"/>
      <c r="Z404" s="1156"/>
      <c r="AA404" s="529"/>
      <c r="AB404" s="525"/>
      <c r="AC404" s="525">
        <f>'HIV-Key Info'!$G$86*('HIV-Key Info'!$E$86*('HPM costs'!K119/'HPM costs'!$E$119)+'HIV-Key Info'!$F$86*('HPM costs'!K125/'HPM costs'!$E$125+'HPM costs'!K122/'HPM costs'!$E$122))</f>
        <v>0</v>
      </c>
      <c r="AD404" s="525"/>
      <c r="AE404" s="525">
        <f>'HIV-Key Info'!$G$86*('HIV-Key Info'!$E$86*('HPM costs'!L119/'HPM costs'!$E$119)+'HIV-Key Info'!$F$86*('HPM costs'!L125/'HPM costs'!$E$125+'HPM costs'!L122/'HPM costs'!$E$122))</f>
        <v>2950.7927710000004</v>
      </c>
      <c r="AF404" s="525"/>
      <c r="AG404" s="525">
        <f>'HIV-Key Info'!$G$86*('HIV-Key Info'!$E$86*('HPM costs'!M119/'HPM costs'!$E$119)+'HIV-Key Info'!$F$86*('HPM costs'!M125/'HPM costs'!$E$125+'HPM costs'!M122/'HPM costs'!$E$122))</f>
        <v>0</v>
      </c>
      <c r="AH404" s="525"/>
      <c r="AI404" s="525">
        <f>'HIV-Key Info'!$G$86*('HIV-Key Info'!$E$86*('HPM costs'!N119/'HPM costs'!$E$119)+'HIV-Key Info'!$F$86*('HPM costs'!N125/'HPM costs'!$E$125+'HPM costs'!N122/'HPM costs'!$E$122))</f>
        <v>0</v>
      </c>
      <c r="AJ404" s="525"/>
      <c r="AK404" s="1154">
        <f t="shared" si="43"/>
        <v>2950.7927710000004</v>
      </c>
      <c r="AL404" s="1155"/>
      <c r="AM404" s="1156"/>
      <c r="AN404" s="529"/>
      <c r="AO404" s="525"/>
      <c r="AP404" s="525">
        <f>'HIV-Key Info'!$G$86*('HIV-Key Info'!$E$86*('HPM costs'!P119/'HPM costs'!$E$119)+'HIV-Key Info'!$F$86*('HPM costs'!P125/'HPM costs'!$E$125+'HPM costs'!P122/'HPM costs'!$E$122))</f>
        <v>0</v>
      </c>
      <c r="AQ404" s="525"/>
      <c r="AR404" s="525">
        <f>'HIV-Key Info'!$G$86*('HIV-Key Info'!$E$86*('HPM costs'!Q119/'HPM costs'!$E$119)+'HIV-Key Info'!$F$86*('HPM costs'!Q125/'HPM costs'!$E$125+'HPM costs'!Q122/'HPM costs'!$E$122))</f>
        <v>3139.2289209999999</v>
      </c>
      <c r="AS404" s="525"/>
      <c r="AT404" s="525">
        <f>'HIV-Key Info'!$G$86*('HIV-Key Info'!$E$86*('HPM costs'!R119/'HPM costs'!$E$119)+'HIV-Key Info'!$F$86*('HPM costs'!R125/'HPM costs'!$E$125+'HPM costs'!R122/'HPM costs'!$E$122))</f>
        <v>0</v>
      </c>
      <c r="AU404" s="525"/>
      <c r="AV404" s="525">
        <f>'HIV-Key Info'!$G$86*('HIV-Key Info'!$E$86*('HPM costs'!S119/'HPM costs'!$E$119)+'HIV-Key Info'!$F$86*('HPM costs'!S125/'HPM costs'!$E$125+'HPM costs'!S122/'HPM costs'!$E$122))</f>
        <v>0</v>
      </c>
      <c r="AW404" s="525"/>
      <c r="AX404" s="1154">
        <f t="shared" si="44"/>
        <v>3139.2289209999999</v>
      </c>
      <c r="AY404" s="1154"/>
      <c r="AZ404" s="528"/>
      <c r="BA404" s="529"/>
      <c r="BB404" s="527"/>
      <c r="BC404" s="527">
        <v>0</v>
      </c>
      <c r="BD404" s="527">
        <v>0</v>
      </c>
      <c r="BE404" s="527">
        <v>0</v>
      </c>
      <c r="BF404" s="527">
        <v>0</v>
      </c>
      <c r="BG404" s="527">
        <v>0</v>
      </c>
      <c r="BH404" s="527">
        <v>0</v>
      </c>
      <c r="BI404" s="527">
        <v>0</v>
      </c>
      <c r="BJ404" s="527">
        <v>0</v>
      </c>
      <c r="BK404" s="1154">
        <f t="shared" si="45"/>
        <v>0</v>
      </c>
      <c r="BL404" s="1154"/>
      <c r="BM404" s="1154">
        <f t="shared" si="46"/>
        <v>0</v>
      </c>
      <c r="BN404" s="1154">
        <f t="shared" si="47"/>
        <v>8909.8961319999999</v>
      </c>
      <c r="BO404" s="527"/>
      <c r="BP404" s="527" t="s">
        <v>4298</v>
      </c>
      <c r="BQ404" s="1157" t="s">
        <v>2554</v>
      </c>
      <c r="BR404" s="1157" t="s">
        <v>690</v>
      </c>
      <c r="BS404" s="1157" t="s">
        <v>2570</v>
      </c>
      <c r="BT404" s="1376" t="s">
        <v>1708</v>
      </c>
    </row>
    <row r="405" spans="1:72" s="1371" customFormat="1" ht="13">
      <c r="A405" s="1204">
        <v>961</v>
      </c>
      <c r="B405" s="1205" t="s">
        <v>672</v>
      </c>
      <c r="C405" s="1205" t="s">
        <v>673</v>
      </c>
      <c r="D405" s="1206" t="s">
        <v>2518</v>
      </c>
      <c r="E405" s="1386" t="s">
        <v>528</v>
      </c>
      <c r="F405" s="521"/>
      <c r="G405" s="522"/>
      <c r="H405" s="522"/>
      <c r="I405" s="522"/>
      <c r="J405" s="523"/>
      <c r="K405" s="523"/>
      <c r="L405" s="523"/>
      <c r="M405" s="524"/>
      <c r="N405" s="525"/>
      <c r="O405" s="526" t="s">
        <v>1237</v>
      </c>
      <c r="P405" s="525">
        <f>'HIV-Key Info'!$G$86*(('HIV-Key Info'!$E$86*'HPM costs'!F33)+('HIV-Key Info'!$F$86*('HPM costs'!F36+'HPM costs'!F39)))</f>
        <v>0</v>
      </c>
      <c r="Q405" s="525" t="s">
        <v>1237</v>
      </c>
      <c r="R405" s="525">
        <f>'HIV-Key Info'!$G$86*(('HIV-Key Info'!$E$86*'HPM costs'!G33)+('HIV-Key Info'!$F$86*('HPM costs'!G36+'HPM costs'!G39)))</f>
        <v>169.19246639999997</v>
      </c>
      <c r="S405" s="525" t="s">
        <v>1237</v>
      </c>
      <c r="T405" s="525">
        <f>'HIV-Key Info'!$G$86*(('HIV-Key Info'!$E$86*'HPM costs'!H33)+('HIV-Key Info'!$F$86*('HPM costs'!H36+'HPM costs'!H39)))</f>
        <v>0</v>
      </c>
      <c r="U405" s="525" t="s">
        <v>1237</v>
      </c>
      <c r="V405" s="525">
        <f>'HIV-Key Info'!$G$86*(('HIV-Key Info'!$E$86*'HPM costs'!I33)+('HIV-Key Info'!$F$86*('HPM costs'!I36+'HPM costs'!I39)))</f>
        <v>0</v>
      </c>
      <c r="W405" s="525"/>
      <c r="X405" s="1154">
        <f t="shared" si="42"/>
        <v>169.19246639999997</v>
      </c>
      <c r="Y405" s="1155"/>
      <c r="Z405" s="1156"/>
      <c r="AA405" s="529"/>
      <c r="AB405" s="525"/>
      <c r="AC405" s="525">
        <f>'HIV-Key Info'!$G$86*(('HIV-Key Info'!$E$86*'HPM costs'!K33)+('HIV-Key Info'!$F$86*('HPM costs'!K36+'HPM costs'!K39)))</f>
        <v>0</v>
      </c>
      <c r="AD405" s="525"/>
      <c r="AE405" s="525">
        <f>'HIV-Key Info'!$G$86*(('HIV-Key Info'!$E$86*'HPM costs'!L33)+('HIV-Key Info'!$F$86*('HPM costs'!L36+'HPM costs'!L39)))</f>
        <v>177.04756626</v>
      </c>
      <c r="AF405" s="525"/>
      <c r="AG405" s="525">
        <f>'HIV-Key Info'!$G$86*(('HIV-Key Info'!$E$86*'HPM costs'!M33)+('HIV-Key Info'!$F$86*('HPM costs'!M36+'HPM costs'!M39)))</f>
        <v>0</v>
      </c>
      <c r="AH405" s="525"/>
      <c r="AI405" s="525">
        <f>'HIV-Key Info'!$G$86*(('HIV-Key Info'!$E$86*'HPM costs'!N33)+('HIV-Key Info'!$F$86*('HPM costs'!N36+'HPM costs'!N39)))</f>
        <v>0</v>
      </c>
      <c r="AJ405" s="525"/>
      <c r="AK405" s="1154">
        <f t="shared" si="43"/>
        <v>177.04756626</v>
      </c>
      <c r="AL405" s="1155"/>
      <c r="AM405" s="1156"/>
      <c r="AN405" s="529"/>
      <c r="AO405" s="525"/>
      <c r="AP405" s="525">
        <f>'HIV-Key Info'!$G$86*(('HIV-Key Info'!$E$86*'HPM costs'!P33)+('HIV-Key Info'!$F$86*('HPM costs'!P36+'HPM costs'!P39)))</f>
        <v>0</v>
      </c>
      <c r="AQ405" s="525"/>
      <c r="AR405" s="525">
        <f>'HIV-Key Info'!$G$86*(('HIV-Key Info'!$E$86*'HPM costs'!Q33)+('HIV-Key Info'!$F$86*('HPM costs'!Q36+'HPM costs'!Q39)))</f>
        <v>188.35373525999998</v>
      </c>
      <c r="AS405" s="525"/>
      <c r="AT405" s="525">
        <f>'HIV-Key Info'!$G$86*(('HIV-Key Info'!$E$86*'HPM costs'!R33)+('HIV-Key Info'!$F$86*('HPM costs'!R36+'HPM costs'!R39)))</f>
        <v>0</v>
      </c>
      <c r="AU405" s="525"/>
      <c r="AV405" s="525">
        <f>'HIV-Key Info'!$G$86*(('HIV-Key Info'!$E$86*'HPM costs'!S33)+('HIV-Key Info'!$F$86*('HPM costs'!S36+'HPM costs'!S39)))</f>
        <v>0</v>
      </c>
      <c r="AW405" s="525"/>
      <c r="AX405" s="1154">
        <f t="shared" si="44"/>
        <v>188.35373525999998</v>
      </c>
      <c r="AY405" s="1154"/>
      <c r="AZ405" s="528"/>
      <c r="BA405" s="529"/>
      <c r="BB405" s="527"/>
      <c r="BC405" s="527">
        <v>0</v>
      </c>
      <c r="BD405" s="527">
        <v>0</v>
      </c>
      <c r="BE405" s="527">
        <v>0</v>
      </c>
      <c r="BF405" s="527">
        <v>0</v>
      </c>
      <c r="BG405" s="527">
        <v>0</v>
      </c>
      <c r="BH405" s="527">
        <v>0</v>
      </c>
      <c r="BI405" s="527">
        <v>0</v>
      </c>
      <c r="BJ405" s="527">
        <v>0</v>
      </c>
      <c r="BK405" s="1154">
        <f t="shared" si="45"/>
        <v>0</v>
      </c>
      <c r="BL405" s="1154"/>
      <c r="BM405" s="1154">
        <f t="shared" si="46"/>
        <v>0</v>
      </c>
      <c r="BN405" s="1154">
        <f t="shared" si="47"/>
        <v>534.59376791999989</v>
      </c>
      <c r="BO405" s="527"/>
      <c r="BP405" s="527" t="s">
        <v>4303</v>
      </c>
      <c r="BQ405" s="1157" t="s">
        <v>2554</v>
      </c>
      <c r="BR405" s="1157" t="s">
        <v>690</v>
      </c>
      <c r="BS405" s="1157" t="s">
        <v>527</v>
      </c>
      <c r="BT405" s="1376" t="s">
        <v>1709</v>
      </c>
    </row>
    <row r="406" spans="1:72" s="1371" customFormat="1" ht="13">
      <c r="A406" s="1204">
        <v>962</v>
      </c>
      <c r="B406" s="1205" t="s">
        <v>672</v>
      </c>
      <c r="C406" s="1205" t="s">
        <v>673</v>
      </c>
      <c r="D406" s="1206" t="s">
        <v>2518</v>
      </c>
      <c r="E406" s="1386" t="s">
        <v>530</v>
      </c>
      <c r="F406" s="521"/>
      <c r="G406" s="522"/>
      <c r="H406" s="522"/>
      <c r="I406" s="522"/>
      <c r="J406" s="523"/>
      <c r="K406" s="523"/>
      <c r="L406" s="523"/>
      <c r="M406" s="524"/>
      <c r="N406" s="525"/>
      <c r="O406" s="526" t="s">
        <v>1237</v>
      </c>
      <c r="P406" s="525">
        <f>'HIV-Key Info'!$G$86*(('HIV-Key Info'!$E$86*'HPM costs'!F119)+('HIV-Key Info'!$F$86*('HPM costs'!F122+'HPM costs'!F125)))</f>
        <v>0</v>
      </c>
      <c r="Q406" s="525" t="s">
        <v>1237</v>
      </c>
      <c r="R406" s="525">
        <f>'HIV-Key Info'!$G$86*(('HIV-Key Info'!$E$86*'HPM costs'!G119)+('HIV-Key Info'!$F$86*('HPM costs'!G122+'HPM costs'!G125)))</f>
        <v>2.8198744399999997E-13</v>
      </c>
      <c r="S406" s="525" t="s">
        <v>1237</v>
      </c>
      <c r="T406" s="525">
        <f>'HIV-Key Info'!$G$86*(('HIV-Key Info'!$E$86*'HPM costs'!H119)+('HIV-Key Info'!$F$86*('HPM costs'!H122+'HPM costs'!H125)))</f>
        <v>0</v>
      </c>
      <c r="U406" s="525" t="s">
        <v>1237</v>
      </c>
      <c r="V406" s="525">
        <f>'HIV-Key Info'!$G$86*(('HIV-Key Info'!$E$86*'HPM costs'!I119)+('HIV-Key Info'!$F$86*('HPM costs'!I122+'HPM costs'!I125)))</f>
        <v>0</v>
      </c>
      <c r="W406" s="525"/>
      <c r="X406" s="1154">
        <f t="shared" si="42"/>
        <v>2.8198744399999997E-13</v>
      </c>
      <c r="Y406" s="1155"/>
      <c r="Z406" s="1156"/>
      <c r="AA406" s="529"/>
      <c r="AB406" s="525"/>
      <c r="AC406" s="525">
        <f>'HIV-Key Info'!$G$86*(('HIV-Key Info'!$E$86*'HPM costs'!K119)+('HIV-Key Info'!$F$86*('HPM costs'!K122+'HPM costs'!K125)))</f>
        <v>0</v>
      </c>
      <c r="AD406" s="525"/>
      <c r="AE406" s="525">
        <f>'HIV-Key Info'!$G$86*(('HIV-Key Info'!$E$86*'HPM costs'!L119)+('HIV-Key Info'!$F$86*('HPM costs'!L122+'HPM costs'!L125)))</f>
        <v>2.9507927710000001E-13</v>
      </c>
      <c r="AF406" s="525"/>
      <c r="AG406" s="525">
        <f>'HIV-Key Info'!$G$86*(('HIV-Key Info'!$E$86*'HPM costs'!M119)+('HIV-Key Info'!$F$86*('HPM costs'!M122+'HPM costs'!M125)))</f>
        <v>0</v>
      </c>
      <c r="AH406" s="525"/>
      <c r="AI406" s="525">
        <f>'HIV-Key Info'!$G$86*(('HIV-Key Info'!$E$86*'HPM costs'!N119)+('HIV-Key Info'!$F$86*('HPM costs'!N122+'HPM costs'!N125)))</f>
        <v>0</v>
      </c>
      <c r="AJ406" s="525"/>
      <c r="AK406" s="1154">
        <f t="shared" si="43"/>
        <v>2.9507927710000001E-13</v>
      </c>
      <c r="AL406" s="1155"/>
      <c r="AM406" s="1156"/>
      <c r="AN406" s="529"/>
      <c r="AO406" s="525"/>
      <c r="AP406" s="525">
        <f>'HIV-Key Info'!$G$86*(('HIV-Key Info'!$E$86*'HPM costs'!P119)+('HIV-Key Info'!$F$86*('HPM costs'!P122+'HPM costs'!P125)))</f>
        <v>0</v>
      </c>
      <c r="AQ406" s="525"/>
      <c r="AR406" s="525">
        <f>'HIV-Key Info'!$G$86*(('HIV-Key Info'!$E$86*'HPM costs'!Q119)+('HIV-Key Info'!$F$86*('HPM costs'!Q122+'HPM costs'!Q125)))</f>
        <v>3.1392289209999994E-13</v>
      </c>
      <c r="AS406" s="525"/>
      <c r="AT406" s="525">
        <f>'HIV-Key Info'!$G$86*(('HIV-Key Info'!$E$86*'HPM costs'!R119)+('HIV-Key Info'!$F$86*('HPM costs'!R122+'HPM costs'!R125)))</f>
        <v>0</v>
      </c>
      <c r="AU406" s="525"/>
      <c r="AV406" s="525">
        <f>'HIV-Key Info'!$G$86*(('HIV-Key Info'!$E$86*'HPM costs'!S119)+('HIV-Key Info'!$F$86*('HPM costs'!S122+'HPM costs'!S125)))</f>
        <v>0</v>
      </c>
      <c r="AW406" s="525"/>
      <c r="AX406" s="1154">
        <f t="shared" si="44"/>
        <v>3.1392289209999994E-13</v>
      </c>
      <c r="AY406" s="1154"/>
      <c r="AZ406" s="528"/>
      <c r="BA406" s="529"/>
      <c r="BB406" s="527"/>
      <c r="BC406" s="527">
        <v>0</v>
      </c>
      <c r="BD406" s="527">
        <v>0</v>
      </c>
      <c r="BE406" s="527">
        <v>0</v>
      </c>
      <c r="BF406" s="527">
        <v>0</v>
      </c>
      <c r="BG406" s="527">
        <v>0</v>
      </c>
      <c r="BH406" s="527">
        <v>0</v>
      </c>
      <c r="BI406" s="527">
        <v>0</v>
      </c>
      <c r="BJ406" s="527">
        <v>0</v>
      </c>
      <c r="BK406" s="1154">
        <f t="shared" si="45"/>
        <v>0</v>
      </c>
      <c r="BL406" s="1154"/>
      <c r="BM406" s="1154">
        <f t="shared" si="46"/>
        <v>0</v>
      </c>
      <c r="BN406" s="1154">
        <f t="shared" si="47"/>
        <v>8.9098961319999998E-13</v>
      </c>
      <c r="BO406" s="527"/>
      <c r="BP406" s="527"/>
      <c r="BQ406" s="1157" t="s">
        <v>2554</v>
      </c>
      <c r="BR406" s="1157" t="s">
        <v>690</v>
      </c>
      <c r="BS406" s="1157" t="s">
        <v>527</v>
      </c>
      <c r="BT406" s="1376" t="s">
        <v>1710</v>
      </c>
    </row>
    <row r="407" spans="1:72" s="1371" customFormat="1" ht="13">
      <c r="A407" s="1204">
        <v>963</v>
      </c>
      <c r="B407" s="1205" t="s">
        <v>672</v>
      </c>
      <c r="C407" s="1205" t="s">
        <v>673</v>
      </c>
      <c r="D407" s="1206" t="s">
        <v>2518</v>
      </c>
      <c r="E407" s="1386" t="s">
        <v>532</v>
      </c>
      <c r="F407" s="521"/>
      <c r="G407" s="522"/>
      <c r="H407" s="522"/>
      <c r="I407" s="522"/>
      <c r="J407" s="523"/>
      <c r="K407" s="523"/>
      <c r="L407" s="523"/>
      <c r="M407" s="524"/>
      <c r="N407" s="525"/>
      <c r="O407" s="526" t="s">
        <v>1237</v>
      </c>
      <c r="P407" s="525">
        <f>'HIV-Key Info'!$G$86*(('HIV-Key Info'!$E$86*'HPM costs'!F379)+('HIV-Key Info'!$F$86*('HPM costs'!F382+'HPM costs'!F385)))</f>
        <v>0</v>
      </c>
      <c r="Q407" s="525" t="s">
        <v>1237</v>
      </c>
      <c r="R407" s="525">
        <f>'HIV-Key Info'!$G$86*(('HIV-Key Info'!$E$86*'HPM costs'!G379)+('HIV-Key Info'!$F$86*('HPM costs'!G382+'HPM costs'!G385)))</f>
        <v>0</v>
      </c>
      <c r="S407" s="525" t="s">
        <v>1237</v>
      </c>
      <c r="T407" s="525">
        <f>'HIV-Key Info'!$G$86*(('HIV-Key Info'!$E$86*'HPM costs'!H379)+('HIV-Key Info'!$F$86*('HPM costs'!H382+'HPM costs'!H385)))</f>
        <v>0</v>
      </c>
      <c r="U407" s="525" t="s">
        <v>1237</v>
      </c>
      <c r="V407" s="525">
        <f>'HIV-Key Info'!$G$86*(('HIV-Key Info'!$E$86*'HPM costs'!I379)+('HIV-Key Info'!$F$86*('HPM costs'!I382+'HPM costs'!I385)))</f>
        <v>0</v>
      </c>
      <c r="W407" s="525"/>
      <c r="X407" s="1154">
        <f t="shared" si="42"/>
        <v>0</v>
      </c>
      <c r="Y407" s="1155"/>
      <c r="Z407" s="1156"/>
      <c r="AA407" s="529"/>
      <c r="AB407" s="525"/>
      <c r="AC407" s="525">
        <f>'HIV-Key Info'!$G$86*(('HIV-Key Info'!$E$86*'HPM costs'!K379)+('HIV-Key Info'!$F$86*('HPM costs'!K382+'HPM costs'!K385)))</f>
        <v>0</v>
      </c>
      <c r="AD407" s="525"/>
      <c r="AE407" s="525">
        <f>'HIV-Key Info'!$G$86*(('HIV-Key Info'!$E$86*'HPM costs'!L379)+('HIV-Key Info'!$F$86*('HPM costs'!L382+'HPM costs'!L385)))</f>
        <v>0</v>
      </c>
      <c r="AF407" s="525"/>
      <c r="AG407" s="525">
        <f>'HIV-Key Info'!$G$86*(('HIV-Key Info'!$E$86*'HPM costs'!M379)+('HIV-Key Info'!$F$86*('HPM costs'!M382+'HPM costs'!M385)))</f>
        <v>0</v>
      </c>
      <c r="AH407" s="525"/>
      <c r="AI407" s="525">
        <f>'HIV-Key Info'!$G$86*(('HIV-Key Info'!$E$86*'HPM costs'!N379)+('HIV-Key Info'!$F$86*('HPM costs'!N382+'HPM costs'!N385)))</f>
        <v>0</v>
      </c>
      <c r="AJ407" s="525"/>
      <c r="AK407" s="1154">
        <f t="shared" si="43"/>
        <v>0</v>
      </c>
      <c r="AL407" s="1155"/>
      <c r="AM407" s="1156"/>
      <c r="AN407" s="529"/>
      <c r="AO407" s="525"/>
      <c r="AP407" s="525">
        <f>'HIV-Key Info'!$G$86*(('HIV-Key Info'!$E$86*'HPM costs'!P379)+('HIV-Key Info'!$F$86*('HPM costs'!P382+'HPM costs'!P385)))</f>
        <v>0</v>
      </c>
      <c r="AQ407" s="525"/>
      <c r="AR407" s="525">
        <f>'HIV-Key Info'!$G$86*(('HIV-Key Info'!$E$86*'HPM costs'!Q379)+('HIV-Key Info'!$F$86*('HPM costs'!Q382+'HPM costs'!Q385)))</f>
        <v>0</v>
      </c>
      <c r="AS407" s="525"/>
      <c r="AT407" s="525">
        <f>'HIV-Key Info'!$G$86*(('HIV-Key Info'!$E$86*'HPM costs'!R379)+('HIV-Key Info'!$F$86*('HPM costs'!R382+'HPM costs'!R385)))</f>
        <v>0</v>
      </c>
      <c r="AU407" s="525"/>
      <c r="AV407" s="525">
        <f>'HIV-Key Info'!$G$86*(('HIV-Key Info'!$E$86*'HPM costs'!S379)+('HIV-Key Info'!$F$86*('HPM costs'!S382+'HPM costs'!S385)))</f>
        <v>0</v>
      </c>
      <c r="AW407" s="525"/>
      <c r="AX407" s="1154">
        <f t="shared" si="44"/>
        <v>0</v>
      </c>
      <c r="AY407" s="1154"/>
      <c r="AZ407" s="528"/>
      <c r="BA407" s="529"/>
      <c r="BB407" s="527"/>
      <c r="BC407" s="527">
        <v>0</v>
      </c>
      <c r="BD407" s="527">
        <v>0</v>
      </c>
      <c r="BE407" s="527">
        <v>0</v>
      </c>
      <c r="BF407" s="527">
        <v>0</v>
      </c>
      <c r="BG407" s="527">
        <v>0</v>
      </c>
      <c r="BH407" s="527">
        <v>0</v>
      </c>
      <c r="BI407" s="527">
        <v>0</v>
      </c>
      <c r="BJ407" s="527">
        <v>0</v>
      </c>
      <c r="BK407" s="1154">
        <f t="shared" si="45"/>
        <v>0</v>
      </c>
      <c r="BL407" s="1154"/>
      <c r="BM407" s="1154">
        <f t="shared" si="46"/>
        <v>0</v>
      </c>
      <c r="BN407" s="1154">
        <f t="shared" si="47"/>
        <v>0</v>
      </c>
      <c r="BO407" s="527"/>
      <c r="BP407" s="527"/>
      <c r="BQ407" s="1157" t="s">
        <v>2554</v>
      </c>
      <c r="BR407" s="1157" t="s">
        <v>690</v>
      </c>
      <c r="BS407" s="1157" t="s">
        <v>527</v>
      </c>
      <c r="BT407" s="1376" t="s">
        <v>1711</v>
      </c>
    </row>
    <row r="408" spans="1:72" s="1371" customFormat="1" ht="13">
      <c r="A408" s="1204">
        <v>964</v>
      </c>
      <c r="B408" s="1205" t="s">
        <v>672</v>
      </c>
      <c r="C408" s="1205" t="s">
        <v>673</v>
      </c>
      <c r="D408" s="1206" t="s">
        <v>2518</v>
      </c>
      <c r="E408" s="1386" t="s">
        <v>534</v>
      </c>
      <c r="F408" s="521"/>
      <c r="G408" s="522"/>
      <c r="H408" s="522"/>
      <c r="I408" s="522"/>
      <c r="J408" s="523"/>
      <c r="K408" s="523"/>
      <c r="L408" s="523"/>
      <c r="M408" s="524"/>
      <c r="N408" s="525"/>
      <c r="O408" s="526" t="s">
        <v>1237</v>
      </c>
      <c r="P408" s="525">
        <f>'HIV-Key Info'!$G$86*(('HIV-Key Info'!$E$86*'HPM costs'!F465)+('HIV-Key Info'!$F$86*('HPM costs'!F468+'HPM costs'!F471)))</f>
        <v>0</v>
      </c>
      <c r="Q408" s="525" t="s">
        <v>1237</v>
      </c>
      <c r="R408" s="525">
        <f>'HIV-Key Info'!$G$86*(('HIV-Key Info'!$E$86*'HPM costs'!G465)+('HIV-Key Info'!$F$86*('HPM costs'!G468+'HPM costs'!G471)))</f>
        <v>0</v>
      </c>
      <c r="S408" s="525" t="s">
        <v>1237</v>
      </c>
      <c r="T408" s="525">
        <f>'HIV-Key Info'!$G$86*(('HIV-Key Info'!$E$86*'HPM costs'!H465)+('HIV-Key Info'!$F$86*('HPM costs'!H468+'HPM costs'!H471)))</f>
        <v>0</v>
      </c>
      <c r="U408" s="525" t="s">
        <v>1237</v>
      </c>
      <c r="V408" s="525">
        <f>'HIV-Key Info'!$G$86*(('HIV-Key Info'!$E$86*'HPM costs'!I465)+('HIV-Key Info'!$F$86*('HPM costs'!I468+'HPM costs'!I471)))</f>
        <v>0</v>
      </c>
      <c r="W408" s="525"/>
      <c r="X408" s="1154">
        <f t="shared" si="42"/>
        <v>0</v>
      </c>
      <c r="Y408" s="1155"/>
      <c r="Z408" s="1156"/>
      <c r="AA408" s="529"/>
      <c r="AB408" s="525"/>
      <c r="AC408" s="525">
        <f>'HIV-Key Info'!$G$86*(('HIV-Key Info'!$E$86*'HPM costs'!K465)+('HIV-Key Info'!$F$86*('HPM costs'!K468+'HPM costs'!K471)))</f>
        <v>0</v>
      </c>
      <c r="AD408" s="525"/>
      <c r="AE408" s="525">
        <f>'HIV-Key Info'!$G$86*(('HIV-Key Info'!$E$86*'HPM costs'!L465)+('HIV-Key Info'!$F$86*('HPM costs'!L468+'HPM costs'!L471)))</f>
        <v>0</v>
      </c>
      <c r="AF408" s="525"/>
      <c r="AG408" s="525">
        <f>'HIV-Key Info'!$G$86*(('HIV-Key Info'!$E$86*'HPM costs'!M465)+('HIV-Key Info'!$F$86*('HPM costs'!M468+'HPM costs'!M471)))</f>
        <v>0</v>
      </c>
      <c r="AH408" s="525"/>
      <c r="AI408" s="525">
        <f>'HIV-Key Info'!$G$86*(('HIV-Key Info'!$E$86*'HPM costs'!N465)+('HIV-Key Info'!$F$86*('HPM costs'!N468+'HPM costs'!N471)))</f>
        <v>0</v>
      </c>
      <c r="AJ408" s="525"/>
      <c r="AK408" s="1154">
        <f t="shared" si="43"/>
        <v>0</v>
      </c>
      <c r="AL408" s="1155"/>
      <c r="AM408" s="1156"/>
      <c r="AN408" s="529"/>
      <c r="AO408" s="525"/>
      <c r="AP408" s="525">
        <f>'HIV-Key Info'!$G$86*(('HIV-Key Info'!$E$86*'HPM costs'!P465)+('HIV-Key Info'!$F$86*('HPM costs'!P468+'HPM costs'!P471)))</f>
        <v>0</v>
      </c>
      <c r="AQ408" s="525"/>
      <c r="AR408" s="525">
        <f>'HIV-Key Info'!$G$86*(('HIV-Key Info'!$E$86*'HPM costs'!Q465)+('HIV-Key Info'!$F$86*('HPM costs'!Q468+'HPM costs'!Q471)))</f>
        <v>0</v>
      </c>
      <c r="AS408" s="525"/>
      <c r="AT408" s="525">
        <f>'HIV-Key Info'!$G$86*(('HIV-Key Info'!$E$86*'HPM costs'!R465)+('HIV-Key Info'!$F$86*('HPM costs'!R468+'HPM costs'!R471)))</f>
        <v>0</v>
      </c>
      <c r="AU408" s="525"/>
      <c r="AV408" s="525">
        <f>'HIV-Key Info'!$G$86*(('HIV-Key Info'!$E$86*'HPM costs'!S465)+('HIV-Key Info'!$F$86*('HPM costs'!S468+'HPM costs'!S471)))</f>
        <v>0</v>
      </c>
      <c r="AW408" s="525"/>
      <c r="AX408" s="1154">
        <f t="shared" si="44"/>
        <v>0</v>
      </c>
      <c r="AY408" s="1154"/>
      <c r="AZ408" s="528"/>
      <c r="BA408" s="529"/>
      <c r="BB408" s="527"/>
      <c r="BC408" s="527">
        <v>0</v>
      </c>
      <c r="BD408" s="527">
        <v>0</v>
      </c>
      <c r="BE408" s="527">
        <v>0</v>
      </c>
      <c r="BF408" s="527">
        <v>0</v>
      </c>
      <c r="BG408" s="527">
        <v>0</v>
      </c>
      <c r="BH408" s="527">
        <v>0</v>
      </c>
      <c r="BI408" s="527">
        <v>0</v>
      </c>
      <c r="BJ408" s="527">
        <v>0</v>
      </c>
      <c r="BK408" s="1154">
        <f t="shared" si="45"/>
        <v>0</v>
      </c>
      <c r="BL408" s="1154"/>
      <c r="BM408" s="1154">
        <f t="shared" si="46"/>
        <v>0</v>
      </c>
      <c r="BN408" s="1154">
        <f t="shared" si="47"/>
        <v>0</v>
      </c>
      <c r="BO408" s="527"/>
      <c r="BP408" s="527"/>
      <c r="BQ408" s="1157" t="s">
        <v>2554</v>
      </c>
      <c r="BR408" s="1157" t="s">
        <v>690</v>
      </c>
      <c r="BS408" s="1157" t="s">
        <v>527</v>
      </c>
      <c r="BT408" s="1376" t="s">
        <v>1712</v>
      </c>
    </row>
    <row r="409" spans="1:72" s="1371" customFormat="1" ht="13">
      <c r="A409" s="1204">
        <v>965</v>
      </c>
      <c r="B409" s="1205" t="s">
        <v>672</v>
      </c>
      <c r="C409" s="1205" t="s">
        <v>673</v>
      </c>
      <c r="D409" s="1206" t="s">
        <v>2518</v>
      </c>
      <c r="E409" s="1386" t="s">
        <v>536</v>
      </c>
      <c r="F409" s="521"/>
      <c r="G409" s="522"/>
      <c r="H409" s="522"/>
      <c r="I409" s="522"/>
      <c r="J409" s="523"/>
      <c r="K409" s="523"/>
      <c r="L409" s="523"/>
      <c r="M409" s="524"/>
      <c r="N409" s="525"/>
      <c r="O409" s="526" t="s">
        <v>1237</v>
      </c>
      <c r="P409" s="525">
        <f>'HIV-Key Info'!$G$86*(('HIV-Key Info'!$E$86*('HPM costs'!F205+'HPM costs'!F551))+('HIV-Key Info'!$F$86*('HPM costs'!F208+'HPM costs'!F211+'HPM costs'!F554+'HPM costs'!F557)))</f>
        <v>0</v>
      </c>
      <c r="Q409" s="525" t="s">
        <v>1237</v>
      </c>
      <c r="R409" s="525">
        <f>'HIV-Key Info'!$G$86*(('HIV-Key Info'!$E$86*('HPM costs'!G205+'HPM costs'!G551))+('HIV-Key Info'!$F$86*('HPM costs'!G208+'HPM costs'!G211+'HPM costs'!G554+'HPM costs'!G557)))</f>
        <v>0</v>
      </c>
      <c r="S409" s="525" t="s">
        <v>1237</v>
      </c>
      <c r="T409" s="525">
        <f>'HIV-Key Info'!$G$86*(('HIV-Key Info'!$E$86*('HPM costs'!H205+'HPM costs'!H551))+('HIV-Key Info'!$F$86*('HPM costs'!H208+'HPM costs'!H211+'HPM costs'!H554+'HPM costs'!H557)))</f>
        <v>0</v>
      </c>
      <c r="U409" s="525" t="s">
        <v>1237</v>
      </c>
      <c r="V409" s="525">
        <f>'HIV-Key Info'!$G$86*(('HIV-Key Info'!$E$86*('HPM costs'!I205+'HPM costs'!I551))+('HIV-Key Info'!$F$86*('HPM costs'!I208+'HPM costs'!I211+'HPM costs'!I554+'HPM costs'!I557)))</f>
        <v>0</v>
      </c>
      <c r="W409" s="525"/>
      <c r="X409" s="1154">
        <f t="shared" si="42"/>
        <v>0</v>
      </c>
      <c r="Y409" s="1155"/>
      <c r="Z409" s="1156"/>
      <c r="AA409" s="529"/>
      <c r="AB409" s="525"/>
      <c r="AC409" s="525">
        <f>'HIV-Key Info'!$G$86*(('HIV-Key Info'!$E$86*('HPM costs'!K205+'HPM costs'!K551))+('HIV-Key Info'!$F$86*('HPM costs'!K208+'HPM costs'!K211+'HPM costs'!K554+'HPM costs'!K557)))</f>
        <v>0</v>
      </c>
      <c r="AD409" s="525"/>
      <c r="AE409" s="525">
        <f>'HIV-Key Info'!$G$86*(('HIV-Key Info'!$E$86*('HPM costs'!L205+'HPM costs'!L551))+('HIV-Key Info'!$F$86*('HPM costs'!L208+'HPM costs'!L211+'HPM costs'!L554+'HPM costs'!L557)))</f>
        <v>0</v>
      </c>
      <c r="AF409" s="525"/>
      <c r="AG409" s="525">
        <f>'HIV-Key Info'!$G$86*(('HIV-Key Info'!$E$86*('HPM costs'!M205+'HPM costs'!M551))+('HIV-Key Info'!$F$86*('HPM costs'!M208+'HPM costs'!M211+'HPM costs'!M554+'HPM costs'!M557)))</f>
        <v>0</v>
      </c>
      <c r="AH409" s="525"/>
      <c r="AI409" s="525">
        <f>'HIV-Key Info'!$G$86*(('HIV-Key Info'!$E$86*('HPM costs'!N205+'HPM costs'!N551))+('HIV-Key Info'!$F$86*('HPM costs'!N208+'HPM costs'!N211+'HPM costs'!N554+'HPM costs'!N557)))</f>
        <v>0</v>
      </c>
      <c r="AJ409" s="525"/>
      <c r="AK409" s="1154">
        <f t="shared" si="43"/>
        <v>0</v>
      </c>
      <c r="AL409" s="1155"/>
      <c r="AM409" s="1156"/>
      <c r="AN409" s="529"/>
      <c r="AO409" s="525"/>
      <c r="AP409" s="525">
        <f>'HIV-Key Info'!$G$86*(('HIV-Key Info'!$E$86*('HPM costs'!P205+'HPM costs'!P551))+('HIV-Key Info'!$F$86*('HPM costs'!P208+'HPM costs'!P211+'HPM costs'!P554+'HPM costs'!P557)))</f>
        <v>0</v>
      </c>
      <c r="AQ409" s="525"/>
      <c r="AR409" s="525">
        <f>'HIV-Key Info'!$G$86*(('HIV-Key Info'!$E$86*('HPM costs'!Q205+'HPM costs'!Q551))+('HIV-Key Info'!$F$86*('HPM costs'!Q208+'HPM costs'!Q211+'HPM costs'!Q554+'HPM costs'!Q557)))</f>
        <v>0</v>
      </c>
      <c r="AS409" s="525"/>
      <c r="AT409" s="525">
        <f>'HIV-Key Info'!$G$86*(('HIV-Key Info'!$E$86*('HPM costs'!R205+'HPM costs'!R551))+('HIV-Key Info'!$F$86*('HPM costs'!R208+'HPM costs'!R211+'HPM costs'!R554+'HPM costs'!R557)))</f>
        <v>0</v>
      </c>
      <c r="AU409" s="525"/>
      <c r="AV409" s="525">
        <f>'HIV-Key Info'!$G$86*(('HIV-Key Info'!$E$86*('HPM costs'!S205+'HPM costs'!S551))+('HIV-Key Info'!$F$86*('HPM costs'!S208+'HPM costs'!S211+'HPM costs'!S554+'HPM costs'!S557)))</f>
        <v>0</v>
      </c>
      <c r="AW409" s="525"/>
      <c r="AX409" s="1154">
        <f t="shared" si="44"/>
        <v>0</v>
      </c>
      <c r="AY409" s="1154"/>
      <c r="AZ409" s="528"/>
      <c r="BA409" s="529"/>
      <c r="BB409" s="527"/>
      <c r="BC409" s="527">
        <v>0</v>
      </c>
      <c r="BD409" s="527">
        <v>0</v>
      </c>
      <c r="BE409" s="527">
        <v>0</v>
      </c>
      <c r="BF409" s="527">
        <v>0</v>
      </c>
      <c r="BG409" s="527">
        <v>0</v>
      </c>
      <c r="BH409" s="527">
        <v>0</v>
      </c>
      <c r="BI409" s="527">
        <v>0</v>
      </c>
      <c r="BJ409" s="527">
        <v>0</v>
      </c>
      <c r="BK409" s="1154">
        <f t="shared" si="45"/>
        <v>0</v>
      </c>
      <c r="BL409" s="1154"/>
      <c r="BM409" s="1154">
        <f t="shared" si="46"/>
        <v>0</v>
      </c>
      <c r="BN409" s="1154">
        <f t="shared" si="47"/>
        <v>0</v>
      </c>
      <c r="BO409" s="527"/>
      <c r="BP409" s="527"/>
      <c r="BQ409" s="1157" t="s">
        <v>2554</v>
      </c>
      <c r="BR409" s="1157" t="s">
        <v>690</v>
      </c>
      <c r="BS409" s="1157" t="s">
        <v>527</v>
      </c>
      <c r="BT409" s="1376" t="s">
        <v>1713</v>
      </c>
    </row>
    <row r="410" spans="1:72" s="1371" customFormat="1" ht="13">
      <c r="A410" s="1204">
        <v>966</v>
      </c>
      <c r="B410" s="1205" t="s">
        <v>672</v>
      </c>
      <c r="C410" s="1205" t="s">
        <v>673</v>
      </c>
      <c r="D410" s="1206" t="s">
        <v>2518</v>
      </c>
      <c r="E410" s="1386" t="s">
        <v>538</v>
      </c>
      <c r="F410" s="521"/>
      <c r="G410" s="522"/>
      <c r="H410" s="522"/>
      <c r="I410" s="522"/>
      <c r="J410" s="523"/>
      <c r="K410" s="523"/>
      <c r="L410" s="523"/>
      <c r="M410" s="524"/>
      <c r="N410" s="525"/>
      <c r="O410" s="526" t="s">
        <v>1237</v>
      </c>
      <c r="P410" s="525">
        <f>'HIV-Key Info'!$G$86*(('HIV-Key Info'!$E$86*'HPM costs'!F291)+('HIV-Key Info'!$F$86*('HPM costs'!F294+'HPM costs'!F297)))</f>
        <v>0</v>
      </c>
      <c r="Q410" s="525" t="s">
        <v>1237</v>
      </c>
      <c r="R410" s="525">
        <f>'HIV-Key Info'!$G$86*(('HIV-Key Info'!$E$86*'HPM costs'!G291)+('HIV-Key Info'!$F$86*('HPM costs'!G294+'HPM costs'!G297)))</f>
        <v>0</v>
      </c>
      <c r="S410" s="525" t="s">
        <v>1237</v>
      </c>
      <c r="T410" s="525">
        <f>'HIV-Key Info'!$G$86*(('HIV-Key Info'!$E$86*'HPM costs'!H291)+('HIV-Key Info'!$F$86*('HPM costs'!H294+'HPM costs'!H297)))</f>
        <v>0</v>
      </c>
      <c r="U410" s="525" t="s">
        <v>1237</v>
      </c>
      <c r="V410" s="525">
        <f>'HIV-Key Info'!$G$86*(('HIV-Key Info'!$E$86*'HPM costs'!I291)+('HIV-Key Info'!$F$86*('HPM costs'!I294+'HPM costs'!I297)))</f>
        <v>0</v>
      </c>
      <c r="W410" s="525"/>
      <c r="X410" s="1154">
        <f t="shared" si="42"/>
        <v>0</v>
      </c>
      <c r="Y410" s="1155"/>
      <c r="Z410" s="1156"/>
      <c r="AA410" s="529"/>
      <c r="AB410" s="525"/>
      <c r="AC410" s="525">
        <f>'HIV-Key Info'!$G$86*(('HIV-Key Info'!$E$86*'HPM costs'!K291)+('HIV-Key Info'!$F$86*('HPM costs'!K294+'HPM costs'!K297)))</f>
        <v>0</v>
      </c>
      <c r="AD410" s="525"/>
      <c r="AE410" s="525">
        <f>'HIV-Key Info'!$G$86*(('HIV-Key Info'!$E$86*'HPM costs'!L291)+('HIV-Key Info'!$F$86*('HPM costs'!L294+'HPM costs'!L297)))</f>
        <v>0</v>
      </c>
      <c r="AF410" s="525"/>
      <c r="AG410" s="525">
        <f>'HIV-Key Info'!$G$86*(('HIV-Key Info'!$E$86*'HPM costs'!M291)+('HIV-Key Info'!$F$86*('HPM costs'!M294+'HPM costs'!M297)))</f>
        <v>0</v>
      </c>
      <c r="AH410" s="525"/>
      <c r="AI410" s="525">
        <f>'HIV-Key Info'!$G$86*(('HIV-Key Info'!$E$86*'HPM costs'!N291)+('HIV-Key Info'!$F$86*('HPM costs'!N294+'HPM costs'!N297)))</f>
        <v>0</v>
      </c>
      <c r="AJ410" s="525"/>
      <c r="AK410" s="1154">
        <f t="shared" si="43"/>
        <v>0</v>
      </c>
      <c r="AL410" s="1155"/>
      <c r="AM410" s="1156"/>
      <c r="AN410" s="529"/>
      <c r="AO410" s="525"/>
      <c r="AP410" s="525">
        <f>'HIV-Key Info'!$G$86*(('HIV-Key Info'!$E$86*'HPM costs'!P291)+('HIV-Key Info'!$F$86*('HPM costs'!P294+'HPM costs'!P297)))</f>
        <v>0</v>
      </c>
      <c r="AQ410" s="525"/>
      <c r="AR410" s="525">
        <f>'HIV-Key Info'!$G$86*(('HIV-Key Info'!$E$86*'HPM costs'!Q291)+('HIV-Key Info'!$F$86*('HPM costs'!Q294+'HPM costs'!Q297)))</f>
        <v>0</v>
      </c>
      <c r="AS410" s="525"/>
      <c r="AT410" s="525">
        <f>'HIV-Key Info'!$G$86*(('HIV-Key Info'!$E$86*'HPM costs'!R291)+('HIV-Key Info'!$F$86*('HPM costs'!R294+'HPM costs'!R297)))</f>
        <v>0</v>
      </c>
      <c r="AU410" s="525"/>
      <c r="AV410" s="525">
        <f>'HIV-Key Info'!$G$86*(('HIV-Key Info'!$E$86*'HPM costs'!S291)+('HIV-Key Info'!$F$86*('HPM costs'!S294+'HPM costs'!S297)))</f>
        <v>0</v>
      </c>
      <c r="AW410" s="525"/>
      <c r="AX410" s="1154">
        <f t="shared" si="44"/>
        <v>0</v>
      </c>
      <c r="AY410" s="1154"/>
      <c r="AZ410" s="528"/>
      <c r="BA410" s="529"/>
      <c r="BB410" s="527"/>
      <c r="BC410" s="527">
        <v>0</v>
      </c>
      <c r="BD410" s="527">
        <v>0</v>
      </c>
      <c r="BE410" s="527">
        <v>0</v>
      </c>
      <c r="BF410" s="527">
        <v>0</v>
      </c>
      <c r="BG410" s="527">
        <v>0</v>
      </c>
      <c r="BH410" s="527">
        <v>0</v>
      </c>
      <c r="BI410" s="527">
        <v>0</v>
      </c>
      <c r="BJ410" s="527">
        <v>0</v>
      </c>
      <c r="BK410" s="1154">
        <f t="shared" si="45"/>
        <v>0</v>
      </c>
      <c r="BL410" s="1154"/>
      <c r="BM410" s="1154">
        <f t="shared" si="46"/>
        <v>0</v>
      </c>
      <c r="BN410" s="1154">
        <f t="shared" si="47"/>
        <v>0</v>
      </c>
      <c r="BO410" s="527"/>
      <c r="BP410" s="527"/>
      <c r="BQ410" s="1157" t="s">
        <v>2554</v>
      </c>
      <c r="BR410" s="1157" t="s">
        <v>690</v>
      </c>
      <c r="BS410" s="1157" t="s">
        <v>527</v>
      </c>
      <c r="BT410" s="1376" t="s">
        <v>1714</v>
      </c>
    </row>
    <row r="411" spans="1:72" s="1371" customFormat="1" ht="13">
      <c r="A411" s="1204">
        <v>967</v>
      </c>
      <c r="B411" s="1205" t="s">
        <v>672</v>
      </c>
      <c r="C411" s="1205" t="s">
        <v>673</v>
      </c>
      <c r="D411" s="1206" t="s">
        <v>2518</v>
      </c>
      <c r="E411" s="1386" t="s">
        <v>540</v>
      </c>
      <c r="F411" s="521"/>
      <c r="G411" s="522"/>
      <c r="H411" s="522"/>
      <c r="I411" s="522"/>
      <c r="J411" s="523"/>
      <c r="K411" s="523"/>
      <c r="L411" s="523"/>
      <c r="M411" s="524"/>
      <c r="N411" s="525"/>
      <c r="O411" s="526" t="s">
        <v>1237</v>
      </c>
      <c r="P411" s="525">
        <f>'HIV-Key Info'!$G$86*(('HIV-Key Info'!$E$86*'HPM costs'!F636)+('HIV-Key Info'!$F$86*('HPM costs'!F639+'HPM costs'!F642)))</f>
        <v>0</v>
      </c>
      <c r="Q411" s="525" t="s">
        <v>1237</v>
      </c>
      <c r="R411" s="525">
        <f>'HIV-Key Info'!$G$86*(('HIV-Key Info'!$E$86*'HPM costs'!G636)+('HIV-Key Info'!$F$86*('HPM costs'!G639+'HPM costs'!G642)))</f>
        <v>0</v>
      </c>
      <c r="S411" s="525" t="s">
        <v>1237</v>
      </c>
      <c r="T411" s="525">
        <f>'HIV-Key Info'!$G$86*(('HIV-Key Info'!$E$86*'HPM costs'!H636)+('HIV-Key Info'!$F$86*('HPM costs'!H639+'HPM costs'!H642)))</f>
        <v>0</v>
      </c>
      <c r="U411" s="525" t="s">
        <v>1237</v>
      </c>
      <c r="V411" s="525">
        <f>'HIV-Key Info'!$G$86*(('HIV-Key Info'!$E$86*'HPM costs'!I636)+('HIV-Key Info'!$F$86*('HPM costs'!I639+'HPM costs'!I642)))</f>
        <v>0</v>
      </c>
      <c r="W411" s="525"/>
      <c r="X411" s="1154">
        <f t="shared" si="42"/>
        <v>0</v>
      </c>
      <c r="Y411" s="1155"/>
      <c r="Z411" s="1156"/>
      <c r="AA411" s="529"/>
      <c r="AB411" s="525"/>
      <c r="AC411" s="525">
        <f>'HIV-Key Info'!$G$86*(('HIV-Key Info'!$E$86*'HPM costs'!K636)+('HIV-Key Info'!$F$86*('HPM costs'!K639+'HPM costs'!K642)))</f>
        <v>0</v>
      </c>
      <c r="AD411" s="525"/>
      <c r="AE411" s="525">
        <f>'HIV-Key Info'!$G$86*(('HIV-Key Info'!$E$86*'HPM costs'!L636)+('HIV-Key Info'!$F$86*('HPM costs'!L639+'HPM costs'!L642)))</f>
        <v>0</v>
      </c>
      <c r="AF411" s="525"/>
      <c r="AG411" s="525">
        <f>'HIV-Key Info'!$G$86*(('HIV-Key Info'!$E$86*'HPM costs'!M636)+('HIV-Key Info'!$F$86*('HPM costs'!M639+'HPM costs'!M642)))</f>
        <v>0</v>
      </c>
      <c r="AH411" s="525"/>
      <c r="AI411" s="525">
        <f>'HIV-Key Info'!$G$86*(('HIV-Key Info'!$E$86*'HPM costs'!N636)+('HIV-Key Info'!$F$86*('HPM costs'!N639+'HPM costs'!N642)))</f>
        <v>0</v>
      </c>
      <c r="AJ411" s="525"/>
      <c r="AK411" s="1154">
        <f t="shared" si="43"/>
        <v>0</v>
      </c>
      <c r="AL411" s="1155"/>
      <c r="AM411" s="1156"/>
      <c r="AN411" s="529"/>
      <c r="AO411" s="525"/>
      <c r="AP411" s="525">
        <f>'HIV-Key Info'!$G$86*(('HIV-Key Info'!$E$86*'HPM costs'!P636)+('HIV-Key Info'!$F$86*('HPM costs'!P639+'HPM costs'!P642)))</f>
        <v>0</v>
      </c>
      <c r="AQ411" s="525"/>
      <c r="AR411" s="525">
        <f>'HIV-Key Info'!$G$86*(('HIV-Key Info'!$E$86*'HPM costs'!Q636)+('HIV-Key Info'!$F$86*('HPM costs'!Q639+'HPM costs'!Q642)))</f>
        <v>0</v>
      </c>
      <c r="AS411" s="525"/>
      <c r="AT411" s="525">
        <f>'HIV-Key Info'!$G$86*(('HIV-Key Info'!$E$86*'HPM costs'!R636)+('HIV-Key Info'!$F$86*('HPM costs'!R639+'HPM costs'!R642)))</f>
        <v>0</v>
      </c>
      <c r="AU411" s="525"/>
      <c r="AV411" s="525">
        <f>'HIV-Key Info'!$G$86*(('HIV-Key Info'!$E$86*'HPM costs'!S636)+('HIV-Key Info'!$F$86*('HPM costs'!S639+'HPM costs'!S642)))</f>
        <v>0</v>
      </c>
      <c r="AW411" s="525"/>
      <c r="AX411" s="1154">
        <f t="shared" si="44"/>
        <v>0</v>
      </c>
      <c r="AY411" s="1154"/>
      <c r="AZ411" s="528"/>
      <c r="BA411" s="529"/>
      <c r="BB411" s="527"/>
      <c r="BC411" s="527">
        <v>0</v>
      </c>
      <c r="BD411" s="527">
        <v>0</v>
      </c>
      <c r="BE411" s="527">
        <v>0</v>
      </c>
      <c r="BF411" s="527">
        <v>0</v>
      </c>
      <c r="BG411" s="527">
        <v>0</v>
      </c>
      <c r="BH411" s="527">
        <v>0</v>
      </c>
      <c r="BI411" s="527">
        <v>0</v>
      </c>
      <c r="BJ411" s="527">
        <v>0</v>
      </c>
      <c r="BK411" s="1154">
        <f t="shared" si="45"/>
        <v>0</v>
      </c>
      <c r="BL411" s="1154"/>
      <c r="BM411" s="1154">
        <f t="shared" si="46"/>
        <v>0</v>
      </c>
      <c r="BN411" s="1154">
        <f t="shared" si="47"/>
        <v>0</v>
      </c>
      <c r="BO411" s="527"/>
      <c r="BP411" s="527"/>
      <c r="BQ411" s="1157" t="s">
        <v>2554</v>
      </c>
      <c r="BR411" s="1157" t="s">
        <v>690</v>
      </c>
      <c r="BS411" s="1157" t="s">
        <v>527</v>
      </c>
      <c r="BT411" s="1376" t="s">
        <v>1715</v>
      </c>
    </row>
    <row r="412" spans="1:72" s="1371" customFormat="1" ht="13">
      <c r="A412" s="1204">
        <v>968</v>
      </c>
      <c r="B412" s="1205" t="s">
        <v>672</v>
      </c>
      <c r="C412" s="1205" t="s">
        <v>674</v>
      </c>
      <c r="D412" s="1206" t="s">
        <v>2576</v>
      </c>
      <c r="E412" s="1386" t="s">
        <v>603</v>
      </c>
      <c r="F412" s="521"/>
      <c r="G412" s="522"/>
      <c r="H412" s="522"/>
      <c r="I412" s="522"/>
      <c r="J412" s="523"/>
      <c r="K412" s="523"/>
      <c r="L412" s="523"/>
      <c r="M412" s="524"/>
      <c r="N412" s="525"/>
      <c r="O412" s="526" t="s">
        <v>1237</v>
      </c>
      <c r="P412" s="525">
        <f>'HIV-Key Info'!$H$86*('HIV-Key Info'!$E$86*('HPM costs'!F119/'HPM costs'!$E$119)+'HIV-Key Info'!$F$86*('HPM costs'!F125/'HPM costs'!$E$125+'HPM costs'!F122/'HPM costs'!$E$122))</f>
        <v>0</v>
      </c>
      <c r="Q412" s="525" t="s">
        <v>1237</v>
      </c>
      <c r="R412" s="525">
        <f>'HIV-Key Info'!$H$86*('HIV-Key Info'!$E$86*('HPM costs'!G119/'HPM costs'!$E$119)+'HIV-Key Info'!$F$86*('HPM costs'!G125/'HPM costs'!$E$125+'HPM costs'!G122/'HPM costs'!$E$122))</f>
        <v>0</v>
      </c>
      <c r="S412" s="525" t="s">
        <v>1237</v>
      </c>
      <c r="T412" s="525">
        <f>'HIV-Key Info'!$H$86*('HIV-Key Info'!$E$86*('HPM costs'!H119/'HPM costs'!$E$119)+'HIV-Key Info'!$F$86*('HPM costs'!H125/'HPM costs'!$E$125+'HPM costs'!H122/'HPM costs'!$E$122))</f>
        <v>0</v>
      </c>
      <c r="U412" s="525" t="s">
        <v>1237</v>
      </c>
      <c r="V412" s="525">
        <f>'HIV-Key Info'!$H$86*('HIV-Key Info'!$E$86*('HPM costs'!I119/'HPM costs'!$E$119)+'HIV-Key Info'!$F$86*('HPM costs'!I125/'HPM costs'!$E$125+'HPM costs'!I122/'HPM costs'!$E$122))</f>
        <v>0</v>
      </c>
      <c r="W412" s="525"/>
      <c r="X412" s="1154">
        <f t="shared" si="42"/>
        <v>0</v>
      </c>
      <c r="Y412" s="1155"/>
      <c r="Z412" s="1156"/>
      <c r="AA412" s="529"/>
      <c r="AB412" s="525"/>
      <c r="AC412" s="525">
        <f>'HIV-Key Info'!$H$86*('HIV-Key Info'!$E$86*('HPM costs'!K119/'HPM costs'!$E$119)+'HIV-Key Info'!$F$86*('HPM costs'!K125/'HPM costs'!$E$125+'HPM costs'!K122/'HPM costs'!$E$122))</f>
        <v>0</v>
      </c>
      <c r="AD412" s="525"/>
      <c r="AE412" s="525">
        <f>'HIV-Key Info'!$H$86*('HIV-Key Info'!$E$86*('HPM costs'!L119/'HPM costs'!$E$119)+'HIV-Key Info'!$F$86*('HPM costs'!L125/'HPM costs'!$E$125+'HPM costs'!L122/'HPM costs'!$E$122))</f>
        <v>0</v>
      </c>
      <c r="AF412" s="525"/>
      <c r="AG412" s="525">
        <f>'HIV-Key Info'!$H$86*('HIV-Key Info'!$E$86*('HPM costs'!M119/'HPM costs'!$E$119)+'HIV-Key Info'!$F$86*('HPM costs'!M125/'HPM costs'!$E$125+'HPM costs'!M122/'HPM costs'!$E$122))</f>
        <v>0</v>
      </c>
      <c r="AH412" s="525"/>
      <c r="AI412" s="525">
        <f>'HIV-Key Info'!$H$86*('HIV-Key Info'!$E$86*('HPM costs'!N119/'HPM costs'!$E$119)+'HIV-Key Info'!$F$86*('HPM costs'!N125/'HPM costs'!$E$125+'HPM costs'!N122/'HPM costs'!$E$122))</f>
        <v>0</v>
      </c>
      <c r="AJ412" s="525"/>
      <c r="AK412" s="1154">
        <f t="shared" si="43"/>
        <v>0</v>
      </c>
      <c r="AL412" s="1155"/>
      <c r="AM412" s="1156"/>
      <c r="AN412" s="529"/>
      <c r="AO412" s="525"/>
      <c r="AP412" s="525">
        <f>'HIV-Key Info'!$H$86*('HIV-Key Info'!$E$86*('HPM costs'!P119/'HPM costs'!$E$119)+'HIV-Key Info'!$F$86*('HPM costs'!P125/'HPM costs'!$E$125+'HPM costs'!P122/'HPM costs'!$E$122))</f>
        <v>0</v>
      </c>
      <c r="AQ412" s="525"/>
      <c r="AR412" s="525">
        <f>'HIV-Key Info'!$H$86*('HIV-Key Info'!$E$86*('HPM costs'!Q119/'HPM costs'!$E$119)+'HIV-Key Info'!$F$86*('HPM costs'!Q125/'HPM costs'!$E$125+'HPM costs'!Q122/'HPM costs'!$E$122))</f>
        <v>0</v>
      </c>
      <c r="AS412" s="525"/>
      <c r="AT412" s="525">
        <f>'HIV-Key Info'!$H$86*('HIV-Key Info'!$E$86*('HPM costs'!R119/'HPM costs'!$E$119)+'HIV-Key Info'!$F$86*('HPM costs'!R125/'HPM costs'!$E$125+'HPM costs'!R122/'HPM costs'!$E$122))</f>
        <v>0</v>
      </c>
      <c r="AU412" s="525"/>
      <c r="AV412" s="525">
        <f>'HIV-Key Info'!$H$86*('HIV-Key Info'!$E$86*('HPM costs'!S119/'HPM costs'!$E$119)+'HIV-Key Info'!$F$86*('HPM costs'!S125/'HPM costs'!$E$125+'HPM costs'!S122/'HPM costs'!$E$122))</f>
        <v>0</v>
      </c>
      <c r="AW412" s="525"/>
      <c r="AX412" s="1154">
        <f t="shared" si="44"/>
        <v>0</v>
      </c>
      <c r="AY412" s="1154"/>
      <c r="AZ412" s="528"/>
      <c r="BA412" s="529"/>
      <c r="BB412" s="527"/>
      <c r="BC412" s="527">
        <v>0</v>
      </c>
      <c r="BD412" s="527">
        <v>0</v>
      </c>
      <c r="BE412" s="527">
        <v>0</v>
      </c>
      <c r="BF412" s="527">
        <v>0</v>
      </c>
      <c r="BG412" s="527">
        <v>0</v>
      </c>
      <c r="BH412" s="527">
        <v>0</v>
      </c>
      <c r="BI412" s="527">
        <v>0</v>
      </c>
      <c r="BJ412" s="527">
        <v>0</v>
      </c>
      <c r="BK412" s="1154">
        <f t="shared" si="45"/>
        <v>0</v>
      </c>
      <c r="BL412" s="1154"/>
      <c r="BM412" s="1154">
        <f t="shared" si="46"/>
        <v>0</v>
      </c>
      <c r="BN412" s="1154">
        <f t="shared" si="47"/>
        <v>0</v>
      </c>
      <c r="BO412" s="527"/>
      <c r="BP412" s="527"/>
      <c r="BQ412" s="1157" t="s">
        <v>2554</v>
      </c>
      <c r="BR412" s="1157" t="s">
        <v>690</v>
      </c>
      <c r="BS412" s="1157" t="s">
        <v>2570</v>
      </c>
      <c r="BT412" s="1376" t="s">
        <v>1716</v>
      </c>
    </row>
    <row r="413" spans="1:72" s="1371" customFormat="1" ht="13">
      <c r="A413" s="1204">
        <v>969</v>
      </c>
      <c r="B413" s="1205" t="s">
        <v>672</v>
      </c>
      <c r="C413" s="1205" t="s">
        <v>674</v>
      </c>
      <c r="D413" s="1206" t="s">
        <v>2518</v>
      </c>
      <c r="E413" s="1386" t="s">
        <v>528</v>
      </c>
      <c r="F413" s="521"/>
      <c r="G413" s="522"/>
      <c r="H413" s="522"/>
      <c r="I413" s="522"/>
      <c r="J413" s="523"/>
      <c r="K413" s="523"/>
      <c r="L413" s="523"/>
      <c r="M413" s="524"/>
      <c r="N413" s="525"/>
      <c r="O413" s="526" t="s">
        <v>1237</v>
      </c>
      <c r="P413" s="525">
        <f>'HIV-Key Info'!$H$86*(('HIV-Key Info'!$E$86*'HPM costs'!F33)+('HIV-Key Info'!$F$86*('HPM costs'!F36+'HPM costs'!F39)))</f>
        <v>0</v>
      </c>
      <c r="Q413" s="525" t="s">
        <v>1237</v>
      </c>
      <c r="R413" s="525">
        <f>'HIV-Key Info'!$H$86*(('HIV-Key Info'!$E$86*'HPM costs'!G33)+('HIV-Key Info'!$F$86*('HPM costs'!G36+'HPM costs'!G39)))</f>
        <v>0</v>
      </c>
      <c r="S413" s="525" t="s">
        <v>1237</v>
      </c>
      <c r="T413" s="525">
        <f>'HIV-Key Info'!$H$86*(('HIV-Key Info'!$E$86*'HPM costs'!H33)+('HIV-Key Info'!$F$86*('HPM costs'!H36+'HPM costs'!H39)))</f>
        <v>0</v>
      </c>
      <c r="U413" s="525" t="s">
        <v>1237</v>
      </c>
      <c r="V413" s="525">
        <f>'HIV-Key Info'!$H$86*(('HIV-Key Info'!$E$86*'HPM costs'!I33)+('HIV-Key Info'!$F$86*('HPM costs'!I36+'HPM costs'!I39)))</f>
        <v>0</v>
      </c>
      <c r="W413" s="525"/>
      <c r="X413" s="1154">
        <f t="shared" si="42"/>
        <v>0</v>
      </c>
      <c r="Y413" s="1155"/>
      <c r="Z413" s="1156"/>
      <c r="AA413" s="529"/>
      <c r="AB413" s="525"/>
      <c r="AC413" s="525">
        <f>'HIV-Key Info'!$H$86*(('HIV-Key Info'!$E$86*'HPM costs'!K33)+('HIV-Key Info'!$F$86*('HPM costs'!K36+'HPM costs'!K39)))</f>
        <v>0</v>
      </c>
      <c r="AD413" s="525"/>
      <c r="AE413" s="525">
        <f>'HIV-Key Info'!$H$86*(('HIV-Key Info'!$E$86*'HPM costs'!L33)+('HIV-Key Info'!$F$86*('HPM costs'!L36+'HPM costs'!L39)))</f>
        <v>0</v>
      </c>
      <c r="AF413" s="525"/>
      <c r="AG413" s="525">
        <f>'HIV-Key Info'!$H$86*(('HIV-Key Info'!$E$86*'HPM costs'!M33)+('HIV-Key Info'!$F$86*('HPM costs'!M36+'HPM costs'!M39)))</f>
        <v>0</v>
      </c>
      <c r="AH413" s="525"/>
      <c r="AI413" s="525">
        <f>'HIV-Key Info'!$H$86*(('HIV-Key Info'!$E$86*'HPM costs'!N33)+('HIV-Key Info'!$F$86*('HPM costs'!N36+'HPM costs'!N39)))</f>
        <v>0</v>
      </c>
      <c r="AJ413" s="525"/>
      <c r="AK413" s="1154">
        <f t="shared" si="43"/>
        <v>0</v>
      </c>
      <c r="AL413" s="1155"/>
      <c r="AM413" s="1156"/>
      <c r="AN413" s="529"/>
      <c r="AO413" s="525"/>
      <c r="AP413" s="525">
        <f>'HIV-Key Info'!$H$86*(('HIV-Key Info'!$E$86*'HPM costs'!P33)+('HIV-Key Info'!$F$86*('HPM costs'!P36+'HPM costs'!P39)))</f>
        <v>0</v>
      </c>
      <c r="AQ413" s="525"/>
      <c r="AR413" s="525">
        <f>'HIV-Key Info'!$H$86*(('HIV-Key Info'!$E$86*'HPM costs'!Q33)+('HIV-Key Info'!$F$86*('HPM costs'!Q36+'HPM costs'!Q39)))</f>
        <v>0</v>
      </c>
      <c r="AS413" s="525"/>
      <c r="AT413" s="525">
        <f>'HIV-Key Info'!$H$86*(('HIV-Key Info'!$E$86*'HPM costs'!R33)+('HIV-Key Info'!$F$86*('HPM costs'!R36+'HPM costs'!R39)))</f>
        <v>0</v>
      </c>
      <c r="AU413" s="525"/>
      <c r="AV413" s="525">
        <f>'HIV-Key Info'!$H$86*(('HIV-Key Info'!$E$86*'HPM costs'!S33)+('HIV-Key Info'!$F$86*('HPM costs'!S36+'HPM costs'!S39)))</f>
        <v>0</v>
      </c>
      <c r="AW413" s="525"/>
      <c r="AX413" s="1154">
        <f t="shared" si="44"/>
        <v>0</v>
      </c>
      <c r="AY413" s="1154"/>
      <c r="AZ413" s="528"/>
      <c r="BA413" s="529"/>
      <c r="BB413" s="527"/>
      <c r="BC413" s="527">
        <v>0</v>
      </c>
      <c r="BD413" s="527">
        <v>0</v>
      </c>
      <c r="BE413" s="527">
        <v>0</v>
      </c>
      <c r="BF413" s="527">
        <v>0</v>
      </c>
      <c r="BG413" s="527">
        <v>0</v>
      </c>
      <c r="BH413" s="527">
        <v>0</v>
      </c>
      <c r="BI413" s="527">
        <v>0</v>
      </c>
      <c r="BJ413" s="527">
        <v>0</v>
      </c>
      <c r="BK413" s="1154">
        <f t="shared" si="45"/>
        <v>0</v>
      </c>
      <c r="BL413" s="1154"/>
      <c r="BM413" s="1154">
        <f t="shared" si="46"/>
        <v>0</v>
      </c>
      <c r="BN413" s="1154">
        <f t="shared" si="47"/>
        <v>0</v>
      </c>
      <c r="BO413" s="527"/>
      <c r="BP413" s="527"/>
      <c r="BQ413" s="1157" t="s">
        <v>2554</v>
      </c>
      <c r="BR413" s="1157" t="s">
        <v>690</v>
      </c>
      <c r="BS413" s="1157" t="s">
        <v>527</v>
      </c>
      <c r="BT413" s="1376" t="s">
        <v>1717</v>
      </c>
    </row>
    <row r="414" spans="1:72" s="1371" customFormat="1" ht="13">
      <c r="A414" s="1204">
        <v>970</v>
      </c>
      <c r="B414" s="1205" t="s">
        <v>672</v>
      </c>
      <c r="C414" s="1205" t="s">
        <v>674</v>
      </c>
      <c r="D414" s="1206" t="s">
        <v>2518</v>
      </c>
      <c r="E414" s="1386" t="s">
        <v>530</v>
      </c>
      <c r="F414" s="521"/>
      <c r="G414" s="522"/>
      <c r="H414" s="522"/>
      <c r="I414" s="522"/>
      <c r="J414" s="523"/>
      <c r="K414" s="523"/>
      <c r="L414" s="523"/>
      <c r="M414" s="524"/>
      <c r="N414" s="525"/>
      <c r="O414" s="526" t="s">
        <v>1237</v>
      </c>
      <c r="P414" s="525">
        <f>'HIV-Key Info'!$H$86*(('HIV-Key Info'!$E$86*'HPM costs'!F119)+('HIV-Key Info'!$F$86*('HPM costs'!F122+'HPM costs'!F125)))</f>
        <v>0</v>
      </c>
      <c r="Q414" s="525" t="s">
        <v>1237</v>
      </c>
      <c r="R414" s="525">
        <f>'HIV-Key Info'!$H$86*(('HIV-Key Info'!$E$86*'HPM costs'!G119)+('HIV-Key Info'!$F$86*('HPM costs'!G122+'HPM costs'!G125)))</f>
        <v>0</v>
      </c>
      <c r="S414" s="525" t="s">
        <v>1237</v>
      </c>
      <c r="T414" s="525">
        <f>'HIV-Key Info'!$H$86*(('HIV-Key Info'!$E$86*'HPM costs'!H119)+('HIV-Key Info'!$F$86*('HPM costs'!H122+'HPM costs'!H125)))</f>
        <v>0</v>
      </c>
      <c r="U414" s="525" t="s">
        <v>1237</v>
      </c>
      <c r="V414" s="525">
        <f>'HIV-Key Info'!$H$86*(('HIV-Key Info'!$E$86*'HPM costs'!I119)+('HIV-Key Info'!$F$86*('HPM costs'!I122+'HPM costs'!I125)))</f>
        <v>0</v>
      </c>
      <c r="W414" s="525"/>
      <c r="X414" s="1154">
        <f t="shared" si="42"/>
        <v>0</v>
      </c>
      <c r="Y414" s="1155"/>
      <c r="Z414" s="1156"/>
      <c r="AA414" s="529"/>
      <c r="AB414" s="525"/>
      <c r="AC414" s="525">
        <f>'HIV-Key Info'!$H$86*(('HIV-Key Info'!$E$86*'HPM costs'!K119)+('HIV-Key Info'!$F$86*('HPM costs'!K122+'HPM costs'!K125)))</f>
        <v>0</v>
      </c>
      <c r="AD414" s="525"/>
      <c r="AE414" s="525">
        <f>'HIV-Key Info'!$H$86*(('HIV-Key Info'!$E$86*'HPM costs'!L119)+('HIV-Key Info'!$F$86*('HPM costs'!L122+'HPM costs'!L125)))</f>
        <v>0</v>
      </c>
      <c r="AF414" s="525"/>
      <c r="AG414" s="525">
        <f>'HIV-Key Info'!$H$86*(('HIV-Key Info'!$E$86*'HPM costs'!M119)+('HIV-Key Info'!$F$86*('HPM costs'!M122+'HPM costs'!M125)))</f>
        <v>0</v>
      </c>
      <c r="AH414" s="525"/>
      <c r="AI414" s="525">
        <f>'HIV-Key Info'!$H$86*(('HIV-Key Info'!$E$86*'HPM costs'!N119)+('HIV-Key Info'!$F$86*('HPM costs'!N122+'HPM costs'!N125)))</f>
        <v>0</v>
      </c>
      <c r="AJ414" s="525"/>
      <c r="AK414" s="1154">
        <f t="shared" si="43"/>
        <v>0</v>
      </c>
      <c r="AL414" s="1155"/>
      <c r="AM414" s="1156"/>
      <c r="AN414" s="529"/>
      <c r="AO414" s="525"/>
      <c r="AP414" s="525">
        <f>'HIV-Key Info'!$H$86*(('HIV-Key Info'!$E$86*'HPM costs'!P119)+('HIV-Key Info'!$F$86*('HPM costs'!P122+'HPM costs'!P125)))</f>
        <v>0</v>
      </c>
      <c r="AQ414" s="525"/>
      <c r="AR414" s="525">
        <f>'HIV-Key Info'!$H$86*(('HIV-Key Info'!$E$86*'HPM costs'!Q119)+('HIV-Key Info'!$F$86*('HPM costs'!Q122+'HPM costs'!Q125)))</f>
        <v>0</v>
      </c>
      <c r="AS414" s="525"/>
      <c r="AT414" s="525">
        <f>'HIV-Key Info'!$H$86*(('HIV-Key Info'!$E$86*'HPM costs'!R119)+('HIV-Key Info'!$F$86*('HPM costs'!R122+'HPM costs'!R125)))</f>
        <v>0</v>
      </c>
      <c r="AU414" s="525"/>
      <c r="AV414" s="525">
        <f>'HIV-Key Info'!$H$86*(('HIV-Key Info'!$E$86*'HPM costs'!S119)+('HIV-Key Info'!$F$86*('HPM costs'!S122+'HPM costs'!S125)))</f>
        <v>0</v>
      </c>
      <c r="AW414" s="525"/>
      <c r="AX414" s="1154">
        <f t="shared" si="44"/>
        <v>0</v>
      </c>
      <c r="AY414" s="1154"/>
      <c r="AZ414" s="528"/>
      <c r="BA414" s="529"/>
      <c r="BB414" s="527"/>
      <c r="BC414" s="527">
        <v>0</v>
      </c>
      <c r="BD414" s="527">
        <v>0</v>
      </c>
      <c r="BE414" s="527">
        <v>0</v>
      </c>
      <c r="BF414" s="527">
        <v>0</v>
      </c>
      <c r="BG414" s="527">
        <v>0</v>
      </c>
      <c r="BH414" s="527">
        <v>0</v>
      </c>
      <c r="BI414" s="527">
        <v>0</v>
      </c>
      <c r="BJ414" s="527">
        <v>0</v>
      </c>
      <c r="BK414" s="1154">
        <f t="shared" si="45"/>
        <v>0</v>
      </c>
      <c r="BL414" s="1154"/>
      <c r="BM414" s="1154">
        <f t="shared" si="46"/>
        <v>0</v>
      </c>
      <c r="BN414" s="1154">
        <f t="shared" si="47"/>
        <v>0</v>
      </c>
      <c r="BO414" s="527"/>
      <c r="BP414" s="527"/>
      <c r="BQ414" s="1157" t="s">
        <v>2554</v>
      </c>
      <c r="BR414" s="1157" t="s">
        <v>690</v>
      </c>
      <c r="BS414" s="1157" t="s">
        <v>527</v>
      </c>
      <c r="BT414" s="1376" t="s">
        <v>1718</v>
      </c>
    </row>
    <row r="415" spans="1:72" s="1371" customFormat="1" ht="13">
      <c r="A415" s="1204">
        <v>971</v>
      </c>
      <c r="B415" s="1205" t="s">
        <v>672</v>
      </c>
      <c r="C415" s="1205" t="s">
        <v>674</v>
      </c>
      <c r="D415" s="1206" t="s">
        <v>2518</v>
      </c>
      <c r="E415" s="1386" t="s">
        <v>532</v>
      </c>
      <c r="F415" s="521"/>
      <c r="G415" s="522"/>
      <c r="H415" s="522"/>
      <c r="I415" s="522"/>
      <c r="J415" s="523"/>
      <c r="K415" s="523"/>
      <c r="L415" s="523"/>
      <c r="M415" s="524"/>
      <c r="N415" s="525"/>
      <c r="O415" s="526" t="s">
        <v>1237</v>
      </c>
      <c r="P415" s="525">
        <f>'HIV-Key Info'!$H$86*(('HIV-Key Info'!$E$86*'HPM costs'!F379)+('HIV-Key Info'!$F$86*('HPM costs'!F382+'HPM costs'!F385)))</f>
        <v>0</v>
      </c>
      <c r="Q415" s="525" t="s">
        <v>1237</v>
      </c>
      <c r="R415" s="525">
        <f>'HIV-Key Info'!$H$86*(('HIV-Key Info'!$E$86*'HPM costs'!G379)+('HIV-Key Info'!$F$86*('HPM costs'!G382+'HPM costs'!G385)))</f>
        <v>0</v>
      </c>
      <c r="S415" s="525" t="s">
        <v>1237</v>
      </c>
      <c r="T415" s="525">
        <f>'HIV-Key Info'!$H$86*(('HIV-Key Info'!$E$86*'HPM costs'!H379)+('HIV-Key Info'!$F$86*('HPM costs'!H382+'HPM costs'!H385)))</f>
        <v>0</v>
      </c>
      <c r="U415" s="525" t="s">
        <v>1237</v>
      </c>
      <c r="V415" s="525">
        <f>'HIV-Key Info'!$H$86*(('HIV-Key Info'!$E$86*'HPM costs'!I379)+('HIV-Key Info'!$F$86*('HPM costs'!I382+'HPM costs'!I385)))</f>
        <v>0</v>
      </c>
      <c r="W415" s="525"/>
      <c r="X415" s="1154">
        <f t="shared" si="42"/>
        <v>0</v>
      </c>
      <c r="Y415" s="1155"/>
      <c r="Z415" s="1156"/>
      <c r="AA415" s="529"/>
      <c r="AB415" s="525"/>
      <c r="AC415" s="525">
        <f>'HIV-Key Info'!$H$86*(('HIV-Key Info'!$E$86*'HPM costs'!K379)+('HIV-Key Info'!$F$86*('HPM costs'!K382+'HPM costs'!K385)))</f>
        <v>0</v>
      </c>
      <c r="AD415" s="525"/>
      <c r="AE415" s="525">
        <f>'HIV-Key Info'!$H$86*(('HIV-Key Info'!$E$86*'HPM costs'!L379)+('HIV-Key Info'!$F$86*('HPM costs'!L382+'HPM costs'!L385)))</f>
        <v>0</v>
      </c>
      <c r="AF415" s="525"/>
      <c r="AG415" s="525">
        <f>'HIV-Key Info'!$H$86*(('HIV-Key Info'!$E$86*'HPM costs'!M379)+('HIV-Key Info'!$F$86*('HPM costs'!M382+'HPM costs'!M385)))</f>
        <v>0</v>
      </c>
      <c r="AH415" s="525"/>
      <c r="AI415" s="525">
        <f>'HIV-Key Info'!$H$86*(('HIV-Key Info'!$E$86*'HPM costs'!N379)+('HIV-Key Info'!$F$86*('HPM costs'!N382+'HPM costs'!N385)))</f>
        <v>0</v>
      </c>
      <c r="AJ415" s="525"/>
      <c r="AK415" s="1154">
        <f t="shared" si="43"/>
        <v>0</v>
      </c>
      <c r="AL415" s="1155"/>
      <c r="AM415" s="1156"/>
      <c r="AN415" s="529"/>
      <c r="AO415" s="525"/>
      <c r="AP415" s="525">
        <f>'HIV-Key Info'!$H$86*(('HIV-Key Info'!$E$86*'HPM costs'!P379)+('HIV-Key Info'!$F$86*('HPM costs'!P382+'HPM costs'!P385)))</f>
        <v>0</v>
      </c>
      <c r="AQ415" s="525"/>
      <c r="AR415" s="525">
        <f>'HIV-Key Info'!$H$86*(('HIV-Key Info'!$E$86*'HPM costs'!Q379)+('HIV-Key Info'!$F$86*('HPM costs'!Q382+'HPM costs'!Q385)))</f>
        <v>0</v>
      </c>
      <c r="AS415" s="525"/>
      <c r="AT415" s="525">
        <f>'HIV-Key Info'!$H$86*(('HIV-Key Info'!$E$86*'HPM costs'!R379)+('HIV-Key Info'!$F$86*('HPM costs'!R382+'HPM costs'!R385)))</f>
        <v>0</v>
      </c>
      <c r="AU415" s="525"/>
      <c r="AV415" s="525">
        <f>'HIV-Key Info'!$H$86*(('HIV-Key Info'!$E$86*'HPM costs'!S379)+('HIV-Key Info'!$F$86*('HPM costs'!S382+'HPM costs'!S385)))</f>
        <v>0</v>
      </c>
      <c r="AW415" s="525"/>
      <c r="AX415" s="1154">
        <f t="shared" si="44"/>
        <v>0</v>
      </c>
      <c r="AY415" s="1154"/>
      <c r="AZ415" s="528"/>
      <c r="BA415" s="529"/>
      <c r="BB415" s="527"/>
      <c r="BC415" s="527">
        <v>0</v>
      </c>
      <c r="BD415" s="527">
        <v>0</v>
      </c>
      <c r="BE415" s="527">
        <v>0</v>
      </c>
      <c r="BF415" s="527">
        <v>0</v>
      </c>
      <c r="BG415" s="527">
        <v>0</v>
      </c>
      <c r="BH415" s="527">
        <v>0</v>
      </c>
      <c r="BI415" s="527">
        <v>0</v>
      </c>
      <c r="BJ415" s="527">
        <v>0</v>
      </c>
      <c r="BK415" s="1154">
        <f t="shared" si="45"/>
        <v>0</v>
      </c>
      <c r="BL415" s="1154"/>
      <c r="BM415" s="1154">
        <f t="shared" si="46"/>
        <v>0</v>
      </c>
      <c r="BN415" s="1154">
        <f t="shared" si="47"/>
        <v>0</v>
      </c>
      <c r="BO415" s="527"/>
      <c r="BP415" s="527"/>
      <c r="BQ415" s="1157" t="s">
        <v>2554</v>
      </c>
      <c r="BR415" s="1157" t="s">
        <v>690</v>
      </c>
      <c r="BS415" s="1157" t="s">
        <v>527</v>
      </c>
      <c r="BT415" s="1376" t="s">
        <v>1719</v>
      </c>
    </row>
    <row r="416" spans="1:72" s="1371" customFormat="1" ht="13">
      <c r="A416" s="1204">
        <v>972</v>
      </c>
      <c r="B416" s="1205" t="s">
        <v>672</v>
      </c>
      <c r="C416" s="1205" t="s">
        <v>674</v>
      </c>
      <c r="D416" s="1206" t="s">
        <v>2518</v>
      </c>
      <c r="E416" s="1386" t="s">
        <v>534</v>
      </c>
      <c r="F416" s="521"/>
      <c r="G416" s="522"/>
      <c r="H416" s="522"/>
      <c r="I416" s="522"/>
      <c r="J416" s="523"/>
      <c r="K416" s="523"/>
      <c r="L416" s="523"/>
      <c r="M416" s="524"/>
      <c r="N416" s="525"/>
      <c r="O416" s="526" t="s">
        <v>1237</v>
      </c>
      <c r="P416" s="525">
        <f>'HIV-Key Info'!$H$86*(('HIV-Key Info'!$E$86*'HPM costs'!F465)+('HIV-Key Info'!$F$86*('HPM costs'!F468+'HPM costs'!F471)))</f>
        <v>0</v>
      </c>
      <c r="Q416" s="525" t="s">
        <v>1237</v>
      </c>
      <c r="R416" s="525">
        <f>'HIV-Key Info'!$H$86*(('HIV-Key Info'!$E$86*'HPM costs'!G465)+('HIV-Key Info'!$F$86*('HPM costs'!G468+'HPM costs'!G471)))</f>
        <v>0</v>
      </c>
      <c r="S416" s="525" t="s">
        <v>1237</v>
      </c>
      <c r="T416" s="525">
        <f>'HIV-Key Info'!$H$86*(('HIV-Key Info'!$E$86*'HPM costs'!H465)+('HIV-Key Info'!$F$86*('HPM costs'!H468+'HPM costs'!H471)))</f>
        <v>0</v>
      </c>
      <c r="U416" s="525" t="s">
        <v>1237</v>
      </c>
      <c r="V416" s="525">
        <f>'HIV-Key Info'!$H$86*(('HIV-Key Info'!$E$86*'HPM costs'!I465)+('HIV-Key Info'!$F$86*('HPM costs'!I468+'HPM costs'!I471)))</f>
        <v>0</v>
      </c>
      <c r="W416" s="525"/>
      <c r="X416" s="1154">
        <f t="shared" si="42"/>
        <v>0</v>
      </c>
      <c r="Y416" s="1155"/>
      <c r="Z416" s="1156"/>
      <c r="AA416" s="529"/>
      <c r="AB416" s="525"/>
      <c r="AC416" s="525">
        <f>'HIV-Key Info'!$H$86*(('HIV-Key Info'!$E$86*'HPM costs'!K465)+('HIV-Key Info'!$F$86*('HPM costs'!K468+'HPM costs'!K471)))</f>
        <v>0</v>
      </c>
      <c r="AD416" s="525"/>
      <c r="AE416" s="525">
        <f>'HIV-Key Info'!$H$86*(('HIV-Key Info'!$E$86*'HPM costs'!L465)+('HIV-Key Info'!$F$86*('HPM costs'!L468+'HPM costs'!L471)))</f>
        <v>0</v>
      </c>
      <c r="AF416" s="525"/>
      <c r="AG416" s="525">
        <f>'HIV-Key Info'!$H$86*(('HIV-Key Info'!$E$86*'HPM costs'!M465)+('HIV-Key Info'!$F$86*('HPM costs'!M468+'HPM costs'!M471)))</f>
        <v>0</v>
      </c>
      <c r="AH416" s="525"/>
      <c r="AI416" s="525">
        <f>'HIV-Key Info'!$H$86*(('HIV-Key Info'!$E$86*'HPM costs'!N465)+('HIV-Key Info'!$F$86*('HPM costs'!N468+'HPM costs'!N471)))</f>
        <v>0</v>
      </c>
      <c r="AJ416" s="525"/>
      <c r="AK416" s="1154">
        <f t="shared" si="43"/>
        <v>0</v>
      </c>
      <c r="AL416" s="1155"/>
      <c r="AM416" s="1156"/>
      <c r="AN416" s="529"/>
      <c r="AO416" s="525"/>
      <c r="AP416" s="525">
        <f>'HIV-Key Info'!$H$86*(('HIV-Key Info'!$E$86*'HPM costs'!P465)+('HIV-Key Info'!$F$86*('HPM costs'!P468+'HPM costs'!P471)))</f>
        <v>0</v>
      </c>
      <c r="AQ416" s="525"/>
      <c r="AR416" s="525">
        <f>'HIV-Key Info'!$H$86*(('HIV-Key Info'!$E$86*'HPM costs'!Q465)+('HIV-Key Info'!$F$86*('HPM costs'!Q468+'HPM costs'!Q471)))</f>
        <v>0</v>
      </c>
      <c r="AS416" s="525"/>
      <c r="AT416" s="525">
        <f>'HIV-Key Info'!$H$86*(('HIV-Key Info'!$E$86*'HPM costs'!R465)+('HIV-Key Info'!$F$86*('HPM costs'!R468+'HPM costs'!R471)))</f>
        <v>0</v>
      </c>
      <c r="AU416" s="525"/>
      <c r="AV416" s="525">
        <f>'HIV-Key Info'!$H$86*(('HIV-Key Info'!$E$86*'HPM costs'!S465)+('HIV-Key Info'!$F$86*('HPM costs'!S468+'HPM costs'!S471)))</f>
        <v>0</v>
      </c>
      <c r="AW416" s="525"/>
      <c r="AX416" s="1154">
        <f t="shared" si="44"/>
        <v>0</v>
      </c>
      <c r="AY416" s="1154"/>
      <c r="AZ416" s="528"/>
      <c r="BA416" s="529"/>
      <c r="BB416" s="527"/>
      <c r="BC416" s="527">
        <v>0</v>
      </c>
      <c r="BD416" s="527">
        <v>0</v>
      </c>
      <c r="BE416" s="527">
        <v>0</v>
      </c>
      <c r="BF416" s="527">
        <v>0</v>
      </c>
      <c r="BG416" s="527">
        <v>0</v>
      </c>
      <c r="BH416" s="527">
        <v>0</v>
      </c>
      <c r="BI416" s="527">
        <v>0</v>
      </c>
      <c r="BJ416" s="527">
        <v>0</v>
      </c>
      <c r="BK416" s="1154">
        <f t="shared" si="45"/>
        <v>0</v>
      </c>
      <c r="BL416" s="1154"/>
      <c r="BM416" s="1154">
        <f t="shared" si="46"/>
        <v>0</v>
      </c>
      <c r="BN416" s="1154">
        <f t="shared" si="47"/>
        <v>0</v>
      </c>
      <c r="BO416" s="527"/>
      <c r="BP416" s="527"/>
      <c r="BQ416" s="1157" t="s">
        <v>2554</v>
      </c>
      <c r="BR416" s="1157" t="s">
        <v>690</v>
      </c>
      <c r="BS416" s="1157" t="s">
        <v>527</v>
      </c>
      <c r="BT416" s="1376" t="s">
        <v>1720</v>
      </c>
    </row>
    <row r="417" spans="1:72" s="1371" customFormat="1" ht="13">
      <c r="A417" s="1204">
        <v>973</v>
      </c>
      <c r="B417" s="1205" t="s">
        <v>672</v>
      </c>
      <c r="C417" s="1205" t="s">
        <v>674</v>
      </c>
      <c r="D417" s="1206" t="s">
        <v>2518</v>
      </c>
      <c r="E417" s="1386" t="s">
        <v>536</v>
      </c>
      <c r="F417" s="521"/>
      <c r="G417" s="522"/>
      <c r="H417" s="522"/>
      <c r="I417" s="522"/>
      <c r="J417" s="523"/>
      <c r="K417" s="523"/>
      <c r="L417" s="523"/>
      <c r="M417" s="524"/>
      <c r="N417" s="525"/>
      <c r="O417" s="526" t="s">
        <v>1237</v>
      </c>
      <c r="P417" s="525">
        <f>'HIV-Key Info'!$H$86*(('HIV-Key Info'!$E$86*('HPM costs'!F205+'HPM costs'!F551))+('HIV-Key Info'!$F$86*('HPM costs'!F208+'HPM costs'!F211+'HPM costs'!F554+'HPM costs'!F557)))</f>
        <v>0</v>
      </c>
      <c r="Q417" s="525" t="s">
        <v>1237</v>
      </c>
      <c r="R417" s="525">
        <f>'HIV-Key Info'!$H$86*(('HIV-Key Info'!$E$86*('HPM costs'!G205+'HPM costs'!G551))+('HIV-Key Info'!$F$86*('HPM costs'!G208+'HPM costs'!G211+'HPM costs'!G554+'HPM costs'!G557)))</f>
        <v>0</v>
      </c>
      <c r="S417" s="525" t="s">
        <v>1237</v>
      </c>
      <c r="T417" s="525">
        <f>'HIV-Key Info'!$H$86*(('HIV-Key Info'!$E$86*('HPM costs'!H205+'HPM costs'!H551))+('HIV-Key Info'!$F$86*('HPM costs'!H208+'HPM costs'!H211+'HPM costs'!H554+'HPM costs'!H557)))</f>
        <v>0</v>
      </c>
      <c r="U417" s="525" t="s">
        <v>1237</v>
      </c>
      <c r="V417" s="525">
        <f>'HIV-Key Info'!$H$86*(('HIV-Key Info'!$E$86*('HPM costs'!I205+'HPM costs'!I551))+('HIV-Key Info'!$F$86*('HPM costs'!I208+'HPM costs'!I211+'HPM costs'!I554+'HPM costs'!I557)))</f>
        <v>0</v>
      </c>
      <c r="W417" s="525"/>
      <c r="X417" s="1154">
        <f t="shared" si="42"/>
        <v>0</v>
      </c>
      <c r="Y417" s="1155"/>
      <c r="Z417" s="1156"/>
      <c r="AA417" s="529"/>
      <c r="AB417" s="525"/>
      <c r="AC417" s="525">
        <f>'HIV-Key Info'!$H$86*(('HIV-Key Info'!$E$86*('HPM costs'!K205+'HPM costs'!K551))+('HIV-Key Info'!$F$86*('HPM costs'!K208+'HPM costs'!K211+'HPM costs'!K554+'HPM costs'!K557)))</f>
        <v>0</v>
      </c>
      <c r="AD417" s="525"/>
      <c r="AE417" s="525">
        <f>'HIV-Key Info'!$H$86*(('HIV-Key Info'!$E$86*('HPM costs'!L205+'HPM costs'!L551))+('HIV-Key Info'!$F$86*('HPM costs'!L208+'HPM costs'!L211+'HPM costs'!L554+'HPM costs'!L557)))</f>
        <v>0</v>
      </c>
      <c r="AF417" s="525"/>
      <c r="AG417" s="525">
        <f>'HIV-Key Info'!$H$86*(('HIV-Key Info'!$E$86*('HPM costs'!M205+'HPM costs'!M551))+('HIV-Key Info'!$F$86*('HPM costs'!M208+'HPM costs'!M211+'HPM costs'!M554+'HPM costs'!M557)))</f>
        <v>0</v>
      </c>
      <c r="AH417" s="525"/>
      <c r="AI417" s="525">
        <f>'HIV-Key Info'!$H$86*(('HIV-Key Info'!$E$86*('HPM costs'!N205+'HPM costs'!N551))+('HIV-Key Info'!$F$86*('HPM costs'!N208+'HPM costs'!N211+'HPM costs'!N554+'HPM costs'!N557)))</f>
        <v>0</v>
      </c>
      <c r="AJ417" s="525"/>
      <c r="AK417" s="1154">
        <f t="shared" si="43"/>
        <v>0</v>
      </c>
      <c r="AL417" s="1155"/>
      <c r="AM417" s="1156"/>
      <c r="AN417" s="529"/>
      <c r="AO417" s="525"/>
      <c r="AP417" s="525">
        <f>'HIV-Key Info'!$H$86*(('HIV-Key Info'!$E$86*('HPM costs'!P205+'HPM costs'!P551))+('HIV-Key Info'!$F$86*('HPM costs'!P208+'HPM costs'!P211+'HPM costs'!P554+'HPM costs'!P557)))</f>
        <v>0</v>
      </c>
      <c r="AQ417" s="525"/>
      <c r="AR417" s="525">
        <f>'HIV-Key Info'!$H$86*(('HIV-Key Info'!$E$86*('HPM costs'!Q205+'HPM costs'!Q551))+('HIV-Key Info'!$F$86*('HPM costs'!Q208+'HPM costs'!Q211+'HPM costs'!Q554+'HPM costs'!Q557)))</f>
        <v>0</v>
      </c>
      <c r="AS417" s="525"/>
      <c r="AT417" s="525">
        <f>'HIV-Key Info'!$H$86*(('HIV-Key Info'!$E$86*('HPM costs'!R205+'HPM costs'!R551))+('HIV-Key Info'!$F$86*('HPM costs'!R208+'HPM costs'!R211+'HPM costs'!R554+'HPM costs'!R557)))</f>
        <v>0</v>
      </c>
      <c r="AU417" s="525"/>
      <c r="AV417" s="525">
        <f>'HIV-Key Info'!$H$86*(('HIV-Key Info'!$E$86*('HPM costs'!S205+'HPM costs'!S551))+('HIV-Key Info'!$F$86*('HPM costs'!S208+'HPM costs'!S211+'HPM costs'!S554+'HPM costs'!S557)))</f>
        <v>0</v>
      </c>
      <c r="AW417" s="525"/>
      <c r="AX417" s="1154">
        <f t="shared" si="44"/>
        <v>0</v>
      </c>
      <c r="AY417" s="1154"/>
      <c r="AZ417" s="528"/>
      <c r="BA417" s="529"/>
      <c r="BB417" s="527"/>
      <c r="BC417" s="527">
        <v>0</v>
      </c>
      <c r="BD417" s="527">
        <v>0</v>
      </c>
      <c r="BE417" s="527">
        <v>0</v>
      </c>
      <c r="BF417" s="527">
        <v>0</v>
      </c>
      <c r="BG417" s="527">
        <v>0</v>
      </c>
      <c r="BH417" s="527">
        <v>0</v>
      </c>
      <c r="BI417" s="527">
        <v>0</v>
      </c>
      <c r="BJ417" s="527">
        <v>0</v>
      </c>
      <c r="BK417" s="1154">
        <f t="shared" si="45"/>
        <v>0</v>
      </c>
      <c r="BL417" s="1154"/>
      <c r="BM417" s="1154">
        <f t="shared" si="46"/>
        <v>0</v>
      </c>
      <c r="BN417" s="1154">
        <f t="shared" si="47"/>
        <v>0</v>
      </c>
      <c r="BO417" s="527"/>
      <c r="BP417" s="527"/>
      <c r="BQ417" s="1157" t="s">
        <v>2554</v>
      </c>
      <c r="BR417" s="1157" t="s">
        <v>690</v>
      </c>
      <c r="BS417" s="1157" t="s">
        <v>527</v>
      </c>
      <c r="BT417" s="1376" t="s">
        <v>1721</v>
      </c>
    </row>
    <row r="418" spans="1:72" s="1371" customFormat="1" ht="13">
      <c r="A418" s="1204">
        <v>974</v>
      </c>
      <c r="B418" s="1205" t="s">
        <v>672</v>
      </c>
      <c r="C418" s="1205" t="s">
        <v>674</v>
      </c>
      <c r="D418" s="1206" t="s">
        <v>2518</v>
      </c>
      <c r="E418" s="1386" t="s">
        <v>538</v>
      </c>
      <c r="F418" s="521"/>
      <c r="G418" s="522"/>
      <c r="H418" s="522"/>
      <c r="I418" s="522"/>
      <c r="J418" s="523"/>
      <c r="K418" s="523"/>
      <c r="L418" s="523"/>
      <c r="M418" s="524"/>
      <c r="N418" s="525"/>
      <c r="O418" s="526" t="s">
        <v>1237</v>
      </c>
      <c r="P418" s="525">
        <f>'HIV-Key Info'!$H$86*(('HIV-Key Info'!$E$86*'HPM costs'!F291)+('HIV-Key Info'!$F$86*('HPM costs'!F294+'HPM costs'!F297)))</f>
        <v>0</v>
      </c>
      <c r="Q418" s="525" t="s">
        <v>1237</v>
      </c>
      <c r="R418" s="525">
        <f>'HIV-Key Info'!$H$86*(('HIV-Key Info'!$E$86*'HPM costs'!G291)+('HIV-Key Info'!$F$86*('HPM costs'!G294+'HPM costs'!G297)))</f>
        <v>0</v>
      </c>
      <c r="S418" s="525" t="s">
        <v>1237</v>
      </c>
      <c r="T418" s="525">
        <f>'HIV-Key Info'!$H$86*(('HIV-Key Info'!$E$86*'HPM costs'!H291)+('HIV-Key Info'!$F$86*('HPM costs'!H294+'HPM costs'!H297)))</f>
        <v>0</v>
      </c>
      <c r="U418" s="525" t="s">
        <v>1237</v>
      </c>
      <c r="V418" s="525">
        <f>'HIV-Key Info'!$H$86*(('HIV-Key Info'!$E$86*'HPM costs'!I291)+('HIV-Key Info'!$F$86*('HPM costs'!I294+'HPM costs'!I297)))</f>
        <v>0</v>
      </c>
      <c r="W418" s="525"/>
      <c r="X418" s="1154">
        <f t="shared" si="42"/>
        <v>0</v>
      </c>
      <c r="Y418" s="1155"/>
      <c r="Z418" s="1156"/>
      <c r="AA418" s="529"/>
      <c r="AB418" s="525"/>
      <c r="AC418" s="525">
        <f>'HIV-Key Info'!$H$86*(('HIV-Key Info'!$E$86*'HPM costs'!K291)+('HIV-Key Info'!$F$86*('HPM costs'!K294+'HPM costs'!K297)))</f>
        <v>0</v>
      </c>
      <c r="AD418" s="525"/>
      <c r="AE418" s="525">
        <f>'HIV-Key Info'!$H$86*(('HIV-Key Info'!$E$86*'HPM costs'!L291)+('HIV-Key Info'!$F$86*('HPM costs'!L294+'HPM costs'!L297)))</f>
        <v>0</v>
      </c>
      <c r="AF418" s="525"/>
      <c r="AG418" s="525">
        <f>'HIV-Key Info'!$H$86*(('HIV-Key Info'!$E$86*'HPM costs'!M291)+('HIV-Key Info'!$F$86*('HPM costs'!M294+'HPM costs'!M297)))</f>
        <v>0</v>
      </c>
      <c r="AH418" s="525"/>
      <c r="AI418" s="525">
        <f>'HIV-Key Info'!$H$86*(('HIV-Key Info'!$E$86*'HPM costs'!N291)+('HIV-Key Info'!$F$86*('HPM costs'!N294+'HPM costs'!N297)))</f>
        <v>0</v>
      </c>
      <c r="AJ418" s="525"/>
      <c r="AK418" s="1154">
        <f t="shared" si="43"/>
        <v>0</v>
      </c>
      <c r="AL418" s="1155"/>
      <c r="AM418" s="1156"/>
      <c r="AN418" s="529"/>
      <c r="AO418" s="525"/>
      <c r="AP418" s="525">
        <f>'HIV-Key Info'!$H$86*(('HIV-Key Info'!$E$86*'HPM costs'!P291)+('HIV-Key Info'!$F$86*('HPM costs'!P294+'HPM costs'!P297)))</f>
        <v>0</v>
      </c>
      <c r="AQ418" s="525"/>
      <c r="AR418" s="525">
        <f>'HIV-Key Info'!$H$86*(('HIV-Key Info'!$E$86*'HPM costs'!Q291)+('HIV-Key Info'!$F$86*('HPM costs'!Q294+'HPM costs'!Q297)))</f>
        <v>0</v>
      </c>
      <c r="AS418" s="525"/>
      <c r="AT418" s="525">
        <f>'HIV-Key Info'!$H$86*(('HIV-Key Info'!$E$86*'HPM costs'!R291)+('HIV-Key Info'!$F$86*('HPM costs'!R294+'HPM costs'!R297)))</f>
        <v>0</v>
      </c>
      <c r="AU418" s="525"/>
      <c r="AV418" s="525">
        <f>'HIV-Key Info'!$H$86*(('HIV-Key Info'!$E$86*'HPM costs'!S291)+('HIV-Key Info'!$F$86*('HPM costs'!S294+'HPM costs'!S297)))</f>
        <v>0</v>
      </c>
      <c r="AW418" s="525"/>
      <c r="AX418" s="1154">
        <f t="shared" si="44"/>
        <v>0</v>
      </c>
      <c r="AY418" s="1154"/>
      <c r="AZ418" s="528"/>
      <c r="BA418" s="529"/>
      <c r="BB418" s="527"/>
      <c r="BC418" s="527">
        <v>0</v>
      </c>
      <c r="BD418" s="527">
        <v>0</v>
      </c>
      <c r="BE418" s="527">
        <v>0</v>
      </c>
      <c r="BF418" s="527">
        <v>0</v>
      </c>
      <c r="BG418" s="527">
        <v>0</v>
      </c>
      <c r="BH418" s="527">
        <v>0</v>
      </c>
      <c r="BI418" s="527">
        <v>0</v>
      </c>
      <c r="BJ418" s="527">
        <v>0</v>
      </c>
      <c r="BK418" s="1154">
        <f t="shared" si="45"/>
        <v>0</v>
      </c>
      <c r="BL418" s="1154"/>
      <c r="BM418" s="1154">
        <f t="shared" si="46"/>
        <v>0</v>
      </c>
      <c r="BN418" s="1154">
        <f t="shared" si="47"/>
        <v>0</v>
      </c>
      <c r="BO418" s="527"/>
      <c r="BP418" s="527"/>
      <c r="BQ418" s="1157" t="s">
        <v>2554</v>
      </c>
      <c r="BR418" s="1157" t="s">
        <v>690</v>
      </c>
      <c r="BS418" s="1157" t="s">
        <v>527</v>
      </c>
      <c r="BT418" s="1376" t="s">
        <v>1722</v>
      </c>
    </row>
    <row r="419" spans="1:72" s="1371" customFormat="1" ht="13">
      <c r="A419" s="1204">
        <v>975</v>
      </c>
      <c r="B419" s="1205" t="s">
        <v>672</v>
      </c>
      <c r="C419" s="1205" t="s">
        <v>674</v>
      </c>
      <c r="D419" s="1206" t="s">
        <v>2518</v>
      </c>
      <c r="E419" s="1386" t="s">
        <v>540</v>
      </c>
      <c r="F419" s="521"/>
      <c r="G419" s="522"/>
      <c r="H419" s="522"/>
      <c r="I419" s="522"/>
      <c r="J419" s="523"/>
      <c r="K419" s="523"/>
      <c r="L419" s="523"/>
      <c r="M419" s="524"/>
      <c r="N419" s="525"/>
      <c r="O419" s="526" t="s">
        <v>1237</v>
      </c>
      <c r="P419" s="525">
        <f>'HIV-Key Info'!$H$86*(('HIV-Key Info'!$E$86*'HPM costs'!F636)+('HIV-Key Info'!$F$86*('HPM costs'!F639+'HPM costs'!F642)))</f>
        <v>0</v>
      </c>
      <c r="Q419" s="525" t="s">
        <v>1237</v>
      </c>
      <c r="R419" s="525">
        <f>'HIV-Key Info'!$H$86*(('HIV-Key Info'!$E$86*'HPM costs'!G636)+('HIV-Key Info'!$F$86*('HPM costs'!G639+'HPM costs'!G642)))</f>
        <v>0</v>
      </c>
      <c r="S419" s="525" t="s">
        <v>1237</v>
      </c>
      <c r="T419" s="525">
        <f>'HIV-Key Info'!$H$86*(('HIV-Key Info'!$E$86*'HPM costs'!H636)+('HIV-Key Info'!$F$86*('HPM costs'!H639+'HPM costs'!H642)))</f>
        <v>0</v>
      </c>
      <c r="U419" s="525" t="s">
        <v>1237</v>
      </c>
      <c r="V419" s="525">
        <f>'HIV-Key Info'!$H$86*(('HIV-Key Info'!$E$86*'HPM costs'!I636)+('HIV-Key Info'!$F$86*('HPM costs'!I639+'HPM costs'!I642)))</f>
        <v>0</v>
      </c>
      <c r="W419" s="525"/>
      <c r="X419" s="1154">
        <f t="shared" si="42"/>
        <v>0</v>
      </c>
      <c r="Y419" s="1155"/>
      <c r="Z419" s="1156"/>
      <c r="AA419" s="529"/>
      <c r="AB419" s="525"/>
      <c r="AC419" s="525">
        <f>'HIV-Key Info'!$H$86*(('HIV-Key Info'!$E$86*'HPM costs'!K636)+('HIV-Key Info'!$F$86*('HPM costs'!K639+'HPM costs'!K642)))</f>
        <v>0</v>
      </c>
      <c r="AD419" s="525"/>
      <c r="AE419" s="525">
        <f>'HIV-Key Info'!$H$86*(('HIV-Key Info'!$E$86*'HPM costs'!L636)+('HIV-Key Info'!$F$86*('HPM costs'!L639+'HPM costs'!L642)))</f>
        <v>0</v>
      </c>
      <c r="AF419" s="525"/>
      <c r="AG419" s="525">
        <f>'HIV-Key Info'!$H$86*(('HIV-Key Info'!$E$86*'HPM costs'!M636)+('HIV-Key Info'!$F$86*('HPM costs'!M639+'HPM costs'!M642)))</f>
        <v>0</v>
      </c>
      <c r="AH419" s="525"/>
      <c r="AI419" s="525">
        <f>'HIV-Key Info'!$H$86*(('HIV-Key Info'!$E$86*'HPM costs'!N636)+('HIV-Key Info'!$F$86*('HPM costs'!N639+'HPM costs'!N642)))</f>
        <v>0</v>
      </c>
      <c r="AJ419" s="525"/>
      <c r="AK419" s="1154">
        <f t="shared" si="43"/>
        <v>0</v>
      </c>
      <c r="AL419" s="1155"/>
      <c r="AM419" s="1156"/>
      <c r="AN419" s="529"/>
      <c r="AO419" s="525"/>
      <c r="AP419" s="525">
        <f>'HIV-Key Info'!$H$86*(('HIV-Key Info'!$E$86*'HPM costs'!P636)+('HIV-Key Info'!$F$86*('HPM costs'!P639+'HPM costs'!P642)))</f>
        <v>0</v>
      </c>
      <c r="AQ419" s="525"/>
      <c r="AR419" s="525">
        <f>'HIV-Key Info'!$H$86*(('HIV-Key Info'!$E$86*'HPM costs'!Q636)+('HIV-Key Info'!$F$86*('HPM costs'!Q639+'HPM costs'!Q642)))</f>
        <v>0</v>
      </c>
      <c r="AS419" s="525"/>
      <c r="AT419" s="525">
        <f>'HIV-Key Info'!$H$86*(('HIV-Key Info'!$E$86*'HPM costs'!R636)+('HIV-Key Info'!$F$86*('HPM costs'!R639+'HPM costs'!R642)))</f>
        <v>0</v>
      </c>
      <c r="AU419" s="525"/>
      <c r="AV419" s="525">
        <f>'HIV-Key Info'!$H$86*(('HIV-Key Info'!$E$86*'HPM costs'!S636)+('HIV-Key Info'!$F$86*('HPM costs'!S639+'HPM costs'!S642)))</f>
        <v>0</v>
      </c>
      <c r="AW419" s="525"/>
      <c r="AX419" s="1154">
        <f t="shared" si="44"/>
        <v>0</v>
      </c>
      <c r="AY419" s="1154"/>
      <c r="AZ419" s="528"/>
      <c r="BA419" s="529"/>
      <c r="BB419" s="527"/>
      <c r="BC419" s="527">
        <v>0</v>
      </c>
      <c r="BD419" s="527">
        <v>0</v>
      </c>
      <c r="BE419" s="527">
        <v>0</v>
      </c>
      <c r="BF419" s="527">
        <v>0</v>
      </c>
      <c r="BG419" s="527">
        <v>0</v>
      </c>
      <c r="BH419" s="527">
        <v>0</v>
      </c>
      <c r="BI419" s="527">
        <v>0</v>
      </c>
      <c r="BJ419" s="527">
        <v>0</v>
      </c>
      <c r="BK419" s="1154">
        <f t="shared" si="45"/>
        <v>0</v>
      </c>
      <c r="BL419" s="1154"/>
      <c r="BM419" s="1154">
        <f t="shared" si="46"/>
        <v>0</v>
      </c>
      <c r="BN419" s="1154">
        <f t="shared" si="47"/>
        <v>0</v>
      </c>
      <c r="BO419" s="527"/>
      <c r="BP419" s="527"/>
      <c r="BQ419" s="1157" t="s">
        <v>2554</v>
      </c>
      <c r="BR419" s="1157" t="s">
        <v>690</v>
      </c>
      <c r="BS419" s="1157" t="s">
        <v>527</v>
      </c>
      <c r="BT419" s="1376" t="s">
        <v>1723</v>
      </c>
    </row>
    <row r="420" spans="1:72" s="1371" customFormat="1" ht="13">
      <c r="A420" s="1204">
        <v>976</v>
      </c>
      <c r="B420" s="1205" t="s">
        <v>672</v>
      </c>
      <c r="C420" s="1205" t="s">
        <v>675</v>
      </c>
      <c r="D420" s="1206" t="s">
        <v>2576</v>
      </c>
      <c r="E420" s="1386" t="s">
        <v>603</v>
      </c>
      <c r="F420" s="521"/>
      <c r="G420" s="522"/>
      <c r="H420" s="522"/>
      <c r="I420" s="522"/>
      <c r="J420" s="523"/>
      <c r="K420" s="523"/>
      <c r="L420" s="523"/>
      <c r="M420" s="524"/>
      <c r="N420" s="525"/>
      <c r="O420" s="526" t="s">
        <v>1237</v>
      </c>
      <c r="P420" s="525">
        <f>'HIV-Key Info'!$I$86*('HIV-Key Info'!$E$86*('HPM costs'!F119/'HPM costs'!$E$119)+'HIV-Key Info'!$F$86*('HPM costs'!F125/'HPM costs'!$E$125+'HPM costs'!F122/'HPM costs'!$E$122))</f>
        <v>0</v>
      </c>
      <c r="Q420" s="525" t="s">
        <v>1237</v>
      </c>
      <c r="R420" s="525">
        <f>'HIV-Key Info'!$I$86*('HIV-Key Info'!$E$86*('HPM costs'!G119/'HPM costs'!$E$119)+'HIV-Key Info'!$F$86*('HPM costs'!G125/'HPM costs'!$E$125+'HPM costs'!G122/'HPM costs'!$E$122))</f>
        <v>0</v>
      </c>
      <c r="S420" s="525" t="s">
        <v>1237</v>
      </c>
      <c r="T420" s="525">
        <f>'HIV-Key Info'!$I$86*('HIV-Key Info'!$E$86*('HPM costs'!H119/'HPM costs'!$E$119)+'HIV-Key Info'!$F$86*('HPM costs'!H125/'HPM costs'!$E$125+'HPM costs'!H122/'HPM costs'!$E$122))</f>
        <v>0</v>
      </c>
      <c r="U420" s="525" t="s">
        <v>1237</v>
      </c>
      <c r="V420" s="525">
        <f>'HIV-Key Info'!$I$86*('HIV-Key Info'!$E$86*('HPM costs'!I119/'HPM costs'!$E$119)+'HIV-Key Info'!$F$86*('HPM costs'!I125/'HPM costs'!$E$125+'HPM costs'!I122/'HPM costs'!$E$122))</f>
        <v>0</v>
      </c>
      <c r="W420" s="525"/>
      <c r="X420" s="1154">
        <f t="shared" si="42"/>
        <v>0</v>
      </c>
      <c r="Y420" s="1155"/>
      <c r="Z420" s="1156"/>
      <c r="AA420" s="529"/>
      <c r="AB420" s="525"/>
      <c r="AC420" s="525">
        <f>'HIV-Key Info'!$I$86*('HIV-Key Info'!$E$86*('HPM costs'!K119/'HPM costs'!$E$119)+'HIV-Key Info'!$F$86*('HPM costs'!K125/'HPM costs'!$E$125+'HPM costs'!K122/'HPM costs'!$E$122))</f>
        <v>0</v>
      </c>
      <c r="AD420" s="525"/>
      <c r="AE420" s="525">
        <f>'HIV-Key Info'!$I$86*('HIV-Key Info'!$E$86*('HPM costs'!L119/'HPM costs'!$E$119)+'HIV-Key Info'!$F$86*('HPM costs'!L125/'HPM costs'!$E$125+'HPM costs'!L122/'HPM costs'!$E$122))</f>
        <v>0</v>
      </c>
      <c r="AF420" s="525"/>
      <c r="AG420" s="525">
        <f>'HIV-Key Info'!$I$86*('HIV-Key Info'!$E$86*('HPM costs'!M119/'HPM costs'!$E$119)+'HIV-Key Info'!$F$86*('HPM costs'!M125/'HPM costs'!$E$125+'HPM costs'!M122/'HPM costs'!$E$122))</f>
        <v>0</v>
      </c>
      <c r="AH420" s="525"/>
      <c r="AI420" s="525">
        <f>'HIV-Key Info'!$I$86*('HIV-Key Info'!$E$86*('HPM costs'!N119/'HPM costs'!$E$119)+'HIV-Key Info'!$F$86*('HPM costs'!N125/'HPM costs'!$E$125+'HPM costs'!N122/'HPM costs'!$E$122))</f>
        <v>0</v>
      </c>
      <c r="AJ420" s="525"/>
      <c r="AK420" s="1154">
        <f t="shared" si="43"/>
        <v>0</v>
      </c>
      <c r="AL420" s="1155"/>
      <c r="AM420" s="1156"/>
      <c r="AN420" s="529"/>
      <c r="AO420" s="525"/>
      <c r="AP420" s="525">
        <f>'HIV-Key Info'!$I$86*('HIV-Key Info'!$E$86*('HPM costs'!P119/'HPM costs'!$E$119)+'HIV-Key Info'!$F$86*('HPM costs'!P125/'HPM costs'!$E$125+'HPM costs'!P122/'HPM costs'!$E$122))</f>
        <v>0</v>
      </c>
      <c r="AQ420" s="525"/>
      <c r="AR420" s="525">
        <f>'HIV-Key Info'!$I$86*('HIV-Key Info'!$E$86*('HPM costs'!Q119/'HPM costs'!$E$119)+'HIV-Key Info'!$F$86*('HPM costs'!Q125/'HPM costs'!$E$125+'HPM costs'!Q122/'HPM costs'!$E$122))</f>
        <v>0</v>
      </c>
      <c r="AS420" s="525"/>
      <c r="AT420" s="525">
        <f>'HIV-Key Info'!$I$86*('HIV-Key Info'!$E$86*('HPM costs'!R119/'HPM costs'!$E$119)+'HIV-Key Info'!$F$86*('HPM costs'!R125/'HPM costs'!$E$125+'HPM costs'!R122/'HPM costs'!$E$122))</f>
        <v>0</v>
      </c>
      <c r="AU420" s="525"/>
      <c r="AV420" s="525">
        <f>'HIV-Key Info'!$I$86*('HIV-Key Info'!$E$86*('HPM costs'!S119/'HPM costs'!$E$119)+'HIV-Key Info'!$F$86*('HPM costs'!S125/'HPM costs'!$E$125+'HPM costs'!S122/'HPM costs'!$E$122))</f>
        <v>0</v>
      </c>
      <c r="AW420" s="525"/>
      <c r="AX420" s="1154">
        <f t="shared" si="44"/>
        <v>0</v>
      </c>
      <c r="AY420" s="1154"/>
      <c r="AZ420" s="528"/>
      <c r="BA420" s="529"/>
      <c r="BB420" s="527"/>
      <c r="BC420" s="527">
        <v>0</v>
      </c>
      <c r="BD420" s="527">
        <v>0</v>
      </c>
      <c r="BE420" s="527">
        <v>0</v>
      </c>
      <c r="BF420" s="527">
        <v>0</v>
      </c>
      <c r="BG420" s="527">
        <v>0</v>
      </c>
      <c r="BH420" s="527">
        <v>0</v>
      </c>
      <c r="BI420" s="527">
        <v>0</v>
      </c>
      <c r="BJ420" s="527">
        <v>0</v>
      </c>
      <c r="BK420" s="1154">
        <f t="shared" si="45"/>
        <v>0</v>
      </c>
      <c r="BL420" s="1154"/>
      <c r="BM420" s="1154">
        <f t="shared" si="46"/>
        <v>0</v>
      </c>
      <c r="BN420" s="1154">
        <f t="shared" si="47"/>
        <v>0</v>
      </c>
      <c r="BO420" s="527"/>
      <c r="BP420" s="527"/>
      <c r="BQ420" s="1157" t="s">
        <v>2554</v>
      </c>
      <c r="BR420" s="1157" t="s">
        <v>690</v>
      </c>
      <c r="BS420" s="1157" t="s">
        <v>2570</v>
      </c>
      <c r="BT420" s="1376" t="s">
        <v>1724</v>
      </c>
    </row>
    <row r="421" spans="1:72" s="1371" customFormat="1" ht="13">
      <c r="A421" s="1204">
        <v>977</v>
      </c>
      <c r="B421" s="1205" t="s">
        <v>672</v>
      </c>
      <c r="C421" s="1205" t="s">
        <v>675</v>
      </c>
      <c r="D421" s="1206" t="s">
        <v>2518</v>
      </c>
      <c r="E421" s="1386" t="s">
        <v>528</v>
      </c>
      <c r="F421" s="521"/>
      <c r="G421" s="522"/>
      <c r="H421" s="522"/>
      <c r="I421" s="522"/>
      <c r="J421" s="523"/>
      <c r="K421" s="523"/>
      <c r="L421" s="523"/>
      <c r="M421" s="524"/>
      <c r="N421" s="525"/>
      <c r="O421" s="526" t="s">
        <v>1237</v>
      </c>
      <c r="P421" s="525">
        <f>'HIV-Key Info'!$I$86*(('HIV-Key Info'!$E$86*'HPM costs'!F33)+('HIV-Key Info'!$F$86*('HPM costs'!F36+'HPM costs'!F39)))</f>
        <v>0</v>
      </c>
      <c r="Q421" s="525" t="s">
        <v>1237</v>
      </c>
      <c r="R421" s="525">
        <f>'HIV-Key Info'!$I$86*(('HIV-Key Info'!$E$86*'HPM costs'!G33)+('HIV-Key Info'!$F$86*('HPM costs'!G36+'HPM costs'!G39)))</f>
        <v>0</v>
      </c>
      <c r="S421" s="525" t="s">
        <v>1237</v>
      </c>
      <c r="T421" s="525">
        <f>'HIV-Key Info'!$I$86*(('HIV-Key Info'!$E$86*'HPM costs'!H33)+('HIV-Key Info'!$F$86*('HPM costs'!H36+'HPM costs'!H39)))</f>
        <v>0</v>
      </c>
      <c r="U421" s="525" t="s">
        <v>1237</v>
      </c>
      <c r="V421" s="525">
        <f>'HIV-Key Info'!$I$86*(('HIV-Key Info'!$E$86*'HPM costs'!I33)+('HIV-Key Info'!$F$86*('HPM costs'!I36+'HPM costs'!I39)))</f>
        <v>0</v>
      </c>
      <c r="W421" s="525"/>
      <c r="X421" s="1154">
        <f t="shared" si="42"/>
        <v>0</v>
      </c>
      <c r="Y421" s="1155"/>
      <c r="Z421" s="1156"/>
      <c r="AA421" s="529"/>
      <c r="AB421" s="525"/>
      <c r="AC421" s="525">
        <f>'HIV-Key Info'!$I$86*(('HIV-Key Info'!$E$86*'HPM costs'!K33)+('HIV-Key Info'!$F$86*('HPM costs'!K36+'HPM costs'!K39)))</f>
        <v>0</v>
      </c>
      <c r="AD421" s="525"/>
      <c r="AE421" s="525">
        <f>'HIV-Key Info'!$I$86*(('HIV-Key Info'!$E$86*'HPM costs'!L33)+('HIV-Key Info'!$F$86*('HPM costs'!L36+'HPM costs'!L39)))</f>
        <v>0</v>
      </c>
      <c r="AF421" s="525"/>
      <c r="AG421" s="525">
        <f>'HIV-Key Info'!$I$86*(('HIV-Key Info'!$E$86*'HPM costs'!M33)+('HIV-Key Info'!$F$86*('HPM costs'!M36+'HPM costs'!M39)))</f>
        <v>0</v>
      </c>
      <c r="AH421" s="525"/>
      <c r="AI421" s="525">
        <f>'HIV-Key Info'!$I$86*(('HIV-Key Info'!$E$86*'HPM costs'!N33)+('HIV-Key Info'!$F$86*('HPM costs'!N36+'HPM costs'!N39)))</f>
        <v>0</v>
      </c>
      <c r="AJ421" s="525"/>
      <c r="AK421" s="1154">
        <f t="shared" si="43"/>
        <v>0</v>
      </c>
      <c r="AL421" s="1155"/>
      <c r="AM421" s="1156"/>
      <c r="AN421" s="529"/>
      <c r="AO421" s="525"/>
      <c r="AP421" s="525">
        <f>'HIV-Key Info'!$I$86*(('HIV-Key Info'!$E$86*'HPM costs'!P33)+('HIV-Key Info'!$F$86*('HPM costs'!P36+'HPM costs'!P39)))</f>
        <v>0</v>
      </c>
      <c r="AQ421" s="525"/>
      <c r="AR421" s="525">
        <f>'HIV-Key Info'!$I$86*(('HIV-Key Info'!$E$86*'HPM costs'!Q33)+('HIV-Key Info'!$F$86*('HPM costs'!Q36+'HPM costs'!Q39)))</f>
        <v>0</v>
      </c>
      <c r="AS421" s="525"/>
      <c r="AT421" s="525">
        <f>'HIV-Key Info'!$I$86*(('HIV-Key Info'!$E$86*'HPM costs'!R33)+('HIV-Key Info'!$F$86*('HPM costs'!R36+'HPM costs'!R39)))</f>
        <v>0</v>
      </c>
      <c r="AU421" s="525"/>
      <c r="AV421" s="525">
        <f>'HIV-Key Info'!$I$86*(('HIV-Key Info'!$E$86*'HPM costs'!S33)+('HIV-Key Info'!$F$86*('HPM costs'!S36+'HPM costs'!S39)))</f>
        <v>0</v>
      </c>
      <c r="AW421" s="525"/>
      <c r="AX421" s="1154">
        <f t="shared" si="44"/>
        <v>0</v>
      </c>
      <c r="AY421" s="1154"/>
      <c r="AZ421" s="528"/>
      <c r="BA421" s="529"/>
      <c r="BB421" s="527"/>
      <c r="BC421" s="527">
        <v>0</v>
      </c>
      <c r="BD421" s="527">
        <v>0</v>
      </c>
      <c r="BE421" s="527">
        <v>0</v>
      </c>
      <c r="BF421" s="527">
        <v>0</v>
      </c>
      <c r="BG421" s="527">
        <v>0</v>
      </c>
      <c r="BH421" s="527">
        <v>0</v>
      </c>
      <c r="BI421" s="527">
        <v>0</v>
      </c>
      <c r="BJ421" s="527">
        <v>0</v>
      </c>
      <c r="BK421" s="1154">
        <f t="shared" si="45"/>
        <v>0</v>
      </c>
      <c r="BL421" s="1154"/>
      <c r="BM421" s="1154">
        <f t="shared" si="46"/>
        <v>0</v>
      </c>
      <c r="BN421" s="1154">
        <f t="shared" si="47"/>
        <v>0</v>
      </c>
      <c r="BO421" s="527"/>
      <c r="BP421" s="527"/>
      <c r="BQ421" s="1157" t="s">
        <v>2554</v>
      </c>
      <c r="BR421" s="1157" t="s">
        <v>690</v>
      </c>
      <c r="BS421" s="1157" t="s">
        <v>527</v>
      </c>
      <c r="BT421" s="1376" t="s">
        <v>1725</v>
      </c>
    </row>
    <row r="422" spans="1:72" s="1371" customFormat="1" ht="13">
      <c r="A422" s="1204">
        <v>978</v>
      </c>
      <c r="B422" s="1205" t="s">
        <v>672</v>
      </c>
      <c r="C422" s="1205" t="s">
        <v>675</v>
      </c>
      <c r="D422" s="1206" t="s">
        <v>2518</v>
      </c>
      <c r="E422" s="1386" t="s">
        <v>530</v>
      </c>
      <c r="F422" s="521"/>
      <c r="G422" s="522"/>
      <c r="H422" s="522"/>
      <c r="I422" s="522"/>
      <c r="J422" s="523"/>
      <c r="K422" s="523"/>
      <c r="L422" s="523"/>
      <c r="M422" s="524"/>
      <c r="N422" s="525"/>
      <c r="O422" s="526" t="s">
        <v>1237</v>
      </c>
      <c r="P422" s="525">
        <f>'HIV-Key Info'!$I$86*(('HIV-Key Info'!$E$86*'HPM costs'!F119)+('HIV-Key Info'!$F$86*('HPM costs'!F122+'HPM costs'!F125)))</f>
        <v>0</v>
      </c>
      <c r="Q422" s="525" t="s">
        <v>1237</v>
      </c>
      <c r="R422" s="525">
        <f>'HIV-Key Info'!$I$86*(('HIV-Key Info'!$E$86*'HPM costs'!G119)+('HIV-Key Info'!$F$86*('HPM costs'!G122+'HPM costs'!G125)))</f>
        <v>0</v>
      </c>
      <c r="S422" s="525" t="s">
        <v>1237</v>
      </c>
      <c r="T422" s="525">
        <f>'HIV-Key Info'!$I$86*(('HIV-Key Info'!$E$86*'HPM costs'!H119)+('HIV-Key Info'!$F$86*('HPM costs'!H122+'HPM costs'!H125)))</f>
        <v>0</v>
      </c>
      <c r="U422" s="525" t="s">
        <v>1237</v>
      </c>
      <c r="V422" s="525">
        <f>'HIV-Key Info'!$I$86*(('HIV-Key Info'!$E$86*'HPM costs'!I119)+('HIV-Key Info'!$F$86*('HPM costs'!I122+'HPM costs'!I125)))</f>
        <v>0</v>
      </c>
      <c r="W422" s="525"/>
      <c r="X422" s="1154">
        <f t="shared" si="42"/>
        <v>0</v>
      </c>
      <c r="Y422" s="1155"/>
      <c r="Z422" s="1156"/>
      <c r="AA422" s="529"/>
      <c r="AB422" s="525"/>
      <c r="AC422" s="525">
        <f>'HIV-Key Info'!$I$86*(('HIV-Key Info'!$E$86*'HPM costs'!K119)+('HIV-Key Info'!$F$86*('HPM costs'!K122+'HPM costs'!K125)))</f>
        <v>0</v>
      </c>
      <c r="AD422" s="525"/>
      <c r="AE422" s="525">
        <f>'HIV-Key Info'!$I$86*(('HIV-Key Info'!$E$86*'HPM costs'!L119)+('HIV-Key Info'!$F$86*('HPM costs'!L122+'HPM costs'!L125)))</f>
        <v>0</v>
      </c>
      <c r="AF422" s="525"/>
      <c r="AG422" s="525">
        <f>'HIV-Key Info'!$I$86*(('HIV-Key Info'!$E$86*'HPM costs'!M119)+('HIV-Key Info'!$F$86*('HPM costs'!M122+'HPM costs'!M125)))</f>
        <v>0</v>
      </c>
      <c r="AH422" s="525"/>
      <c r="AI422" s="525">
        <f>'HIV-Key Info'!$I$86*(('HIV-Key Info'!$E$86*'HPM costs'!N119)+('HIV-Key Info'!$F$86*('HPM costs'!N122+'HPM costs'!N125)))</f>
        <v>0</v>
      </c>
      <c r="AJ422" s="525"/>
      <c r="AK422" s="1154">
        <f t="shared" si="43"/>
        <v>0</v>
      </c>
      <c r="AL422" s="1155"/>
      <c r="AM422" s="1156"/>
      <c r="AN422" s="529"/>
      <c r="AO422" s="525"/>
      <c r="AP422" s="525">
        <f>'HIV-Key Info'!$I$86*(('HIV-Key Info'!$E$86*'HPM costs'!P119)+('HIV-Key Info'!$F$86*('HPM costs'!P122+'HPM costs'!P125)))</f>
        <v>0</v>
      </c>
      <c r="AQ422" s="525"/>
      <c r="AR422" s="525">
        <f>'HIV-Key Info'!$I$86*(('HIV-Key Info'!$E$86*'HPM costs'!Q119)+('HIV-Key Info'!$F$86*('HPM costs'!Q122+'HPM costs'!Q125)))</f>
        <v>0</v>
      </c>
      <c r="AS422" s="525"/>
      <c r="AT422" s="525">
        <f>'HIV-Key Info'!$I$86*(('HIV-Key Info'!$E$86*'HPM costs'!R119)+('HIV-Key Info'!$F$86*('HPM costs'!R122+'HPM costs'!R125)))</f>
        <v>0</v>
      </c>
      <c r="AU422" s="525"/>
      <c r="AV422" s="525">
        <f>'HIV-Key Info'!$I$86*(('HIV-Key Info'!$E$86*'HPM costs'!S119)+('HIV-Key Info'!$F$86*('HPM costs'!S122+'HPM costs'!S125)))</f>
        <v>0</v>
      </c>
      <c r="AW422" s="525"/>
      <c r="AX422" s="1154">
        <f t="shared" si="44"/>
        <v>0</v>
      </c>
      <c r="AY422" s="1154"/>
      <c r="AZ422" s="528"/>
      <c r="BA422" s="529"/>
      <c r="BB422" s="527"/>
      <c r="BC422" s="527">
        <v>0</v>
      </c>
      <c r="BD422" s="527">
        <v>0</v>
      </c>
      <c r="BE422" s="527">
        <v>0</v>
      </c>
      <c r="BF422" s="527">
        <v>0</v>
      </c>
      <c r="BG422" s="527">
        <v>0</v>
      </c>
      <c r="BH422" s="527">
        <v>0</v>
      </c>
      <c r="BI422" s="527">
        <v>0</v>
      </c>
      <c r="BJ422" s="527">
        <v>0</v>
      </c>
      <c r="BK422" s="1154">
        <f t="shared" si="45"/>
        <v>0</v>
      </c>
      <c r="BL422" s="1154"/>
      <c r="BM422" s="1154">
        <f t="shared" si="46"/>
        <v>0</v>
      </c>
      <c r="BN422" s="1154">
        <f t="shared" si="47"/>
        <v>0</v>
      </c>
      <c r="BO422" s="527"/>
      <c r="BP422" s="527"/>
      <c r="BQ422" s="1157" t="s">
        <v>2554</v>
      </c>
      <c r="BR422" s="1157" t="s">
        <v>690</v>
      </c>
      <c r="BS422" s="1157" t="s">
        <v>527</v>
      </c>
      <c r="BT422" s="1376" t="s">
        <v>1726</v>
      </c>
    </row>
    <row r="423" spans="1:72" s="1371" customFormat="1" ht="13">
      <c r="A423" s="1204">
        <v>979</v>
      </c>
      <c r="B423" s="1205" t="s">
        <v>672</v>
      </c>
      <c r="C423" s="1205" t="s">
        <v>675</v>
      </c>
      <c r="D423" s="1206" t="s">
        <v>2518</v>
      </c>
      <c r="E423" s="1386" t="s">
        <v>532</v>
      </c>
      <c r="F423" s="521"/>
      <c r="G423" s="522"/>
      <c r="H423" s="522"/>
      <c r="I423" s="522"/>
      <c r="J423" s="523"/>
      <c r="K423" s="523"/>
      <c r="L423" s="523"/>
      <c r="M423" s="524"/>
      <c r="N423" s="525"/>
      <c r="O423" s="526" t="s">
        <v>1237</v>
      </c>
      <c r="P423" s="525">
        <f>'HIV-Key Info'!$I$86*(('HIV-Key Info'!$E$86*'HPM costs'!F379)+('HIV-Key Info'!$F$86*('HPM costs'!F382+'HPM costs'!F385)))</f>
        <v>0</v>
      </c>
      <c r="Q423" s="525" t="s">
        <v>1237</v>
      </c>
      <c r="R423" s="525">
        <f>'HIV-Key Info'!$I$86*(('HIV-Key Info'!$E$86*'HPM costs'!G379)+('HIV-Key Info'!$F$86*('HPM costs'!G382+'HPM costs'!G385)))</f>
        <v>0</v>
      </c>
      <c r="S423" s="525" t="s">
        <v>1237</v>
      </c>
      <c r="T423" s="525">
        <f>'HIV-Key Info'!$I$86*(('HIV-Key Info'!$E$86*'HPM costs'!H379)+('HIV-Key Info'!$F$86*('HPM costs'!H382+'HPM costs'!H385)))</f>
        <v>0</v>
      </c>
      <c r="U423" s="525" t="s">
        <v>1237</v>
      </c>
      <c r="V423" s="525">
        <f>'HIV-Key Info'!$I$86*(('HIV-Key Info'!$E$86*'HPM costs'!I379)+('HIV-Key Info'!$F$86*('HPM costs'!I382+'HPM costs'!I385)))</f>
        <v>0</v>
      </c>
      <c r="W423" s="525"/>
      <c r="X423" s="1154">
        <f t="shared" si="42"/>
        <v>0</v>
      </c>
      <c r="Y423" s="1155"/>
      <c r="Z423" s="1156"/>
      <c r="AA423" s="529"/>
      <c r="AB423" s="525"/>
      <c r="AC423" s="525">
        <f>'HIV-Key Info'!$I$86*(('HIV-Key Info'!$E$86*'HPM costs'!K379)+('HIV-Key Info'!$F$86*('HPM costs'!K382+'HPM costs'!K385)))</f>
        <v>0</v>
      </c>
      <c r="AD423" s="525"/>
      <c r="AE423" s="525">
        <f>'HIV-Key Info'!$I$86*(('HIV-Key Info'!$E$86*'HPM costs'!L379)+('HIV-Key Info'!$F$86*('HPM costs'!L382+'HPM costs'!L385)))</f>
        <v>0</v>
      </c>
      <c r="AF423" s="525"/>
      <c r="AG423" s="525">
        <f>'HIV-Key Info'!$I$86*(('HIV-Key Info'!$E$86*'HPM costs'!M379)+('HIV-Key Info'!$F$86*('HPM costs'!M382+'HPM costs'!M385)))</f>
        <v>0</v>
      </c>
      <c r="AH423" s="525"/>
      <c r="AI423" s="525">
        <f>'HIV-Key Info'!$I$86*(('HIV-Key Info'!$E$86*'HPM costs'!N379)+('HIV-Key Info'!$F$86*('HPM costs'!N382+'HPM costs'!N385)))</f>
        <v>0</v>
      </c>
      <c r="AJ423" s="525"/>
      <c r="AK423" s="1154">
        <f t="shared" si="43"/>
        <v>0</v>
      </c>
      <c r="AL423" s="1155"/>
      <c r="AM423" s="1156"/>
      <c r="AN423" s="529"/>
      <c r="AO423" s="525"/>
      <c r="AP423" s="525">
        <f>'HIV-Key Info'!$I$86*(('HIV-Key Info'!$E$86*'HPM costs'!P379)+('HIV-Key Info'!$F$86*('HPM costs'!P382+'HPM costs'!P385)))</f>
        <v>0</v>
      </c>
      <c r="AQ423" s="525"/>
      <c r="AR423" s="525">
        <f>'HIV-Key Info'!$I$86*(('HIV-Key Info'!$E$86*'HPM costs'!Q379)+('HIV-Key Info'!$F$86*('HPM costs'!Q382+'HPM costs'!Q385)))</f>
        <v>0</v>
      </c>
      <c r="AS423" s="525"/>
      <c r="AT423" s="525">
        <f>'HIV-Key Info'!$I$86*(('HIV-Key Info'!$E$86*'HPM costs'!R379)+('HIV-Key Info'!$F$86*('HPM costs'!R382+'HPM costs'!R385)))</f>
        <v>0</v>
      </c>
      <c r="AU423" s="525"/>
      <c r="AV423" s="525">
        <f>'HIV-Key Info'!$I$86*(('HIV-Key Info'!$E$86*'HPM costs'!S379)+('HIV-Key Info'!$F$86*('HPM costs'!S382+'HPM costs'!S385)))</f>
        <v>0</v>
      </c>
      <c r="AW423" s="525"/>
      <c r="AX423" s="1154">
        <f t="shared" si="44"/>
        <v>0</v>
      </c>
      <c r="AY423" s="1154"/>
      <c r="AZ423" s="528"/>
      <c r="BA423" s="529"/>
      <c r="BB423" s="527"/>
      <c r="BC423" s="527">
        <v>0</v>
      </c>
      <c r="BD423" s="527">
        <v>0</v>
      </c>
      <c r="BE423" s="527">
        <v>0</v>
      </c>
      <c r="BF423" s="527">
        <v>0</v>
      </c>
      <c r="BG423" s="527">
        <v>0</v>
      </c>
      <c r="BH423" s="527">
        <v>0</v>
      </c>
      <c r="BI423" s="527">
        <v>0</v>
      </c>
      <c r="BJ423" s="527">
        <v>0</v>
      </c>
      <c r="BK423" s="1154">
        <f t="shared" si="45"/>
        <v>0</v>
      </c>
      <c r="BL423" s="1154"/>
      <c r="BM423" s="1154">
        <f t="shared" si="46"/>
        <v>0</v>
      </c>
      <c r="BN423" s="1154">
        <f t="shared" si="47"/>
        <v>0</v>
      </c>
      <c r="BO423" s="527"/>
      <c r="BP423" s="527"/>
      <c r="BQ423" s="1157" t="s">
        <v>2554</v>
      </c>
      <c r="BR423" s="1157" t="s">
        <v>690</v>
      </c>
      <c r="BS423" s="1157" t="s">
        <v>527</v>
      </c>
      <c r="BT423" s="1376" t="s">
        <v>1727</v>
      </c>
    </row>
    <row r="424" spans="1:72" s="1371" customFormat="1" ht="13">
      <c r="A424" s="1204">
        <v>980</v>
      </c>
      <c r="B424" s="1205" t="s">
        <v>672</v>
      </c>
      <c r="C424" s="1205" t="s">
        <v>675</v>
      </c>
      <c r="D424" s="1206" t="s">
        <v>2518</v>
      </c>
      <c r="E424" s="1386" t="s">
        <v>534</v>
      </c>
      <c r="F424" s="521"/>
      <c r="G424" s="522"/>
      <c r="H424" s="522"/>
      <c r="I424" s="522"/>
      <c r="J424" s="523"/>
      <c r="K424" s="523"/>
      <c r="L424" s="523"/>
      <c r="M424" s="524"/>
      <c r="N424" s="525"/>
      <c r="O424" s="526" t="s">
        <v>1237</v>
      </c>
      <c r="P424" s="525">
        <f>'HIV-Key Info'!$I$86*(('HIV-Key Info'!$E$86*'HPM costs'!F465)+('HIV-Key Info'!$F$86*('HPM costs'!F468+'HPM costs'!F471)))</f>
        <v>0</v>
      </c>
      <c r="Q424" s="525" t="s">
        <v>1237</v>
      </c>
      <c r="R424" s="525">
        <f>'HIV-Key Info'!$I$86*(('HIV-Key Info'!$E$86*'HPM costs'!G465)+('HIV-Key Info'!$F$86*('HPM costs'!G468+'HPM costs'!G471)))</f>
        <v>0</v>
      </c>
      <c r="S424" s="525" t="s">
        <v>1237</v>
      </c>
      <c r="T424" s="525">
        <f>'HIV-Key Info'!$I$86*(('HIV-Key Info'!$E$86*'HPM costs'!H465)+('HIV-Key Info'!$F$86*('HPM costs'!H468+'HPM costs'!H471)))</f>
        <v>0</v>
      </c>
      <c r="U424" s="525" t="s">
        <v>1237</v>
      </c>
      <c r="V424" s="525">
        <f>'HIV-Key Info'!$I$86*(('HIV-Key Info'!$E$86*'HPM costs'!I465)+('HIV-Key Info'!$F$86*('HPM costs'!I468+'HPM costs'!I471)))</f>
        <v>0</v>
      </c>
      <c r="W424" s="525"/>
      <c r="X424" s="1154">
        <f t="shared" si="42"/>
        <v>0</v>
      </c>
      <c r="Y424" s="1155"/>
      <c r="Z424" s="1156"/>
      <c r="AA424" s="529"/>
      <c r="AB424" s="525"/>
      <c r="AC424" s="525">
        <f>'HIV-Key Info'!$I$86*(('HIV-Key Info'!$E$86*'HPM costs'!K465)+('HIV-Key Info'!$F$86*('HPM costs'!K468+'HPM costs'!K471)))</f>
        <v>0</v>
      </c>
      <c r="AD424" s="525"/>
      <c r="AE424" s="525">
        <f>'HIV-Key Info'!$I$86*(('HIV-Key Info'!$E$86*'HPM costs'!L465)+('HIV-Key Info'!$F$86*('HPM costs'!L468+'HPM costs'!L471)))</f>
        <v>0</v>
      </c>
      <c r="AF424" s="525"/>
      <c r="AG424" s="525">
        <f>'HIV-Key Info'!$I$86*(('HIV-Key Info'!$E$86*'HPM costs'!M465)+('HIV-Key Info'!$F$86*('HPM costs'!M468+'HPM costs'!M471)))</f>
        <v>0</v>
      </c>
      <c r="AH424" s="525"/>
      <c r="AI424" s="525">
        <f>'HIV-Key Info'!$I$86*(('HIV-Key Info'!$E$86*'HPM costs'!N465)+('HIV-Key Info'!$F$86*('HPM costs'!N468+'HPM costs'!N471)))</f>
        <v>0</v>
      </c>
      <c r="AJ424" s="525"/>
      <c r="AK424" s="1154">
        <f t="shared" si="43"/>
        <v>0</v>
      </c>
      <c r="AL424" s="1155"/>
      <c r="AM424" s="1156"/>
      <c r="AN424" s="529"/>
      <c r="AO424" s="525"/>
      <c r="AP424" s="525">
        <f>'HIV-Key Info'!$I$86*(('HIV-Key Info'!$E$86*'HPM costs'!P465)+('HIV-Key Info'!$F$86*('HPM costs'!P468+'HPM costs'!P471)))</f>
        <v>0</v>
      </c>
      <c r="AQ424" s="525"/>
      <c r="AR424" s="525">
        <f>'HIV-Key Info'!$I$86*(('HIV-Key Info'!$E$86*'HPM costs'!Q465)+('HIV-Key Info'!$F$86*('HPM costs'!Q468+'HPM costs'!Q471)))</f>
        <v>0</v>
      </c>
      <c r="AS424" s="525"/>
      <c r="AT424" s="525">
        <f>'HIV-Key Info'!$I$86*(('HIV-Key Info'!$E$86*'HPM costs'!R465)+('HIV-Key Info'!$F$86*('HPM costs'!R468+'HPM costs'!R471)))</f>
        <v>0</v>
      </c>
      <c r="AU424" s="525"/>
      <c r="AV424" s="525">
        <f>'HIV-Key Info'!$I$86*(('HIV-Key Info'!$E$86*'HPM costs'!S465)+('HIV-Key Info'!$F$86*('HPM costs'!S468+'HPM costs'!S471)))</f>
        <v>0</v>
      </c>
      <c r="AW424" s="525"/>
      <c r="AX424" s="1154">
        <f t="shared" si="44"/>
        <v>0</v>
      </c>
      <c r="AY424" s="1154"/>
      <c r="AZ424" s="528"/>
      <c r="BA424" s="529"/>
      <c r="BB424" s="527"/>
      <c r="BC424" s="527">
        <v>0</v>
      </c>
      <c r="BD424" s="527">
        <v>0</v>
      </c>
      <c r="BE424" s="527">
        <v>0</v>
      </c>
      <c r="BF424" s="527">
        <v>0</v>
      </c>
      <c r="BG424" s="527">
        <v>0</v>
      </c>
      <c r="BH424" s="527">
        <v>0</v>
      </c>
      <c r="BI424" s="527">
        <v>0</v>
      </c>
      <c r="BJ424" s="527">
        <v>0</v>
      </c>
      <c r="BK424" s="1154">
        <f t="shared" si="45"/>
        <v>0</v>
      </c>
      <c r="BL424" s="1154"/>
      <c r="BM424" s="1154">
        <f t="shared" si="46"/>
        <v>0</v>
      </c>
      <c r="BN424" s="1154">
        <f t="shared" si="47"/>
        <v>0</v>
      </c>
      <c r="BO424" s="527"/>
      <c r="BP424" s="527"/>
      <c r="BQ424" s="1157" t="s">
        <v>2554</v>
      </c>
      <c r="BR424" s="1157" t="s">
        <v>690</v>
      </c>
      <c r="BS424" s="1157" t="s">
        <v>527</v>
      </c>
      <c r="BT424" s="1376" t="s">
        <v>1728</v>
      </c>
    </row>
    <row r="425" spans="1:72" s="1371" customFormat="1" ht="13">
      <c r="A425" s="1204">
        <v>981</v>
      </c>
      <c r="B425" s="1205" t="s">
        <v>672</v>
      </c>
      <c r="C425" s="1205" t="s">
        <v>675</v>
      </c>
      <c r="D425" s="1206" t="s">
        <v>2518</v>
      </c>
      <c r="E425" s="1386" t="s">
        <v>536</v>
      </c>
      <c r="F425" s="521"/>
      <c r="G425" s="522"/>
      <c r="H425" s="522"/>
      <c r="I425" s="522"/>
      <c r="J425" s="523"/>
      <c r="K425" s="523"/>
      <c r="L425" s="523"/>
      <c r="M425" s="524"/>
      <c r="N425" s="525"/>
      <c r="O425" s="526" t="s">
        <v>1237</v>
      </c>
      <c r="P425" s="525">
        <f>'HIV-Key Info'!$I$86*(('HIV-Key Info'!$E$86*('HPM costs'!F205+'HPM costs'!F551))+('HIV-Key Info'!$F$86*('HPM costs'!F208+'HPM costs'!F211+'HPM costs'!F554+'HPM costs'!F557)))</f>
        <v>0</v>
      </c>
      <c r="Q425" s="525" t="s">
        <v>1237</v>
      </c>
      <c r="R425" s="525">
        <f>'HIV-Key Info'!$I$86*(('HIV-Key Info'!$E$86*('HPM costs'!G205+'HPM costs'!G551))+('HIV-Key Info'!$F$86*('HPM costs'!G208+'HPM costs'!G211+'HPM costs'!G554+'HPM costs'!G557)))</f>
        <v>0</v>
      </c>
      <c r="S425" s="525" t="s">
        <v>1237</v>
      </c>
      <c r="T425" s="525">
        <f>'HIV-Key Info'!$I$86*(('HIV-Key Info'!$E$86*('HPM costs'!H205+'HPM costs'!H551))+('HIV-Key Info'!$F$86*('HPM costs'!H208+'HPM costs'!H211+'HPM costs'!H554+'HPM costs'!H557)))</f>
        <v>0</v>
      </c>
      <c r="U425" s="525" t="s">
        <v>1237</v>
      </c>
      <c r="V425" s="525">
        <f>'HIV-Key Info'!$I$86*(('HIV-Key Info'!$E$86*('HPM costs'!I205+'HPM costs'!I551))+('HIV-Key Info'!$F$86*('HPM costs'!I208+'HPM costs'!I211+'HPM costs'!I554+'HPM costs'!I557)))</f>
        <v>0</v>
      </c>
      <c r="W425" s="525"/>
      <c r="X425" s="1154">
        <f t="shared" si="42"/>
        <v>0</v>
      </c>
      <c r="Y425" s="1155"/>
      <c r="Z425" s="1156"/>
      <c r="AA425" s="529"/>
      <c r="AB425" s="525"/>
      <c r="AC425" s="525">
        <f>'HIV-Key Info'!$I$86*(('HIV-Key Info'!$E$86*('HPM costs'!K205+'HPM costs'!K551))+('HIV-Key Info'!$F$86*('HPM costs'!K208+'HPM costs'!K211+'HPM costs'!K554+'HPM costs'!K557)))</f>
        <v>0</v>
      </c>
      <c r="AD425" s="525"/>
      <c r="AE425" s="525">
        <f>'HIV-Key Info'!$I$86*(('HIV-Key Info'!$E$86*('HPM costs'!L205+'HPM costs'!L551))+('HIV-Key Info'!$F$86*('HPM costs'!L208+'HPM costs'!L211+'HPM costs'!L554+'HPM costs'!L557)))</f>
        <v>0</v>
      </c>
      <c r="AF425" s="525"/>
      <c r="AG425" s="525">
        <f>'HIV-Key Info'!$I$86*(('HIV-Key Info'!$E$86*('HPM costs'!M205+'HPM costs'!M551))+('HIV-Key Info'!$F$86*('HPM costs'!M208+'HPM costs'!M211+'HPM costs'!M554+'HPM costs'!M557)))</f>
        <v>0</v>
      </c>
      <c r="AH425" s="525"/>
      <c r="AI425" s="525">
        <f>'HIV-Key Info'!$I$86*(('HIV-Key Info'!$E$86*('HPM costs'!N205+'HPM costs'!N551))+('HIV-Key Info'!$F$86*('HPM costs'!N208+'HPM costs'!N211+'HPM costs'!N554+'HPM costs'!N557)))</f>
        <v>0</v>
      </c>
      <c r="AJ425" s="525"/>
      <c r="AK425" s="1154">
        <f t="shared" si="43"/>
        <v>0</v>
      </c>
      <c r="AL425" s="1155"/>
      <c r="AM425" s="1156"/>
      <c r="AN425" s="529"/>
      <c r="AO425" s="525"/>
      <c r="AP425" s="525">
        <f>'HIV-Key Info'!$I$86*(('HIV-Key Info'!$E$86*('HPM costs'!P205+'HPM costs'!P551))+('HIV-Key Info'!$F$86*('HPM costs'!P208+'HPM costs'!P211+'HPM costs'!P554+'HPM costs'!P557)))</f>
        <v>0</v>
      </c>
      <c r="AQ425" s="525"/>
      <c r="AR425" s="525">
        <f>'HIV-Key Info'!$I$86*(('HIV-Key Info'!$E$86*('HPM costs'!Q205+'HPM costs'!Q551))+('HIV-Key Info'!$F$86*('HPM costs'!Q208+'HPM costs'!Q211+'HPM costs'!Q554+'HPM costs'!Q557)))</f>
        <v>0</v>
      </c>
      <c r="AS425" s="525"/>
      <c r="AT425" s="525">
        <f>'HIV-Key Info'!$I$86*(('HIV-Key Info'!$E$86*('HPM costs'!R205+'HPM costs'!R551))+('HIV-Key Info'!$F$86*('HPM costs'!R208+'HPM costs'!R211+'HPM costs'!R554+'HPM costs'!R557)))</f>
        <v>0</v>
      </c>
      <c r="AU425" s="525"/>
      <c r="AV425" s="525">
        <f>'HIV-Key Info'!$I$86*(('HIV-Key Info'!$E$86*('HPM costs'!S205+'HPM costs'!S551))+('HIV-Key Info'!$F$86*('HPM costs'!S208+'HPM costs'!S211+'HPM costs'!S554+'HPM costs'!S557)))</f>
        <v>0</v>
      </c>
      <c r="AW425" s="525"/>
      <c r="AX425" s="1154">
        <f t="shared" si="44"/>
        <v>0</v>
      </c>
      <c r="AY425" s="1154"/>
      <c r="AZ425" s="528"/>
      <c r="BA425" s="529"/>
      <c r="BB425" s="527"/>
      <c r="BC425" s="527">
        <v>0</v>
      </c>
      <c r="BD425" s="527">
        <v>0</v>
      </c>
      <c r="BE425" s="527">
        <v>0</v>
      </c>
      <c r="BF425" s="527">
        <v>0</v>
      </c>
      <c r="BG425" s="527">
        <v>0</v>
      </c>
      <c r="BH425" s="527">
        <v>0</v>
      </c>
      <c r="BI425" s="527">
        <v>0</v>
      </c>
      <c r="BJ425" s="527">
        <v>0</v>
      </c>
      <c r="BK425" s="1154">
        <f t="shared" si="45"/>
        <v>0</v>
      </c>
      <c r="BL425" s="1154"/>
      <c r="BM425" s="1154">
        <f t="shared" si="46"/>
        <v>0</v>
      </c>
      <c r="BN425" s="1154">
        <f t="shared" si="47"/>
        <v>0</v>
      </c>
      <c r="BO425" s="527"/>
      <c r="BP425" s="527"/>
      <c r="BQ425" s="1157" t="s">
        <v>2554</v>
      </c>
      <c r="BR425" s="1157" t="s">
        <v>690</v>
      </c>
      <c r="BS425" s="1157" t="s">
        <v>527</v>
      </c>
      <c r="BT425" s="1376" t="s">
        <v>1729</v>
      </c>
    </row>
    <row r="426" spans="1:72" s="1371" customFormat="1" ht="13">
      <c r="A426" s="1204">
        <v>982</v>
      </c>
      <c r="B426" s="1205" t="s">
        <v>672</v>
      </c>
      <c r="C426" s="1205" t="s">
        <v>675</v>
      </c>
      <c r="D426" s="1206" t="s">
        <v>2518</v>
      </c>
      <c r="E426" s="1386" t="s">
        <v>538</v>
      </c>
      <c r="F426" s="521"/>
      <c r="G426" s="522"/>
      <c r="H426" s="522"/>
      <c r="I426" s="522"/>
      <c r="J426" s="523"/>
      <c r="K426" s="523"/>
      <c r="L426" s="523"/>
      <c r="M426" s="524"/>
      <c r="N426" s="525"/>
      <c r="O426" s="526" t="s">
        <v>1237</v>
      </c>
      <c r="P426" s="525">
        <f>'HIV-Key Info'!$I$86*(('HIV-Key Info'!$E$86*'HPM costs'!F291)+('HIV-Key Info'!$F$86*('HPM costs'!F294+'HPM costs'!F297)))</f>
        <v>0</v>
      </c>
      <c r="Q426" s="525" t="s">
        <v>1237</v>
      </c>
      <c r="R426" s="525">
        <f>'HIV-Key Info'!$I$86*(('HIV-Key Info'!$E$86*'HPM costs'!G291)+('HIV-Key Info'!$F$86*('HPM costs'!G294+'HPM costs'!G297)))</f>
        <v>0</v>
      </c>
      <c r="S426" s="525" t="s">
        <v>1237</v>
      </c>
      <c r="T426" s="525">
        <f>'HIV-Key Info'!$I$86*(('HIV-Key Info'!$E$86*'HPM costs'!H291)+('HIV-Key Info'!$F$86*('HPM costs'!H294+'HPM costs'!H297)))</f>
        <v>0</v>
      </c>
      <c r="U426" s="525" t="s">
        <v>1237</v>
      </c>
      <c r="V426" s="525">
        <f>'HIV-Key Info'!$I$86*(('HIV-Key Info'!$E$86*'HPM costs'!I291)+('HIV-Key Info'!$F$86*('HPM costs'!I294+'HPM costs'!I297)))</f>
        <v>0</v>
      </c>
      <c r="W426" s="525"/>
      <c r="X426" s="1154">
        <f t="shared" si="42"/>
        <v>0</v>
      </c>
      <c r="Y426" s="1155"/>
      <c r="Z426" s="1156"/>
      <c r="AA426" s="529"/>
      <c r="AB426" s="525"/>
      <c r="AC426" s="525">
        <f>'HIV-Key Info'!$I$86*(('HIV-Key Info'!$E$86*'HPM costs'!K291)+('HIV-Key Info'!$F$86*('HPM costs'!K294+'HPM costs'!K297)))</f>
        <v>0</v>
      </c>
      <c r="AD426" s="525"/>
      <c r="AE426" s="525">
        <f>'HIV-Key Info'!$I$86*(('HIV-Key Info'!$E$86*'HPM costs'!L291)+('HIV-Key Info'!$F$86*('HPM costs'!L294+'HPM costs'!L297)))</f>
        <v>0</v>
      </c>
      <c r="AF426" s="525"/>
      <c r="AG426" s="525">
        <f>'HIV-Key Info'!$I$86*(('HIV-Key Info'!$E$86*'HPM costs'!M291)+('HIV-Key Info'!$F$86*('HPM costs'!M294+'HPM costs'!M297)))</f>
        <v>0</v>
      </c>
      <c r="AH426" s="525"/>
      <c r="AI426" s="525">
        <f>'HIV-Key Info'!$I$86*(('HIV-Key Info'!$E$86*'HPM costs'!N291)+('HIV-Key Info'!$F$86*('HPM costs'!N294+'HPM costs'!N297)))</f>
        <v>0</v>
      </c>
      <c r="AJ426" s="525"/>
      <c r="AK426" s="1154">
        <f t="shared" si="43"/>
        <v>0</v>
      </c>
      <c r="AL426" s="1155"/>
      <c r="AM426" s="1156"/>
      <c r="AN426" s="529"/>
      <c r="AO426" s="525"/>
      <c r="AP426" s="525">
        <f>'HIV-Key Info'!$I$86*(('HIV-Key Info'!$E$86*'HPM costs'!P291)+('HIV-Key Info'!$F$86*('HPM costs'!P294+'HPM costs'!P297)))</f>
        <v>0</v>
      </c>
      <c r="AQ426" s="525"/>
      <c r="AR426" s="525">
        <f>'HIV-Key Info'!$I$86*(('HIV-Key Info'!$E$86*'HPM costs'!Q291)+('HIV-Key Info'!$F$86*('HPM costs'!Q294+'HPM costs'!Q297)))</f>
        <v>0</v>
      </c>
      <c r="AS426" s="525"/>
      <c r="AT426" s="525">
        <f>'HIV-Key Info'!$I$86*(('HIV-Key Info'!$E$86*'HPM costs'!R291)+('HIV-Key Info'!$F$86*('HPM costs'!R294+'HPM costs'!R297)))</f>
        <v>0</v>
      </c>
      <c r="AU426" s="525"/>
      <c r="AV426" s="525">
        <f>'HIV-Key Info'!$I$86*(('HIV-Key Info'!$E$86*'HPM costs'!S291)+('HIV-Key Info'!$F$86*('HPM costs'!S294+'HPM costs'!S297)))</f>
        <v>0</v>
      </c>
      <c r="AW426" s="525"/>
      <c r="AX426" s="1154">
        <f t="shared" si="44"/>
        <v>0</v>
      </c>
      <c r="AY426" s="1154"/>
      <c r="AZ426" s="528"/>
      <c r="BA426" s="529"/>
      <c r="BB426" s="527"/>
      <c r="BC426" s="527">
        <v>0</v>
      </c>
      <c r="BD426" s="527">
        <v>0</v>
      </c>
      <c r="BE426" s="527">
        <v>0</v>
      </c>
      <c r="BF426" s="527">
        <v>0</v>
      </c>
      <c r="BG426" s="527">
        <v>0</v>
      </c>
      <c r="BH426" s="527">
        <v>0</v>
      </c>
      <c r="BI426" s="527">
        <v>0</v>
      </c>
      <c r="BJ426" s="527">
        <v>0</v>
      </c>
      <c r="BK426" s="1154">
        <f t="shared" si="45"/>
        <v>0</v>
      </c>
      <c r="BL426" s="1154"/>
      <c r="BM426" s="1154">
        <f t="shared" si="46"/>
        <v>0</v>
      </c>
      <c r="BN426" s="1154">
        <f t="shared" si="47"/>
        <v>0</v>
      </c>
      <c r="BO426" s="527"/>
      <c r="BP426" s="527"/>
      <c r="BQ426" s="1157" t="s">
        <v>2554</v>
      </c>
      <c r="BR426" s="1157" t="s">
        <v>690</v>
      </c>
      <c r="BS426" s="1157" t="s">
        <v>527</v>
      </c>
      <c r="BT426" s="1376" t="s">
        <v>1730</v>
      </c>
    </row>
    <row r="427" spans="1:72" s="1371" customFormat="1" ht="13">
      <c r="A427" s="1204">
        <v>983</v>
      </c>
      <c r="B427" s="1205" t="s">
        <v>672</v>
      </c>
      <c r="C427" s="1205" t="s">
        <v>675</v>
      </c>
      <c r="D427" s="1206" t="s">
        <v>2518</v>
      </c>
      <c r="E427" s="1386" t="s">
        <v>540</v>
      </c>
      <c r="F427" s="521"/>
      <c r="G427" s="522"/>
      <c r="H427" s="522"/>
      <c r="I427" s="522"/>
      <c r="J427" s="523"/>
      <c r="K427" s="523"/>
      <c r="L427" s="523"/>
      <c r="M427" s="524"/>
      <c r="N427" s="525"/>
      <c r="O427" s="526" t="s">
        <v>1237</v>
      </c>
      <c r="P427" s="525">
        <f>'HIV-Key Info'!$I$86*(('HIV-Key Info'!$E$86*'HPM costs'!F636)+('HIV-Key Info'!$F$86*('HPM costs'!F639+'HPM costs'!F642)))</f>
        <v>0</v>
      </c>
      <c r="Q427" s="525" t="s">
        <v>1237</v>
      </c>
      <c r="R427" s="525">
        <f>'HIV-Key Info'!$I$86*(('HIV-Key Info'!$E$86*'HPM costs'!G636)+('HIV-Key Info'!$F$86*('HPM costs'!G639+'HPM costs'!G642)))</f>
        <v>0</v>
      </c>
      <c r="S427" s="525" t="s">
        <v>1237</v>
      </c>
      <c r="T427" s="525">
        <f>'HIV-Key Info'!$I$86*(('HIV-Key Info'!$E$86*'HPM costs'!H636)+('HIV-Key Info'!$F$86*('HPM costs'!H639+'HPM costs'!H642)))</f>
        <v>0</v>
      </c>
      <c r="U427" s="525" t="s">
        <v>1237</v>
      </c>
      <c r="V427" s="525">
        <f>'HIV-Key Info'!$I$86*(('HIV-Key Info'!$E$86*'HPM costs'!I636)+('HIV-Key Info'!$F$86*('HPM costs'!I639+'HPM costs'!I642)))</f>
        <v>0</v>
      </c>
      <c r="W427" s="525"/>
      <c r="X427" s="1154">
        <f t="shared" si="42"/>
        <v>0</v>
      </c>
      <c r="Y427" s="1155"/>
      <c r="Z427" s="1156"/>
      <c r="AA427" s="529"/>
      <c r="AB427" s="525"/>
      <c r="AC427" s="525">
        <f>'HIV-Key Info'!$I$86*(('HIV-Key Info'!$E$86*'HPM costs'!K636)+('HIV-Key Info'!$F$86*('HPM costs'!K639+'HPM costs'!K642)))</f>
        <v>0</v>
      </c>
      <c r="AD427" s="525"/>
      <c r="AE427" s="525">
        <f>'HIV-Key Info'!$I$86*(('HIV-Key Info'!$E$86*'HPM costs'!L636)+('HIV-Key Info'!$F$86*('HPM costs'!L639+'HPM costs'!L642)))</f>
        <v>0</v>
      </c>
      <c r="AF427" s="525"/>
      <c r="AG427" s="525">
        <f>'HIV-Key Info'!$I$86*(('HIV-Key Info'!$E$86*'HPM costs'!M636)+('HIV-Key Info'!$F$86*('HPM costs'!M639+'HPM costs'!M642)))</f>
        <v>0</v>
      </c>
      <c r="AH427" s="525"/>
      <c r="AI427" s="525">
        <f>'HIV-Key Info'!$I$86*(('HIV-Key Info'!$E$86*'HPM costs'!N636)+('HIV-Key Info'!$F$86*('HPM costs'!N639+'HPM costs'!N642)))</f>
        <v>0</v>
      </c>
      <c r="AJ427" s="525"/>
      <c r="AK427" s="1154">
        <f t="shared" si="43"/>
        <v>0</v>
      </c>
      <c r="AL427" s="1155"/>
      <c r="AM427" s="1156"/>
      <c r="AN427" s="529"/>
      <c r="AO427" s="525"/>
      <c r="AP427" s="525">
        <f>'HIV-Key Info'!$I$86*(('HIV-Key Info'!$E$86*'HPM costs'!P636)+('HIV-Key Info'!$F$86*('HPM costs'!P639+'HPM costs'!P642)))</f>
        <v>0</v>
      </c>
      <c r="AQ427" s="525"/>
      <c r="AR427" s="525">
        <f>'HIV-Key Info'!$I$86*(('HIV-Key Info'!$E$86*'HPM costs'!Q636)+('HIV-Key Info'!$F$86*('HPM costs'!Q639+'HPM costs'!Q642)))</f>
        <v>0</v>
      </c>
      <c r="AS427" s="525"/>
      <c r="AT427" s="525">
        <f>'HIV-Key Info'!$I$86*(('HIV-Key Info'!$E$86*'HPM costs'!R636)+('HIV-Key Info'!$F$86*('HPM costs'!R639+'HPM costs'!R642)))</f>
        <v>0</v>
      </c>
      <c r="AU427" s="525"/>
      <c r="AV427" s="525">
        <f>'HIV-Key Info'!$I$86*(('HIV-Key Info'!$E$86*'HPM costs'!S636)+('HIV-Key Info'!$F$86*('HPM costs'!S639+'HPM costs'!S642)))</f>
        <v>0</v>
      </c>
      <c r="AW427" s="525"/>
      <c r="AX427" s="1154">
        <f t="shared" si="44"/>
        <v>0</v>
      </c>
      <c r="AY427" s="1154"/>
      <c r="AZ427" s="528"/>
      <c r="BA427" s="529"/>
      <c r="BB427" s="527"/>
      <c r="BC427" s="527">
        <v>0</v>
      </c>
      <c r="BD427" s="527">
        <v>0</v>
      </c>
      <c r="BE427" s="527">
        <v>0</v>
      </c>
      <c r="BF427" s="527">
        <v>0</v>
      </c>
      <c r="BG427" s="527">
        <v>0</v>
      </c>
      <c r="BH427" s="527">
        <v>0</v>
      </c>
      <c r="BI427" s="527">
        <v>0</v>
      </c>
      <c r="BJ427" s="527">
        <v>0</v>
      </c>
      <c r="BK427" s="1154">
        <f t="shared" si="45"/>
        <v>0</v>
      </c>
      <c r="BL427" s="1154"/>
      <c r="BM427" s="1154">
        <f t="shared" si="46"/>
        <v>0</v>
      </c>
      <c r="BN427" s="1154">
        <f t="shared" si="47"/>
        <v>0</v>
      </c>
      <c r="BO427" s="527"/>
      <c r="BP427" s="527"/>
      <c r="BQ427" s="1157" t="s">
        <v>2554</v>
      </c>
      <c r="BR427" s="1157" t="s">
        <v>690</v>
      </c>
      <c r="BS427" s="1157" t="s">
        <v>527</v>
      </c>
      <c r="BT427" s="1376" t="s">
        <v>1731</v>
      </c>
    </row>
    <row r="428" spans="1:72" s="1371" customFormat="1" ht="13">
      <c r="A428" s="1204">
        <v>984</v>
      </c>
      <c r="B428" s="1205" t="s">
        <v>672</v>
      </c>
      <c r="C428" s="1205" t="s">
        <v>673</v>
      </c>
      <c r="D428" s="1206" t="s">
        <v>2577</v>
      </c>
      <c r="E428" s="1386" t="s">
        <v>603</v>
      </c>
      <c r="F428" s="521"/>
      <c r="G428" s="522"/>
      <c r="H428" s="522"/>
      <c r="I428" s="522"/>
      <c r="J428" s="523"/>
      <c r="K428" s="523"/>
      <c r="L428" s="523"/>
      <c r="M428" s="524"/>
      <c r="N428" s="525"/>
      <c r="O428" s="526" t="s">
        <v>1237</v>
      </c>
      <c r="P428" s="525">
        <f>'HIV-Key Info'!$G$85*('HIV-Key Info'!$E$85*('HPM costs'!F119/'HPM costs'!$E$119)+'HIV-Key Info'!$F$85*('HPM costs'!F125/'HPM costs'!$E$125+'HPM costs'!F122/'HPM costs'!$E$122))</f>
        <v>0</v>
      </c>
      <c r="Q428" s="525" t="s">
        <v>1237</v>
      </c>
      <c r="R428" s="525">
        <f>'HIV-Key Info'!$G$85*('HIV-Key Info'!$E$85*('HPM costs'!G119/'HPM costs'!$E$119)+'HIV-Key Info'!$F$85*('HPM costs'!G125/'HPM costs'!$E$125+'HPM costs'!G122/'HPM costs'!$E$122))</f>
        <v>0</v>
      </c>
      <c r="S428" s="525" t="s">
        <v>1237</v>
      </c>
      <c r="T428" s="525">
        <f>'HIV-Key Info'!$G$85*('HIV-Key Info'!$E$85*('HPM costs'!H119/'HPM costs'!$E$119)+'HIV-Key Info'!$F$85*('HPM costs'!H125/'HPM costs'!$E$125+'HPM costs'!H122/'HPM costs'!$E$122))</f>
        <v>0</v>
      </c>
      <c r="U428" s="525" t="s">
        <v>1237</v>
      </c>
      <c r="V428" s="525">
        <f>'HIV-Key Info'!$G$85*('HIV-Key Info'!$E$85*('HPM costs'!I119/'HPM costs'!$E$119)+'HIV-Key Info'!$F$85*('HPM costs'!I125/'HPM costs'!$E$125+'HPM costs'!I122/'HPM costs'!$E$122))</f>
        <v>0</v>
      </c>
      <c r="W428" s="525"/>
      <c r="X428" s="1154">
        <f t="shared" si="42"/>
        <v>0</v>
      </c>
      <c r="Y428" s="1155"/>
      <c r="Z428" s="1156"/>
      <c r="AA428" s="529"/>
      <c r="AB428" s="525"/>
      <c r="AC428" s="525">
        <f>'HIV-Key Info'!$G$85*('HIV-Key Info'!$E$85*('HPM costs'!K119/'HPM costs'!$E$119)+'HIV-Key Info'!$F$85*('HPM costs'!K125/'HPM costs'!$E$125+'HPM costs'!K122/'HPM costs'!$E$122))</f>
        <v>0</v>
      </c>
      <c r="AD428" s="525"/>
      <c r="AE428" s="525">
        <f>'HIV-Key Info'!$G$85*('HIV-Key Info'!$E$85*('HPM costs'!L119/'HPM costs'!$E$119)+'HIV-Key Info'!$F$85*('HPM costs'!L125/'HPM costs'!$E$125+'HPM costs'!L122/'HPM costs'!$E$122))</f>
        <v>0</v>
      </c>
      <c r="AF428" s="525"/>
      <c r="AG428" s="525">
        <f>'HIV-Key Info'!$G$85*('HIV-Key Info'!$E$85*('HPM costs'!M119/'HPM costs'!$E$119)+'HIV-Key Info'!$F$85*('HPM costs'!M125/'HPM costs'!$E$125+'HPM costs'!M122/'HPM costs'!$E$122))</f>
        <v>0</v>
      </c>
      <c r="AH428" s="525"/>
      <c r="AI428" s="525">
        <f>'HIV-Key Info'!$G$85*('HIV-Key Info'!$E$85*('HPM costs'!N119/'HPM costs'!$E$119)+'HIV-Key Info'!$F$85*('HPM costs'!N125/'HPM costs'!$E$125+'HPM costs'!N122/'HPM costs'!$E$122))</f>
        <v>0</v>
      </c>
      <c r="AJ428" s="525"/>
      <c r="AK428" s="1154">
        <f t="shared" si="43"/>
        <v>0</v>
      </c>
      <c r="AL428" s="1155"/>
      <c r="AM428" s="1156"/>
      <c r="AN428" s="529"/>
      <c r="AO428" s="525"/>
      <c r="AP428" s="525">
        <f>'HIV-Key Info'!$G$85*('HIV-Key Info'!$E$85*('HPM costs'!P119/'HPM costs'!$E$119)+'HIV-Key Info'!$F$85*('HPM costs'!P125/'HPM costs'!$E$125+'HPM costs'!P122/'HPM costs'!$E$122))</f>
        <v>0</v>
      </c>
      <c r="AQ428" s="525"/>
      <c r="AR428" s="525">
        <f>'HIV-Key Info'!$G$85*('HIV-Key Info'!$E$85*('HPM costs'!Q119/'HPM costs'!$E$119)+'HIV-Key Info'!$F$85*('HPM costs'!Q125/'HPM costs'!$E$125+'HPM costs'!Q122/'HPM costs'!$E$122))</f>
        <v>0</v>
      </c>
      <c r="AS428" s="525"/>
      <c r="AT428" s="525">
        <f>'HIV-Key Info'!$G$85*('HIV-Key Info'!$E$85*('HPM costs'!R119/'HPM costs'!$E$119)+'HIV-Key Info'!$F$85*('HPM costs'!R125/'HPM costs'!$E$125+'HPM costs'!R122/'HPM costs'!$E$122))</f>
        <v>0</v>
      </c>
      <c r="AU428" s="525"/>
      <c r="AV428" s="525">
        <f>'HIV-Key Info'!$G$85*('HIV-Key Info'!$E$85*('HPM costs'!S119/'HPM costs'!$E$119)+'HIV-Key Info'!$F$85*('HPM costs'!S125/'HPM costs'!$E$125+'HPM costs'!S122/'HPM costs'!$E$122))</f>
        <v>0</v>
      </c>
      <c r="AW428" s="525"/>
      <c r="AX428" s="1154">
        <f t="shared" si="44"/>
        <v>0</v>
      </c>
      <c r="AY428" s="1154"/>
      <c r="AZ428" s="528"/>
      <c r="BA428" s="529"/>
      <c r="BB428" s="527"/>
      <c r="BC428" s="527">
        <v>0</v>
      </c>
      <c r="BD428" s="527">
        <v>0</v>
      </c>
      <c r="BE428" s="527">
        <v>0</v>
      </c>
      <c r="BF428" s="527">
        <v>0</v>
      </c>
      <c r="BG428" s="527">
        <v>0</v>
      </c>
      <c r="BH428" s="527">
        <v>0</v>
      </c>
      <c r="BI428" s="527">
        <v>0</v>
      </c>
      <c r="BJ428" s="527">
        <v>0</v>
      </c>
      <c r="BK428" s="1154">
        <f t="shared" si="45"/>
        <v>0</v>
      </c>
      <c r="BL428" s="1154"/>
      <c r="BM428" s="1154">
        <f t="shared" si="46"/>
        <v>0</v>
      </c>
      <c r="BN428" s="1154">
        <f t="shared" si="47"/>
        <v>0</v>
      </c>
      <c r="BO428" s="527"/>
      <c r="BP428" s="527"/>
      <c r="BQ428" s="1157" t="s">
        <v>2555</v>
      </c>
      <c r="BR428" s="1157" t="s">
        <v>690</v>
      </c>
      <c r="BS428" s="1157" t="s">
        <v>2570</v>
      </c>
      <c r="BT428" s="1376" t="s">
        <v>1732</v>
      </c>
    </row>
    <row r="429" spans="1:72" s="1371" customFormat="1" ht="13">
      <c r="A429" s="1204">
        <v>985</v>
      </c>
      <c r="B429" s="1205" t="s">
        <v>672</v>
      </c>
      <c r="C429" s="1205" t="s">
        <v>673</v>
      </c>
      <c r="D429" s="1206" t="s">
        <v>2520</v>
      </c>
      <c r="E429" s="1386" t="s">
        <v>528</v>
      </c>
      <c r="F429" s="521"/>
      <c r="G429" s="522"/>
      <c r="H429" s="522"/>
      <c r="I429" s="522"/>
      <c r="J429" s="523"/>
      <c r="K429" s="523"/>
      <c r="L429" s="523"/>
      <c r="M429" s="524"/>
      <c r="N429" s="525"/>
      <c r="O429" s="526" t="s">
        <v>1237</v>
      </c>
      <c r="P429" s="525">
        <f>'HIV-Key Info'!$G$85*(('HIV-Key Info'!$E$85*'HPM costs'!F33)+('HIV-Key Info'!$F$85*('HPM costs'!F36+'HPM costs'!F39)))</f>
        <v>0</v>
      </c>
      <c r="Q429" s="525" t="s">
        <v>1237</v>
      </c>
      <c r="R429" s="525">
        <f>'HIV-Key Info'!$G$85*(('HIV-Key Info'!$E$85*'HPM costs'!G33)+('HIV-Key Info'!$F$85*('HPM costs'!G36+'HPM costs'!G39)))</f>
        <v>0</v>
      </c>
      <c r="S429" s="525" t="s">
        <v>1237</v>
      </c>
      <c r="T429" s="525">
        <f>'HIV-Key Info'!$G$85*(('HIV-Key Info'!$E$85*'HPM costs'!H33)+('HIV-Key Info'!$F$85*('HPM costs'!H36+'HPM costs'!H39)))</f>
        <v>0</v>
      </c>
      <c r="U429" s="525" t="s">
        <v>1237</v>
      </c>
      <c r="V429" s="525">
        <f>'HIV-Key Info'!$G$85*(('HIV-Key Info'!$E$85*'HPM costs'!I33)+('HIV-Key Info'!$F$85*('HPM costs'!I36+'HPM costs'!I39)))</f>
        <v>0</v>
      </c>
      <c r="W429" s="525"/>
      <c r="X429" s="1154">
        <f t="shared" si="42"/>
        <v>0</v>
      </c>
      <c r="Y429" s="1155"/>
      <c r="Z429" s="1156"/>
      <c r="AA429" s="529"/>
      <c r="AB429" s="525"/>
      <c r="AC429" s="525">
        <f>'HIV-Key Info'!$G$85*(('HIV-Key Info'!$E$85*'HPM costs'!K33)+('HIV-Key Info'!$F$85*('HPM costs'!K36+'HPM costs'!K39)))</f>
        <v>0</v>
      </c>
      <c r="AD429" s="525"/>
      <c r="AE429" s="525">
        <f>'HIV-Key Info'!$G$85*(('HIV-Key Info'!$E$85*'HPM costs'!L33)+('HIV-Key Info'!$F$85*('HPM costs'!L36+'HPM costs'!L39)))</f>
        <v>0</v>
      </c>
      <c r="AF429" s="525"/>
      <c r="AG429" s="525">
        <f>'HIV-Key Info'!$G$85*(('HIV-Key Info'!$E$85*'HPM costs'!M33)+('HIV-Key Info'!$F$85*('HPM costs'!M36+'HPM costs'!M39)))</f>
        <v>0</v>
      </c>
      <c r="AH429" s="525"/>
      <c r="AI429" s="525">
        <f>'HIV-Key Info'!$G$85*(('HIV-Key Info'!$E$85*'HPM costs'!N33)+('HIV-Key Info'!$F$85*('HPM costs'!N36+'HPM costs'!N39)))</f>
        <v>0</v>
      </c>
      <c r="AJ429" s="525"/>
      <c r="AK429" s="1154">
        <f t="shared" si="43"/>
        <v>0</v>
      </c>
      <c r="AL429" s="1155"/>
      <c r="AM429" s="1156"/>
      <c r="AN429" s="529"/>
      <c r="AO429" s="525"/>
      <c r="AP429" s="525">
        <f>'HIV-Key Info'!$G$85*(('HIV-Key Info'!$E$85*'HPM costs'!P33)+('HIV-Key Info'!$F$85*('HPM costs'!P36+'HPM costs'!P39)))</f>
        <v>0</v>
      </c>
      <c r="AQ429" s="525"/>
      <c r="AR429" s="525">
        <f>'HIV-Key Info'!$G$85*(('HIV-Key Info'!$E$85*'HPM costs'!Q33)+('HIV-Key Info'!$F$85*('HPM costs'!Q36+'HPM costs'!Q39)))</f>
        <v>0</v>
      </c>
      <c r="AS429" s="525"/>
      <c r="AT429" s="525">
        <f>'HIV-Key Info'!$G$85*(('HIV-Key Info'!$E$85*'HPM costs'!R33)+('HIV-Key Info'!$F$85*('HPM costs'!R36+'HPM costs'!R39)))</f>
        <v>0</v>
      </c>
      <c r="AU429" s="525"/>
      <c r="AV429" s="525">
        <f>'HIV-Key Info'!$G$85*(('HIV-Key Info'!$E$85*'HPM costs'!S33)+('HIV-Key Info'!$F$85*('HPM costs'!S36+'HPM costs'!S39)))</f>
        <v>0</v>
      </c>
      <c r="AW429" s="525"/>
      <c r="AX429" s="1154">
        <f t="shared" si="44"/>
        <v>0</v>
      </c>
      <c r="AY429" s="1154"/>
      <c r="AZ429" s="528"/>
      <c r="BA429" s="529"/>
      <c r="BB429" s="527"/>
      <c r="BC429" s="527">
        <v>0</v>
      </c>
      <c r="BD429" s="527">
        <v>0</v>
      </c>
      <c r="BE429" s="527">
        <v>0</v>
      </c>
      <c r="BF429" s="527">
        <v>0</v>
      </c>
      <c r="BG429" s="527">
        <v>0</v>
      </c>
      <c r="BH429" s="527">
        <v>0</v>
      </c>
      <c r="BI429" s="527">
        <v>0</v>
      </c>
      <c r="BJ429" s="527">
        <v>0</v>
      </c>
      <c r="BK429" s="1154">
        <f t="shared" si="45"/>
        <v>0</v>
      </c>
      <c r="BL429" s="1154"/>
      <c r="BM429" s="1154">
        <f t="shared" si="46"/>
        <v>0</v>
      </c>
      <c r="BN429" s="1154">
        <f t="shared" si="47"/>
        <v>0</v>
      </c>
      <c r="BO429" s="527"/>
      <c r="BP429" s="527"/>
      <c r="BQ429" s="1157" t="s">
        <v>2555</v>
      </c>
      <c r="BR429" s="1157" t="s">
        <v>690</v>
      </c>
      <c r="BS429" s="1157" t="s">
        <v>527</v>
      </c>
      <c r="BT429" s="1376" t="s">
        <v>1733</v>
      </c>
    </row>
    <row r="430" spans="1:72" s="1371" customFormat="1" ht="13">
      <c r="A430" s="1204">
        <v>986</v>
      </c>
      <c r="B430" s="1205" t="s">
        <v>672</v>
      </c>
      <c r="C430" s="1205" t="s">
        <v>673</v>
      </c>
      <c r="D430" s="1206" t="s">
        <v>2520</v>
      </c>
      <c r="E430" s="1386" t="s">
        <v>530</v>
      </c>
      <c r="F430" s="521"/>
      <c r="G430" s="522"/>
      <c r="H430" s="522"/>
      <c r="I430" s="522"/>
      <c r="J430" s="523"/>
      <c r="K430" s="523"/>
      <c r="L430" s="523"/>
      <c r="M430" s="524"/>
      <c r="N430" s="525"/>
      <c r="O430" s="526" t="s">
        <v>1237</v>
      </c>
      <c r="P430" s="525">
        <f>'HIV-Key Info'!$G$85*(('HIV-Key Info'!$E$85*'HPM costs'!F119)+('HIV-Key Info'!$F$85*('HPM costs'!F122+'HPM costs'!F125)))</f>
        <v>0</v>
      </c>
      <c r="Q430" s="525" t="s">
        <v>1237</v>
      </c>
      <c r="R430" s="525">
        <f>'HIV-Key Info'!$G$85*(('HIV-Key Info'!$E$85*'HPM costs'!G119)+('HIV-Key Info'!$F$85*('HPM costs'!G122+'HPM costs'!G125)))</f>
        <v>0</v>
      </c>
      <c r="S430" s="525" t="s">
        <v>1237</v>
      </c>
      <c r="T430" s="525">
        <f>'HIV-Key Info'!$G$85*(('HIV-Key Info'!$E$85*'HPM costs'!H119)+('HIV-Key Info'!$F$85*('HPM costs'!H122+'HPM costs'!H125)))</f>
        <v>0</v>
      </c>
      <c r="U430" s="525" t="s">
        <v>1237</v>
      </c>
      <c r="V430" s="525">
        <f>'HIV-Key Info'!$G$85*(('HIV-Key Info'!$E$85*'HPM costs'!I119)+('HIV-Key Info'!$F$85*('HPM costs'!I122+'HPM costs'!I125)))</f>
        <v>0</v>
      </c>
      <c r="W430" s="525"/>
      <c r="X430" s="1154">
        <f t="shared" si="42"/>
        <v>0</v>
      </c>
      <c r="Y430" s="1155"/>
      <c r="Z430" s="1156"/>
      <c r="AA430" s="529"/>
      <c r="AB430" s="525"/>
      <c r="AC430" s="525">
        <f>'HIV-Key Info'!$G$85*(('HIV-Key Info'!$E$85*'HPM costs'!K119)+('HIV-Key Info'!$F$85*('HPM costs'!K122+'HPM costs'!K125)))</f>
        <v>0</v>
      </c>
      <c r="AD430" s="525"/>
      <c r="AE430" s="525">
        <f>'HIV-Key Info'!$G$85*(('HIV-Key Info'!$E$85*'HPM costs'!L119)+('HIV-Key Info'!$F$85*('HPM costs'!L122+'HPM costs'!L125)))</f>
        <v>0</v>
      </c>
      <c r="AF430" s="525"/>
      <c r="AG430" s="525">
        <f>'HIV-Key Info'!$G$85*(('HIV-Key Info'!$E$85*'HPM costs'!M119)+('HIV-Key Info'!$F$85*('HPM costs'!M122+'HPM costs'!M125)))</f>
        <v>0</v>
      </c>
      <c r="AH430" s="525"/>
      <c r="AI430" s="525">
        <f>'HIV-Key Info'!$G$85*(('HIV-Key Info'!$E$85*'HPM costs'!N119)+('HIV-Key Info'!$F$85*('HPM costs'!N122+'HPM costs'!N125)))</f>
        <v>0</v>
      </c>
      <c r="AJ430" s="525"/>
      <c r="AK430" s="1154">
        <f t="shared" si="43"/>
        <v>0</v>
      </c>
      <c r="AL430" s="1155"/>
      <c r="AM430" s="1156"/>
      <c r="AN430" s="529"/>
      <c r="AO430" s="525"/>
      <c r="AP430" s="525">
        <f>'HIV-Key Info'!$G$85*(('HIV-Key Info'!$E$85*'HPM costs'!P119)+('HIV-Key Info'!$F$85*('HPM costs'!P122+'HPM costs'!P125)))</f>
        <v>0</v>
      </c>
      <c r="AQ430" s="525"/>
      <c r="AR430" s="525">
        <f>'HIV-Key Info'!$G$85*(('HIV-Key Info'!$E$85*'HPM costs'!Q119)+('HIV-Key Info'!$F$85*('HPM costs'!Q122+'HPM costs'!Q125)))</f>
        <v>0</v>
      </c>
      <c r="AS430" s="525"/>
      <c r="AT430" s="525">
        <f>'HIV-Key Info'!$G$85*(('HIV-Key Info'!$E$85*'HPM costs'!R119)+('HIV-Key Info'!$F$85*('HPM costs'!R122+'HPM costs'!R125)))</f>
        <v>0</v>
      </c>
      <c r="AU430" s="525"/>
      <c r="AV430" s="525">
        <f>'HIV-Key Info'!$G$85*(('HIV-Key Info'!$E$85*'HPM costs'!S119)+('HIV-Key Info'!$F$85*('HPM costs'!S122+'HPM costs'!S125)))</f>
        <v>0</v>
      </c>
      <c r="AW430" s="525"/>
      <c r="AX430" s="1154">
        <f t="shared" si="44"/>
        <v>0</v>
      </c>
      <c r="AY430" s="1154"/>
      <c r="AZ430" s="528"/>
      <c r="BA430" s="529"/>
      <c r="BB430" s="527"/>
      <c r="BC430" s="527">
        <v>0</v>
      </c>
      <c r="BD430" s="527">
        <v>0</v>
      </c>
      <c r="BE430" s="527">
        <v>0</v>
      </c>
      <c r="BF430" s="527">
        <v>0</v>
      </c>
      <c r="BG430" s="527">
        <v>0</v>
      </c>
      <c r="BH430" s="527">
        <v>0</v>
      </c>
      <c r="BI430" s="527">
        <v>0</v>
      </c>
      <c r="BJ430" s="527">
        <v>0</v>
      </c>
      <c r="BK430" s="1154">
        <f t="shared" si="45"/>
        <v>0</v>
      </c>
      <c r="BL430" s="1154"/>
      <c r="BM430" s="1154">
        <f t="shared" si="46"/>
        <v>0</v>
      </c>
      <c r="BN430" s="1154">
        <f t="shared" si="47"/>
        <v>0</v>
      </c>
      <c r="BO430" s="527"/>
      <c r="BP430" s="527"/>
      <c r="BQ430" s="1157" t="s">
        <v>2555</v>
      </c>
      <c r="BR430" s="1157" t="s">
        <v>690</v>
      </c>
      <c r="BS430" s="1157" t="s">
        <v>527</v>
      </c>
      <c r="BT430" s="1376" t="s">
        <v>1734</v>
      </c>
    </row>
    <row r="431" spans="1:72" s="1371" customFormat="1" ht="13">
      <c r="A431" s="1204">
        <v>987</v>
      </c>
      <c r="B431" s="1205" t="s">
        <v>672</v>
      </c>
      <c r="C431" s="1205" t="s">
        <v>673</v>
      </c>
      <c r="D431" s="1206" t="s">
        <v>2520</v>
      </c>
      <c r="E431" s="1386" t="s">
        <v>532</v>
      </c>
      <c r="F431" s="521"/>
      <c r="G431" s="522"/>
      <c r="H431" s="522"/>
      <c r="I431" s="522"/>
      <c r="J431" s="523"/>
      <c r="K431" s="523"/>
      <c r="L431" s="523"/>
      <c r="M431" s="524"/>
      <c r="N431" s="525"/>
      <c r="O431" s="526" t="s">
        <v>1237</v>
      </c>
      <c r="P431" s="525">
        <f>'HIV-Key Info'!$G$85*(('HIV-Key Info'!$E$85*'HPM costs'!F379)+('HIV-Key Info'!$F$85*('HPM costs'!F382+'HPM costs'!F385)))</f>
        <v>0</v>
      </c>
      <c r="Q431" s="525" t="s">
        <v>1237</v>
      </c>
      <c r="R431" s="525">
        <f>'HIV-Key Info'!$G$85*(('HIV-Key Info'!$E$85*'HPM costs'!G379)+('HIV-Key Info'!$F$85*('HPM costs'!G382+'HPM costs'!G385)))</f>
        <v>0</v>
      </c>
      <c r="S431" s="525" t="s">
        <v>1237</v>
      </c>
      <c r="T431" s="525">
        <f>'HIV-Key Info'!$G$85*(('HIV-Key Info'!$E$85*'HPM costs'!H379)+('HIV-Key Info'!$F$85*('HPM costs'!H382+'HPM costs'!H385)))</f>
        <v>0</v>
      </c>
      <c r="U431" s="525" t="s">
        <v>1237</v>
      </c>
      <c r="V431" s="525">
        <f>'HIV-Key Info'!$G$85*(('HIV-Key Info'!$E$85*'HPM costs'!I379)+('HIV-Key Info'!$F$85*('HPM costs'!I382+'HPM costs'!I385)))</f>
        <v>0</v>
      </c>
      <c r="W431" s="525"/>
      <c r="X431" s="1154">
        <f t="shared" si="42"/>
        <v>0</v>
      </c>
      <c r="Y431" s="1155"/>
      <c r="Z431" s="1156"/>
      <c r="AA431" s="529"/>
      <c r="AB431" s="525"/>
      <c r="AC431" s="525">
        <f>'HIV-Key Info'!$G$85*(('HIV-Key Info'!$E$85*'HPM costs'!K379)+('HIV-Key Info'!$F$85*('HPM costs'!K382+'HPM costs'!K385)))</f>
        <v>0</v>
      </c>
      <c r="AD431" s="525"/>
      <c r="AE431" s="525">
        <f>'HIV-Key Info'!$G$85*(('HIV-Key Info'!$E$85*'HPM costs'!L379)+('HIV-Key Info'!$F$85*('HPM costs'!L382+'HPM costs'!L385)))</f>
        <v>0</v>
      </c>
      <c r="AF431" s="525"/>
      <c r="AG431" s="525">
        <f>'HIV-Key Info'!$G$85*(('HIV-Key Info'!$E$85*'HPM costs'!M379)+('HIV-Key Info'!$F$85*('HPM costs'!M382+'HPM costs'!M385)))</f>
        <v>0</v>
      </c>
      <c r="AH431" s="525"/>
      <c r="AI431" s="525">
        <f>'HIV-Key Info'!$G$85*(('HIV-Key Info'!$E$85*'HPM costs'!N379)+('HIV-Key Info'!$F$85*('HPM costs'!N382+'HPM costs'!N385)))</f>
        <v>0</v>
      </c>
      <c r="AJ431" s="525"/>
      <c r="AK431" s="1154">
        <f t="shared" si="43"/>
        <v>0</v>
      </c>
      <c r="AL431" s="1155"/>
      <c r="AM431" s="1156"/>
      <c r="AN431" s="529"/>
      <c r="AO431" s="525"/>
      <c r="AP431" s="525">
        <f>'HIV-Key Info'!$G$85*(('HIV-Key Info'!$E$85*'HPM costs'!P379)+('HIV-Key Info'!$F$85*('HPM costs'!P382+'HPM costs'!P385)))</f>
        <v>0</v>
      </c>
      <c r="AQ431" s="525"/>
      <c r="AR431" s="525">
        <f>'HIV-Key Info'!$G$85*(('HIV-Key Info'!$E$85*'HPM costs'!Q379)+('HIV-Key Info'!$F$85*('HPM costs'!Q382+'HPM costs'!Q385)))</f>
        <v>0</v>
      </c>
      <c r="AS431" s="525"/>
      <c r="AT431" s="525">
        <f>'HIV-Key Info'!$G$85*(('HIV-Key Info'!$E$85*'HPM costs'!R379)+('HIV-Key Info'!$F$85*('HPM costs'!R382+'HPM costs'!R385)))</f>
        <v>0</v>
      </c>
      <c r="AU431" s="525"/>
      <c r="AV431" s="525">
        <f>'HIV-Key Info'!$G$85*(('HIV-Key Info'!$E$85*'HPM costs'!S379)+('HIV-Key Info'!$F$85*('HPM costs'!S382+'HPM costs'!S385)))</f>
        <v>0</v>
      </c>
      <c r="AW431" s="525"/>
      <c r="AX431" s="1154">
        <f t="shared" si="44"/>
        <v>0</v>
      </c>
      <c r="AY431" s="1154"/>
      <c r="AZ431" s="528"/>
      <c r="BA431" s="529"/>
      <c r="BB431" s="527"/>
      <c r="BC431" s="527">
        <v>0</v>
      </c>
      <c r="BD431" s="527">
        <v>0</v>
      </c>
      <c r="BE431" s="527">
        <v>0</v>
      </c>
      <c r="BF431" s="527">
        <v>0</v>
      </c>
      <c r="BG431" s="527">
        <v>0</v>
      </c>
      <c r="BH431" s="527">
        <v>0</v>
      </c>
      <c r="BI431" s="527">
        <v>0</v>
      </c>
      <c r="BJ431" s="527">
        <v>0</v>
      </c>
      <c r="BK431" s="1154">
        <f t="shared" si="45"/>
        <v>0</v>
      </c>
      <c r="BL431" s="1154"/>
      <c r="BM431" s="1154">
        <f t="shared" si="46"/>
        <v>0</v>
      </c>
      <c r="BN431" s="1154">
        <f t="shared" si="47"/>
        <v>0</v>
      </c>
      <c r="BO431" s="527"/>
      <c r="BP431" s="527"/>
      <c r="BQ431" s="1157" t="s">
        <v>2555</v>
      </c>
      <c r="BR431" s="1157" t="s">
        <v>690</v>
      </c>
      <c r="BS431" s="1157" t="s">
        <v>527</v>
      </c>
      <c r="BT431" s="1376" t="s">
        <v>1735</v>
      </c>
    </row>
    <row r="432" spans="1:72" s="1371" customFormat="1" ht="13">
      <c r="A432" s="1204">
        <v>988</v>
      </c>
      <c r="B432" s="1205" t="s">
        <v>672</v>
      </c>
      <c r="C432" s="1205" t="s">
        <v>673</v>
      </c>
      <c r="D432" s="1206" t="s">
        <v>2520</v>
      </c>
      <c r="E432" s="1386" t="s">
        <v>534</v>
      </c>
      <c r="F432" s="521"/>
      <c r="G432" s="522"/>
      <c r="H432" s="522"/>
      <c r="I432" s="522"/>
      <c r="J432" s="523"/>
      <c r="K432" s="523"/>
      <c r="L432" s="523"/>
      <c r="M432" s="524"/>
      <c r="N432" s="525"/>
      <c r="O432" s="526" t="s">
        <v>1237</v>
      </c>
      <c r="P432" s="525">
        <f>'HIV-Key Info'!$G$85*(('HIV-Key Info'!$E$85*'HPM costs'!F465)+('HIV-Key Info'!$F$85*('HPM costs'!F468+'HPM costs'!F471)))</f>
        <v>0</v>
      </c>
      <c r="Q432" s="525" t="s">
        <v>1237</v>
      </c>
      <c r="R432" s="525">
        <f>'HIV-Key Info'!$G$85*(('HIV-Key Info'!$E$85*'HPM costs'!G465)+('HIV-Key Info'!$F$85*('HPM costs'!G468+'HPM costs'!G471)))</f>
        <v>0</v>
      </c>
      <c r="S432" s="525" t="s">
        <v>1237</v>
      </c>
      <c r="T432" s="525">
        <f>'HIV-Key Info'!$G$85*(('HIV-Key Info'!$E$85*'HPM costs'!H465)+('HIV-Key Info'!$F$85*('HPM costs'!H468+'HPM costs'!H471)))</f>
        <v>0</v>
      </c>
      <c r="U432" s="525" t="s">
        <v>1237</v>
      </c>
      <c r="V432" s="525">
        <f>'HIV-Key Info'!$G$85*(('HIV-Key Info'!$E$85*'HPM costs'!I465)+('HIV-Key Info'!$F$85*('HPM costs'!I468+'HPM costs'!I471)))</f>
        <v>0</v>
      </c>
      <c r="W432" s="525"/>
      <c r="X432" s="1154">
        <f t="shared" si="42"/>
        <v>0</v>
      </c>
      <c r="Y432" s="1155"/>
      <c r="Z432" s="1156"/>
      <c r="AA432" s="529"/>
      <c r="AB432" s="525"/>
      <c r="AC432" s="525">
        <f>'HIV-Key Info'!$G$85*(('HIV-Key Info'!$E$85*'HPM costs'!K465)+('HIV-Key Info'!$F$85*('HPM costs'!K468+'HPM costs'!K471)))</f>
        <v>0</v>
      </c>
      <c r="AD432" s="525"/>
      <c r="AE432" s="525">
        <f>'HIV-Key Info'!$G$85*(('HIV-Key Info'!$E$85*'HPM costs'!L465)+('HIV-Key Info'!$F$85*('HPM costs'!L468+'HPM costs'!L471)))</f>
        <v>0</v>
      </c>
      <c r="AF432" s="525"/>
      <c r="AG432" s="525">
        <f>'HIV-Key Info'!$G$85*(('HIV-Key Info'!$E$85*'HPM costs'!M465)+('HIV-Key Info'!$F$85*('HPM costs'!M468+'HPM costs'!M471)))</f>
        <v>0</v>
      </c>
      <c r="AH432" s="525"/>
      <c r="AI432" s="525">
        <f>'HIV-Key Info'!$G$85*(('HIV-Key Info'!$E$85*'HPM costs'!N465)+('HIV-Key Info'!$F$85*('HPM costs'!N468+'HPM costs'!N471)))</f>
        <v>0</v>
      </c>
      <c r="AJ432" s="525"/>
      <c r="AK432" s="1154">
        <f t="shared" si="43"/>
        <v>0</v>
      </c>
      <c r="AL432" s="1155"/>
      <c r="AM432" s="1156"/>
      <c r="AN432" s="529"/>
      <c r="AO432" s="525"/>
      <c r="AP432" s="525">
        <f>'HIV-Key Info'!$G$85*(('HIV-Key Info'!$E$85*'HPM costs'!P465)+('HIV-Key Info'!$F$85*('HPM costs'!P468+'HPM costs'!P471)))</f>
        <v>0</v>
      </c>
      <c r="AQ432" s="525"/>
      <c r="AR432" s="525">
        <f>'HIV-Key Info'!$G$85*(('HIV-Key Info'!$E$85*'HPM costs'!Q465)+('HIV-Key Info'!$F$85*('HPM costs'!Q468+'HPM costs'!Q471)))</f>
        <v>0</v>
      </c>
      <c r="AS432" s="525"/>
      <c r="AT432" s="525">
        <f>'HIV-Key Info'!$G$85*(('HIV-Key Info'!$E$85*'HPM costs'!R465)+('HIV-Key Info'!$F$85*('HPM costs'!R468+'HPM costs'!R471)))</f>
        <v>0</v>
      </c>
      <c r="AU432" s="525"/>
      <c r="AV432" s="525">
        <f>'HIV-Key Info'!$G$85*(('HIV-Key Info'!$E$85*'HPM costs'!S465)+('HIV-Key Info'!$F$85*('HPM costs'!S468+'HPM costs'!S471)))</f>
        <v>0</v>
      </c>
      <c r="AW432" s="525"/>
      <c r="AX432" s="1154">
        <f t="shared" si="44"/>
        <v>0</v>
      </c>
      <c r="AY432" s="1154"/>
      <c r="AZ432" s="528"/>
      <c r="BA432" s="529"/>
      <c r="BB432" s="527"/>
      <c r="BC432" s="527">
        <v>0</v>
      </c>
      <c r="BD432" s="527">
        <v>0</v>
      </c>
      <c r="BE432" s="527">
        <v>0</v>
      </c>
      <c r="BF432" s="527">
        <v>0</v>
      </c>
      <c r="BG432" s="527">
        <v>0</v>
      </c>
      <c r="BH432" s="527">
        <v>0</v>
      </c>
      <c r="BI432" s="527">
        <v>0</v>
      </c>
      <c r="BJ432" s="527">
        <v>0</v>
      </c>
      <c r="BK432" s="1154">
        <f t="shared" si="45"/>
        <v>0</v>
      </c>
      <c r="BL432" s="1154"/>
      <c r="BM432" s="1154">
        <f t="shared" si="46"/>
        <v>0</v>
      </c>
      <c r="BN432" s="1154">
        <f t="shared" si="47"/>
        <v>0</v>
      </c>
      <c r="BO432" s="527"/>
      <c r="BP432" s="527"/>
      <c r="BQ432" s="1157" t="s">
        <v>2555</v>
      </c>
      <c r="BR432" s="1157" t="s">
        <v>690</v>
      </c>
      <c r="BS432" s="1157" t="s">
        <v>527</v>
      </c>
      <c r="BT432" s="1376" t="s">
        <v>1736</v>
      </c>
    </row>
    <row r="433" spans="1:72" s="1371" customFormat="1" ht="13">
      <c r="A433" s="1204">
        <v>989</v>
      </c>
      <c r="B433" s="1205" t="s">
        <v>672</v>
      </c>
      <c r="C433" s="1205" t="s">
        <v>673</v>
      </c>
      <c r="D433" s="1206" t="s">
        <v>2520</v>
      </c>
      <c r="E433" s="1386" t="s">
        <v>536</v>
      </c>
      <c r="F433" s="521"/>
      <c r="G433" s="522"/>
      <c r="H433" s="522"/>
      <c r="I433" s="522"/>
      <c r="J433" s="523"/>
      <c r="K433" s="523"/>
      <c r="L433" s="523"/>
      <c r="M433" s="524"/>
      <c r="N433" s="525"/>
      <c r="O433" s="526" t="s">
        <v>1237</v>
      </c>
      <c r="P433" s="525">
        <f>'HIV-Key Info'!$G$85*(('HIV-Key Info'!$E$85*('HPM costs'!F205+'HPM costs'!F551))+('HIV-Key Info'!$F$85*('HPM costs'!F208+'HPM costs'!F211+'HPM costs'!F554+'HPM costs'!F557)))</f>
        <v>0</v>
      </c>
      <c r="Q433" s="525" t="s">
        <v>1237</v>
      </c>
      <c r="R433" s="525">
        <f>'HIV-Key Info'!$G$85*(('HIV-Key Info'!$E$85*('HPM costs'!G205+'HPM costs'!G551))+('HIV-Key Info'!$F$85*('HPM costs'!G208+'HPM costs'!G211+'HPM costs'!G554+'HPM costs'!G557)))</f>
        <v>0</v>
      </c>
      <c r="S433" s="525" t="s">
        <v>1237</v>
      </c>
      <c r="T433" s="525">
        <f>'HIV-Key Info'!$G$85*(('HIV-Key Info'!$E$85*('HPM costs'!H205+'HPM costs'!H551))+('HIV-Key Info'!$F$85*('HPM costs'!H208+'HPM costs'!H211+'HPM costs'!H554+'HPM costs'!H557)))</f>
        <v>0</v>
      </c>
      <c r="U433" s="525" t="s">
        <v>1237</v>
      </c>
      <c r="V433" s="525">
        <f>'HIV-Key Info'!$G$85*(('HIV-Key Info'!$E$85*('HPM costs'!I205+'HPM costs'!I551))+('HIV-Key Info'!$F$85*('HPM costs'!I208+'HPM costs'!I211+'HPM costs'!I554+'HPM costs'!I557)))</f>
        <v>0</v>
      </c>
      <c r="W433" s="525"/>
      <c r="X433" s="1154">
        <f t="shared" si="42"/>
        <v>0</v>
      </c>
      <c r="Y433" s="1155"/>
      <c r="Z433" s="1156"/>
      <c r="AA433" s="529"/>
      <c r="AB433" s="525"/>
      <c r="AC433" s="525">
        <f>'HIV-Key Info'!$G$85*(('HIV-Key Info'!$E$85*('HPM costs'!K205+'HPM costs'!K551))+('HIV-Key Info'!$F$85*('HPM costs'!K208+'HPM costs'!K211+'HPM costs'!K554+'HPM costs'!K557)))</f>
        <v>0</v>
      </c>
      <c r="AD433" s="525"/>
      <c r="AE433" s="525">
        <f>'HIV-Key Info'!$G$85*(('HIV-Key Info'!$E$85*('HPM costs'!L205+'HPM costs'!L551))+('HIV-Key Info'!$F$85*('HPM costs'!L208+'HPM costs'!L211+'HPM costs'!L554+'HPM costs'!L557)))</f>
        <v>0</v>
      </c>
      <c r="AF433" s="525"/>
      <c r="AG433" s="525">
        <f>'HIV-Key Info'!$G$85*(('HIV-Key Info'!$E$85*('HPM costs'!M205+'HPM costs'!M551))+('HIV-Key Info'!$F$85*('HPM costs'!M208+'HPM costs'!M211+'HPM costs'!M554+'HPM costs'!M557)))</f>
        <v>0</v>
      </c>
      <c r="AH433" s="525"/>
      <c r="AI433" s="525">
        <f>'HIV-Key Info'!$G$85*(('HIV-Key Info'!$E$85*('HPM costs'!N205+'HPM costs'!N551))+('HIV-Key Info'!$F$85*('HPM costs'!N208+'HPM costs'!N211+'HPM costs'!N554+'HPM costs'!N557)))</f>
        <v>0</v>
      </c>
      <c r="AJ433" s="525"/>
      <c r="AK433" s="1154">
        <f t="shared" si="43"/>
        <v>0</v>
      </c>
      <c r="AL433" s="1155"/>
      <c r="AM433" s="1156"/>
      <c r="AN433" s="529"/>
      <c r="AO433" s="525"/>
      <c r="AP433" s="525">
        <f>'HIV-Key Info'!$G$85*(('HIV-Key Info'!$E$85*('HPM costs'!P205+'HPM costs'!P551))+('HIV-Key Info'!$F$85*('HPM costs'!P208+'HPM costs'!P211+'HPM costs'!P554+'HPM costs'!P557)))</f>
        <v>0</v>
      </c>
      <c r="AQ433" s="525"/>
      <c r="AR433" s="525">
        <f>'HIV-Key Info'!$G$85*(('HIV-Key Info'!$E$85*('HPM costs'!Q205+'HPM costs'!Q551))+('HIV-Key Info'!$F$85*('HPM costs'!Q208+'HPM costs'!Q211+'HPM costs'!Q554+'HPM costs'!Q557)))</f>
        <v>0</v>
      </c>
      <c r="AS433" s="525"/>
      <c r="AT433" s="525">
        <f>'HIV-Key Info'!$G$85*(('HIV-Key Info'!$E$85*('HPM costs'!R205+'HPM costs'!R551))+('HIV-Key Info'!$F$85*('HPM costs'!R208+'HPM costs'!R211+'HPM costs'!R554+'HPM costs'!R557)))</f>
        <v>0</v>
      </c>
      <c r="AU433" s="525"/>
      <c r="AV433" s="525">
        <f>'HIV-Key Info'!$G$85*(('HIV-Key Info'!$E$85*('HPM costs'!S205+'HPM costs'!S551))+('HIV-Key Info'!$F$85*('HPM costs'!S208+'HPM costs'!S211+'HPM costs'!S554+'HPM costs'!S557)))</f>
        <v>0</v>
      </c>
      <c r="AW433" s="525"/>
      <c r="AX433" s="1154">
        <f t="shared" si="44"/>
        <v>0</v>
      </c>
      <c r="AY433" s="1154"/>
      <c r="AZ433" s="528"/>
      <c r="BA433" s="529"/>
      <c r="BB433" s="527"/>
      <c r="BC433" s="527">
        <v>0</v>
      </c>
      <c r="BD433" s="527">
        <v>0</v>
      </c>
      <c r="BE433" s="527">
        <v>0</v>
      </c>
      <c r="BF433" s="527">
        <v>0</v>
      </c>
      <c r="BG433" s="527">
        <v>0</v>
      </c>
      <c r="BH433" s="527">
        <v>0</v>
      </c>
      <c r="BI433" s="527">
        <v>0</v>
      </c>
      <c r="BJ433" s="527">
        <v>0</v>
      </c>
      <c r="BK433" s="1154">
        <f t="shared" si="45"/>
        <v>0</v>
      </c>
      <c r="BL433" s="1154"/>
      <c r="BM433" s="1154">
        <f t="shared" si="46"/>
        <v>0</v>
      </c>
      <c r="BN433" s="1154">
        <f t="shared" si="47"/>
        <v>0</v>
      </c>
      <c r="BO433" s="527"/>
      <c r="BP433" s="527"/>
      <c r="BQ433" s="1157" t="s">
        <v>2555</v>
      </c>
      <c r="BR433" s="1157" t="s">
        <v>690</v>
      </c>
      <c r="BS433" s="1157" t="s">
        <v>527</v>
      </c>
      <c r="BT433" s="1376" t="s">
        <v>1737</v>
      </c>
    </row>
    <row r="434" spans="1:72" s="1371" customFormat="1" ht="13">
      <c r="A434" s="1204">
        <v>990</v>
      </c>
      <c r="B434" s="1205" t="s">
        <v>672</v>
      </c>
      <c r="C434" s="1205" t="s">
        <v>673</v>
      </c>
      <c r="D434" s="1206" t="s">
        <v>2520</v>
      </c>
      <c r="E434" s="1386" t="s">
        <v>538</v>
      </c>
      <c r="F434" s="521"/>
      <c r="G434" s="522"/>
      <c r="H434" s="522"/>
      <c r="I434" s="522"/>
      <c r="J434" s="523"/>
      <c r="K434" s="523"/>
      <c r="L434" s="523"/>
      <c r="M434" s="524"/>
      <c r="N434" s="525"/>
      <c r="O434" s="526" t="s">
        <v>1237</v>
      </c>
      <c r="P434" s="525">
        <f>'HIV-Key Info'!$G$85*(('HIV-Key Info'!$E$85*'HPM costs'!F291)+('HIV-Key Info'!$F$85*('HPM costs'!F294+'HPM costs'!F297)))</f>
        <v>0</v>
      </c>
      <c r="Q434" s="525" t="s">
        <v>1237</v>
      </c>
      <c r="R434" s="525">
        <f>'HIV-Key Info'!$G$85*(('HIV-Key Info'!$E$85*'HPM costs'!G291)+('HIV-Key Info'!$F$85*('HPM costs'!G294+'HPM costs'!G297)))</f>
        <v>0</v>
      </c>
      <c r="S434" s="525" t="s">
        <v>1237</v>
      </c>
      <c r="T434" s="525">
        <f>'HIV-Key Info'!$G$85*(('HIV-Key Info'!$E$85*'HPM costs'!H291)+('HIV-Key Info'!$F$85*('HPM costs'!H294+'HPM costs'!H297)))</f>
        <v>0</v>
      </c>
      <c r="U434" s="525" t="s">
        <v>1237</v>
      </c>
      <c r="V434" s="525">
        <f>'HIV-Key Info'!$G$85*(('HIV-Key Info'!$E$85*'HPM costs'!I291)+('HIV-Key Info'!$F$85*('HPM costs'!I294+'HPM costs'!I297)))</f>
        <v>0</v>
      </c>
      <c r="W434" s="525"/>
      <c r="X434" s="1154">
        <f t="shared" si="42"/>
        <v>0</v>
      </c>
      <c r="Y434" s="1155"/>
      <c r="Z434" s="1156"/>
      <c r="AA434" s="529"/>
      <c r="AB434" s="525"/>
      <c r="AC434" s="525">
        <f>'HIV-Key Info'!$G$85*(('HIV-Key Info'!$E$85*'HPM costs'!K291)+('HIV-Key Info'!$F$85*('HPM costs'!K294+'HPM costs'!K297)))</f>
        <v>0</v>
      </c>
      <c r="AD434" s="525"/>
      <c r="AE434" s="525">
        <f>'HIV-Key Info'!$G$85*(('HIV-Key Info'!$E$85*'HPM costs'!L291)+('HIV-Key Info'!$F$85*('HPM costs'!L294+'HPM costs'!L297)))</f>
        <v>0</v>
      </c>
      <c r="AF434" s="525"/>
      <c r="AG434" s="525">
        <f>'HIV-Key Info'!$G$85*(('HIV-Key Info'!$E$85*'HPM costs'!M291)+('HIV-Key Info'!$F$85*('HPM costs'!M294+'HPM costs'!M297)))</f>
        <v>0</v>
      </c>
      <c r="AH434" s="525"/>
      <c r="AI434" s="525">
        <f>'HIV-Key Info'!$G$85*(('HIV-Key Info'!$E$85*'HPM costs'!N291)+('HIV-Key Info'!$F$85*('HPM costs'!N294+'HPM costs'!N297)))</f>
        <v>0</v>
      </c>
      <c r="AJ434" s="525"/>
      <c r="AK434" s="1154">
        <f t="shared" si="43"/>
        <v>0</v>
      </c>
      <c r="AL434" s="1155"/>
      <c r="AM434" s="1156"/>
      <c r="AN434" s="529"/>
      <c r="AO434" s="525"/>
      <c r="AP434" s="525">
        <f>'HIV-Key Info'!$G$85*(('HIV-Key Info'!$E$85*'HPM costs'!P291)+('HIV-Key Info'!$F$85*('HPM costs'!P294+'HPM costs'!P297)))</f>
        <v>0</v>
      </c>
      <c r="AQ434" s="525"/>
      <c r="AR434" s="525">
        <f>'HIV-Key Info'!$G$85*(('HIV-Key Info'!$E$85*'HPM costs'!Q291)+('HIV-Key Info'!$F$85*('HPM costs'!Q294+'HPM costs'!Q297)))</f>
        <v>0</v>
      </c>
      <c r="AS434" s="525"/>
      <c r="AT434" s="525">
        <f>'HIV-Key Info'!$G$85*(('HIV-Key Info'!$E$85*'HPM costs'!R291)+('HIV-Key Info'!$F$85*('HPM costs'!R294+'HPM costs'!R297)))</f>
        <v>0</v>
      </c>
      <c r="AU434" s="525"/>
      <c r="AV434" s="525">
        <f>'HIV-Key Info'!$G$85*(('HIV-Key Info'!$E$85*'HPM costs'!S291)+('HIV-Key Info'!$F$85*('HPM costs'!S294+'HPM costs'!S297)))</f>
        <v>0</v>
      </c>
      <c r="AW434" s="525"/>
      <c r="AX434" s="1154">
        <f t="shared" si="44"/>
        <v>0</v>
      </c>
      <c r="AY434" s="1154"/>
      <c r="AZ434" s="528"/>
      <c r="BA434" s="529"/>
      <c r="BB434" s="527"/>
      <c r="BC434" s="527">
        <v>0</v>
      </c>
      <c r="BD434" s="527">
        <v>0</v>
      </c>
      <c r="BE434" s="527">
        <v>0</v>
      </c>
      <c r="BF434" s="527">
        <v>0</v>
      </c>
      <c r="BG434" s="527">
        <v>0</v>
      </c>
      <c r="BH434" s="527">
        <v>0</v>
      </c>
      <c r="BI434" s="527">
        <v>0</v>
      </c>
      <c r="BJ434" s="527">
        <v>0</v>
      </c>
      <c r="BK434" s="1154">
        <f t="shared" si="45"/>
        <v>0</v>
      </c>
      <c r="BL434" s="1154"/>
      <c r="BM434" s="1154">
        <f t="shared" si="46"/>
        <v>0</v>
      </c>
      <c r="BN434" s="1154">
        <f t="shared" si="47"/>
        <v>0</v>
      </c>
      <c r="BO434" s="527"/>
      <c r="BP434" s="527"/>
      <c r="BQ434" s="1157" t="s">
        <v>2555</v>
      </c>
      <c r="BR434" s="1157" t="s">
        <v>690</v>
      </c>
      <c r="BS434" s="1157" t="s">
        <v>527</v>
      </c>
      <c r="BT434" s="1376" t="s">
        <v>1738</v>
      </c>
    </row>
    <row r="435" spans="1:72" s="1371" customFormat="1" ht="13">
      <c r="A435" s="1204">
        <v>991</v>
      </c>
      <c r="B435" s="1205" t="s">
        <v>672</v>
      </c>
      <c r="C435" s="1205" t="s">
        <v>673</v>
      </c>
      <c r="D435" s="1206" t="s">
        <v>2520</v>
      </c>
      <c r="E435" s="1386" t="s">
        <v>540</v>
      </c>
      <c r="F435" s="521"/>
      <c r="G435" s="522"/>
      <c r="H435" s="522"/>
      <c r="I435" s="522"/>
      <c r="J435" s="523"/>
      <c r="K435" s="523"/>
      <c r="L435" s="523"/>
      <c r="M435" s="524"/>
      <c r="N435" s="525"/>
      <c r="O435" s="526" t="s">
        <v>1237</v>
      </c>
      <c r="P435" s="525">
        <f>'HIV-Key Info'!$G$85*(('HIV-Key Info'!$E$85*'HPM costs'!F636)+('HIV-Key Info'!$F$85*('HPM costs'!F639+'HPM costs'!F642)))</f>
        <v>0</v>
      </c>
      <c r="Q435" s="525" t="s">
        <v>1237</v>
      </c>
      <c r="R435" s="525">
        <f>'HIV-Key Info'!$G$85*(('HIV-Key Info'!$E$85*'HPM costs'!G636)+('HIV-Key Info'!$F$85*('HPM costs'!G639+'HPM costs'!G642)))</f>
        <v>0</v>
      </c>
      <c r="S435" s="525" t="s">
        <v>1237</v>
      </c>
      <c r="T435" s="525">
        <f>'HIV-Key Info'!$G$85*(('HIV-Key Info'!$E$85*'HPM costs'!H636)+('HIV-Key Info'!$F$85*('HPM costs'!H639+'HPM costs'!H642)))</f>
        <v>0</v>
      </c>
      <c r="U435" s="525" t="s">
        <v>1237</v>
      </c>
      <c r="V435" s="525">
        <f>'HIV-Key Info'!$G$85*(('HIV-Key Info'!$E$85*'HPM costs'!I636)+('HIV-Key Info'!$F$85*('HPM costs'!I639+'HPM costs'!I642)))</f>
        <v>0</v>
      </c>
      <c r="W435" s="525"/>
      <c r="X435" s="1154">
        <f t="shared" si="42"/>
        <v>0</v>
      </c>
      <c r="Y435" s="1155"/>
      <c r="Z435" s="1156"/>
      <c r="AA435" s="529"/>
      <c r="AB435" s="525"/>
      <c r="AC435" s="525">
        <f>'HIV-Key Info'!$G$85*(('HIV-Key Info'!$E$85*'HPM costs'!K636)+('HIV-Key Info'!$F$85*('HPM costs'!K639+'HPM costs'!K642)))</f>
        <v>0</v>
      </c>
      <c r="AD435" s="525"/>
      <c r="AE435" s="525">
        <f>'HIV-Key Info'!$G$85*(('HIV-Key Info'!$E$85*'HPM costs'!L636)+('HIV-Key Info'!$F$85*('HPM costs'!L639+'HPM costs'!L642)))</f>
        <v>0</v>
      </c>
      <c r="AF435" s="525"/>
      <c r="AG435" s="525">
        <f>'HIV-Key Info'!$G$85*(('HIV-Key Info'!$E$85*'HPM costs'!M636)+('HIV-Key Info'!$F$85*('HPM costs'!M639+'HPM costs'!M642)))</f>
        <v>0</v>
      </c>
      <c r="AH435" s="525"/>
      <c r="AI435" s="525">
        <f>'HIV-Key Info'!$G$85*(('HIV-Key Info'!$E$85*'HPM costs'!N636)+('HIV-Key Info'!$F$85*('HPM costs'!N639+'HPM costs'!N642)))</f>
        <v>0</v>
      </c>
      <c r="AJ435" s="525"/>
      <c r="AK435" s="1154">
        <f t="shared" si="43"/>
        <v>0</v>
      </c>
      <c r="AL435" s="1155"/>
      <c r="AM435" s="1156"/>
      <c r="AN435" s="529"/>
      <c r="AO435" s="525"/>
      <c r="AP435" s="525">
        <f>'HIV-Key Info'!$G$85*(('HIV-Key Info'!$E$85*'HPM costs'!P636)+('HIV-Key Info'!$F$85*('HPM costs'!P639+'HPM costs'!P642)))</f>
        <v>0</v>
      </c>
      <c r="AQ435" s="525"/>
      <c r="AR435" s="525">
        <f>'HIV-Key Info'!$G$85*(('HIV-Key Info'!$E$85*'HPM costs'!Q636)+('HIV-Key Info'!$F$85*('HPM costs'!Q639+'HPM costs'!Q642)))</f>
        <v>0</v>
      </c>
      <c r="AS435" s="525"/>
      <c r="AT435" s="525">
        <f>'HIV-Key Info'!$G$85*(('HIV-Key Info'!$E$85*'HPM costs'!R636)+('HIV-Key Info'!$F$85*('HPM costs'!R639+'HPM costs'!R642)))</f>
        <v>0</v>
      </c>
      <c r="AU435" s="525"/>
      <c r="AV435" s="525">
        <f>'HIV-Key Info'!$G$85*(('HIV-Key Info'!$E$85*'HPM costs'!S636)+('HIV-Key Info'!$F$85*('HPM costs'!S639+'HPM costs'!S642)))</f>
        <v>0</v>
      </c>
      <c r="AW435" s="525"/>
      <c r="AX435" s="1154">
        <f t="shared" si="44"/>
        <v>0</v>
      </c>
      <c r="AY435" s="1154"/>
      <c r="AZ435" s="528"/>
      <c r="BA435" s="529"/>
      <c r="BB435" s="527"/>
      <c r="BC435" s="527">
        <v>0</v>
      </c>
      <c r="BD435" s="527">
        <v>0</v>
      </c>
      <c r="BE435" s="527">
        <v>0</v>
      </c>
      <c r="BF435" s="527">
        <v>0</v>
      </c>
      <c r="BG435" s="527">
        <v>0</v>
      </c>
      <c r="BH435" s="527">
        <v>0</v>
      </c>
      <c r="BI435" s="527">
        <v>0</v>
      </c>
      <c r="BJ435" s="527">
        <v>0</v>
      </c>
      <c r="BK435" s="1154">
        <f t="shared" si="45"/>
        <v>0</v>
      </c>
      <c r="BL435" s="1154"/>
      <c r="BM435" s="1154">
        <f t="shared" si="46"/>
        <v>0</v>
      </c>
      <c r="BN435" s="1154">
        <f t="shared" si="47"/>
        <v>0</v>
      </c>
      <c r="BO435" s="527"/>
      <c r="BP435" s="527"/>
      <c r="BQ435" s="1157" t="s">
        <v>2555</v>
      </c>
      <c r="BR435" s="1157" t="s">
        <v>690</v>
      </c>
      <c r="BS435" s="1157" t="s">
        <v>527</v>
      </c>
      <c r="BT435" s="1376" t="s">
        <v>1739</v>
      </c>
    </row>
    <row r="436" spans="1:72" s="1371" customFormat="1" ht="13">
      <c r="A436" s="1204">
        <v>992</v>
      </c>
      <c r="B436" s="1205" t="s">
        <v>672</v>
      </c>
      <c r="C436" s="1205" t="s">
        <v>674</v>
      </c>
      <c r="D436" s="1206" t="s">
        <v>2577</v>
      </c>
      <c r="E436" s="1386" t="s">
        <v>603</v>
      </c>
      <c r="F436" s="521"/>
      <c r="G436" s="522"/>
      <c r="H436" s="522"/>
      <c r="I436" s="522"/>
      <c r="J436" s="523"/>
      <c r="K436" s="523"/>
      <c r="L436" s="523"/>
      <c r="M436" s="524"/>
      <c r="N436" s="525"/>
      <c r="O436" s="526" t="s">
        <v>1237</v>
      </c>
      <c r="P436" s="525">
        <f>'HIV-Key Info'!$H$85*('HIV-Key Info'!$E$85*('HPM costs'!F119/'HPM costs'!$E$119)+'HIV-Key Info'!$F$85*('HPM costs'!F125/'HPM costs'!$E$125+'HPM costs'!F122/'HPM costs'!$E$122))</f>
        <v>0</v>
      </c>
      <c r="Q436" s="525" t="s">
        <v>1237</v>
      </c>
      <c r="R436" s="525">
        <f>'HIV-Key Info'!$H$85*('HIV-Key Info'!$E$85*('HPM costs'!G119/'HPM costs'!$E$119)+'HIV-Key Info'!$F$85*('HPM costs'!G125/'HPM costs'!$E$125+'HPM costs'!G122/'HPM costs'!$E$122))</f>
        <v>0</v>
      </c>
      <c r="S436" s="525" t="s">
        <v>1237</v>
      </c>
      <c r="T436" s="525">
        <f>'HIV-Key Info'!$H$85*('HIV-Key Info'!$E$85*('HPM costs'!H119/'HPM costs'!$E$119)+'HIV-Key Info'!$F$85*('HPM costs'!H125/'HPM costs'!$E$125+'HPM costs'!H122/'HPM costs'!$E$122))</f>
        <v>0</v>
      </c>
      <c r="U436" s="525" t="s">
        <v>1237</v>
      </c>
      <c r="V436" s="525">
        <f>'HIV-Key Info'!$H$85*('HIV-Key Info'!$E$85*('HPM costs'!I119/'HPM costs'!$E$119)+'HIV-Key Info'!$F$85*('HPM costs'!I125/'HPM costs'!$E$125+'HPM costs'!I122/'HPM costs'!$E$122))</f>
        <v>0</v>
      </c>
      <c r="W436" s="525"/>
      <c r="X436" s="1154">
        <f t="shared" si="42"/>
        <v>0</v>
      </c>
      <c r="Y436" s="1155"/>
      <c r="Z436" s="1156"/>
      <c r="AA436" s="529"/>
      <c r="AB436" s="525"/>
      <c r="AC436" s="525">
        <f>'HIV-Key Info'!$H$85*('HIV-Key Info'!$E$85*('HPM costs'!K119/'HPM costs'!$E$119)+'HIV-Key Info'!$F$85*('HPM costs'!K125/'HPM costs'!$E$125+'HPM costs'!K122/'HPM costs'!$E$122))</f>
        <v>0</v>
      </c>
      <c r="AD436" s="525"/>
      <c r="AE436" s="525">
        <f>'HIV-Key Info'!$H$85*('HIV-Key Info'!$E$85*('HPM costs'!L119/'HPM costs'!$E$119)+'HIV-Key Info'!$F$85*('HPM costs'!L125/'HPM costs'!$E$125+'HPM costs'!L122/'HPM costs'!$E$122))</f>
        <v>0</v>
      </c>
      <c r="AF436" s="525"/>
      <c r="AG436" s="525">
        <f>'HIV-Key Info'!$H$85*('HIV-Key Info'!$E$85*('HPM costs'!M119/'HPM costs'!$E$119)+'HIV-Key Info'!$F$85*('HPM costs'!M125/'HPM costs'!$E$125+'HPM costs'!M122/'HPM costs'!$E$122))</f>
        <v>0</v>
      </c>
      <c r="AH436" s="525"/>
      <c r="AI436" s="525">
        <f>'HIV-Key Info'!$H$85*('HIV-Key Info'!$E$85*('HPM costs'!N119/'HPM costs'!$E$119)+'HIV-Key Info'!$F$85*('HPM costs'!N125/'HPM costs'!$E$125+'HPM costs'!N122/'HPM costs'!$E$122))</f>
        <v>0</v>
      </c>
      <c r="AJ436" s="525"/>
      <c r="AK436" s="1154">
        <f t="shared" si="43"/>
        <v>0</v>
      </c>
      <c r="AL436" s="1155"/>
      <c r="AM436" s="1156"/>
      <c r="AN436" s="529"/>
      <c r="AO436" s="525"/>
      <c r="AP436" s="525">
        <f>'HIV-Key Info'!$H$85*('HIV-Key Info'!$E$85*('HPM costs'!P119/'HPM costs'!$E$119)+'HIV-Key Info'!$F$85*('HPM costs'!P125/'HPM costs'!$E$125+'HPM costs'!P122/'HPM costs'!$E$122))</f>
        <v>0</v>
      </c>
      <c r="AQ436" s="525"/>
      <c r="AR436" s="525">
        <f>'HIV-Key Info'!$H$85*('HIV-Key Info'!$E$85*('HPM costs'!Q119/'HPM costs'!$E$119)+'HIV-Key Info'!$F$85*('HPM costs'!Q125/'HPM costs'!$E$125+'HPM costs'!Q122/'HPM costs'!$E$122))</f>
        <v>0</v>
      </c>
      <c r="AS436" s="525"/>
      <c r="AT436" s="525">
        <f>'HIV-Key Info'!$H$85*('HIV-Key Info'!$E$85*('HPM costs'!R119/'HPM costs'!$E$119)+'HIV-Key Info'!$F$85*('HPM costs'!R125/'HPM costs'!$E$125+'HPM costs'!R122/'HPM costs'!$E$122))</f>
        <v>0</v>
      </c>
      <c r="AU436" s="525"/>
      <c r="AV436" s="525">
        <f>'HIV-Key Info'!$H$85*('HIV-Key Info'!$E$85*('HPM costs'!S119/'HPM costs'!$E$119)+'HIV-Key Info'!$F$85*('HPM costs'!S125/'HPM costs'!$E$125+'HPM costs'!S122/'HPM costs'!$E$122))</f>
        <v>0</v>
      </c>
      <c r="AW436" s="525"/>
      <c r="AX436" s="1154">
        <f t="shared" si="44"/>
        <v>0</v>
      </c>
      <c r="AY436" s="1154"/>
      <c r="AZ436" s="528"/>
      <c r="BA436" s="529"/>
      <c r="BB436" s="527"/>
      <c r="BC436" s="527">
        <v>0</v>
      </c>
      <c r="BD436" s="527">
        <v>0</v>
      </c>
      <c r="BE436" s="527">
        <v>0</v>
      </c>
      <c r="BF436" s="527">
        <v>0</v>
      </c>
      <c r="BG436" s="527">
        <v>0</v>
      </c>
      <c r="BH436" s="527">
        <v>0</v>
      </c>
      <c r="BI436" s="527">
        <v>0</v>
      </c>
      <c r="BJ436" s="527">
        <v>0</v>
      </c>
      <c r="BK436" s="1154">
        <f t="shared" si="45"/>
        <v>0</v>
      </c>
      <c r="BL436" s="1154"/>
      <c r="BM436" s="1154">
        <f t="shared" si="46"/>
        <v>0</v>
      </c>
      <c r="BN436" s="1154">
        <f t="shared" si="47"/>
        <v>0</v>
      </c>
      <c r="BO436" s="527"/>
      <c r="BP436" s="527"/>
      <c r="BQ436" s="1157" t="s">
        <v>2555</v>
      </c>
      <c r="BR436" s="1157" t="s">
        <v>690</v>
      </c>
      <c r="BS436" s="1157" t="s">
        <v>2570</v>
      </c>
      <c r="BT436" s="1376" t="s">
        <v>1740</v>
      </c>
    </row>
    <row r="437" spans="1:72" s="1371" customFormat="1" ht="13">
      <c r="A437" s="1204">
        <v>993</v>
      </c>
      <c r="B437" s="1205" t="s">
        <v>672</v>
      </c>
      <c r="C437" s="1205" t="s">
        <v>674</v>
      </c>
      <c r="D437" s="1206" t="s">
        <v>2520</v>
      </c>
      <c r="E437" s="1386" t="s">
        <v>528</v>
      </c>
      <c r="F437" s="521"/>
      <c r="G437" s="522"/>
      <c r="H437" s="522"/>
      <c r="I437" s="522"/>
      <c r="J437" s="523"/>
      <c r="K437" s="523"/>
      <c r="L437" s="523"/>
      <c r="M437" s="524"/>
      <c r="N437" s="525"/>
      <c r="O437" s="526" t="s">
        <v>1237</v>
      </c>
      <c r="P437" s="525">
        <f>'HIV-Key Info'!$H$85*(('HIV-Key Info'!$E$85*'HPM costs'!F33)+('HIV-Key Info'!$F$85*('HPM costs'!F36+'HPM costs'!F39)))</f>
        <v>0</v>
      </c>
      <c r="Q437" s="525" t="s">
        <v>1237</v>
      </c>
      <c r="R437" s="525">
        <f>'HIV-Key Info'!$H$85*(('HIV-Key Info'!$E$85*'HPM costs'!G33)+('HIV-Key Info'!$F$85*('HPM costs'!G36+'HPM costs'!G39)))</f>
        <v>0</v>
      </c>
      <c r="S437" s="525" t="s">
        <v>1237</v>
      </c>
      <c r="T437" s="525">
        <f>'HIV-Key Info'!$H$85*(('HIV-Key Info'!$E$85*'HPM costs'!H33)+('HIV-Key Info'!$F$85*('HPM costs'!H36+'HPM costs'!H39)))</f>
        <v>0</v>
      </c>
      <c r="U437" s="525" t="s">
        <v>1237</v>
      </c>
      <c r="V437" s="525">
        <f>'HIV-Key Info'!$H$85*(('HIV-Key Info'!$E$85*'HPM costs'!I33)+('HIV-Key Info'!$F$85*('HPM costs'!I36+'HPM costs'!I39)))</f>
        <v>0</v>
      </c>
      <c r="W437" s="525"/>
      <c r="X437" s="1154">
        <f t="shared" si="42"/>
        <v>0</v>
      </c>
      <c r="Y437" s="1155"/>
      <c r="Z437" s="1156"/>
      <c r="AA437" s="529"/>
      <c r="AB437" s="525"/>
      <c r="AC437" s="525">
        <f>'HIV-Key Info'!$H$85*(('HIV-Key Info'!$E$85*'HPM costs'!K33)+('HIV-Key Info'!$F$85*('HPM costs'!K36+'HPM costs'!K39)))</f>
        <v>0</v>
      </c>
      <c r="AD437" s="525"/>
      <c r="AE437" s="525">
        <f>'HIV-Key Info'!$H$85*(('HIV-Key Info'!$E$85*'HPM costs'!L33)+('HIV-Key Info'!$F$85*('HPM costs'!L36+'HPM costs'!L39)))</f>
        <v>0</v>
      </c>
      <c r="AF437" s="525"/>
      <c r="AG437" s="525">
        <f>'HIV-Key Info'!$H$85*(('HIV-Key Info'!$E$85*'HPM costs'!M33)+('HIV-Key Info'!$F$85*('HPM costs'!M36+'HPM costs'!M39)))</f>
        <v>0</v>
      </c>
      <c r="AH437" s="525"/>
      <c r="AI437" s="525">
        <f>'HIV-Key Info'!$H$85*(('HIV-Key Info'!$E$85*'HPM costs'!N33)+('HIV-Key Info'!$F$85*('HPM costs'!N36+'HPM costs'!N39)))</f>
        <v>0</v>
      </c>
      <c r="AJ437" s="525"/>
      <c r="AK437" s="1154">
        <f t="shared" si="43"/>
        <v>0</v>
      </c>
      <c r="AL437" s="1155"/>
      <c r="AM437" s="1156"/>
      <c r="AN437" s="529"/>
      <c r="AO437" s="525"/>
      <c r="AP437" s="525">
        <f>'HIV-Key Info'!$H$85*(('HIV-Key Info'!$E$85*'HPM costs'!P33)+('HIV-Key Info'!$F$85*('HPM costs'!P36+'HPM costs'!P39)))</f>
        <v>0</v>
      </c>
      <c r="AQ437" s="525"/>
      <c r="AR437" s="525">
        <f>'HIV-Key Info'!$H$85*(('HIV-Key Info'!$E$85*'HPM costs'!Q33)+('HIV-Key Info'!$F$85*('HPM costs'!Q36+'HPM costs'!Q39)))</f>
        <v>0</v>
      </c>
      <c r="AS437" s="525"/>
      <c r="AT437" s="525">
        <f>'HIV-Key Info'!$H$85*(('HIV-Key Info'!$E$85*'HPM costs'!R33)+('HIV-Key Info'!$F$85*('HPM costs'!R36+'HPM costs'!R39)))</f>
        <v>0</v>
      </c>
      <c r="AU437" s="525"/>
      <c r="AV437" s="525">
        <f>'HIV-Key Info'!$H$85*(('HIV-Key Info'!$E$85*'HPM costs'!S33)+('HIV-Key Info'!$F$85*('HPM costs'!S36+'HPM costs'!S39)))</f>
        <v>0</v>
      </c>
      <c r="AW437" s="525"/>
      <c r="AX437" s="1154">
        <f t="shared" si="44"/>
        <v>0</v>
      </c>
      <c r="AY437" s="1154"/>
      <c r="AZ437" s="528"/>
      <c r="BA437" s="529"/>
      <c r="BB437" s="527"/>
      <c r="BC437" s="527">
        <v>0</v>
      </c>
      <c r="BD437" s="527">
        <v>0</v>
      </c>
      <c r="BE437" s="527">
        <v>0</v>
      </c>
      <c r="BF437" s="527">
        <v>0</v>
      </c>
      <c r="BG437" s="527">
        <v>0</v>
      </c>
      <c r="BH437" s="527">
        <v>0</v>
      </c>
      <c r="BI437" s="527">
        <v>0</v>
      </c>
      <c r="BJ437" s="527">
        <v>0</v>
      </c>
      <c r="BK437" s="1154">
        <f t="shared" si="45"/>
        <v>0</v>
      </c>
      <c r="BL437" s="1154"/>
      <c r="BM437" s="1154">
        <f t="shared" si="46"/>
        <v>0</v>
      </c>
      <c r="BN437" s="1154">
        <f t="shared" si="47"/>
        <v>0</v>
      </c>
      <c r="BO437" s="527"/>
      <c r="BP437" s="527"/>
      <c r="BQ437" s="1157" t="s">
        <v>2555</v>
      </c>
      <c r="BR437" s="1157" t="s">
        <v>690</v>
      </c>
      <c r="BS437" s="1157" t="s">
        <v>527</v>
      </c>
      <c r="BT437" s="1376" t="s">
        <v>1741</v>
      </c>
    </row>
    <row r="438" spans="1:72" s="1371" customFormat="1" ht="13">
      <c r="A438" s="1204">
        <v>994</v>
      </c>
      <c r="B438" s="1205" t="s">
        <v>672</v>
      </c>
      <c r="C438" s="1205" t="s">
        <v>674</v>
      </c>
      <c r="D438" s="1206" t="s">
        <v>2520</v>
      </c>
      <c r="E438" s="1386" t="s">
        <v>530</v>
      </c>
      <c r="F438" s="521"/>
      <c r="G438" s="522"/>
      <c r="H438" s="522"/>
      <c r="I438" s="522"/>
      <c r="J438" s="523"/>
      <c r="K438" s="523"/>
      <c r="L438" s="523"/>
      <c r="M438" s="524"/>
      <c r="N438" s="525"/>
      <c r="O438" s="526" t="s">
        <v>1237</v>
      </c>
      <c r="P438" s="525">
        <f>'HIV-Key Info'!$H$85*(('HIV-Key Info'!$E$85*'HPM costs'!F119)+('HIV-Key Info'!$F$85*('HPM costs'!F122+'HPM costs'!F125)))</f>
        <v>0</v>
      </c>
      <c r="Q438" s="525" t="s">
        <v>1237</v>
      </c>
      <c r="R438" s="525">
        <f>'HIV-Key Info'!$H$85*(('HIV-Key Info'!$E$85*'HPM costs'!G119)+('HIV-Key Info'!$F$85*('HPM costs'!G122+'HPM costs'!G125)))</f>
        <v>0</v>
      </c>
      <c r="S438" s="525" t="s">
        <v>1237</v>
      </c>
      <c r="T438" s="525">
        <f>'HIV-Key Info'!$H$85*(('HIV-Key Info'!$E$85*'HPM costs'!H119)+('HIV-Key Info'!$F$85*('HPM costs'!H122+'HPM costs'!H125)))</f>
        <v>0</v>
      </c>
      <c r="U438" s="525" t="s">
        <v>1237</v>
      </c>
      <c r="V438" s="525">
        <f>'HIV-Key Info'!$H$85*(('HIV-Key Info'!$E$85*'HPM costs'!I119)+('HIV-Key Info'!$F$85*('HPM costs'!I122+'HPM costs'!I125)))</f>
        <v>0</v>
      </c>
      <c r="W438" s="525"/>
      <c r="X438" s="1154">
        <f t="shared" si="42"/>
        <v>0</v>
      </c>
      <c r="Y438" s="1155"/>
      <c r="Z438" s="1156"/>
      <c r="AA438" s="529"/>
      <c r="AB438" s="525"/>
      <c r="AC438" s="525">
        <f>'HIV-Key Info'!$H$85*(('HIV-Key Info'!$E$85*'HPM costs'!K119)+('HIV-Key Info'!$F$85*('HPM costs'!K122+'HPM costs'!K125)))</f>
        <v>0</v>
      </c>
      <c r="AD438" s="525"/>
      <c r="AE438" s="525">
        <f>'HIV-Key Info'!$H$85*(('HIV-Key Info'!$E$85*'HPM costs'!L119)+('HIV-Key Info'!$F$85*('HPM costs'!L122+'HPM costs'!L125)))</f>
        <v>0</v>
      </c>
      <c r="AF438" s="525"/>
      <c r="AG438" s="525">
        <f>'HIV-Key Info'!$H$85*(('HIV-Key Info'!$E$85*'HPM costs'!M119)+('HIV-Key Info'!$F$85*('HPM costs'!M122+'HPM costs'!M125)))</f>
        <v>0</v>
      </c>
      <c r="AH438" s="525"/>
      <c r="AI438" s="525">
        <f>'HIV-Key Info'!$H$85*(('HIV-Key Info'!$E$85*'HPM costs'!N119)+('HIV-Key Info'!$F$85*('HPM costs'!N122+'HPM costs'!N125)))</f>
        <v>0</v>
      </c>
      <c r="AJ438" s="525"/>
      <c r="AK438" s="1154">
        <f t="shared" si="43"/>
        <v>0</v>
      </c>
      <c r="AL438" s="1155"/>
      <c r="AM438" s="1156"/>
      <c r="AN438" s="529"/>
      <c r="AO438" s="525"/>
      <c r="AP438" s="525">
        <f>'HIV-Key Info'!$H$85*(('HIV-Key Info'!$E$85*'HPM costs'!P119)+('HIV-Key Info'!$F$85*('HPM costs'!P122+'HPM costs'!P125)))</f>
        <v>0</v>
      </c>
      <c r="AQ438" s="525"/>
      <c r="AR438" s="525">
        <f>'HIV-Key Info'!$H$85*(('HIV-Key Info'!$E$85*'HPM costs'!Q119)+('HIV-Key Info'!$F$85*('HPM costs'!Q122+'HPM costs'!Q125)))</f>
        <v>0</v>
      </c>
      <c r="AS438" s="525"/>
      <c r="AT438" s="525">
        <f>'HIV-Key Info'!$H$85*(('HIV-Key Info'!$E$85*'HPM costs'!R119)+('HIV-Key Info'!$F$85*('HPM costs'!R122+'HPM costs'!R125)))</f>
        <v>0</v>
      </c>
      <c r="AU438" s="525"/>
      <c r="AV438" s="525">
        <f>'HIV-Key Info'!$H$85*(('HIV-Key Info'!$E$85*'HPM costs'!S119)+('HIV-Key Info'!$F$85*('HPM costs'!S122+'HPM costs'!S125)))</f>
        <v>0</v>
      </c>
      <c r="AW438" s="525"/>
      <c r="AX438" s="1154">
        <f t="shared" si="44"/>
        <v>0</v>
      </c>
      <c r="AY438" s="1154"/>
      <c r="AZ438" s="528"/>
      <c r="BA438" s="529"/>
      <c r="BB438" s="527"/>
      <c r="BC438" s="527">
        <v>0</v>
      </c>
      <c r="BD438" s="527">
        <v>0</v>
      </c>
      <c r="BE438" s="527">
        <v>0</v>
      </c>
      <c r="BF438" s="527">
        <v>0</v>
      </c>
      <c r="BG438" s="527">
        <v>0</v>
      </c>
      <c r="BH438" s="527">
        <v>0</v>
      </c>
      <c r="BI438" s="527">
        <v>0</v>
      </c>
      <c r="BJ438" s="527">
        <v>0</v>
      </c>
      <c r="BK438" s="1154">
        <f t="shared" si="45"/>
        <v>0</v>
      </c>
      <c r="BL438" s="1154"/>
      <c r="BM438" s="1154">
        <f t="shared" si="46"/>
        <v>0</v>
      </c>
      <c r="BN438" s="1154">
        <f t="shared" si="47"/>
        <v>0</v>
      </c>
      <c r="BO438" s="527"/>
      <c r="BP438" s="527"/>
      <c r="BQ438" s="1157" t="s">
        <v>2555</v>
      </c>
      <c r="BR438" s="1157" t="s">
        <v>690</v>
      </c>
      <c r="BS438" s="1157" t="s">
        <v>527</v>
      </c>
      <c r="BT438" s="1376" t="s">
        <v>1742</v>
      </c>
    </row>
    <row r="439" spans="1:72" s="1371" customFormat="1" ht="13">
      <c r="A439" s="1204">
        <v>995</v>
      </c>
      <c r="B439" s="1205" t="s">
        <v>672</v>
      </c>
      <c r="C439" s="1205" t="s">
        <v>674</v>
      </c>
      <c r="D439" s="1206" t="s">
        <v>2520</v>
      </c>
      <c r="E439" s="1386" t="s">
        <v>532</v>
      </c>
      <c r="F439" s="521"/>
      <c r="G439" s="522"/>
      <c r="H439" s="522"/>
      <c r="I439" s="522"/>
      <c r="J439" s="523"/>
      <c r="K439" s="523"/>
      <c r="L439" s="523"/>
      <c r="M439" s="524"/>
      <c r="N439" s="525"/>
      <c r="O439" s="526" t="s">
        <v>1237</v>
      </c>
      <c r="P439" s="525">
        <f>'HIV-Key Info'!$H$85*(('HIV-Key Info'!$E$85*'HPM costs'!F379)+('HIV-Key Info'!$F$85*('HPM costs'!F382+'HPM costs'!F385)))</f>
        <v>0</v>
      </c>
      <c r="Q439" s="525" t="s">
        <v>1237</v>
      </c>
      <c r="R439" s="525">
        <f>'HIV-Key Info'!$H$85*(('HIV-Key Info'!$E$85*'HPM costs'!G379)+('HIV-Key Info'!$F$85*('HPM costs'!G382+'HPM costs'!G385)))</f>
        <v>0</v>
      </c>
      <c r="S439" s="525" t="s">
        <v>1237</v>
      </c>
      <c r="T439" s="525">
        <f>'HIV-Key Info'!$H$85*(('HIV-Key Info'!$E$85*'HPM costs'!H379)+('HIV-Key Info'!$F$85*('HPM costs'!H382+'HPM costs'!H385)))</f>
        <v>0</v>
      </c>
      <c r="U439" s="525" t="s">
        <v>1237</v>
      </c>
      <c r="V439" s="525">
        <f>'HIV-Key Info'!$H$85*(('HIV-Key Info'!$E$85*'HPM costs'!I379)+('HIV-Key Info'!$F$85*('HPM costs'!I382+'HPM costs'!I385)))</f>
        <v>0</v>
      </c>
      <c r="W439" s="525"/>
      <c r="X439" s="1154">
        <f t="shared" si="42"/>
        <v>0</v>
      </c>
      <c r="Y439" s="1155"/>
      <c r="Z439" s="1156"/>
      <c r="AA439" s="529"/>
      <c r="AB439" s="525"/>
      <c r="AC439" s="525">
        <f>'HIV-Key Info'!$H$85*(('HIV-Key Info'!$E$85*'HPM costs'!K379)+('HIV-Key Info'!$F$85*('HPM costs'!K382+'HPM costs'!K385)))</f>
        <v>0</v>
      </c>
      <c r="AD439" s="525"/>
      <c r="AE439" s="525">
        <f>'HIV-Key Info'!$H$85*(('HIV-Key Info'!$E$85*'HPM costs'!L379)+('HIV-Key Info'!$F$85*('HPM costs'!L382+'HPM costs'!L385)))</f>
        <v>0</v>
      </c>
      <c r="AF439" s="525"/>
      <c r="AG439" s="525">
        <f>'HIV-Key Info'!$H$85*(('HIV-Key Info'!$E$85*'HPM costs'!M379)+('HIV-Key Info'!$F$85*('HPM costs'!M382+'HPM costs'!M385)))</f>
        <v>0</v>
      </c>
      <c r="AH439" s="525"/>
      <c r="AI439" s="525">
        <f>'HIV-Key Info'!$H$85*(('HIV-Key Info'!$E$85*'HPM costs'!N379)+('HIV-Key Info'!$F$85*('HPM costs'!N382+'HPM costs'!N385)))</f>
        <v>0</v>
      </c>
      <c r="AJ439" s="525"/>
      <c r="AK439" s="1154">
        <f t="shared" si="43"/>
        <v>0</v>
      </c>
      <c r="AL439" s="1155"/>
      <c r="AM439" s="1156"/>
      <c r="AN439" s="529"/>
      <c r="AO439" s="525"/>
      <c r="AP439" s="525">
        <f>'HIV-Key Info'!$H$85*(('HIV-Key Info'!$E$85*'HPM costs'!P379)+('HIV-Key Info'!$F$85*('HPM costs'!P382+'HPM costs'!P385)))</f>
        <v>0</v>
      </c>
      <c r="AQ439" s="525"/>
      <c r="AR439" s="525">
        <f>'HIV-Key Info'!$H$85*(('HIV-Key Info'!$E$85*'HPM costs'!Q379)+('HIV-Key Info'!$F$85*('HPM costs'!Q382+'HPM costs'!Q385)))</f>
        <v>0</v>
      </c>
      <c r="AS439" s="525"/>
      <c r="AT439" s="525">
        <f>'HIV-Key Info'!$H$85*(('HIV-Key Info'!$E$85*'HPM costs'!R379)+('HIV-Key Info'!$F$85*('HPM costs'!R382+'HPM costs'!R385)))</f>
        <v>0</v>
      </c>
      <c r="AU439" s="525"/>
      <c r="AV439" s="525">
        <f>'HIV-Key Info'!$H$85*(('HIV-Key Info'!$E$85*'HPM costs'!S379)+('HIV-Key Info'!$F$85*('HPM costs'!S382+'HPM costs'!S385)))</f>
        <v>0</v>
      </c>
      <c r="AW439" s="525"/>
      <c r="AX439" s="1154">
        <f t="shared" si="44"/>
        <v>0</v>
      </c>
      <c r="AY439" s="1154"/>
      <c r="AZ439" s="528"/>
      <c r="BA439" s="529"/>
      <c r="BB439" s="527"/>
      <c r="BC439" s="527">
        <v>0</v>
      </c>
      <c r="BD439" s="527">
        <v>0</v>
      </c>
      <c r="BE439" s="527">
        <v>0</v>
      </c>
      <c r="BF439" s="527">
        <v>0</v>
      </c>
      <c r="BG439" s="527">
        <v>0</v>
      </c>
      <c r="BH439" s="527">
        <v>0</v>
      </c>
      <c r="BI439" s="527">
        <v>0</v>
      </c>
      <c r="BJ439" s="527">
        <v>0</v>
      </c>
      <c r="BK439" s="1154">
        <f t="shared" si="45"/>
        <v>0</v>
      </c>
      <c r="BL439" s="1154"/>
      <c r="BM439" s="1154">
        <f t="shared" si="46"/>
        <v>0</v>
      </c>
      <c r="BN439" s="1154">
        <f t="shared" si="47"/>
        <v>0</v>
      </c>
      <c r="BO439" s="527"/>
      <c r="BP439" s="527"/>
      <c r="BQ439" s="1157" t="s">
        <v>2555</v>
      </c>
      <c r="BR439" s="1157" t="s">
        <v>690</v>
      </c>
      <c r="BS439" s="1157" t="s">
        <v>527</v>
      </c>
      <c r="BT439" s="1376" t="s">
        <v>1743</v>
      </c>
    </row>
    <row r="440" spans="1:72" s="1371" customFormat="1" ht="13">
      <c r="A440" s="1204">
        <v>996</v>
      </c>
      <c r="B440" s="1205" t="s">
        <v>672</v>
      </c>
      <c r="C440" s="1205" t="s">
        <v>674</v>
      </c>
      <c r="D440" s="1206" t="s">
        <v>2520</v>
      </c>
      <c r="E440" s="1386" t="s">
        <v>534</v>
      </c>
      <c r="F440" s="521"/>
      <c r="G440" s="522"/>
      <c r="H440" s="522"/>
      <c r="I440" s="522"/>
      <c r="J440" s="523"/>
      <c r="K440" s="523"/>
      <c r="L440" s="523"/>
      <c r="M440" s="524"/>
      <c r="N440" s="525"/>
      <c r="O440" s="526" t="s">
        <v>1237</v>
      </c>
      <c r="P440" s="525">
        <f>'HIV-Key Info'!$H$85*(('HIV-Key Info'!$E$85*'HPM costs'!F465)+('HIV-Key Info'!$F$85*('HPM costs'!F468+'HPM costs'!F471)))</f>
        <v>0</v>
      </c>
      <c r="Q440" s="525" t="s">
        <v>1237</v>
      </c>
      <c r="R440" s="525">
        <f>'HIV-Key Info'!$H$85*(('HIV-Key Info'!$E$85*'HPM costs'!G465)+('HIV-Key Info'!$F$85*('HPM costs'!G468+'HPM costs'!G471)))</f>
        <v>0</v>
      </c>
      <c r="S440" s="525" t="s">
        <v>1237</v>
      </c>
      <c r="T440" s="525">
        <f>'HIV-Key Info'!$H$85*(('HIV-Key Info'!$E$85*'HPM costs'!H465)+('HIV-Key Info'!$F$85*('HPM costs'!H468+'HPM costs'!H471)))</f>
        <v>0</v>
      </c>
      <c r="U440" s="525" t="s">
        <v>1237</v>
      </c>
      <c r="V440" s="525">
        <f>'HIV-Key Info'!$H$85*(('HIV-Key Info'!$E$85*'HPM costs'!I465)+('HIV-Key Info'!$F$85*('HPM costs'!I468+'HPM costs'!I471)))</f>
        <v>0</v>
      </c>
      <c r="W440" s="525"/>
      <c r="X440" s="1154">
        <f t="shared" si="42"/>
        <v>0</v>
      </c>
      <c r="Y440" s="1155"/>
      <c r="Z440" s="1156"/>
      <c r="AA440" s="529"/>
      <c r="AB440" s="525"/>
      <c r="AC440" s="525">
        <f>'HIV-Key Info'!$H$85*(('HIV-Key Info'!$E$85*'HPM costs'!K465)+('HIV-Key Info'!$F$85*('HPM costs'!K468+'HPM costs'!K471)))</f>
        <v>0</v>
      </c>
      <c r="AD440" s="525"/>
      <c r="AE440" s="525">
        <f>'HIV-Key Info'!$H$85*(('HIV-Key Info'!$E$85*'HPM costs'!L465)+('HIV-Key Info'!$F$85*('HPM costs'!L468+'HPM costs'!L471)))</f>
        <v>0</v>
      </c>
      <c r="AF440" s="525"/>
      <c r="AG440" s="525">
        <f>'HIV-Key Info'!$H$85*(('HIV-Key Info'!$E$85*'HPM costs'!M465)+('HIV-Key Info'!$F$85*('HPM costs'!M468+'HPM costs'!M471)))</f>
        <v>0</v>
      </c>
      <c r="AH440" s="525"/>
      <c r="AI440" s="525">
        <f>'HIV-Key Info'!$H$85*(('HIV-Key Info'!$E$85*'HPM costs'!N465)+('HIV-Key Info'!$F$85*('HPM costs'!N468+'HPM costs'!N471)))</f>
        <v>0</v>
      </c>
      <c r="AJ440" s="525"/>
      <c r="AK440" s="1154">
        <f t="shared" si="43"/>
        <v>0</v>
      </c>
      <c r="AL440" s="1155"/>
      <c r="AM440" s="1156"/>
      <c r="AN440" s="529"/>
      <c r="AO440" s="525"/>
      <c r="AP440" s="525">
        <f>'HIV-Key Info'!$H$85*(('HIV-Key Info'!$E$85*'HPM costs'!P465)+('HIV-Key Info'!$F$85*('HPM costs'!P468+'HPM costs'!P471)))</f>
        <v>0</v>
      </c>
      <c r="AQ440" s="525"/>
      <c r="AR440" s="525">
        <f>'HIV-Key Info'!$H$85*(('HIV-Key Info'!$E$85*'HPM costs'!Q465)+('HIV-Key Info'!$F$85*('HPM costs'!Q468+'HPM costs'!Q471)))</f>
        <v>0</v>
      </c>
      <c r="AS440" s="525"/>
      <c r="AT440" s="525">
        <f>'HIV-Key Info'!$H$85*(('HIV-Key Info'!$E$85*'HPM costs'!R465)+('HIV-Key Info'!$F$85*('HPM costs'!R468+'HPM costs'!R471)))</f>
        <v>0</v>
      </c>
      <c r="AU440" s="525"/>
      <c r="AV440" s="525">
        <f>'HIV-Key Info'!$H$85*(('HIV-Key Info'!$E$85*'HPM costs'!S465)+('HIV-Key Info'!$F$85*('HPM costs'!S468+'HPM costs'!S471)))</f>
        <v>0</v>
      </c>
      <c r="AW440" s="525"/>
      <c r="AX440" s="1154">
        <f t="shared" si="44"/>
        <v>0</v>
      </c>
      <c r="AY440" s="1154"/>
      <c r="AZ440" s="528"/>
      <c r="BA440" s="529"/>
      <c r="BB440" s="527"/>
      <c r="BC440" s="527">
        <v>0</v>
      </c>
      <c r="BD440" s="527">
        <v>0</v>
      </c>
      <c r="BE440" s="527">
        <v>0</v>
      </c>
      <c r="BF440" s="527">
        <v>0</v>
      </c>
      <c r="BG440" s="527">
        <v>0</v>
      </c>
      <c r="BH440" s="527">
        <v>0</v>
      </c>
      <c r="BI440" s="527">
        <v>0</v>
      </c>
      <c r="BJ440" s="527">
        <v>0</v>
      </c>
      <c r="BK440" s="1154">
        <f t="shared" si="45"/>
        <v>0</v>
      </c>
      <c r="BL440" s="1154"/>
      <c r="BM440" s="1154">
        <f t="shared" si="46"/>
        <v>0</v>
      </c>
      <c r="BN440" s="1154">
        <f t="shared" si="47"/>
        <v>0</v>
      </c>
      <c r="BO440" s="527"/>
      <c r="BP440" s="527"/>
      <c r="BQ440" s="1157" t="s">
        <v>2555</v>
      </c>
      <c r="BR440" s="1157" t="s">
        <v>690</v>
      </c>
      <c r="BS440" s="1157" t="s">
        <v>527</v>
      </c>
      <c r="BT440" s="1376" t="s">
        <v>1744</v>
      </c>
    </row>
    <row r="441" spans="1:72" s="1371" customFormat="1" ht="13">
      <c r="A441" s="1204">
        <v>997</v>
      </c>
      <c r="B441" s="1205" t="s">
        <v>672</v>
      </c>
      <c r="C441" s="1205" t="s">
        <v>674</v>
      </c>
      <c r="D441" s="1206" t="s">
        <v>2520</v>
      </c>
      <c r="E441" s="1386" t="s">
        <v>536</v>
      </c>
      <c r="F441" s="521"/>
      <c r="G441" s="522"/>
      <c r="H441" s="522"/>
      <c r="I441" s="522"/>
      <c r="J441" s="523"/>
      <c r="K441" s="523"/>
      <c r="L441" s="523"/>
      <c r="M441" s="524"/>
      <c r="N441" s="525"/>
      <c r="O441" s="526" t="s">
        <v>1237</v>
      </c>
      <c r="P441" s="525">
        <f>'HIV-Key Info'!$H$85*(('HIV-Key Info'!$E$85*('HPM costs'!F205+'HPM costs'!F551))+('HIV-Key Info'!$F$85*('HPM costs'!F208+'HPM costs'!F211+'HPM costs'!F554+'HPM costs'!F557)))</f>
        <v>0</v>
      </c>
      <c r="Q441" s="525" t="s">
        <v>1237</v>
      </c>
      <c r="R441" s="525">
        <f>'HIV-Key Info'!$H$85*(('HIV-Key Info'!$E$85*('HPM costs'!G205+'HPM costs'!G551))+('HIV-Key Info'!$F$85*('HPM costs'!G208+'HPM costs'!G211+'HPM costs'!G554+'HPM costs'!G557)))</f>
        <v>0</v>
      </c>
      <c r="S441" s="525" t="s">
        <v>1237</v>
      </c>
      <c r="T441" s="525">
        <f>'HIV-Key Info'!$H$85*(('HIV-Key Info'!$E$85*('HPM costs'!H205+'HPM costs'!H551))+('HIV-Key Info'!$F$85*('HPM costs'!H208+'HPM costs'!H211+'HPM costs'!H554+'HPM costs'!H557)))</f>
        <v>0</v>
      </c>
      <c r="U441" s="525" t="s">
        <v>1237</v>
      </c>
      <c r="V441" s="525">
        <f>'HIV-Key Info'!$H$85*(('HIV-Key Info'!$E$85*('HPM costs'!I205+'HPM costs'!I551))+('HIV-Key Info'!$F$85*('HPM costs'!I208+'HPM costs'!I211+'HPM costs'!I554+'HPM costs'!I557)))</f>
        <v>0</v>
      </c>
      <c r="W441" s="525"/>
      <c r="X441" s="1154">
        <f t="shared" si="42"/>
        <v>0</v>
      </c>
      <c r="Y441" s="1155"/>
      <c r="Z441" s="1156"/>
      <c r="AA441" s="529"/>
      <c r="AB441" s="525"/>
      <c r="AC441" s="525">
        <f>'HIV-Key Info'!$H$85*(('HIV-Key Info'!$E$85*('HPM costs'!K205+'HPM costs'!K551))+('HIV-Key Info'!$F$85*('HPM costs'!K208+'HPM costs'!K211+'HPM costs'!K554+'HPM costs'!K557)))</f>
        <v>0</v>
      </c>
      <c r="AD441" s="525"/>
      <c r="AE441" s="525">
        <f>'HIV-Key Info'!$H$85*(('HIV-Key Info'!$E$85*('HPM costs'!L205+'HPM costs'!L551))+('HIV-Key Info'!$F$85*('HPM costs'!L208+'HPM costs'!L211+'HPM costs'!L554+'HPM costs'!L557)))</f>
        <v>0</v>
      </c>
      <c r="AF441" s="525"/>
      <c r="AG441" s="525">
        <f>'HIV-Key Info'!$H$85*(('HIV-Key Info'!$E$85*('HPM costs'!M205+'HPM costs'!M551))+('HIV-Key Info'!$F$85*('HPM costs'!M208+'HPM costs'!M211+'HPM costs'!M554+'HPM costs'!M557)))</f>
        <v>0</v>
      </c>
      <c r="AH441" s="525"/>
      <c r="AI441" s="525">
        <f>'HIV-Key Info'!$H$85*(('HIV-Key Info'!$E$85*('HPM costs'!N205+'HPM costs'!N551))+('HIV-Key Info'!$F$85*('HPM costs'!N208+'HPM costs'!N211+'HPM costs'!N554+'HPM costs'!N557)))</f>
        <v>0</v>
      </c>
      <c r="AJ441" s="525"/>
      <c r="AK441" s="1154">
        <f t="shared" si="43"/>
        <v>0</v>
      </c>
      <c r="AL441" s="1155"/>
      <c r="AM441" s="1156"/>
      <c r="AN441" s="529"/>
      <c r="AO441" s="525"/>
      <c r="AP441" s="525">
        <f>'HIV-Key Info'!$H$85*(('HIV-Key Info'!$E$85*('HPM costs'!P205+'HPM costs'!P551))+('HIV-Key Info'!$F$85*('HPM costs'!P208+'HPM costs'!P211+'HPM costs'!P554+'HPM costs'!P557)))</f>
        <v>0</v>
      </c>
      <c r="AQ441" s="525"/>
      <c r="AR441" s="525">
        <f>'HIV-Key Info'!$H$85*(('HIV-Key Info'!$E$85*('HPM costs'!Q205+'HPM costs'!Q551))+('HIV-Key Info'!$F$85*('HPM costs'!Q208+'HPM costs'!Q211+'HPM costs'!Q554+'HPM costs'!Q557)))</f>
        <v>0</v>
      </c>
      <c r="AS441" s="525"/>
      <c r="AT441" s="525">
        <f>'HIV-Key Info'!$H$85*(('HIV-Key Info'!$E$85*('HPM costs'!R205+'HPM costs'!R551))+('HIV-Key Info'!$F$85*('HPM costs'!R208+'HPM costs'!R211+'HPM costs'!R554+'HPM costs'!R557)))</f>
        <v>0</v>
      </c>
      <c r="AU441" s="525"/>
      <c r="AV441" s="525">
        <f>'HIV-Key Info'!$H$85*(('HIV-Key Info'!$E$85*('HPM costs'!S205+'HPM costs'!S551))+('HIV-Key Info'!$F$85*('HPM costs'!S208+'HPM costs'!S211+'HPM costs'!S554+'HPM costs'!S557)))</f>
        <v>0</v>
      </c>
      <c r="AW441" s="525"/>
      <c r="AX441" s="1154">
        <f t="shared" si="44"/>
        <v>0</v>
      </c>
      <c r="AY441" s="1154"/>
      <c r="AZ441" s="528"/>
      <c r="BA441" s="529"/>
      <c r="BB441" s="527"/>
      <c r="BC441" s="527">
        <v>0</v>
      </c>
      <c r="BD441" s="527">
        <v>0</v>
      </c>
      <c r="BE441" s="527">
        <v>0</v>
      </c>
      <c r="BF441" s="527">
        <v>0</v>
      </c>
      <c r="BG441" s="527">
        <v>0</v>
      </c>
      <c r="BH441" s="527">
        <v>0</v>
      </c>
      <c r="BI441" s="527">
        <v>0</v>
      </c>
      <c r="BJ441" s="527">
        <v>0</v>
      </c>
      <c r="BK441" s="1154">
        <f t="shared" si="45"/>
        <v>0</v>
      </c>
      <c r="BL441" s="1154"/>
      <c r="BM441" s="1154">
        <f t="shared" si="46"/>
        <v>0</v>
      </c>
      <c r="BN441" s="1154">
        <f t="shared" si="47"/>
        <v>0</v>
      </c>
      <c r="BO441" s="527"/>
      <c r="BP441" s="527"/>
      <c r="BQ441" s="1157" t="s">
        <v>2555</v>
      </c>
      <c r="BR441" s="1157" t="s">
        <v>690</v>
      </c>
      <c r="BS441" s="1157" t="s">
        <v>527</v>
      </c>
      <c r="BT441" s="1376" t="s">
        <v>1745</v>
      </c>
    </row>
    <row r="442" spans="1:72" s="1371" customFormat="1" ht="13">
      <c r="A442" s="1204">
        <v>998</v>
      </c>
      <c r="B442" s="1205" t="s">
        <v>672</v>
      </c>
      <c r="C442" s="1205" t="s">
        <v>674</v>
      </c>
      <c r="D442" s="1206" t="s">
        <v>2520</v>
      </c>
      <c r="E442" s="1386" t="s">
        <v>538</v>
      </c>
      <c r="F442" s="521"/>
      <c r="G442" s="522"/>
      <c r="H442" s="522"/>
      <c r="I442" s="522"/>
      <c r="J442" s="523"/>
      <c r="K442" s="523"/>
      <c r="L442" s="523"/>
      <c r="M442" s="524"/>
      <c r="N442" s="525"/>
      <c r="O442" s="526" t="s">
        <v>1237</v>
      </c>
      <c r="P442" s="525">
        <f>'HIV-Key Info'!$H$85*(('HIV-Key Info'!$E$85*'HPM costs'!F291)+('HIV-Key Info'!$F$85*('HPM costs'!F294+'HPM costs'!F297)))</f>
        <v>0</v>
      </c>
      <c r="Q442" s="525" t="s">
        <v>1237</v>
      </c>
      <c r="R442" s="525">
        <f>'HIV-Key Info'!$H$85*(('HIV-Key Info'!$E$85*'HPM costs'!G291)+('HIV-Key Info'!$F$85*('HPM costs'!G294+'HPM costs'!G297)))</f>
        <v>0</v>
      </c>
      <c r="S442" s="525" t="s">
        <v>1237</v>
      </c>
      <c r="T442" s="525">
        <f>'HIV-Key Info'!$H$85*(('HIV-Key Info'!$E$85*'HPM costs'!H291)+('HIV-Key Info'!$F$85*('HPM costs'!H294+'HPM costs'!H297)))</f>
        <v>0</v>
      </c>
      <c r="U442" s="525" t="s">
        <v>1237</v>
      </c>
      <c r="V442" s="525">
        <f>'HIV-Key Info'!$H$85*(('HIV-Key Info'!$E$85*'HPM costs'!I291)+('HIV-Key Info'!$F$85*('HPM costs'!I294+'HPM costs'!I297)))</f>
        <v>0</v>
      </c>
      <c r="W442" s="525"/>
      <c r="X442" s="1154">
        <f t="shared" si="42"/>
        <v>0</v>
      </c>
      <c r="Y442" s="1155"/>
      <c r="Z442" s="1156"/>
      <c r="AA442" s="529"/>
      <c r="AB442" s="525"/>
      <c r="AC442" s="525">
        <f>'HIV-Key Info'!$H$85*(('HIV-Key Info'!$E$85*'HPM costs'!K291)+('HIV-Key Info'!$F$85*('HPM costs'!K294+'HPM costs'!K297)))</f>
        <v>0</v>
      </c>
      <c r="AD442" s="525"/>
      <c r="AE442" s="525">
        <f>'HIV-Key Info'!$H$85*(('HIV-Key Info'!$E$85*'HPM costs'!L291)+('HIV-Key Info'!$F$85*('HPM costs'!L294+'HPM costs'!L297)))</f>
        <v>0</v>
      </c>
      <c r="AF442" s="525"/>
      <c r="AG442" s="525">
        <f>'HIV-Key Info'!$H$85*(('HIV-Key Info'!$E$85*'HPM costs'!M291)+('HIV-Key Info'!$F$85*('HPM costs'!M294+'HPM costs'!M297)))</f>
        <v>0</v>
      </c>
      <c r="AH442" s="525"/>
      <c r="AI442" s="525">
        <f>'HIV-Key Info'!$H$85*(('HIV-Key Info'!$E$85*'HPM costs'!N291)+('HIV-Key Info'!$F$85*('HPM costs'!N294+'HPM costs'!N297)))</f>
        <v>0</v>
      </c>
      <c r="AJ442" s="525"/>
      <c r="AK442" s="1154">
        <f t="shared" si="43"/>
        <v>0</v>
      </c>
      <c r="AL442" s="1155"/>
      <c r="AM442" s="1156"/>
      <c r="AN442" s="529"/>
      <c r="AO442" s="525"/>
      <c r="AP442" s="525">
        <f>'HIV-Key Info'!$H$85*(('HIV-Key Info'!$E$85*'HPM costs'!P291)+('HIV-Key Info'!$F$85*('HPM costs'!P294+'HPM costs'!P297)))</f>
        <v>0</v>
      </c>
      <c r="AQ442" s="525"/>
      <c r="AR442" s="525">
        <f>'HIV-Key Info'!$H$85*(('HIV-Key Info'!$E$85*'HPM costs'!Q291)+('HIV-Key Info'!$F$85*('HPM costs'!Q294+'HPM costs'!Q297)))</f>
        <v>0</v>
      </c>
      <c r="AS442" s="525"/>
      <c r="AT442" s="525">
        <f>'HIV-Key Info'!$H$85*(('HIV-Key Info'!$E$85*'HPM costs'!R291)+('HIV-Key Info'!$F$85*('HPM costs'!R294+'HPM costs'!R297)))</f>
        <v>0</v>
      </c>
      <c r="AU442" s="525"/>
      <c r="AV442" s="525">
        <f>'HIV-Key Info'!$H$85*(('HIV-Key Info'!$E$85*'HPM costs'!S291)+('HIV-Key Info'!$F$85*('HPM costs'!S294+'HPM costs'!S297)))</f>
        <v>0</v>
      </c>
      <c r="AW442" s="525"/>
      <c r="AX442" s="1154">
        <f t="shared" si="44"/>
        <v>0</v>
      </c>
      <c r="AY442" s="1154"/>
      <c r="AZ442" s="528"/>
      <c r="BA442" s="529"/>
      <c r="BB442" s="527"/>
      <c r="BC442" s="527">
        <v>0</v>
      </c>
      <c r="BD442" s="527">
        <v>0</v>
      </c>
      <c r="BE442" s="527">
        <v>0</v>
      </c>
      <c r="BF442" s="527">
        <v>0</v>
      </c>
      <c r="BG442" s="527">
        <v>0</v>
      </c>
      <c r="BH442" s="527">
        <v>0</v>
      </c>
      <c r="BI442" s="527">
        <v>0</v>
      </c>
      <c r="BJ442" s="527">
        <v>0</v>
      </c>
      <c r="BK442" s="1154">
        <f t="shared" si="45"/>
        <v>0</v>
      </c>
      <c r="BL442" s="1154"/>
      <c r="BM442" s="1154">
        <f t="shared" si="46"/>
        <v>0</v>
      </c>
      <c r="BN442" s="1154">
        <f t="shared" si="47"/>
        <v>0</v>
      </c>
      <c r="BO442" s="527"/>
      <c r="BP442" s="527"/>
      <c r="BQ442" s="1157" t="s">
        <v>2555</v>
      </c>
      <c r="BR442" s="1157" t="s">
        <v>690</v>
      </c>
      <c r="BS442" s="1157" t="s">
        <v>527</v>
      </c>
      <c r="BT442" s="1376" t="s">
        <v>1746</v>
      </c>
    </row>
    <row r="443" spans="1:72" s="1371" customFormat="1" ht="13">
      <c r="A443" s="1204">
        <v>999</v>
      </c>
      <c r="B443" s="1205" t="s">
        <v>672</v>
      </c>
      <c r="C443" s="1205" t="s">
        <v>674</v>
      </c>
      <c r="D443" s="1206" t="s">
        <v>2520</v>
      </c>
      <c r="E443" s="1386" t="s">
        <v>540</v>
      </c>
      <c r="F443" s="521"/>
      <c r="G443" s="522"/>
      <c r="H443" s="522"/>
      <c r="I443" s="522"/>
      <c r="J443" s="523"/>
      <c r="K443" s="523"/>
      <c r="L443" s="523"/>
      <c r="M443" s="524"/>
      <c r="N443" s="525"/>
      <c r="O443" s="526" t="s">
        <v>1237</v>
      </c>
      <c r="P443" s="525">
        <f>'HIV-Key Info'!$H$85*(('HIV-Key Info'!$E$85*'HPM costs'!F636)+('HIV-Key Info'!$F$85*('HPM costs'!F639+'HPM costs'!F642)))</f>
        <v>0</v>
      </c>
      <c r="Q443" s="525" t="s">
        <v>1237</v>
      </c>
      <c r="R443" s="525">
        <f>'HIV-Key Info'!$H$85*(('HIV-Key Info'!$E$85*'HPM costs'!G636)+('HIV-Key Info'!$F$85*('HPM costs'!G639+'HPM costs'!G642)))</f>
        <v>0</v>
      </c>
      <c r="S443" s="525" t="s">
        <v>1237</v>
      </c>
      <c r="T443" s="525">
        <f>'HIV-Key Info'!$H$85*(('HIV-Key Info'!$E$85*'HPM costs'!H636)+('HIV-Key Info'!$F$85*('HPM costs'!H639+'HPM costs'!H642)))</f>
        <v>0</v>
      </c>
      <c r="U443" s="525" t="s">
        <v>1237</v>
      </c>
      <c r="V443" s="525">
        <f>'HIV-Key Info'!$H$85*(('HIV-Key Info'!$E$85*'HPM costs'!I636)+('HIV-Key Info'!$F$85*('HPM costs'!I639+'HPM costs'!I642)))</f>
        <v>0</v>
      </c>
      <c r="W443" s="525"/>
      <c r="X443" s="1154">
        <f t="shared" si="42"/>
        <v>0</v>
      </c>
      <c r="Y443" s="1155"/>
      <c r="Z443" s="1156"/>
      <c r="AA443" s="529"/>
      <c r="AB443" s="525"/>
      <c r="AC443" s="525">
        <f>'HIV-Key Info'!$H$85*(('HIV-Key Info'!$E$85*'HPM costs'!K636)+('HIV-Key Info'!$F$85*('HPM costs'!K639+'HPM costs'!K642)))</f>
        <v>0</v>
      </c>
      <c r="AD443" s="525"/>
      <c r="AE443" s="525">
        <f>'HIV-Key Info'!$H$85*(('HIV-Key Info'!$E$85*'HPM costs'!L636)+('HIV-Key Info'!$F$85*('HPM costs'!L639+'HPM costs'!L642)))</f>
        <v>0</v>
      </c>
      <c r="AF443" s="525"/>
      <c r="AG443" s="525">
        <f>'HIV-Key Info'!$H$85*(('HIV-Key Info'!$E$85*'HPM costs'!M636)+('HIV-Key Info'!$F$85*('HPM costs'!M639+'HPM costs'!M642)))</f>
        <v>0</v>
      </c>
      <c r="AH443" s="525"/>
      <c r="AI443" s="525">
        <f>'HIV-Key Info'!$H$85*(('HIV-Key Info'!$E$85*'HPM costs'!N636)+('HIV-Key Info'!$F$85*('HPM costs'!N639+'HPM costs'!N642)))</f>
        <v>0</v>
      </c>
      <c r="AJ443" s="525"/>
      <c r="AK443" s="1154">
        <f t="shared" si="43"/>
        <v>0</v>
      </c>
      <c r="AL443" s="1155"/>
      <c r="AM443" s="1156"/>
      <c r="AN443" s="529"/>
      <c r="AO443" s="525"/>
      <c r="AP443" s="525">
        <f>'HIV-Key Info'!$H$85*(('HIV-Key Info'!$E$85*'HPM costs'!P636)+('HIV-Key Info'!$F$85*('HPM costs'!P639+'HPM costs'!P642)))</f>
        <v>0</v>
      </c>
      <c r="AQ443" s="525"/>
      <c r="AR443" s="525">
        <f>'HIV-Key Info'!$H$85*(('HIV-Key Info'!$E$85*'HPM costs'!Q636)+('HIV-Key Info'!$F$85*('HPM costs'!Q639+'HPM costs'!Q642)))</f>
        <v>0</v>
      </c>
      <c r="AS443" s="525"/>
      <c r="AT443" s="525">
        <f>'HIV-Key Info'!$H$85*(('HIV-Key Info'!$E$85*'HPM costs'!R636)+('HIV-Key Info'!$F$85*('HPM costs'!R639+'HPM costs'!R642)))</f>
        <v>0</v>
      </c>
      <c r="AU443" s="525"/>
      <c r="AV443" s="525">
        <f>'HIV-Key Info'!$H$85*(('HIV-Key Info'!$E$85*'HPM costs'!S636)+('HIV-Key Info'!$F$85*('HPM costs'!S639+'HPM costs'!S642)))</f>
        <v>0</v>
      </c>
      <c r="AW443" s="525"/>
      <c r="AX443" s="1154">
        <f t="shared" si="44"/>
        <v>0</v>
      </c>
      <c r="AY443" s="1154"/>
      <c r="AZ443" s="528"/>
      <c r="BA443" s="529"/>
      <c r="BB443" s="527"/>
      <c r="BC443" s="527">
        <v>0</v>
      </c>
      <c r="BD443" s="527">
        <v>0</v>
      </c>
      <c r="BE443" s="527">
        <v>0</v>
      </c>
      <c r="BF443" s="527">
        <v>0</v>
      </c>
      <c r="BG443" s="527">
        <v>0</v>
      </c>
      <c r="BH443" s="527">
        <v>0</v>
      </c>
      <c r="BI443" s="527">
        <v>0</v>
      </c>
      <c r="BJ443" s="527">
        <v>0</v>
      </c>
      <c r="BK443" s="1154">
        <f t="shared" si="45"/>
        <v>0</v>
      </c>
      <c r="BL443" s="1154"/>
      <c r="BM443" s="1154">
        <f t="shared" si="46"/>
        <v>0</v>
      </c>
      <c r="BN443" s="1154">
        <f t="shared" si="47"/>
        <v>0</v>
      </c>
      <c r="BO443" s="527"/>
      <c r="BP443" s="527"/>
      <c r="BQ443" s="1157" t="s">
        <v>2555</v>
      </c>
      <c r="BR443" s="1157" t="s">
        <v>690</v>
      </c>
      <c r="BS443" s="1157" t="s">
        <v>527</v>
      </c>
      <c r="BT443" s="1376" t="s">
        <v>1747</v>
      </c>
    </row>
    <row r="444" spans="1:72" s="1371" customFormat="1" ht="13">
      <c r="A444" s="1204">
        <v>1000</v>
      </c>
      <c r="B444" s="1205" t="s">
        <v>672</v>
      </c>
      <c r="C444" s="1205" t="s">
        <v>675</v>
      </c>
      <c r="D444" s="1206" t="s">
        <v>2577</v>
      </c>
      <c r="E444" s="1386" t="s">
        <v>603</v>
      </c>
      <c r="F444" s="521"/>
      <c r="G444" s="522"/>
      <c r="H444" s="522"/>
      <c r="I444" s="522"/>
      <c r="J444" s="523"/>
      <c r="K444" s="523"/>
      <c r="L444" s="523"/>
      <c r="M444" s="524"/>
      <c r="N444" s="525"/>
      <c r="O444" s="526" t="s">
        <v>1237</v>
      </c>
      <c r="P444" s="525">
        <f>'HIV-Key Info'!$I$85*('HIV-Key Info'!$E$85*('HPM costs'!F119/'HPM costs'!$E$119)+'HIV-Key Info'!$F$85*('HPM costs'!F125/'HPM costs'!$E$125+'HPM costs'!F122/'HPM costs'!$E$122))</f>
        <v>0</v>
      </c>
      <c r="Q444" s="525" t="s">
        <v>1237</v>
      </c>
      <c r="R444" s="525">
        <f>'HIV-Key Info'!$I$85*('HIV-Key Info'!$E$85*('HPM costs'!G119/'HPM costs'!$E$119)+'HIV-Key Info'!$F$85*('HPM costs'!G125/'HPM costs'!$E$125+'HPM costs'!G122/'HPM costs'!$E$122))</f>
        <v>0</v>
      </c>
      <c r="S444" s="525" t="s">
        <v>1237</v>
      </c>
      <c r="T444" s="525">
        <f>'HIV-Key Info'!$I$85*('HIV-Key Info'!$E$85*('HPM costs'!H119/'HPM costs'!$E$119)+'HIV-Key Info'!$F$85*('HPM costs'!H125/'HPM costs'!$E$125+'HPM costs'!H122/'HPM costs'!$E$122))</f>
        <v>0</v>
      </c>
      <c r="U444" s="525" t="s">
        <v>1237</v>
      </c>
      <c r="V444" s="525">
        <f>'HIV-Key Info'!$I$85*('HIV-Key Info'!$E$85*('HPM costs'!I119/'HPM costs'!$E$119)+'HIV-Key Info'!$F$85*('HPM costs'!I125/'HPM costs'!$E$125+'HPM costs'!I122/'HPM costs'!$E$122))</f>
        <v>0</v>
      </c>
      <c r="W444" s="525"/>
      <c r="X444" s="1154">
        <f t="shared" si="42"/>
        <v>0</v>
      </c>
      <c r="Y444" s="1155"/>
      <c r="Z444" s="1156"/>
      <c r="AA444" s="529"/>
      <c r="AB444" s="525"/>
      <c r="AC444" s="525">
        <f>'HIV-Key Info'!$I$85*('HIV-Key Info'!$E$85*('HPM costs'!K119/'HPM costs'!$E$119)+'HIV-Key Info'!$F$85*('HPM costs'!K125/'HPM costs'!$E$125+'HPM costs'!K122/'HPM costs'!$E$122))</f>
        <v>0</v>
      </c>
      <c r="AD444" s="525"/>
      <c r="AE444" s="525">
        <f>'HIV-Key Info'!$I$85*('HIV-Key Info'!$E$85*('HPM costs'!L119/'HPM costs'!$E$119)+'HIV-Key Info'!$F$85*('HPM costs'!L125/'HPM costs'!$E$125+'HPM costs'!L122/'HPM costs'!$E$122))</f>
        <v>0</v>
      </c>
      <c r="AF444" s="525"/>
      <c r="AG444" s="525">
        <f>'HIV-Key Info'!$I$85*('HIV-Key Info'!$E$85*('HPM costs'!M119/'HPM costs'!$E$119)+'HIV-Key Info'!$F$85*('HPM costs'!M125/'HPM costs'!$E$125+'HPM costs'!M122/'HPM costs'!$E$122))</f>
        <v>0</v>
      </c>
      <c r="AH444" s="525"/>
      <c r="AI444" s="525">
        <f>'HIV-Key Info'!$I$85*('HIV-Key Info'!$E$85*('HPM costs'!N119/'HPM costs'!$E$119)+'HIV-Key Info'!$F$85*('HPM costs'!N125/'HPM costs'!$E$125+'HPM costs'!N122/'HPM costs'!$E$122))</f>
        <v>0</v>
      </c>
      <c r="AJ444" s="525"/>
      <c r="AK444" s="1154">
        <f t="shared" si="43"/>
        <v>0</v>
      </c>
      <c r="AL444" s="1155"/>
      <c r="AM444" s="1156"/>
      <c r="AN444" s="529"/>
      <c r="AO444" s="525"/>
      <c r="AP444" s="525">
        <f>'HIV-Key Info'!$I$85*('HIV-Key Info'!$E$85*('HPM costs'!P119/'HPM costs'!$E$119)+'HIV-Key Info'!$F$85*('HPM costs'!P125/'HPM costs'!$E$125+'HPM costs'!P122/'HPM costs'!$E$122))</f>
        <v>0</v>
      </c>
      <c r="AQ444" s="525"/>
      <c r="AR444" s="525">
        <f>'HIV-Key Info'!$I$85*('HIV-Key Info'!$E$85*('HPM costs'!Q119/'HPM costs'!$E$119)+'HIV-Key Info'!$F$85*('HPM costs'!Q125/'HPM costs'!$E$125+'HPM costs'!Q122/'HPM costs'!$E$122))</f>
        <v>0</v>
      </c>
      <c r="AS444" s="525"/>
      <c r="AT444" s="525">
        <f>'HIV-Key Info'!$I$85*('HIV-Key Info'!$E$85*('HPM costs'!R119/'HPM costs'!$E$119)+'HIV-Key Info'!$F$85*('HPM costs'!R125/'HPM costs'!$E$125+'HPM costs'!R122/'HPM costs'!$E$122))</f>
        <v>0</v>
      </c>
      <c r="AU444" s="525"/>
      <c r="AV444" s="525">
        <f>'HIV-Key Info'!$I$85*('HIV-Key Info'!$E$85*('HPM costs'!S119/'HPM costs'!$E$119)+'HIV-Key Info'!$F$85*('HPM costs'!S125/'HPM costs'!$E$125+'HPM costs'!S122/'HPM costs'!$E$122))</f>
        <v>0</v>
      </c>
      <c r="AW444" s="525"/>
      <c r="AX444" s="1154">
        <f t="shared" si="44"/>
        <v>0</v>
      </c>
      <c r="AY444" s="1154"/>
      <c r="AZ444" s="528"/>
      <c r="BA444" s="529"/>
      <c r="BB444" s="527"/>
      <c r="BC444" s="527">
        <v>0</v>
      </c>
      <c r="BD444" s="527">
        <v>0</v>
      </c>
      <c r="BE444" s="527">
        <v>0</v>
      </c>
      <c r="BF444" s="527">
        <v>0</v>
      </c>
      <c r="BG444" s="527">
        <v>0</v>
      </c>
      <c r="BH444" s="527">
        <v>0</v>
      </c>
      <c r="BI444" s="527">
        <v>0</v>
      </c>
      <c r="BJ444" s="527">
        <v>0</v>
      </c>
      <c r="BK444" s="1154">
        <f t="shared" si="45"/>
        <v>0</v>
      </c>
      <c r="BL444" s="1154"/>
      <c r="BM444" s="1154">
        <f t="shared" si="46"/>
        <v>0</v>
      </c>
      <c r="BN444" s="1154">
        <f t="shared" si="47"/>
        <v>0</v>
      </c>
      <c r="BO444" s="527"/>
      <c r="BP444" s="527"/>
      <c r="BQ444" s="1157" t="s">
        <v>2555</v>
      </c>
      <c r="BR444" s="1157" t="s">
        <v>690</v>
      </c>
      <c r="BS444" s="1157" t="s">
        <v>2570</v>
      </c>
      <c r="BT444" s="1376" t="s">
        <v>1748</v>
      </c>
    </row>
    <row r="445" spans="1:72" s="1371" customFormat="1" ht="13">
      <c r="A445" s="1204">
        <v>1001</v>
      </c>
      <c r="B445" s="1205" t="s">
        <v>672</v>
      </c>
      <c r="C445" s="1205" t="s">
        <v>675</v>
      </c>
      <c r="D445" s="1206" t="s">
        <v>2520</v>
      </c>
      <c r="E445" s="1386" t="s">
        <v>528</v>
      </c>
      <c r="F445" s="521"/>
      <c r="G445" s="522"/>
      <c r="H445" s="522"/>
      <c r="I445" s="522"/>
      <c r="J445" s="523"/>
      <c r="K445" s="523"/>
      <c r="L445" s="523"/>
      <c r="M445" s="524"/>
      <c r="N445" s="525"/>
      <c r="O445" s="526" t="s">
        <v>1237</v>
      </c>
      <c r="P445" s="525">
        <f>'HIV-Key Info'!$I$85*(('HIV-Key Info'!$E$85*'HPM costs'!F33)+('HIV-Key Info'!$F$85*('HPM costs'!F36+'HPM costs'!F39)))</f>
        <v>0</v>
      </c>
      <c r="Q445" s="525" t="s">
        <v>1237</v>
      </c>
      <c r="R445" s="525">
        <f>'HIV-Key Info'!$I$85*(('HIV-Key Info'!$E$85*'HPM costs'!G33)+('HIV-Key Info'!$F$85*('HPM costs'!G36+'HPM costs'!G39)))</f>
        <v>0</v>
      </c>
      <c r="S445" s="525" t="s">
        <v>1237</v>
      </c>
      <c r="T445" s="525">
        <f>'HIV-Key Info'!$I$85*(('HIV-Key Info'!$E$85*'HPM costs'!H33)+('HIV-Key Info'!$F$85*('HPM costs'!H36+'HPM costs'!H39)))</f>
        <v>0</v>
      </c>
      <c r="U445" s="525" t="s">
        <v>1237</v>
      </c>
      <c r="V445" s="525">
        <f>'HIV-Key Info'!$I$85*(('HIV-Key Info'!$E$85*'HPM costs'!I33)+('HIV-Key Info'!$F$85*('HPM costs'!I36+'HPM costs'!I39)))</f>
        <v>0</v>
      </c>
      <c r="W445" s="525"/>
      <c r="X445" s="1154">
        <f t="shared" si="42"/>
        <v>0</v>
      </c>
      <c r="Y445" s="1155"/>
      <c r="Z445" s="1156"/>
      <c r="AA445" s="529"/>
      <c r="AB445" s="525"/>
      <c r="AC445" s="525">
        <f>'HIV-Key Info'!$I$85*(('HIV-Key Info'!$E$85*'HPM costs'!K33)+('HIV-Key Info'!$F$85*('HPM costs'!K36+'HPM costs'!K39)))</f>
        <v>0</v>
      </c>
      <c r="AD445" s="525"/>
      <c r="AE445" s="525">
        <f>'HIV-Key Info'!$I$85*(('HIV-Key Info'!$E$85*'HPM costs'!L33)+('HIV-Key Info'!$F$85*('HPM costs'!L36+'HPM costs'!L39)))</f>
        <v>0</v>
      </c>
      <c r="AF445" s="525"/>
      <c r="AG445" s="525">
        <f>'HIV-Key Info'!$I$85*(('HIV-Key Info'!$E$85*'HPM costs'!M33)+('HIV-Key Info'!$F$85*('HPM costs'!M36+'HPM costs'!M39)))</f>
        <v>0</v>
      </c>
      <c r="AH445" s="525"/>
      <c r="AI445" s="525">
        <f>'HIV-Key Info'!$I$85*(('HIV-Key Info'!$E$85*'HPM costs'!N33)+('HIV-Key Info'!$F$85*('HPM costs'!N36+'HPM costs'!N39)))</f>
        <v>0</v>
      </c>
      <c r="AJ445" s="525"/>
      <c r="AK445" s="1154">
        <f t="shared" si="43"/>
        <v>0</v>
      </c>
      <c r="AL445" s="1155"/>
      <c r="AM445" s="1156"/>
      <c r="AN445" s="529"/>
      <c r="AO445" s="525"/>
      <c r="AP445" s="525">
        <f>'HIV-Key Info'!$I$85*(('HIV-Key Info'!$E$85*'HPM costs'!P33)+('HIV-Key Info'!$F$85*('HPM costs'!P36+'HPM costs'!P39)))</f>
        <v>0</v>
      </c>
      <c r="AQ445" s="525"/>
      <c r="AR445" s="525">
        <f>'HIV-Key Info'!$I$85*(('HIV-Key Info'!$E$85*'HPM costs'!Q33)+('HIV-Key Info'!$F$85*('HPM costs'!Q36+'HPM costs'!Q39)))</f>
        <v>0</v>
      </c>
      <c r="AS445" s="525"/>
      <c r="AT445" s="525">
        <f>'HIV-Key Info'!$I$85*(('HIV-Key Info'!$E$85*'HPM costs'!R33)+('HIV-Key Info'!$F$85*('HPM costs'!R36+'HPM costs'!R39)))</f>
        <v>0</v>
      </c>
      <c r="AU445" s="525"/>
      <c r="AV445" s="525">
        <f>'HIV-Key Info'!$I$85*(('HIV-Key Info'!$E$85*'HPM costs'!S33)+('HIV-Key Info'!$F$85*('HPM costs'!S36+'HPM costs'!S39)))</f>
        <v>0</v>
      </c>
      <c r="AW445" s="525"/>
      <c r="AX445" s="1154">
        <f t="shared" si="44"/>
        <v>0</v>
      </c>
      <c r="AY445" s="1154"/>
      <c r="AZ445" s="528"/>
      <c r="BA445" s="529"/>
      <c r="BB445" s="527"/>
      <c r="BC445" s="527">
        <v>0</v>
      </c>
      <c r="BD445" s="527">
        <v>0</v>
      </c>
      <c r="BE445" s="527">
        <v>0</v>
      </c>
      <c r="BF445" s="527">
        <v>0</v>
      </c>
      <c r="BG445" s="527">
        <v>0</v>
      </c>
      <c r="BH445" s="527">
        <v>0</v>
      </c>
      <c r="BI445" s="527">
        <v>0</v>
      </c>
      <c r="BJ445" s="527">
        <v>0</v>
      </c>
      <c r="BK445" s="1154">
        <f t="shared" si="45"/>
        <v>0</v>
      </c>
      <c r="BL445" s="1154"/>
      <c r="BM445" s="1154">
        <f t="shared" si="46"/>
        <v>0</v>
      </c>
      <c r="BN445" s="1154">
        <f t="shared" si="47"/>
        <v>0</v>
      </c>
      <c r="BO445" s="527"/>
      <c r="BP445" s="527"/>
      <c r="BQ445" s="1157" t="s">
        <v>2555</v>
      </c>
      <c r="BR445" s="1157" t="s">
        <v>690</v>
      </c>
      <c r="BS445" s="1157" t="s">
        <v>527</v>
      </c>
      <c r="BT445" s="1376" t="s">
        <v>1749</v>
      </c>
    </row>
    <row r="446" spans="1:72" s="1371" customFormat="1" ht="13">
      <c r="A446" s="1204">
        <v>1002</v>
      </c>
      <c r="B446" s="1205" t="s">
        <v>672</v>
      </c>
      <c r="C446" s="1205" t="s">
        <v>675</v>
      </c>
      <c r="D446" s="1206" t="s">
        <v>2520</v>
      </c>
      <c r="E446" s="1386" t="s">
        <v>530</v>
      </c>
      <c r="F446" s="521"/>
      <c r="G446" s="522"/>
      <c r="H446" s="522"/>
      <c r="I446" s="522"/>
      <c r="J446" s="523"/>
      <c r="K446" s="523"/>
      <c r="L446" s="523"/>
      <c r="M446" s="524"/>
      <c r="N446" s="525"/>
      <c r="O446" s="526" t="s">
        <v>1237</v>
      </c>
      <c r="P446" s="525">
        <f>'HIV-Key Info'!$I$85*(('HIV-Key Info'!$E$85*'HPM costs'!F119)+('HIV-Key Info'!$F$85*('HPM costs'!F122+'HPM costs'!F125)))</f>
        <v>0</v>
      </c>
      <c r="Q446" s="525" t="s">
        <v>1237</v>
      </c>
      <c r="R446" s="525">
        <f>'HIV-Key Info'!$I$85*(('HIV-Key Info'!$E$85*'HPM costs'!G119)+('HIV-Key Info'!$F$85*('HPM costs'!G122+'HPM costs'!G125)))</f>
        <v>0</v>
      </c>
      <c r="S446" s="525" t="s">
        <v>1237</v>
      </c>
      <c r="T446" s="525">
        <f>'HIV-Key Info'!$I$85*(('HIV-Key Info'!$E$85*'HPM costs'!H119)+('HIV-Key Info'!$F$85*('HPM costs'!H122+'HPM costs'!H125)))</f>
        <v>0</v>
      </c>
      <c r="U446" s="525" t="s">
        <v>1237</v>
      </c>
      <c r="V446" s="525">
        <f>'HIV-Key Info'!$I$85*(('HIV-Key Info'!$E$85*'HPM costs'!I119)+('HIV-Key Info'!$F$85*('HPM costs'!I122+'HPM costs'!I125)))</f>
        <v>0</v>
      </c>
      <c r="W446" s="525"/>
      <c r="X446" s="1154">
        <f t="shared" si="42"/>
        <v>0</v>
      </c>
      <c r="Y446" s="1155"/>
      <c r="Z446" s="1156"/>
      <c r="AA446" s="529"/>
      <c r="AB446" s="525"/>
      <c r="AC446" s="525">
        <f>'HIV-Key Info'!$I$85*(('HIV-Key Info'!$E$85*'HPM costs'!K119)+('HIV-Key Info'!$F$85*('HPM costs'!K122+'HPM costs'!K125)))</f>
        <v>0</v>
      </c>
      <c r="AD446" s="525"/>
      <c r="AE446" s="525">
        <f>'HIV-Key Info'!$I$85*(('HIV-Key Info'!$E$85*'HPM costs'!L119)+('HIV-Key Info'!$F$85*('HPM costs'!L122+'HPM costs'!L125)))</f>
        <v>0</v>
      </c>
      <c r="AF446" s="525"/>
      <c r="AG446" s="525">
        <f>'HIV-Key Info'!$I$85*(('HIV-Key Info'!$E$85*'HPM costs'!M119)+('HIV-Key Info'!$F$85*('HPM costs'!M122+'HPM costs'!M125)))</f>
        <v>0</v>
      </c>
      <c r="AH446" s="525"/>
      <c r="AI446" s="525">
        <f>'HIV-Key Info'!$I$85*(('HIV-Key Info'!$E$85*'HPM costs'!N119)+('HIV-Key Info'!$F$85*('HPM costs'!N122+'HPM costs'!N125)))</f>
        <v>0</v>
      </c>
      <c r="AJ446" s="525"/>
      <c r="AK446" s="1154">
        <f t="shared" si="43"/>
        <v>0</v>
      </c>
      <c r="AL446" s="1155"/>
      <c r="AM446" s="1156"/>
      <c r="AN446" s="529"/>
      <c r="AO446" s="525"/>
      <c r="AP446" s="525">
        <f>'HIV-Key Info'!$I$85*(('HIV-Key Info'!$E$85*'HPM costs'!P119)+('HIV-Key Info'!$F$85*('HPM costs'!P122+'HPM costs'!P125)))</f>
        <v>0</v>
      </c>
      <c r="AQ446" s="525"/>
      <c r="AR446" s="525">
        <f>'HIV-Key Info'!$I$85*(('HIV-Key Info'!$E$85*'HPM costs'!Q119)+('HIV-Key Info'!$F$85*('HPM costs'!Q122+'HPM costs'!Q125)))</f>
        <v>0</v>
      </c>
      <c r="AS446" s="525"/>
      <c r="AT446" s="525">
        <f>'HIV-Key Info'!$I$85*(('HIV-Key Info'!$E$85*'HPM costs'!R119)+('HIV-Key Info'!$F$85*('HPM costs'!R122+'HPM costs'!R125)))</f>
        <v>0</v>
      </c>
      <c r="AU446" s="525"/>
      <c r="AV446" s="525">
        <f>'HIV-Key Info'!$I$85*(('HIV-Key Info'!$E$85*'HPM costs'!S119)+('HIV-Key Info'!$F$85*('HPM costs'!S122+'HPM costs'!S125)))</f>
        <v>0</v>
      </c>
      <c r="AW446" s="525"/>
      <c r="AX446" s="1154">
        <f t="shared" si="44"/>
        <v>0</v>
      </c>
      <c r="AY446" s="1154"/>
      <c r="AZ446" s="528"/>
      <c r="BA446" s="529"/>
      <c r="BB446" s="527"/>
      <c r="BC446" s="527">
        <v>0</v>
      </c>
      <c r="BD446" s="527">
        <v>0</v>
      </c>
      <c r="BE446" s="527">
        <v>0</v>
      </c>
      <c r="BF446" s="527">
        <v>0</v>
      </c>
      <c r="BG446" s="527">
        <v>0</v>
      </c>
      <c r="BH446" s="527">
        <v>0</v>
      </c>
      <c r="BI446" s="527">
        <v>0</v>
      </c>
      <c r="BJ446" s="527">
        <v>0</v>
      </c>
      <c r="BK446" s="1154">
        <f t="shared" si="45"/>
        <v>0</v>
      </c>
      <c r="BL446" s="1154"/>
      <c r="BM446" s="1154">
        <f t="shared" si="46"/>
        <v>0</v>
      </c>
      <c r="BN446" s="1154">
        <f t="shared" si="47"/>
        <v>0</v>
      </c>
      <c r="BO446" s="527"/>
      <c r="BP446" s="527"/>
      <c r="BQ446" s="1157" t="s">
        <v>2555</v>
      </c>
      <c r="BR446" s="1157" t="s">
        <v>690</v>
      </c>
      <c r="BS446" s="1157" t="s">
        <v>527</v>
      </c>
      <c r="BT446" s="1376" t="s">
        <v>1750</v>
      </c>
    </row>
    <row r="447" spans="1:72" s="1371" customFormat="1" ht="13">
      <c r="A447" s="1204">
        <v>1003</v>
      </c>
      <c r="B447" s="1205" t="s">
        <v>672</v>
      </c>
      <c r="C447" s="1205" t="s">
        <v>675</v>
      </c>
      <c r="D447" s="1206" t="s">
        <v>2520</v>
      </c>
      <c r="E447" s="1386" t="s">
        <v>532</v>
      </c>
      <c r="F447" s="521"/>
      <c r="G447" s="522"/>
      <c r="H447" s="522"/>
      <c r="I447" s="522"/>
      <c r="J447" s="523"/>
      <c r="K447" s="523"/>
      <c r="L447" s="523"/>
      <c r="M447" s="524"/>
      <c r="N447" s="525"/>
      <c r="O447" s="526" t="s">
        <v>1237</v>
      </c>
      <c r="P447" s="525">
        <f>'HIV-Key Info'!$I$85*(('HIV-Key Info'!$E$85*'HPM costs'!F379)+('HIV-Key Info'!$F$85*('HPM costs'!F382+'HPM costs'!F385)))</f>
        <v>0</v>
      </c>
      <c r="Q447" s="525" t="s">
        <v>1237</v>
      </c>
      <c r="R447" s="525">
        <f>'HIV-Key Info'!$I$85*(('HIV-Key Info'!$E$85*'HPM costs'!G379)+('HIV-Key Info'!$F$85*('HPM costs'!G382+'HPM costs'!G385)))</f>
        <v>0</v>
      </c>
      <c r="S447" s="525" t="s">
        <v>1237</v>
      </c>
      <c r="T447" s="525">
        <f>'HIV-Key Info'!$I$85*(('HIV-Key Info'!$E$85*'HPM costs'!H379)+('HIV-Key Info'!$F$85*('HPM costs'!H382+'HPM costs'!H385)))</f>
        <v>0</v>
      </c>
      <c r="U447" s="525" t="s">
        <v>1237</v>
      </c>
      <c r="V447" s="525">
        <f>'HIV-Key Info'!$I$85*(('HIV-Key Info'!$E$85*'HPM costs'!I379)+('HIV-Key Info'!$F$85*('HPM costs'!I382+'HPM costs'!I385)))</f>
        <v>0</v>
      </c>
      <c r="W447" s="525"/>
      <c r="X447" s="1154">
        <f t="shared" si="42"/>
        <v>0</v>
      </c>
      <c r="Y447" s="1155"/>
      <c r="Z447" s="1156"/>
      <c r="AA447" s="529"/>
      <c r="AB447" s="525"/>
      <c r="AC447" s="525">
        <f>'HIV-Key Info'!$I$85*(('HIV-Key Info'!$E$85*'HPM costs'!K379)+('HIV-Key Info'!$F$85*('HPM costs'!K382+'HPM costs'!K385)))</f>
        <v>0</v>
      </c>
      <c r="AD447" s="525"/>
      <c r="AE447" s="525">
        <f>'HIV-Key Info'!$I$85*(('HIV-Key Info'!$E$85*'HPM costs'!L379)+('HIV-Key Info'!$F$85*('HPM costs'!L382+'HPM costs'!L385)))</f>
        <v>0</v>
      </c>
      <c r="AF447" s="525"/>
      <c r="AG447" s="525">
        <f>'HIV-Key Info'!$I$85*(('HIV-Key Info'!$E$85*'HPM costs'!M379)+('HIV-Key Info'!$F$85*('HPM costs'!M382+'HPM costs'!M385)))</f>
        <v>0</v>
      </c>
      <c r="AH447" s="525"/>
      <c r="AI447" s="525">
        <f>'HIV-Key Info'!$I$85*(('HIV-Key Info'!$E$85*'HPM costs'!N379)+('HIV-Key Info'!$F$85*('HPM costs'!N382+'HPM costs'!N385)))</f>
        <v>0</v>
      </c>
      <c r="AJ447" s="525"/>
      <c r="AK447" s="1154">
        <f t="shared" si="43"/>
        <v>0</v>
      </c>
      <c r="AL447" s="1155"/>
      <c r="AM447" s="1156"/>
      <c r="AN447" s="529"/>
      <c r="AO447" s="525"/>
      <c r="AP447" s="525">
        <f>'HIV-Key Info'!$I$85*(('HIV-Key Info'!$E$85*'HPM costs'!P379)+('HIV-Key Info'!$F$85*('HPM costs'!P382+'HPM costs'!P385)))</f>
        <v>0</v>
      </c>
      <c r="AQ447" s="525"/>
      <c r="AR447" s="525">
        <f>'HIV-Key Info'!$I$85*(('HIV-Key Info'!$E$85*'HPM costs'!Q379)+('HIV-Key Info'!$F$85*('HPM costs'!Q382+'HPM costs'!Q385)))</f>
        <v>0</v>
      </c>
      <c r="AS447" s="525"/>
      <c r="AT447" s="525">
        <f>'HIV-Key Info'!$I$85*(('HIV-Key Info'!$E$85*'HPM costs'!R379)+('HIV-Key Info'!$F$85*('HPM costs'!R382+'HPM costs'!R385)))</f>
        <v>0</v>
      </c>
      <c r="AU447" s="525"/>
      <c r="AV447" s="525">
        <f>'HIV-Key Info'!$I$85*(('HIV-Key Info'!$E$85*'HPM costs'!S379)+('HIV-Key Info'!$F$85*('HPM costs'!S382+'HPM costs'!S385)))</f>
        <v>0</v>
      </c>
      <c r="AW447" s="525"/>
      <c r="AX447" s="1154">
        <f t="shared" si="44"/>
        <v>0</v>
      </c>
      <c r="AY447" s="1154"/>
      <c r="AZ447" s="528"/>
      <c r="BA447" s="529"/>
      <c r="BB447" s="527"/>
      <c r="BC447" s="527">
        <v>0</v>
      </c>
      <c r="BD447" s="527">
        <v>0</v>
      </c>
      <c r="BE447" s="527">
        <v>0</v>
      </c>
      <c r="BF447" s="527">
        <v>0</v>
      </c>
      <c r="BG447" s="527">
        <v>0</v>
      </c>
      <c r="BH447" s="527">
        <v>0</v>
      </c>
      <c r="BI447" s="527">
        <v>0</v>
      </c>
      <c r="BJ447" s="527">
        <v>0</v>
      </c>
      <c r="BK447" s="1154">
        <f t="shared" si="45"/>
        <v>0</v>
      </c>
      <c r="BL447" s="1154"/>
      <c r="BM447" s="1154">
        <f t="shared" si="46"/>
        <v>0</v>
      </c>
      <c r="BN447" s="1154">
        <f t="shared" si="47"/>
        <v>0</v>
      </c>
      <c r="BO447" s="527"/>
      <c r="BP447" s="527"/>
      <c r="BQ447" s="1157" t="s">
        <v>2555</v>
      </c>
      <c r="BR447" s="1157" t="s">
        <v>690</v>
      </c>
      <c r="BS447" s="1157" t="s">
        <v>527</v>
      </c>
      <c r="BT447" s="1376" t="s">
        <v>1751</v>
      </c>
    </row>
    <row r="448" spans="1:72" s="1371" customFormat="1" ht="13">
      <c r="A448" s="1204">
        <v>1004</v>
      </c>
      <c r="B448" s="1205" t="s">
        <v>672</v>
      </c>
      <c r="C448" s="1205" t="s">
        <v>675</v>
      </c>
      <c r="D448" s="1206" t="s">
        <v>2520</v>
      </c>
      <c r="E448" s="1386" t="s">
        <v>534</v>
      </c>
      <c r="F448" s="521"/>
      <c r="G448" s="522"/>
      <c r="H448" s="522"/>
      <c r="I448" s="522"/>
      <c r="J448" s="523"/>
      <c r="K448" s="523"/>
      <c r="L448" s="523"/>
      <c r="M448" s="524"/>
      <c r="N448" s="525"/>
      <c r="O448" s="526" t="s">
        <v>1237</v>
      </c>
      <c r="P448" s="525">
        <f>'HIV-Key Info'!$I$85*(('HIV-Key Info'!$E$85*'HPM costs'!F465)+('HIV-Key Info'!$F$85*('HPM costs'!F468+'HPM costs'!F471)))</f>
        <v>0</v>
      </c>
      <c r="Q448" s="525" t="s">
        <v>1237</v>
      </c>
      <c r="R448" s="525">
        <f>'HIV-Key Info'!$I$85*(('HIV-Key Info'!$E$85*'HPM costs'!G465)+('HIV-Key Info'!$F$85*('HPM costs'!G468+'HPM costs'!G471)))</f>
        <v>0</v>
      </c>
      <c r="S448" s="525" t="s">
        <v>1237</v>
      </c>
      <c r="T448" s="525">
        <f>'HIV-Key Info'!$I$85*(('HIV-Key Info'!$E$85*'HPM costs'!H465)+('HIV-Key Info'!$F$85*('HPM costs'!H468+'HPM costs'!H471)))</f>
        <v>0</v>
      </c>
      <c r="U448" s="525" t="s">
        <v>1237</v>
      </c>
      <c r="V448" s="525">
        <f>'HIV-Key Info'!$I$85*(('HIV-Key Info'!$E$85*'HPM costs'!I465)+('HIV-Key Info'!$F$85*('HPM costs'!I468+'HPM costs'!I471)))</f>
        <v>0</v>
      </c>
      <c r="W448" s="525"/>
      <c r="X448" s="1154">
        <f t="shared" si="42"/>
        <v>0</v>
      </c>
      <c r="Y448" s="1155"/>
      <c r="Z448" s="1156"/>
      <c r="AA448" s="529"/>
      <c r="AB448" s="525"/>
      <c r="AC448" s="525">
        <f>'HIV-Key Info'!$I$85*(('HIV-Key Info'!$E$85*'HPM costs'!K465)+('HIV-Key Info'!$F$85*('HPM costs'!K468+'HPM costs'!K471)))</f>
        <v>0</v>
      </c>
      <c r="AD448" s="525"/>
      <c r="AE448" s="525">
        <f>'HIV-Key Info'!$I$85*(('HIV-Key Info'!$E$85*'HPM costs'!L465)+('HIV-Key Info'!$F$85*('HPM costs'!L468+'HPM costs'!L471)))</f>
        <v>0</v>
      </c>
      <c r="AF448" s="525"/>
      <c r="AG448" s="525">
        <f>'HIV-Key Info'!$I$85*(('HIV-Key Info'!$E$85*'HPM costs'!M465)+('HIV-Key Info'!$F$85*('HPM costs'!M468+'HPM costs'!M471)))</f>
        <v>0</v>
      </c>
      <c r="AH448" s="525"/>
      <c r="AI448" s="525">
        <f>'HIV-Key Info'!$I$85*(('HIV-Key Info'!$E$85*'HPM costs'!N465)+('HIV-Key Info'!$F$85*('HPM costs'!N468+'HPM costs'!N471)))</f>
        <v>0</v>
      </c>
      <c r="AJ448" s="525"/>
      <c r="AK448" s="1154">
        <f t="shared" si="43"/>
        <v>0</v>
      </c>
      <c r="AL448" s="1155"/>
      <c r="AM448" s="1156"/>
      <c r="AN448" s="529"/>
      <c r="AO448" s="525"/>
      <c r="AP448" s="525">
        <f>'HIV-Key Info'!$I$85*(('HIV-Key Info'!$E$85*'HPM costs'!P465)+('HIV-Key Info'!$F$85*('HPM costs'!P468+'HPM costs'!P471)))</f>
        <v>0</v>
      </c>
      <c r="AQ448" s="525"/>
      <c r="AR448" s="525">
        <f>'HIV-Key Info'!$I$85*(('HIV-Key Info'!$E$85*'HPM costs'!Q465)+('HIV-Key Info'!$F$85*('HPM costs'!Q468+'HPM costs'!Q471)))</f>
        <v>0</v>
      </c>
      <c r="AS448" s="525"/>
      <c r="AT448" s="525">
        <f>'HIV-Key Info'!$I$85*(('HIV-Key Info'!$E$85*'HPM costs'!R465)+('HIV-Key Info'!$F$85*('HPM costs'!R468+'HPM costs'!R471)))</f>
        <v>0</v>
      </c>
      <c r="AU448" s="525"/>
      <c r="AV448" s="525">
        <f>'HIV-Key Info'!$I$85*(('HIV-Key Info'!$E$85*'HPM costs'!S465)+('HIV-Key Info'!$F$85*('HPM costs'!S468+'HPM costs'!S471)))</f>
        <v>0</v>
      </c>
      <c r="AW448" s="525"/>
      <c r="AX448" s="1154">
        <f t="shared" si="44"/>
        <v>0</v>
      </c>
      <c r="AY448" s="1154"/>
      <c r="AZ448" s="528"/>
      <c r="BA448" s="529"/>
      <c r="BB448" s="527"/>
      <c r="BC448" s="527">
        <v>0</v>
      </c>
      <c r="BD448" s="527">
        <v>0</v>
      </c>
      <c r="BE448" s="527">
        <v>0</v>
      </c>
      <c r="BF448" s="527">
        <v>0</v>
      </c>
      <c r="BG448" s="527">
        <v>0</v>
      </c>
      <c r="BH448" s="527">
        <v>0</v>
      </c>
      <c r="BI448" s="527">
        <v>0</v>
      </c>
      <c r="BJ448" s="527">
        <v>0</v>
      </c>
      <c r="BK448" s="1154">
        <f t="shared" si="45"/>
        <v>0</v>
      </c>
      <c r="BL448" s="1154"/>
      <c r="BM448" s="1154">
        <f t="shared" si="46"/>
        <v>0</v>
      </c>
      <c r="BN448" s="1154">
        <f t="shared" si="47"/>
        <v>0</v>
      </c>
      <c r="BO448" s="527"/>
      <c r="BP448" s="527"/>
      <c r="BQ448" s="1157" t="s">
        <v>2555</v>
      </c>
      <c r="BR448" s="1157" t="s">
        <v>690</v>
      </c>
      <c r="BS448" s="1157" t="s">
        <v>527</v>
      </c>
      <c r="BT448" s="1376" t="s">
        <v>1752</v>
      </c>
    </row>
    <row r="449" spans="1:72" s="1371" customFormat="1" ht="13">
      <c r="A449" s="1204">
        <v>1005</v>
      </c>
      <c r="B449" s="1205" t="s">
        <v>672</v>
      </c>
      <c r="C449" s="1205" t="s">
        <v>675</v>
      </c>
      <c r="D449" s="1206" t="s">
        <v>2520</v>
      </c>
      <c r="E449" s="1386" t="s">
        <v>536</v>
      </c>
      <c r="F449" s="521"/>
      <c r="G449" s="522"/>
      <c r="H449" s="522"/>
      <c r="I449" s="522"/>
      <c r="J449" s="523"/>
      <c r="K449" s="523"/>
      <c r="L449" s="523"/>
      <c r="M449" s="524"/>
      <c r="N449" s="525"/>
      <c r="O449" s="526" t="s">
        <v>1237</v>
      </c>
      <c r="P449" s="525">
        <f>'HIV-Key Info'!$I$85*(('HIV-Key Info'!$E$85*('HPM costs'!F205+'HPM costs'!F551))+('HIV-Key Info'!$F$85*('HPM costs'!F208+'HPM costs'!F211+'HPM costs'!F554+'HPM costs'!F557)))</f>
        <v>0</v>
      </c>
      <c r="Q449" s="525" t="s">
        <v>1237</v>
      </c>
      <c r="R449" s="525">
        <f>'HIV-Key Info'!$I$85*(('HIV-Key Info'!$E$85*('HPM costs'!G205+'HPM costs'!G551))+('HIV-Key Info'!$F$85*('HPM costs'!G208+'HPM costs'!G211+'HPM costs'!G554+'HPM costs'!G557)))</f>
        <v>0</v>
      </c>
      <c r="S449" s="525" t="s">
        <v>1237</v>
      </c>
      <c r="T449" s="525">
        <f>'HIV-Key Info'!$I$85*(('HIV-Key Info'!$E$85*('HPM costs'!H205+'HPM costs'!H551))+('HIV-Key Info'!$F$85*('HPM costs'!H208+'HPM costs'!H211+'HPM costs'!H554+'HPM costs'!H557)))</f>
        <v>0</v>
      </c>
      <c r="U449" s="525" t="s">
        <v>1237</v>
      </c>
      <c r="V449" s="525">
        <f>'HIV-Key Info'!$I$85*(('HIV-Key Info'!$E$85*('HPM costs'!I205+'HPM costs'!I551))+('HIV-Key Info'!$F$85*('HPM costs'!I208+'HPM costs'!I211+'HPM costs'!I554+'HPM costs'!I557)))</f>
        <v>0</v>
      </c>
      <c r="W449" s="525"/>
      <c r="X449" s="1154">
        <f t="shared" ref="X449:X512" si="48">P449+R449+T449+V449</f>
        <v>0</v>
      </c>
      <c r="Y449" s="1155"/>
      <c r="Z449" s="1156"/>
      <c r="AA449" s="529"/>
      <c r="AB449" s="525"/>
      <c r="AC449" s="525">
        <f>'HIV-Key Info'!$I$85*(('HIV-Key Info'!$E$85*('HPM costs'!K205+'HPM costs'!K551))+('HIV-Key Info'!$F$85*('HPM costs'!K208+'HPM costs'!K211+'HPM costs'!K554+'HPM costs'!K557)))</f>
        <v>0</v>
      </c>
      <c r="AD449" s="525"/>
      <c r="AE449" s="525">
        <f>'HIV-Key Info'!$I$85*(('HIV-Key Info'!$E$85*('HPM costs'!L205+'HPM costs'!L551))+('HIV-Key Info'!$F$85*('HPM costs'!L208+'HPM costs'!L211+'HPM costs'!L554+'HPM costs'!L557)))</f>
        <v>0</v>
      </c>
      <c r="AF449" s="525"/>
      <c r="AG449" s="525">
        <f>'HIV-Key Info'!$I$85*(('HIV-Key Info'!$E$85*('HPM costs'!M205+'HPM costs'!M551))+('HIV-Key Info'!$F$85*('HPM costs'!M208+'HPM costs'!M211+'HPM costs'!M554+'HPM costs'!M557)))</f>
        <v>0</v>
      </c>
      <c r="AH449" s="525"/>
      <c r="AI449" s="525">
        <f>'HIV-Key Info'!$I$85*(('HIV-Key Info'!$E$85*('HPM costs'!N205+'HPM costs'!N551))+('HIV-Key Info'!$F$85*('HPM costs'!N208+'HPM costs'!N211+'HPM costs'!N554+'HPM costs'!N557)))</f>
        <v>0</v>
      </c>
      <c r="AJ449" s="525"/>
      <c r="AK449" s="1154">
        <f t="shared" ref="AK449:AK512" si="49">AI449+AG449+AE449+AC449</f>
        <v>0</v>
      </c>
      <c r="AL449" s="1155"/>
      <c r="AM449" s="1156"/>
      <c r="AN449" s="529"/>
      <c r="AO449" s="525"/>
      <c r="AP449" s="525">
        <f>'HIV-Key Info'!$I$85*(('HIV-Key Info'!$E$85*('HPM costs'!P205+'HPM costs'!P551))+('HIV-Key Info'!$F$85*('HPM costs'!P208+'HPM costs'!P211+'HPM costs'!P554+'HPM costs'!P557)))</f>
        <v>0</v>
      </c>
      <c r="AQ449" s="525"/>
      <c r="AR449" s="525">
        <f>'HIV-Key Info'!$I$85*(('HIV-Key Info'!$E$85*('HPM costs'!Q205+'HPM costs'!Q551))+('HIV-Key Info'!$F$85*('HPM costs'!Q208+'HPM costs'!Q211+'HPM costs'!Q554+'HPM costs'!Q557)))</f>
        <v>0</v>
      </c>
      <c r="AS449" s="525"/>
      <c r="AT449" s="525">
        <f>'HIV-Key Info'!$I$85*(('HIV-Key Info'!$E$85*('HPM costs'!R205+'HPM costs'!R551))+('HIV-Key Info'!$F$85*('HPM costs'!R208+'HPM costs'!R211+'HPM costs'!R554+'HPM costs'!R557)))</f>
        <v>0</v>
      </c>
      <c r="AU449" s="525"/>
      <c r="AV449" s="525">
        <f>'HIV-Key Info'!$I$85*(('HIV-Key Info'!$E$85*('HPM costs'!S205+'HPM costs'!S551))+('HIV-Key Info'!$F$85*('HPM costs'!S208+'HPM costs'!S211+'HPM costs'!S554+'HPM costs'!S557)))</f>
        <v>0</v>
      </c>
      <c r="AW449" s="525"/>
      <c r="AX449" s="1154">
        <f t="shared" ref="AX449:AX512" si="50">AV449+AT449+AR449+AP449</f>
        <v>0</v>
      </c>
      <c r="AY449" s="1154"/>
      <c r="AZ449" s="528"/>
      <c r="BA449" s="529"/>
      <c r="BB449" s="527"/>
      <c r="BC449" s="527">
        <v>0</v>
      </c>
      <c r="BD449" s="527">
        <v>0</v>
      </c>
      <c r="BE449" s="527">
        <v>0</v>
      </c>
      <c r="BF449" s="527">
        <v>0</v>
      </c>
      <c r="BG449" s="527">
        <v>0</v>
      </c>
      <c r="BH449" s="527">
        <v>0</v>
      </c>
      <c r="BI449" s="527">
        <v>0</v>
      </c>
      <c r="BJ449" s="527">
        <v>0</v>
      </c>
      <c r="BK449" s="1154">
        <f t="shared" ref="BK449:BK512" si="51">BI449+BG449+BE449+BC449</f>
        <v>0</v>
      </c>
      <c r="BL449" s="1154"/>
      <c r="BM449" s="1154">
        <f t="shared" si="46"/>
        <v>0</v>
      </c>
      <c r="BN449" s="1154">
        <f t="shared" si="47"/>
        <v>0</v>
      </c>
      <c r="BO449" s="527"/>
      <c r="BP449" s="527"/>
      <c r="BQ449" s="1157" t="s">
        <v>2555</v>
      </c>
      <c r="BR449" s="1157" t="s">
        <v>690</v>
      </c>
      <c r="BS449" s="1157" t="s">
        <v>527</v>
      </c>
      <c r="BT449" s="1376" t="s">
        <v>1753</v>
      </c>
    </row>
    <row r="450" spans="1:72" s="1371" customFormat="1" ht="13">
      <c r="A450" s="1204">
        <v>1006</v>
      </c>
      <c r="B450" s="1205" t="s">
        <v>672</v>
      </c>
      <c r="C450" s="1205" t="s">
        <v>675</v>
      </c>
      <c r="D450" s="1206" t="s">
        <v>2520</v>
      </c>
      <c r="E450" s="1386" t="s">
        <v>538</v>
      </c>
      <c r="F450" s="521"/>
      <c r="G450" s="522"/>
      <c r="H450" s="522"/>
      <c r="I450" s="522"/>
      <c r="J450" s="523"/>
      <c r="K450" s="523"/>
      <c r="L450" s="523"/>
      <c r="M450" s="524"/>
      <c r="N450" s="525"/>
      <c r="O450" s="526" t="s">
        <v>1237</v>
      </c>
      <c r="P450" s="525">
        <f>'HIV-Key Info'!$I$85*(('HIV-Key Info'!$E$85*'HPM costs'!F291)+('HIV-Key Info'!$F$85*('HPM costs'!F294+'HPM costs'!F297)))</f>
        <v>0</v>
      </c>
      <c r="Q450" s="525" t="s">
        <v>1237</v>
      </c>
      <c r="R450" s="525">
        <f>'HIV-Key Info'!$I$85*(('HIV-Key Info'!$E$85*'HPM costs'!G291)+('HIV-Key Info'!$F$85*('HPM costs'!G294+'HPM costs'!G297)))</f>
        <v>0</v>
      </c>
      <c r="S450" s="525" t="s">
        <v>1237</v>
      </c>
      <c r="T450" s="525">
        <f>'HIV-Key Info'!$I$85*(('HIV-Key Info'!$E$85*'HPM costs'!H291)+('HIV-Key Info'!$F$85*('HPM costs'!H294+'HPM costs'!H297)))</f>
        <v>0</v>
      </c>
      <c r="U450" s="525" t="s">
        <v>1237</v>
      </c>
      <c r="V450" s="525">
        <f>'HIV-Key Info'!$I$85*(('HIV-Key Info'!$E$85*'HPM costs'!I291)+('HIV-Key Info'!$F$85*('HPM costs'!I294+'HPM costs'!I297)))</f>
        <v>0</v>
      </c>
      <c r="W450" s="525"/>
      <c r="X450" s="1154">
        <f t="shared" si="48"/>
        <v>0</v>
      </c>
      <c r="Y450" s="1155"/>
      <c r="Z450" s="1156"/>
      <c r="AA450" s="529"/>
      <c r="AB450" s="525"/>
      <c r="AC450" s="525">
        <f>'HIV-Key Info'!$I$85*(('HIV-Key Info'!$E$85*'HPM costs'!K291)+('HIV-Key Info'!$F$85*('HPM costs'!K294+'HPM costs'!K297)))</f>
        <v>0</v>
      </c>
      <c r="AD450" s="525"/>
      <c r="AE450" s="525">
        <f>'HIV-Key Info'!$I$85*(('HIV-Key Info'!$E$85*'HPM costs'!L291)+('HIV-Key Info'!$F$85*('HPM costs'!L294+'HPM costs'!L297)))</f>
        <v>0</v>
      </c>
      <c r="AF450" s="525"/>
      <c r="AG450" s="525">
        <f>'HIV-Key Info'!$I$85*(('HIV-Key Info'!$E$85*'HPM costs'!M291)+('HIV-Key Info'!$F$85*('HPM costs'!M294+'HPM costs'!M297)))</f>
        <v>0</v>
      </c>
      <c r="AH450" s="525"/>
      <c r="AI450" s="525">
        <f>'HIV-Key Info'!$I$85*(('HIV-Key Info'!$E$85*'HPM costs'!N291)+('HIV-Key Info'!$F$85*('HPM costs'!N294+'HPM costs'!N297)))</f>
        <v>0</v>
      </c>
      <c r="AJ450" s="525"/>
      <c r="AK450" s="1154">
        <f t="shared" si="49"/>
        <v>0</v>
      </c>
      <c r="AL450" s="1155"/>
      <c r="AM450" s="1156"/>
      <c r="AN450" s="529"/>
      <c r="AO450" s="525"/>
      <c r="AP450" s="525">
        <f>'HIV-Key Info'!$I$85*(('HIV-Key Info'!$E$85*'HPM costs'!P291)+('HIV-Key Info'!$F$85*('HPM costs'!P294+'HPM costs'!P297)))</f>
        <v>0</v>
      </c>
      <c r="AQ450" s="525"/>
      <c r="AR450" s="525">
        <f>'HIV-Key Info'!$I$85*(('HIV-Key Info'!$E$85*'HPM costs'!Q291)+('HIV-Key Info'!$F$85*('HPM costs'!Q294+'HPM costs'!Q297)))</f>
        <v>0</v>
      </c>
      <c r="AS450" s="525"/>
      <c r="AT450" s="525">
        <f>'HIV-Key Info'!$I$85*(('HIV-Key Info'!$E$85*'HPM costs'!R291)+('HIV-Key Info'!$F$85*('HPM costs'!R294+'HPM costs'!R297)))</f>
        <v>0</v>
      </c>
      <c r="AU450" s="525"/>
      <c r="AV450" s="525">
        <f>'HIV-Key Info'!$I$85*(('HIV-Key Info'!$E$85*'HPM costs'!S291)+('HIV-Key Info'!$F$85*('HPM costs'!S294+'HPM costs'!S297)))</f>
        <v>0</v>
      </c>
      <c r="AW450" s="525"/>
      <c r="AX450" s="1154">
        <f t="shared" si="50"/>
        <v>0</v>
      </c>
      <c r="AY450" s="1154"/>
      <c r="AZ450" s="528"/>
      <c r="BA450" s="529"/>
      <c r="BB450" s="527"/>
      <c r="BC450" s="527">
        <v>0</v>
      </c>
      <c r="BD450" s="527">
        <v>0</v>
      </c>
      <c r="BE450" s="527">
        <v>0</v>
      </c>
      <c r="BF450" s="527">
        <v>0</v>
      </c>
      <c r="BG450" s="527">
        <v>0</v>
      </c>
      <c r="BH450" s="527">
        <v>0</v>
      </c>
      <c r="BI450" s="527">
        <v>0</v>
      </c>
      <c r="BJ450" s="527">
        <v>0</v>
      </c>
      <c r="BK450" s="1154">
        <f t="shared" si="51"/>
        <v>0</v>
      </c>
      <c r="BL450" s="1154"/>
      <c r="BM450" s="1154">
        <f t="shared" ref="BM450:BM513" si="52">BJ450+AW450+AJ450+W450</f>
        <v>0</v>
      </c>
      <c r="BN450" s="1154">
        <f t="shared" ref="BN450:BN513" si="53">BK450+AX450+AK450+X450</f>
        <v>0</v>
      </c>
      <c r="BO450" s="527"/>
      <c r="BP450" s="527"/>
      <c r="BQ450" s="1157" t="s">
        <v>2555</v>
      </c>
      <c r="BR450" s="1157" t="s">
        <v>690</v>
      </c>
      <c r="BS450" s="1157" t="s">
        <v>527</v>
      </c>
      <c r="BT450" s="1376" t="s">
        <v>1754</v>
      </c>
    </row>
    <row r="451" spans="1:72" s="1371" customFormat="1" ht="13">
      <c r="A451" s="1204">
        <v>1007</v>
      </c>
      <c r="B451" s="1205" t="s">
        <v>672</v>
      </c>
      <c r="C451" s="1205" t="s">
        <v>675</v>
      </c>
      <c r="D451" s="1206" t="s">
        <v>2520</v>
      </c>
      <c r="E451" s="1386" t="s">
        <v>540</v>
      </c>
      <c r="F451" s="521"/>
      <c r="G451" s="522"/>
      <c r="H451" s="522"/>
      <c r="I451" s="522"/>
      <c r="J451" s="523"/>
      <c r="K451" s="523"/>
      <c r="L451" s="523"/>
      <c r="M451" s="524"/>
      <c r="N451" s="525"/>
      <c r="O451" s="526" t="s">
        <v>1237</v>
      </c>
      <c r="P451" s="525">
        <f>'HIV-Key Info'!$I$85*(('HIV-Key Info'!$E$85*'HPM costs'!F636)+('HIV-Key Info'!$F$85*('HPM costs'!F639+'HPM costs'!F642)))</f>
        <v>0</v>
      </c>
      <c r="Q451" s="525" t="s">
        <v>1237</v>
      </c>
      <c r="R451" s="525">
        <f>'HIV-Key Info'!$I$85*(('HIV-Key Info'!$E$85*'HPM costs'!G636)+('HIV-Key Info'!$F$85*('HPM costs'!G639+'HPM costs'!G642)))</f>
        <v>0</v>
      </c>
      <c r="S451" s="525" t="s">
        <v>1237</v>
      </c>
      <c r="T451" s="525">
        <f>'HIV-Key Info'!$I$85*(('HIV-Key Info'!$E$85*'HPM costs'!H636)+('HIV-Key Info'!$F$85*('HPM costs'!H639+'HPM costs'!H642)))</f>
        <v>0</v>
      </c>
      <c r="U451" s="525" t="s">
        <v>1237</v>
      </c>
      <c r="V451" s="525">
        <f>'HIV-Key Info'!$I$85*(('HIV-Key Info'!$E$85*'HPM costs'!I636)+('HIV-Key Info'!$F$85*('HPM costs'!I639+'HPM costs'!I642)))</f>
        <v>0</v>
      </c>
      <c r="W451" s="525"/>
      <c r="X451" s="1154">
        <f t="shared" si="48"/>
        <v>0</v>
      </c>
      <c r="Y451" s="1155"/>
      <c r="Z451" s="1156"/>
      <c r="AA451" s="529"/>
      <c r="AB451" s="525"/>
      <c r="AC451" s="525">
        <f>'HIV-Key Info'!$I$85*(('HIV-Key Info'!$E$85*'HPM costs'!K636)+('HIV-Key Info'!$F$85*('HPM costs'!K639+'HPM costs'!K642)))</f>
        <v>0</v>
      </c>
      <c r="AD451" s="525"/>
      <c r="AE451" s="525">
        <f>'HIV-Key Info'!$I$85*(('HIV-Key Info'!$E$85*'HPM costs'!L636)+('HIV-Key Info'!$F$85*('HPM costs'!L639+'HPM costs'!L642)))</f>
        <v>0</v>
      </c>
      <c r="AF451" s="525"/>
      <c r="AG451" s="525">
        <f>'HIV-Key Info'!$I$85*(('HIV-Key Info'!$E$85*'HPM costs'!M636)+('HIV-Key Info'!$F$85*('HPM costs'!M639+'HPM costs'!M642)))</f>
        <v>0</v>
      </c>
      <c r="AH451" s="525"/>
      <c r="AI451" s="525">
        <f>'HIV-Key Info'!$I$85*(('HIV-Key Info'!$E$85*'HPM costs'!N636)+('HIV-Key Info'!$F$85*('HPM costs'!N639+'HPM costs'!N642)))</f>
        <v>0</v>
      </c>
      <c r="AJ451" s="525"/>
      <c r="AK451" s="1154">
        <f t="shared" si="49"/>
        <v>0</v>
      </c>
      <c r="AL451" s="1155"/>
      <c r="AM451" s="1156"/>
      <c r="AN451" s="529"/>
      <c r="AO451" s="525"/>
      <c r="AP451" s="525">
        <f>'HIV-Key Info'!$I$85*(('HIV-Key Info'!$E$85*'HPM costs'!P636)+('HIV-Key Info'!$F$85*('HPM costs'!P639+'HPM costs'!P642)))</f>
        <v>0</v>
      </c>
      <c r="AQ451" s="525"/>
      <c r="AR451" s="525">
        <f>'HIV-Key Info'!$I$85*(('HIV-Key Info'!$E$85*'HPM costs'!Q636)+('HIV-Key Info'!$F$85*('HPM costs'!Q639+'HPM costs'!Q642)))</f>
        <v>0</v>
      </c>
      <c r="AS451" s="525"/>
      <c r="AT451" s="525">
        <f>'HIV-Key Info'!$I$85*(('HIV-Key Info'!$E$85*'HPM costs'!R636)+('HIV-Key Info'!$F$85*('HPM costs'!R639+'HPM costs'!R642)))</f>
        <v>0</v>
      </c>
      <c r="AU451" s="525"/>
      <c r="AV451" s="525">
        <f>'HIV-Key Info'!$I$85*(('HIV-Key Info'!$E$85*'HPM costs'!S636)+('HIV-Key Info'!$F$85*('HPM costs'!S639+'HPM costs'!S642)))</f>
        <v>0</v>
      </c>
      <c r="AW451" s="525"/>
      <c r="AX451" s="1154">
        <f t="shared" si="50"/>
        <v>0</v>
      </c>
      <c r="AY451" s="1154"/>
      <c r="AZ451" s="528"/>
      <c r="BA451" s="529"/>
      <c r="BB451" s="527"/>
      <c r="BC451" s="527">
        <v>0</v>
      </c>
      <c r="BD451" s="527">
        <v>0</v>
      </c>
      <c r="BE451" s="527">
        <v>0</v>
      </c>
      <c r="BF451" s="527">
        <v>0</v>
      </c>
      <c r="BG451" s="527">
        <v>0</v>
      </c>
      <c r="BH451" s="527">
        <v>0</v>
      </c>
      <c r="BI451" s="527">
        <v>0</v>
      </c>
      <c r="BJ451" s="527">
        <v>0</v>
      </c>
      <c r="BK451" s="1154">
        <f t="shared" si="51"/>
        <v>0</v>
      </c>
      <c r="BL451" s="1154"/>
      <c r="BM451" s="1154">
        <f t="shared" si="52"/>
        <v>0</v>
      </c>
      <c r="BN451" s="1154">
        <f t="shared" si="53"/>
        <v>0</v>
      </c>
      <c r="BO451" s="527"/>
      <c r="BP451" s="527"/>
      <c r="BQ451" s="1157" t="s">
        <v>2555</v>
      </c>
      <c r="BR451" s="1157" t="s">
        <v>690</v>
      </c>
      <c r="BS451" s="1157" t="s">
        <v>527</v>
      </c>
      <c r="BT451" s="1376" t="s">
        <v>1755</v>
      </c>
    </row>
    <row r="452" spans="1:72" s="1371" customFormat="1" ht="13">
      <c r="A452" s="1204">
        <v>1008</v>
      </c>
      <c r="B452" s="1205" t="s">
        <v>672</v>
      </c>
      <c r="C452" s="1205" t="s">
        <v>673</v>
      </c>
      <c r="D452" s="1206" t="s">
        <v>2578</v>
      </c>
      <c r="E452" s="1386" t="s">
        <v>603</v>
      </c>
      <c r="F452" s="521"/>
      <c r="G452" s="522"/>
      <c r="H452" s="522"/>
      <c r="I452" s="522"/>
      <c r="J452" s="523"/>
      <c r="K452" s="523"/>
      <c r="L452" s="523"/>
      <c r="M452" s="524"/>
      <c r="N452" s="525"/>
      <c r="O452" s="526" t="s">
        <v>1237</v>
      </c>
      <c r="P452" s="525">
        <f>'HIV-Key Info'!$G$87*('HIV-Key Info'!$E$87*('HPM costs'!F119/'HPM costs'!$E$119)+'HIV-Key Info'!$F$87*('HPM costs'!F125/'HPM costs'!$E$125+'HPM costs'!F122/'HPM costs'!$E$122))</f>
        <v>0</v>
      </c>
      <c r="Q452" s="525" t="s">
        <v>1237</v>
      </c>
      <c r="R452" s="525">
        <f>'HIV-Key Info'!$G$87*('HIV-Key Info'!$E$87*('HPM costs'!G119/'HPM costs'!$E$119)+'HIV-Key Info'!$F$87*('HPM costs'!G125/'HPM costs'!$E$125+'HPM costs'!G122/'HPM costs'!$E$122))</f>
        <v>0</v>
      </c>
      <c r="S452" s="525" t="s">
        <v>1237</v>
      </c>
      <c r="T452" s="525">
        <f>'HIV-Key Info'!$G$87*('HIV-Key Info'!$E$87*('HPM costs'!H119/'HPM costs'!$E$119)+'HIV-Key Info'!$F$87*('HPM costs'!H125/'HPM costs'!$E$125+'HPM costs'!H122/'HPM costs'!$E$122))</f>
        <v>0</v>
      </c>
      <c r="U452" s="525" t="s">
        <v>1237</v>
      </c>
      <c r="V452" s="525">
        <f>'HIV-Key Info'!$G$87*('HIV-Key Info'!$E$87*('HPM costs'!I119/'HPM costs'!$E$119)+'HIV-Key Info'!$F$87*('HPM costs'!I125/'HPM costs'!$E$125+'HPM costs'!I122/'HPM costs'!$E$122))</f>
        <v>0</v>
      </c>
      <c r="W452" s="525"/>
      <c r="X452" s="1154">
        <f t="shared" si="48"/>
        <v>0</v>
      </c>
      <c r="Y452" s="1155"/>
      <c r="Z452" s="1156"/>
      <c r="AA452" s="529"/>
      <c r="AB452" s="525"/>
      <c r="AC452" s="525">
        <f>'HIV-Key Info'!$G$87*('HIV-Key Info'!$E$87*('HPM costs'!K119/'HPM costs'!$E$119)+'HIV-Key Info'!$F$87*('HPM costs'!K125/'HPM costs'!$E$125+'HPM costs'!K122/'HPM costs'!$E$122))</f>
        <v>0</v>
      </c>
      <c r="AD452" s="525"/>
      <c r="AE452" s="525">
        <f>'HIV-Key Info'!$G$87*('HIV-Key Info'!$E$87*('HPM costs'!L119/'HPM costs'!$E$119)+'HIV-Key Info'!$F$87*('HPM costs'!L125/'HPM costs'!$E$125+'HPM costs'!L122/'HPM costs'!$E$122))</f>
        <v>0</v>
      </c>
      <c r="AF452" s="525"/>
      <c r="AG452" s="525">
        <f>'HIV-Key Info'!$G$87*('HIV-Key Info'!$E$87*('HPM costs'!M119/'HPM costs'!$E$119)+'HIV-Key Info'!$F$87*('HPM costs'!M125/'HPM costs'!$E$125+'HPM costs'!M122/'HPM costs'!$E$122))</f>
        <v>0</v>
      </c>
      <c r="AH452" s="525"/>
      <c r="AI452" s="525">
        <f>'HIV-Key Info'!$G$87*('HIV-Key Info'!$E$87*('HPM costs'!N119/'HPM costs'!$E$119)+'HIV-Key Info'!$F$87*('HPM costs'!N125/'HPM costs'!$E$125+'HPM costs'!N122/'HPM costs'!$E$122))</f>
        <v>0</v>
      </c>
      <c r="AJ452" s="525"/>
      <c r="AK452" s="1154">
        <f t="shared" si="49"/>
        <v>0</v>
      </c>
      <c r="AL452" s="1155"/>
      <c r="AM452" s="1156"/>
      <c r="AN452" s="529"/>
      <c r="AO452" s="525"/>
      <c r="AP452" s="525">
        <f>'HIV-Key Info'!$G$87*('HIV-Key Info'!$E$87*('HPM costs'!P119/'HPM costs'!$E$119)+'HIV-Key Info'!$F$87*('HPM costs'!P125/'HPM costs'!$E$125+'HPM costs'!P122/'HPM costs'!$E$122))</f>
        <v>0</v>
      </c>
      <c r="AQ452" s="525"/>
      <c r="AR452" s="525">
        <f>'HIV-Key Info'!$G$87*('HIV-Key Info'!$E$87*('HPM costs'!Q119/'HPM costs'!$E$119)+'HIV-Key Info'!$F$87*('HPM costs'!Q125/'HPM costs'!$E$125+'HPM costs'!Q122/'HPM costs'!$E$122))</f>
        <v>0</v>
      </c>
      <c r="AS452" s="525"/>
      <c r="AT452" s="525">
        <f>'HIV-Key Info'!$G$87*('HIV-Key Info'!$E$87*('HPM costs'!R119/'HPM costs'!$E$119)+'HIV-Key Info'!$F$87*('HPM costs'!R125/'HPM costs'!$E$125+'HPM costs'!R122/'HPM costs'!$E$122))</f>
        <v>0</v>
      </c>
      <c r="AU452" s="525"/>
      <c r="AV452" s="525">
        <f>'HIV-Key Info'!$G$87*('HIV-Key Info'!$E$87*('HPM costs'!S119/'HPM costs'!$E$119)+'HIV-Key Info'!$F$87*('HPM costs'!S125/'HPM costs'!$E$125+'HPM costs'!S122/'HPM costs'!$E$122))</f>
        <v>0</v>
      </c>
      <c r="AW452" s="525"/>
      <c r="AX452" s="1154">
        <f t="shared" si="50"/>
        <v>0</v>
      </c>
      <c r="AY452" s="1154"/>
      <c r="AZ452" s="528"/>
      <c r="BA452" s="529"/>
      <c r="BB452" s="527"/>
      <c r="BC452" s="527">
        <v>0</v>
      </c>
      <c r="BD452" s="527">
        <v>0</v>
      </c>
      <c r="BE452" s="527">
        <v>0</v>
      </c>
      <c r="BF452" s="527">
        <v>0</v>
      </c>
      <c r="BG452" s="527">
        <v>0</v>
      </c>
      <c r="BH452" s="527">
        <v>0</v>
      </c>
      <c r="BI452" s="527">
        <v>0</v>
      </c>
      <c r="BJ452" s="527">
        <v>0</v>
      </c>
      <c r="BK452" s="1154">
        <f t="shared" si="51"/>
        <v>0</v>
      </c>
      <c r="BL452" s="1154"/>
      <c r="BM452" s="1154">
        <f t="shared" si="52"/>
        <v>0</v>
      </c>
      <c r="BN452" s="1154">
        <f t="shared" si="53"/>
        <v>0</v>
      </c>
      <c r="BO452" s="527"/>
      <c r="BP452" s="527"/>
      <c r="BQ452" s="1157" t="s">
        <v>2556</v>
      </c>
      <c r="BR452" s="1157" t="s">
        <v>690</v>
      </c>
      <c r="BS452" s="1157" t="s">
        <v>2570</v>
      </c>
      <c r="BT452" s="1376" t="s">
        <v>1756</v>
      </c>
    </row>
    <row r="453" spans="1:72" s="1371" customFormat="1" ht="13">
      <c r="A453" s="1204">
        <v>1009</v>
      </c>
      <c r="B453" s="1205" t="s">
        <v>672</v>
      </c>
      <c r="C453" s="1205" t="s">
        <v>673</v>
      </c>
      <c r="D453" s="1206" t="s">
        <v>2522</v>
      </c>
      <c r="E453" s="1386" t="s">
        <v>528</v>
      </c>
      <c r="F453" s="521"/>
      <c r="G453" s="522"/>
      <c r="H453" s="522"/>
      <c r="I453" s="522"/>
      <c r="J453" s="523"/>
      <c r="K453" s="523"/>
      <c r="L453" s="523"/>
      <c r="M453" s="524"/>
      <c r="N453" s="525"/>
      <c r="O453" s="526" t="s">
        <v>1237</v>
      </c>
      <c r="P453" s="525">
        <f>'HIV-Key Info'!$G$87*(('HIV-Key Info'!$E$87*'HPM costs'!F33)+('HIV-Key Info'!$F$87*('HPM costs'!F36+'HPM costs'!F39)))</f>
        <v>0</v>
      </c>
      <c r="Q453" s="525" t="s">
        <v>1237</v>
      </c>
      <c r="R453" s="525">
        <f>'HIV-Key Info'!$G$87*(('HIV-Key Info'!$E$87*'HPM costs'!G33)+('HIV-Key Info'!$F$87*('HPM costs'!G36+'HPM costs'!G39)))</f>
        <v>0</v>
      </c>
      <c r="S453" s="525" t="s">
        <v>1237</v>
      </c>
      <c r="T453" s="525">
        <f>'HIV-Key Info'!$G$87*(('HIV-Key Info'!$E$87*'HPM costs'!H33)+('HIV-Key Info'!$F$87*('HPM costs'!H36+'HPM costs'!H39)))</f>
        <v>0</v>
      </c>
      <c r="U453" s="525" t="s">
        <v>1237</v>
      </c>
      <c r="V453" s="525">
        <f>'HIV-Key Info'!$G$87*(('HIV-Key Info'!$E$87*'HPM costs'!I33)+('HIV-Key Info'!$F$87*('HPM costs'!I36+'HPM costs'!I39)))</f>
        <v>0</v>
      </c>
      <c r="W453" s="525"/>
      <c r="X453" s="1154">
        <f t="shared" si="48"/>
        <v>0</v>
      </c>
      <c r="Y453" s="1155"/>
      <c r="Z453" s="1156"/>
      <c r="AA453" s="529"/>
      <c r="AB453" s="525"/>
      <c r="AC453" s="525">
        <f>'HIV-Key Info'!$G$87*(('HIV-Key Info'!$E$87*'HPM costs'!K33)+('HIV-Key Info'!$F$87*('HPM costs'!K36+'HPM costs'!K39)))</f>
        <v>0</v>
      </c>
      <c r="AD453" s="525"/>
      <c r="AE453" s="525">
        <f>'HIV-Key Info'!$G$87*(('HIV-Key Info'!$E$87*'HPM costs'!L33)+('HIV-Key Info'!$F$87*('HPM costs'!L36+'HPM costs'!L39)))</f>
        <v>0</v>
      </c>
      <c r="AF453" s="525"/>
      <c r="AG453" s="525">
        <f>'HIV-Key Info'!$G$87*(('HIV-Key Info'!$E$87*'HPM costs'!M33)+('HIV-Key Info'!$F$87*('HPM costs'!M36+'HPM costs'!M39)))</f>
        <v>0</v>
      </c>
      <c r="AH453" s="525"/>
      <c r="AI453" s="525">
        <f>'HIV-Key Info'!$G$87*(('HIV-Key Info'!$E$87*'HPM costs'!N33)+('HIV-Key Info'!$F$87*('HPM costs'!N36+'HPM costs'!N39)))</f>
        <v>0</v>
      </c>
      <c r="AJ453" s="525"/>
      <c r="AK453" s="1154">
        <f t="shared" si="49"/>
        <v>0</v>
      </c>
      <c r="AL453" s="1155"/>
      <c r="AM453" s="1156"/>
      <c r="AN453" s="529"/>
      <c r="AO453" s="525"/>
      <c r="AP453" s="525">
        <f>'HIV-Key Info'!$G$87*(('HIV-Key Info'!$E$87*'HPM costs'!P33)+('HIV-Key Info'!$F$87*('HPM costs'!P36+'HPM costs'!P39)))</f>
        <v>0</v>
      </c>
      <c r="AQ453" s="525"/>
      <c r="AR453" s="525">
        <f>'HIV-Key Info'!$G$87*(('HIV-Key Info'!$E$87*'HPM costs'!Q33)+('HIV-Key Info'!$F$87*('HPM costs'!Q36+'HPM costs'!Q39)))</f>
        <v>0</v>
      </c>
      <c r="AS453" s="525"/>
      <c r="AT453" s="525">
        <f>'HIV-Key Info'!$G$87*(('HIV-Key Info'!$E$87*'HPM costs'!R33)+('HIV-Key Info'!$F$87*('HPM costs'!R36+'HPM costs'!R39)))</f>
        <v>0</v>
      </c>
      <c r="AU453" s="525"/>
      <c r="AV453" s="525">
        <f>'HIV-Key Info'!$G$87*(('HIV-Key Info'!$E$87*'HPM costs'!S33)+('HIV-Key Info'!$F$87*('HPM costs'!S36+'HPM costs'!S39)))</f>
        <v>0</v>
      </c>
      <c r="AW453" s="525"/>
      <c r="AX453" s="1154">
        <f t="shared" si="50"/>
        <v>0</v>
      </c>
      <c r="AY453" s="1154"/>
      <c r="AZ453" s="528"/>
      <c r="BA453" s="529"/>
      <c r="BB453" s="527"/>
      <c r="BC453" s="527">
        <v>0</v>
      </c>
      <c r="BD453" s="527">
        <v>0</v>
      </c>
      <c r="BE453" s="527">
        <v>0</v>
      </c>
      <c r="BF453" s="527">
        <v>0</v>
      </c>
      <c r="BG453" s="527">
        <v>0</v>
      </c>
      <c r="BH453" s="527">
        <v>0</v>
      </c>
      <c r="BI453" s="527">
        <v>0</v>
      </c>
      <c r="BJ453" s="527">
        <v>0</v>
      </c>
      <c r="BK453" s="1154">
        <f t="shared" si="51"/>
        <v>0</v>
      </c>
      <c r="BL453" s="1154"/>
      <c r="BM453" s="1154">
        <f t="shared" si="52"/>
        <v>0</v>
      </c>
      <c r="BN453" s="1154">
        <f t="shared" si="53"/>
        <v>0</v>
      </c>
      <c r="BO453" s="527"/>
      <c r="BP453" s="527"/>
      <c r="BQ453" s="1157" t="s">
        <v>2556</v>
      </c>
      <c r="BR453" s="1157" t="s">
        <v>690</v>
      </c>
      <c r="BS453" s="1157" t="s">
        <v>527</v>
      </c>
      <c r="BT453" s="1376" t="s">
        <v>1757</v>
      </c>
    </row>
    <row r="454" spans="1:72" s="1371" customFormat="1" ht="13">
      <c r="A454" s="1204">
        <v>1010</v>
      </c>
      <c r="B454" s="1205" t="s">
        <v>672</v>
      </c>
      <c r="C454" s="1205" t="s">
        <v>673</v>
      </c>
      <c r="D454" s="1206" t="s">
        <v>2522</v>
      </c>
      <c r="E454" s="1386" t="s">
        <v>530</v>
      </c>
      <c r="F454" s="521"/>
      <c r="G454" s="522"/>
      <c r="H454" s="522"/>
      <c r="I454" s="522"/>
      <c r="J454" s="523"/>
      <c r="K454" s="523"/>
      <c r="L454" s="523"/>
      <c r="M454" s="524"/>
      <c r="N454" s="525"/>
      <c r="O454" s="526" t="s">
        <v>1237</v>
      </c>
      <c r="P454" s="525">
        <f>'HIV-Key Info'!$G$87*(('HIV-Key Info'!$E$87*'HPM costs'!F119)+('HIV-Key Info'!$F$87*('HPM costs'!F122+'HPM costs'!F125)))</f>
        <v>0</v>
      </c>
      <c r="Q454" s="525" t="s">
        <v>1237</v>
      </c>
      <c r="R454" s="525">
        <f>'HIV-Key Info'!$G$87*(('HIV-Key Info'!$E$87*'HPM costs'!G119)+('HIV-Key Info'!$F$87*('HPM costs'!G122+'HPM costs'!G125)))</f>
        <v>0</v>
      </c>
      <c r="S454" s="525" t="s">
        <v>1237</v>
      </c>
      <c r="T454" s="525">
        <f>'HIV-Key Info'!$G$87*(('HIV-Key Info'!$E$87*'HPM costs'!H119)+('HIV-Key Info'!$F$87*('HPM costs'!H122+'HPM costs'!H125)))</f>
        <v>0</v>
      </c>
      <c r="U454" s="525" t="s">
        <v>1237</v>
      </c>
      <c r="V454" s="525">
        <f>'HIV-Key Info'!$G$87*(('HIV-Key Info'!$E$87*'HPM costs'!I119)+('HIV-Key Info'!$F$87*('HPM costs'!I122+'HPM costs'!I125)))</f>
        <v>0</v>
      </c>
      <c r="W454" s="525"/>
      <c r="X454" s="1154">
        <f t="shared" si="48"/>
        <v>0</v>
      </c>
      <c r="Y454" s="1155"/>
      <c r="Z454" s="1156"/>
      <c r="AA454" s="529"/>
      <c r="AB454" s="525"/>
      <c r="AC454" s="525">
        <f>'HIV-Key Info'!$G$87*(('HIV-Key Info'!$E$87*'HPM costs'!K119)+('HIV-Key Info'!$F$87*('HPM costs'!K122+'HPM costs'!K125)))</f>
        <v>0</v>
      </c>
      <c r="AD454" s="525"/>
      <c r="AE454" s="525">
        <f>'HIV-Key Info'!$G$87*(('HIV-Key Info'!$E$87*'HPM costs'!L119)+('HIV-Key Info'!$F$87*('HPM costs'!L122+'HPM costs'!L125)))</f>
        <v>0</v>
      </c>
      <c r="AF454" s="525"/>
      <c r="AG454" s="525">
        <f>'HIV-Key Info'!$G$87*(('HIV-Key Info'!$E$87*'HPM costs'!M119)+('HIV-Key Info'!$F$87*('HPM costs'!M122+'HPM costs'!M125)))</f>
        <v>0</v>
      </c>
      <c r="AH454" s="525"/>
      <c r="AI454" s="525">
        <f>'HIV-Key Info'!$G$87*(('HIV-Key Info'!$E$87*'HPM costs'!N119)+('HIV-Key Info'!$F$87*('HPM costs'!N122+'HPM costs'!N125)))</f>
        <v>0</v>
      </c>
      <c r="AJ454" s="525"/>
      <c r="AK454" s="1154">
        <f t="shared" si="49"/>
        <v>0</v>
      </c>
      <c r="AL454" s="1155"/>
      <c r="AM454" s="1156"/>
      <c r="AN454" s="529"/>
      <c r="AO454" s="525"/>
      <c r="AP454" s="525">
        <f>'HIV-Key Info'!$G$87*(('HIV-Key Info'!$E$87*'HPM costs'!P119)+('HIV-Key Info'!$F$87*('HPM costs'!P122+'HPM costs'!P125)))</f>
        <v>0</v>
      </c>
      <c r="AQ454" s="525"/>
      <c r="AR454" s="525">
        <f>'HIV-Key Info'!$G$87*(('HIV-Key Info'!$E$87*'HPM costs'!Q119)+('HIV-Key Info'!$F$87*('HPM costs'!Q122+'HPM costs'!Q125)))</f>
        <v>0</v>
      </c>
      <c r="AS454" s="525"/>
      <c r="AT454" s="525">
        <f>'HIV-Key Info'!$G$87*(('HIV-Key Info'!$E$87*'HPM costs'!R119)+('HIV-Key Info'!$F$87*('HPM costs'!R122+'HPM costs'!R125)))</f>
        <v>0</v>
      </c>
      <c r="AU454" s="525"/>
      <c r="AV454" s="525">
        <f>'HIV-Key Info'!$G$87*(('HIV-Key Info'!$E$87*'HPM costs'!S119)+('HIV-Key Info'!$F$87*('HPM costs'!S122+'HPM costs'!S125)))</f>
        <v>0</v>
      </c>
      <c r="AW454" s="525"/>
      <c r="AX454" s="1154">
        <f t="shared" si="50"/>
        <v>0</v>
      </c>
      <c r="AY454" s="1154"/>
      <c r="AZ454" s="528"/>
      <c r="BA454" s="529"/>
      <c r="BB454" s="527"/>
      <c r="BC454" s="527">
        <v>0</v>
      </c>
      <c r="BD454" s="527">
        <v>0</v>
      </c>
      <c r="BE454" s="527">
        <v>0</v>
      </c>
      <c r="BF454" s="527">
        <v>0</v>
      </c>
      <c r="BG454" s="527">
        <v>0</v>
      </c>
      <c r="BH454" s="527">
        <v>0</v>
      </c>
      <c r="BI454" s="527">
        <v>0</v>
      </c>
      <c r="BJ454" s="527">
        <v>0</v>
      </c>
      <c r="BK454" s="1154">
        <f t="shared" si="51"/>
        <v>0</v>
      </c>
      <c r="BL454" s="1154"/>
      <c r="BM454" s="1154">
        <f t="shared" si="52"/>
        <v>0</v>
      </c>
      <c r="BN454" s="1154">
        <f t="shared" si="53"/>
        <v>0</v>
      </c>
      <c r="BO454" s="527"/>
      <c r="BP454" s="527"/>
      <c r="BQ454" s="1157" t="s">
        <v>2556</v>
      </c>
      <c r="BR454" s="1157" t="s">
        <v>690</v>
      </c>
      <c r="BS454" s="1157" t="s">
        <v>527</v>
      </c>
      <c r="BT454" s="1376" t="s">
        <v>1758</v>
      </c>
    </row>
    <row r="455" spans="1:72" s="1371" customFormat="1" ht="13">
      <c r="A455" s="1204">
        <v>1011</v>
      </c>
      <c r="B455" s="1205" t="s">
        <v>672</v>
      </c>
      <c r="C455" s="1205" t="s">
        <v>673</v>
      </c>
      <c r="D455" s="1206" t="s">
        <v>2522</v>
      </c>
      <c r="E455" s="1386" t="s">
        <v>532</v>
      </c>
      <c r="F455" s="521"/>
      <c r="G455" s="522"/>
      <c r="H455" s="522"/>
      <c r="I455" s="522"/>
      <c r="J455" s="523"/>
      <c r="K455" s="523"/>
      <c r="L455" s="523"/>
      <c r="M455" s="524"/>
      <c r="N455" s="525"/>
      <c r="O455" s="526" t="s">
        <v>1237</v>
      </c>
      <c r="P455" s="525">
        <f>'HIV-Key Info'!$G$87*(('HIV-Key Info'!$E$87*'HPM costs'!F379)+('HIV-Key Info'!$F$87*('HPM costs'!F382+'HPM costs'!F385)))</f>
        <v>0</v>
      </c>
      <c r="Q455" s="525" t="s">
        <v>1237</v>
      </c>
      <c r="R455" s="525">
        <f>'HIV-Key Info'!$G$87*(('HIV-Key Info'!$E$87*'HPM costs'!G379)+('HIV-Key Info'!$F$87*('HPM costs'!G382+'HPM costs'!G385)))</f>
        <v>0</v>
      </c>
      <c r="S455" s="525" t="s">
        <v>1237</v>
      </c>
      <c r="T455" s="525">
        <f>'HIV-Key Info'!$G$87*(('HIV-Key Info'!$E$87*'HPM costs'!H379)+('HIV-Key Info'!$F$87*('HPM costs'!H382+'HPM costs'!H385)))</f>
        <v>0</v>
      </c>
      <c r="U455" s="525" t="s">
        <v>1237</v>
      </c>
      <c r="V455" s="525">
        <f>'HIV-Key Info'!$G$87*(('HIV-Key Info'!$E$87*'HPM costs'!I379)+('HIV-Key Info'!$F$87*('HPM costs'!I382+'HPM costs'!I385)))</f>
        <v>0</v>
      </c>
      <c r="W455" s="525"/>
      <c r="X455" s="1154">
        <f t="shared" si="48"/>
        <v>0</v>
      </c>
      <c r="Y455" s="1155"/>
      <c r="Z455" s="1156"/>
      <c r="AA455" s="529"/>
      <c r="AB455" s="525"/>
      <c r="AC455" s="525">
        <f>'HIV-Key Info'!$G$87*(('HIV-Key Info'!$E$87*'HPM costs'!K379)+('HIV-Key Info'!$F$87*('HPM costs'!K382+'HPM costs'!K385)))</f>
        <v>0</v>
      </c>
      <c r="AD455" s="525"/>
      <c r="AE455" s="525">
        <f>'HIV-Key Info'!$G$87*(('HIV-Key Info'!$E$87*'HPM costs'!L379)+('HIV-Key Info'!$F$87*('HPM costs'!L382+'HPM costs'!L385)))</f>
        <v>0</v>
      </c>
      <c r="AF455" s="525"/>
      <c r="AG455" s="525">
        <f>'HIV-Key Info'!$G$87*(('HIV-Key Info'!$E$87*'HPM costs'!M379)+('HIV-Key Info'!$F$87*('HPM costs'!M382+'HPM costs'!M385)))</f>
        <v>0</v>
      </c>
      <c r="AH455" s="525"/>
      <c r="AI455" s="525">
        <f>'HIV-Key Info'!$G$87*(('HIV-Key Info'!$E$87*'HPM costs'!N379)+('HIV-Key Info'!$F$87*('HPM costs'!N382+'HPM costs'!N385)))</f>
        <v>0</v>
      </c>
      <c r="AJ455" s="525"/>
      <c r="AK455" s="1154">
        <f t="shared" si="49"/>
        <v>0</v>
      </c>
      <c r="AL455" s="1155"/>
      <c r="AM455" s="1156"/>
      <c r="AN455" s="529"/>
      <c r="AO455" s="525"/>
      <c r="AP455" s="525">
        <f>'HIV-Key Info'!$G$87*(('HIV-Key Info'!$E$87*'HPM costs'!P379)+('HIV-Key Info'!$F$87*('HPM costs'!P382+'HPM costs'!P385)))</f>
        <v>0</v>
      </c>
      <c r="AQ455" s="525"/>
      <c r="AR455" s="525">
        <f>'HIV-Key Info'!$G$87*(('HIV-Key Info'!$E$87*'HPM costs'!Q379)+('HIV-Key Info'!$F$87*('HPM costs'!Q382+'HPM costs'!Q385)))</f>
        <v>0</v>
      </c>
      <c r="AS455" s="525"/>
      <c r="AT455" s="525">
        <f>'HIV-Key Info'!$G$87*(('HIV-Key Info'!$E$87*'HPM costs'!R379)+('HIV-Key Info'!$F$87*('HPM costs'!R382+'HPM costs'!R385)))</f>
        <v>0</v>
      </c>
      <c r="AU455" s="525"/>
      <c r="AV455" s="525">
        <f>'HIV-Key Info'!$G$87*(('HIV-Key Info'!$E$87*'HPM costs'!S379)+('HIV-Key Info'!$F$87*('HPM costs'!S382+'HPM costs'!S385)))</f>
        <v>0</v>
      </c>
      <c r="AW455" s="525"/>
      <c r="AX455" s="1154">
        <f t="shared" si="50"/>
        <v>0</v>
      </c>
      <c r="AY455" s="1154"/>
      <c r="AZ455" s="528"/>
      <c r="BA455" s="529"/>
      <c r="BB455" s="527"/>
      <c r="BC455" s="527">
        <v>0</v>
      </c>
      <c r="BD455" s="527">
        <v>0</v>
      </c>
      <c r="BE455" s="527">
        <v>0</v>
      </c>
      <c r="BF455" s="527">
        <v>0</v>
      </c>
      <c r="BG455" s="527">
        <v>0</v>
      </c>
      <c r="BH455" s="527">
        <v>0</v>
      </c>
      <c r="BI455" s="527">
        <v>0</v>
      </c>
      <c r="BJ455" s="527">
        <v>0</v>
      </c>
      <c r="BK455" s="1154">
        <f t="shared" si="51"/>
        <v>0</v>
      </c>
      <c r="BL455" s="1154"/>
      <c r="BM455" s="1154">
        <f t="shared" si="52"/>
        <v>0</v>
      </c>
      <c r="BN455" s="1154">
        <f t="shared" si="53"/>
        <v>0</v>
      </c>
      <c r="BO455" s="527"/>
      <c r="BP455" s="527"/>
      <c r="BQ455" s="1157" t="s">
        <v>2556</v>
      </c>
      <c r="BR455" s="1157" t="s">
        <v>690</v>
      </c>
      <c r="BS455" s="1157" t="s">
        <v>527</v>
      </c>
      <c r="BT455" s="1376" t="s">
        <v>1759</v>
      </c>
    </row>
    <row r="456" spans="1:72" s="1371" customFormat="1" ht="13">
      <c r="A456" s="1204">
        <v>1012</v>
      </c>
      <c r="B456" s="1205" t="s">
        <v>672</v>
      </c>
      <c r="C456" s="1205" t="s">
        <v>673</v>
      </c>
      <c r="D456" s="1206" t="s">
        <v>2522</v>
      </c>
      <c r="E456" s="1386" t="s">
        <v>534</v>
      </c>
      <c r="F456" s="521"/>
      <c r="G456" s="522"/>
      <c r="H456" s="522"/>
      <c r="I456" s="522"/>
      <c r="J456" s="523"/>
      <c r="K456" s="523"/>
      <c r="L456" s="523"/>
      <c r="M456" s="524"/>
      <c r="N456" s="525"/>
      <c r="O456" s="526" t="s">
        <v>1237</v>
      </c>
      <c r="P456" s="525">
        <f>'HIV-Key Info'!$G$87*(('HIV-Key Info'!$E$87*'HPM costs'!F465)+('HIV-Key Info'!$F$87*('HPM costs'!F468+'HPM costs'!F471)))</f>
        <v>0</v>
      </c>
      <c r="Q456" s="525" t="s">
        <v>1237</v>
      </c>
      <c r="R456" s="525">
        <f>'HIV-Key Info'!$G$87*(('HIV-Key Info'!$E$87*'HPM costs'!G465)+('HIV-Key Info'!$F$87*('HPM costs'!G468+'HPM costs'!G471)))</f>
        <v>0</v>
      </c>
      <c r="S456" s="525" t="s">
        <v>1237</v>
      </c>
      <c r="T456" s="525">
        <f>'HIV-Key Info'!$G$87*(('HIV-Key Info'!$E$87*'HPM costs'!H465)+('HIV-Key Info'!$F$87*('HPM costs'!H468+'HPM costs'!H471)))</f>
        <v>0</v>
      </c>
      <c r="U456" s="525" t="s">
        <v>1237</v>
      </c>
      <c r="V456" s="525">
        <f>'HIV-Key Info'!$G$87*(('HIV-Key Info'!$E$87*'HPM costs'!I465)+('HIV-Key Info'!$F$87*('HPM costs'!I468+'HPM costs'!I471)))</f>
        <v>0</v>
      </c>
      <c r="W456" s="525"/>
      <c r="X456" s="1154">
        <f t="shared" si="48"/>
        <v>0</v>
      </c>
      <c r="Y456" s="1155"/>
      <c r="Z456" s="1156"/>
      <c r="AA456" s="529"/>
      <c r="AB456" s="525"/>
      <c r="AC456" s="525">
        <f>'HIV-Key Info'!$G$87*(('HIV-Key Info'!$E$87*'HPM costs'!K465)+('HIV-Key Info'!$F$87*('HPM costs'!K468+'HPM costs'!K471)))</f>
        <v>0</v>
      </c>
      <c r="AD456" s="525"/>
      <c r="AE456" s="525">
        <f>'HIV-Key Info'!$G$87*(('HIV-Key Info'!$E$87*'HPM costs'!L465)+('HIV-Key Info'!$F$87*('HPM costs'!L468+'HPM costs'!L471)))</f>
        <v>0</v>
      </c>
      <c r="AF456" s="525"/>
      <c r="AG456" s="525">
        <f>'HIV-Key Info'!$G$87*(('HIV-Key Info'!$E$87*'HPM costs'!M465)+('HIV-Key Info'!$F$87*('HPM costs'!M468+'HPM costs'!M471)))</f>
        <v>0</v>
      </c>
      <c r="AH456" s="525"/>
      <c r="AI456" s="525">
        <f>'HIV-Key Info'!$G$87*(('HIV-Key Info'!$E$87*'HPM costs'!N465)+('HIV-Key Info'!$F$87*('HPM costs'!N468+'HPM costs'!N471)))</f>
        <v>0</v>
      </c>
      <c r="AJ456" s="525"/>
      <c r="AK456" s="1154">
        <f t="shared" si="49"/>
        <v>0</v>
      </c>
      <c r="AL456" s="1155"/>
      <c r="AM456" s="1156"/>
      <c r="AN456" s="529"/>
      <c r="AO456" s="525"/>
      <c r="AP456" s="525">
        <f>'HIV-Key Info'!$G$87*(('HIV-Key Info'!$E$87*'HPM costs'!P465)+('HIV-Key Info'!$F$87*('HPM costs'!P468+'HPM costs'!P471)))</f>
        <v>0</v>
      </c>
      <c r="AQ456" s="525"/>
      <c r="AR456" s="525">
        <f>'HIV-Key Info'!$G$87*(('HIV-Key Info'!$E$87*'HPM costs'!Q465)+('HIV-Key Info'!$F$87*('HPM costs'!Q468+'HPM costs'!Q471)))</f>
        <v>0</v>
      </c>
      <c r="AS456" s="525"/>
      <c r="AT456" s="525">
        <f>'HIV-Key Info'!$G$87*(('HIV-Key Info'!$E$87*'HPM costs'!R465)+('HIV-Key Info'!$F$87*('HPM costs'!R468+'HPM costs'!R471)))</f>
        <v>0</v>
      </c>
      <c r="AU456" s="525"/>
      <c r="AV456" s="525">
        <f>'HIV-Key Info'!$G$87*(('HIV-Key Info'!$E$87*'HPM costs'!S465)+('HIV-Key Info'!$F$87*('HPM costs'!S468+'HPM costs'!S471)))</f>
        <v>0</v>
      </c>
      <c r="AW456" s="525"/>
      <c r="AX456" s="1154">
        <f t="shared" si="50"/>
        <v>0</v>
      </c>
      <c r="AY456" s="1154"/>
      <c r="AZ456" s="528"/>
      <c r="BA456" s="529"/>
      <c r="BB456" s="527"/>
      <c r="BC456" s="527">
        <v>0</v>
      </c>
      <c r="BD456" s="527">
        <v>0</v>
      </c>
      <c r="BE456" s="527">
        <v>0</v>
      </c>
      <c r="BF456" s="527">
        <v>0</v>
      </c>
      <c r="BG456" s="527">
        <v>0</v>
      </c>
      <c r="BH456" s="527">
        <v>0</v>
      </c>
      <c r="BI456" s="527">
        <v>0</v>
      </c>
      <c r="BJ456" s="527">
        <v>0</v>
      </c>
      <c r="BK456" s="1154">
        <f t="shared" si="51"/>
        <v>0</v>
      </c>
      <c r="BL456" s="1154"/>
      <c r="BM456" s="1154">
        <f t="shared" si="52"/>
        <v>0</v>
      </c>
      <c r="BN456" s="1154">
        <f t="shared" si="53"/>
        <v>0</v>
      </c>
      <c r="BO456" s="527"/>
      <c r="BP456" s="527"/>
      <c r="BQ456" s="1157" t="s">
        <v>2556</v>
      </c>
      <c r="BR456" s="1157" t="s">
        <v>690</v>
      </c>
      <c r="BS456" s="1157" t="s">
        <v>527</v>
      </c>
      <c r="BT456" s="1376" t="s">
        <v>1760</v>
      </c>
    </row>
    <row r="457" spans="1:72" s="1371" customFormat="1" ht="13">
      <c r="A457" s="1204">
        <v>1013</v>
      </c>
      <c r="B457" s="1205" t="s">
        <v>672</v>
      </c>
      <c r="C457" s="1205" t="s">
        <v>673</v>
      </c>
      <c r="D457" s="1206" t="s">
        <v>2522</v>
      </c>
      <c r="E457" s="1386" t="s">
        <v>536</v>
      </c>
      <c r="F457" s="521"/>
      <c r="G457" s="522"/>
      <c r="H457" s="522"/>
      <c r="I457" s="522"/>
      <c r="J457" s="523"/>
      <c r="K457" s="523"/>
      <c r="L457" s="523"/>
      <c r="M457" s="524"/>
      <c r="N457" s="525"/>
      <c r="O457" s="526" t="s">
        <v>1237</v>
      </c>
      <c r="P457" s="525">
        <f>'HIV-Key Info'!$G$87*(('HIV-Key Info'!$E$87*('HPM costs'!F205+'HPM costs'!F551))+('HIV-Key Info'!$F$87*('HPM costs'!F208+'HPM costs'!F211+'HPM costs'!F554+'HPM costs'!F557)))</f>
        <v>0</v>
      </c>
      <c r="Q457" s="525" t="s">
        <v>1237</v>
      </c>
      <c r="R457" s="525">
        <f>'HIV-Key Info'!$G$87*(('HIV-Key Info'!$E$87*('HPM costs'!G205+'HPM costs'!G551))+('HIV-Key Info'!$F$87*('HPM costs'!G208+'HPM costs'!G211+'HPM costs'!G554+'HPM costs'!G557)))</f>
        <v>0</v>
      </c>
      <c r="S457" s="525" t="s">
        <v>1237</v>
      </c>
      <c r="T457" s="525">
        <f>'HIV-Key Info'!$G$87*(('HIV-Key Info'!$E$87*('HPM costs'!H205+'HPM costs'!H551))+('HIV-Key Info'!$F$87*('HPM costs'!H208+'HPM costs'!H211+'HPM costs'!H554+'HPM costs'!H557)))</f>
        <v>0</v>
      </c>
      <c r="U457" s="525" t="s">
        <v>1237</v>
      </c>
      <c r="V457" s="525">
        <f>'HIV-Key Info'!$G$87*(('HIV-Key Info'!$E$87*('HPM costs'!I205+'HPM costs'!I551))+('HIV-Key Info'!$F$87*('HPM costs'!I208+'HPM costs'!I211+'HPM costs'!I554+'HPM costs'!I557)))</f>
        <v>0</v>
      </c>
      <c r="W457" s="525"/>
      <c r="X457" s="1154">
        <f t="shared" si="48"/>
        <v>0</v>
      </c>
      <c r="Y457" s="1155"/>
      <c r="Z457" s="1156"/>
      <c r="AA457" s="529"/>
      <c r="AB457" s="525"/>
      <c r="AC457" s="525">
        <f>'HIV-Key Info'!$G$87*(('HIV-Key Info'!$E$87*('HPM costs'!K205+'HPM costs'!K551))+('HIV-Key Info'!$F$87*('HPM costs'!K208+'HPM costs'!K211+'HPM costs'!K554+'HPM costs'!K557)))</f>
        <v>0</v>
      </c>
      <c r="AD457" s="525"/>
      <c r="AE457" s="525">
        <f>'HIV-Key Info'!$G$87*(('HIV-Key Info'!$E$87*('HPM costs'!L205+'HPM costs'!L551))+('HIV-Key Info'!$F$87*('HPM costs'!L208+'HPM costs'!L211+'HPM costs'!L554+'HPM costs'!L557)))</f>
        <v>0</v>
      </c>
      <c r="AF457" s="525"/>
      <c r="AG457" s="525">
        <f>'HIV-Key Info'!$G$87*(('HIV-Key Info'!$E$87*('HPM costs'!M205+'HPM costs'!M551))+('HIV-Key Info'!$F$87*('HPM costs'!M208+'HPM costs'!M211+'HPM costs'!M554+'HPM costs'!M557)))</f>
        <v>0</v>
      </c>
      <c r="AH457" s="525"/>
      <c r="AI457" s="525">
        <f>'HIV-Key Info'!$G$87*(('HIV-Key Info'!$E$87*('HPM costs'!N205+'HPM costs'!N551))+('HIV-Key Info'!$F$87*('HPM costs'!N208+'HPM costs'!N211+'HPM costs'!N554+'HPM costs'!N557)))</f>
        <v>0</v>
      </c>
      <c r="AJ457" s="525"/>
      <c r="AK457" s="1154">
        <f t="shared" si="49"/>
        <v>0</v>
      </c>
      <c r="AL457" s="1155"/>
      <c r="AM457" s="1156"/>
      <c r="AN457" s="529"/>
      <c r="AO457" s="525"/>
      <c r="AP457" s="525">
        <f>'HIV-Key Info'!$G$87*(('HIV-Key Info'!$E$87*('HPM costs'!P205+'HPM costs'!P551))+('HIV-Key Info'!$F$87*('HPM costs'!P208+'HPM costs'!P211+'HPM costs'!P554+'HPM costs'!P557)))</f>
        <v>0</v>
      </c>
      <c r="AQ457" s="525"/>
      <c r="AR457" s="525">
        <f>'HIV-Key Info'!$G$87*(('HIV-Key Info'!$E$87*('HPM costs'!Q205+'HPM costs'!Q551))+('HIV-Key Info'!$F$87*('HPM costs'!Q208+'HPM costs'!Q211+'HPM costs'!Q554+'HPM costs'!Q557)))</f>
        <v>0</v>
      </c>
      <c r="AS457" s="525"/>
      <c r="AT457" s="525">
        <f>'HIV-Key Info'!$G$87*(('HIV-Key Info'!$E$87*('HPM costs'!R205+'HPM costs'!R551))+('HIV-Key Info'!$F$87*('HPM costs'!R208+'HPM costs'!R211+'HPM costs'!R554+'HPM costs'!R557)))</f>
        <v>0</v>
      </c>
      <c r="AU457" s="525"/>
      <c r="AV457" s="525">
        <f>'HIV-Key Info'!$G$87*(('HIV-Key Info'!$E$87*('HPM costs'!S205+'HPM costs'!S551))+('HIV-Key Info'!$F$87*('HPM costs'!S208+'HPM costs'!S211+'HPM costs'!S554+'HPM costs'!S557)))</f>
        <v>0</v>
      </c>
      <c r="AW457" s="525"/>
      <c r="AX457" s="1154">
        <f t="shared" si="50"/>
        <v>0</v>
      </c>
      <c r="AY457" s="1154"/>
      <c r="AZ457" s="528"/>
      <c r="BA457" s="529"/>
      <c r="BB457" s="527"/>
      <c r="BC457" s="527">
        <v>0</v>
      </c>
      <c r="BD457" s="527">
        <v>0</v>
      </c>
      <c r="BE457" s="527">
        <v>0</v>
      </c>
      <c r="BF457" s="527">
        <v>0</v>
      </c>
      <c r="BG457" s="527">
        <v>0</v>
      </c>
      <c r="BH457" s="527">
        <v>0</v>
      </c>
      <c r="BI457" s="527">
        <v>0</v>
      </c>
      <c r="BJ457" s="527">
        <v>0</v>
      </c>
      <c r="BK457" s="1154">
        <f t="shared" si="51"/>
        <v>0</v>
      </c>
      <c r="BL457" s="1154"/>
      <c r="BM457" s="1154">
        <f t="shared" si="52"/>
        <v>0</v>
      </c>
      <c r="BN457" s="1154">
        <f t="shared" si="53"/>
        <v>0</v>
      </c>
      <c r="BO457" s="527"/>
      <c r="BP457" s="527"/>
      <c r="BQ457" s="1157" t="s">
        <v>2556</v>
      </c>
      <c r="BR457" s="1157" t="s">
        <v>690</v>
      </c>
      <c r="BS457" s="1157" t="s">
        <v>527</v>
      </c>
      <c r="BT457" s="1376" t="s">
        <v>1761</v>
      </c>
    </row>
    <row r="458" spans="1:72" s="1371" customFormat="1" ht="13">
      <c r="A458" s="1204">
        <v>1014</v>
      </c>
      <c r="B458" s="1205" t="s">
        <v>672</v>
      </c>
      <c r="C458" s="1205" t="s">
        <v>673</v>
      </c>
      <c r="D458" s="1206" t="s">
        <v>2522</v>
      </c>
      <c r="E458" s="1386" t="s">
        <v>538</v>
      </c>
      <c r="F458" s="521"/>
      <c r="G458" s="522"/>
      <c r="H458" s="522"/>
      <c r="I458" s="522"/>
      <c r="J458" s="523"/>
      <c r="K458" s="523"/>
      <c r="L458" s="523"/>
      <c r="M458" s="524"/>
      <c r="N458" s="525"/>
      <c r="O458" s="526" t="s">
        <v>1237</v>
      </c>
      <c r="P458" s="525">
        <f>'HIV-Key Info'!$G$87*(('HIV-Key Info'!$E$87*'HPM costs'!F291)+('HIV-Key Info'!$F$87*('HPM costs'!F294+'HPM costs'!F297)))</f>
        <v>0</v>
      </c>
      <c r="Q458" s="525" t="s">
        <v>1237</v>
      </c>
      <c r="R458" s="525">
        <f>'HIV-Key Info'!$G$87*(('HIV-Key Info'!$E$87*'HPM costs'!G291)+('HIV-Key Info'!$F$87*('HPM costs'!G294+'HPM costs'!G297)))</f>
        <v>0</v>
      </c>
      <c r="S458" s="525" t="s">
        <v>1237</v>
      </c>
      <c r="T458" s="525">
        <f>'HIV-Key Info'!$G$87*(('HIV-Key Info'!$E$87*'HPM costs'!H291)+('HIV-Key Info'!$F$87*('HPM costs'!H294+'HPM costs'!H297)))</f>
        <v>0</v>
      </c>
      <c r="U458" s="525" t="s">
        <v>1237</v>
      </c>
      <c r="V458" s="525">
        <f>'HIV-Key Info'!$G$87*(('HIV-Key Info'!$E$87*'HPM costs'!I291)+('HIV-Key Info'!$F$87*('HPM costs'!I294+'HPM costs'!I297)))</f>
        <v>0</v>
      </c>
      <c r="W458" s="525"/>
      <c r="X458" s="1154">
        <f t="shared" si="48"/>
        <v>0</v>
      </c>
      <c r="Y458" s="1155"/>
      <c r="Z458" s="1156"/>
      <c r="AA458" s="529"/>
      <c r="AB458" s="525"/>
      <c r="AC458" s="525">
        <f>'HIV-Key Info'!$G$87*(('HIV-Key Info'!$E$87*'HPM costs'!K291)+('HIV-Key Info'!$F$87*('HPM costs'!K294+'HPM costs'!K297)))</f>
        <v>0</v>
      </c>
      <c r="AD458" s="525"/>
      <c r="AE458" s="525">
        <f>'HIV-Key Info'!$G$87*(('HIV-Key Info'!$E$87*'HPM costs'!L291)+('HIV-Key Info'!$F$87*('HPM costs'!L294+'HPM costs'!L297)))</f>
        <v>0</v>
      </c>
      <c r="AF458" s="525"/>
      <c r="AG458" s="525">
        <f>'HIV-Key Info'!$G$87*(('HIV-Key Info'!$E$87*'HPM costs'!M291)+('HIV-Key Info'!$F$87*('HPM costs'!M294+'HPM costs'!M297)))</f>
        <v>0</v>
      </c>
      <c r="AH458" s="525"/>
      <c r="AI458" s="525">
        <f>'HIV-Key Info'!$G$87*(('HIV-Key Info'!$E$87*'HPM costs'!N291)+('HIV-Key Info'!$F$87*('HPM costs'!N294+'HPM costs'!N297)))</f>
        <v>0</v>
      </c>
      <c r="AJ458" s="525"/>
      <c r="AK458" s="1154">
        <f t="shared" si="49"/>
        <v>0</v>
      </c>
      <c r="AL458" s="1155"/>
      <c r="AM458" s="1156"/>
      <c r="AN458" s="529"/>
      <c r="AO458" s="525"/>
      <c r="AP458" s="525">
        <f>'HIV-Key Info'!$G$87*(('HIV-Key Info'!$E$87*'HPM costs'!P291)+('HIV-Key Info'!$F$87*('HPM costs'!P294+'HPM costs'!P297)))</f>
        <v>0</v>
      </c>
      <c r="AQ458" s="525"/>
      <c r="AR458" s="525">
        <f>'HIV-Key Info'!$G$87*(('HIV-Key Info'!$E$87*'HPM costs'!Q291)+('HIV-Key Info'!$F$87*('HPM costs'!Q294+'HPM costs'!Q297)))</f>
        <v>0</v>
      </c>
      <c r="AS458" s="525"/>
      <c r="AT458" s="525">
        <f>'HIV-Key Info'!$G$87*(('HIV-Key Info'!$E$87*'HPM costs'!R291)+('HIV-Key Info'!$F$87*('HPM costs'!R294+'HPM costs'!R297)))</f>
        <v>0</v>
      </c>
      <c r="AU458" s="525"/>
      <c r="AV458" s="525">
        <f>'HIV-Key Info'!$G$87*(('HIV-Key Info'!$E$87*'HPM costs'!S291)+('HIV-Key Info'!$F$87*('HPM costs'!S294+'HPM costs'!S297)))</f>
        <v>0</v>
      </c>
      <c r="AW458" s="525"/>
      <c r="AX458" s="1154">
        <f t="shared" si="50"/>
        <v>0</v>
      </c>
      <c r="AY458" s="1154"/>
      <c r="AZ458" s="528"/>
      <c r="BA458" s="529"/>
      <c r="BB458" s="527"/>
      <c r="BC458" s="527">
        <v>0</v>
      </c>
      <c r="BD458" s="527">
        <v>0</v>
      </c>
      <c r="BE458" s="527">
        <v>0</v>
      </c>
      <c r="BF458" s="527">
        <v>0</v>
      </c>
      <c r="BG458" s="527">
        <v>0</v>
      </c>
      <c r="BH458" s="527">
        <v>0</v>
      </c>
      <c r="BI458" s="527">
        <v>0</v>
      </c>
      <c r="BJ458" s="527">
        <v>0</v>
      </c>
      <c r="BK458" s="1154">
        <f t="shared" si="51"/>
        <v>0</v>
      </c>
      <c r="BL458" s="1154"/>
      <c r="BM458" s="1154">
        <f t="shared" si="52"/>
        <v>0</v>
      </c>
      <c r="BN458" s="1154">
        <f t="shared" si="53"/>
        <v>0</v>
      </c>
      <c r="BO458" s="527"/>
      <c r="BP458" s="527"/>
      <c r="BQ458" s="1157" t="s">
        <v>2556</v>
      </c>
      <c r="BR458" s="1157" t="s">
        <v>690</v>
      </c>
      <c r="BS458" s="1157" t="s">
        <v>527</v>
      </c>
      <c r="BT458" s="1376" t="s">
        <v>1762</v>
      </c>
    </row>
    <row r="459" spans="1:72" s="1371" customFormat="1" ht="13">
      <c r="A459" s="1204">
        <v>1015</v>
      </c>
      <c r="B459" s="1205" t="s">
        <v>672</v>
      </c>
      <c r="C459" s="1205" t="s">
        <v>673</v>
      </c>
      <c r="D459" s="1206" t="s">
        <v>2522</v>
      </c>
      <c r="E459" s="1386" t="s">
        <v>540</v>
      </c>
      <c r="F459" s="521"/>
      <c r="G459" s="522"/>
      <c r="H459" s="522"/>
      <c r="I459" s="522"/>
      <c r="J459" s="523"/>
      <c r="K459" s="523"/>
      <c r="L459" s="523"/>
      <c r="M459" s="524"/>
      <c r="N459" s="525"/>
      <c r="O459" s="526" t="s">
        <v>1237</v>
      </c>
      <c r="P459" s="525">
        <f>'HIV-Key Info'!$G$87*(('HIV-Key Info'!$E$87*'HPM costs'!F636)+('HIV-Key Info'!$F$87*('HPM costs'!F639+'HPM costs'!F642)))</f>
        <v>0</v>
      </c>
      <c r="Q459" s="525" t="s">
        <v>1237</v>
      </c>
      <c r="R459" s="525">
        <f>'HIV-Key Info'!$G$87*(('HIV-Key Info'!$E$87*'HPM costs'!G636)+('HIV-Key Info'!$F$87*('HPM costs'!G639+'HPM costs'!G642)))</f>
        <v>0</v>
      </c>
      <c r="S459" s="525" t="s">
        <v>1237</v>
      </c>
      <c r="T459" s="525">
        <f>'HIV-Key Info'!$G$87*(('HIV-Key Info'!$E$87*'HPM costs'!H636)+('HIV-Key Info'!$F$87*('HPM costs'!H639+'HPM costs'!H642)))</f>
        <v>0</v>
      </c>
      <c r="U459" s="525" t="s">
        <v>1237</v>
      </c>
      <c r="V459" s="525">
        <f>'HIV-Key Info'!$G$87*(('HIV-Key Info'!$E$87*'HPM costs'!I636)+('HIV-Key Info'!$F$87*('HPM costs'!I639+'HPM costs'!I642)))</f>
        <v>0</v>
      </c>
      <c r="W459" s="525"/>
      <c r="X459" s="1154">
        <f t="shared" si="48"/>
        <v>0</v>
      </c>
      <c r="Y459" s="1155"/>
      <c r="Z459" s="1156"/>
      <c r="AA459" s="529"/>
      <c r="AB459" s="525"/>
      <c r="AC459" s="525">
        <f>'HIV-Key Info'!$G$87*(('HIV-Key Info'!$E$87*'HPM costs'!K636)+('HIV-Key Info'!$F$87*('HPM costs'!K639+'HPM costs'!K642)))</f>
        <v>0</v>
      </c>
      <c r="AD459" s="525"/>
      <c r="AE459" s="525">
        <f>'HIV-Key Info'!$G$87*(('HIV-Key Info'!$E$87*'HPM costs'!L636)+('HIV-Key Info'!$F$87*('HPM costs'!L639+'HPM costs'!L642)))</f>
        <v>0</v>
      </c>
      <c r="AF459" s="525"/>
      <c r="AG459" s="525">
        <f>'HIV-Key Info'!$G$87*(('HIV-Key Info'!$E$87*'HPM costs'!M636)+('HIV-Key Info'!$F$87*('HPM costs'!M639+'HPM costs'!M642)))</f>
        <v>0</v>
      </c>
      <c r="AH459" s="525"/>
      <c r="AI459" s="525">
        <f>'HIV-Key Info'!$G$87*(('HIV-Key Info'!$E$87*'HPM costs'!N636)+('HIV-Key Info'!$F$87*('HPM costs'!N639+'HPM costs'!N642)))</f>
        <v>0</v>
      </c>
      <c r="AJ459" s="525"/>
      <c r="AK459" s="1154">
        <f t="shared" si="49"/>
        <v>0</v>
      </c>
      <c r="AL459" s="1155"/>
      <c r="AM459" s="1156"/>
      <c r="AN459" s="529"/>
      <c r="AO459" s="525"/>
      <c r="AP459" s="525">
        <f>'HIV-Key Info'!$G$87*(('HIV-Key Info'!$E$87*'HPM costs'!P636)+('HIV-Key Info'!$F$87*('HPM costs'!P639+'HPM costs'!P642)))</f>
        <v>0</v>
      </c>
      <c r="AQ459" s="525"/>
      <c r="AR459" s="525">
        <f>'HIV-Key Info'!$G$87*(('HIV-Key Info'!$E$87*'HPM costs'!Q636)+('HIV-Key Info'!$F$87*('HPM costs'!Q639+'HPM costs'!Q642)))</f>
        <v>0</v>
      </c>
      <c r="AS459" s="525"/>
      <c r="AT459" s="525">
        <f>'HIV-Key Info'!$G$87*(('HIV-Key Info'!$E$87*'HPM costs'!R636)+('HIV-Key Info'!$F$87*('HPM costs'!R639+'HPM costs'!R642)))</f>
        <v>0</v>
      </c>
      <c r="AU459" s="525"/>
      <c r="AV459" s="525">
        <f>'HIV-Key Info'!$G$87*(('HIV-Key Info'!$E$87*'HPM costs'!S636)+('HIV-Key Info'!$F$87*('HPM costs'!S639+'HPM costs'!S642)))</f>
        <v>0</v>
      </c>
      <c r="AW459" s="525"/>
      <c r="AX459" s="1154">
        <f t="shared" si="50"/>
        <v>0</v>
      </c>
      <c r="AY459" s="1154"/>
      <c r="AZ459" s="528"/>
      <c r="BA459" s="529"/>
      <c r="BB459" s="527"/>
      <c r="BC459" s="527">
        <v>0</v>
      </c>
      <c r="BD459" s="527">
        <v>0</v>
      </c>
      <c r="BE459" s="527">
        <v>0</v>
      </c>
      <c r="BF459" s="527">
        <v>0</v>
      </c>
      <c r="BG459" s="527">
        <v>0</v>
      </c>
      <c r="BH459" s="527">
        <v>0</v>
      </c>
      <c r="BI459" s="527">
        <v>0</v>
      </c>
      <c r="BJ459" s="527">
        <v>0</v>
      </c>
      <c r="BK459" s="1154">
        <f t="shared" si="51"/>
        <v>0</v>
      </c>
      <c r="BL459" s="1154"/>
      <c r="BM459" s="1154">
        <f t="shared" si="52"/>
        <v>0</v>
      </c>
      <c r="BN459" s="1154">
        <f t="shared" si="53"/>
        <v>0</v>
      </c>
      <c r="BO459" s="527"/>
      <c r="BP459" s="527"/>
      <c r="BQ459" s="1157" t="s">
        <v>2556</v>
      </c>
      <c r="BR459" s="1157" t="s">
        <v>690</v>
      </c>
      <c r="BS459" s="1157" t="s">
        <v>527</v>
      </c>
      <c r="BT459" s="1376" t="s">
        <v>1763</v>
      </c>
    </row>
    <row r="460" spans="1:72" s="1371" customFormat="1" ht="13">
      <c r="A460" s="1204">
        <v>1016</v>
      </c>
      <c r="B460" s="1205" t="s">
        <v>672</v>
      </c>
      <c r="C460" s="1205" t="s">
        <v>674</v>
      </c>
      <c r="D460" s="1206" t="s">
        <v>2578</v>
      </c>
      <c r="E460" s="1386" t="s">
        <v>603</v>
      </c>
      <c r="F460" s="521"/>
      <c r="G460" s="522"/>
      <c r="H460" s="522"/>
      <c r="I460" s="522"/>
      <c r="J460" s="523"/>
      <c r="K460" s="523"/>
      <c r="L460" s="523"/>
      <c r="M460" s="524"/>
      <c r="N460" s="525"/>
      <c r="O460" s="526" t="s">
        <v>1237</v>
      </c>
      <c r="P460" s="525">
        <f>'HIV-Key Info'!$H$87*('HIV-Key Info'!$E$87*('HPM costs'!F119/'HPM costs'!$E$119)+'HIV-Key Info'!$F$87*('HPM costs'!F125/'HPM costs'!$E$125+'HPM costs'!F122/'HPM costs'!$E$122))</f>
        <v>0</v>
      </c>
      <c r="Q460" s="525" t="s">
        <v>1237</v>
      </c>
      <c r="R460" s="525">
        <f>'HIV-Key Info'!$H$87*('HIV-Key Info'!$E$87*('HPM costs'!G119/'HPM costs'!$E$119)+'HIV-Key Info'!$F$87*('HPM costs'!G125/'HPM costs'!$E$125+'HPM costs'!G122/'HPM costs'!$E$122))</f>
        <v>0</v>
      </c>
      <c r="S460" s="525" t="s">
        <v>1237</v>
      </c>
      <c r="T460" s="525">
        <f>'HIV-Key Info'!$H$87*('HIV-Key Info'!$E$87*('HPM costs'!H119/'HPM costs'!$E$119)+'HIV-Key Info'!$F$87*('HPM costs'!H125/'HPM costs'!$E$125+'HPM costs'!H122/'HPM costs'!$E$122))</f>
        <v>0</v>
      </c>
      <c r="U460" s="525" t="s">
        <v>1237</v>
      </c>
      <c r="V460" s="525">
        <f>'HIV-Key Info'!$H$87*('HIV-Key Info'!$E$87*('HPM costs'!I119/'HPM costs'!$E$119)+'HIV-Key Info'!$F$87*('HPM costs'!I125/'HPM costs'!$E$125+'HPM costs'!I122/'HPM costs'!$E$122))</f>
        <v>0</v>
      </c>
      <c r="W460" s="525"/>
      <c r="X460" s="1154">
        <f t="shared" si="48"/>
        <v>0</v>
      </c>
      <c r="Y460" s="1155"/>
      <c r="Z460" s="1156"/>
      <c r="AA460" s="529"/>
      <c r="AB460" s="525"/>
      <c r="AC460" s="525">
        <f>'HIV-Key Info'!$H$87*('HIV-Key Info'!$E$87*('HPM costs'!K119/'HPM costs'!$E$119)+'HIV-Key Info'!$F$87*('HPM costs'!K125/'HPM costs'!$E$125+'HPM costs'!K122/'HPM costs'!$E$122))</f>
        <v>0</v>
      </c>
      <c r="AD460" s="525"/>
      <c r="AE460" s="525">
        <f>'HIV-Key Info'!$H$87*('HIV-Key Info'!$E$87*('HPM costs'!L119/'HPM costs'!$E$119)+'HIV-Key Info'!$F$87*('HPM costs'!L125/'HPM costs'!$E$125+'HPM costs'!L122/'HPM costs'!$E$122))</f>
        <v>0</v>
      </c>
      <c r="AF460" s="525"/>
      <c r="AG460" s="525">
        <f>'HIV-Key Info'!$H$87*('HIV-Key Info'!$E$87*('HPM costs'!M119/'HPM costs'!$E$119)+'HIV-Key Info'!$F$87*('HPM costs'!M125/'HPM costs'!$E$125+'HPM costs'!M122/'HPM costs'!$E$122))</f>
        <v>0</v>
      </c>
      <c r="AH460" s="525"/>
      <c r="AI460" s="525">
        <f>'HIV-Key Info'!$H$87*('HIV-Key Info'!$E$87*('HPM costs'!N119/'HPM costs'!$E$119)+'HIV-Key Info'!$F$87*('HPM costs'!N125/'HPM costs'!$E$125+'HPM costs'!N122/'HPM costs'!$E$122))</f>
        <v>0</v>
      </c>
      <c r="AJ460" s="525"/>
      <c r="AK460" s="1154">
        <f t="shared" si="49"/>
        <v>0</v>
      </c>
      <c r="AL460" s="1155"/>
      <c r="AM460" s="1156"/>
      <c r="AN460" s="529"/>
      <c r="AO460" s="525"/>
      <c r="AP460" s="525">
        <f>'HIV-Key Info'!$H$87*('HIV-Key Info'!$E$87*('HPM costs'!P119/'HPM costs'!$E$119)+'HIV-Key Info'!$F$87*('HPM costs'!P125/'HPM costs'!$E$125+'HPM costs'!P122/'HPM costs'!$E$122))</f>
        <v>0</v>
      </c>
      <c r="AQ460" s="525"/>
      <c r="AR460" s="525">
        <f>'HIV-Key Info'!$H$87*('HIV-Key Info'!$E$87*('HPM costs'!Q119/'HPM costs'!$E$119)+'HIV-Key Info'!$F$87*('HPM costs'!Q125/'HPM costs'!$E$125+'HPM costs'!Q122/'HPM costs'!$E$122))</f>
        <v>0</v>
      </c>
      <c r="AS460" s="525"/>
      <c r="AT460" s="525">
        <f>'HIV-Key Info'!$H$87*('HIV-Key Info'!$E$87*('HPM costs'!R119/'HPM costs'!$E$119)+'HIV-Key Info'!$F$87*('HPM costs'!R125/'HPM costs'!$E$125+'HPM costs'!R122/'HPM costs'!$E$122))</f>
        <v>0</v>
      </c>
      <c r="AU460" s="525"/>
      <c r="AV460" s="525">
        <f>'HIV-Key Info'!$H$87*('HIV-Key Info'!$E$87*('HPM costs'!S119/'HPM costs'!$E$119)+'HIV-Key Info'!$F$87*('HPM costs'!S125/'HPM costs'!$E$125+'HPM costs'!S122/'HPM costs'!$E$122))</f>
        <v>0</v>
      </c>
      <c r="AW460" s="525"/>
      <c r="AX460" s="1154">
        <f t="shared" si="50"/>
        <v>0</v>
      </c>
      <c r="AY460" s="1154"/>
      <c r="AZ460" s="528"/>
      <c r="BA460" s="529"/>
      <c r="BB460" s="527"/>
      <c r="BC460" s="527">
        <v>0</v>
      </c>
      <c r="BD460" s="527">
        <v>0</v>
      </c>
      <c r="BE460" s="527">
        <v>0</v>
      </c>
      <c r="BF460" s="527">
        <v>0</v>
      </c>
      <c r="BG460" s="527">
        <v>0</v>
      </c>
      <c r="BH460" s="527">
        <v>0</v>
      </c>
      <c r="BI460" s="527">
        <v>0</v>
      </c>
      <c r="BJ460" s="527">
        <v>0</v>
      </c>
      <c r="BK460" s="1154">
        <f t="shared" si="51"/>
        <v>0</v>
      </c>
      <c r="BL460" s="1154"/>
      <c r="BM460" s="1154">
        <f t="shared" si="52"/>
        <v>0</v>
      </c>
      <c r="BN460" s="1154">
        <f t="shared" si="53"/>
        <v>0</v>
      </c>
      <c r="BO460" s="527"/>
      <c r="BP460" s="527"/>
      <c r="BQ460" s="1157" t="s">
        <v>2556</v>
      </c>
      <c r="BR460" s="1157" t="s">
        <v>690</v>
      </c>
      <c r="BS460" s="1157" t="s">
        <v>2570</v>
      </c>
      <c r="BT460" s="1376" t="s">
        <v>1764</v>
      </c>
    </row>
    <row r="461" spans="1:72" s="1371" customFormat="1" ht="13">
      <c r="A461" s="1204">
        <v>1017</v>
      </c>
      <c r="B461" s="1205" t="s">
        <v>672</v>
      </c>
      <c r="C461" s="1205" t="s">
        <v>674</v>
      </c>
      <c r="D461" s="1206" t="s">
        <v>2522</v>
      </c>
      <c r="E461" s="1386" t="s">
        <v>528</v>
      </c>
      <c r="F461" s="521"/>
      <c r="G461" s="522"/>
      <c r="H461" s="522"/>
      <c r="I461" s="522"/>
      <c r="J461" s="523"/>
      <c r="K461" s="523"/>
      <c r="L461" s="523"/>
      <c r="M461" s="524"/>
      <c r="N461" s="525"/>
      <c r="O461" s="526" t="s">
        <v>1237</v>
      </c>
      <c r="P461" s="525">
        <f>'HIV-Key Info'!$H$87*(('HIV-Key Info'!$E$87*'HPM costs'!F33)+('HIV-Key Info'!$F$87*('HPM costs'!F36+'HPM costs'!F39)))</f>
        <v>0</v>
      </c>
      <c r="Q461" s="525" t="s">
        <v>1237</v>
      </c>
      <c r="R461" s="525">
        <f>'HIV-Key Info'!$H$87*(('HIV-Key Info'!$E$87*'HPM costs'!G33)+('HIV-Key Info'!$F$87*('HPM costs'!G36+'HPM costs'!G39)))</f>
        <v>0</v>
      </c>
      <c r="S461" s="525" t="s">
        <v>1237</v>
      </c>
      <c r="T461" s="525">
        <f>'HIV-Key Info'!$H$87*(('HIV-Key Info'!$E$87*'HPM costs'!H33)+('HIV-Key Info'!$F$87*('HPM costs'!H36+'HPM costs'!H39)))</f>
        <v>0</v>
      </c>
      <c r="U461" s="525" t="s">
        <v>1237</v>
      </c>
      <c r="V461" s="525">
        <f>'HIV-Key Info'!$H$87*(('HIV-Key Info'!$E$87*'HPM costs'!I33)+('HIV-Key Info'!$F$87*('HPM costs'!I36+'HPM costs'!I39)))</f>
        <v>0</v>
      </c>
      <c r="W461" s="525"/>
      <c r="X461" s="1154">
        <f t="shared" si="48"/>
        <v>0</v>
      </c>
      <c r="Y461" s="1155"/>
      <c r="Z461" s="1156"/>
      <c r="AA461" s="529"/>
      <c r="AB461" s="525"/>
      <c r="AC461" s="525">
        <f>'HIV-Key Info'!$H$87*(('HIV-Key Info'!$E$87*'HPM costs'!K33)+('HIV-Key Info'!$F$87*('HPM costs'!K36+'HPM costs'!K39)))</f>
        <v>0</v>
      </c>
      <c r="AD461" s="525"/>
      <c r="AE461" s="525">
        <f>'HIV-Key Info'!$H$87*(('HIV-Key Info'!$E$87*'HPM costs'!L33)+('HIV-Key Info'!$F$87*('HPM costs'!L36+'HPM costs'!L39)))</f>
        <v>0</v>
      </c>
      <c r="AF461" s="525"/>
      <c r="AG461" s="525">
        <f>'HIV-Key Info'!$H$87*(('HIV-Key Info'!$E$87*'HPM costs'!M33)+('HIV-Key Info'!$F$87*('HPM costs'!M36+'HPM costs'!M39)))</f>
        <v>0</v>
      </c>
      <c r="AH461" s="525"/>
      <c r="AI461" s="525">
        <f>'HIV-Key Info'!$H$87*(('HIV-Key Info'!$E$87*'HPM costs'!N33)+('HIV-Key Info'!$F$87*('HPM costs'!N36+'HPM costs'!N39)))</f>
        <v>0</v>
      </c>
      <c r="AJ461" s="525"/>
      <c r="AK461" s="1154">
        <f t="shared" si="49"/>
        <v>0</v>
      </c>
      <c r="AL461" s="1155"/>
      <c r="AM461" s="1156"/>
      <c r="AN461" s="529"/>
      <c r="AO461" s="525"/>
      <c r="AP461" s="525">
        <f>'HIV-Key Info'!$H$87*(('HIV-Key Info'!$E$87*'HPM costs'!P33)+('HIV-Key Info'!$F$87*('HPM costs'!P36+'HPM costs'!P39)))</f>
        <v>0</v>
      </c>
      <c r="AQ461" s="525"/>
      <c r="AR461" s="525">
        <f>'HIV-Key Info'!$H$87*(('HIV-Key Info'!$E$87*'HPM costs'!Q33)+('HIV-Key Info'!$F$87*('HPM costs'!Q36+'HPM costs'!Q39)))</f>
        <v>0</v>
      </c>
      <c r="AS461" s="525"/>
      <c r="AT461" s="525">
        <f>'HIV-Key Info'!$H$87*(('HIV-Key Info'!$E$87*'HPM costs'!R33)+('HIV-Key Info'!$F$87*('HPM costs'!R36+'HPM costs'!R39)))</f>
        <v>0</v>
      </c>
      <c r="AU461" s="525"/>
      <c r="AV461" s="525">
        <f>'HIV-Key Info'!$H$87*(('HIV-Key Info'!$E$87*'HPM costs'!S33)+('HIV-Key Info'!$F$87*('HPM costs'!S36+'HPM costs'!S39)))</f>
        <v>0</v>
      </c>
      <c r="AW461" s="525"/>
      <c r="AX461" s="1154">
        <f t="shared" si="50"/>
        <v>0</v>
      </c>
      <c r="AY461" s="1154"/>
      <c r="AZ461" s="528"/>
      <c r="BA461" s="529"/>
      <c r="BB461" s="527"/>
      <c r="BC461" s="527">
        <v>0</v>
      </c>
      <c r="BD461" s="527">
        <v>0</v>
      </c>
      <c r="BE461" s="527">
        <v>0</v>
      </c>
      <c r="BF461" s="527">
        <v>0</v>
      </c>
      <c r="BG461" s="527">
        <v>0</v>
      </c>
      <c r="BH461" s="527">
        <v>0</v>
      </c>
      <c r="BI461" s="527">
        <v>0</v>
      </c>
      <c r="BJ461" s="527">
        <v>0</v>
      </c>
      <c r="BK461" s="1154">
        <f t="shared" si="51"/>
        <v>0</v>
      </c>
      <c r="BL461" s="1154"/>
      <c r="BM461" s="1154">
        <f t="shared" si="52"/>
        <v>0</v>
      </c>
      <c r="BN461" s="1154">
        <f t="shared" si="53"/>
        <v>0</v>
      </c>
      <c r="BO461" s="527"/>
      <c r="BP461" s="527"/>
      <c r="BQ461" s="1157" t="s">
        <v>2556</v>
      </c>
      <c r="BR461" s="1157" t="s">
        <v>690</v>
      </c>
      <c r="BS461" s="1157" t="s">
        <v>527</v>
      </c>
      <c r="BT461" s="1376" t="s">
        <v>1765</v>
      </c>
    </row>
    <row r="462" spans="1:72" s="1371" customFormat="1" ht="13">
      <c r="A462" s="1204">
        <v>1018</v>
      </c>
      <c r="B462" s="1205" t="s">
        <v>672</v>
      </c>
      <c r="C462" s="1205" t="s">
        <v>674</v>
      </c>
      <c r="D462" s="1206" t="s">
        <v>2522</v>
      </c>
      <c r="E462" s="1386" t="s">
        <v>530</v>
      </c>
      <c r="F462" s="521"/>
      <c r="G462" s="522"/>
      <c r="H462" s="522"/>
      <c r="I462" s="522"/>
      <c r="J462" s="523"/>
      <c r="K462" s="523"/>
      <c r="L462" s="523"/>
      <c r="M462" s="524"/>
      <c r="N462" s="525"/>
      <c r="O462" s="526" t="s">
        <v>1237</v>
      </c>
      <c r="P462" s="525">
        <f>'HIV-Key Info'!$H$87*(('HIV-Key Info'!$E$87*'HPM costs'!F119)+('HIV-Key Info'!$F$87*('HPM costs'!F122+'HPM costs'!F125)))</f>
        <v>0</v>
      </c>
      <c r="Q462" s="525" t="s">
        <v>1237</v>
      </c>
      <c r="R462" s="525">
        <f>'HIV-Key Info'!$H$87*(('HIV-Key Info'!$E$87*'HPM costs'!G119)+('HIV-Key Info'!$F$87*('HPM costs'!G122+'HPM costs'!G125)))</f>
        <v>0</v>
      </c>
      <c r="S462" s="525" t="s">
        <v>1237</v>
      </c>
      <c r="T462" s="525">
        <f>'HIV-Key Info'!$H$87*(('HIV-Key Info'!$E$87*'HPM costs'!H119)+('HIV-Key Info'!$F$87*('HPM costs'!H122+'HPM costs'!H125)))</f>
        <v>0</v>
      </c>
      <c r="U462" s="525" t="s">
        <v>1237</v>
      </c>
      <c r="V462" s="525">
        <f>'HIV-Key Info'!$H$87*(('HIV-Key Info'!$E$87*'HPM costs'!I119)+('HIV-Key Info'!$F$87*('HPM costs'!I122+'HPM costs'!I125)))</f>
        <v>0</v>
      </c>
      <c r="W462" s="525"/>
      <c r="X462" s="1154">
        <f t="shared" si="48"/>
        <v>0</v>
      </c>
      <c r="Y462" s="1155"/>
      <c r="Z462" s="1156"/>
      <c r="AA462" s="529"/>
      <c r="AB462" s="525"/>
      <c r="AC462" s="525">
        <f>'HIV-Key Info'!$H$87*(('HIV-Key Info'!$E$87*'HPM costs'!K119)+('HIV-Key Info'!$F$87*('HPM costs'!K122+'HPM costs'!K125)))</f>
        <v>0</v>
      </c>
      <c r="AD462" s="525"/>
      <c r="AE462" s="525">
        <f>'HIV-Key Info'!$H$87*(('HIV-Key Info'!$E$87*'HPM costs'!L119)+('HIV-Key Info'!$F$87*('HPM costs'!L122+'HPM costs'!L125)))</f>
        <v>0</v>
      </c>
      <c r="AF462" s="525"/>
      <c r="AG462" s="525">
        <f>'HIV-Key Info'!$H$87*(('HIV-Key Info'!$E$87*'HPM costs'!M119)+('HIV-Key Info'!$F$87*('HPM costs'!M122+'HPM costs'!M125)))</f>
        <v>0</v>
      </c>
      <c r="AH462" s="525"/>
      <c r="AI462" s="525">
        <f>'HIV-Key Info'!$H$87*(('HIV-Key Info'!$E$87*'HPM costs'!N119)+('HIV-Key Info'!$F$87*('HPM costs'!N122+'HPM costs'!N125)))</f>
        <v>0</v>
      </c>
      <c r="AJ462" s="525"/>
      <c r="AK462" s="1154">
        <f t="shared" si="49"/>
        <v>0</v>
      </c>
      <c r="AL462" s="1155"/>
      <c r="AM462" s="1156"/>
      <c r="AN462" s="529"/>
      <c r="AO462" s="525"/>
      <c r="AP462" s="525">
        <f>'HIV-Key Info'!$H$87*(('HIV-Key Info'!$E$87*'HPM costs'!P119)+('HIV-Key Info'!$F$87*('HPM costs'!P122+'HPM costs'!P125)))</f>
        <v>0</v>
      </c>
      <c r="AQ462" s="525"/>
      <c r="AR462" s="525">
        <f>'HIV-Key Info'!$H$87*(('HIV-Key Info'!$E$87*'HPM costs'!Q119)+('HIV-Key Info'!$F$87*('HPM costs'!Q122+'HPM costs'!Q125)))</f>
        <v>0</v>
      </c>
      <c r="AS462" s="525"/>
      <c r="AT462" s="525">
        <f>'HIV-Key Info'!$H$87*(('HIV-Key Info'!$E$87*'HPM costs'!R119)+('HIV-Key Info'!$F$87*('HPM costs'!R122+'HPM costs'!R125)))</f>
        <v>0</v>
      </c>
      <c r="AU462" s="525"/>
      <c r="AV462" s="525">
        <f>'HIV-Key Info'!$H$87*(('HIV-Key Info'!$E$87*'HPM costs'!S119)+('HIV-Key Info'!$F$87*('HPM costs'!S122+'HPM costs'!S125)))</f>
        <v>0</v>
      </c>
      <c r="AW462" s="525"/>
      <c r="AX462" s="1154">
        <f t="shared" si="50"/>
        <v>0</v>
      </c>
      <c r="AY462" s="1154"/>
      <c r="AZ462" s="528"/>
      <c r="BA462" s="529"/>
      <c r="BB462" s="527"/>
      <c r="BC462" s="527">
        <v>0</v>
      </c>
      <c r="BD462" s="527">
        <v>0</v>
      </c>
      <c r="BE462" s="527">
        <v>0</v>
      </c>
      <c r="BF462" s="527">
        <v>0</v>
      </c>
      <c r="BG462" s="527">
        <v>0</v>
      </c>
      <c r="BH462" s="527">
        <v>0</v>
      </c>
      <c r="BI462" s="527">
        <v>0</v>
      </c>
      <c r="BJ462" s="527">
        <v>0</v>
      </c>
      <c r="BK462" s="1154">
        <f t="shared" si="51"/>
        <v>0</v>
      </c>
      <c r="BL462" s="1154"/>
      <c r="BM462" s="1154">
        <f t="shared" si="52"/>
        <v>0</v>
      </c>
      <c r="BN462" s="1154">
        <f t="shared" si="53"/>
        <v>0</v>
      </c>
      <c r="BO462" s="527"/>
      <c r="BP462" s="527"/>
      <c r="BQ462" s="1157" t="s">
        <v>2556</v>
      </c>
      <c r="BR462" s="1157" t="s">
        <v>690</v>
      </c>
      <c r="BS462" s="1157" t="s">
        <v>527</v>
      </c>
      <c r="BT462" s="1376" t="s">
        <v>1766</v>
      </c>
    </row>
    <row r="463" spans="1:72" s="1371" customFormat="1" ht="13">
      <c r="A463" s="1204">
        <v>1019</v>
      </c>
      <c r="B463" s="1205" t="s">
        <v>672</v>
      </c>
      <c r="C463" s="1205" t="s">
        <v>674</v>
      </c>
      <c r="D463" s="1206" t="s">
        <v>2522</v>
      </c>
      <c r="E463" s="1386" t="s">
        <v>532</v>
      </c>
      <c r="F463" s="521"/>
      <c r="G463" s="522"/>
      <c r="H463" s="522"/>
      <c r="I463" s="522"/>
      <c r="J463" s="523"/>
      <c r="K463" s="523"/>
      <c r="L463" s="523"/>
      <c r="M463" s="524"/>
      <c r="N463" s="525"/>
      <c r="O463" s="526" t="s">
        <v>1237</v>
      </c>
      <c r="P463" s="525">
        <f>'HIV-Key Info'!$H$87*(('HIV-Key Info'!$E$87*'HPM costs'!F379)+('HIV-Key Info'!$F$87*('HPM costs'!F382+'HPM costs'!F385)))</f>
        <v>0</v>
      </c>
      <c r="Q463" s="525" t="s">
        <v>1237</v>
      </c>
      <c r="R463" s="525">
        <f>'HIV-Key Info'!$H$87*(('HIV-Key Info'!$E$87*'HPM costs'!G379)+('HIV-Key Info'!$F$87*('HPM costs'!G382+'HPM costs'!G385)))</f>
        <v>0</v>
      </c>
      <c r="S463" s="525" t="s">
        <v>1237</v>
      </c>
      <c r="T463" s="525">
        <f>'HIV-Key Info'!$H$87*(('HIV-Key Info'!$E$87*'HPM costs'!H379)+('HIV-Key Info'!$F$87*('HPM costs'!H382+'HPM costs'!H385)))</f>
        <v>0</v>
      </c>
      <c r="U463" s="525" t="s">
        <v>1237</v>
      </c>
      <c r="V463" s="525">
        <f>'HIV-Key Info'!$H$87*(('HIV-Key Info'!$E$87*'HPM costs'!I379)+('HIV-Key Info'!$F$87*('HPM costs'!I382+'HPM costs'!I385)))</f>
        <v>0</v>
      </c>
      <c r="W463" s="525"/>
      <c r="X463" s="1154">
        <f t="shared" si="48"/>
        <v>0</v>
      </c>
      <c r="Y463" s="1155"/>
      <c r="Z463" s="1156"/>
      <c r="AA463" s="529"/>
      <c r="AB463" s="525"/>
      <c r="AC463" s="525">
        <f>'HIV-Key Info'!$H$87*(('HIV-Key Info'!$E$87*'HPM costs'!K379)+('HIV-Key Info'!$F$87*('HPM costs'!K382+'HPM costs'!K385)))</f>
        <v>0</v>
      </c>
      <c r="AD463" s="525"/>
      <c r="AE463" s="525">
        <f>'HIV-Key Info'!$H$87*(('HIV-Key Info'!$E$87*'HPM costs'!L379)+('HIV-Key Info'!$F$87*('HPM costs'!L382+'HPM costs'!L385)))</f>
        <v>0</v>
      </c>
      <c r="AF463" s="525"/>
      <c r="AG463" s="525">
        <f>'HIV-Key Info'!$H$87*(('HIV-Key Info'!$E$87*'HPM costs'!M379)+('HIV-Key Info'!$F$87*('HPM costs'!M382+'HPM costs'!M385)))</f>
        <v>0</v>
      </c>
      <c r="AH463" s="525"/>
      <c r="AI463" s="525">
        <f>'HIV-Key Info'!$H$87*(('HIV-Key Info'!$E$87*'HPM costs'!N379)+('HIV-Key Info'!$F$87*('HPM costs'!N382+'HPM costs'!N385)))</f>
        <v>0</v>
      </c>
      <c r="AJ463" s="525"/>
      <c r="AK463" s="1154">
        <f t="shared" si="49"/>
        <v>0</v>
      </c>
      <c r="AL463" s="1155"/>
      <c r="AM463" s="1156"/>
      <c r="AN463" s="529"/>
      <c r="AO463" s="525"/>
      <c r="AP463" s="525">
        <f>'HIV-Key Info'!$H$87*(('HIV-Key Info'!$E$87*'HPM costs'!P379)+('HIV-Key Info'!$F$87*('HPM costs'!P382+'HPM costs'!P385)))</f>
        <v>0</v>
      </c>
      <c r="AQ463" s="525"/>
      <c r="AR463" s="525">
        <f>'HIV-Key Info'!$H$87*(('HIV-Key Info'!$E$87*'HPM costs'!Q379)+('HIV-Key Info'!$F$87*('HPM costs'!Q382+'HPM costs'!Q385)))</f>
        <v>0</v>
      </c>
      <c r="AS463" s="525"/>
      <c r="AT463" s="525">
        <f>'HIV-Key Info'!$H$87*(('HIV-Key Info'!$E$87*'HPM costs'!R379)+('HIV-Key Info'!$F$87*('HPM costs'!R382+'HPM costs'!R385)))</f>
        <v>0</v>
      </c>
      <c r="AU463" s="525"/>
      <c r="AV463" s="525">
        <f>'HIV-Key Info'!$H$87*(('HIV-Key Info'!$E$87*'HPM costs'!S379)+('HIV-Key Info'!$F$87*('HPM costs'!S382+'HPM costs'!S385)))</f>
        <v>0</v>
      </c>
      <c r="AW463" s="525"/>
      <c r="AX463" s="1154">
        <f t="shared" si="50"/>
        <v>0</v>
      </c>
      <c r="AY463" s="1154"/>
      <c r="AZ463" s="528"/>
      <c r="BA463" s="529"/>
      <c r="BB463" s="527"/>
      <c r="BC463" s="527">
        <v>0</v>
      </c>
      <c r="BD463" s="527">
        <v>0</v>
      </c>
      <c r="BE463" s="527">
        <v>0</v>
      </c>
      <c r="BF463" s="527">
        <v>0</v>
      </c>
      <c r="BG463" s="527">
        <v>0</v>
      </c>
      <c r="BH463" s="527">
        <v>0</v>
      </c>
      <c r="BI463" s="527">
        <v>0</v>
      </c>
      <c r="BJ463" s="527">
        <v>0</v>
      </c>
      <c r="BK463" s="1154">
        <f t="shared" si="51"/>
        <v>0</v>
      </c>
      <c r="BL463" s="1154"/>
      <c r="BM463" s="1154">
        <f t="shared" si="52"/>
        <v>0</v>
      </c>
      <c r="BN463" s="1154">
        <f t="shared" si="53"/>
        <v>0</v>
      </c>
      <c r="BO463" s="527"/>
      <c r="BP463" s="527"/>
      <c r="BQ463" s="1157" t="s">
        <v>2556</v>
      </c>
      <c r="BR463" s="1157" t="s">
        <v>690</v>
      </c>
      <c r="BS463" s="1157" t="s">
        <v>527</v>
      </c>
      <c r="BT463" s="1376" t="s">
        <v>1767</v>
      </c>
    </row>
    <row r="464" spans="1:72" s="1371" customFormat="1" ht="13">
      <c r="A464" s="1204">
        <v>1020</v>
      </c>
      <c r="B464" s="1205" t="s">
        <v>672</v>
      </c>
      <c r="C464" s="1205" t="s">
        <v>674</v>
      </c>
      <c r="D464" s="1206" t="s">
        <v>2522</v>
      </c>
      <c r="E464" s="1386" t="s">
        <v>534</v>
      </c>
      <c r="F464" s="521"/>
      <c r="G464" s="522"/>
      <c r="H464" s="522"/>
      <c r="I464" s="522"/>
      <c r="J464" s="523"/>
      <c r="K464" s="523"/>
      <c r="L464" s="523"/>
      <c r="M464" s="524"/>
      <c r="N464" s="525"/>
      <c r="O464" s="526" t="s">
        <v>1237</v>
      </c>
      <c r="P464" s="525">
        <f>'HIV-Key Info'!$H$87*(('HIV-Key Info'!$E$87*'HPM costs'!F465)+('HIV-Key Info'!$F$87*('HPM costs'!F468+'HPM costs'!F471)))</f>
        <v>0</v>
      </c>
      <c r="Q464" s="525" t="s">
        <v>1237</v>
      </c>
      <c r="R464" s="525">
        <f>'HIV-Key Info'!$H$87*(('HIV-Key Info'!$E$87*'HPM costs'!G465)+('HIV-Key Info'!$F$87*('HPM costs'!G468+'HPM costs'!G471)))</f>
        <v>0</v>
      </c>
      <c r="S464" s="525" t="s">
        <v>1237</v>
      </c>
      <c r="T464" s="525">
        <f>'HIV-Key Info'!$H$87*(('HIV-Key Info'!$E$87*'HPM costs'!H465)+('HIV-Key Info'!$F$87*('HPM costs'!H468+'HPM costs'!H471)))</f>
        <v>0</v>
      </c>
      <c r="U464" s="525" t="s">
        <v>1237</v>
      </c>
      <c r="V464" s="525">
        <f>'HIV-Key Info'!$H$87*(('HIV-Key Info'!$E$87*'HPM costs'!I465)+('HIV-Key Info'!$F$87*('HPM costs'!I468+'HPM costs'!I471)))</f>
        <v>0</v>
      </c>
      <c r="W464" s="525"/>
      <c r="X464" s="1154">
        <f t="shared" si="48"/>
        <v>0</v>
      </c>
      <c r="Y464" s="1155"/>
      <c r="Z464" s="1156"/>
      <c r="AA464" s="529"/>
      <c r="AB464" s="525"/>
      <c r="AC464" s="525">
        <f>'HIV-Key Info'!$H$87*(('HIV-Key Info'!$E$87*'HPM costs'!K465)+('HIV-Key Info'!$F$87*('HPM costs'!K468+'HPM costs'!K471)))</f>
        <v>0</v>
      </c>
      <c r="AD464" s="525"/>
      <c r="AE464" s="525">
        <f>'HIV-Key Info'!$H$87*(('HIV-Key Info'!$E$87*'HPM costs'!L465)+('HIV-Key Info'!$F$87*('HPM costs'!L468+'HPM costs'!L471)))</f>
        <v>0</v>
      </c>
      <c r="AF464" s="525"/>
      <c r="AG464" s="525">
        <f>'HIV-Key Info'!$H$87*(('HIV-Key Info'!$E$87*'HPM costs'!M465)+('HIV-Key Info'!$F$87*('HPM costs'!M468+'HPM costs'!M471)))</f>
        <v>0</v>
      </c>
      <c r="AH464" s="525"/>
      <c r="AI464" s="525">
        <f>'HIV-Key Info'!$H$87*(('HIV-Key Info'!$E$87*'HPM costs'!N465)+('HIV-Key Info'!$F$87*('HPM costs'!N468+'HPM costs'!N471)))</f>
        <v>0</v>
      </c>
      <c r="AJ464" s="525"/>
      <c r="AK464" s="1154">
        <f t="shared" si="49"/>
        <v>0</v>
      </c>
      <c r="AL464" s="1155"/>
      <c r="AM464" s="1156"/>
      <c r="AN464" s="529"/>
      <c r="AO464" s="525"/>
      <c r="AP464" s="525">
        <f>'HIV-Key Info'!$H$87*(('HIV-Key Info'!$E$87*'HPM costs'!P465)+('HIV-Key Info'!$F$87*('HPM costs'!P468+'HPM costs'!P471)))</f>
        <v>0</v>
      </c>
      <c r="AQ464" s="525"/>
      <c r="AR464" s="525">
        <f>'HIV-Key Info'!$H$87*(('HIV-Key Info'!$E$87*'HPM costs'!Q465)+('HIV-Key Info'!$F$87*('HPM costs'!Q468+'HPM costs'!Q471)))</f>
        <v>0</v>
      </c>
      <c r="AS464" s="525"/>
      <c r="AT464" s="525">
        <f>'HIV-Key Info'!$H$87*(('HIV-Key Info'!$E$87*'HPM costs'!R465)+('HIV-Key Info'!$F$87*('HPM costs'!R468+'HPM costs'!R471)))</f>
        <v>0</v>
      </c>
      <c r="AU464" s="525"/>
      <c r="AV464" s="525">
        <f>'HIV-Key Info'!$H$87*(('HIV-Key Info'!$E$87*'HPM costs'!S465)+('HIV-Key Info'!$F$87*('HPM costs'!S468+'HPM costs'!S471)))</f>
        <v>0</v>
      </c>
      <c r="AW464" s="525"/>
      <c r="AX464" s="1154">
        <f t="shared" si="50"/>
        <v>0</v>
      </c>
      <c r="AY464" s="1154"/>
      <c r="AZ464" s="528"/>
      <c r="BA464" s="529"/>
      <c r="BB464" s="527"/>
      <c r="BC464" s="527">
        <v>0</v>
      </c>
      <c r="BD464" s="527">
        <v>0</v>
      </c>
      <c r="BE464" s="527">
        <v>0</v>
      </c>
      <c r="BF464" s="527">
        <v>0</v>
      </c>
      <c r="BG464" s="527">
        <v>0</v>
      </c>
      <c r="BH464" s="527">
        <v>0</v>
      </c>
      <c r="BI464" s="527">
        <v>0</v>
      </c>
      <c r="BJ464" s="527">
        <v>0</v>
      </c>
      <c r="BK464" s="1154">
        <f t="shared" si="51"/>
        <v>0</v>
      </c>
      <c r="BL464" s="1154"/>
      <c r="BM464" s="1154">
        <f t="shared" si="52"/>
        <v>0</v>
      </c>
      <c r="BN464" s="1154">
        <f t="shared" si="53"/>
        <v>0</v>
      </c>
      <c r="BO464" s="527"/>
      <c r="BP464" s="527"/>
      <c r="BQ464" s="1157" t="s">
        <v>2556</v>
      </c>
      <c r="BR464" s="1157" t="s">
        <v>690</v>
      </c>
      <c r="BS464" s="1157" t="s">
        <v>527</v>
      </c>
      <c r="BT464" s="1376" t="s">
        <v>1768</v>
      </c>
    </row>
    <row r="465" spans="1:72" s="1371" customFormat="1" ht="13">
      <c r="A465" s="1204">
        <v>1021</v>
      </c>
      <c r="B465" s="1205" t="s">
        <v>672</v>
      </c>
      <c r="C465" s="1205" t="s">
        <v>674</v>
      </c>
      <c r="D465" s="1206" t="s">
        <v>2522</v>
      </c>
      <c r="E465" s="1386" t="s">
        <v>536</v>
      </c>
      <c r="F465" s="521"/>
      <c r="G465" s="522"/>
      <c r="H465" s="522"/>
      <c r="I465" s="522"/>
      <c r="J465" s="523"/>
      <c r="K465" s="523"/>
      <c r="L465" s="523"/>
      <c r="M465" s="524"/>
      <c r="N465" s="525"/>
      <c r="O465" s="526" t="s">
        <v>1237</v>
      </c>
      <c r="P465" s="525">
        <f>'HIV-Key Info'!$H$87*(('HIV-Key Info'!$E$87*('HPM costs'!F205+'HPM costs'!F551))+('HIV-Key Info'!$F$87*('HPM costs'!F208+'HPM costs'!F211+'HPM costs'!F554+'HPM costs'!F557)))</f>
        <v>0</v>
      </c>
      <c r="Q465" s="525" t="s">
        <v>1237</v>
      </c>
      <c r="R465" s="525">
        <f>'HIV-Key Info'!$H$87*(('HIV-Key Info'!$E$87*('HPM costs'!G205+'HPM costs'!G551))+('HIV-Key Info'!$F$87*('HPM costs'!G208+'HPM costs'!G211+'HPM costs'!G554+'HPM costs'!G557)))</f>
        <v>0</v>
      </c>
      <c r="S465" s="525" t="s">
        <v>1237</v>
      </c>
      <c r="T465" s="525">
        <f>'HIV-Key Info'!$H$87*(('HIV-Key Info'!$E$87*('HPM costs'!H205+'HPM costs'!H551))+('HIV-Key Info'!$F$87*('HPM costs'!H208+'HPM costs'!H211+'HPM costs'!H554+'HPM costs'!H557)))</f>
        <v>0</v>
      </c>
      <c r="U465" s="525" t="s">
        <v>1237</v>
      </c>
      <c r="V465" s="525">
        <f>'HIV-Key Info'!$H$87*(('HIV-Key Info'!$E$87*('HPM costs'!I205+'HPM costs'!I551))+('HIV-Key Info'!$F$87*('HPM costs'!I208+'HPM costs'!I211+'HPM costs'!I554+'HPM costs'!I557)))</f>
        <v>0</v>
      </c>
      <c r="W465" s="525"/>
      <c r="X465" s="1154">
        <f t="shared" si="48"/>
        <v>0</v>
      </c>
      <c r="Y465" s="1155"/>
      <c r="Z465" s="1156"/>
      <c r="AA465" s="529"/>
      <c r="AB465" s="525"/>
      <c r="AC465" s="525">
        <f>'HIV-Key Info'!$H$87*(('HIV-Key Info'!$E$87*('HPM costs'!K205+'HPM costs'!K551))+('HIV-Key Info'!$F$87*('HPM costs'!K208+'HPM costs'!K211+'HPM costs'!K554+'HPM costs'!K557)))</f>
        <v>0</v>
      </c>
      <c r="AD465" s="525"/>
      <c r="AE465" s="525">
        <f>'HIV-Key Info'!$H$87*(('HIV-Key Info'!$E$87*('HPM costs'!L205+'HPM costs'!L551))+('HIV-Key Info'!$F$87*('HPM costs'!L208+'HPM costs'!L211+'HPM costs'!L554+'HPM costs'!L557)))</f>
        <v>0</v>
      </c>
      <c r="AF465" s="525"/>
      <c r="AG465" s="525">
        <f>'HIV-Key Info'!$H$87*(('HIV-Key Info'!$E$87*('HPM costs'!M205+'HPM costs'!M551))+('HIV-Key Info'!$F$87*('HPM costs'!M208+'HPM costs'!M211+'HPM costs'!M554+'HPM costs'!M557)))</f>
        <v>0</v>
      </c>
      <c r="AH465" s="525"/>
      <c r="AI465" s="525">
        <f>'HIV-Key Info'!$H$87*(('HIV-Key Info'!$E$87*('HPM costs'!N205+'HPM costs'!N551))+('HIV-Key Info'!$F$87*('HPM costs'!N208+'HPM costs'!N211+'HPM costs'!N554+'HPM costs'!N557)))</f>
        <v>0</v>
      </c>
      <c r="AJ465" s="525"/>
      <c r="AK465" s="1154">
        <f t="shared" si="49"/>
        <v>0</v>
      </c>
      <c r="AL465" s="1155"/>
      <c r="AM465" s="1156"/>
      <c r="AN465" s="529"/>
      <c r="AO465" s="525"/>
      <c r="AP465" s="525">
        <f>'HIV-Key Info'!$H$87*(('HIV-Key Info'!$E$87*('HPM costs'!P205+'HPM costs'!P551))+('HIV-Key Info'!$F$87*('HPM costs'!P208+'HPM costs'!P211+'HPM costs'!P554+'HPM costs'!P557)))</f>
        <v>0</v>
      </c>
      <c r="AQ465" s="525"/>
      <c r="AR465" s="525">
        <f>'HIV-Key Info'!$H$87*(('HIV-Key Info'!$E$87*('HPM costs'!Q205+'HPM costs'!Q551))+('HIV-Key Info'!$F$87*('HPM costs'!Q208+'HPM costs'!Q211+'HPM costs'!Q554+'HPM costs'!Q557)))</f>
        <v>0</v>
      </c>
      <c r="AS465" s="525"/>
      <c r="AT465" s="525">
        <f>'HIV-Key Info'!$H$87*(('HIV-Key Info'!$E$87*('HPM costs'!R205+'HPM costs'!R551))+('HIV-Key Info'!$F$87*('HPM costs'!R208+'HPM costs'!R211+'HPM costs'!R554+'HPM costs'!R557)))</f>
        <v>0</v>
      </c>
      <c r="AU465" s="525"/>
      <c r="AV465" s="525">
        <f>'HIV-Key Info'!$H$87*(('HIV-Key Info'!$E$87*('HPM costs'!S205+'HPM costs'!S551))+('HIV-Key Info'!$F$87*('HPM costs'!S208+'HPM costs'!S211+'HPM costs'!S554+'HPM costs'!S557)))</f>
        <v>0</v>
      </c>
      <c r="AW465" s="525"/>
      <c r="AX465" s="1154">
        <f t="shared" si="50"/>
        <v>0</v>
      </c>
      <c r="AY465" s="1154"/>
      <c r="AZ465" s="528"/>
      <c r="BA465" s="529"/>
      <c r="BB465" s="527"/>
      <c r="BC465" s="527">
        <v>0</v>
      </c>
      <c r="BD465" s="527">
        <v>0</v>
      </c>
      <c r="BE465" s="527">
        <v>0</v>
      </c>
      <c r="BF465" s="527">
        <v>0</v>
      </c>
      <c r="BG465" s="527">
        <v>0</v>
      </c>
      <c r="BH465" s="527">
        <v>0</v>
      </c>
      <c r="BI465" s="527">
        <v>0</v>
      </c>
      <c r="BJ465" s="527">
        <v>0</v>
      </c>
      <c r="BK465" s="1154">
        <f t="shared" si="51"/>
        <v>0</v>
      </c>
      <c r="BL465" s="1154"/>
      <c r="BM465" s="1154">
        <f t="shared" si="52"/>
        <v>0</v>
      </c>
      <c r="BN465" s="1154">
        <f t="shared" si="53"/>
        <v>0</v>
      </c>
      <c r="BO465" s="527"/>
      <c r="BP465" s="527"/>
      <c r="BQ465" s="1157" t="s">
        <v>2556</v>
      </c>
      <c r="BR465" s="1157" t="s">
        <v>690</v>
      </c>
      <c r="BS465" s="1157" t="s">
        <v>527</v>
      </c>
      <c r="BT465" s="1376" t="s">
        <v>1769</v>
      </c>
    </row>
    <row r="466" spans="1:72" s="1371" customFormat="1" ht="13">
      <c r="A466" s="1204">
        <v>1022</v>
      </c>
      <c r="B466" s="1205" t="s">
        <v>672</v>
      </c>
      <c r="C466" s="1205" t="s">
        <v>674</v>
      </c>
      <c r="D466" s="1206" t="s">
        <v>2522</v>
      </c>
      <c r="E466" s="1386" t="s">
        <v>538</v>
      </c>
      <c r="F466" s="521"/>
      <c r="G466" s="522"/>
      <c r="H466" s="522"/>
      <c r="I466" s="522"/>
      <c r="J466" s="523"/>
      <c r="K466" s="523"/>
      <c r="L466" s="523"/>
      <c r="M466" s="524"/>
      <c r="N466" s="525"/>
      <c r="O466" s="526" t="s">
        <v>1237</v>
      </c>
      <c r="P466" s="525">
        <f>'HIV-Key Info'!$H$87*(('HIV-Key Info'!$E$87*'HPM costs'!F291)+('HIV-Key Info'!$F$87*('HPM costs'!F294+'HPM costs'!F297)))</f>
        <v>0</v>
      </c>
      <c r="Q466" s="525" t="s">
        <v>1237</v>
      </c>
      <c r="R466" s="525">
        <f>'HIV-Key Info'!$H$87*(('HIV-Key Info'!$E$87*'HPM costs'!G291)+('HIV-Key Info'!$F$87*('HPM costs'!G294+'HPM costs'!G297)))</f>
        <v>0</v>
      </c>
      <c r="S466" s="525" t="s">
        <v>1237</v>
      </c>
      <c r="T466" s="525">
        <f>'HIV-Key Info'!$H$87*(('HIV-Key Info'!$E$87*'HPM costs'!H291)+('HIV-Key Info'!$F$87*('HPM costs'!H294+'HPM costs'!H297)))</f>
        <v>0</v>
      </c>
      <c r="U466" s="525" t="s">
        <v>1237</v>
      </c>
      <c r="V466" s="525">
        <f>'HIV-Key Info'!$H$87*(('HIV-Key Info'!$E$87*'HPM costs'!I291)+('HIV-Key Info'!$F$87*('HPM costs'!I294+'HPM costs'!I297)))</f>
        <v>0</v>
      </c>
      <c r="W466" s="525"/>
      <c r="X466" s="1154">
        <f t="shared" si="48"/>
        <v>0</v>
      </c>
      <c r="Y466" s="1155"/>
      <c r="Z466" s="1156"/>
      <c r="AA466" s="529"/>
      <c r="AB466" s="525"/>
      <c r="AC466" s="525">
        <f>'HIV-Key Info'!$H$87*(('HIV-Key Info'!$E$87*'HPM costs'!K291)+('HIV-Key Info'!$F$87*('HPM costs'!K294+'HPM costs'!K297)))</f>
        <v>0</v>
      </c>
      <c r="AD466" s="525"/>
      <c r="AE466" s="525">
        <f>'HIV-Key Info'!$H$87*(('HIV-Key Info'!$E$87*'HPM costs'!L291)+('HIV-Key Info'!$F$87*('HPM costs'!L294+'HPM costs'!L297)))</f>
        <v>0</v>
      </c>
      <c r="AF466" s="525"/>
      <c r="AG466" s="525">
        <f>'HIV-Key Info'!$H$87*(('HIV-Key Info'!$E$87*'HPM costs'!M291)+('HIV-Key Info'!$F$87*('HPM costs'!M294+'HPM costs'!M297)))</f>
        <v>0</v>
      </c>
      <c r="AH466" s="525"/>
      <c r="AI466" s="525">
        <f>'HIV-Key Info'!$H$87*(('HIV-Key Info'!$E$87*'HPM costs'!N291)+('HIV-Key Info'!$F$87*('HPM costs'!N294+'HPM costs'!N297)))</f>
        <v>0</v>
      </c>
      <c r="AJ466" s="525"/>
      <c r="AK466" s="1154">
        <f t="shared" si="49"/>
        <v>0</v>
      </c>
      <c r="AL466" s="1155"/>
      <c r="AM466" s="1156"/>
      <c r="AN466" s="529"/>
      <c r="AO466" s="525"/>
      <c r="AP466" s="525">
        <f>'HIV-Key Info'!$H$87*(('HIV-Key Info'!$E$87*'HPM costs'!P291)+('HIV-Key Info'!$F$87*('HPM costs'!P294+'HPM costs'!P297)))</f>
        <v>0</v>
      </c>
      <c r="AQ466" s="525"/>
      <c r="AR466" s="525">
        <f>'HIV-Key Info'!$H$87*(('HIV-Key Info'!$E$87*'HPM costs'!Q291)+('HIV-Key Info'!$F$87*('HPM costs'!Q294+'HPM costs'!Q297)))</f>
        <v>0</v>
      </c>
      <c r="AS466" s="525"/>
      <c r="AT466" s="525">
        <f>'HIV-Key Info'!$H$87*(('HIV-Key Info'!$E$87*'HPM costs'!R291)+('HIV-Key Info'!$F$87*('HPM costs'!R294+'HPM costs'!R297)))</f>
        <v>0</v>
      </c>
      <c r="AU466" s="525"/>
      <c r="AV466" s="525">
        <f>'HIV-Key Info'!$H$87*(('HIV-Key Info'!$E$87*'HPM costs'!S291)+('HIV-Key Info'!$F$87*('HPM costs'!S294+'HPM costs'!S297)))</f>
        <v>0</v>
      </c>
      <c r="AW466" s="525"/>
      <c r="AX466" s="1154">
        <f t="shared" si="50"/>
        <v>0</v>
      </c>
      <c r="AY466" s="1154"/>
      <c r="AZ466" s="528"/>
      <c r="BA466" s="529"/>
      <c r="BB466" s="527"/>
      <c r="BC466" s="527">
        <v>0</v>
      </c>
      <c r="BD466" s="527">
        <v>0</v>
      </c>
      <c r="BE466" s="527">
        <v>0</v>
      </c>
      <c r="BF466" s="527">
        <v>0</v>
      </c>
      <c r="BG466" s="527">
        <v>0</v>
      </c>
      <c r="BH466" s="527">
        <v>0</v>
      </c>
      <c r="BI466" s="527">
        <v>0</v>
      </c>
      <c r="BJ466" s="527">
        <v>0</v>
      </c>
      <c r="BK466" s="1154">
        <f t="shared" si="51"/>
        <v>0</v>
      </c>
      <c r="BL466" s="1154"/>
      <c r="BM466" s="1154">
        <f t="shared" si="52"/>
        <v>0</v>
      </c>
      <c r="BN466" s="1154">
        <f t="shared" si="53"/>
        <v>0</v>
      </c>
      <c r="BO466" s="527"/>
      <c r="BP466" s="527"/>
      <c r="BQ466" s="1157" t="s">
        <v>2556</v>
      </c>
      <c r="BR466" s="1157" t="s">
        <v>690</v>
      </c>
      <c r="BS466" s="1157" t="s">
        <v>527</v>
      </c>
      <c r="BT466" s="1376" t="s">
        <v>1770</v>
      </c>
    </row>
    <row r="467" spans="1:72" s="1371" customFormat="1" ht="13">
      <c r="A467" s="1204">
        <v>1023</v>
      </c>
      <c r="B467" s="1205" t="s">
        <v>672</v>
      </c>
      <c r="C467" s="1205" t="s">
        <v>674</v>
      </c>
      <c r="D467" s="1206" t="s">
        <v>2522</v>
      </c>
      <c r="E467" s="1386" t="s">
        <v>540</v>
      </c>
      <c r="F467" s="521"/>
      <c r="G467" s="522"/>
      <c r="H467" s="522"/>
      <c r="I467" s="522"/>
      <c r="J467" s="523"/>
      <c r="K467" s="523"/>
      <c r="L467" s="523"/>
      <c r="M467" s="524"/>
      <c r="N467" s="525"/>
      <c r="O467" s="526" t="s">
        <v>1237</v>
      </c>
      <c r="P467" s="525">
        <f>'HIV-Key Info'!$H$87*(('HIV-Key Info'!$E$87*'HPM costs'!F636)+('HIV-Key Info'!$F$87*('HPM costs'!F639+'HPM costs'!F642)))</f>
        <v>0</v>
      </c>
      <c r="Q467" s="525" t="s">
        <v>1237</v>
      </c>
      <c r="R467" s="525">
        <f>'HIV-Key Info'!$H$87*(('HIV-Key Info'!$E$87*'HPM costs'!G636)+('HIV-Key Info'!$F$87*('HPM costs'!G639+'HPM costs'!G642)))</f>
        <v>0</v>
      </c>
      <c r="S467" s="525" t="s">
        <v>1237</v>
      </c>
      <c r="T467" s="525">
        <f>'HIV-Key Info'!$H$87*(('HIV-Key Info'!$E$87*'HPM costs'!H636)+('HIV-Key Info'!$F$87*('HPM costs'!H639+'HPM costs'!H642)))</f>
        <v>0</v>
      </c>
      <c r="U467" s="525" t="s">
        <v>1237</v>
      </c>
      <c r="V467" s="525">
        <f>'HIV-Key Info'!$H$87*(('HIV-Key Info'!$E$87*'HPM costs'!I636)+('HIV-Key Info'!$F$87*('HPM costs'!I639+'HPM costs'!I642)))</f>
        <v>0</v>
      </c>
      <c r="W467" s="525"/>
      <c r="X467" s="1154">
        <f t="shared" si="48"/>
        <v>0</v>
      </c>
      <c r="Y467" s="1155"/>
      <c r="Z467" s="1156"/>
      <c r="AA467" s="529"/>
      <c r="AB467" s="525"/>
      <c r="AC467" s="525">
        <f>'HIV-Key Info'!$H$87*(('HIV-Key Info'!$E$87*'HPM costs'!K636)+('HIV-Key Info'!$F$87*('HPM costs'!K639+'HPM costs'!K642)))</f>
        <v>0</v>
      </c>
      <c r="AD467" s="525"/>
      <c r="AE467" s="525">
        <f>'HIV-Key Info'!$H$87*(('HIV-Key Info'!$E$87*'HPM costs'!L636)+('HIV-Key Info'!$F$87*('HPM costs'!L639+'HPM costs'!L642)))</f>
        <v>0</v>
      </c>
      <c r="AF467" s="525"/>
      <c r="AG467" s="525">
        <f>'HIV-Key Info'!$H$87*(('HIV-Key Info'!$E$87*'HPM costs'!M636)+('HIV-Key Info'!$F$87*('HPM costs'!M639+'HPM costs'!M642)))</f>
        <v>0</v>
      </c>
      <c r="AH467" s="525"/>
      <c r="AI467" s="525">
        <f>'HIV-Key Info'!$H$87*(('HIV-Key Info'!$E$87*'HPM costs'!N636)+('HIV-Key Info'!$F$87*('HPM costs'!N639+'HPM costs'!N642)))</f>
        <v>0</v>
      </c>
      <c r="AJ467" s="525"/>
      <c r="AK467" s="1154">
        <f t="shared" si="49"/>
        <v>0</v>
      </c>
      <c r="AL467" s="1155"/>
      <c r="AM467" s="1156"/>
      <c r="AN467" s="529"/>
      <c r="AO467" s="525"/>
      <c r="AP467" s="525">
        <f>'HIV-Key Info'!$H$87*(('HIV-Key Info'!$E$87*'HPM costs'!P636)+('HIV-Key Info'!$F$87*('HPM costs'!P639+'HPM costs'!P642)))</f>
        <v>0</v>
      </c>
      <c r="AQ467" s="525"/>
      <c r="AR467" s="525">
        <f>'HIV-Key Info'!$H$87*(('HIV-Key Info'!$E$87*'HPM costs'!Q636)+('HIV-Key Info'!$F$87*('HPM costs'!Q639+'HPM costs'!Q642)))</f>
        <v>0</v>
      </c>
      <c r="AS467" s="525"/>
      <c r="AT467" s="525">
        <f>'HIV-Key Info'!$H$87*(('HIV-Key Info'!$E$87*'HPM costs'!R636)+('HIV-Key Info'!$F$87*('HPM costs'!R639+'HPM costs'!R642)))</f>
        <v>0</v>
      </c>
      <c r="AU467" s="525"/>
      <c r="AV467" s="525">
        <f>'HIV-Key Info'!$H$87*(('HIV-Key Info'!$E$87*'HPM costs'!S636)+('HIV-Key Info'!$F$87*('HPM costs'!S639+'HPM costs'!S642)))</f>
        <v>0</v>
      </c>
      <c r="AW467" s="525"/>
      <c r="AX467" s="1154">
        <f t="shared" si="50"/>
        <v>0</v>
      </c>
      <c r="AY467" s="1154"/>
      <c r="AZ467" s="528"/>
      <c r="BA467" s="529"/>
      <c r="BB467" s="527"/>
      <c r="BC467" s="527">
        <v>0</v>
      </c>
      <c r="BD467" s="527">
        <v>0</v>
      </c>
      <c r="BE467" s="527">
        <v>0</v>
      </c>
      <c r="BF467" s="527">
        <v>0</v>
      </c>
      <c r="BG467" s="527">
        <v>0</v>
      </c>
      <c r="BH467" s="527">
        <v>0</v>
      </c>
      <c r="BI467" s="527">
        <v>0</v>
      </c>
      <c r="BJ467" s="527">
        <v>0</v>
      </c>
      <c r="BK467" s="1154">
        <f t="shared" si="51"/>
        <v>0</v>
      </c>
      <c r="BL467" s="1154"/>
      <c r="BM467" s="1154">
        <f t="shared" si="52"/>
        <v>0</v>
      </c>
      <c r="BN467" s="1154">
        <f t="shared" si="53"/>
        <v>0</v>
      </c>
      <c r="BO467" s="527"/>
      <c r="BP467" s="527"/>
      <c r="BQ467" s="1157" t="s">
        <v>2556</v>
      </c>
      <c r="BR467" s="1157" t="s">
        <v>690</v>
      </c>
      <c r="BS467" s="1157" t="s">
        <v>527</v>
      </c>
      <c r="BT467" s="1376" t="s">
        <v>1771</v>
      </c>
    </row>
    <row r="468" spans="1:72" s="1371" customFormat="1" ht="13">
      <c r="A468" s="1204">
        <v>1024</v>
      </c>
      <c r="B468" s="1205" t="s">
        <v>672</v>
      </c>
      <c r="C468" s="1205" t="s">
        <v>675</v>
      </c>
      <c r="D468" s="1206" t="s">
        <v>2578</v>
      </c>
      <c r="E468" s="1386" t="s">
        <v>603</v>
      </c>
      <c r="F468" s="521"/>
      <c r="G468" s="522"/>
      <c r="H468" s="522"/>
      <c r="I468" s="522"/>
      <c r="J468" s="523"/>
      <c r="K468" s="523"/>
      <c r="L468" s="523"/>
      <c r="M468" s="524"/>
      <c r="N468" s="525"/>
      <c r="O468" s="526" t="s">
        <v>1237</v>
      </c>
      <c r="P468" s="525">
        <f>'HIV-Key Info'!$I$87*('HIV-Key Info'!$E$87*('HPM costs'!F119/'HPM costs'!$E$119)+'HIV-Key Info'!$F$87*('HPM costs'!F125/'HPM costs'!$E$125+'HPM costs'!F122/'HPM costs'!$E$122))</f>
        <v>0</v>
      </c>
      <c r="Q468" s="525" t="s">
        <v>1237</v>
      </c>
      <c r="R468" s="525">
        <f>'HIV-Key Info'!$I$87*('HIV-Key Info'!$E$87*('HPM costs'!G119/'HPM costs'!$E$119)+'HIV-Key Info'!$F$87*('HPM costs'!G125/'HPM costs'!$E$125+'HPM costs'!G122/'HPM costs'!$E$122))</f>
        <v>0</v>
      </c>
      <c r="S468" s="525" t="s">
        <v>1237</v>
      </c>
      <c r="T468" s="525">
        <f>'HIV-Key Info'!$I$87*('HIV-Key Info'!$E$87*('HPM costs'!H119/'HPM costs'!$E$119)+'HIV-Key Info'!$F$87*('HPM costs'!H125/'HPM costs'!$E$125+'HPM costs'!H122/'HPM costs'!$E$122))</f>
        <v>0</v>
      </c>
      <c r="U468" s="525" t="s">
        <v>1237</v>
      </c>
      <c r="V468" s="525">
        <f>'HIV-Key Info'!$I$87*('HIV-Key Info'!$E$87*('HPM costs'!I119/'HPM costs'!$E$119)+'HIV-Key Info'!$F$87*('HPM costs'!I125/'HPM costs'!$E$125+'HPM costs'!I122/'HPM costs'!$E$122))</f>
        <v>0</v>
      </c>
      <c r="W468" s="525"/>
      <c r="X468" s="1154">
        <f t="shared" si="48"/>
        <v>0</v>
      </c>
      <c r="Y468" s="1155"/>
      <c r="Z468" s="1156"/>
      <c r="AA468" s="529"/>
      <c r="AB468" s="525"/>
      <c r="AC468" s="525">
        <f>'HIV-Key Info'!$I$87*('HIV-Key Info'!$E$87*('HPM costs'!K119/'HPM costs'!$E$119)+'HIV-Key Info'!$F$87*('HPM costs'!K125/'HPM costs'!$E$125+'HPM costs'!K122/'HPM costs'!$E$122))</f>
        <v>0</v>
      </c>
      <c r="AD468" s="525"/>
      <c r="AE468" s="525">
        <f>'HIV-Key Info'!$I$87*('HIV-Key Info'!$E$87*('HPM costs'!L119/'HPM costs'!$E$119)+'HIV-Key Info'!$F$87*('HPM costs'!L125/'HPM costs'!$E$125+'HPM costs'!L122/'HPM costs'!$E$122))</f>
        <v>0</v>
      </c>
      <c r="AF468" s="525"/>
      <c r="AG468" s="525">
        <f>'HIV-Key Info'!$I$87*('HIV-Key Info'!$E$87*('HPM costs'!M119/'HPM costs'!$E$119)+'HIV-Key Info'!$F$87*('HPM costs'!M125/'HPM costs'!$E$125+'HPM costs'!M122/'HPM costs'!$E$122))</f>
        <v>0</v>
      </c>
      <c r="AH468" s="525"/>
      <c r="AI468" s="525">
        <f>'HIV-Key Info'!$I$87*('HIV-Key Info'!$E$87*('HPM costs'!N119/'HPM costs'!$E$119)+'HIV-Key Info'!$F$87*('HPM costs'!N125/'HPM costs'!$E$125+'HPM costs'!N122/'HPM costs'!$E$122))</f>
        <v>0</v>
      </c>
      <c r="AJ468" s="525"/>
      <c r="AK468" s="1154">
        <f t="shared" si="49"/>
        <v>0</v>
      </c>
      <c r="AL468" s="1155"/>
      <c r="AM468" s="1156"/>
      <c r="AN468" s="529"/>
      <c r="AO468" s="525"/>
      <c r="AP468" s="525">
        <f>'HIV-Key Info'!$I$87*('HIV-Key Info'!$E$87*('HPM costs'!P119/'HPM costs'!$E$119)+'HIV-Key Info'!$F$87*('HPM costs'!P125/'HPM costs'!$E$125+'HPM costs'!P122/'HPM costs'!$E$122))</f>
        <v>0</v>
      </c>
      <c r="AQ468" s="525"/>
      <c r="AR468" s="525">
        <f>'HIV-Key Info'!$I$87*('HIV-Key Info'!$E$87*('HPM costs'!Q119/'HPM costs'!$E$119)+'HIV-Key Info'!$F$87*('HPM costs'!Q125/'HPM costs'!$E$125+'HPM costs'!Q122/'HPM costs'!$E$122))</f>
        <v>0</v>
      </c>
      <c r="AS468" s="525"/>
      <c r="AT468" s="525">
        <f>'HIV-Key Info'!$I$87*('HIV-Key Info'!$E$87*('HPM costs'!R119/'HPM costs'!$E$119)+'HIV-Key Info'!$F$87*('HPM costs'!R125/'HPM costs'!$E$125+'HPM costs'!R122/'HPM costs'!$E$122))</f>
        <v>0</v>
      </c>
      <c r="AU468" s="525"/>
      <c r="AV468" s="525">
        <f>'HIV-Key Info'!$I$87*('HIV-Key Info'!$E$87*('HPM costs'!S119/'HPM costs'!$E$119)+'HIV-Key Info'!$F$87*('HPM costs'!S125/'HPM costs'!$E$125+'HPM costs'!S122/'HPM costs'!$E$122))</f>
        <v>0</v>
      </c>
      <c r="AW468" s="525"/>
      <c r="AX468" s="1154">
        <f t="shared" si="50"/>
        <v>0</v>
      </c>
      <c r="AY468" s="1154"/>
      <c r="AZ468" s="528"/>
      <c r="BA468" s="529"/>
      <c r="BB468" s="527"/>
      <c r="BC468" s="527">
        <v>0</v>
      </c>
      <c r="BD468" s="527">
        <v>0</v>
      </c>
      <c r="BE468" s="527">
        <v>0</v>
      </c>
      <c r="BF468" s="527">
        <v>0</v>
      </c>
      <c r="BG468" s="527">
        <v>0</v>
      </c>
      <c r="BH468" s="527">
        <v>0</v>
      </c>
      <c r="BI468" s="527">
        <v>0</v>
      </c>
      <c r="BJ468" s="527">
        <v>0</v>
      </c>
      <c r="BK468" s="1154">
        <f t="shared" si="51"/>
        <v>0</v>
      </c>
      <c r="BL468" s="1154"/>
      <c r="BM468" s="1154">
        <f t="shared" si="52"/>
        <v>0</v>
      </c>
      <c r="BN468" s="1154">
        <f t="shared" si="53"/>
        <v>0</v>
      </c>
      <c r="BO468" s="527"/>
      <c r="BP468" s="527"/>
      <c r="BQ468" s="1157" t="s">
        <v>2556</v>
      </c>
      <c r="BR468" s="1157" t="s">
        <v>690</v>
      </c>
      <c r="BS468" s="1157" t="s">
        <v>2570</v>
      </c>
      <c r="BT468" s="1376" t="s">
        <v>1772</v>
      </c>
    </row>
    <row r="469" spans="1:72" s="1371" customFormat="1" ht="13">
      <c r="A469" s="1204">
        <v>1025</v>
      </c>
      <c r="B469" s="1205" t="s">
        <v>672</v>
      </c>
      <c r="C469" s="1205" t="s">
        <v>675</v>
      </c>
      <c r="D469" s="1206" t="s">
        <v>2522</v>
      </c>
      <c r="E469" s="1386" t="s">
        <v>528</v>
      </c>
      <c r="F469" s="521"/>
      <c r="G469" s="522"/>
      <c r="H469" s="522"/>
      <c r="I469" s="522"/>
      <c r="J469" s="523"/>
      <c r="K469" s="523"/>
      <c r="L469" s="523"/>
      <c r="M469" s="524"/>
      <c r="N469" s="525"/>
      <c r="O469" s="526" t="s">
        <v>1237</v>
      </c>
      <c r="P469" s="525">
        <f>'HIV-Key Info'!$I$87*(('HIV-Key Info'!$E$87*'HPM costs'!F33)+('HIV-Key Info'!$F$87*('HPM costs'!F36+'HPM costs'!F39)))</f>
        <v>0</v>
      </c>
      <c r="Q469" s="525" t="s">
        <v>1237</v>
      </c>
      <c r="R469" s="525">
        <f>'HIV-Key Info'!$I$87*(('HIV-Key Info'!$E$87*'HPM costs'!G33)+('HIV-Key Info'!$F$87*('HPM costs'!G36+'HPM costs'!G39)))</f>
        <v>0</v>
      </c>
      <c r="S469" s="525" t="s">
        <v>1237</v>
      </c>
      <c r="T469" s="525">
        <f>'HIV-Key Info'!$I$87*(('HIV-Key Info'!$E$87*'HPM costs'!H33)+('HIV-Key Info'!$F$87*('HPM costs'!H36+'HPM costs'!H39)))</f>
        <v>0</v>
      </c>
      <c r="U469" s="525" t="s">
        <v>1237</v>
      </c>
      <c r="V469" s="525">
        <f>'HIV-Key Info'!$I$87*(('HIV-Key Info'!$E$87*'HPM costs'!I33)+('HIV-Key Info'!$F$87*('HPM costs'!I36+'HPM costs'!I39)))</f>
        <v>0</v>
      </c>
      <c r="W469" s="525"/>
      <c r="X469" s="1154">
        <f t="shared" si="48"/>
        <v>0</v>
      </c>
      <c r="Y469" s="1155"/>
      <c r="Z469" s="1156"/>
      <c r="AA469" s="529"/>
      <c r="AB469" s="525"/>
      <c r="AC469" s="525">
        <f>'HIV-Key Info'!$I$87*(('HIV-Key Info'!$E$87*'HPM costs'!K33)+('HIV-Key Info'!$F$87*('HPM costs'!K36+'HPM costs'!K39)))</f>
        <v>0</v>
      </c>
      <c r="AD469" s="525"/>
      <c r="AE469" s="525">
        <f>'HIV-Key Info'!$I$87*(('HIV-Key Info'!$E$87*'HPM costs'!L33)+('HIV-Key Info'!$F$87*('HPM costs'!L36+'HPM costs'!L39)))</f>
        <v>0</v>
      </c>
      <c r="AF469" s="525"/>
      <c r="AG469" s="525">
        <f>'HIV-Key Info'!$I$87*(('HIV-Key Info'!$E$87*'HPM costs'!M33)+('HIV-Key Info'!$F$87*('HPM costs'!M36+'HPM costs'!M39)))</f>
        <v>0</v>
      </c>
      <c r="AH469" s="525"/>
      <c r="AI469" s="525">
        <f>'HIV-Key Info'!$I$87*(('HIV-Key Info'!$E$87*'HPM costs'!N33)+('HIV-Key Info'!$F$87*('HPM costs'!N36+'HPM costs'!N39)))</f>
        <v>0</v>
      </c>
      <c r="AJ469" s="525"/>
      <c r="AK469" s="1154">
        <f t="shared" si="49"/>
        <v>0</v>
      </c>
      <c r="AL469" s="1155"/>
      <c r="AM469" s="1156"/>
      <c r="AN469" s="529"/>
      <c r="AO469" s="525"/>
      <c r="AP469" s="525">
        <f>'HIV-Key Info'!$I$87*(('HIV-Key Info'!$E$87*'HPM costs'!P33)+('HIV-Key Info'!$F$87*('HPM costs'!P36+'HPM costs'!P39)))</f>
        <v>0</v>
      </c>
      <c r="AQ469" s="525"/>
      <c r="AR469" s="525">
        <f>'HIV-Key Info'!$I$87*(('HIV-Key Info'!$E$87*'HPM costs'!Q33)+('HIV-Key Info'!$F$87*('HPM costs'!Q36+'HPM costs'!Q39)))</f>
        <v>0</v>
      </c>
      <c r="AS469" s="525"/>
      <c r="AT469" s="525">
        <f>'HIV-Key Info'!$I$87*(('HIV-Key Info'!$E$87*'HPM costs'!R33)+('HIV-Key Info'!$F$87*('HPM costs'!R36+'HPM costs'!R39)))</f>
        <v>0</v>
      </c>
      <c r="AU469" s="525"/>
      <c r="AV469" s="525">
        <f>'HIV-Key Info'!$I$87*(('HIV-Key Info'!$E$87*'HPM costs'!S33)+('HIV-Key Info'!$F$87*('HPM costs'!S36+'HPM costs'!S39)))</f>
        <v>0</v>
      </c>
      <c r="AW469" s="525"/>
      <c r="AX469" s="1154">
        <f t="shared" si="50"/>
        <v>0</v>
      </c>
      <c r="AY469" s="1154"/>
      <c r="AZ469" s="528"/>
      <c r="BA469" s="529"/>
      <c r="BB469" s="527"/>
      <c r="BC469" s="527">
        <v>0</v>
      </c>
      <c r="BD469" s="527">
        <v>0</v>
      </c>
      <c r="BE469" s="527">
        <v>0</v>
      </c>
      <c r="BF469" s="527">
        <v>0</v>
      </c>
      <c r="BG469" s="527">
        <v>0</v>
      </c>
      <c r="BH469" s="527">
        <v>0</v>
      </c>
      <c r="BI469" s="527">
        <v>0</v>
      </c>
      <c r="BJ469" s="527">
        <v>0</v>
      </c>
      <c r="BK469" s="1154">
        <f t="shared" si="51"/>
        <v>0</v>
      </c>
      <c r="BL469" s="1154"/>
      <c r="BM469" s="1154">
        <f t="shared" si="52"/>
        <v>0</v>
      </c>
      <c r="BN469" s="1154">
        <f t="shared" si="53"/>
        <v>0</v>
      </c>
      <c r="BO469" s="527"/>
      <c r="BP469" s="527"/>
      <c r="BQ469" s="1157" t="s">
        <v>2556</v>
      </c>
      <c r="BR469" s="1157" t="s">
        <v>690</v>
      </c>
      <c r="BS469" s="1157" t="s">
        <v>527</v>
      </c>
      <c r="BT469" s="1376" t="s">
        <v>1773</v>
      </c>
    </row>
    <row r="470" spans="1:72" s="1371" customFormat="1" ht="13">
      <c r="A470" s="1204">
        <v>1026</v>
      </c>
      <c r="B470" s="1205" t="s">
        <v>672</v>
      </c>
      <c r="C470" s="1205" t="s">
        <v>675</v>
      </c>
      <c r="D470" s="1206" t="s">
        <v>2522</v>
      </c>
      <c r="E470" s="1386" t="s">
        <v>530</v>
      </c>
      <c r="F470" s="521"/>
      <c r="G470" s="522"/>
      <c r="H470" s="522"/>
      <c r="I470" s="522"/>
      <c r="J470" s="523"/>
      <c r="K470" s="523"/>
      <c r="L470" s="523"/>
      <c r="M470" s="524"/>
      <c r="N470" s="525"/>
      <c r="O470" s="526" t="s">
        <v>1237</v>
      </c>
      <c r="P470" s="525">
        <f>'HIV-Key Info'!$I$87*(('HIV-Key Info'!$E$87*'HPM costs'!F119)+('HIV-Key Info'!$F$87*('HPM costs'!F122+'HPM costs'!F125)))</f>
        <v>0</v>
      </c>
      <c r="Q470" s="525" t="s">
        <v>1237</v>
      </c>
      <c r="R470" s="525">
        <f>'HIV-Key Info'!$I$87*(('HIV-Key Info'!$E$87*'HPM costs'!G119)+('HIV-Key Info'!$F$87*('HPM costs'!G122+'HPM costs'!G125)))</f>
        <v>0</v>
      </c>
      <c r="S470" s="525" t="s">
        <v>1237</v>
      </c>
      <c r="T470" s="525">
        <f>'HIV-Key Info'!$I$87*(('HIV-Key Info'!$E$87*'HPM costs'!H119)+('HIV-Key Info'!$F$87*('HPM costs'!H122+'HPM costs'!H125)))</f>
        <v>0</v>
      </c>
      <c r="U470" s="525" t="s">
        <v>1237</v>
      </c>
      <c r="V470" s="525">
        <f>'HIV-Key Info'!$I$87*(('HIV-Key Info'!$E$87*'HPM costs'!I119)+('HIV-Key Info'!$F$87*('HPM costs'!I122+'HPM costs'!I125)))</f>
        <v>0</v>
      </c>
      <c r="W470" s="525"/>
      <c r="X470" s="1154">
        <f t="shared" si="48"/>
        <v>0</v>
      </c>
      <c r="Y470" s="1155"/>
      <c r="Z470" s="1156"/>
      <c r="AA470" s="529"/>
      <c r="AB470" s="525"/>
      <c r="AC470" s="525">
        <f>'HIV-Key Info'!$I$87*(('HIV-Key Info'!$E$87*'HPM costs'!K119)+('HIV-Key Info'!$F$87*('HPM costs'!K122+'HPM costs'!K125)))</f>
        <v>0</v>
      </c>
      <c r="AD470" s="525"/>
      <c r="AE470" s="525">
        <f>'HIV-Key Info'!$I$87*(('HIV-Key Info'!$E$87*'HPM costs'!L119)+('HIV-Key Info'!$F$87*('HPM costs'!L122+'HPM costs'!L125)))</f>
        <v>0</v>
      </c>
      <c r="AF470" s="525"/>
      <c r="AG470" s="525">
        <f>'HIV-Key Info'!$I$87*(('HIV-Key Info'!$E$87*'HPM costs'!M119)+('HIV-Key Info'!$F$87*('HPM costs'!M122+'HPM costs'!M125)))</f>
        <v>0</v>
      </c>
      <c r="AH470" s="525"/>
      <c r="AI470" s="525">
        <f>'HIV-Key Info'!$I$87*(('HIV-Key Info'!$E$87*'HPM costs'!N119)+('HIV-Key Info'!$F$87*('HPM costs'!N122+'HPM costs'!N125)))</f>
        <v>0</v>
      </c>
      <c r="AJ470" s="525"/>
      <c r="AK470" s="1154">
        <f t="shared" si="49"/>
        <v>0</v>
      </c>
      <c r="AL470" s="1155"/>
      <c r="AM470" s="1156"/>
      <c r="AN470" s="529"/>
      <c r="AO470" s="525"/>
      <c r="AP470" s="525">
        <f>'HIV-Key Info'!$I$87*(('HIV-Key Info'!$E$87*'HPM costs'!P119)+('HIV-Key Info'!$F$87*('HPM costs'!P122+'HPM costs'!P125)))</f>
        <v>0</v>
      </c>
      <c r="AQ470" s="525"/>
      <c r="AR470" s="525">
        <f>'HIV-Key Info'!$I$87*(('HIV-Key Info'!$E$87*'HPM costs'!Q119)+('HIV-Key Info'!$F$87*('HPM costs'!Q122+'HPM costs'!Q125)))</f>
        <v>0</v>
      </c>
      <c r="AS470" s="525"/>
      <c r="AT470" s="525">
        <f>'HIV-Key Info'!$I$87*(('HIV-Key Info'!$E$87*'HPM costs'!R119)+('HIV-Key Info'!$F$87*('HPM costs'!R122+'HPM costs'!R125)))</f>
        <v>0</v>
      </c>
      <c r="AU470" s="525"/>
      <c r="AV470" s="525">
        <f>'HIV-Key Info'!$I$87*(('HIV-Key Info'!$E$87*'HPM costs'!S119)+('HIV-Key Info'!$F$87*('HPM costs'!S122+'HPM costs'!S125)))</f>
        <v>0</v>
      </c>
      <c r="AW470" s="525"/>
      <c r="AX470" s="1154">
        <f t="shared" si="50"/>
        <v>0</v>
      </c>
      <c r="AY470" s="1154"/>
      <c r="AZ470" s="528"/>
      <c r="BA470" s="529"/>
      <c r="BB470" s="527"/>
      <c r="BC470" s="527">
        <v>0</v>
      </c>
      <c r="BD470" s="527">
        <v>0</v>
      </c>
      <c r="BE470" s="527">
        <v>0</v>
      </c>
      <c r="BF470" s="527">
        <v>0</v>
      </c>
      <c r="BG470" s="527">
        <v>0</v>
      </c>
      <c r="BH470" s="527">
        <v>0</v>
      </c>
      <c r="BI470" s="527">
        <v>0</v>
      </c>
      <c r="BJ470" s="527">
        <v>0</v>
      </c>
      <c r="BK470" s="1154">
        <f t="shared" si="51"/>
        <v>0</v>
      </c>
      <c r="BL470" s="1154"/>
      <c r="BM470" s="1154">
        <f t="shared" si="52"/>
        <v>0</v>
      </c>
      <c r="BN470" s="1154">
        <f t="shared" si="53"/>
        <v>0</v>
      </c>
      <c r="BO470" s="527"/>
      <c r="BP470" s="527"/>
      <c r="BQ470" s="1157" t="s">
        <v>2556</v>
      </c>
      <c r="BR470" s="1157" t="s">
        <v>690</v>
      </c>
      <c r="BS470" s="1157" t="s">
        <v>527</v>
      </c>
      <c r="BT470" s="1376" t="s">
        <v>1774</v>
      </c>
    </row>
    <row r="471" spans="1:72" s="1371" customFormat="1" ht="13">
      <c r="A471" s="1204">
        <v>1027</v>
      </c>
      <c r="B471" s="1205" t="s">
        <v>672</v>
      </c>
      <c r="C471" s="1205" t="s">
        <v>675</v>
      </c>
      <c r="D471" s="1206" t="s">
        <v>2522</v>
      </c>
      <c r="E471" s="1386" t="s">
        <v>532</v>
      </c>
      <c r="F471" s="521"/>
      <c r="G471" s="522"/>
      <c r="H471" s="522"/>
      <c r="I471" s="522"/>
      <c r="J471" s="523"/>
      <c r="K471" s="523"/>
      <c r="L471" s="523"/>
      <c r="M471" s="524"/>
      <c r="N471" s="525"/>
      <c r="O471" s="526" t="s">
        <v>1237</v>
      </c>
      <c r="P471" s="525">
        <f>'HIV-Key Info'!$I$87*(('HIV-Key Info'!$E$87*'HPM costs'!F379)+('HIV-Key Info'!$F$87*('HPM costs'!F382+'HPM costs'!F385)))</f>
        <v>0</v>
      </c>
      <c r="Q471" s="525" t="s">
        <v>1237</v>
      </c>
      <c r="R471" s="525">
        <f>'HIV-Key Info'!$I$87*(('HIV-Key Info'!$E$87*'HPM costs'!G379)+('HIV-Key Info'!$F$87*('HPM costs'!G382+'HPM costs'!G385)))</f>
        <v>0</v>
      </c>
      <c r="S471" s="525" t="s">
        <v>1237</v>
      </c>
      <c r="T471" s="525">
        <f>'HIV-Key Info'!$I$87*(('HIV-Key Info'!$E$87*'HPM costs'!H379)+('HIV-Key Info'!$F$87*('HPM costs'!H382+'HPM costs'!H385)))</f>
        <v>0</v>
      </c>
      <c r="U471" s="525" t="s">
        <v>1237</v>
      </c>
      <c r="V471" s="525">
        <f>'HIV-Key Info'!$I$87*(('HIV-Key Info'!$E$87*'HPM costs'!I379)+('HIV-Key Info'!$F$87*('HPM costs'!I382+'HPM costs'!I385)))</f>
        <v>0</v>
      </c>
      <c r="W471" s="525"/>
      <c r="X471" s="1154">
        <f t="shared" si="48"/>
        <v>0</v>
      </c>
      <c r="Y471" s="1155"/>
      <c r="Z471" s="1156"/>
      <c r="AA471" s="529"/>
      <c r="AB471" s="525"/>
      <c r="AC471" s="525">
        <f>'HIV-Key Info'!$I$87*(('HIV-Key Info'!$E$87*'HPM costs'!K379)+('HIV-Key Info'!$F$87*('HPM costs'!K382+'HPM costs'!K385)))</f>
        <v>0</v>
      </c>
      <c r="AD471" s="525"/>
      <c r="AE471" s="525">
        <f>'HIV-Key Info'!$I$87*(('HIV-Key Info'!$E$87*'HPM costs'!L379)+('HIV-Key Info'!$F$87*('HPM costs'!L382+'HPM costs'!L385)))</f>
        <v>0</v>
      </c>
      <c r="AF471" s="525"/>
      <c r="AG471" s="525">
        <f>'HIV-Key Info'!$I$87*(('HIV-Key Info'!$E$87*'HPM costs'!M379)+('HIV-Key Info'!$F$87*('HPM costs'!M382+'HPM costs'!M385)))</f>
        <v>0</v>
      </c>
      <c r="AH471" s="525"/>
      <c r="AI471" s="525">
        <f>'HIV-Key Info'!$I$87*(('HIV-Key Info'!$E$87*'HPM costs'!N379)+('HIV-Key Info'!$F$87*('HPM costs'!N382+'HPM costs'!N385)))</f>
        <v>0</v>
      </c>
      <c r="AJ471" s="525"/>
      <c r="AK471" s="1154">
        <f t="shared" si="49"/>
        <v>0</v>
      </c>
      <c r="AL471" s="1155"/>
      <c r="AM471" s="1156"/>
      <c r="AN471" s="529"/>
      <c r="AO471" s="525"/>
      <c r="AP471" s="525">
        <f>'HIV-Key Info'!$I$87*(('HIV-Key Info'!$E$87*'HPM costs'!P379)+('HIV-Key Info'!$F$87*('HPM costs'!P382+'HPM costs'!P385)))</f>
        <v>0</v>
      </c>
      <c r="AQ471" s="525"/>
      <c r="AR471" s="525">
        <f>'HIV-Key Info'!$I$87*(('HIV-Key Info'!$E$87*'HPM costs'!Q379)+('HIV-Key Info'!$F$87*('HPM costs'!Q382+'HPM costs'!Q385)))</f>
        <v>0</v>
      </c>
      <c r="AS471" s="525"/>
      <c r="AT471" s="525">
        <f>'HIV-Key Info'!$I$87*(('HIV-Key Info'!$E$87*'HPM costs'!R379)+('HIV-Key Info'!$F$87*('HPM costs'!R382+'HPM costs'!R385)))</f>
        <v>0</v>
      </c>
      <c r="AU471" s="525"/>
      <c r="AV471" s="525">
        <f>'HIV-Key Info'!$I$87*(('HIV-Key Info'!$E$87*'HPM costs'!S379)+('HIV-Key Info'!$F$87*('HPM costs'!S382+'HPM costs'!S385)))</f>
        <v>0</v>
      </c>
      <c r="AW471" s="525"/>
      <c r="AX471" s="1154">
        <f t="shared" si="50"/>
        <v>0</v>
      </c>
      <c r="AY471" s="1154"/>
      <c r="AZ471" s="528"/>
      <c r="BA471" s="529"/>
      <c r="BB471" s="527"/>
      <c r="BC471" s="527">
        <v>0</v>
      </c>
      <c r="BD471" s="527">
        <v>0</v>
      </c>
      <c r="BE471" s="527">
        <v>0</v>
      </c>
      <c r="BF471" s="527">
        <v>0</v>
      </c>
      <c r="BG471" s="527">
        <v>0</v>
      </c>
      <c r="BH471" s="527">
        <v>0</v>
      </c>
      <c r="BI471" s="527">
        <v>0</v>
      </c>
      <c r="BJ471" s="527">
        <v>0</v>
      </c>
      <c r="BK471" s="1154">
        <f t="shared" si="51"/>
        <v>0</v>
      </c>
      <c r="BL471" s="1154"/>
      <c r="BM471" s="1154">
        <f t="shared" si="52"/>
        <v>0</v>
      </c>
      <c r="BN471" s="1154">
        <f t="shared" si="53"/>
        <v>0</v>
      </c>
      <c r="BO471" s="527"/>
      <c r="BP471" s="527"/>
      <c r="BQ471" s="1157" t="s">
        <v>2556</v>
      </c>
      <c r="BR471" s="1157" t="s">
        <v>690</v>
      </c>
      <c r="BS471" s="1157" t="s">
        <v>527</v>
      </c>
      <c r="BT471" s="1376" t="s">
        <v>1775</v>
      </c>
    </row>
    <row r="472" spans="1:72" s="1371" customFormat="1" ht="13">
      <c r="A472" s="1204">
        <v>1028</v>
      </c>
      <c r="B472" s="1205" t="s">
        <v>672</v>
      </c>
      <c r="C472" s="1205" t="s">
        <v>675</v>
      </c>
      <c r="D472" s="1206" t="s">
        <v>2522</v>
      </c>
      <c r="E472" s="1386" t="s">
        <v>534</v>
      </c>
      <c r="F472" s="521"/>
      <c r="G472" s="522"/>
      <c r="H472" s="522"/>
      <c r="I472" s="522"/>
      <c r="J472" s="523"/>
      <c r="K472" s="523"/>
      <c r="L472" s="523"/>
      <c r="M472" s="524"/>
      <c r="N472" s="525"/>
      <c r="O472" s="526" t="s">
        <v>1237</v>
      </c>
      <c r="P472" s="525">
        <f>'HIV-Key Info'!$I$87*(('HIV-Key Info'!$E$87*'HPM costs'!F465)+('HIV-Key Info'!$F$87*('HPM costs'!F468+'HPM costs'!F471)))</f>
        <v>0</v>
      </c>
      <c r="Q472" s="525" t="s">
        <v>1237</v>
      </c>
      <c r="R472" s="525">
        <f>'HIV-Key Info'!$I$87*(('HIV-Key Info'!$E$87*'HPM costs'!G465)+('HIV-Key Info'!$F$87*('HPM costs'!G468+'HPM costs'!G471)))</f>
        <v>0</v>
      </c>
      <c r="S472" s="525" t="s">
        <v>1237</v>
      </c>
      <c r="T472" s="525">
        <f>'HIV-Key Info'!$I$87*(('HIV-Key Info'!$E$87*'HPM costs'!H465)+('HIV-Key Info'!$F$87*('HPM costs'!H468+'HPM costs'!H471)))</f>
        <v>0</v>
      </c>
      <c r="U472" s="525" t="s">
        <v>1237</v>
      </c>
      <c r="V472" s="525">
        <f>'HIV-Key Info'!$I$87*(('HIV-Key Info'!$E$87*'HPM costs'!I465)+('HIV-Key Info'!$F$87*('HPM costs'!I468+'HPM costs'!I471)))</f>
        <v>0</v>
      </c>
      <c r="W472" s="525"/>
      <c r="X472" s="1154">
        <f t="shared" si="48"/>
        <v>0</v>
      </c>
      <c r="Y472" s="1155"/>
      <c r="Z472" s="1156"/>
      <c r="AA472" s="529"/>
      <c r="AB472" s="525"/>
      <c r="AC472" s="525">
        <f>'HIV-Key Info'!$I$87*(('HIV-Key Info'!$E$87*'HPM costs'!K465)+('HIV-Key Info'!$F$87*('HPM costs'!K468+'HPM costs'!K471)))</f>
        <v>0</v>
      </c>
      <c r="AD472" s="525"/>
      <c r="AE472" s="525">
        <f>'HIV-Key Info'!$I$87*(('HIV-Key Info'!$E$87*'HPM costs'!L465)+('HIV-Key Info'!$F$87*('HPM costs'!L468+'HPM costs'!L471)))</f>
        <v>0</v>
      </c>
      <c r="AF472" s="525"/>
      <c r="AG472" s="525">
        <f>'HIV-Key Info'!$I$87*(('HIV-Key Info'!$E$87*'HPM costs'!M465)+('HIV-Key Info'!$F$87*('HPM costs'!M468+'HPM costs'!M471)))</f>
        <v>0</v>
      </c>
      <c r="AH472" s="525"/>
      <c r="AI472" s="525">
        <f>'HIV-Key Info'!$I$87*(('HIV-Key Info'!$E$87*'HPM costs'!N465)+('HIV-Key Info'!$F$87*('HPM costs'!N468+'HPM costs'!N471)))</f>
        <v>0</v>
      </c>
      <c r="AJ472" s="525"/>
      <c r="AK472" s="1154">
        <f t="shared" si="49"/>
        <v>0</v>
      </c>
      <c r="AL472" s="1155"/>
      <c r="AM472" s="1156"/>
      <c r="AN472" s="529"/>
      <c r="AO472" s="525"/>
      <c r="AP472" s="525">
        <f>'HIV-Key Info'!$I$87*(('HIV-Key Info'!$E$87*'HPM costs'!P465)+('HIV-Key Info'!$F$87*('HPM costs'!P468+'HPM costs'!P471)))</f>
        <v>0</v>
      </c>
      <c r="AQ472" s="525"/>
      <c r="AR472" s="525">
        <f>'HIV-Key Info'!$I$87*(('HIV-Key Info'!$E$87*'HPM costs'!Q465)+('HIV-Key Info'!$F$87*('HPM costs'!Q468+'HPM costs'!Q471)))</f>
        <v>0</v>
      </c>
      <c r="AS472" s="525"/>
      <c r="AT472" s="525">
        <f>'HIV-Key Info'!$I$87*(('HIV-Key Info'!$E$87*'HPM costs'!R465)+('HIV-Key Info'!$F$87*('HPM costs'!R468+'HPM costs'!R471)))</f>
        <v>0</v>
      </c>
      <c r="AU472" s="525"/>
      <c r="AV472" s="525">
        <f>'HIV-Key Info'!$I$87*(('HIV-Key Info'!$E$87*'HPM costs'!S465)+('HIV-Key Info'!$F$87*('HPM costs'!S468+'HPM costs'!S471)))</f>
        <v>0</v>
      </c>
      <c r="AW472" s="525"/>
      <c r="AX472" s="1154">
        <f t="shared" si="50"/>
        <v>0</v>
      </c>
      <c r="AY472" s="1154"/>
      <c r="AZ472" s="528"/>
      <c r="BA472" s="529"/>
      <c r="BB472" s="527"/>
      <c r="BC472" s="527">
        <v>0</v>
      </c>
      <c r="BD472" s="527">
        <v>0</v>
      </c>
      <c r="BE472" s="527">
        <v>0</v>
      </c>
      <c r="BF472" s="527">
        <v>0</v>
      </c>
      <c r="BG472" s="527">
        <v>0</v>
      </c>
      <c r="BH472" s="527">
        <v>0</v>
      </c>
      <c r="BI472" s="527">
        <v>0</v>
      </c>
      <c r="BJ472" s="527">
        <v>0</v>
      </c>
      <c r="BK472" s="1154">
        <f t="shared" si="51"/>
        <v>0</v>
      </c>
      <c r="BL472" s="1154"/>
      <c r="BM472" s="1154">
        <f t="shared" si="52"/>
        <v>0</v>
      </c>
      <c r="BN472" s="1154">
        <f t="shared" si="53"/>
        <v>0</v>
      </c>
      <c r="BO472" s="527"/>
      <c r="BP472" s="527"/>
      <c r="BQ472" s="1157" t="s">
        <v>2556</v>
      </c>
      <c r="BR472" s="1157" t="s">
        <v>690</v>
      </c>
      <c r="BS472" s="1157" t="s">
        <v>527</v>
      </c>
      <c r="BT472" s="1376" t="s">
        <v>1776</v>
      </c>
    </row>
    <row r="473" spans="1:72" s="1371" customFormat="1" ht="13">
      <c r="A473" s="1204">
        <v>1029</v>
      </c>
      <c r="B473" s="1205" t="s">
        <v>672</v>
      </c>
      <c r="C473" s="1205" t="s">
        <v>675</v>
      </c>
      <c r="D473" s="1206" t="s">
        <v>2522</v>
      </c>
      <c r="E473" s="1386" t="s">
        <v>536</v>
      </c>
      <c r="F473" s="521"/>
      <c r="G473" s="522"/>
      <c r="H473" s="522"/>
      <c r="I473" s="522"/>
      <c r="J473" s="523"/>
      <c r="K473" s="523"/>
      <c r="L473" s="523"/>
      <c r="M473" s="524"/>
      <c r="N473" s="525"/>
      <c r="O473" s="526" t="s">
        <v>1237</v>
      </c>
      <c r="P473" s="525">
        <f>'HIV-Key Info'!$I$87*(('HIV-Key Info'!$E$87*('HPM costs'!F205+'HPM costs'!F551))+('HIV-Key Info'!$F$87*('HPM costs'!F208+'HPM costs'!F211+'HPM costs'!F554+'HPM costs'!F557)))</f>
        <v>0</v>
      </c>
      <c r="Q473" s="525" t="s">
        <v>1237</v>
      </c>
      <c r="R473" s="525">
        <f>'HIV-Key Info'!$I$87*(('HIV-Key Info'!$E$87*('HPM costs'!G205+'HPM costs'!G551))+('HIV-Key Info'!$F$87*('HPM costs'!G208+'HPM costs'!G211+'HPM costs'!G554+'HPM costs'!G557)))</f>
        <v>0</v>
      </c>
      <c r="S473" s="525" t="s">
        <v>1237</v>
      </c>
      <c r="T473" s="525">
        <f>'HIV-Key Info'!$I$87*(('HIV-Key Info'!$E$87*('HPM costs'!H205+'HPM costs'!H551))+('HIV-Key Info'!$F$87*('HPM costs'!H208+'HPM costs'!H211+'HPM costs'!H554+'HPM costs'!H557)))</f>
        <v>0</v>
      </c>
      <c r="U473" s="525" t="s">
        <v>1237</v>
      </c>
      <c r="V473" s="525">
        <f>'HIV-Key Info'!$I$87*(('HIV-Key Info'!$E$87*('HPM costs'!I205+'HPM costs'!I551))+('HIV-Key Info'!$F$87*('HPM costs'!I208+'HPM costs'!I211+'HPM costs'!I554+'HPM costs'!I557)))</f>
        <v>0</v>
      </c>
      <c r="W473" s="525"/>
      <c r="X473" s="1154">
        <f t="shared" si="48"/>
        <v>0</v>
      </c>
      <c r="Y473" s="1155"/>
      <c r="Z473" s="1156"/>
      <c r="AA473" s="529"/>
      <c r="AB473" s="525"/>
      <c r="AC473" s="525">
        <f>'HIV-Key Info'!$I$87*(('HIV-Key Info'!$E$87*('HPM costs'!K205+'HPM costs'!K551))+('HIV-Key Info'!$F$87*('HPM costs'!K208+'HPM costs'!K211+'HPM costs'!K554+'HPM costs'!K557)))</f>
        <v>0</v>
      </c>
      <c r="AD473" s="525"/>
      <c r="AE473" s="525">
        <f>'HIV-Key Info'!$I$87*(('HIV-Key Info'!$E$87*('HPM costs'!L205+'HPM costs'!L551))+('HIV-Key Info'!$F$87*('HPM costs'!L208+'HPM costs'!L211+'HPM costs'!L554+'HPM costs'!L557)))</f>
        <v>0</v>
      </c>
      <c r="AF473" s="525"/>
      <c r="AG473" s="525">
        <f>'HIV-Key Info'!$I$87*(('HIV-Key Info'!$E$87*('HPM costs'!M205+'HPM costs'!M551))+('HIV-Key Info'!$F$87*('HPM costs'!M208+'HPM costs'!M211+'HPM costs'!M554+'HPM costs'!M557)))</f>
        <v>0</v>
      </c>
      <c r="AH473" s="525"/>
      <c r="AI473" s="525">
        <f>'HIV-Key Info'!$I$87*(('HIV-Key Info'!$E$87*('HPM costs'!N205+'HPM costs'!N551))+('HIV-Key Info'!$F$87*('HPM costs'!N208+'HPM costs'!N211+'HPM costs'!N554+'HPM costs'!N557)))</f>
        <v>0</v>
      </c>
      <c r="AJ473" s="525"/>
      <c r="AK473" s="1154">
        <f t="shared" si="49"/>
        <v>0</v>
      </c>
      <c r="AL473" s="1155"/>
      <c r="AM473" s="1156"/>
      <c r="AN473" s="529"/>
      <c r="AO473" s="525"/>
      <c r="AP473" s="525">
        <f>'HIV-Key Info'!$I$87*(('HIV-Key Info'!$E$87*('HPM costs'!P205+'HPM costs'!P551))+('HIV-Key Info'!$F$87*('HPM costs'!P208+'HPM costs'!P211+'HPM costs'!P554+'HPM costs'!P557)))</f>
        <v>0</v>
      </c>
      <c r="AQ473" s="525"/>
      <c r="AR473" s="525">
        <f>'HIV-Key Info'!$I$87*(('HIV-Key Info'!$E$87*('HPM costs'!Q205+'HPM costs'!Q551))+('HIV-Key Info'!$F$87*('HPM costs'!Q208+'HPM costs'!Q211+'HPM costs'!Q554+'HPM costs'!Q557)))</f>
        <v>0</v>
      </c>
      <c r="AS473" s="525"/>
      <c r="AT473" s="525">
        <f>'HIV-Key Info'!$I$87*(('HIV-Key Info'!$E$87*('HPM costs'!R205+'HPM costs'!R551))+('HIV-Key Info'!$F$87*('HPM costs'!R208+'HPM costs'!R211+'HPM costs'!R554+'HPM costs'!R557)))</f>
        <v>0</v>
      </c>
      <c r="AU473" s="525"/>
      <c r="AV473" s="525">
        <f>'HIV-Key Info'!$I$87*(('HIV-Key Info'!$E$87*('HPM costs'!S205+'HPM costs'!S551))+('HIV-Key Info'!$F$87*('HPM costs'!S208+'HPM costs'!S211+'HPM costs'!S554+'HPM costs'!S557)))</f>
        <v>0</v>
      </c>
      <c r="AW473" s="525"/>
      <c r="AX473" s="1154">
        <f t="shared" si="50"/>
        <v>0</v>
      </c>
      <c r="AY473" s="1154"/>
      <c r="AZ473" s="528"/>
      <c r="BA473" s="529"/>
      <c r="BB473" s="527"/>
      <c r="BC473" s="527">
        <v>0</v>
      </c>
      <c r="BD473" s="527">
        <v>0</v>
      </c>
      <c r="BE473" s="527">
        <v>0</v>
      </c>
      <c r="BF473" s="527">
        <v>0</v>
      </c>
      <c r="BG473" s="527">
        <v>0</v>
      </c>
      <c r="BH473" s="527">
        <v>0</v>
      </c>
      <c r="BI473" s="527">
        <v>0</v>
      </c>
      <c r="BJ473" s="527">
        <v>0</v>
      </c>
      <c r="BK473" s="1154">
        <f t="shared" si="51"/>
        <v>0</v>
      </c>
      <c r="BL473" s="1154"/>
      <c r="BM473" s="1154">
        <f t="shared" si="52"/>
        <v>0</v>
      </c>
      <c r="BN473" s="1154">
        <f t="shared" si="53"/>
        <v>0</v>
      </c>
      <c r="BO473" s="527"/>
      <c r="BP473" s="527"/>
      <c r="BQ473" s="1157" t="s">
        <v>2556</v>
      </c>
      <c r="BR473" s="1157" t="s">
        <v>690</v>
      </c>
      <c r="BS473" s="1157" t="s">
        <v>527</v>
      </c>
      <c r="BT473" s="1376" t="s">
        <v>1777</v>
      </c>
    </row>
    <row r="474" spans="1:72" s="1371" customFormat="1" ht="13">
      <c r="A474" s="1204">
        <v>1030</v>
      </c>
      <c r="B474" s="1205" t="s">
        <v>672</v>
      </c>
      <c r="C474" s="1205" t="s">
        <v>675</v>
      </c>
      <c r="D474" s="1206" t="s">
        <v>2522</v>
      </c>
      <c r="E474" s="1386" t="s">
        <v>538</v>
      </c>
      <c r="F474" s="521"/>
      <c r="G474" s="522"/>
      <c r="H474" s="522"/>
      <c r="I474" s="522"/>
      <c r="J474" s="523"/>
      <c r="K474" s="523"/>
      <c r="L474" s="523"/>
      <c r="M474" s="524"/>
      <c r="N474" s="525"/>
      <c r="O474" s="526" t="s">
        <v>1237</v>
      </c>
      <c r="P474" s="525">
        <f>'HIV-Key Info'!$I$87*(('HIV-Key Info'!$E$87*'HPM costs'!F291)+('HIV-Key Info'!$F$87*('HPM costs'!F294+'HPM costs'!F297)))</f>
        <v>0</v>
      </c>
      <c r="Q474" s="525" t="s">
        <v>1237</v>
      </c>
      <c r="R474" s="525">
        <f>'HIV-Key Info'!$I$87*(('HIV-Key Info'!$E$87*'HPM costs'!G291)+('HIV-Key Info'!$F$87*('HPM costs'!G294+'HPM costs'!G297)))</f>
        <v>0</v>
      </c>
      <c r="S474" s="525" t="s">
        <v>1237</v>
      </c>
      <c r="T474" s="525">
        <f>'HIV-Key Info'!$I$87*(('HIV-Key Info'!$E$87*'HPM costs'!H291)+('HIV-Key Info'!$F$87*('HPM costs'!H294+'HPM costs'!H297)))</f>
        <v>0</v>
      </c>
      <c r="U474" s="525" t="s">
        <v>1237</v>
      </c>
      <c r="V474" s="525">
        <f>'HIV-Key Info'!$I$87*(('HIV-Key Info'!$E$87*'HPM costs'!I291)+('HIV-Key Info'!$F$87*('HPM costs'!I294+'HPM costs'!I297)))</f>
        <v>0</v>
      </c>
      <c r="W474" s="525"/>
      <c r="X474" s="1154">
        <f t="shared" si="48"/>
        <v>0</v>
      </c>
      <c r="Y474" s="1155"/>
      <c r="Z474" s="1156"/>
      <c r="AA474" s="529"/>
      <c r="AB474" s="525"/>
      <c r="AC474" s="525">
        <f>'HIV-Key Info'!$I$87*(('HIV-Key Info'!$E$87*'HPM costs'!K291)+('HIV-Key Info'!$F$87*('HPM costs'!K294+'HPM costs'!K297)))</f>
        <v>0</v>
      </c>
      <c r="AD474" s="525"/>
      <c r="AE474" s="525">
        <f>'HIV-Key Info'!$I$87*(('HIV-Key Info'!$E$87*'HPM costs'!L291)+('HIV-Key Info'!$F$87*('HPM costs'!L294+'HPM costs'!L297)))</f>
        <v>0</v>
      </c>
      <c r="AF474" s="525"/>
      <c r="AG474" s="525">
        <f>'HIV-Key Info'!$I$87*(('HIV-Key Info'!$E$87*'HPM costs'!M291)+('HIV-Key Info'!$F$87*('HPM costs'!M294+'HPM costs'!M297)))</f>
        <v>0</v>
      </c>
      <c r="AH474" s="525"/>
      <c r="AI474" s="525">
        <f>'HIV-Key Info'!$I$87*(('HIV-Key Info'!$E$87*'HPM costs'!N291)+('HIV-Key Info'!$F$87*('HPM costs'!N294+'HPM costs'!N297)))</f>
        <v>0</v>
      </c>
      <c r="AJ474" s="525"/>
      <c r="AK474" s="1154">
        <f t="shared" si="49"/>
        <v>0</v>
      </c>
      <c r="AL474" s="1155"/>
      <c r="AM474" s="1156"/>
      <c r="AN474" s="529"/>
      <c r="AO474" s="525"/>
      <c r="AP474" s="525">
        <f>'HIV-Key Info'!$I$87*(('HIV-Key Info'!$E$87*'HPM costs'!P291)+('HIV-Key Info'!$F$87*('HPM costs'!P294+'HPM costs'!P297)))</f>
        <v>0</v>
      </c>
      <c r="AQ474" s="525"/>
      <c r="AR474" s="525">
        <f>'HIV-Key Info'!$I$87*(('HIV-Key Info'!$E$87*'HPM costs'!Q291)+('HIV-Key Info'!$F$87*('HPM costs'!Q294+'HPM costs'!Q297)))</f>
        <v>0</v>
      </c>
      <c r="AS474" s="525"/>
      <c r="AT474" s="525">
        <f>'HIV-Key Info'!$I$87*(('HIV-Key Info'!$E$87*'HPM costs'!R291)+('HIV-Key Info'!$F$87*('HPM costs'!R294+'HPM costs'!R297)))</f>
        <v>0</v>
      </c>
      <c r="AU474" s="525"/>
      <c r="AV474" s="525">
        <f>'HIV-Key Info'!$I$87*(('HIV-Key Info'!$E$87*'HPM costs'!S291)+('HIV-Key Info'!$F$87*('HPM costs'!S294+'HPM costs'!S297)))</f>
        <v>0</v>
      </c>
      <c r="AW474" s="525"/>
      <c r="AX474" s="1154">
        <f t="shared" si="50"/>
        <v>0</v>
      </c>
      <c r="AY474" s="1154"/>
      <c r="AZ474" s="528"/>
      <c r="BA474" s="529"/>
      <c r="BB474" s="527"/>
      <c r="BC474" s="527">
        <v>0</v>
      </c>
      <c r="BD474" s="527">
        <v>0</v>
      </c>
      <c r="BE474" s="527">
        <v>0</v>
      </c>
      <c r="BF474" s="527">
        <v>0</v>
      </c>
      <c r="BG474" s="527">
        <v>0</v>
      </c>
      <c r="BH474" s="527">
        <v>0</v>
      </c>
      <c r="BI474" s="527">
        <v>0</v>
      </c>
      <c r="BJ474" s="527">
        <v>0</v>
      </c>
      <c r="BK474" s="1154">
        <f t="shared" si="51"/>
        <v>0</v>
      </c>
      <c r="BL474" s="1154"/>
      <c r="BM474" s="1154">
        <f t="shared" si="52"/>
        <v>0</v>
      </c>
      <c r="BN474" s="1154">
        <f t="shared" si="53"/>
        <v>0</v>
      </c>
      <c r="BO474" s="527"/>
      <c r="BP474" s="527"/>
      <c r="BQ474" s="1157" t="s">
        <v>2556</v>
      </c>
      <c r="BR474" s="1157" t="s">
        <v>690</v>
      </c>
      <c r="BS474" s="1157" t="s">
        <v>527</v>
      </c>
      <c r="BT474" s="1376" t="s">
        <v>1778</v>
      </c>
    </row>
    <row r="475" spans="1:72" s="1371" customFormat="1" ht="13">
      <c r="A475" s="1204">
        <v>1031</v>
      </c>
      <c r="B475" s="1205" t="s">
        <v>672</v>
      </c>
      <c r="C475" s="1205" t="s">
        <v>675</v>
      </c>
      <c r="D475" s="1206" t="s">
        <v>2522</v>
      </c>
      <c r="E475" s="1386" t="s">
        <v>540</v>
      </c>
      <c r="F475" s="521"/>
      <c r="G475" s="522"/>
      <c r="H475" s="522"/>
      <c r="I475" s="522"/>
      <c r="J475" s="523"/>
      <c r="K475" s="523"/>
      <c r="L475" s="523"/>
      <c r="M475" s="524"/>
      <c r="N475" s="525"/>
      <c r="O475" s="526" t="s">
        <v>1237</v>
      </c>
      <c r="P475" s="525">
        <f>'HIV-Key Info'!$I$87*(('HIV-Key Info'!$E$87*'HPM costs'!F636)+('HIV-Key Info'!$F$87*('HPM costs'!F639+'HPM costs'!F642)))</f>
        <v>0</v>
      </c>
      <c r="Q475" s="525" t="s">
        <v>1237</v>
      </c>
      <c r="R475" s="525">
        <f>'HIV-Key Info'!$I$87*(('HIV-Key Info'!$E$87*'HPM costs'!G636)+('HIV-Key Info'!$F$87*('HPM costs'!G639+'HPM costs'!G642)))</f>
        <v>0</v>
      </c>
      <c r="S475" s="525" t="s">
        <v>1237</v>
      </c>
      <c r="T475" s="525">
        <f>'HIV-Key Info'!$I$87*(('HIV-Key Info'!$E$87*'HPM costs'!H636)+('HIV-Key Info'!$F$87*('HPM costs'!H639+'HPM costs'!H642)))</f>
        <v>0</v>
      </c>
      <c r="U475" s="525" t="s">
        <v>1237</v>
      </c>
      <c r="V475" s="525">
        <f>'HIV-Key Info'!$I$87*(('HIV-Key Info'!$E$87*'HPM costs'!I636)+('HIV-Key Info'!$F$87*('HPM costs'!I639+'HPM costs'!I642)))</f>
        <v>0</v>
      </c>
      <c r="W475" s="525"/>
      <c r="X475" s="1154">
        <f t="shared" si="48"/>
        <v>0</v>
      </c>
      <c r="Y475" s="1155"/>
      <c r="Z475" s="1156"/>
      <c r="AA475" s="529"/>
      <c r="AB475" s="525"/>
      <c r="AC475" s="525">
        <f>'HIV-Key Info'!$I$87*(('HIV-Key Info'!$E$87*'HPM costs'!K636)+('HIV-Key Info'!$F$87*('HPM costs'!K639+'HPM costs'!K642)))</f>
        <v>0</v>
      </c>
      <c r="AD475" s="525"/>
      <c r="AE475" s="525">
        <f>'HIV-Key Info'!$I$87*(('HIV-Key Info'!$E$87*'HPM costs'!L636)+('HIV-Key Info'!$F$87*('HPM costs'!L639+'HPM costs'!L642)))</f>
        <v>0</v>
      </c>
      <c r="AF475" s="525"/>
      <c r="AG475" s="525">
        <f>'HIV-Key Info'!$I$87*(('HIV-Key Info'!$E$87*'HPM costs'!M636)+('HIV-Key Info'!$F$87*('HPM costs'!M639+'HPM costs'!M642)))</f>
        <v>0</v>
      </c>
      <c r="AH475" s="525"/>
      <c r="AI475" s="525">
        <f>'HIV-Key Info'!$I$87*(('HIV-Key Info'!$E$87*'HPM costs'!N636)+('HIV-Key Info'!$F$87*('HPM costs'!N639+'HPM costs'!N642)))</f>
        <v>0</v>
      </c>
      <c r="AJ475" s="525"/>
      <c r="AK475" s="1154">
        <f t="shared" si="49"/>
        <v>0</v>
      </c>
      <c r="AL475" s="1155"/>
      <c r="AM475" s="1156"/>
      <c r="AN475" s="529"/>
      <c r="AO475" s="525"/>
      <c r="AP475" s="525">
        <f>'HIV-Key Info'!$I$87*(('HIV-Key Info'!$E$87*'HPM costs'!P636)+('HIV-Key Info'!$F$87*('HPM costs'!P639+'HPM costs'!P642)))</f>
        <v>0</v>
      </c>
      <c r="AQ475" s="525"/>
      <c r="AR475" s="525">
        <f>'HIV-Key Info'!$I$87*(('HIV-Key Info'!$E$87*'HPM costs'!Q636)+('HIV-Key Info'!$F$87*('HPM costs'!Q639+'HPM costs'!Q642)))</f>
        <v>0</v>
      </c>
      <c r="AS475" s="525"/>
      <c r="AT475" s="525">
        <f>'HIV-Key Info'!$I$87*(('HIV-Key Info'!$E$87*'HPM costs'!R636)+('HIV-Key Info'!$F$87*('HPM costs'!R639+'HPM costs'!R642)))</f>
        <v>0</v>
      </c>
      <c r="AU475" s="525"/>
      <c r="AV475" s="525">
        <f>'HIV-Key Info'!$I$87*(('HIV-Key Info'!$E$87*'HPM costs'!S636)+('HIV-Key Info'!$F$87*('HPM costs'!S639+'HPM costs'!S642)))</f>
        <v>0</v>
      </c>
      <c r="AW475" s="525"/>
      <c r="AX475" s="1154">
        <f t="shared" si="50"/>
        <v>0</v>
      </c>
      <c r="AY475" s="1154"/>
      <c r="AZ475" s="528"/>
      <c r="BA475" s="529"/>
      <c r="BB475" s="527"/>
      <c r="BC475" s="527">
        <v>0</v>
      </c>
      <c r="BD475" s="527">
        <v>0</v>
      </c>
      <c r="BE475" s="527">
        <v>0</v>
      </c>
      <c r="BF475" s="527">
        <v>0</v>
      </c>
      <c r="BG475" s="527">
        <v>0</v>
      </c>
      <c r="BH475" s="527">
        <v>0</v>
      </c>
      <c r="BI475" s="527">
        <v>0</v>
      </c>
      <c r="BJ475" s="527">
        <v>0</v>
      </c>
      <c r="BK475" s="1154">
        <f t="shared" si="51"/>
        <v>0</v>
      </c>
      <c r="BL475" s="1154"/>
      <c r="BM475" s="1154">
        <f t="shared" si="52"/>
        <v>0</v>
      </c>
      <c r="BN475" s="1154">
        <f t="shared" si="53"/>
        <v>0</v>
      </c>
      <c r="BO475" s="527"/>
      <c r="BP475" s="527"/>
      <c r="BQ475" s="1157" t="s">
        <v>2556</v>
      </c>
      <c r="BR475" s="1157" t="s">
        <v>690</v>
      </c>
      <c r="BS475" s="1157" t="s">
        <v>527</v>
      </c>
      <c r="BT475" s="1376" t="s">
        <v>1779</v>
      </c>
    </row>
    <row r="476" spans="1:72" s="1371" customFormat="1" ht="13">
      <c r="A476" s="1204">
        <v>1032</v>
      </c>
      <c r="B476" s="1205" t="s">
        <v>672</v>
      </c>
      <c r="C476" s="1205" t="s">
        <v>673</v>
      </c>
      <c r="D476" s="1206" t="s">
        <v>2579</v>
      </c>
      <c r="E476" s="1386" t="s">
        <v>603</v>
      </c>
      <c r="F476" s="521"/>
      <c r="G476" s="522"/>
      <c r="H476" s="522"/>
      <c r="I476" s="522"/>
      <c r="J476" s="523"/>
      <c r="K476" s="523"/>
      <c r="L476" s="523"/>
      <c r="M476" s="524"/>
      <c r="N476" s="525"/>
      <c r="O476" s="526" t="s">
        <v>1237</v>
      </c>
      <c r="P476" s="525">
        <f>'HIV-Key Info'!$G$88*('HIV-Key Info'!$E$88*('HPM costs'!F119/'HPM costs'!$E$119)+'HIV-Key Info'!$F$88*('HPM costs'!F125/'HPM costs'!$E$125+'HPM costs'!F122/'HPM costs'!$E$122))</f>
        <v>0</v>
      </c>
      <c r="Q476" s="525" t="s">
        <v>1237</v>
      </c>
      <c r="R476" s="525">
        <f>'HIV-Key Info'!$G$88*('HIV-Key Info'!$E$88*('HPM costs'!G119/'HPM costs'!$E$119)+'HIV-Key Info'!$F$88*('HPM costs'!G125/'HPM costs'!$E$125+'HPM costs'!G122/'HPM costs'!$E$122))</f>
        <v>7873.8279589089998</v>
      </c>
      <c r="S476" s="525" t="s">
        <v>1237</v>
      </c>
      <c r="T476" s="525">
        <f>'HIV-Key Info'!$G$88*('HIV-Key Info'!$E$88*('HPM costs'!H119/'HPM costs'!$E$119)+'HIV-Key Info'!$F$88*('HPM costs'!H125/'HPM costs'!$E$125+'HPM costs'!H122/'HPM costs'!$E$122))</f>
        <v>0</v>
      </c>
      <c r="U476" s="525" t="s">
        <v>1237</v>
      </c>
      <c r="V476" s="525">
        <f>'HIV-Key Info'!$G$88*('HIV-Key Info'!$E$88*('HPM costs'!I119/'HPM costs'!$E$119)+'HIV-Key Info'!$F$88*('HPM costs'!I125/'HPM costs'!$E$125+'HPM costs'!I122/'HPM costs'!$E$122))</f>
        <v>0</v>
      </c>
      <c r="W476" s="525"/>
      <c r="X476" s="1154">
        <f t="shared" si="48"/>
        <v>7873.8279589089998</v>
      </c>
      <c r="Y476" s="1155"/>
      <c r="Z476" s="1156"/>
      <c r="AA476" s="529"/>
      <c r="AB476" s="525"/>
      <c r="AC476" s="525">
        <f>'HIV-Key Info'!$G$88*('HIV-Key Info'!$E$88*('HPM costs'!K119/'HPM costs'!$E$119)+'HIV-Key Info'!$F$88*('HPM costs'!K125/'HPM costs'!$E$125+'HPM costs'!K122/'HPM costs'!$E$122))</f>
        <v>0</v>
      </c>
      <c r="AD476" s="525"/>
      <c r="AE476" s="525">
        <f>'HIV-Key Info'!$G$88*('HIV-Key Info'!$E$88*('HPM costs'!L119/'HPM costs'!$E$119)+'HIV-Key Info'!$F$88*('HPM costs'!L125/'HPM costs'!$E$125+'HPM costs'!L122/'HPM costs'!$E$122))</f>
        <v>8221.7110031657994</v>
      </c>
      <c r="AF476" s="525"/>
      <c r="AG476" s="525">
        <f>'HIV-Key Info'!$G$88*('HIV-Key Info'!$E$88*('HPM costs'!M119/'HPM costs'!$E$119)+'HIV-Key Info'!$F$88*('HPM costs'!M125/'HPM costs'!$E$125+'HPM costs'!M122/'HPM costs'!$E$122))</f>
        <v>0</v>
      </c>
      <c r="AH476" s="525"/>
      <c r="AI476" s="525">
        <f>'HIV-Key Info'!$G$88*('HIV-Key Info'!$E$88*('HPM costs'!N119/'HPM costs'!$E$119)+'HIV-Key Info'!$F$88*('HPM costs'!N125/'HPM costs'!$E$125+'HPM costs'!N122/'HPM costs'!$E$122))</f>
        <v>0</v>
      </c>
      <c r="AJ476" s="525"/>
      <c r="AK476" s="1154">
        <f t="shared" si="49"/>
        <v>8221.7110031657994</v>
      </c>
      <c r="AL476" s="1155"/>
      <c r="AM476" s="1156"/>
      <c r="AN476" s="529"/>
      <c r="AO476" s="525"/>
      <c r="AP476" s="525">
        <f>'HIV-Key Info'!$G$88*('HIV-Key Info'!$E$88*('HPM costs'!P119/'HPM costs'!$E$119)+'HIV-Key Info'!$F$88*('HPM costs'!P125/'HPM costs'!$E$125+'HPM costs'!P122/'HPM costs'!$E$122))</f>
        <v>0</v>
      </c>
      <c r="AQ476" s="525"/>
      <c r="AR476" s="525">
        <f>'HIV-Key Info'!$G$88*('HIV-Key Info'!$E$88*('HPM costs'!Q119/'HPM costs'!$E$119)+'HIV-Key Info'!$F$88*('HPM costs'!Q125/'HPM costs'!$E$125+'HPM costs'!Q122/'HPM costs'!$E$122))</f>
        <v>8752.0265380588007</v>
      </c>
      <c r="AS476" s="525"/>
      <c r="AT476" s="525">
        <f>'HIV-Key Info'!$G$88*('HIV-Key Info'!$E$88*('HPM costs'!R119/'HPM costs'!$E$119)+'HIV-Key Info'!$F$88*('HPM costs'!R125/'HPM costs'!$E$125+'HPM costs'!R122/'HPM costs'!$E$122))</f>
        <v>0</v>
      </c>
      <c r="AU476" s="525"/>
      <c r="AV476" s="525">
        <f>'HIV-Key Info'!$G$88*('HIV-Key Info'!$E$88*('HPM costs'!S119/'HPM costs'!$E$119)+'HIV-Key Info'!$F$88*('HPM costs'!S125/'HPM costs'!$E$125+'HPM costs'!S122/'HPM costs'!$E$122))</f>
        <v>0</v>
      </c>
      <c r="AW476" s="525"/>
      <c r="AX476" s="1154">
        <f t="shared" si="50"/>
        <v>8752.0265380588007</v>
      </c>
      <c r="AY476" s="1154"/>
      <c r="AZ476" s="528"/>
      <c r="BA476" s="529"/>
      <c r="BB476" s="527"/>
      <c r="BC476" s="527">
        <v>0</v>
      </c>
      <c r="BD476" s="527">
        <v>0</v>
      </c>
      <c r="BE476" s="527">
        <v>0</v>
      </c>
      <c r="BF476" s="527">
        <v>0</v>
      </c>
      <c r="BG476" s="527">
        <v>0</v>
      </c>
      <c r="BH476" s="527">
        <v>0</v>
      </c>
      <c r="BI476" s="527">
        <v>0</v>
      </c>
      <c r="BJ476" s="527">
        <v>0</v>
      </c>
      <c r="BK476" s="1154">
        <f t="shared" si="51"/>
        <v>0</v>
      </c>
      <c r="BL476" s="1154"/>
      <c r="BM476" s="1154">
        <f t="shared" si="52"/>
        <v>0</v>
      </c>
      <c r="BN476" s="1154">
        <f t="shared" si="53"/>
        <v>24847.565500133598</v>
      </c>
      <c r="BO476" s="527"/>
      <c r="BP476" s="527" t="s">
        <v>4299</v>
      </c>
      <c r="BQ476" s="1157" t="s">
        <v>2556</v>
      </c>
      <c r="BR476" s="1157" t="s">
        <v>690</v>
      </c>
      <c r="BS476" s="1157" t="s">
        <v>2570</v>
      </c>
      <c r="BT476" s="1376" t="s">
        <v>1780</v>
      </c>
    </row>
    <row r="477" spans="1:72" s="1371" customFormat="1" ht="13">
      <c r="A477" s="1204">
        <v>1033</v>
      </c>
      <c r="B477" s="1205" t="s">
        <v>672</v>
      </c>
      <c r="C477" s="1205" t="s">
        <v>673</v>
      </c>
      <c r="D477" s="1206" t="s">
        <v>2526</v>
      </c>
      <c r="E477" s="1386" t="s">
        <v>528</v>
      </c>
      <c r="F477" s="521"/>
      <c r="G477" s="522"/>
      <c r="H477" s="522"/>
      <c r="I477" s="522"/>
      <c r="J477" s="523"/>
      <c r="K477" s="523"/>
      <c r="L477" s="523"/>
      <c r="M477" s="524"/>
      <c r="N477" s="525"/>
      <c r="O477" s="526" t="s">
        <v>1237</v>
      </c>
      <c r="P477" s="525">
        <f>'HIV-Key Info'!$G$88*(('HIV-Key Info'!$E$88*'HPM costs'!F33)+('HIV-Key Info'!$F$88*('HPM costs'!F36+'HPM costs'!F39)))</f>
        <v>0</v>
      </c>
      <c r="Q477" s="525" t="s">
        <v>1237</v>
      </c>
      <c r="R477" s="525">
        <f>'HIV-Key Info'!$G$88*(('HIV-Key Info'!$E$88*'HPM costs'!G33)+('HIV-Key Info'!$F$88*('HPM costs'!G36+'HPM costs'!G39)))</f>
        <v>472.42967753453996</v>
      </c>
      <c r="S477" s="525" t="s">
        <v>1237</v>
      </c>
      <c r="T477" s="525">
        <f>'HIV-Key Info'!$G$88*(('HIV-Key Info'!$E$88*'HPM costs'!H33)+('HIV-Key Info'!$F$88*('HPM costs'!H36+'HPM costs'!H39)))</f>
        <v>0</v>
      </c>
      <c r="U477" s="525" t="s">
        <v>1237</v>
      </c>
      <c r="V477" s="525">
        <f>'HIV-Key Info'!$G$88*(('HIV-Key Info'!$E$88*'HPM costs'!I33)+('HIV-Key Info'!$F$88*('HPM costs'!I36+'HPM costs'!I39)))</f>
        <v>0</v>
      </c>
      <c r="W477" s="525"/>
      <c r="X477" s="1154">
        <f t="shared" si="48"/>
        <v>472.42967753453996</v>
      </c>
      <c r="Y477" s="1155"/>
      <c r="Z477" s="1156"/>
      <c r="AA477" s="529"/>
      <c r="AB477" s="525"/>
      <c r="AC477" s="525">
        <f>'HIV-Key Info'!$G$88*(('HIV-Key Info'!$E$88*'HPM costs'!K33)+('HIV-Key Info'!$F$88*('HPM costs'!K36+'HPM costs'!K39)))</f>
        <v>0</v>
      </c>
      <c r="AD477" s="525"/>
      <c r="AE477" s="525">
        <f>'HIV-Key Info'!$G$88*(('HIV-Key Info'!$E$88*'HPM costs'!L33)+('HIV-Key Info'!$F$88*('HPM costs'!L36+'HPM costs'!L39)))</f>
        <v>493.30266018994797</v>
      </c>
      <c r="AF477" s="525"/>
      <c r="AG477" s="525">
        <f>'HIV-Key Info'!$G$88*(('HIV-Key Info'!$E$88*'HPM costs'!M33)+('HIV-Key Info'!$F$88*('HPM costs'!M36+'HPM costs'!M39)))</f>
        <v>0</v>
      </c>
      <c r="AH477" s="525"/>
      <c r="AI477" s="525">
        <f>'HIV-Key Info'!$G$88*(('HIV-Key Info'!$E$88*'HPM costs'!N33)+('HIV-Key Info'!$F$88*('HPM costs'!N36+'HPM costs'!N39)))</f>
        <v>0</v>
      </c>
      <c r="AJ477" s="525"/>
      <c r="AK477" s="1154">
        <f t="shared" si="49"/>
        <v>493.30266018994797</v>
      </c>
      <c r="AL477" s="1155"/>
      <c r="AM477" s="1156"/>
      <c r="AN477" s="529"/>
      <c r="AO477" s="525"/>
      <c r="AP477" s="525">
        <f>'HIV-Key Info'!$G$88*(('HIV-Key Info'!$E$88*'HPM costs'!P33)+('HIV-Key Info'!$F$88*('HPM costs'!P36+'HPM costs'!P39)))</f>
        <v>0</v>
      </c>
      <c r="AQ477" s="525"/>
      <c r="AR477" s="525">
        <f>'HIV-Key Info'!$G$88*(('HIV-Key Info'!$E$88*'HPM costs'!Q33)+('HIV-Key Info'!$F$88*('HPM costs'!Q36+'HPM costs'!Q39)))</f>
        <v>525.121592283528</v>
      </c>
      <c r="AS477" s="525"/>
      <c r="AT477" s="525">
        <f>'HIV-Key Info'!$G$88*(('HIV-Key Info'!$E$88*'HPM costs'!R33)+('HIV-Key Info'!$F$88*('HPM costs'!R36+'HPM costs'!R39)))</f>
        <v>0</v>
      </c>
      <c r="AU477" s="525"/>
      <c r="AV477" s="525">
        <f>'HIV-Key Info'!$G$88*(('HIV-Key Info'!$E$88*'HPM costs'!S33)+('HIV-Key Info'!$F$88*('HPM costs'!S36+'HPM costs'!S39)))</f>
        <v>0</v>
      </c>
      <c r="AW477" s="525"/>
      <c r="AX477" s="1154">
        <f t="shared" si="50"/>
        <v>525.121592283528</v>
      </c>
      <c r="AY477" s="1154"/>
      <c r="AZ477" s="528"/>
      <c r="BA477" s="529"/>
      <c r="BB477" s="527"/>
      <c r="BC477" s="527">
        <v>0</v>
      </c>
      <c r="BD477" s="527">
        <v>0</v>
      </c>
      <c r="BE477" s="527">
        <v>0</v>
      </c>
      <c r="BF477" s="527">
        <v>0</v>
      </c>
      <c r="BG477" s="527">
        <v>0</v>
      </c>
      <c r="BH477" s="527">
        <v>0</v>
      </c>
      <c r="BI477" s="527">
        <v>0</v>
      </c>
      <c r="BJ477" s="527">
        <v>0</v>
      </c>
      <c r="BK477" s="1154">
        <f t="shared" si="51"/>
        <v>0</v>
      </c>
      <c r="BL477" s="1154"/>
      <c r="BM477" s="1154">
        <f t="shared" si="52"/>
        <v>0</v>
      </c>
      <c r="BN477" s="1154">
        <f t="shared" si="53"/>
        <v>1490.8539300080158</v>
      </c>
      <c r="BO477" s="527"/>
      <c r="BP477" s="527" t="s">
        <v>4303</v>
      </c>
      <c r="BQ477" s="1157" t="s">
        <v>2558</v>
      </c>
      <c r="BR477" s="1157" t="s">
        <v>690</v>
      </c>
      <c r="BS477" s="1157" t="s">
        <v>527</v>
      </c>
      <c r="BT477" s="1376" t="s">
        <v>1781</v>
      </c>
    </row>
    <row r="478" spans="1:72" s="1371" customFormat="1" ht="13">
      <c r="A478" s="1204">
        <v>1034</v>
      </c>
      <c r="B478" s="1205" t="s">
        <v>672</v>
      </c>
      <c r="C478" s="1205" t="s">
        <v>673</v>
      </c>
      <c r="D478" s="1206" t="s">
        <v>2526</v>
      </c>
      <c r="E478" s="1386" t="s">
        <v>530</v>
      </c>
      <c r="F478" s="521"/>
      <c r="G478" s="522"/>
      <c r="H478" s="522"/>
      <c r="I478" s="522"/>
      <c r="J478" s="523"/>
      <c r="K478" s="523"/>
      <c r="L478" s="523"/>
      <c r="M478" s="524"/>
      <c r="N478" s="525"/>
      <c r="O478" s="526" t="s">
        <v>1237</v>
      </c>
      <c r="P478" s="525">
        <f>'HIV-Key Info'!$G$88*(('HIV-Key Info'!$E$88*'HPM costs'!F119)+('HIV-Key Info'!$F$88*('HPM costs'!F122+'HPM costs'!F125)))</f>
        <v>0</v>
      </c>
      <c r="Q478" s="525" t="s">
        <v>1237</v>
      </c>
      <c r="R478" s="525">
        <f>'HIV-Key Info'!$G$88*(('HIV-Key Info'!$E$88*'HPM costs'!G119)+('HIV-Key Info'!$F$88*('HPM costs'!G122+'HPM costs'!G125)))</f>
        <v>7.8738279589089986E-13</v>
      </c>
      <c r="S478" s="525" t="s">
        <v>1237</v>
      </c>
      <c r="T478" s="525">
        <f>'HIV-Key Info'!$G$88*(('HIV-Key Info'!$E$88*'HPM costs'!H119)+('HIV-Key Info'!$F$88*('HPM costs'!H122+'HPM costs'!H125)))</f>
        <v>0</v>
      </c>
      <c r="U478" s="525" t="s">
        <v>1237</v>
      </c>
      <c r="V478" s="525">
        <f>'HIV-Key Info'!$G$88*(('HIV-Key Info'!$E$88*'HPM costs'!I119)+('HIV-Key Info'!$F$88*('HPM costs'!I122+'HPM costs'!I125)))</f>
        <v>0</v>
      </c>
      <c r="W478" s="525"/>
      <c r="X478" s="1154">
        <f t="shared" si="48"/>
        <v>7.8738279589089986E-13</v>
      </c>
      <c r="Y478" s="1155"/>
      <c r="Z478" s="1156"/>
      <c r="AA478" s="529"/>
      <c r="AB478" s="525"/>
      <c r="AC478" s="525">
        <f>'HIV-Key Info'!$G$88*(('HIV-Key Info'!$E$88*'HPM costs'!K119)+('HIV-Key Info'!$F$88*('HPM costs'!K122+'HPM costs'!K125)))</f>
        <v>0</v>
      </c>
      <c r="AD478" s="525"/>
      <c r="AE478" s="525">
        <f>'HIV-Key Info'!$G$88*(('HIV-Key Info'!$E$88*'HPM costs'!L119)+('HIV-Key Info'!$F$88*('HPM costs'!L122+'HPM costs'!L125)))</f>
        <v>8.2217110031658E-13</v>
      </c>
      <c r="AF478" s="525"/>
      <c r="AG478" s="525">
        <f>'HIV-Key Info'!$G$88*(('HIV-Key Info'!$E$88*'HPM costs'!M119)+('HIV-Key Info'!$F$88*('HPM costs'!M122+'HPM costs'!M125)))</f>
        <v>0</v>
      </c>
      <c r="AH478" s="525"/>
      <c r="AI478" s="525">
        <f>'HIV-Key Info'!$G$88*(('HIV-Key Info'!$E$88*'HPM costs'!N119)+('HIV-Key Info'!$F$88*('HPM costs'!N122+'HPM costs'!N125)))</f>
        <v>0</v>
      </c>
      <c r="AJ478" s="525"/>
      <c r="AK478" s="1154">
        <f t="shared" si="49"/>
        <v>8.2217110031658E-13</v>
      </c>
      <c r="AL478" s="1155"/>
      <c r="AM478" s="1156"/>
      <c r="AN478" s="529"/>
      <c r="AO478" s="525"/>
      <c r="AP478" s="525">
        <f>'HIV-Key Info'!$G$88*(('HIV-Key Info'!$E$88*'HPM costs'!P119)+('HIV-Key Info'!$F$88*('HPM costs'!P122+'HPM costs'!P125)))</f>
        <v>0</v>
      </c>
      <c r="AQ478" s="525"/>
      <c r="AR478" s="525">
        <f>'HIV-Key Info'!$G$88*(('HIV-Key Info'!$E$88*'HPM costs'!Q119)+('HIV-Key Info'!$F$88*('HPM costs'!Q122+'HPM costs'!Q125)))</f>
        <v>8.7520265380587987E-13</v>
      </c>
      <c r="AS478" s="525"/>
      <c r="AT478" s="525">
        <f>'HIV-Key Info'!$G$88*(('HIV-Key Info'!$E$88*'HPM costs'!R119)+('HIV-Key Info'!$F$88*('HPM costs'!R122+'HPM costs'!R125)))</f>
        <v>0</v>
      </c>
      <c r="AU478" s="525"/>
      <c r="AV478" s="525">
        <f>'HIV-Key Info'!$G$88*(('HIV-Key Info'!$E$88*'HPM costs'!S119)+('HIV-Key Info'!$F$88*('HPM costs'!S122+'HPM costs'!S125)))</f>
        <v>0</v>
      </c>
      <c r="AW478" s="525"/>
      <c r="AX478" s="1154">
        <f t="shared" si="50"/>
        <v>8.7520265380587987E-13</v>
      </c>
      <c r="AY478" s="1154"/>
      <c r="AZ478" s="528"/>
      <c r="BA478" s="529"/>
      <c r="BB478" s="527"/>
      <c r="BC478" s="527">
        <v>0</v>
      </c>
      <c r="BD478" s="527">
        <v>0</v>
      </c>
      <c r="BE478" s="527">
        <v>0</v>
      </c>
      <c r="BF478" s="527">
        <v>0</v>
      </c>
      <c r="BG478" s="527">
        <v>0</v>
      </c>
      <c r="BH478" s="527">
        <v>0</v>
      </c>
      <c r="BI478" s="527">
        <v>0</v>
      </c>
      <c r="BJ478" s="527">
        <v>0</v>
      </c>
      <c r="BK478" s="1154">
        <f t="shared" si="51"/>
        <v>0</v>
      </c>
      <c r="BL478" s="1154"/>
      <c r="BM478" s="1154">
        <f t="shared" si="52"/>
        <v>0</v>
      </c>
      <c r="BN478" s="1154">
        <f t="shared" si="53"/>
        <v>2.4847565500133597E-12</v>
      </c>
      <c r="BO478" s="527"/>
      <c r="BP478" s="527"/>
      <c r="BQ478" s="1157" t="s">
        <v>2558</v>
      </c>
      <c r="BR478" s="1157" t="s">
        <v>690</v>
      </c>
      <c r="BS478" s="1157" t="s">
        <v>527</v>
      </c>
      <c r="BT478" s="1376" t="s">
        <v>1782</v>
      </c>
    </row>
    <row r="479" spans="1:72" s="1371" customFormat="1" ht="13">
      <c r="A479" s="1204">
        <v>1035</v>
      </c>
      <c r="B479" s="1205" t="s">
        <v>672</v>
      </c>
      <c r="C479" s="1205" t="s">
        <v>673</v>
      </c>
      <c r="D479" s="1206" t="s">
        <v>2526</v>
      </c>
      <c r="E479" s="1386" t="s">
        <v>532</v>
      </c>
      <c r="F479" s="521"/>
      <c r="G479" s="522"/>
      <c r="H479" s="522"/>
      <c r="I479" s="522"/>
      <c r="J479" s="523"/>
      <c r="K479" s="523"/>
      <c r="L479" s="523"/>
      <c r="M479" s="524"/>
      <c r="N479" s="525"/>
      <c r="O479" s="526" t="s">
        <v>1237</v>
      </c>
      <c r="P479" s="525">
        <f>'HIV-Key Info'!$G$88*(('HIV-Key Info'!$E$88*'HPM costs'!F379)+('HIV-Key Info'!$F$88*('HPM costs'!F382+'HPM costs'!F385)))</f>
        <v>0</v>
      </c>
      <c r="Q479" s="525" t="s">
        <v>1237</v>
      </c>
      <c r="R479" s="525">
        <f>'HIV-Key Info'!$G$88*(('HIV-Key Info'!$E$88*'HPM costs'!G379)+('HIV-Key Info'!$F$88*('HPM costs'!G382+'HPM costs'!G385)))</f>
        <v>0</v>
      </c>
      <c r="S479" s="525" t="s">
        <v>1237</v>
      </c>
      <c r="T479" s="525">
        <f>'HIV-Key Info'!$G$88*(('HIV-Key Info'!$E$88*'HPM costs'!H379)+('HIV-Key Info'!$F$88*('HPM costs'!H382+'HPM costs'!H385)))</f>
        <v>0</v>
      </c>
      <c r="U479" s="525" t="s">
        <v>1237</v>
      </c>
      <c r="V479" s="525">
        <f>'HIV-Key Info'!$G$88*(('HIV-Key Info'!$E$88*'HPM costs'!I379)+('HIV-Key Info'!$F$88*('HPM costs'!I382+'HPM costs'!I385)))</f>
        <v>0</v>
      </c>
      <c r="W479" s="525"/>
      <c r="X479" s="1154">
        <f t="shared" si="48"/>
        <v>0</v>
      </c>
      <c r="Y479" s="1155"/>
      <c r="Z479" s="1156"/>
      <c r="AA479" s="529"/>
      <c r="AB479" s="525"/>
      <c r="AC479" s="525">
        <f>'HIV-Key Info'!$G$88*(('HIV-Key Info'!$E$88*'HPM costs'!K379)+('HIV-Key Info'!$F$88*('HPM costs'!K382+'HPM costs'!K385)))</f>
        <v>0</v>
      </c>
      <c r="AD479" s="525"/>
      <c r="AE479" s="525">
        <f>'HIV-Key Info'!$G$88*(('HIV-Key Info'!$E$88*'HPM costs'!L379)+('HIV-Key Info'!$F$88*('HPM costs'!L382+'HPM costs'!L385)))</f>
        <v>0</v>
      </c>
      <c r="AF479" s="525"/>
      <c r="AG479" s="525">
        <f>'HIV-Key Info'!$G$88*(('HIV-Key Info'!$E$88*'HPM costs'!M379)+('HIV-Key Info'!$F$88*('HPM costs'!M382+'HPM costs'!M385)))</f>
        <v>0</v>
      </c>
      <c r="AH479" s="525"/>
      <c r="AI479" s="525">
        <f>'HIV-Key Info'!$G$88*(('HIV-Key Info'!$E$88*'HPM costs'!N379)+('HIV-Key Info'!$F$88*('HPM costs'!N382+'HPM costs'!N385)))</f>
        <v>0</v>
      </c>
      <c r="AJ479" s="525"/>
      <c r="AK479" s="1154">
        <f t="shared" si="49"/>
        <v>0</v>
      </c>
      <c r="AL479" s="1155"/>
      <c r="AM479" s="1156"/>
      <c r="AN479" s="529"/>
      <c r="AO479" s="525"/>
      <c r="AP479" s="525">
        <f>'HIV-Key Info'!$G$88*(('HIV-Key Info'!$E$88*'HPM costs'!P379)+('HIV-Key Info'!$F$88*('HPM costs'!P382+'HPM costs'!P385)))</f>
        <v>0</v>
      </c>
      <c r="AQ479" s="525"/>
      <c r="AR479" s="525">
        <f>'HIV-Key Info'!$G$88*(('HIV-Key Info'!$E$88*'HPM costs'!Q379)+('HIV-Key Info'!$F$88*('HPM costs'!Q382+'HPM costs'!Q385)))</f>
        <v>0</v>
      </c>
      <c r="AS479" s="525"/>
      <c r="AT479" s="525">
        <f>'HIV-Key Info'!$G$88*(('HIV-Key Info'!$E$88*'HPM costs'!R379)+('HIV-Key Info'!$F$88*('HPM costs'!R382+'HPM costs'!R385)))</f>
        <v>0</v>
      </c>
      <c r="AU479" s="525"/>
      <c r="AV479" s="525">
        <f>'HIV-Key Info'!$G$88*(('HIV-Key Info'!$E$88*'HPM costs'!S379)+('HIV-Key Info'!$F$88*('HPM costs'!S382+'HPM costs'!S385)))</f>
        <v>0</v>
      </c>
      <c r="AW479" s="525"/>
      <c r="AX479" s="1154">
        <f t="shared" si="50"/>
        <v>0</v>
      </c>
      <c r="AY479" s="1154"/>
      <c r="AZ479" s="528"/>
      <c r="BA479" s="529"/>
      <c r="BB479" s="527"/>
      <c r="BC479" s="527">
        <v>0</v>
      </c>
      <c r="BD479" s="527">
        <v>0</v>
      </c>
      <c r="BE479" s="527">
        <v>0</v>
      </c>
      <c r="BF479" s="527">
        <v>0</v>
      </c>
      <c r="BG479" s="527">
        <v>0</v>
      </c>
      <c r="BH479" s="527">
        <v>0</v>
      </c>
      <c r="BI479" s="527">
        <v>0</v>
      </c>
      <c r="BJ479" s="527">
        <v>0</v>
      </c>
      <c r="BK479" s="1154">
        <f t="shared" si="51"/>
        <v>0</v>
      </c>
      <c r="BL479" s="1154"/>
      <c r="BM479" s="1154">
        <f t="shared" si="52"/>
        <v>0</v>
      </c>
      <c r="BN479" s="1154">
        <f t="shared" si="53"/>
        <v>0</v>
      </c>
      <c r="BO479" s="527"/>
      <c r="BP479" s="527"/>
      <c r="BQ479" s="1157" t="s">
        <v>2558</v>
      </c>
      <c r="BR479" s="1157" t="s">
        <v>690</v>
      </c>
      <c r="BS479" s="1157" t="s">
        <v>527</v>
      </c>
      <c r="BT479" s="1376" t="s">
        <v>1783</v>
      </c>
    </row>
    <row r="480" spans="1:72" s="1371" customFormat="1" ht="13">
      <c r="A480" s="1204">
        <v>1036</v>
      </c>
      <c r="B480" s="1205" t="s">
        <v>672</v>
      </c>
      <c r="C480" s="1205" t="s">
        <v>673</v>
      </c>
      <c r="D480" s="1206" t="s">
        <v>2526</v>
      </c>
      <c r="E480" s="1386" t="s">
        <v>534</v>
      </c>
      <c r="F480" s="521"/>
      <c r="G480" s="522"/>
      <c r="H480" s="522"/>
      <c r="I480" s="522"/>
      <c r="J480" s="523"/>
      <c r="K480" s="523"/>
      <c r="L480" s="523"/>
      <c r="M480" s="524"/>
      <c r="N480" s="525"/>
      <c r="O480" s="526" t="s">
        <v>1237</v>
      </c>
      <c r="P480" s="525">
        <f>'HIV-Key Info'!$G$88*(('HIV-Key Info'!$E$88*'HPM costs'!F465)+('HIV-Key Info'!$F$88*('HPM costs'!F468+'HPM costs'!F471)))</f>
        <v>0</v>
      </c>
      <c r="Q480" s="525" t="s">
        <v>1237</v>
      </c>
      <c r="R480" s="525">
        <f>'HIV-Key Info'!$G$88*(('HIV-Key Info'!$E$88*'HPM costs'!G465)+('HIV-Key Info'!$F$88*('HPM costs'!G468+'HPM costs'!G471)))</f>
        <v>0</v>
      </c>
      <c r="S480" s="525" t="s">
        <v>1237</v>
      </c>
      <c r="T480" s="525">
        <f>'HIV-Key Info'!$G$88*(('HIV-Key Info'!$E$88*'HPM costs'!H465)+('HIV-Key Info'!$F$88*('HPM costs'!H468+'HPM costs'!H471)))</f>
        <v>0</v>
      </c>
      <c r="U480" s="525" t="s">
        <v>1237</v>
      </c>
      <c r="V480" s="525">
        <f>'HIV-Key Info'!$G$88*(('HIV-Key Info'!$E$88*'HPM costs'!I465)+('HIV-Key Info'!$F$88*('HPM costs'!I468+'HPM costs'!I471)))</f>
        <v>0</v>
      </c>
      <c r="W480" s="525"/>
      <c r="X480" s="1154">
        <f t="shared" si="48"/>
        <v>0</v>
      </c>
      <c r="Y480" s="1155"/>
      <c r="Z480" s="1156"/>
      <c r="AA480" s="529"/>
      <c r="AB480" s="525"/>
      <c r="AC480" s="525">
        <f>'HIV-Key Info'!$G$88*(('HIV-Key Info'!$E$88*'HPM costs'!K465)+('HIV-Key Info'!$F$88*('HPM costs'!K468+'HPM costs'!K471)))</f>
        <v>0</v>
      </c>
      <c r="AD480" s="525"/>
      <c r="AE480" s="525">
        <f>'HIV-Key Info'!$G$88*(('HIV-Key Info'!$E$88*'HPM costs'!L465)+('HIV-Key Info'!$F$88*('HPM costs'!L468+'HPM costs'!L471)))</f>
        <v>0</v>
      </c>
      <c r="AF480" s="525"/>
      <c r="AG480" s="525">
        <f>'HIV-Key Info'!$G$88*(('HIV-Key Info'!$E$88*'HPM costs'!M465)+('HIV-Key Info'!$F$88*('HPM costs'!M468+'HPM costs'!M471)))</f>
        <v>0</v>
      </c>
      <c r="AH480" s="525"/>
      <c r="AI480" s="525">
        <f>'HIV-Key Info'!$G$88*(('HIV-Key Info'!$E$88*'HPM costs'!N465)+('HIV-Key Info'!$F$88*('HPM costs'!N468+'HPM costs'!N471)))</f>
        <v>0</v>
      </c>
      <c r="AJ480" s="525"/>
      <c r="AK480" s="1154">
        <f t="shared" si="49"/>
        <v>0</v>
      </c>
      <c r="AL480" s="1155"/>
      <c r="AM480" s="1156"/>
      <c r="AN480" s="529"/>
      <c r="AO480" s="525"/>
      <c r="AP480" s="525">
        <f>'HIV-Key Info'!$G$88*(('HIV-Key Info'!$E$88*'HPM costs'!P465)+('HIV-Key Info'!$F$88*('HPM costs'!P468+'HPM costs'!P471)))</f>
        <v>0</v>
      </c>
      <c r="AQ480" s="525"/>
      <c r="AR480" s="525">
        <f>'HIV-Key Info'!$G$88*(('HIV-Key Info'!$E$88*'HPM costs'!Q465)+('HIV-Key Info'!$F$88*('HPM costs'!Q468+'HPM costs'!Q471)))</f>
        <v>0</v>
      </c>
      <c r="AS480" s="525"/>
      <c r="AT480" s="525">
        <f>'HIV-Key Info'!$G$88*(('HIV-Key Info'!$E$88*'HPM costs'!R465)+('HIV-Key Info'!$F$88*('HPM costs'!R468+'HPM costs'!R471)))</f>
        <v>0</v>
      </c>
      <c r="AU480" s="525"/>
      <c r="AV480" s="525">
        <f>'HIV-Key Info'!$G$88*(('HIV-Key Info'!$E$88*'HPM costs'!S465)+('HIV-Key Info'!$F$88*('HPM costs'!S468+'HPM costs'!S471)))</f>
        <v>0</v>
      </c>
      <c r="AW480" s="525"/>
      <c r="AX480" s="1154">
        <f t="shared" si="50"/>
        <v>0</v>
      </c>
      <c r="AY480" s="1154"/>
      <c r="AZ480" s="528"/>
      <c r="BA480" s="529"/>
      <c r="BB480" s="527"/>
      <c r="BC480" s="527">
        <v>0</v>
      </c>
      <c r="BD480" s="527">
        <v>0</v>
      </c>
      <c r="BE480" s="527">
        <v>0</v>
      </c>
      <c r="BF480" s="527">
        <v>0</v>
      </c>
      <c r="BG480" s="527">
        <v>0</v>
      </c>
      <c r="BH480" s="527">
        <v>0</v>
      </c>
      <c r="BI480" s="527">
        <v>0</v>
      </c>
      <c r="BJ480" s="527">
        <v>0</v>
      </c>
      <c r="BK480" s="1154">
        <f t="shared" si="51"/>
        <v>0</v>
      </c>
      <c r="BL480" s="1154"/>
      <c r="BM480" s="1154">
        <f t="shared" si="52"/>
        <v>0</v>
      </c>
      <c r="BN480" s="1154">
        <f t="shared" si="53"/>
        <v>0</v>
      </c>
      <c r="BO480" s="527"/>
      <c r="BP480" s="527"/>
      <c r="BQ480" s="1157" t="s">
        <v>2558</v>
      </c>
      <c r="BR480" s="1157" t="s">
        <v>690</v>
      </c>
      <c r="BS480" s="1157" t="s">
        <v>527</v>
      </c>
      <c r="BT480" s="1376" t="s">
        <v>1784</v>
      </c>
    </row>
    <row r="481" spans="1:72" s="1371" customFormat="1" ht="13">
      <c r="A481" s="1204">
        <v>1037</v>
      </c>
      <c r="B481" s="1205" t="s">
        <v>672</v>
      </c>
      <c r="C481" s="1205" t="s">
        <v>673</v>
      </c>
      <c r="D481" s="1206" t="s">
        <v>2526</v>
      </c>
      <c r="E481" s="1386" t="s">
        <v>536</v>
      </c>
      <c r="F481" s="521"/>
      <c r="G481" s="522"/>
      <c r="H481" s="522"/>
      <c r="I481" s="522"/>
      <c r="J481" s="523"/>
      <c r="K481" s="523"/>
      <c r="L481" s="523"/>
      <c r="M481" s="524"/>
      <c r="N481" s="525"/>
      <c r="O481" s="526" t="s">
        <v>1237</v>
      </c>
      <c r="P481" s="525">
        <f>'HIV-Key Info'!$G$88*(('HIV-Key Info'!$E$88*('HPM costs'!F205+'HPM costs'!F551))+('HIV-Key Info'!$F$88*('HPM costs'!F208+'HPM costs'!F211+'HPM costs'!F554+'HPM costs'!F557)))</f>
        <v>0</v>
      </c>
      <c r="Q481" s="525" t="s">
        <v>1237</v>
      </c>
      <c r="R481" s="525">
        <f>'HIV-Key Info'!$G$88*(('HIV-Key Info'!$E$88*('HPM costs'!G205+'HPM costs'!G551))+('HIV-Key Info'!$F$88*('HPM costs'!G208+'HPM costs'!G211+'HPM costs'!G554+'HPM costs'!G557)))</f>
        <v>0</v>
      </c>
      <c r="S481" s="525" t="s">
        <v>1237</v>
      </c>
      <c r="T481" s="525">
        <f>'HIV-Key Info'!$G$88*(('HIV-Key Info'!$E$88*('HPM costs'!H205+'HPM costs'!H551))+('HIV-Key Info'!$F$88*('HPM costs'!H208+'HPM costs'!H211+'HPM costs'!H554+'HPM costs'!H557)))</f>
        <v>0</v>
      </c>
      <c r="U481" s="525" t="s">
        <v>1237</v>
      </c>
      <c r="V481" s="525">
        <f>'HIV-Key Info'!$G$88*(('HIV-Key Info'!$E$88*('HPM costs'!I205+'HPM costs'!I551))+('HIV-Key Info'!$F$88*('HPM costs'!I208+'HPM costs'!I211+'HPM costs'!I554+'HPM costs'!I557)))</f>
        <v>0</v>
      </c>
      <c r="W481" s="525"/>
      <c r="X481" s="1154">
        <f t="shared" si="48"/>
        <v>0</v>
      </c>
      <c r="Y481" s="1155"/>
      <c r="Z481" s="1156"/>
      <c r="AA481" s="529"/>
      <c r="AB481" s="525"/>
      <c r="AC481" s="525">
        <f>'HIV-Key Info'!$G$88*(('HIV-Key Info'!$E$88*('HPM costs'!K205+'HPM costs'!K551))+('HIV-Key Info'!$F$88*('HPM costs'!K208+'HPM costs'!K211+'HPM costs'!K554+'HPM costs'!K557)))</f>
        <v>0</v>
      </c>
      <c r="AD481" s="525"/>
      <c r="AE481" s="525">
        <f>'HIV-Key Info'!$G$88*(('HIV-Key Info'!$E$88*('HPM costs'!L205+'HPM costs'!L551))+('HIV-Key Info'!$F$88*('HPM costs'!L208+'HPM costs'!L211+'HPM costs'!L554+'HPM costs'!L557)))</f>
        <v>0</v>
      </c>
      <c r="AF481" s="525"/>
      <c r="AG481" s="525">
        <f>'HIV-Key Info'!$G$88*(('HIV-Key Info'!$E$88*('HPM costs'!M205+'HPM costs'!M551))+('HIV-Key Info'!$F$88*('HPM costs'!M208+'HPM costs'!M211+'HPM costs'!M554+'HPM costs'!M557)))</f>
        <v>0</v>
      </c>
      <c r="AH481" s="525"/>
      <c r="AI481" s="525">
        <f>'HIV-Key Info'!$G$88*(('HIV-Key Info'!$E$88*('HPM costs'!N205+'HPM costs'!N551))+('HIV-Key Info'!$F$88*('HPM costs'!N208+'HPM costs'!N211+'HPM costs'!N554+'HPM costs'!N557)))</f>
        <v>0</v>
      </c>
      <c r="AJ481" s="525"/>
      <c r="AK481" s="1154">
        <f t="shared" si="49"/>
        <v>0</v>
      </c>
      <c r="AL481" s="1155"/>
      <c r="AM481" s="1156"/>
      <c r="AN481" s="529"/>
      <c r="AO481" s="525"/>
      <c r="AP481" s="525">
        <f>'HIV-Key Info'!$G$88*(('HIV-Key Info'!$E$88*('HPM costs'!P205+'HPM costs'!P551))+('HIV-Key Info'!$F$88*('HPM costs'!P208+'HPM costs'!P211+'HPM costs'!P554+'HPM costs'!P557)))</f>
        <v>0</v>
      </c>
      <c r="AQ481" s="525"/>
      <c r="AR481" s="525">
        <f>'HIV-Key Info'!$G$88*(('HIV-Key Info'!$E$88*('HPM costs'!Q205+'HPM costs'!Q551))+('HIV-Key Info'!$F$88*('HPM costs'!Q208+'HPM costs'!Q211+'HPM costs'!Q554+'HPM costs'!Q557)))</f>
        <v>0</v>
      </c>
      <c r="AS481" s="525"/>
      <c r="AT481" s="525">
        <f>'HIV-Key Info'!$G$88*(('HIV-Key Info'!$E$88*('HPM costs'!R205+'HPM costs'!R551))+('HIV-Key Info'!$F$88*('HPM costs'!R208+'HPM costs'!R211+'HPM costs'!R554+'HPM costs'!R557)))</f>
        <v>0</v>
      </c>
      <c r="AU481" s="525"/>
      <c r="AV481" s="525">
        <f>'HIV-Key Info'!$G$88*(('HIV-Key Info'!$E$88*('HPM costs'!S205+'HPM costs'!S551))+('HIV-Key Info'!$F$88*('HPM costs'!S208+'HPM costs'!S211+'HPM costs'!S554+'HPM costs'!S557)))</f>
        <v>0</v>
      </c>
      <c r="AW481" s="525"/>
      <c r="AX481" s="1154">
        <f t="shared" si="50"/>
        <v>0</v>
      </c>
      <c r="AY481" s="1154"/>
      <c r="AZ481" s="528"/>
      <c r="BA481" s="529"/>
      <c r="BB481" s="527"/>
      <c r="BC481" s="527">
        <v>0</v>
      </c>
      <c r="BD481" s="527">
        <v>0</v>
      </c>
      <c r="BE481" s="527">
        <v>0</v>
      </c>
      <c r="BF481" s="527">
        <v>0</v>
      </c>
      <c r="BG481" s="527">
        <v>0</v>
      </c>
      <c r="BH481" s="527">
        <v>0</v>
      </c>
      <c r="BI481" s="527">
        <v>0</v>
      </c>
      <c r="BJ481" s="527">
        <v>0</v>
      </c>
      <c r="BK481" s="1154">
        <f t="shared" si="51"/>
        <v>0</v>
      </c>
      <c r="BL481" s="1154"/>
      <c r="BM481" s="1154">
        <f t="shared" si="52"/>
        <v>0</v>
      </c>
      <c r="BN481" s="1154">
        <f t="shared" si="53"/>
        <v>0</v>
      </c>
      <c r="BO481" s="527"/>
      <c r="BP481" s="527"/>
      <c r="BQ481" s="1157" t="s">
        <v>2558</v>
      </c>
      <c r="BR481" s="1157" t="s">
        <v>690</v>
      </c>
      <c r="BS481" s="1157" t="s">
        <v>527</v>
      </c>
      <c r="BT481" s="1376" t="s">
        <v>1785</v>
      </c>
    </row>
    <row r="482" spans="1:72" s="1371" customFormat="1" ht="13">
      <c r="A482" s="1204">
        <v>1038</v>
      </c>
      <c r="B482" s="1205" t="s">
        <v>672</v>
      </c>
      <c r="C482" s="1205" t="s">
        <v>673</v>
      </c>
      <c r="D482" s="1206" t="s">
        <v>2526</v>
      </c>
      <c r="E482" s="1386" t="s">
        <v>538</v>
      </c>
      <c r="F482" s="521"/>
      <c r="G482" s="522"/>
      <c r="H482" s="522"/>
      <c r="I482" s="522"/>
      <c r="J482" s="523"/>
      <c r="K482" s="523"/>
      <c r="L482" s="523"/>
      <c r="M482" s="524"/>
      <c r="N482" s="525"/>
      <c r="O482" s="526" t="s">
        <v>1237</v>
      </c>
      <c r="P482" s="525">
        <f>'HIV-Key Info'!$G$88*(('HIV-Key Info'!$E$88*'HPM costs'!F291)+('HIV-Key Info'!$F$88*('HPM costs'!F294+'HPM costs'!F297)))</f>
        <v>0</v>
      </c>
      <c r="Q482" s="525" t="s">
        <v>1237</v>
      </c>
      <c r="R482" s="525">
        <f>'HIV-Key Info'!$G$88*(('HIV-Key Info'!$E$88*'HPM costs'!G291)+('HIV-Key Info'!$F$88*('HPM costs'!G294+'HPM costs'!G297)))</f>
        <v>0</v>
      </c>
      <c r="S482" s="525" t="s">
        <v>1237</v>
      </c>
      <c r="T482" s="525">
        <f>'HIV-Key Info'!$G$88*(('HIV-Key Info'!$E$88*'HPM costs'!H291)+('HIV-Key Info'!$F$88*('HPM costs'!H294+'HPM costs'!H297)))</f>
        <v>0</v>
      </c>
      <c r="U482" s="525" t="s">
        <v>1237</v>
      </c>
      <c r="V482" s="525">
        <f>'HIV-Key Info'!$G$88*(('HIV-Key Info'!$E$88*'HPM costs'!I291)+('HIV-Key Info'!$F$88*('HPM costs'!I294+'HPM costs'!I297)))</f>
        <v>0</v>
      </c>
      <c r="W482" s="525"/>
      <c r="X482" s="1154">
        <f t="shared" si="48"/>
        <v>0</v>
      </c>
      <c r="Y482" s="1155"/>
      <c r="Z482" s="1156"/>
      <c r="AA482" s="529"/>
      <c r="AB482" s="525"/>
      <c r="AC482" s="525">
        <f>'HIV-Key Info'!$G$88*(('HIV-Key Info'!$E$88*'HPM costs'!K291)+('HIV-Key Info'!$F$88*('HPM costs'!K294+'HPM costs'!K297)))</f>
        <v>0</v>
      </c>
      <c r="AD482" s="525"/>
      <c r="AE482" s="525">
        <f>'HIV-Key Info'!$G$88*(('HIV-Key Info'!$E$88*'HPM costs'!L291)+('HIV-Key Info'!$F$88*('HPM costs'!L294+'HPM costs'!L297)))</f>
        <v>0</v>
      </c>
      <c r="AF482" s="525"/>
      <c r="AG482" s="525">
        <f>'HIV-Key Info'!$G$88*(('HIV-Key Info'!$E$88*'HPM costs'!M291)+('HIV-Key Info'!$F$88*('HPM costs'!M294+'HPM costs'!M297)))</f>
        <v>0</v>
      </c>
      <c r="AH482" s="525"/>
      <c r="AI482" s="525">
        <f>'HIV-Key Info'!$G$88*(('HIV-Key Info'!$E$88*'HPM costs'!N291)+('HIV-Key Info'!$F$88*('HPM costs'!N294+'HPM costs'!N297)))</f>
        <v>0</v>
      </c>
      <c r="AJ482" s="525"/>
      <c r="AK482" s="1154">
        <f t="shared" si="49"/>
        <v>0</v>
      </c>
      <c r="AL482" s="1155"/>
      <c r="AM482" s="1156"/>
      <c r="AN482" s="529"/>
      <c r="AO482" s="525"/>
      <c r="AP482" s="525">
        <f>'HIV-Key Info'!$G$88*(('HIV-Key Info'!$E$88*'HPM costs'!P291)+('HIV-Key Info'!$F$88*('HPM costs'!P294+'HPM costs'!P297)))</f>
        <v>0</v>
      </c>
      <c r="AQ482" s="525"/>
      <c r="AR482" s="525">
        <f>'HIV-Key Info'!$G$88*(('HIV-Key Info'!$E$88*'HPM costs'!Q291)+('HIV-Key Info'!$F$88*('HPM costs'!Q294+'HPM costs'!Q297)))</f>
        <v>0</v>
      </c>
      <c r="AS482" s="525"/>
      <c r="AT482" s="525">
        <f>'HIV-Key Info'!$G$88*(('HIV-Key Info'!$E$88*'HPM costs'!R291)+('HIV-Key Info'!$F$88*('HPM costs'!R294+'HPM costs'!R297)))</f>
        <v>0</v>
      </c>
      <c r="AU482" s="525"/>
      <c r="AV482" s="525">
        <f>'HIV-Key Info'!$G$88*(('HIV-Key Info'!$E$88*'HPM costs'!S291)+('HIV-Key Info'!$F$88*('HPM costs'!S294+'HPM costs'!S297)))</f>
        <v>0</v>
      </c>
      <c r="AW482" s="525"/>
      <c r="AX482" s="1154">
        <f t="shared" si="50"/>
        <v>0</v>
      </c>
      <c r="AY482" s="1154"/>
      <c r="AZ482" s="528"/>
      <c r="BA482" s="529"/>
      <c r="BB482" s="527"/>
      <c r="BC482" s="527">
        <v>0</v>
      </c>
      <c r="BD482" s="527">
        <v>0</v>
      </c>
      <c r="BE482" s="527">
        <v>0</v>
      </c>
      <c r="BF482" s="527">
        <v>0</v>
      </c>
      <c r="BG482" s="527">
        <v>0</v>
      </c>
      <c r="BH482" s="527">
        <v>0</v>
      </c>
      <c r="BI482" s="527">
        <v>0</v>
      </c>
      <c r="BJ482" s="527">
        <v>0</v>
      </c>
      <c r="BK482" s="1154">
        <f t="shared" si="51"/>
        <v>0</v>
      </c>
      <c r="BL482" s="1154"/>
      <c r="BM482" s="1154">
        <f t="shared" si="52"/>
        <v>0</v>
      </c>
      <c r="BN482" s="1154">
        <f t="shared" si="53"/>
        <v>0</v>
      </c>
      <c r="BO482" s="527"/>
      <c r="BP482" s="527"/>
      <c r="BQ482" s="1157" t="s">
        <v>2558</v>
      </c>
      <c r="BR482" s="1157" t="s">
        <v>690</v>
      </c>
      <c r="BS482" s="1157" t="s">
        <v>527</v>
      </c>
      <c r="BT482" s="1376" t="s">
        <v>1786</v>
      </c>
    </row>
    <row r="483" spans="1:72" s="1371" customFormat="1" ht="13">
      <c r="A483" s="1204">
        <v>1039</v>
      </c>
      <c r="B483" s="1205" t="s">
        <v>672</v>
      </c>
      <c r="C483" s="1205" t="s">
        <v>673</v>
      </c>
      <c r="D483" s="1206" t="s">
        <v>2526</v>
      </c>
      <c r="E483" s="1386" t="s">
        <v>540</v>
      </c>
      <c r="F483" s="521"/>
      <c r="G483" s="522"/>
      <c r="H483" s="522"/>
      <c r="I483" s="522"/>
      <c r="J483" s="523"/>
      <c r="K483" s="523"/>
      <c r="L483" s="523"/>
      <c r="M483" s="524"/>
      <c r="N483" s="525"/>
      <c r="O483" s="526" t="s">
        <v>1237</v>
      </c>
      <c r="P483" s="525">
        <f>'HIV-Key Info'!$G$88*(('HIV-Key Info'!$E$88*'HPM costs'!F636)+('HIV-Key Info'!$F$88*('HPM costs'!F639+'HPM costs'!F642)))</f>
        <v>0</v>
      </c>
      <c r="Q483" s="525" t="s">
        <v>1237</v>
      </c>
      <c r="R483" s="525">
        <f>'HIV-Key Info'!$G$88*(('HIV-Key Info'!$E$88*'HPM costs'!G636)+('HIV-Key Info'!$F$88*('HPM costs'!G639+'HPM costs'!G642)))</f>
        <v>0</v>
      </c>
      <c r="S483" s="525" t="s">
        <v>1237</v>
      </c>
      <c r="T483" s="525">
        <f>'HIV-Key Info'!$G$88*(('HIV-Key Info'!$E$88*'HPM costs'!H636)+('HIV-Key Info'!$F$88*('HPM costs'!H639+'HPM costs'!H642)))</f>
        <v>0</v>
      </c>
      <c r="U483" s="525" t="s">
        <v>1237</v>
      </c>
      <c r="V483" s="525">
        <f>'HIV-Key Info'!$G$88*(('HIV-Key Info'!$E$88*'HPM costs'!I636)+('HIV-Key Info'!$F$88*('HPM costs'!I639+'HPM costs'!I642)))</f>
        <v>0</v>
      </c>
      <c r="W483" s="525"/>
      <c r="X483" s="1154">
        <f t="shared" si="48"/>
        <v>0</v>
      </c>
      <c r="Y483" s="1155"/>
      <c r="Z483" s="1156"/>
      <c r="AA483" s="529"/>
      <c r="AB483" s="525"/>
      <c r="AC483" s="525">
        <f>'HIV-Key Info'!$G$88*(('HIV-Key Info'!$E$88*'HPM costs'!K636)+('HIV-Key Info'!$F$88*('HPM costs'!K639+'HPM costs'!K642)))</f>
        <v>0</v>
      </c>
      <c r="AD483" s="525"/>
      <c r="AE483" s="525">
        <f>'HIV-Key Info'!$G$88*(('HIV-Key Info'!$E$88*'HPM costs'!L636)+('HIV-Key Info'!$F$88*('HPM costs'!L639+'HPM costs'!L642)))</f>
        <v>0</v>
      </c>
      <c r="AF483" s="525"/>
      <c r="AG483" s="525">
        <f>'HIV-Key Info'!$G$88*(('HIV-Key Info'!$E$88*'HPM costs'!M636)+('HIV-Key Info'!$F$88*('HPM costs'!M639+'HPM costs'!M642)))</f>
        <v>0</v>
      </c>
      <c r="AH483" s="525"/>
      <c r="AI483" s="525">
        <f>'HIV-Key Info'!$G$88*(('HIV-Key Info'!$E$88*'HPM costs'!N636)+('HIV-Key Info'!$F$88*('HPM costs'!N639+'HPM costs'!N642)))</f>
        <v>0</v>
      </c>
      <c r="AJ483" s="525"/>
      <c r="AK483" s="1154">
        <f t="shared" si="49"/>
        <v>0</v>
      </c>
      <c r="AL483" s="1155"/>
      <c r="AM483" s="1156"/>
      <c r="AN483" s="529"/>
      <c r="AO483" s="525"/>
      <c r="AP483" s="525">
        <f>'HIV-Key Info'!$G$88*(('HIV-Key Info'!$E$88*'HPM costs'!P636)+('HIV-Key Info'!$F$88*('HPM costs'!P639+'HPM costs'!P642)))</f>
        <v>0</v>
      </c>
      <c r="AQ483" s="525"/>
      <c r="AR483" s="525">
        <f>'HIV-Key Info'!$G$88*(('HIV-Key Info'!$E$88*'HPM costs'!Q636)+('HIV-Key Info'!$F$88*('HPM costs'!Q639+'HPM costs'!Q642)))</f>
        <v>0</v>
      </c>
      <c r="AS483" s="525"/>
      <c r="AT483" s="525">
        <f>'HIV-Key Info'!$G$88*(('HIV-Key Info'!$E$88*'HPM costs'!R636)+('HIV-Key Info'!$F$88*('HPM costs'!R639+'HPM costs'!R642)))</f>
        <v>0</v>
      </c>
      <c r="AU483" s="525"/>
      <c r="AV483" s="525">
        <f>'HIV-Key Info'!$G$88*(('HIV-Key Info'!$E$88*'HPM costs'!S636)+('HIV-Key Info'!$F$88*('HPM costs'!S639+'HPM costs'!S642)))</f>
        <v>0</v>
      </c>
      <c r="AW483" s="525"/>
      <c r="AX483" s="1154">
        <f t="shared" si="50"/>
        <v>0</v>
      </c>
      <c r="AY483" s="1154"/>
      <c r="AZ483" s="528"/>
      <c r="BA483" s="529"/>
      <c r="BB483" s="527"/>
      <c r="BC483" s="527">
        <v>0</v>
      </c>
      <c r="BD483" s="527">
        <v>0</v>
      </c>
      <c r="BE483" s="527">
        <v>0</v>
      </c>
      <c r="BF483" s="527">
        <v>0</v>
      </c>
      <c r="BG483" s="527">
        <v>0</v>
      </c>
      <c r="BH483" s="527">
        <v>0</v>
      </c>
      <c r="BI483" s="527">
        <v>0</v>
      </c>
      <c r="BJ483" s="527">
        <v>0</v>
      </c>
      <c r="BK483" s="1154">
        <f t="shared" si="51"/>
        <v>0</v>
      </c>
      <c r="BL483" s="1154"/>
      <c r="BM483" s="1154">
        <f t="shared" si="52"/>
        <v>0</v>
      </c>
      <c r="BN483" s="1154">
        <f t="shared" si="53"/>
        <v>0</v>
      </c>
      <c r="BO483" s="527"/>
      <c r="BP483" s="527"/>
      <c r="BQ483" s="1157" t="s">
        <v>2558</v>
      </c>
      <c r="BR483" s="1157" t="s">
        <v>690</v>
      </c>
      <c r="BS483" s="1157" t="s">
        <v>527</v>
      </c>
      <c r="BT483" s="1376" t="s">
        <v>1787</v>
      </c>
    </row>
    <row r="484" spans="1:72" s="1371" customFormat="1" ht="13">
      <c r="A484" s="1204">
        <v>1040</v>
      </c>
      <c r="B484" s="1205" t="s">
        <v>672</v>
      </c>
      <c r="C484" s="1205" t="s">
        <v>674</v>
      </c>
      <c r="D484" s="1206" t="s">
        <v>2579</v>
      </c>
      <c r="E484" s="1386" t="s">
        <v>603</v>
      </c>
      <c r="F484" s="521"/>
      <c r="G484" s="522"/>
      <c r="H484" s="522"/>
      <c r="I484" s="522"/>
      <c r="J484" s="523"/>
      <c r="K484" s="523"/>
      <c r="L484" s="523"/>
      <c r="M484" s="524"/>
      <c r="N484" s="525"/>
      <c r="O484" s="526" t="s">
        <v>1237</v>
      </c>
      <c r="P484" s="525">
        <f>'HIV-Key Info'!$H$88*('HIV-Key Info'!$E$88*('HPM costs'!F119/'HPM costs'!$E$119)+'HIV-Key Info'!$F$88*('HPM costs'!F125/'HPM costs'!$E$125+'HPM costs'!F122/'HPM costs'!$E$122))</f>
        <v>0</v>
      </c>
      <c r="Q484" s="525" t="s">
        <v>1237</v>
      </c>
      <c r="R484" s="525">
        <f>'HIV-Key Info'!$H$88*('HIV-Key Info'!$E$88*('HPM costs'!G119/'HPM costs'!$E$119)+'HIV-Key Info'!$F$88*('HPM costs'!G125/'HPM costs'!$E$125+'HPM costs'!G122/'HPM costs'!$E$122))</f>
        <v>0</v>
      </c>
      <c r="S484" s="525" t="s">
        <v>1237</v>
      </c>
      <c r="T484" s="525">
        <f>'HIV-Key Info'!$H$88*('HIV-Key Info'!$E$88*('HPM costs'!H119/'HPM costs'!$E$119)+'HIV-Key Info'!$F$88*('HPM costs'!H125/'HPM costs'!$E$125+'HPM costs'!H122/'HPM costs'!$E$122))</f>
        <v>0</v>
      </c>
      <c r="U484" s="525" t="s">
        <v>1237</v>
      </c>
      <c r="V484" s="525">
        <f>'HIV-Key Info'!$H$88*('HIV-Key Info'!$E$88*('HPM costs'!I119/'HPM costs'!$E$119)+'HIV-Key Info'!$F$88*('HPM costs'!I125/'HPM costs'!$E$125+'HPM costs'!I122/'HPM costs'!$E$122))</f>
        <v>0</v>
      </c>
      <c r="W484" s="525"/>
      <c r="X484" s="1154">
        <f t="shared" si="48"/>
        <v>0</v>
      </c>
      <c r="Y484" s="1155"/>
      <c r="Z484" s="1156"/>
      <c r="AA484" s="529"/>
      <c r="AB484" s="525"/>
      <c r="AC484" s="525">
        <f>'HIV-Key Info'!$H$88*('HIV-Key Info'!$E$88*('HPM costs'!K119/'HPM costs'!$E$119)+'HIV-Key Info'!$F$88*('HPM costs'!K125/'HPM costs'!$E$125+'HPM costs'!K122/'HPM costs'!$E$122))</f>
        <v>0</v>
      </c>
      <c r="AD484" s="525"/>
      <c r="AE484" s="525">
        <f>'HIV-Key Info'!$H$88*('HIV-Key Info'!$E$88*('HPM costs'!L119/'HPM costs'!$E$119)+'HIV-Key Info'!$F$88*('HPM costs'!L125/'HPM costs'!$E$125+'HPM costs'!L122/'HPM costs'!$E$122))</f>
        <v>0</v>
      </c>
      <c r="AF484" s="525"/>
      <c r="AG484" s="525">
        <f>'HIV-Key Info'!$H$88*('HIV-Key Info'!$E$88*('HPM costs'!M119/'HPM costs'!$E$119)+'HIV-Key Info'!$F$88*('HPM costs'!M125/'HPM costs'!$E$125+'HPM costs'!M122/'HPM costs'!$E$122))</f>
        <v>0</v>
      </c>
      <c r="AH484" s="525"/>
      <c r="AI484" s="525">
        <f>'HIV-Key Info'!$H$88*('HIV-Key Info'!$E$88*('HPM costs'!N119/'HPM costs'!$E$119)+'HIV-Key Info'!$F$88*('HPM costs'!N125/'HPM costs'!$E$125+'HPM costs'!N122/'HPM costs'!$E$122))</f>
        <v>0</v>
      </c>
      <c r="AJ484" s="525"/>
      <c r="AK484" s="1154">
        <f t="shared" si="49"/>
        <v>0</v>
      </c>
      <c r="AL484" s="1155"/>
      <c r="AM484" s="1156"/>
      <c r="AN484" s="529"/>
      <c r="AO484" s="525"/>
      <c r="AP484" s="525">
        <f>'HIV-Key Info'!$H$88*('HIV-Key Info'!$E$88*('HPM costs'!P119/'HPM costs'!$E$119)+'HIV-Key Info'!$F$88*('HPM costs'!P125/'HPM costs'!$E$125+'HPM costs'!P122/'HPM costs'!$E$122))</f>
        <v>0</v>
      </c>
      <c r="AQ484" s="525"/>
      <c r="AR484" s="525">
        <f>'HIV-Key Info'!$H$88*('HIV-Key Info'!$E$88*('HPM costs'!Q119/'HPM costs'!$E$119)+'HIV-Key Info'!$F$88*('HPM costs'!Q125/'HPM costs'!$E$125+'HPM costs'!Q122/'HPM costs'!$E$122))</f>
        <v>0</v>
      </c>
      <c r="AS484" s="525"/>
      <c r="AT484" s="525">
        <f>'HIV-Key Info'!$H$88*('HIV-Key Info'!$E$88*('HPM costs'!R119/'HPM costs'!$E$119)+'HIV-Key Info'!$F$88*('HPM costs'!R125/'HPM costs'!$E$125+'HPM costs'!R122/'HPM costs'!$E$122))</f>
        <v>0</v>
      </c>
      <c r="AU484" s="525"/>
      <c r="AV484" s="525">
        <f>'HIV-Key Info'!$H$88*('HIV-Key Info'!$E$88*('HPM costs'!S119/'HPM costs'!$E$119)+'HIV-Key Info'!$F$88*('HPM costs'!S125/'HPM costs'!$E$125+'HPM costs'!S122/'HPM costs'!$E$122))</f>
        <v>0</v>
      </c>
      <c r="AW484" s="525"/>
      <c r="AX484" s="1154">
        <f t="shared" si="50"/>
        <v>0</v>
      </c>
      <c r="AY484" s="1154"/>
      <c r="AZ484" s="528"/>
      <c r="BA484" s="529"/>
      <c r="BB484" s="527"/>
      <c r="BC484" s="527">
        <v>0</v>
      </c>
      <c r="BD484" s="527">
        <v>0</v>
      </c>
      <c r="BE484" s="527">
        <v>0</v>
      </c>
      <c r="BF484" s="527">
        <v>0</v>
      </c>
      <c r="BG484" s="527">
        <v>0</v>
      </c>
      <c r="BH484" s="527">
        <v>0</v>
      </c>
      <c r="BI484" s="527">
        <v>0</v>
      </c>
      <c r="BJ484" s="527">
        <v>0</v>
      </c>
      <c r="BK484" s="1154">
        <f t="shared" si="51"/>
        <v>0</v>
      </c>
      <c r="BL484" s="1154"/>
      <c r="BM484" s="1154">
        <f t="shared" si="52"/>
        <v>0</v>
      </c>
      <c r="BN484" s="1154">
        <f t="shared" si="53"/>
        <v>0</v>
      </c>
      <c r="BO484" s="527"/>
      <c r="BP484" s="527"/>
      <c r="BQ484" s="1157" t="s">
        <v>2558</v>
      </c>
      <c r="BR484" s="1157" t="s">
        <v>690</v>
      </c>
      <c r="BS484" s="1157" t="s">
        <v>2570</v>
      </c>
      <c r="BT484" s="1376" t="s">
        <v>1788</v>
      </c>
    </row>
    <row r="485" spans="1:72" s="1371" customFormat="1" ht="13">
      <c r="A485" s="1204">
        <v>1041</v>
      </c>
      <c r="B485" s="1205" t="s">
        <v>672</v>
      </c>
      <c r="C485" s="1205" t="s">
        <v>674</v>
      </c>
      <c r="D485" s="1206" t="s">
        <v>2526</v>
      </c>
      <c r="E485" s="1386" t="s">
        <v>528</v>
      </c>
      <c r="F485" s="521"/>
      <c r="G485" s="522"/>
      <c r="H485" s="522"/>
      <c r="I485" s="522"/>
      <c r="J485" s="523"/>
      <c r="K485" s="523"/>
      <c r="L485" s="523"/>
      <c r="M485" s="524"/>
      <c r="N485" s="525"/>
      <c r="O485" s="526" t="s">
        <v>1237</v>
      </c>
      <c r="P485" s="525">
        <f>'HIV-Key Info'!$H$88*(('HIV-Key Info'!$E$88*'HPM costs'!F33)+('HIV-Key Info'!$F$88*('HPM costs'!F36+'HPM costs'!F39)))</f>
        <v>0</v>
      </c>
      <c r="Q485" s="525" t="s">
        <v>1237</v>
      </c>
      <c r="R485" s="525">
        <f>'HIV-Key Info'!$H$88*(('HIV-Key Info'!$E$88*'HPM costs'!G33)+('HIV-Key Info'!$F$88*('HPM costs'!G36+'HPM costs'!G39)))</f>
        <v>0</v>
      </c>
      <c r="S485" s="525" t="s">
        <v>1237</v>
      </c>
      <c r="T485" s="525">
        <f>'HIV-Key Info'!$H$88*(('HIV-Key Info'!$E$88*'HPM costs'!H33)+('HIV-Key Info'!$F$88*('HPM costs'!H36+'HPM costs'!H39)))</f>
        <v>0</v>
      </c>
      <c r="U485" s="525" t="s">
        <v>1237</v>
      </c>
      <c r="V485" s="525">
        <f>'HIV-Key Info'!$H$88*(('HIV-Key Info'!$E$88*'HPM costs'!I33)+('HIV-Key Info'!$F$88*('HPM costs'!I36+'HPM costs'!I39)))</f>
        <v>0</v>
      </c>
      <c r="W485" s="525"/>
      <c r="X485" s="1154">
        <f t="shared" si="48"/>
        <v>0</v>
      </c>
      <c r="Y485" s="1155"/>
      <c r="Z485" s="1156"/>
      <c r="AA485" s="529"/>
      <c r="AB485" s="525"/>
      <c r="AC485" s="525">
        <f>'HIV-Key Info'!$H$88*(('HIV-Key Info'!$E$88*'HPM costs'!K33)+('HIV-Key Info'!$F$88*('HPM costs'!K36+'HPM costs'!K39)))</f>
        <v>0</v>
      </c>
      <c r="AD485" s="525"/>
      <c r="AE485" s="525">
        <f>'HIV-Key Info'!$H$88*(('HIV-Key Info'!$E$88*'HPM costs'!L33)+('HIV-Key Info'!$F$88*('HPM costs'!L36+'HPM costs'!L39)))</f>
        <v>0</v>
      </c>
      <c r="AF485" s="525"/>
      <c r="AG485" s="525">
        <f>'HIV-Key Info'!$H$88*(('HIV-Key Info'!$E$88*'HPM costs'!M33)+('HIV-Key Info'!$F$88*('HPM costs'!M36+'HPM costs'!M39)))</f>
        <v>0</v>
      </c>
      <c r="AH485" s="525"/>
      <c r="AI485" s="525">
        <f>'HIV-Key Info'!$H$88*(('HIV-Key Info'!$E$88*'HPM costs'!N33)+('HIV-Key Info'!$F$88*('HPM costs'!N36+'HPM costs'!N39)))</f>
        <v>0</v>
      </c>
      <c r="AJ485" s="525"/>
      <c r="AK485" s="1154">
        <f t="shared" si="49"/>
        <v>0</v>
      </c>
      <c r="AL485" s="1155"/>
      <c r="AM485" s="1156"/>
      <c r="AN485" s="529"/>
      <c r="AO485" s="525"/>
      <c r="AP485" s="525">
        <f>'HIV-Key Info'!$H$88*(('HIV-Key Info'!$E$88*'HPM costs'!P33)+('HIV-Key Info'!$F$88*('HPM costs'!P36+'HPM costs'!P39)))</f>
        <v>0</v>
      </c>
      <c r="AQ485" s="525"/>
      <c r="AR485" s="525">
        <f>'HIV-Key Info'!$H$88*(('HIV-Key Info'!$E$88*'HPM costs'!Q33)+('HIV-Key Info'!$F$88*('HPM costs'!Q36+'HPM costs'!Q39)))</f>
        <v>0</v>
      </c>
      <c r="AS485" s="525"/>
      <c r="AT485" s="525">
        <f>'HIV-Key Info'!$H$88*(('HIV-Key Info'!$E$88*'HPM costs'!R33)+('HIV-Key Info'!$F$88*('HPM costs'!R36+'HPM costs'!R39)))</f>
        <v>0</v>
      </c>
      <c r="AU485" s="525"/>
      <c r="AV485" s="525">
        <f>'HIV-Key Info'!$H$88*(('HIV-Key Info'!$E$88*'HPM costs'!S33)+('HIV-Key Info'!$F$88*('HPM costs'!S36+'HPM costs'!S39)))</f>
        <v>0</v>
      </c>
      <c r="AW485" s="525"/>
      <c r="AX485" s="1154">
        <f t="shared" si="50"/>
        <v>0</v>
      </c>
      <c r="AY485" s="1154"/>
      <c r="AZ485" s="528"/>
      <c r="BA485" s="529"/>
      <c r="BB485" s="527"/>
      <c r="BC485" s="527">
        <v>0</v>
      </c>
      <c r="BD485" s="527">
        <v>0</v>
      </c>
      <c r="BE485" s="527">
        <v>0</v>
      </c>
      <c r="BF485" s="527">
        <v>0</v>
      </c>
      <c r="BG485" s="527">
        <v>0</v>
      </c>
      <c r="BH485" s="527">
        <v>0</v>
      </c>
      <c r="BI485" s="527">
        <v>0</v>
      </c>
      <c r="BJ485" s="527">
        <v>0</v>
      </c>
      <c r="BK485" s="1154">
        <f t="shared" si="51"/>
        <v>0</v>
      </c>
      <c r="BL485" s="1154"/>
      <c r="BM485" s="1154">
        <f t="shared" si="52"/>
        <v>0</v>
      </c>
      <c r="BN485" s="1154">
        <f t="shared" si="53"/>
        <v>0</v>
      </c>
      <c r="BO485" s="527"/>
      <c r="BP485" s="527"/>
      <c r="BQ485" s="1157" t="s">
        <v>2558</v>
      </c>
      <c r="BR485" s="1157" t="s">
        <v>690</v>
      </c>
      <c r="BS485" s="1157" t="s">
        <v>527</v>
      </c>
      <c r="BT485" s="1376" t="s">
        <v>1789</v>
      </c>
    </row>
    <row r="486" spans="1:72" s="1371" customFormat="1" ht="13">
      <c r="A486" s="1204">
        <v>1042</v>
      </c>
      <c r="B486" s="1205" t="s">
        <v>672</v>
      </c>
      <c r="C486" s="1205" t="s">
        <v>674</v>
      </c>
      <c r="D486" s="1206" t="s">
        <v>2526</v>
      </c>
      <c r="E486" s="1386" t="s">
        <v>530</v>
      </c>
      <c r="F486" s="521"/>
      <c r="G486" s="522"/>
      <c r="H486" s="522"/>
      <c r="I486" s="522"/>
      <c r="J486" s="523"/>
      <c r="K486" s="523"/>
      <c r="L486" s="523"/>
      <c r="M486" s="524"/>
      <c r="N486" s="525"/>
      <c r="O486" s="526" t="s">
        <v>1237</v>
      </c>
      <c r="P486" s="525">
        <f>'HIV-Key Info'!$H$88*(('HIV-Key Info'!$E$88*'HPM costs'!F119)+('HIV-Key Info'!$F$88*('HPM costs'!F122+'HPM costs'!F125)))</f>
        <v>0</v>
      </c>
      <c r="Q486" s="525" t="s">
        <v>1237</v>
      </c>
      <c r="R486" s="525">
        <f>'HIV-Key Info'!$H$88*(('HIV-Key Info'!$E$88*'HPM costs'!G119)+('HIV-Key Info'!$F$88*('HPM costs'!G122+'HPM costs'!G125)))</f>
        <v>0</v>
      </c>
      <c r="S486" s="525" t="s">
        <v>1237</v>
      </c>
      <c r="T486" s="525">
        <f>'HIV-Key Info'!$H$88*(('HIV-Key Info'!$E$88*'HPM costs'!H119)+('HIV-Key Info'!$F$88*('HPM costs'!H122+'HPM costs'!H125)))</f>
        <v>0</v>
      </c>
      <c r="U486" s="525" t="s">
        <v>1237</v>
      </c>
      <c r="V486" s="525">
        <f>'HIV-Key Info'!$H$88*(('HIV-Key Info'!$E$88*'HPM costs'!I119)+('HIV-Key Info'!$F$88*('HPM costs'!I122+'HPM costs'!I125)))</f>
        <v>0</v>
      </c>
      <c r="W486" s="525"/>
      <c r="X486" s="1154">
        <f t="shared" si="48"/>
        <v>0</v>
      </c>
      <c r="Y486" s="1155"/>
      <c r="Z486" s="1156"/>
      <c r="AA486" s="529"/>
      <c r="AB486" s="525"/>
      <c r="AC486" s="525">
        <f>'HIV-Key Info'!$H$88*(('HIV-Key Info'!$E$88*'HPM costs'!K119)+('HIV-Key Info'!$F$88*('HPM costs'!K122+'HPM costs'!K125)))</f>
        <v>0</v>
      </c>
      <c r="AD486" s="525"/>
      <c r="AE486" s="525">
        <f>'HIV-Key Info'!$H$88*(('HIV-Key Info'!$E$88*'HPM costs'!L119)+('HIV-Key Info'!$F$88*('HPM costs'!L122+'HPM costs'!L125)))</f>
        <v>0</v>
      </c>
      <c r="AF486" s="525"/>
      <c r="AG486" s="525">
        <f>'HIV-Key Info'!$H$88*(('HIV-Key Info'!$E$88*'HPM costs'!M119)+('HIV-Key Info'!$F$88*('HPM costs'!M122+'HPM costs'!M125)))</f>
        <v>0</v>
      </c>
      <c r="AH486" s="525"/>
      <c r="AI486" s="525">
        <f>'HIV-Key Info'!$H$88*(('HIV-Key Info'!$E$88*'HPM costs'!N119)+('HIV-Key Info'!$F$88*('HPM costs'!N122+'HPM costs'!N125)))</f>
        <v>0</v>
      </c>
      <c r="AJ486" s="525"/>
      <c r="AK486" s="1154">
        <f t="shared" si="49"/>
        <v>0</v>
      </c>
      <c r="AL486" s="1155"/>
      <c r="AM486" s="1156"/>
      <c r="AN486" s="529"/>
      <c r="AO486" s="525"/>
      <c r="AP486" s="525">
        <f>'HIV-Key Info'!$H$88*(('HIV-Key Info'!$E$88*'HPM costs'!P119)+('HIV-Key Info'!$F$88*('HPM costs'!P122+'HPM costs'!P125)))</f>
        <v>0</v>
      </c>
      <c r="AQ486" s="525"/>
      <c r="AR486" s="525">
        <f>'HIV-Key Info'!$H$88*(('HIV-Key Info'!$E$88*'HPM costs'!Q119)+('HIV-Key Info'!$F$88*('HPM costs'!Q122+'HPM costs'!Q125)))</f>
        <v>0</v>
      </c>
      <c r="AS486" s="525"/>
      <c r="AT486" s="525">
        <f>'HIV-Key Info'!$H$88*(('HIV-Key Info'!$E$88*'HPM costs'!R119)+('HIV-Key Info'!$F$88*('HPM costs'!R122+'HPM costs'!R125)))</f>
        <v>0</v>
      </c>
      <c r="AU486" s="525"/>
      <c r="AV486" s="525">
        <f>'HIV-Key Info'!$H$88*(('HIV-Key Info'!$E$88*'HPM costs'!S119)+('HIV-Key Info'!$F$88*('HPM costs'!S122+'HPM costs'!S125)))</f>
        <v>0</v>
      </c>
      <c r="AW486" s="525"/>
      <c r="AX486" s="1154">
        <f t="shared" si="50"/>
        <v>0</v>
      </c>
      <c r="AY486" s="1154"/>
      <c r="AZ486" s="528"/>
      <c r="BA486" s="529"/>
      <c r="BB486" s="527"/>
      <c r="BC486" s="527">
        <v>0</v>
      </c>
      <c r="BD486" s="527">
        <v>0</v>
      </c>
      <c r="BE486" s="527">
        <v>0</v>
      </c>
      <c r="BF486" s="527">
        <v>0</v>
      </c>
      <c r="BG486" s="527">
        <v>0</v>
      </c>
      <c r="BH486" s="527">
        <v>0</v>
      </c>
      <c r="BI486" s="527">
        <v>0</v>
      </c>
      <c r="BJ486" s="527">
        <v>0</v>
      </c>
      <c r="BK486" s="1154">
        <f t="shared" si="51"/>
        <v>0</v>
      </c>
      <c r="BL486" s="1154"/>
      <c r="BM486" s="1154">
        <f t="shared" si="52"/>
        <v>0</v>
      </c>
      <c r="BN486" s="1154">
        <f t="shared" si="53"/>
        <v>0</v>
      </c>
      <c r="BO486" s="527"/>
      <c r="BP486" s="527"/>
      <c r="BQ486" s="1157" t="s">
        <v>2558</v>
      </c>
      <c r="BR486" s="1157" t="s">
        <v>690</v>
      </c>
      <c r="BS486" s="1157" t="s">
        <v>527</v>
      </c>
      <c r="BT486" s="1376" t="s">
        <v>1790</v>
      </c>
    </row>
    <row r="487" spans="1:72" s="1371" customFormat="1" ht="13">
      <c r="A487" s="1204">
        <v>1043</v>
      </c>
      <c r="B487" s="1205" t="s">
        <v>672</v>
      </c>
      <c r="C487" s="1205" t="s">
        <v>674</v>
      </c>
      <c r="D487" s="1206" t="s">
        <v>2526</v>
      </c>
      <c r="E487" s="1386" t="s">
        <v>532</v>
      </c>
      <c r="F487" s="521"/>
      <c r="G487" s="522"/>
      <c r="H487" s="522"/>
      <c r="I487" s="522"/>
      <c r="J487" s="523"/>
      <c r="K487" s="523"/>
      <c r="L487" s="523"/>
      <c r="M487" s="524"/>
      <c r="N487" s="525"/>
      <c r="O487" s="526" t="s">
        <v>1237</v>
      </c>
      <c r="P487" s="525">
        <f>'HIV-Key Info'!$H$88*(('HIV-Key Info'!$E$88*'HPM costs'!F379)+('HIV-Key Info'!$F$88*('HPM costs'!F382+'HPM costs'!F385)))</f>
        <v>0</v>
      </c>
      <c r="Q487" s="525" t="s">
        <v>1237</v>
      </c>
      <c r="R487" s="525">
        <f>'HIV-Key Info'!$H$88*(('HIV-Key Info'!$E$88*'HPM costs'!G379)+('HIV-Key Info'!$F$88*('HPM costs'!G382+'HPM costs'!G385)))</f>
        <v>0</v>
      </c>
      <c r="S487" s="525" t="s">
        <v>1237</v>
      </c>
      <c r="T487" s="525">
        <f>'HIV-Key Info'!$H$88*(('HIV-Key Info'!$E$88*'HPM costs'!H379)+('HIV-Key Info'!$F$88*('HPM costs'!H382+'HPM costs'!H385)))</f>
        <v>0</v>
      </c>
      <c r="U487" s="525" t="s">
        <v>1237</v>
      </c>
      <c r="V487" s="525">
        <f>'HIV-Key Info'!$H$88*(('HIV-Key Info'!$E$88*'HPM costs'!I379)+('HIV-Key Info'!$F$88*('HPM costs'!I382+'HPM costs'!I385)))</f>
        <v>0</v>
      </c>
      <c r="W487" s="525"/>
      <c r="X487" s="1154">
        <f t="shared" si="48"/>
        <v>0</v>
      </c>
      <c r="Y487" s="1155"/>
      <c r="Z487" s="1156"/>
      <c r="AA487" s="529"/>
      <c r="AB487" s="525"/>
      <c r="AC487" s="525">
        <f>'HIV-Key Info'!$H$88*(('HIV-Key Info'!$E$88*'HPM costs'!K379)+('HIV-Key Info'!$F$88*('HPM costs'!K382+'HPM costs'!K385)))</f>
        <v>0</v>
      </c>
      <c r="AD487" s="525"/>
      <c r="AE487" s="525">
        <f>'HIV-Key Info'!$H$88*(('HIV-Key Info'!$E$88*'HPM costs'!L379)+('HIV-Key Info'!$F$88*('HPM costs'!L382+'HPM costs'!L385)))</f>
        <v>0</v>
      </c>
      <c r="AF487" s="525"/>
      <c r="AG487" s="525">
        <f>'HIV-Key Info'!$H$88*(('HIV-Key Info'!$E$88*'HPM costs'!M379)+('HIV-Key Info'!$F$88*('HPM costs'!M382+'HPM costs'!M385)))</f>
        <v>0</v>
      </c>
      <c r="AH487" s="525"/>
      <c r="AI487" s="525">
        <f>'HIV-Key Info'!$H$88*(('HIV-Key Info'!$E$88*'HPM costs'!N379)+('HIV-Key Info'!$F$88*('HPM costs'!N382+'HPM costs'!N385)))</f>
        <v>0</v>
      </c>
      <c r="AJ487" s="525"/>
      <c r="AK487" s="1154">
        <f t="shared" si="49"/>
        <v>0</v>
      </c>
      <c r="AL487" s="1155"/>
      <c r="AM487" s="1156"/>
      <c r="AN487" s="529"/>
      <c r="AO487" s="525"/>
      <c r="AP487" s="525">
        <f>'HIV-Key Info'!$H$88*(('HIV-Key Info'!$E$88*'HPM costs'!P379)+('HIV-Key Info'!$F$88*('HPM costs'!P382+'HPM costs'!P385)))</f>
        <v>0</v>
      </c>
      <c r="AQ487" s="525"/>
      <c r="AR487" s="525">
        <f>'HIV-Key Info'!$H$88*(('HIV-Key Info'!$E$88*'HPM costs'!Q379)+('HIV-Key Info'!$F$88*('HPM costs'!Q382+'HPM costs'!Q385)))</f>
        <v>0</v>
      </c>
      <c r="AS487" s="525"/>
      <c r="AT487" s="525">
        <f>'HIV-Key Info'!$H$88*(('HIV-Key Info'!$E$88*'HPM costs'!R379)+('HIV-Key Info'!$F$88*('HPM costs'!R382+'HPM costs'!R385)))</f>
        <v>0</v>
      </c>
      <c r="AU487" s="525"/>
      <c r="AV487" s="525">
        <f>'HIV-Key Info'!$H$88*(('HIV-Key Info'!$E$88*'HPM costs'!S379)+('HIV-Key Info'!$F$88*('HPM costs'!S382+'HPM costs'!S385)))</f>
        <v>0</v>
      </c>
      <c r="AW487" s="525"/>
      <c r="AX487" s="1154">
        <f t="shared" si="50"/>
        <v>0</v>
      </c>
      <c r="AY487" s="1154"/>
      <c r="AZ487" s="528"/>
      <c r="BA487" s="529"/>
      <c r="BB487" s="527"/>
      <c r="BC487" s="527">
        <v>0</v>
      </c>
      <c r="BD487" s="527">
        <v>0</v>
      </c>
      <c r="BE487" s="527">
        <v>0</v>
      </c>
      <c r="BF487" s="527">
        <v>0</v>
      </c>
      <c r="BG487" s="527">
        <v>0</v>
      </c>
      <c r="BH487" s="527">
        <v>0</v>
      </c>
      <c r="BI487" s="527">
        <v>0</v>
      </c>
      <c r="BJ487" s="527">
        <v>0</v>
      </c>
      <c r="BK487" s="1154">
        <f t="shared" si="51"/>
        <v>0</v>
      </c>
      <c r="BL487" s="1154"/>
      <c r="BM487" s="1154">
        <f t="shared" si="52"/>
        <v>0</v>
      </c>
      <c r="BN487" s="1154">
        <f t="shared" si="53"/>
        <v>0</v>
      </c>
      <c r="BO487" s="527"/>
      <c r="BP487" s="527"/>
      <c r="BQ487" s="1157" t="s">
        <v>2558</v>
      </c>
      <c r="BR487" s="1157" t="s">
        <v>690</v>
      </c>
      <c r="BS487" s="1157" t="s">
        <v>527</v>
      </c>
      <c r="BT487" s="1376" t="s">
        <v>1791</v>
      </c>
    </row>
    <row r="488" spans="1:72" s="1371" customFormat="1" ht="13">
      <c r="A488" s="1204">
        <v>1044</v>
      </c>
      <c r="B488" s="1205" t="s">
        <v>672</v>
      </c>
      <c r="C488" s="1205" t="s">
        <v>674</v>
      </c>
      <c r="D488" s="1206" t="s">
        <v>2526</v>
      </c>
      <c r="E488" s="1386" t="s">
        <v>534</v>
      </c>
      <c r="F488" s="521"/>
      <c r="G488" s="522"/>
      <c r="H488" s="522"/>
      <c r="I488" s="522"/>
      <c r="J488" s="523"/>
      <c r="K488" s="523"/>
      <c r="L488" s="523"/>
      <c r="M488" s="524"/>
      <c r="N488" s="525"/>
      <c r="O488" s="526" t="s">
        <v>1237</v>
      </c>
      <c r="P488" s="525">
        <f>'HIV-Key Info'!$H$88*(('HIV-Key Info'!$E$88*'HPM costs'!F465)+('HIV-Key Info'!$F$88*('HPM costs'!F468+'HPM costs'!F471)))</f>
        <v>0</v>
      </c>
      <c r="Q488" s="525" t="s">
        <v>1237</v>
      </c>
      <c r="R488" s="525">
        <f>'HIV-Key Info'!$H$88*(('HIV-Key Info'!$E$88*'HPM costs'!G465)+('HIV-Key Info'!$F$88*('HPM costs'!G468+'HPM costs'!G471)))</f>
        <v>0</v>
      </c>
      <c r="S488" s="525" t="s">
        <v>1237</v>
      </c>
      <c r="T488" s="525">
        <f>'HIV-Key Info'!$H$88*(('HIV-Key Info'!$E$88*'HPM costs'!H465)+('HIV-Key Info'!$F$88*('HPM costs'!H468+'HPM costs'!H471)))</f>
        <v>0</v>
      </c>
      <c r="U488" s="525" t="s">
        <v>1237</v>
      </c>
      <c r="V488" s="525">
        <f>'HIV-Key Info'!$H$88*(('HIV-Key Info'!$E$88*'HPM costs'!I465)+('HIV-Key Info'!$F$88*('HPM costs'!I468+'HPM costs'!I471)))</f>
        <v>0</v>
      </c>
      <c r="W488" s="525"/>
      <c r="X488" s="1154">
        <f t="shared" si="48"/>
        <v>0</v>
      </c>
      <c r="Y488" s="1155"/>
      <c r="Z488" s="1156"/>
      <c r="AA488" s="529"/>
      <c r="AB488" s="525"/>
      <c r="AC488" s="525">
        <f>'HIV-Key Info'!$H$88*(('HIV-Key Info'!$E$88*'HPM costs'!K465)+('HIV-Key Info'!$F$88*('HPM costs'!K468+'HPM costs'!K471)))</f>
        <v>0</v>
      </c>
      <c r="AD488" s="525"/>
      <c r="AE488" s="525">
        <f>'HIV-Key Info'!$H$88*(('HIV-Key Info'!$E$88*'HPM costs'!L465)+('HIV-Key Info'!$F$88*('HPM costs'!L468+'HPM costs'!L471)))</f>
        <v>0</v>
      </c>
      <c r="AF488" s="525"/>
      <c r="AG488" s="525">
        <f>'HIV-Key Info'!$H$88*(('HIV-Key Info'!$E$88*'HPM costs'!M465)+('HIV-Key Info'!$F$88*('HPM costs'!M468+'HPM costs'!M471)))</f>
        <v>0</v>
      </c>
      <c r="AH488" s="525"/>
      <c r="AI488" s="525">
        <f>'HIV-Key Info'!$H$88*(('HIV-Key Info'!$E$88*'HPM costs'!N465)+('HIV-Key Info'!$F$88*('HPM costs'!N468+'HPM costs'!N471)))</f>
        <v>0</v>
      </c>
      <c r="AJ488" s="525"/>
      <c r="AK488" s="1154">
        <f t="shared" si="49"/>
        <v>0</v>
      </c>
      <c r="AL488" s="1155"/>
      <c r="AM488" s="1156"/>
      <c r="AN488" s="529"/>
      <c r="AO488" s="525"/>
      <c r="AP488" s="525">
        <f>'HIV-Key Info'!$H$88*(('HIV-Key Info'!$E$88*'HPM costs'!P465)+('HIV-Key Info'!$F$88*('HPM costs'!P468+'HPM costs'!P471)))</f>
        <v>0</v>
      </c>
      <c r="AQ488" s="525"/>
      <c r="AR488" s="525">
        <f>'HIV-Key Info'!$H$88*(('HIV-Key Info'!$E$88*'HPM costs'!Q465)+('HIV-Key Info'!$F$88*('HPM costs'!Q468+'HPM costs'!Q471)))</f>
        <v>0</v>
      </c>
      <c r="AS488" s="525"/>
      <c r="AT488" s="525">
        <f>'HIV-Key Info'!$H$88*(('HIV-Key Info'!$E$88*'HPM costs'!R465)+('HIV-Key Info'!$F$88*('HPM costs'!R468+'HPM costs'!R471)))</f>
        <v>0</v>
      </c>
      <c r="AU488" s="525"/>
      <c r="AV488" s="525">
        <f>'HIV-Key Info'!$H$88*(('HIV-Key Info'!$E$88*'HPM costs'!S465)+('HIV-Key Info'!$F$88*('HPM costs'!S468+'HPM costs'!S471)))</f>
        <v>0</v>
      </c>
      <c r="AW488" s="525"/>
      <c r="AX488" s="1154">
        <f t="shared" si="50"/>
        <v>0</v>
      </c>
      <c r="AY488" s="1154"/>
      <c r="AZ488" s="528"/>
      <c r="BA488" s="529"/>
      <c r="BB488" s="527"/>
      <c r="BC488" s="527">
        <v>0</v>
      </c>
      <c r="BD488" s="527">
        <v>0</v>
      </c>
      <c r="BE488" s="527">
        <v>0</v>
      </c>
      <c r="BF488" s="527">
        <v>0</v>
      </c>
      <c r="BG488" s="527">
        <v>0</v>
      </c>
      <c r="BH488" s="527">
        <v>0</v>
      </c>
      <c r="BI488" s="527">
        <v>0</v>
      </c>
      <c r="BJ488" s="527">
        <v>0</v>
      </c>
      <c r="BK488" s="1154">
        <f t="shared" si="51"/>
        <v>0</v>
      </c>
      <c r="BL488" s="1154"/>
      <c r="BM488" s="1154">
        <f t="shared" si="52"/>
        <v>0</v>
      </c>
      <c r="BN488" s="1154">
        <f t="shared" si="53"/>
        <v>0</v>
      </c>
      <c r="BO488" s="527"/>
      <c r="BP488" s="527"/>
      <c r="BQ488" s="1157" t="s">
        <v>2558</v>
      </c>
      <c r="BR488" s="1157" t="s">
        <v>690</v>
      </c>
      <c r="BS488" s="1157" t="s">
        <v>527</v>
      </c>
      <c r="BT488" s="1376" t="s">
        <v>1792</v>
      </c>
    </row>
    <row r="489" spans="1:72" s="1371" customFormat="1" ht="13">
      <c r="A489" s="1204">
        <v>1045</v>
      </c>
      <c r="B489" s="1205" t="s">
        <v>672</v>
      </c>
      <c r="C489" s="1205" t="s">
        <v>674</v>
      </c>
      <c r="D489" s="1206" t="s">
        <v>2526</v>
      </c>
      <c r="E489" s="1386" t="s">
        <v>536</v>
      </c>
      <c r="F489" s="521"/>
      <c r="G489" s="522"/>
      <c r="H489" s="522"/>
      <c r="I489" s="522"/>
      <c r="J489" s="523"/>
      <c r="K489" s="523"/>
      <c r="L489" s="523"/>
      <c r="M489" s="524"/>
      <c r="N489" s="525"/>
      <c r="O489" s="526" t="s">
        <v>1237</v>
      </c>
      <c r="P489" s="525">
        <f>'HIV-Key Info'!$H$88*(('HIV-Key Info'!$E$88*('HPM costs'!F205+'HPM costs'!F551))+('HIV-Key Info'!$F$88*('HPM costs'!F208+'HPM costs'!F211+'HPM costs'!F554+'HPM costs'!F557)))</f>
        <v>0</v>
      </c>
      <c r="Q489" s="525" t="s">
        <v>1237</v>
      </c>
      <c r="R489" s="525">
        <f>'HIV-Key Info'!$H$88*(('HIV-Key Info'!$E$88*('HPM costs'!G205+'HPM costs'!G551))+('HIV-Key Info'!$F$88*('HPM costs'!G208+'HPM costs'!G211+'HPM costs'!G554+'HPM costs'!G557)))</f>
        <v>0</v>
      </c>
      <c r="S489" s="525" t="s">
        <v>1237</v>
      </c>
      <c r="T489" s="525">
        <f>'HIV-Key Info'!$H$88*(('HIV-Key Info'!$E$88*('HPM costs'!H205+'HPM costs'!H551))+('HIV-Key Info'!$F$88*('HPM costs'!H208+'HPM costs'!H211+'HPM costs'!H554+'HPM costs'!H557)))</f>
        <v>0</v>
      </c>
      <c r="U489" s="525" t="s">
        <v>1237</v>
      </c>
      <c r="V489" s="525">
        <f>'HIV-Key Info'!$H$88*(('HIV-Key Info'!$E$88*('HPM costs'!I205+'HPM costs'!I551))+('HIV-Key Info'!$F$88*('HPM costs'!I208+'HPM costs'!I211+'HPM costs'!I554+'HPM costs'!I557)))</f>
        <v>0</v>
      </c>
      <c r="W489" s="525"/>
      <c r="X489" s="1154">
        <f t="shared" si="48"/>
        <v>0</v>
      </c>
      <c r="Y489" s="1155"/>
      <c r="Z489" s="1156"/>
      <c r="AA489" s="529"/>
      <c r="AB489" s="525"/>
      <c r="AC489" s="525">
        <f>'HIV-Key Info'!$H$88*(('HIV-Key Info'!$E$88*('HPM costs'!K205+'HPM costs'!K551))+('HIV-Key Info'!$F$88*('HPM costs'!K208+'HPM costs'!K211+'HPM costs'!K554+'HPM costs'!K557)))</f>
        <v>0</v>
      </c>
      <c r="AD489" s="525"/>
      <c r="AE489" s="525">
        <f>'HIV-Key Info'!$H$88*(('HIV-Key Info'!$E$88*('HPM costs'!L205+'HPM costs'!L551))+('HIV-Key Info'!$F$88*('HPM costs'!L208+'HPM costs'!L211+'HPM costs'!L554+'HPM costs'!L557)))</f>
        <v>0</v>
      </c>
      <c r="AF489" s="525"/>
      <c r="AG489" s="525">
        <f>'HIV-Key Info'!$H$88*(('HIV-Key Info'!$E$88*('HPM costs'!M205+'HPM costs'!M551))+('HIV-Key Info'!$F$88*('HPM costs'!M208+'HPM costs'!M211+'HPM costs'!M554+'HPM costs'!M557)))</f>
        <v>0</v>
      </c>
      <c r="AH489" s="525"/>
      <c r="AI489" s="525">
        <f>'HIV-Key Info'!$H$88*(('HIV-Key Info'!$E$88*('HPM costs'!N205+'HPM costs'!N551))+('HIV-Key Info'!$F$88*('HPM costs'!N208+'HPM costs'!N211+'HPM costs'!N554+'HPM costs'!N557)))</f>
        <v>0</v>
      </c>
      <c r="AJ489" s="525"/>
      <c r="AK489" s="1154">
        <f t="shared" si="49"/>
        <v>0</v>
      </c>
      <c r="AL489" s="1155"/>
      <c r="AM489" s="1156"/>
      <c r="AN489" s="529"/>
      <c r="AO489" s="525"/>
      <c r="AP489" s="525">
        <f>'HIV-Key Info'!$H$88*(('HIV-Key Info'!$E$88*('HPM costs'!P205+'HPM costs'!P551))+('HIV-Key Info'!$F$88*('HPM costs'!P208+'HPM costs'!P211+'HPM costs'!P554+'HPM costs'!P557)))</f>
        <v>0</v>
      </c>
      <c r="AQ489" s="525"/>
      <c r="AR489" s="525">
        <f>'HIV-Key Info'!$H$88*(('HIV-Key Info'!$E$88*('HPM costs'!Q205+'HPM costs'!Q551))+('HIV-Key Info'!$F$88*('HPM costs'!Q208+'HPM costs'!Q211+'HPM costs'!Q554+'HPM costs'!Q557)))</f>
        <v>0</v>
      </c>
      <c r="AS489" s="525"/>
      <c r="AT489" s="525">
        <f>'HIV-Key Info'!$H$88*(('HIV-Key Info'!$E$88*('HPM costs'!R205+'HPM costs'!R551))+('HIV-Key Info'!$F$88*('HPM costs'!R208+'HPM costs'!R211+'HPM costs'!R554+'HPM costs'!R557)))</f>
        <v>0</v>
      </c>
      <c r="AU489" s="525"/>
      <c r="AV489" s="525">
        <f>'HIV-Key Info'!$H$88*(('HIV-Key Info'!$E$88*('HPM costs'!S205+'HPM costs'!S551))+('HIV-Key Info'!$F$88*('HPM costs'!S208+'HPM costs'!S211+'HPM costs'!S554+'HPM costs'!S557)))</f>
        <v>0</v>
      </c>
      <c r="AW489" s="525"/>
      <c r="AX489" s="1154">
        <f t="shared" si="50"/>
        <v>0</v>
      </c>
      <c r="AY489" s="1154"/>
      <c r="AZ489" s="528"/>
      <c r="BA489" s="529"/>
      <c r="BB489" s="527"/>
      <c r="BC489" s="527">
        <v>0</v>
      </c>
      <c r="BD489" s="527">
        <v>0</v>
      </c>
      <c r="BE489" s="527">
        <v>0</v>
      </c>
      <c r="BF489" s="527">
        <v>0</v>
      </c>
      <c r="BG489" s="527">
        <v>0</v>
      </c>
      <c r="BH489" s="527">
        <v>0</v>
      </c>
      <c r="BI489" s="527">
        <v>0</v>
      </c>
      <c r="BJ489" s="527">
        <v>0</v>
      </c>
      <c r="BK489" s="1154">
        <f t="shared" si="51"/>
        <v>0</v>
      </c>
      <c r="BL489" s="1154"/>
      <c r="BM489" s="1154">
        <f t="shared" si="52"/>
        <v>0</v>
      </c>
      <c r="BN489" s="1154">
        <f t="shared" si="53"/>
        <v>0</v>
      </c>
      <c r="BO489" s="527"/>
      <c r="BP489" s="527"/>
      <c r="BQ489" s="1157" t="s">
        <v>2558</v>
      </c>
      <c r="BR489" s="1157" t="s">
        <v>690</v>
      </c>
      <c r="BS489" s="1157" t="s">
        <v>527</v>
      </c>
      <c r="BT489" s="1376" t="s">
        <v>1793</v>
      </c>
    </row>
    <row r="490" spans="1:72" s="1371" customFormat="1" ht="13">
      <c r="A490" s="1204">
        <v>1046</v>
      </c>
      <c r="B490" s="1205" t="s">
        <v>672</v>
      </c>
      <c r="C490" s="1205" t="s">
        <v>674</v>
      </c>
      <c r="D490" s="1206" t="s">
        <v>2526</v>
      </c>
      <c r="E490" s="1386" t="s">
        <v>538</v>
      </c>
      <c r="F490" s="521"/>
      <c r="G490" s="522"/>
      <c r="H490" s="522"/>
      <c r="I490" s="522"/>
      <c r="J490" s="523"/>
      <c r="K490" s="523"/>
      <c r="L490" s="523"/>
      <c r="M490" s="524"/>
      <c r="N490" s="525"/>
      <c r="O490" s="526" t="s">
        <v>1237</v>
      </c>
      <c r="P490" s="525">
        <f>'HIV-Key Info'!$H$88*(('HIV-Key Info'!$E$88*'HPM costs'!F291)+('HIV-Key Info'!$F$88*('HPM costs'!F294+'HPM costs'!F297)))</f>
        <v>0</v>
      </c>
      <c r="Q490" s="525" t="s">
        <v>1237</v>
      </c>
      <c r="R490" s="525">
        <f>'HIV-Key Info'!$H$88*(('HIV-Key Info'!$E$88*'HPM costs'!G291)+('HIV-Key Info'!$F$88*('HPM costs'!G294+'HPM costs'!G297)))</f>
        <v>0</v>
      </c>
      <c r="S490" s="525" t="s">
        <v>1237</v>
      </c>
      <c r="T490" s="525">
        <f>'HIV-Key Info'!$H$88*(('HIV-Key Info'!$E$88*'HPM costs'!H291)+('HIV-Key Info'!$F$88*('HPM costs'!H294+'HPM costs'!H297)))</f>
        <v>0</v>
      </c>
      <c r="U490" s="525" t="s">
        <v>1237</v>
      </c>
      <c r="V490" s="525">
        <f>'HIV-Key Info'!$H$88*(('HIV-Key Info'!$E$88*'HPM costs'!I291)+('HIV-Key Info'!$F$88*('HPM costs'!I294+'HPM costs'!I297)))</f>
        <v>0</v>
      </c>
      <c r="W490" s="525"/>
      <c r="X490" s="1154">
        <f t="shared" si="48"/>
        <v>0</v>
      </c>
      <c r="Y490" s="1155"/>
      <c r="Z490" s="1156"/>
      <c r="AA490" s="529"/>
      <c r="AB490" s="525"/>
      <c r="AC490" s="525">
        <f>'HIV-Key Info'!$H$88*(('HIV-Key Info'!$E$88*'HPM costs'!K291)+('HIV-Key Info'!$F$88*('HPM costs'!K294+'HPM costs'!K297)))</f>
        <v>0</v>
      </c>
      <c r="AD490" s="525"/>
      <c r="AE490" s="525">
        <f>'HIV-Key Info'!$H$88*(('HIV-Key Info'!$E$88*'HPM costs'!L291)+('HIV-Key Info'!$F$88*('HPM costs'!L294+'HPM costs'!L297)))</f>
        <v>0</v>
      </c>
      <c r="AF490" s="525"/>
      <c r="AG490" s="525">
        <f>'HIV-Key Info'!$H$88*(('HIV-Key Info'!$E$88*'HPM costs'!M291)+('HIV-Key Info'!$F$88*('HPM costs'!M294+'HPM costs'!M297)))</f>
        <v>0</v>
      </c>
      <c r="AH490" s="525"/>
      <c r="AI490" s="525">
        <f>'HIV-Key Info'!$H$88*(('HIV-Key Info'!$E$88*'HPM costs'!N291)+('HIV-Key Info'!$F$88*('HPM costs'!N294+'HPM costs'!N297)))</f>
        <v>0</v>
      </c>
      <c r="AJ490" s="525"/>
      <c r="AK490" s="1154">
        <f t="shared" si="49"/>
        <v>0</v>
      </c>
      <c r="AL490" s="1155"/>
      <c r="AM490" s="1156"/>
      <c r="AN490" s="529"/>
      <c r="AO490" s="525"/>
      <c r="AP490" s="525">
        <f>'HIV-Key Info'!$H$88*(('HIV-Key Info'!$E$88*'HPM costs'!P291)+('HIV-Key Info'!$F$88*('HPM costs'!P294+'HPM costs'!P297)))</f>
        <v>0</v>
      </c>
      <c r="AQ490" s="525"/>
      <c r="AR490" s="525">
        <f>'HIV-Key Info'!$H$88*(('HIV-Key Info'!$E$88*'HPM costs'!Q291)+('HIV-Key Info'!$F$88*('HPM costs'!Q294+'HPM costs'!Q297)))</f>
        <v>0</v>
      </c>
      <c r="AS490" s="525"/>
      <c r="AT490" s="525">
        <f>'HIV-Key Info'!$H$88*(('HIV-Key Info'!$E$88*'HPM costs'!R291)+('HIV-Key Info'!$F$88*('HPM costs'!R294+'HPM costs'!R297)))</f>
        <v>0</v>
      </c>
      <c r="AU490" s="525"/>
      <c r="AV490" s="525">
        <f>'HIV-Key Info'!$H$88*(('HIV-Key Info'!$E$88*'HPM costs'!S291)+('HIV-Key Info'!$F$88*('HPM costs'!S294+'HPM costs'!S297)))</f>
        <v>0</v>
      </c>
      <c r="AW490" s="525"/>
      <c r="AX490" s="1154">
        <f t="shared" si="50"/>
        <v>0</v>
      </c>
      <c r="AY490" s="1154"/>
      <c r="AZ490" s="528"/>
      <c r="BA490" s="529"/>
      <c r="BB490" s="527"/>
      <c r="BC490" s="527">
        <v>0</v>
      </c>
      <c r="BD490" s="527">
        <v>0</v>
      </c>
      <c r="BE490" s="527">
        <v>0</v>
      </c>
      <c r="BF490" s="527">
        <v>0</v>
      </c>
      <c r="BG490" s="527">
        <v>0</v>
      </c>
      <c r="BH490" s="527">
        <v>0</v>
      </c>
      <c r="BI490" s="527">
        <v>0</v>
      </c>
      <c r="BJ490" s="527">
        <v>0</v>
      </c>
      <c r="BK490" s="1154">
        <f t="shared" si="51"/>
        <v>0</v>
      </c>
      <c r="BL490" s="1154"/>
      <c r="BM490" s="1154">
        <f t="shared" si="52"/>
        <v>0</v>
      </c>
      <c r="BN490" s="1154">
        <f t="shared" si="53"/>
        <v>0</v>
      </c>
      <c r="BO490" s="527"/>
      <c r="BP490" s="527"/>
      <c r="BQ490" s="1157" t="s">
        <v>2558</v>
      </c>
      <c r="BR490" s="1157" t="s">
        <v>690</v>
      </c>
      <c r="BS490" s="1157" t="s">
        <v>527</v>
      </c>
      <c r="BT490" s="1376" t="s">
        <v>1794</v>
      </c>
    </row>
    <row r="491" spans="1:72" s="1371" customFormat="1" ht="13">
      <c r="A491" s="1204">
        <v>1047</v>
      </c>
      <c r="B491" s="1205" t="s">
        <v>672</v>
      </c>
      <c r="C491" s="1205" t="s">
        <v>674</v>
      </c>
      <c r="D491" s="1206" t="s">
        <v>2526</v>
      </c>
      <c r="E491" s="1386" t="s">
        <v>540</v>
      </c>
      <c r="F491" s="521"/>
      <c r="G491" s="522"/>
      <c r="H491" s="522"/>
      <c r="I491" s="522"/>
      <c r="J491" s="523"/>
      <c r="K491" s="523"/>
      <c r="L491" s="523"/>
      <c r="M491" s="524"/>
      <c r="N491" s="525"/>
      <c r="O491" s="526" t="s">
        <v>1237</v>
      </c>
      <c r="P491" s="525">
        <f>'HIV-Key Info'!$H$88*(('HIV-Key Info'!$E$88*'HPM costs'!F636)+('HIV-Key Info'!$F$88*('HPM costs'!F639+'HPM costs'!F642)))</f>
        <v>0</v>
      </c>
      <c r="Q491" s="525" t="s">
        <v>1237</v>
      </c>
      <c r="R491" s="525">
        <f>'HIV-Key Info'!$H$88*(('HIV-Key Info'!$E$88*'HPM costs'!G636)+('HIV-Key Info'!$F$88*('HPM costs'!G639+'HPM costs'!G642)))</f>
        <v>0</v>
      </c>
      <c r="S491" s="525" t="s">
        <v>1237</v>
      </c>
      <c r="T491" s="525">
        <f>'HIV-Key Info'!$H$88*(('HIV-Key Info'!$E$88*'HPM costs'!H636)+('HIV-Key Info'!$F$88*('HPM costs'!H639+'HPM costs'!H642)))</f>
        <v>0</v>
      </c>
      <c r="U491" s="525" t="s">
        <v>1237</v>
      </c>
      <c r="V491" s="525">
        <f>'HIV-Key Info'!$H$88*(('HIV-Key Info'!$E$88*'HPM costs'!I636)+('HIV-Key Info'!$F$88*('HPM costs'!I639+'HPM costs'!I642)))</f>
        <v>0</v>
      </c>
      <c r="W491" s="525"/>
      <c r="X491" s="1154">
        <f t="shared" si="48"/>
        <v>0</v>
      </c>
      <c r="Y491" s="1155"/>
      <c r="Z491" s="1156"/>
      <c r="AA491" s="529"/>
      <c r="AB491" s="525"/>
      <c r="AC491" s="525">
        <f>'HIV-Key Info'!$H$88*(('HIV-Key Info'!$E$88*'HPM costs'!K636)+('HIV-Key Info'!$F$88*('HPM costs'!K639+'HPM costs'!K642)))</f>
        <v>0</v>
      </c>
      <c r="AD491" s="525"/>
      <c r="AE491" s="525">
        <f>'HIV-Key Info'!$H$88*(('HIV-Key Info'!$E$88*'HPM costs'!L636)+('HIV-Key Info'!$F$88*('HPM costs'!L639+'HPM costs'!L642)))</f>
        <v>0</v>
      </c>
      <c r="AF491" s="525"/>
      <c r="AG491" s="525">
        <f>'HIV-Key Info'!$H$88*(('HIV-Key Info'!$E$88*'HPM costs'!M636)+('HIV-Key Info'!$F$88*('HPM costs'!M639+'HPM costs'!M642)))</f>
        <v>0</v>
      </c>
      <c r="AH491" s="525"/>
      <c r="AI491" s="525">
        <f>'HIV-Key Info'!$H$88*(('HIV-Key Info'!$E$88*'HPM costs'!N636)+('HIV-Key Info'!$F$88*('HPM costs'!N639+'HPM costs'!N642)))</f>
        <v>0</v>
      </c>
      <c r="AJ491" s="525"/>
      <c r="AK491" s="1154">
        <f t="shared" si="49"/>
        <v>0</v>
      </c>
      <c r="AL491" s="1155"/>
      <c r="AM491" s="1156"/>
      <c r="AN491" s="529"/>
      <c r="AO491" s="525"/>
      <c r="AP491" s="525">
        <f>'HIV-Key Info'!$H$88*(('HIV-Key Info'!$E$88*'HPM costs'!P636)+('HIV-Key Info'!$F$88*('HPM costs'!P639+'HPM costs'!P642)))</f>
        <v>0</v>
      </c>
      <c r="AQ491" s="525"/>
      <c r="AR491" s="525">
        <f>'HIV-Key Info'!$H$88*(('HIV-Key Info'!$E$88*'HPM costs'!Q636)+('HIV-Key Info'!$F$88*('HPM costs'!Q639+'HPM costs'!Q642)))</f>
        <v>0</v>
      </c>
      <c r="AS491" s="525"/>
      <c r="AT491" s="525">
        <f>'HIV-Key Info'!$H$88*(('HIV-Key Info'!$E$88*'HPM costs'!R636)+('HIV-Key Info'!$F$88*('HPM costs'!R639+'HPM costs'!R642)))</f>
        <v>0</v>
      </c>
      <c r="AU491" s="525"/>
      <c r="AV491" s="525">
        <f>'HIV-Key Info'!$H$88*(('HIV-Key Info'!$E$88*'HPM costs'!S636)+('HIV-Key Info'!$F$88*('HPM costs'!S639+'HPM costs'!S642)))</f>
        <v>0</v>
      </c>
      <c r="AW491" s="525"/>
      <c r="AX491" s="1154">
        <f t="shared" si="50"/>
        <v>0</v>
      </c>
      <c r="AY491" s="1154"/>
      <c r="AZ491" s="528"/>
      <c r="BA491" s="529"/>
      <c r="BB491" s="527"/>
      <c r="BC491" s="527">
        <v>0</v>
      </c>
      <c r="BD491" s="527">
        <v>0</v>
      </c>
      <c r="BE491" s="527">
        <v>0</v>
      </c>
      <c r="BF491" s="527">
        <v>0</v>
      </c>
      <c r="BG491" s="527">
        <v>0</v>
      </c>
      <c r="BH491" s="527">
        <v>0</v>
      </c>
      <c r="BI491" s="527">
        <v>0</v>
      </c>
      <c r="BJ491" s="527">
        <v>0</v>
      </c>
      <c r="BK491" s="1154">
        <f t="shared" si="51"/>
        <v>0</v>
      </c>
      <c r="BL491" s="1154"/>
      <c r="BM491" s="1154">
        <f t="shared" si="52"/>
        <v>0</v>
      </c>
      <c r="BN491" s="1154">
        <f t="shared" si="53"/>
        <v>0</v>
      </c>
      <c r="BO491" s="527"/>
      <c r="BP491" s="527"/>
      <c r="BQ491" s="1157" t="s">
        <v>2558</v>
      </c>
      <c r="BR491" s="1157" t="s">
        <v>690</v>
      </c>
      <c r="BS491" s="1157" t="s">
        <v>527</v>
      </c>
      <c r="BT491" s="1376" t="s">
        <v>1795</v>
      </c>
    </row>
    <row r="492" spans="1:72" s="1371" customFormat="1" ht="13">
      <c r="A492" s="1204">
        <v>1048</v>
      </c>
      <c r="B492" s="1205" t="s">
        <v>672</v>
      </c>
      <c r="C492" s="1205" t="s">
        <v>675</v>
      </c>
      <c r="D492" s="1206" t="s">
        <v>2579</v>
      </c>
      <c r="E492" s="1386" t="s">
        <v>603</v>
      </c>
      <c r="F492" s="521"/>
      <c r="G492" s="522"/>
      <c r="H492" s="522"/>
      <c r="I492" s="522"/>
      <c r="J492" s="523"/>
      <c r="K492" s="523"/>
      <c r="L492" s="523"/>
      <c r="M492" s="524"/>
      <c r="N492" s="525"/>
      <c r="O492" s="526" t="s">
        <v>1237</v>
      </c>
      <c r="P492" s="525">
        <f>'HIV-Key Info'!$I$88*('HIV-Key Info'!$E$88*('HPM costs'!F119/'HPM costs'!$E$119)+'HIV-Key Info'!$F$88*('HPM costs'!F125/'HPM costs'!$E$125+'HPM costs'!F122/'HPM costs'!$E$122))</f>
        <v>0</v>
      </c>
      <c r="Q492" s="525" t="s">
        <v>1237</v>
      </c>
      <c r="R492" s="525">
        <f>'HIV-Key Info'!$I$88*('HIV-Key Info'!$E$88*('HPM costs'!G119/'HPM costs'!$E$119)+'HIV-Key Info'!$F$88*('HPM costs'!G125/'HPM costs'!$E$125+'HPM costs'!G122/'HPM costs'!$E$122))</f>
        <v>17849.229731091</v>
      </c>
      <c r="S492" s="525" t="s">
        <v>1237</v>
      </c>
      <c r="T492" s="525">
        <f>'HIV-Key Info'!$I$88*('HIV-Key Info'!$E$88*('HPM costs'!H119/'HPM costs'!$E$119)+'HIV-Key Info'!$F$88*('HPM costs'!H125/'HPM costs'!$E$125+'HPM costs'!H122/'HPM costs'!$E$122))</f>
        <v>0</v>
      </c>
      <c r="U492" s="525" t="s">
        <v>1237</v>
      </c>
      <c r="V492" s="525">
        <f>'HIV-Key Info'!$I$88*('HIV-Key Info'!$E$88*('HPM costs'!I119/'HPM costs'!$E$119)+'HIV-Key Info'!$F$88*('HPM costs'!I125/'HPM costs'!$E$125+'HPM costs'!I122/'HPM costs'!$E$122))</f>
        <v>0</v>
      </c>
      <c r="W492" s="525"/>
      <c r="X492" s="1154">
        <f t="shared" si="48"/>
        <v>17849.229731091</v>
      </c>
      <c r="Y492" s="1155"/>
      <c r="Z492" s="1156"/>
      <c r="AA492" s="529"/>
      <c r="AB492" s="525"/>
      <c r="AC492" s="525">
        <f>'HIV-Key Info'!$I$88*('HIV-Key Info'!$E$88*('HPM costs'!K119/'HPM costs'!$E$119)+'HIV-Key Info'!$F$88*('HPM costs'!K125/'HPM costs'!$E$125+'HPM costs'!K122/'HPM costs'!$E$122))</f>
        <v>0</v>
      </c>
      <c r="AD492" s="525"/>
      <c r="AE492" s="525">
        <f>'HIV-Key Info'!$I$88*('HIV-Key Info'!$E$88*('HPM costs'!L119/'HPM costs'!$E$119)+'HIV-Key Info'!$F$88*('HPM costs'!L125/'HPM costs'!$E$125+'HPM costs'!L122/'HPM costs'!$E$122))</f>
        <v>18637.8479748342</v>
      </c>
      <c r="AF492" s="525"/>
      <c r="AG492" s="525">
        <f>'HIV-Key Info'!$I$88*('HIV-Key Info'!$E$88*('HPM costs'!M119/'HPM costs'!$E$119)+'HIV-Key Info'!$F$88*('HPM costs'!M125/'HPM costs'!$E$125+'HPM costs'!M122/'HPM costs'!$E$122))</f>
        <v>0</v>
      </c>
      <c r="AH492" s="525"/>
      <c r="AI492" s="525">
        <f>'HIV-Key Info'!$I$88*('HIV-Key Info'!$E$88*('HPM costs'!N119/'HPM costs'!$E$119)+'HIV-Key Info'!$F$88*('HPM costs'!N125/'HPM costs'!$E$125+'HPM costs'!N122/'HPM costs'!$E$122))</f>
        <v>0</v>
      </c>
      <c r="AJ492" s="525"/>
      <c r="AK492" s="1154">
        <f t="shared" si="49"/>
        <v>18637.8479748342</v>
      </c>
      <c r="AL492" s="1155"/>
      <c r="AM492" s="1156"/>
      <c r="AN492" s="529"/>
      <c r="AO492" s="525"/>
      <c r="AP492" s="525">
        <f>'HIV-Key Info'!$I$88*('HIV-Key Info'!$E$88*('HPM costs'!P119/'HPM costs'!$E$119)+'HIV-Key Info'!$F$88*('HPM costs'!P125/'HPM costs'!$E$125+'HPM costs'!P122/'HPM costs'!$E$122))</f>
        <v>0</v>
      </c>
      <c r="AQ492" s="525"/>
      <c r="AR492" s="525">
        <f>'HIV-Key Info'!$I$88*('HIV-Key Info'!$E$88*('HPM costs'!Q119/'HPM costs'!$E$119)+'HIV-Key Info'!$F$88*('HPM costs'!Q125/'HPM costs'!$E$125+'HPM costs'!Q122/'HPM costs'!$E$122))</f>
        <v>19840.023569941201</v>
      </c>
      <c r="AS492" s="525"/>
      <c r="AT492" s="525">
        <f>'HIV-Key Info'!$I$88*('HIV-Key Info'!$E$88*('HPM costs'!R119/'HPM costs'!$E$119)+'HIV-Key Info'!$F$88*('HPM costs'!R125/'HPM costs'!$E$125+'HPM costs'!R122/'HPM costs'!$E$122))</f>
        <v>0</v>
      </c>
      <c r="AU492" s="525"/>
      <c r="AV492" s="525">
        <f>'HIV-Key Info'!$I$88*('HIV-Key Info'!$E$88*('HPM costs'!S119/'HPM costs'!$E$119)+'HIV-Key Info'!$F$88*('HPM costs'!S125/'HPM costs'!$E$125+'HPM costs'!S122/'HPM costs'!$E$122))</f>
        <v>0</v>
      </c>
      <c r="AW492" s="525"/>
      <c r="AX492" s="1154">
        <f t="shared" si="50"/>
        <v>19840.023569941201</v>
      </c>
      <c r="AY492" s="1154"/>
      <c r="AZ492" s="528"/>
      <c r="BA492" s="529"/>
      <c r="BB492" s="527"/>
      <c r="BC492" s="527">
        <v>0</v>
      </c>
      <c r="BD492" s="527">
        <v>0</v>
      </c>
      <c r="BE492" s="527">
        <v>0</v>
      </c>
      <c r="BF492" s="527">
        <v>0</v>
      </c>
      <c r="BG492" s="527">
        <v>0</v>
      </c>
      <c r="BH492" s="527">
        <v>0</v>
      </c>
      <c r="BI492" s="527">
        <v>0</v>
      </c>
      <c r="BJ492" s="527">
        <v>0</v>
      </c>
      <c r="BK492" s="1154">
        <f t="shared" si="51"/>
        <v>0</v>
      </c>
      <c r="BL492" s="1154"/>
      <c r="BM492" s="1154">
        <f t="shared" si="52"/>
        <v>0</v>
      </c>
      <c r="BN492" s="1154">
        <f t="shared" si="53"/>
        <v>56327.1012758664</v>
      </c>
      <c r="BO492" s="527"/>
      <c r="BP492" s="527" t="s">
        <v>4292</v>
      </c>
      <c r="BQ492" s="1157" t="s">
        <v>2558</v>
      </c>
      <c r="BR492" s="1157" t="s">
        <v>690</v>
      </c>
      <c r="BS492" s="1157" t="s">
        <v>2570</v>
      </c>
      <c r="BT492" s="1376" t="s">
        <v>1796</v>
      </c>
    </row>
    <row r="493" spans="1:72" s="1371" customFormat="1" ht="13">
      <c r="A493" s="1204">
        <v>1049</v>
      </c>
      <c r="B493" s="1205" t="s">
        <v>672</v>
      </c>
      <c r="C493" s="1205" t="s">
        <v>675</v>
      </c>
      <c r="D493" s="1206" t="s">
        <v>2526</v>
      </c>
      <c r="E493" s="1386" t="s">
        <v>528</v>
      </c>
      <c r="F493" s="521"/>
      <c r="G493" s="522"/>
      <c r="H493" s="522"/>
      <c r="I493" s="522"/>
      <c r="J493" s="523"/>
      <c r="K493" s="523"/>
      <c r="L493" s="523"/>
      <c r="M493" s="524"/>
      <c r="N493" s="525"/>
      <c r="O493" s="526" t="s">
        <v>1237</v>
      </c>
      <c r="P493" s="525">
        <f>'HIV-Key Info'!$I$88*(('HIV-Key Info'!$E$88*'HPM costs'!F33)+('HIV-Key Info'!$F$88*('HPM costs'!F36+'HPM costs'!F39)))</f>
        <v>0</v>
      </c>
      <c r="Q493" s="525" t="s">
        <v>1237</v>
      </c>
      <c r="R493" s="525">
        <f>'HIV-Key Info'!$I$88*(('HIV-Key Info'!$E$88*'HPM costs'!G33)+('HIV-Key Info'!$F$88*('HPM costs'!G36+'HPM costs'!G39)))</f>
        <v>1070.9537838654599</v>
      </c>
      <c r="S493" s="525" t="s">
        <v>1237</v>
      </c>
      <c r="T493" s="525">
        <f>'HIV-Key Info'!$I$88*(('HIV-Key Info'!$E$88*'HPM costs'!H33)+('HIV-Key Info'!$F$88*('HPM costs'!H36+'HPM costs'!H39)))</f>
        <v>0</v>
      </c>
      <c r="U493" s="525" t="s">
        <v>1237</v>
      </c>
      <c r="V493" s="525">
        <f>'HIV-Key Info'!$I$88*(('HIV-Key Info'!$E$88*'HPM costs'!I33)+('HIV-Key Info'!$F$88*('HPM costs'!I36+'HPM costs'!I39)))</f>
        <v>0</v>
      </c>
      <c r="W493" s="525"/>
      <c r="X493" s="1154">
        <f t="shared" si="48"/>
        <v>1070.9537838654599</v>
      </c>
      <c r="Y493" s="1155"/>
      <c r="Z493" s="1156"/>
      <c r="AA493" s="529"/>
      <c r="AB493" s="525"/>
      <c r="AC493" s="525">
        <f>'HIV-Key Info'!$I$88*(('HIV-Key Info'!$E$88*'HPM costs'!K33)+('HIV-Key Info'!$F$88*('HPM costs'!K36+'HPM costs'!K39)))</f>
        <v>0</v>
      </c>
      <c r="AD493" s="525"/>
      <c r="AE493" s="525">
        <f>'HIV-Key Info'!$I$88*(('HIV-Key Info'!$E$88*'HPM costs'!L33)+('HIV-Key Info'!$F$88*('HPM costs'!L36+'HPM costs'!L39)))</f>
        <v>1118.2708784900519</v>
      </c>
      <c r="AF493" s="525"/>
      <c r="AG493" s="525">
        <f>'HIV-Key Info'!$I$88*(('HIV-Key Info'!$E$88*'HPM costs'!M33)+('HIV-Key Info'!$F$88*('HPM costs'!M36+'HPM costs'!M39)))</f>
        <v>0</v>
      </c>
      <c r="AH493" s="525"/>
      <c r="AI493" s="525">
        <f>'HIV-Key Info'!$I$88*(('HIV-Key Info'!$E$88*'HPM costs'!N33)+('HIV-Key Info'!$F$88*('HPM costs'!N36+'HPM costs'!N39)))</f>
        <v>0</v>
      </c>
      <c r="AJ493" s="525"/>
      <c r="AK493" s="1154">
        <f t="shared" si="49"/>
        <v>1118.2708784900519</v>
      </c>
      <c r="AL493" s="1155"/>
      <c r="AM493" s="1156"/>
      <c r="AN493" s="529"/>
      <c r="AO493" s="525"/>
      <c r="AP493" s="525">
        <f>'HIV-Key Info'!$I$88*(('HIV-Key Info'!$E$88*'HPM costs'!P33)+('HIV-Key Info'!$F$88*('HPM costs'!P36+'HPM costs'!P39)))</f>
        <v>0</v>
      </c>
      <c r="AQ493" s="525"/>
      <c r="AR493" s="525">
        <f>'HIV-Key Info'!$I$88*(('HIV-Key Info'!$E$88*'HPM costs'!Q33)+('HIV-Key Info'!$F$88*('HPM costs'!Q36+'HPM costs'!Q39)))</f>
        <v>1190.4014141964719</v>
      </c>
      <c r="AS493" s="525"/>
      <c r="AT493" s="525">
        <f>'HIV-Key Info'!$I$88*(('HIV-Key Info'!$E$88*'HPM costs'!R33)+('HIV-Key Info'!$F$88*('HPM costs'!R36+'HPM costs'!R39)))</f>
        <v>0</v>
      </c>
      <c r="AU493" s="525"/>
      <c r="AV493" s="525">
        <f>'HIV-Key Info'!$I$88*(('HIV-Key Info'!$E$88*'HPM costs'!S33)+('HIV-Key Info'!$F$88*('HPM costs'!S36+'HPM costs'!S39)))</f>
        <v>0</v>
      </c>
      <c r="AW493" s="525"/>
      <c r="AX493" s="1154">
        <f t="shared" si="50"/>
        <v>1190.4014141964719</v>
      </c>
      <c r="AY493" s="1154"/>
      <c r="AZ493" s="528"/>
      <c r="BA493" s="529"/>
      <c r="BB493" s="527"/>
      <c r="BC493" s="527">
        <v>0</v>
      </c>
      <c r="BD493" s="527">
        <v>0</v>
      </c>
      <c r="BE493" s="527">
        <v>0</v>
      </c>
      <c r="BF493" s="527">
        <v>0</v>
      </c>
      <c r="BG493" s="527">
        <v>0</v>
      </c>
      <c r="BH493" s="527">
        <v>0</v>
      </c>
      <c r="BI493" s="527">
        <v>0</v>
      </c>
      <c r="BJ493" s="527">
        <v>0</v>
      </c>
      <c r="BK493" s="1154">
        <f t="shared" si="51"/>
        <v>0</v>
      </c>
      <c r="BL493" s="1154"/>
      <c r="BM493" s="1154">
        <f t="shared" si="52"/>
        <v>0</v>
      </c>
      <c r="BN493" s="1154">
        <f t="shared" si="53"/>
        <v>3379.6260765519837</v>
      </c>
      <c r="BO493" s="527"/>
      <c r="BP493" s="527" t="s">
        <v>4303</v>
      </c>
      <c r="BQ493" s="1157" t="s">
        <v>2558</v>
      </c>
      <c r="BR493" s="1157" t="s">
        <v>690</v>
      </c>
      <c r="BS493" s="1157" t="s">
        <v>527</v>
      </c>
      <c r="BT493" s="1376" t="s">
        <v>1797</v>
      </c>
    </row>
    <row r="494" spans="1:72" s="1371" customFormat="1" ht="13">
      <c r="A494" s="1204">
        <v>1050</v>
      </c>
      <c r="B494" s="1205" t="s">
        <v>672</v>
      </c>
      <c r="C494" s="1205" t="s">
        <v>675</v>
      </c>
      <c r="D494" s="1206" t="s">
        <v>2526</v>
      </c>
      <c r="E494" s="1386" t="s">
        <v>530</v>
      </c>
      <c r="F494" s="521"/>
      <c r="G494" s="522"/>
      <c r="H494" s="522"/>
      <c r="I494" s="522"/>
      <c r="J494" s="523"/>
      <c r="K494" s="523"/>
      <c r="L494" s="523"/>
      <c r="M494" s="524"/>
      <c r="N494" s="525"/>
      <c r="O494" s="526" t="s">
        <v>1237</v>
      </c>
      <c r="P494" s="525">
        <f>'HIV-Key Info'!$I$88*(('HIV-Key Info'!$E$88*'HPM costs'!F119)+('HIV-Key Info'!$F$88*('HPM costs'!F122+'HPM costs'!F125)))</f>
        <v>0</v>
      </c>
      <c r="Q494" s="525" t="s">
        <v>1237</v>
      </c>
      <c r="R494" s="525">
        <f>'HIV-Key Info'!$I$88*(('HIV-Key Info'!$E$88*'HPM costs'!G119)+('HIV-Key Info'!$F$88*('HPM costs'!G122+'HPM costs'!G125)))</f>
        <v>1.7849229731090998E-12</v>
      </c>
      <c r="S494" s="525" t="s">
        <v>1237</v>
      </c>
      <c r="T494" s="525">
        <f>'HIV-Key Info'!$I$88*(('HIV-Key Info'!$E$88*'HPM costs'!H119)+('HIV-Key Info'!$F$88*('HPM costs'!H122+'HPM costs'!H125)))</f>
        <v>0</v>
      </c>
      <c r="U494" s="525" t="s">
        <v>1237</v>
      </c>
      <c r="V494" s="525">
        <f>'HIV-Key Info'!$I$88*(('HIV-Key Info'!$E$88*'HPM costs'!I119)+('HIV-Key Info'!$F$88*('HPM costs'!I122+'HPM costs'!I125)))</f>
        <v>0</v>
      </c>
      <c r="W494" s="525"/>
      <c r="X494" s="1154">
        <f t="shared" si="48"/>
        <v>1.7849229731090998E-12</v>
      </c>
      <c r="Y494" s="1155"/>
      <c r="Z494" s="1156"/>
      <c r="AA494" s="529"/>
      <c r="AB494" s="525"/>
      <c r="AC494" s="525">
        <f>'HIV-Key Info'!$I$88*(('HIV-Key Info'!$E$88*'HPM costs'!K119)+('HIV-Key Info'!$F$88*('HPM costs'!K122+'HPM costs'!K125)))</f>
        <v>0</v>
      </c>
      <c r="AD494" s="525"/>
      <c r="AE494" s="525">
        <f>'HIV-Key Info'!$I$88*(('HIV-Key Info'!$E$88*'HPM costs'!L119)+('HIV-Key Info'!$F$88*('HPM costs'!L122+'HPM costs'!L125)))</f>
        <v>1.86378479748342E-12</v>
      </c>
      <c r="AF494" s="525"/>
      <c r="AG494" s="525">
        <f>'HIV-Key Info'!$I$88*(('HIV-Key Info'!$E$88*'HPM costs'!M119)+('HIV-Key Info'!$F$88*('HPM costs'!M122+'HPM costs'!M125)))</f>
        <v>0</v>
      </c>
      <c r="AH494" s="525"/>
      <c r="AI494" s="525">
        <f>'HIV-Key Info'!$I$88*(('HIV-Key Info'!$E$88*'HPM costs'!N119)+('HIV-Key Info'!$F$88*('HPM costs'!N122+'HPM costs'!N125)))</f>
        <v>0</v>
      </c>
      <c r="AJ494" s="525"/>
      <c r="AK494" s="1154">
        <f t="shared" si="49"/>
        <v>1.86378479748342E-12</v>
      </c>
      <c r="AL494" s="1155"/>
      <c r="AM494" s="1156"/>
      <c r="AN494" s="529"/>
      <c r="AO494" s="525"/>
      <c r="AP494" s="525">
        <f>'HIV-Key Info'!$I$88*(('HIV-Key Info'!$E$88*'HPM costs'!P119)+('HIV-Key Info'!$F$88*('HPM costs'!P122+'HPM costs'!P125)))</f>
        <v>0</v>
      </c>
      <c r="AQ494" s="525"/>
      <c r="AR494" s="525">
        <f>'HIV-Key Info'!$I$88*(('HIV-Key Info'!$E$88*'HPM costs'!Q119)+('HIV-Key Info'!$F$88*('HPM costs'!Q122+'HPM costs'!Q125)))</f>
        <v>1.9840023569941196E-12</v>
      </c>
      <c r="AS494" s="525"/>
      <c r="AT494" s="525">
        <f>'HIV-Key Info'!$I$88*(('HIV-Key Info'!$E$88*'HPM costs'!R119)+('HIV-Key Info'!$F$88*('HPM costs'!R122+'HPM costs'!R125)))</f>
        <v>0</v>
      </c>
      <c r="AU494" s="525"/>
      <c r="AV494" s="525">
        <f>'HIV-Key Info'!$I$88*(('HIV-Key Info'!$E$88*'HPM costs'!S119)+('HIV-Key Info'!$F$88*('HPM costs'!S122+'HPM costs'!S125)))</f>
        <v>0</v>
      </c>
      <c r="AW494" s="525"/>
      <c r="AX494" s="1154">
        <f t="shared" si="50"/>
        <v>1.9840023569941196E-12</v>
      </c>
      <c r="AY494" s="1154"/>
      <c r="AZ494" s="528"/>
      <c r="BA494" s="529"/>
      <c r="BB494" s="527"/>
      <c r="BC494" s="527">
        <v>0</v>
      </c>
      <c r="BD494" s="527">
        <v>0</v>
      </c>
      <c r="BE494" s="527">
        <v>0</v>
      </c>
      <c r="BF494" s="527">
        <v>0</v>
      </c>
      <c r="BG494" s="527">
        <v>0</v>
      </c>
      <c r="BH494" s="527">
        <v>0</v>
      </c>
      <c r="BI494" s="527">
        <v>0</v>
      </c>
      <c r="BJ494" s="527">
        <v>0</v>
      </c>
      <c r="BK494" s="1154">
        <f t="shared" si="51"/>
        <v>0</v>
      </c>
      <c r="BL494" s="1154"/>
      <c r="BM494" s="1154">
        <f t="shared" si="52"/>
        <v>0</v>
      </c>
      <c r="BN494" s="1154">
        <f t="shared" si="53"/>
        <v>5.6327101275866396E-12</v>
      </c>
      <c r="BO494" s="527"/>
      <c r="BP494" s="527"/>
      <c r="BQ494" s="1157" t="s">
        <v>2558</v>
      </c>
      <c r="BR494" s="1157" t="s">
        <v>690</v>
      </c>
      <c r="BS494" s="1157" t="s">
        <v>527</v>
      </c>
      <c r="BT494" s="1376" t="s">
        <v>1798</v>
      </c>
    </row>
    <row r="495" spans="1:72" s="1371" customFormat="1" ht="13">
      <c r="A495" s="1204">
        <v>1051</v>
      </c>
      <c r="B495" s="1205" t="s">
        <v>672</v>
      </c>
      <c r="C495" s="1205" t="s">
        <v>675</v>
      </c>
      <c r="D495" s="1206" t="s">
        <v>2526</v>
      </c>
      <c r="E495" s="1386" t="s">
        <v>532</v>
      </c>
      <c r="F495" s="521"/>
      <c r="G495" s="522"/>
      <c r="H495" s="522"/>
      <c r="I495" s="522"/>
      <c r="J495" s="523"/>
      <c r="K495" s="523"/>
      <c r="L495" s="523"/>
      <c r="M495" s="524"/>
      <c r="N495" s="525"/>
      <c r="O495" s="526" t="s">
        <v>1237</v>
      </c>
      <c r="P495" s="525">
        <f>'HIV-Key Info'!$I$88*(('HIV-Key Info'!$E$88*'HPM costs'!F379)+('HIV-Key Info'!$F$88*('HPM costs'!F382+'HPM costs'!F385)))</f>
        <v>0</v>
      </c>
      <c r="Q495" s="525" t="s">
        <v>1237</v>
      </c>
      <c r="R495" s="525">
        <f>'HIV-Key Info'!$I$88*(('HIV-Key Info'!$E$88*'HPM costs'!G379)+('HIV-Key Info'!$F$88*('HPM costs'!G382+'HPM costs'!G385)))</f>
        <v>0</v>
      </c>
      <c r="S495" s="525" t="s">
        <v>1237</v>
      </c>
      <c r="T495" s="525">
        <f>'HIV-Key Info'!$I$88*(('HIV-Key Info'!$E$88*'HPM costs'!H379)+('HIV-Key Info'!$F$88*('HPM costs'!H382+'HPM costs'!H385)))</f>
        <v>0</v>
      </c>
      <c r="U495" s="525" t="s">
        <v>1237</v>
      </c>
      <c r="V495" s="525">
        <f>'HIV-Key Info'!$I$88*(('HIV-Key Info'!$E$88*'HPM costs'!I379)+('HIV-Key Info'!$F$88*('HPM costs'!I382+'HPM costs'!I385)))</f>
        <v>0</v>
      </c>
      <c r="W495" s="525"/>
      <c r="X495" s="1154">
        <f t="shared" si="48"/>
        <v>0</v>
      </c>
      <c r="Y495" s="1155"/>
      <c r="Z495" s="1156"/>
      <c r="AA495" s="529"/>
      <c r="AB495" s="525"/>
      <c r="AC495" s="525">
        <f>'HIV-Key Info'!$I$88*(('HIV-Key Info'!$E$88*'HPM costs'!K379)+('HIV-Key Info'!$F$88*('HPM costs'!K382+'HPM costs'!K385)))</f>
        <v>0</v>
      </c>
      <c r="AD495" s="525"/>
      <c r="AE495" s="525">
        <f>'HIV-Key Info'!$I$88*(('HIV-Key Info'!$E$88*'HPM costs'!L379)+('HIV-Key Info'!$F$88*('HPM costs'!L382+'HPM costs'!L385)))</f>
        <v>0</v>
      </c>
      <c r="AF495" s="525"/>
      <c r="AG495" s="525">
        <f>'HIV-Key Info'!$I$88*(('HIV-Key Info'!$E$88*'HPM costs'!M379)+('HIV-Key Info'!$F$88*('HPM costs'!M382+'HPM costs'!M385)))</f>
        <v>0</v>
      </c>
      <c r="AH495" s="525"/>
      <c r="AI495" s="525">
        <f>'HIV-Key Info'!$I$88*(('HIV-Key Info'!$E$88*'HPM costs'!N379)+('HIV-Key Info'!$F$88*('HPM costs'!N382+'HPM costs'!N385)))</f>
        <v>0</v>
      </c>
      <c r="AJ495" s="525"/>
      <c r="AK495" s="1154">
        <f t="shared" si="49"/>
        <v>0</v>
      </c>
      <c r="AL495" s="1155"/>
      <c r="AM495" s="1156"/>
      <c r="AN495" s="529"/>
      <c r="AO495" s="525"/>
      <c r="AP495" s="525">
        <f>'HIV-Key Info'!$I$88*(('HIV-Key Info'!$E$88*'HPM costs'!P379)+('HIV-Key Info'!$F$88*('HPM costs'!P382+'HPM costs'!P385)))</f>
        <v>0</v>
      </c>
      <c r="AQ495" s="525"/>
      <c r="AR495" s="525">
        <f>'HIV-Key Info'!$I$88*(('HIV-Key Info'!$E$88*'HPM costs'!Q379)+('HIV-Key Info'!$F$88*('HPM costs'!Q382+'HPM costs'!Q385)))</f>
        <v>0</v>
      </c>
      <c r="AS495" s="525"/>
      <c r="AT495" s="525">
        <f>'HIV-Key Info'!$I$88*(('HIV-Key Info'!$E$88*'HPM costs'!R379)+('HIV-Key Info'!$F$88*('HPM costs'!R382+'HPM costs'!R385)))</f>
        <v>0</v>
      </c>
      <c r="AU495" s="525"/>
      <c r="AV495" s="525">
        <f>'HIV-Key Info'!$I$88*(('HIV-Key Info'!$E$88*'HPM costs'!S379)+('HIV-Key Info'!$F$88*('HPM costs'!S382+'HPM costs'!S385)))</f>
        <v>0</v>
      </c>
      <c r="AW495" s="525"/>
      <c r="AX495" s="1154">
        <f t="shared" si="50"/>
        <v>0</v>
      </c>
      <c r="AY495" s="1154"/>
      <c r="AZ495" s="528"/>
      <c r="BA495" s="529"/>
      <c r="BB495" s="527"/>
      <c r="BC495" s="527">
        <v>0</v>
      </c>
      <c r="BD495" s="527">
        <v>0</v>
      </c>
      <c r="BE495" s="527">
        <v>0</v>
      </c>
      <c r="BF495" s="527">
        <v>0</v>
      </c>
      <c r="BG495" s="527">
        <v>0</v>
      </c>
      <c r="BH495" s="527">
        <v>0</v>
      </c>
      <c r="BI495" s="527">
        <v>0</v>
      </c>
      <c r="BJ495" s="527">
        <v>0</v>
      </c>
      <c r="BK495" s="1154">
        <f t="shared" si="51"/>
        <v>0</v>
      </c>
      <c r="BL495" s="1154"/>
      <c r="BM495" s="1154">
        <f t="shared" si="52"/>
        <v>0</v>
      </c>
      <c r="BN495" s="1154">
        <f t="shared" si="53"/>
        <v>0</v>
      </c>
      <c r="BO495" s="527"/>
      <c r="BP495" s="527"/>
      <c r="BQ495" s="1157" t="s">
        <v>2558</v>
      </c>
      <c r="BR495" s="1157" t="s">
        <v>690</v>
      </c>
      <c r="BS495" s="1157" t="s">
        <v>527</v>
      </c>
      <c r="BT495" s="1376" t="s">
        <v>1799</v>
      </c>
    </row>
    <row r="496" spans="1:72" s="1371" customFormat="1" ht="13">
      <c r="A496" s="1204">
        <v>1052</v>
      </c>
      <c r="B496" s="1205" t="s">
        <v>672</v>
      </c>
      <c r="C496" s="1205" t="s">
        <v>675</v>
      </c>
      <c r="D496" s="1206" t="s">
        <v>2526</v>
      </c>
      <c r="E496" s="1386" t="s">
        <v>534</v>
      </c>
      <c r="F496" s="521"/>
      <c r="G496" s="522"/>
      <c r="H496" s="522"/>
      <c r="I496" s="522"/>
      <c r="J496" s="523"/>
      <c r="K496" s="523"/>
      <c r="L496" s="523"/>
      <c r="M496" s="524"/>
      <c r="N496" s="525"/>
      <c r="O496" s="526" t="s">
        <v>1237</v>
      </c>
      <c r="P496" s="525">
        <f>'HIV-Key Info'!$I$88*(('HIV-Key Info'!$E$88*'HPM costs'!F465)+('HIV-Key Info'!$F$88*('HPM costs'!F468+'HPM costs'!F471)))</f>
        <v>0</v>
      </c>
      <c r="Q496" s="525" t="s">
        <v>1237</v>
      </c>
      <c r="R496" s="525">
        <f>'HIV-Key Info'!$I$88*(('HIV-Key Info'!$E$88*'HPM costs'!G465)+('HIV-Key Info'!$F$88*('HPM costs'!G468+'HPM costs'!G471)))</f>
        <v>0</v>
      </c>
      <c r="S496" s="525" t="s">
        <v>1237</v>
      </c>
      <c r="T496" s="525">
        <f>'HIV-Key Info'!$I$88*(('HIV-Key Info'!$E$88*'HPM costs'!H465)+('HIV-Key Info'!$F$88*('HPM costs'!H468+'HPM costs'!H471)))</f>
        <v>0</v>
      </c>
      <c r="U496" s="525" t="s">
        <v>1237</v>
      </c>
      <c r="V496" s="525">
        <f>'HIV-Key Info'!$I$88*(('HIV-Key Info'!$E$88*'HPM costs'!I465)+('HIV-Key Info'!$F$88*('HPM costs'!I468+'HPM costs'!I471)))</f>
        <v>0</v>
      </c>
      <c r="W496" s="525"/>
      <c r="X496" s="1154">
        <f t="shared" si="48"/>
        <v>0</v>
      </c>
      <c r="Y496" s="1155"/>
      <c r="Z496" s="1156"/>
      <c r="AA496" s="529"/>
      <c r="AB496" s="525"/>
      <c r="AC496" s="525">
        <f>'HIV-Key Info'!$I$88*(('HIV-Key Info'!$E$88*'HPM costs'!K465)+('HIV-Key Info'!$F$88*('HPM costs'!K468+'HPM costs'!K471)))</f>
        <v>0</v>
      </c>
      <c r="AD496" s="525"/>
      <c r="AE496" s="525">
        <f>'HIV-Key Info'!$I$88*(('HIV-Key Info'!$E$88*'HPM costs'!L465)+('HIV-Key Info'!$F$88*('HPM costs'!L468+'HPM costs'!L471)))</f>
        <v>0</v>
      </c>
      <c r="AF496" s="525"/>
      <c r="AG496" s="525">
        <f>'HIV-Key Info'!$I$88*(('HIV-Key Info'!$E$88*'HPM costs'!M465)+('HIV-Key Info'!$F$88*('HPM costs'!M468+'HPM costs'!M471)))</f>
        <v>0</v>
      </c>
      <c r="AH496" s="525"/>
      <c r="AI496" s="525">
        <f>'HIV-Key Info'!$I$88*(('HIV-Key Info'!$E$88*'HPM costs'!N465)+('HIV-Key Info'!$F$88*('HPM costs'!N468+'HPM costs'!N471)))</f>
        <v>0</v>
      </c>
      <c r="AJ496" s="525"/>
      <c r="AK496" s="1154">
        <f t="shared" si="49"/>
        <v>0</v>
      </c>
      <c r="AL496" s="1155"/>
      <c r="AM496" s="1156"/>
      <c r="AN496" s="529"/>
      <c r="AO496" s="525"/>
      <c r="AP496" s="525">
        <f>'HIV-Key Info'!$I$88*(('HIV-Key Info'!$E$88*'HPM costs'!P465)+('HIV-Key Info'!$F$88*('HPM costs'!P468+'HPM costs'!P471)))</f>
        <v>0</v>
      </c>
      <c r="AQ496" s="525"/>
      <c r="AR496" s="525">
        <f>'HIV-Key Info'!$I$88*(('HIV-Key Info'!$E$88*'HPM costs'!Q465)+('HIV-Key Info'!$F$88*('HPM costs'!Q468+'HPM costs'!Q471)))</f>
        <v>0</v>
      </c>
      <c r="AS496" s="525"/>
      <c r="AT496" s="525">
        <f>'HIV-Key Info'!$I$88*(('HIV-Key Info'!$E$88*'HPM costs'!R465)+('HIV-Key Info'!$F$88*('HPM costs'!R468+'HPM costs'!R471)))</f>
        <v>0</v>
      </c>
      <c r="AU496" s="525"/>
      <c r="AV496" s="525">
        <f>'HIV-Key Info'!$I$88*(('HIV-Key Info'!$E$88*'HPM costs'!S465)+('HIV-Key Info'!$F$88*('HPM costs'!S468+'HPM costs'!S471)))</f>
        <v>0</v>
      </c>
      <c r="AW496" s="525"/>
      <c r="AX496" s="1154">
        <f t="shared" si="50"/>
        <v>0</v>
      </c>
      <c r="AY496" s="1154"/>
      <c r="AZ496" s="528"/>
      <c r="BA496" s="529"/>
      <c r="BB496" s="527"/>
      <c r="BC496" s="527">
        <v>0</v>
      </c>
      <c r="BD496" s="527">
        <v>0</v>
      </c>
      <c r="BE496" s="527">
        <v>0</v>
      </c>
      <c r="BF496" s="527">
        <v>0</v>
      </c>
      <c r="BG496" s="527">
        <v>0</v>
      </c>
      <c r="BH496" s="527">
        <v>0</v>
      </c>
      <c r="BI496" s="527">
        <v>0</v>
      </c>
      <c r="BJ496" s="527">
        <v>0</v>
      </c>
      <c r="BK496" s="1154">
        <f t="shared" si="51"/>
        <v>0</v>
      </c>
      <c r="BL496" s="1154"/>
      <c r="BM496" s="1154">
        <f t="shared" si="52"/>
        <v>0</v>
      </c>
      <c r="BN496" s="1154">
        <f t="shared" si="53"/>
        <v>0</v>
      </c>
      <c r="BO496" s="527"/>
      <c r="BP496" s="527"/>
      <c r="BQ496" s="1157" t="s">
        <v>2558</v>
      </c>
      <c r="BR496" s="1157" t="s">
        <v>690</v>
      </c>
      <c r="BS496" s="1157" t="s">
        <v>527</v>
      </c>
      <c r="BT496" s="1376" t="s">
        <v>1800</v>
      </c>
    </row>
    <row r="497" spans="1:72" s="1371" customFormat="1" ht="13">
      <c r="A497" s="1204">
        <v>1053</v>
      </c>
      <c r="B497" s="1205" t="s">
        <v>672</v>
      </c>
      <c r="C497" s="1205" t="s">
        <v>675</v>
      </c>
      <c r="D497" s="1206" t="s">
        <v>2526</v>
      </c>
      <c r="E497" s="1386" t="s">
        <v>536</v>
      </c>
      <c r="F497" s="521"/>
      <c r="G497" s="522"/>
      <c r="H497" s="522"/>
      <c r="I497" s="522"/>
      <c r="J497" s="523"/>
      <c r="K497" s="523"/>
      <c r="L497" s="523"/>
      <c r="M497" s="524"/>
      <c r="N497" s="525"/>
      <c r="O497" s="526" t="s">
        <v>1237</v>
      </c>
      <c r="P497" s="525">
        <f>'HIV-Key Info'!$I$88*(('HIV-Key Info'!$E$88*('HPM costs'!F205+'HPM costs'!F551))+('HIV-Key Info'!$F$88*('HPM costs'!F208+'HPM costs'!F211+'HPM costs'!F554+'HPM costs'!F557)))</f>
        <v>0</v>
      </c>
      <c r="Q497" s="525" t="s">
        <v>1237</v>
      </c>
      <c r="R497" s="525">
        <f>'HIV-Key Info'!$I$88*(('HIV-Key Info'!$E$88*('HPM costs'!G205+'HPM costs'!G551))+('HIV-Key Info'!$F$88*('HPM costs'!G208+'HPM costs'!G211+'HPM costs'!G554+'HPM costs'!G557)))</f>
        <v>0</v>
      </c>
      <c r="S497" s="525" t="s">
        <v>1237</v>
      </c>
      <c r="T497" s="525">
        <f>'HIV-Key Info'!$I$88*(('HIV-Key Info'!$E$88*('HPM costs'!H205+'HPM costs'!H551))+('HIV-Key Info'!$F$88*('HPM costs'!H208+'HPM costs'!H211+'HPM costs'!H554+'HPM costs'!H557)))</f>
        <v>0</v>
      </c>
      <c r="U497" s="525" t="s">
        <v>1237</v>
      </c>
      <c r="V497" s="525">
        <f>'HIV-Key Info'!$I$88*(('HIV-Key Info'!$E$88*('HPM costs'!I205+'HPM costs'!I551))+('HIV-Key Info'!$F$88*('HPM costs'!I208+'HPM costs'!I211+'HPM costs'!I554+'HPM costs'!I557)))</f>
        <v>0</v>
      </c>
      <c r="W497" s="525"/>
      <c r="X497" s="1154">
        <f t="shared" si="48"/>
        <v>0</v>
      </c>
      <c r="Y497" s="1155"/>
      <c r="Z497" s="1156"/>
      <c r="AA497" s="529"/>
      <c r="AB497" s="525"/>
      <c r="AC497" s="525">
        <f>'HIV-Key Info'!$I$88*(('HIV-Key Info'!$E$88*('HPM costs'!K205+'HPM costs'!K551))+('HIV-Key Info'!$F$88*('HPM costs'!K208+'HPM costs'!K211+'HPM costs'!K554+'HPM costs'!K557)))</f>
        <v>0</v>
      </c>
      <c r="AD497" s="525"/>
      <c r="AE497" s="525">
        <f>'HIV-Key Info'!$I$88*(('HIV-Key Info'!$E$88*('HPM costs'!L205+'HPM costs'!L551))+('HIV-Key Info'!$F$88*('HPM costs'!L208+'HPM costs'!L211+'HPM costs'!L554+'HPM costs'!L557)))</f>
        <v>0</v>
      </c>
      <c r="AF497" s="525"/>
      <c r="AG497" s="525">
        <f>'HIV-Key Info'!$I$88*(('HIV-Key Info'!$E$88*('HPM costs'!M205+'HPM costs'!M551))+('HIV-Key Info'!$F$88*('HPM costs'!M208+'HPM costs'!M211+'HPM costs'!M554+'HPM costs'!M557)))</f>
        <v>0</v>
      </c>
      <c r="AH497" s="525"/>
      <c r="AI497" s="525">
        <f>'HIV-Key Info'!$I$88*(('HIV-Key Info'!$E$88*('HPM costs'!N205+'HPM costs'!N551))+('HIV-Key Info'!$F$88*('HPM costs'!N208+'HPM costs'!N211+'HPM costs'!N554+'HPM costs'!N557)))</f>
        <v>0</v>
      </c>
      <c r="AJ497" s="525"/>
      <c r="AK497" s="1154">
        <f t="shared" si="49"/>
        <v>0</v>
      </c>
      <c r="AL497" s="1155"/>
      <c r="AM497" s="1156"/>
      <c r="AN497" s="529"/>
      <c r="AO497" s="525"/>
      <c r="AP497" s="525">
        <f>'HIV-Key Info'!$I$88*(('HIV-Key Info'!$E$88*('HPM costs'!P205+'HPM costs'!P551))+('HIV-Key Info'!$F$88*('HPM costs'!P208+'HPM costs'!P211+'HPM costs'!P554+'HPM costs'!P557)))</f>
        <v>0</v>
      </c>
      <c r="AQ497" s="525"/>
      <c r="AR497" s="525">
        <f>'HIV-Key Info'!$I$88*(('HIV-Key Info'!$E$88*('HPM costs'!Q205+'HPM costs'!Q551))+('HIV-Key Info'!$F$88*('HPM costs'!Q208+'HPM costs'!Q211+'HPM costs'!Q554+'HPM costs'!Q557)))</f>
        <v>0</v>
      </c>
      <c r="AS497" s="525"/>
      <c r="AT497" s="525">
        <f>'HIV-Key Info'!$I$88*(('HIV-Key Info'!$E$88*('HPM costs'!R205+'HPM costs'!R551))+('HIV-Key Info'!$F$88*('HPM costs'!R208+'HPM costs'!R211+'HPM costs'!R554+'HPM costs'!R557)))</f>
        <v>0</v>
      </c>
      <c r="AU497" s="525"/>
      <c r="AV497" s="525">
        <f>'HIV-Key Info'!$I$88*(('HIV-Key Info'!$E$88*('HPM costs'!S205+'HPM costs'!S551))+('HIV-Key Info'!$F$88*('HPM costs'!S208+'HPM costs'!S211+'HPM costs'!S554+'HPM costs'!S557)))</f>
        <v>0</v>
      </c>
      <c r="AW497" s="525"/>
      <c r="AX497" s="1154">
        <f t="shared" si="50"/>
        <v>0</v>
      </c>
      <c r="AY497" s="1154"/>
      <c r="AZ497" s="528"/>
      <c r="BA497" s="529"/>
      <c r="BB497" s="527"/>
      <c r="BC497" s="527">
        <v>0</v>
      </c>
      <c r="BD497" s="527">
        <v>0</v>
      </c>
      <c r="BE497" s="527">
        <v>0</v>
      </c>
      <c r="BF497" s="527">
        <v>0</v>
      </c>
      <c r="BG497" s="527">
        <v>0</v>
      </c>
      <c r="BH497" s="527">
        <v>0</v>
      </c>
      <c r="BI497" s="527">
        <v>0</v>
      </c>
      <c r="BJ497" s="527">
        <v>0</v>
      </c>
      <c r="BK497" s="1154">
        <f t="shared" si="51"/>
        <v>0</v>
      </c>
      <c r="BL497" s="1154"/>
      <c r="BM497" s="1154">
        <f t="shared" si="52"/>
        <v>0</v>
      </c>
      <c r="BN497" s="1154">
        <f t="shared" si="53"/>
        <v>0</v>
      </c>
      <c r="BO497" s="527"/>
      <c r="BP497" s="527"/>
      <c r="BQ497" s="1157" t="s">
        <v>2558</v>
      </c>
      <c r="BR497" s="1157" t="s">
        <v>690</v>
      </c>
      <c r="BS497" s="1157" t="s">
        <v>527</v>
      </c>
      <c r="BT497" s="1376" t="s">
        <v>1801</v>
      </c>
    </row>
    <row r="498" spans="1:72" s="1371" customFormat="1" ht="13">
      <c r="A498" s="1204">
        <v>1054</v>
      </c>
      <c r="B498" s="1205" t="s">
        <v>672</v>
      </c>
      <c r="C498" s="1205" t="s">
        <v>675</v>
      </c>
      <c r="D498" s="1206" t="s">
        <v>2526</v>
      </c>
      <c r="E498" s="1386" t="s">
        <v>538</v>
      </c>
      <c r="F498" s="521"/>
      <c r="G498" s="522"/>
      <c r="H498" s="522"/>
      <c r="I498" s="522"/>
      <c r="J498" s="523"/>
      <c r="K498" s="523"/>
      <c r="L498" s="523"/>
      <c r="M498" s="524"/>
      <c r="N498" s="525"/>
      <c r="O498" s="526" t="s">
        <v>1237</v>
      </c>
      <c r="P498" s="525">
        <f>'HIV-Key Info'!$I$88*(('HIV-Key Info'!$E$88*'HPM costs'!F291)+('HIV-Key Info'!$F$88*('HPM costs'!F294+'HPM costs'!F297)))</f>
        <v>0</v>
      </c>
      <c r="Q498" s="525" t="s">
        <v>1237</v>
      </c>
      <c r="R498" s="525">
        <f>'HIV-Key Info'!$I$88*(('HIV-Key Info'!$E$88*'HPM costs'!G291)+('HIV-Key Info'!$F$88*('HPM costs'!G294+'HPM costs'!G297)))</f>
        <v>0</v>
      </c>
      <c r="S498" s="525" t="s">
        <v>1237</v>
      </c>
      <c r="T498" s="525">
        <f>'HIV-Key Info'!$I$88*(('HIV-Key Info'!$E$88*'HPM costs'!H291)+('HIV-Key Info'!$F$88*('HPM costs'!H294+'HPM costs'!H297)))</f>
        <v>0</v>
      </c>
      <c r="U498" s="525" t="s">
        <v>1237</v>
      </c>
      <c r="V498" s="525">
        <f>'HIV-Key Info'!$I$88*(('HIV-Key Info'!$E$88*'HPM costs'!I291)+('HIV-Key Info'!$F$88*('HPM costs'!I294+'HPM costs'!I297)))</f>
        <v>0</v>
      </c>
      <c r="W498" s="525"/>
      <c r="X498" s="1154">
        <f t="shared" si="48"/>
        <v>0</v>
      </c>
      <c r="Y498" s="1155"/>
      <c r="Z498" s="1156"/>
      <c r="AA498" s="529"/>
      <c r="AB498" s="525"/>
      <c r="AC498" s="525">
        <f>'HIV-Key Info'!$I$88*(('HIV-Key Info'!$E$88*'HPM costs'!K291)+('HIV-Key Info'!$F$88*('HPM costs'!K294+'HPM costs'!K297)))</f>
        <v>0</v>
      </c>
      <c r="AD498" s="525"/>
      <c r="AE498" s="525">
        <f>'HIV-Key Info'!$I$88*(('HIV-Key Info'!$E$88*'HPM costs'!L291)+('HIV-Key Info'!$F$88*('HPM costs'!L294+'HPM costs'!L297)))</f>
        <v>0</v>
      </c>
      <c r="AF498" s="525"/>
      <c r="AG498" s="525">
        <f>'HIV-Key Info'!$I$88*(('HIV-Key Info'!$E$88*'HPM costs'!M291)+('HIV-Key Info'!$F$88*('HPM costs'!M294+'HPM costs'!M297)))</f>
        <v>0</v>
      </c>
      <c r="AH498" s="525"/>
      <c r="AI498" s="525">
        <f>'HIV-Key Info'!$I$88*(('HIV-Key Info'!$E$88*'HPM costs'!N291)+('HIV-Key Info'!$F$88*('HPM costs'!N294+'HPM costs'!N297)))</f>
        <v>0</v>
      </c>
      <c r="AJ498" s="525"/>
      <c r="AK498" s="1154">
        <f t="shared" si="49"/>
        <v>0</v>
      </c>
      <c r="AL498" s="1155"/>
      <c r="AM498" s="1156"/>
      <c r="AN498" s="529"/>
      <c r="AO498" s="525"/>
      <c r="AP498" s="525">
        <f>'HIV-Key Info'!$I$88*(('HIV-Key Info'!$E$88*'HPM costs'!P291)+('HIV-Key Info'!$F$88*('HPM costs'!P294+'HPM costs'!P297)))</f>
        <v>0</v>
      </c>
      <c r="AQ498" s="525"/>
      <c r="AR498" s="525">
        <f>'HIV-Key Info'!$I$88*(('HIV-Key Info'!$E$88*'HPM costs'!Q291)+('HIV-Key Info'!$F$88*('HPM costs'!Q294+'HPM costs'!Q297)))</f>
        <v>0</v>
      </c>
      <c r="AS498" s="525"/>
      <c r="AT498" s="525">
        <f>'HIV-Key Info'!$I$88*(('HIV-Key Info'!$E$88*'HPM costs'!R291)+('HIV-Key Info'!$F$88*('HPM costs'!R294+'HPM costs'!R297)))</f>
        <v>0</v>
      </c>
      <c r="AU498" s="525"/>
      <c r="AV498" s="525">
        <f>'HIV-Key Info'!$I$88*(('HIV-Key Info'!$E$88*'HPM costs'!S291)+('HIV-Key Info'!$F$88*('HPM costs'!S294+'HPM costs'!S297)))</f>
        <v>0</v>
      </c>
      <c r="AW498" s="525"/>
      <c r="AX498" s="1154">
        <f t="shared" si="50"/>
        <v>0</v>
      </c>
      <c r="AY498" s="1154"/>
      <c r="AZ498" s="528"/>
      <c r="BA498" s="529"/>
      <c r="BB498" s="527"/>
      <c r="BC498" s="527">
        <v>0</v>
      </c>
      <c r="BD498" s="527">
        <v>0</v>
      </c>
      <c r="BE498" s="527">
        <v>0</v>
      </c>
      <c r="BF498" s="527">
        <v>0</v>
      </c>
      <c r="BG498" s="527">
        <v>0</v>
      </c>
      <c r="BH498" s="527">
        <v>0</v>
      </c>
      <c r="BI498" s="527">
        <v>0</v>
      </c>
      <c r="BJ498" s="527">
        <v>0</v>
      </c>
      <c r="BK498" s="1154">
        <f t="shared" si="51"/>
        <v>0</v>
      </c>
      <c r="BL498" s="1154"/>
      <c r="BM498" s="1154">
        <f t="shared" si="52"/>
        <v>0</v>
      </c>
      <c r="BN498" s="1154">
        <f t="shared" si="53"/>
        <v>0</v>
      </c>
      <c r="BO498" s="527"/>
      <c r="BP498" s="527"/>
      <c r="BQ498" s="1157" t="s">
        <v>2558</v>
      </c>
      <c r="BR498" s="1157" t="s">
        <v>690</v>
      </c>
      <c r="BS498" s="1157" t="s">
        <v>527</v>
      </c>
      <c r="BT498" s="1376" t="s">
        <v>1802</v>
      </c>
    </row>
    <row r="499" spans="1:72" s="1371" customFormat="1" ht="13">
      <c r="A499" s="1204">
        <v>1055</v>
      </c>
      <c r="B499" s="1205" t="s">
        <v>672</v>
      </c>
      <c r="C499" s="1205" t="s">
        <v>675</v>
      </c>
      <c r="D499" s="1206" t="s">
        <v>2526</v>
      </c>
      <c r="E499" s="1386" t="s">
        <v>540</v>
      </c>
      <c r="F499" s="521"/>
      <c r="G499" s="522"/>
      <c r="H499" s="522"/>
      <c r="I499" s="522"/>
      <c r="J499" s="523"/>
      <c r="K499" s="523"/>
      <c r="L499" s="523"/>
      <c r="M499" s="524"/>
      <c r="N499" s="525"/>
      <c r="O499" s="526" t="s">
        <v>1237</v>
      </c>
      <c r="P499" s="525">
        <f>'HIV-Key Info'!$I$88*(('HIV-Key Info'!$E$88*'HPM costs'!F636)+('HIV-Key Info'!$F$88*('HPM costs'!F639+'HPM costs'!F642)))</f>
        <v>0</v>
      </c>
      <c r="Q499" s="525" t="s">
        <v>1237</v>
      </c>
      <c r="R499" s="525">
        <f>'HIV-Key Info'!$I$88*(('HIV-Key Info'!$E$88*'HPM costs'!G636)+('HIV-Key Info'!$F$88*('HPM costs'!G639+'HPM costs'!G642)))</f>
        <v>0</v>
      </c>
      <c r="S499" s="525" t="s">
        <v>1237</v>
      </c>
      <c r="T499" s="525">
        <f>'HIV-Key Info'!$I$88*(('HIV-Key Info'!$E$88*'HPM costs'!H636)+('HIV-Key Info'!$F$88*('HPM costs'!H639+'HPM costs'!H642)))</f>
        <v>0</v>
      </c>
      <c r="U499" s="525" t="s">
        <v>1237</v>
      </c>
      <c r="V499" s="525">
        <f>'HIV-Key Info'!$I$88*(('HIV-Key Info'!$E$88*'HPM costs'!I636)+('HIV-Key Info'!$F$88*('HPM costs'!I639+'HPM costs'!I642)))</f>
        <v>0</v>
      </c>
      <c r="W499" s="525"/>
      <c r="X499" s="1154">
        <f t="shared" si="48"/>
        <v>0</v>
      </c>
      <c r="Y499" s="1155"/>
      <c r="Z499" s="1156"/>
      <c r="AA499" s="529"/>
      <c r="AB499" s="525"/>
      <c r="AC499" s="525">
        <f>'HIV-Key Info'!$I$88*(('HIV-Key Info'!$E$88*'HPM costs'!K636)+('HIV-Key Info'!$F$88*('HPM costs'!K639+'HPM costs'!K642)))</f>
        <v>0</v>
      </c>
      <c r="AD499" s="525"/>
      <c r="AE499" s="525">
        <f>'HIV-Key Info'!$I$88*(('HIV-Key Info'!$E$88*'HPM costs'!L636)+('HIV-Key Info'!$F$88*('HPM costs'!L639+'HPM costs'!L642)))</f>
        <v>0</v>
      </c>
      <c r="AF499" s="525"/>
      <c r="AG499" s="525">
        <f>'HIV-Key Info'!$I$88*(('HIV-Key Info'!$E$88*'HPM costs'!M636)+('HIV-Key Info'!$F$88*('HPM costs'!M639+'HPM costs'!M642)))</f>
        <v>0</v>
      </c>
      <c r="AH499" s="525"/>
      <c r="AI499" s="525">
        <f>'HIV-Key Info'!$I$88*(('HIV-Key Info'!$E$88*'HPM costs'!N636)+('HIV-Key Info'!$F$88*('HPM costs'!N639+'HPM costs'!N642)))</f>
        <v>0</v>
      </c>
      <c r="AJ499" s="525"/>
      <c r="AK499" s="1154">
        <f t="shared" si="49"/>
        <v>0</v>
      </c>
      <c r="AL499" s="1155"/>
      <c r="AM499" s="1156"/>
      <c r="AN499" s="529"/>
      <c r="AO499" s="525"/>
      <c r="AP499" s="525">
        <f>'HIV-Key Info'!$I$88*(('HIV-Key Info'!$E$88*'HPM costs'!P636)+('HIV-Key Info'!$F$88*('HPM costs'!P639+'HPM costs'!P642)))</f>
        <v>0</v>
      </c>
      <c r="AQ499" s="525"/>
      <c r="AR499" s="525">
        <f>'HIV-Key Info'!$I$88*(('HIV-Key Info'!$E$88*'HPM costs'!Q636)+('HIV-Key Info'!$F$88*('HPM costs'!Q639+'HPM costs'!Q642)))</f>
        <v>0</v>
      </c>
      <c r="AS499" s="525"/>
      <c r="AT499" s="525">
        <f>'HIV-Key Info'!$I$88*(('HIV-Key Info'!$E$88*'HPM costs'!R636)+('HIV-Key Info'!$F$88*('HPM costs'!R639+'HPM costs'!R642)))</f>
        <v>0</v>
      </c>
      <c r="AU499" s="525"/>
      <c r="AV499" s="525">
        <f>'HIV-Key Info'!$I$88*(('HIV-Key Info'!$E$88*'HPM costs'!S636)+('HIV-Key Info'!$F$88*('HPM costs'!S639+'HPM costs'!S642)))</f>
        <v>0</v>
      </c>
      <c r="AW499" s="525"/>
      <c r="AX499" s="1154">
        <f t="shared" si="50"/>
        <v>0</v>
      </c>
      <c r="AY499" s="1154"/>
      <c r="AZ499" s="528"/>
      <c r="BA499" s="529"/>
      <c r="BB499" s="527"/>
      <c r="BC499" s="527">
        <v>0</v>
      </c>
      <c r="BD499" s="527">
        <v>0</v>
      </c>
      <c r="BE499" s="527">
        <v>0</v>
      </c>
      <c r="BF499" s="527">
        <v>0</v>
      </c>
      <c r="BG499" s="527">
        <v>0</v>
      </c>
      <c r="BH499" s="527">
        <v>0</v>
      </c>
      <c r="BI499" s="527">
        <v>0</v>
      </c>
      <c r="BJ499" s="527">
        <v>0</v>
      </c>
      <c r="BK499" s="1154">
        <f t="shared" si="51"/>
        <v>0</v>
      </c>
      <c r="BL499" s="1154"/>
      <c r="BM499" s="1154">
        <f t="shared" si="52"/>
        <v>0</v>
      </c>
      <c r="BN499" s="1154">
        <f t="shared" si="53"/>
        <v>0</v>
      </c>
      <c r="BO499" s="527"/>
      <c r="BP499" s="527"/>
      <c r="BQ499" s="1157" t="s">
        <v>2558</v>
      </c>
      <c r="BR499" s="1157" t="s">
        <v>690</v>
      </c>
      <c r="BS499" s="1157" t="s">
        <v>527</v>
      </c>
      <c r="BT499" s="1376" t="s">
        <v>1803</v>
      </c>
    </row>
    <row r="500" spans="1:72" s="1371" customFormat="1" ht="13">
      <c r="A500" s="1204">
        <v>1056</v>
      </c>
      <c r="B500" s="1205" t="s">
        <v>672</v>
      </c>
      <c r="C500" s="1205" t="s">
        <v>673</v>
      </c>
      <c r="D500" s="1206" t="s">
        <v>2580</v>
      </c>
      <c r="E500" s="1386" t="s">
        <v>603</v>
      </c>
      <c r="F500" s="521"/>
      <c r="G500" s="522"/>
      <c r="H500" s="522"/>
      <c r="I500" s="522"/>
      <c r="J500" s="523"/>
      <c r="K500" s="523"/>
      <c r="L500" s="523"/>
      <c r="M500" s="524"/>
      <c r="N500" s="525"/>
      <c r="O500" s="526" t="s">
        <v>1237</v>
      </c>
      <c r="P500" s="525">
        <f>'HIV-Key Info'!$G$79*('HIV-Key Info'!$E$79*('HPM costs'!F119/'HPM costs'!$E$119)+'HIV-Key Info'!$F$79*('HPM costs'!F125/'HPM costs'!$E$125+'HPM costs'!F122/'HPM costs'!$E$122))</f>
        <v>0</v>
      </c>
      <c r="Q500" s="525" t="s">
        <v>1237</v>
      </c>
      <c r="R500" s="525">
        <f>'HIV-Key Info'!$G$79*('HIV-Key Info'!$E$79*('HPM costs'!G119/'HPM costs'!$E$119)+'HIV-Key Info'!$F$79*('HPM costs'!G125/'HPM costs'!$E$125+'HPM costs'!G122/'HPM costs'!$E$122))</f>
        <v>0</v>
      </c>
      <c r="S500" s="525" t="s">
        <v>1237</v>
      </c>
      <c r="T500" s="525">
        <f>'HIV-Key Info'!$G$79*('HIV-Key Info'!$E$79*('HPM costs'!H119/'HPM costs'!$E$119)+'HIV-Key Info'!$F$79*('HPM costs'!H125/'HPM costs'!$E$125+'HPM costs'!H122/'HPM costs'!$E$122))</f>
        <v>0</v>
      </c>
      <c r="U500" s="525" t="s">
        <v>1237</v>
      </c>
      <c r="V500" s="525">
        <f>'HIV-Key Info'!$G$79*('HIV-Key Info'!$E$79*('HPM costs'!I119/'HPM costs'!$E$119)+'HIV-Key Info'!$F$79*('HPM costs'!I125/'HPM costs'!$E$125+'HPM costs'!I122/'HPM costs'!$E$122))</f>
        <v>0</v>
      </c>
      <c r="W500" s="525"/>
      <c r="X500" s="1154">
        <f t="shared" si="48"/>
        <v>0</v>
      </c>
      <c r="Y500" s="1155"/>
      <c r="Z500" s="1156"/>
      <c r="AA500" s="529"/>
      <c r="AB500" s="525"/>
      <c r="AC500" s="525">
        <f>'HIV-Key Info'!$G$79*('HIV-Key Info'!$E$79*('HPM costs'!K119/'HPM costs'!$E$119)+'HIV-Key Info'!$F$79*('HPM costs'!K125/'HPM costs'!$E$125+'HPM costs'!K122/'HPM costs'!$E$122))</f>
        <v>0</v>
      </c>
      <c r="AD500" s="525"/>
      <c r="AE500" s="525">
        <f>'HIV-Key Info'!$G$79*('HIV-Key Info'!$E$79*('HPM costs'!L119/'HPM costs'!$E$119)+'HIV-Key Info'!$F$79*('HPM costs'!L125/'HPM costs'!$E$125+'HPM costs'!L122/'HPM costs'!$E$122))</f>
        <v>0</v>
      </c>
      <c r="AF500" s="525"/>
      <c r="AG500" s="525">
        <f>'HIV-Key Info'!$G$79*('HIV-Key Info'!$E$79*('HPM costs'!M119/'HPM costs'!$E$119)+'HIV-Key Info'!$F$79*('HPM costs'!M125/'HPM costs'!$E$125+'HPM costs'!M122/'HPM costs'!$E$122))</f>
        <v>0</v>
      </c>
      <c r="AH500" s="525"/>
      <c r="AI500" s="525">
        <f>'HIV-Key Info'!$G$79*('HIV-Key Info'!$E$79*('HPM costs'!N119/'HPM costs'!$E$119)+'HIV-Key Info'!$F$79*('HPM costs'!N125/'HPM costs'!$E$125+'HPM costs'!N122/'HPM costs'!$E$122))</f>
        <v>0</v>
      </c>
      <c r="AJ500" s="525"/>
      <c r="AK500" s="1154">
        <f t="shared" si="49"/>
        <v>0</v>
      </c>
      <c r="AL500" s="1155"/>
      <c r="AM500" s="1156"/>
      <c r="AN500" s="529"/>
      <c r="AO500" s="525"/>
      <c r="AP500" s="525">
        <f>'HIV-Key Info'!$G$79*('HIV-Key Info'!$E$79*('HPM costs'!P119/'HPM costs'!$E$119)+'HIV-Key Info'!$F$79*('HPM costs'!P125/'HPM costs'!$E$125+'HPM costs'!P122/'HPM costs'!$E$122))</f>
        <v>0</v>
      </c>
      <c r="AQ500" s="525"/>
      <c r="AR500" s="525">
        <f>'HIV-Key Info'!$G$79*('HIV-Key Info'!$E$79*('HPM costs'!Q119/'HPM costs'!$E$119)+'HIV-Key Info'!$F$79*('HPM costs'!Q125/'HPM costs'!$E$125+'HPM costs'!Q122/'HPM costs'!$E$122))</f>
        <v>0</v>
      </c>
      <c r="AS500" s="525"/>
      <c r="AT500" s="525">
        <f>'HIV-Key Info'!$G$79*('HIV-Key Info'!$E$79*('HPM costs'!R119/'HPM costs'!$E$119)+'HIV-Key Info'!$F$79*('HPM costs'!R125/'HPM costs'!$E$125+'HPM costs'!R122/'HPM costs'!$E$122))</f>
        <v>0</v>
      </c>
      <c r="AU500" s="525"/>
      <c r="AV500" s="525">
        <f>'HIV-Key Info'!$G$79*('HIV-Key Info'!$E$79*('HPM costs'!S119/'HPM costs'!$E$119)+'HIV-Key Info'!$F$79*('HPM costs'!S125/'HPM costs'!$E$125+'HPM costs'!S122/'HPM costs'!$E$122))</f>
        <v>0</v>
      </c>
      <c r="AW500" s="525"/>
      <c r="AX500" s="1154">
        <f t="shared" si="50"/>
        <v>0</v>
      </c>
      <c r="AY500" s="1154"/>
      <c r="AZ500" s="528"/>
      <c r="BA500" s="529"/>
      <c r="BB500" s="527"/>
      <c r="BC500" s="527">
        <v>0</v>
      </c>
      <c r="BD500" s="527">
        <v>0</v>
      </c>
      <c r="BE500" s="527">
        <v>0</v>
      </c>
      <c r="BF500" s="527">
        <v>0</v>
      </c>
      <c r="BG500" s="527">
        <v>0</v>
      </c>
      <c r="BH500" s="527">
        <v>0</v>
      </c>
      <c r="BI500" s="527">
        <v>0</v>
      </c>
      <c r="BJ500" s="527">
        <v>0</v>
      </c>
      <c r="BK500" s="1154">
        <f t="shared" si="51"/>
        <v>0</v>
      </c>
      <c r="BL500" s="1154"/>
      <c r="BM500" s="1154">
        <f t="shared" si="52"/>
        <v>0</v>
      </c>
      <c r="BN500" s="1154">
        <f t="shared" si="53"/>
        <v>0</v>
      </c>
      <c r="BO500" s="527"/>
      <c r="BP500" s="527"/>
      <c r="BQ500" s="1157" t="s">
        <v>2557</v>
      </c>
      <c r="BR500" s="1157" t="s">
        <v>690</v>
      </c>
      <c r="BS500" s="1157" t="s">
        <v>2570</v>
      </c>
      <c r="BT500" s="1376" t="s">
        <v>1804</v>
      </c>
    </row>
    <row r="501" spans="1:72" s="1371" customFormat="1" ht="13">
      <c r="A501" s="1204">
        <v>1057</v>
      </c>
      <c r="B501" s="1205" t="s">
        <v>672</v>
      </c>
      <c r="C501" s="1205" t="s">
        <v>673</v>
      </c>
      <c r="D501" s="1206" t="s">
        <v>2524</v>
      </c>
      <c r="E501" s="1386" t="s">
        <v>528</v>
      </c>
      <c r="F501" s="521"/>
      <c r="G501" s="522"/>
      <c r="H501" s="522"/>
      <c r="I501" s="522"/>
      <c r="J501" s="523"/>
      <c r="K501" s="523"/>
      <c r="L501" s="523"/>
      <c r="M501" s="524"/>
      <c r="N501" s="525"/>
      <c r="O501" s="526" t="s">
        <v>1237</v>
      </c>
      <c r="P501" s="525">
        <f>'HIV-Key Info'!$G$79*(('HIV-Key Info'!$E$79*'HPM costs'!F33)+('HIV-Key Info'!$F$79*('HPM costs'!F36+'HPM costs'!F39)))</f>
        <v>0</v>
      </c>
      <c r="Q501" s="525" t="s">
        <v>1237</v>
      </c>
      <c r="R501" s="525">
        <f>'HIV-Key Info'!$G$79*(('HIV-Key Info'!$E$79*'HPM costs'!G33)+('HIV-Key Info'!$F$79*('HPM costs'!G36+'HPM costs'!G39)))</f>
        <v>0</v>
      </c>
      <c r="S501" s="525" t="s">
        <v>1237</v>
      </c>
      <c r="T501" s="525">
        <f>'HIV-Key Info'!$G$79*(('HIV-Key Info'!$E$79*'HPM costs'!H33)+('HIV-Key Info'!$F$79*('HPM costs'!H36+'HPM costs'!H39)))</f>
        <v>0</v>
      </c>
      <c r="U501" s="525" t="s">
        <v>1237</v>
      </c>
      <c r="V501" s="525">
        <f>'HIV-Key Info'!$G$79*(('HIV-Key Info'!$E$79*'HPM costs'!I33)+('HIV-Key Info'!$F$79*('HPM costs'!I36+'HPM costs'!I39)))</f>
        <v>0</v>
      </c>
      <c r="W501" s="525"/>
      <c r="X501" s="1154">
        <f t="shared" si="48"/>
        <v>0</v>
      </c>
      <c r="Y501" s="1155"/>
      <c r="Z501" s="1156"/>
      <c r="AA501" s="529"/>
      <c r="AB501" s="525"/>
      <c r="AC501" s="525">
        <f>'HIV-Key Info'!$G$79*(('HIV-Key Info'!$E$79*'HPM costs'!K33)+('HIV-Key Info'!$F$79*('HPM costs'!K36+'HPM costs'!K39)))</f>
        <v>0</v>
      </c>
      <c r="AD501" s="525"/>
      <c r="AE501" s="525">
        <f>'HIV-Key Info'!$G$79*(('HIV-Key Info'!$E$79*'HPM costs'!L33)+('HIV-Key Info'!$F$79*('HPM costs'!L36+'HPM costs'!L39)))</f>
        <v>0</v>
      </c>
      <c r="AF501" s="525"/>
      <c r="AG501" s="525">
        <f>'HIV-Key Info'!$G$79*(('HIV-Key Info'!$E$79*'HPM costs'!M33)+('HIV-Key Info'!$F$79*('HPM costs'!M36+'HPM costs'!M39)))</f>
        <v>0</v>
      </c>
      <c r="AH501" s="525"/>
      <c r="AI501" s="525">
        <f>'HIV-Key Info'!$G$79*(('HIV-Key Info'!$E$79*'HPM costs'!N33)+('HIV-Key Info'!$F$79*('HPM costs'!N36+'HPM costs'!N39)))</f>
        <v>0</v>
      </c>
      <c r="AJ501" s="525"/>
      <c r="AK501" s="1154">
        <f t="shared" si="49"/>
        <v>0</v>
      </c>
      <c r="AL501" s="1155"/>
      <c r="AM501" s="1156"/>
      <c r="AN501" s="529"/>
      <c r="AO501" s="525"/>
      <c r="AP501" s="525">
        <f>'HIV-Key Info'!$G$79*(('HIV-Key Info'!$E$79*'HPM costs'!P33)+('HIV-Key Info'!$F$79*('HPM costs'!P36+'HPM costs'!P39)))</f>
        <v>0</v>
      </c>
      <c r="AQ501" s="525"/>
      <c r="AR501" s="525">
        <f>'HIV-Key Info'!$G$79*(('HIV-Key Info'!$E$79*'HPM costs'!Q33)+('HIV-Key Info'!$F$79*('HPM costs'!Q36+'HPM costs'!Q39)))</f>
        <v>0</v>
      </c>
      <c r="AS501" s="525"/>
      <c r="AT501" s="525">
        <f>'HIV-Key Info'!$G$79*(('HIV-Key Info'!$E$79*'HPM costs'!R33)+('HIV-Key Info'!$F$79*('HPM costs'!R36+'HPM costs'!R39)))</f>
        <v>0</v>
      </c>
      <c r="AU501" s="525"/>
      <c r="AV501" s="525">
        <f>'HIV-Key Info'!$G$79*(('HIV-Key Info'!$E$79*'HPM costs'!S33)+('HIV-Key Info'!$F$79*('HPM costs'!S36+'HPM costs'!S39)))</f>
        <v>0</v>
      </c>
      <c r="AW501" s="525"/>
      <c r="AX501" s="1154">
        <f t="shared" si="50"/>
        <v>0</v>
      </c>
      <c r="AY501" s="1154"/>
      <c r="AZ501" s="528"/>
      <c r="BA501" s="529"/>
      <c r="BB501" s="527"/>
      <c r="BC501" s="527">
        <v>0</v>
      </c>
      <c r="BD501" s="527">
        <v>0</v>
      </c>
      <c r="BE501" s="527">
        <v>0</v>
      </c>
      <c r="BF501" s="527">
        <v>0</v>
      </c>
      <c r="BG501" s="527">
        <v>0</v>
      </c>
      <c r="BH501" s="527">
        <v>0</v>
      </c>
      <c r="BI501" s="527">
        <v>0</v>
      </c>
      <c r="BJ501" s="527">
        <v>0</v>
      </c>
      <c r="BK501" s="1154">
        <f t="shared" si="51"/>
        <v>0</v>
      </c>
      <c r="BL501" s="1154"/>
      <c r="BM501" s="1154">
        <f t="shared" si="52"/>
        <v>0</v>
      </c>
      <c r="BN501" s="1154">
        <f t="shared" si="53"/>
        <v>0</v>
      </c>
      <c r="BO501" s="527"/>
      <c r="BP501" s="527"/>
      <c r="BQ501" s="1157" t="s">
        <v>2557</v>
      </c>
      <c r="BR501" s="1157" t="s">
        <v>690</v>
      </c>
      <c r="BS501" s="1157" t="s">
        <v>527</v>
      </c>
      <c r="BT501" s="1376" t="s">
        <v>1805</v>
      </c>
    </row>
    <row r="502" spans="1:72" s="1371" customFormat="1" ht="13">
      <c r="A502" s="1204">
        <v>1058</v>
      </c>
      <c r="B502" s="1205" t="s">
        <v>672</v>
      </c>
      <c r="C502" s="1205" t="s">
        <v>673</v>
      </c>
      <c r="D502" s="1206" t="s">
        <v>2524</v>
      </c>
      <c r="E502" s="1386" t="s">
        <v>530</v>
      </c>
      <c r="F502" s="521"/>
      <c r="G502" s="522"/>
      <c r="H502" s="522"/>
      <c r="I502" s="522"/>
      <c r="J502" s="523"/>
      <c r="K502" s="523"/>
      <c r="L502" s="523"/>
      <c r="M502" s="524"/>
      <c r="N502" s="525"/>
      <c r="O502" s="526" t="s">
        <v>1237</v>
      </c>
      <c r="P502" s="525">
        <f>'HIV-Key Info'!$G$79*(('HIV-Key Info'!$E$79*'HPM costs'!F119)+('HIV-Key Info'!$F$79*('HPM costs'!F122+'HPM costs'!F125)))</f>
        <v>0</v>
      </c>
      <c r="Q502" s="525" t="s">
        <v>1237</v>
      </c>
      <c r="R502" s="525">
        <f>'HIV-Key Info'!$G$79*(('HIV-Key Info'!$E$79*'HPM costs'!G119)+('HIV-Key Info'!$F$79*('HPM costs'!G122+'HPM costs'!G125)))</f>
        <v>0</v>
      </c>
      <c r="S502" s="525" t="s">
        <v>1237</v>
      </c>
      <c r="T502" s="525">
        <f>'HIV-Key Info'!$G$79*(('HIV-Key Info'!$E$79*'HPM costs'!H119)+('HIV-Key Info'!$F$79*('HPM costs'!H122+'HPM costs'!H125)))</f>
        <v>0</v>
      </c>
      <c r="U502" s="525" t="s">
        <v>1237</v>
      </c>
      <c r="V502" s="525">
        <f>'HIV-Key Info'!$G$79*(('HIV-Key Info'!$E$79*'HPM costs'!I119)+('HIV-Key Info'!$F$79*('HPM costs'!I122+'HPM costs'!I125)))</f>
        <v>0</v>
      </c>
      <c r="W502" s="525"/>
      <c r="X502" s="1154">
        <f t="shared" si="48"/>
        <v>0</v>
      </c>
      <c r="Y502" s="1155"/>
      <c r="Z502" s="1156"/>
      <c r="AA502" s="529"/>
      <c r="AB502" s="525"/>
      <c r="AC502" s="525">
        <f>'HIV-Key Info'!$G$79*(('HIV-Key Info'!$E$79*'HPM costs'!K119)+('HIV-Key Info'!$F$79*('HPM costs'!K122+'HPM costs'!K125)))</f>
        <v>0</v>
      </c>
      <c r="AD502" s="525"/>
      <c r="AE502" s="525">
        <f>'HIV-Key Info'!$G$79*(('HIV-Key Info'!$E$79*'HPM costs'!L119)+('HIV-Key Info'!$F$79*('HPM costs'!L122+'HPM costs'!L125)))</f>
        <v>0</v>
      </c>
      <c r="AF502" s="525"/>
      <c r="AG502" s="525">
        <f>'HIV-Key Info'!$G$79*(('HIV-Key Info'!$E$79*'HPM costs'!M119)+('HIV-Key Info'!$F$79*('HPM costs'!M122+'HPM costs'!M125)))</f>
        <v>0</v>
      </c>
      <c r="AH502" s="525"/>
      <c r="AI502" s="525">
        <f>'HIV-Key Info'!$G$79*(('HIV-Key Info'!$E$79*'HPM costs'!N119)+('HIV-Key Info'!$F$79*('HPM costs'!N122+'HPM costs'!N125)))</f>
        <v>0</v>
      </c>
      <c r="AJ502" s="525"/>
      <c r="AK502" s="1154">
        <f t="shared" si="49"/>
        <v>0</v>
      </c>
      <c r="AL502" s="1155"/>
      <c r="AM502" s="1156"/>
      <c r="AN502" s="529"/>
      <c r="AO502" s="525"/>
      <c r="AP502" s="525">
        <f>'HIV-Key Info'!$G$79*(('HIV-Key Info'!$E$79*'HPM costs'!P119)+('HIV-Key Info'!$F$79*('HPM costs'!P122+'HPM costs'!P125)))</f>
        <v>0</v>
      </c>
      <c r="AQ502" s="525"/>
      <c r="AR502" s="525">
        <f>'HIV-Key Info'!$G$79*(('HIV-Key Info'!$E$79*'HPM costs'!Q119)+('HIV-Key Info'!$F$79*('HPM costs'!Q122+'HPM costs'!Q125)))</f>
        <v>0</v>
      </c>
      <c r="AS502" s="525"/>
      <c r="AT502" s="525">
        <f>'HIV-Key Info'!$G$79*(('HIV-Key Info'!$E$79*'HPM costs'!R119)+('HIV-Key Info'!$F$79*('HPM costs'!R122+'HPM costs'!R125)))</f>
        <v>0</v>
      </c>
      <c r="AU502" s="525"/>
      <c r="AV502" s="525">
        <f>'HIV-Key Info'!$G$79*(('HIV-Key Info'!$E$79*'HPM costs'!S119)+('HIV-Key Info'!$F$79*('HPM costs'!S122+'HPM costs'!S125)))</f>
        <v>0</v>
      </c>
      <c r="AW502" s="525"/>
      <c r="AX502" s="1154">
        <f t="shared" si="50"/>
        <v>0</v>
      </c>
      <c r="AY502" s="1154"/>
      <c r="AZ502" s="528"/>
      <c r="BA502" s="529"/>
      <c r="BB502" s="527"/>
      <c r="BC502" s="527">
        <v>0</v>
      </c>
      <c r="BD502" s="527">
        <v>0</v>
      </c>
      <c r="BE502" s="527">
        <v>0</v>
      </c>
      <c r="BF502" s="527">
        <v>0</v>
      </c>
      <c r="BG502" s="527">
        <v>0</v>
      </c>
      <c r="BH502" s="527">
        <v>0</v>
      </c>
      <c r="BI502" s="527">
        <v>0</v>
      </c>
      <c r="BJ502" s="527">
        <v>0</v>
      </c>
      <c r="BK502" s="1154">
        <f t="shared" si="51"/>
        <v>0</v>
      </c>
      <c r="BL502" s="1154"/>
      <c r="BM502" s="1154">
        <f t="shared" si="52"/>
        <v>0</v>
      </c>
      <c r="BN502" s="1154">
        <f t="shared" si="53"/>
        <v>0</v>
      </c>
      <c r="BO502" s="527"/>
      <c r="BP502" s="527"/>
      <c r="BQ502" s="1157" t="s">
        <v>2557</v>
      </c>
      <c r="BR502" s="1157" t="s">
        <v>690</v>
      </c>
      <c r="BS502" s="1157" t="s">
        <v>527</v>
      </c>
      <c r="BT502" s="1376" t="s">
        <v>1806</v>
      </c>
    </row>
    <row r="503" spans="1:72" s="1371" customFormat="1" ht="13">
      <c r="A503" s="1204">
        <v>1059</v>
      </c>
      <c r="B503" s="1205" t="s">
        <v>672</v>
      </c>
      <c r="C503" s="1205" t="s">
        <v>673</v>
      </c>
      <c r="D503" s="1206" t="s">
        <v>2524</v>
      </c>
      <c r="E503" s="1386" t="s">
        <v>532</v>
      </c>
      <c r="F503" s="521"/>
      <c r="G503" s="522"/>
      <c r="H503" s="522"/>
      <c r="I503" s="522"/>
      <c r="J503" s="523"/>
      <c r="K503" s="523"/>
      <c r="L503" s="523"/>
      <c r="M503" s="524"/>
      <c r="N503" s="525"/>
      <c r="O503" s="526" t="s">
        <v>1237</v>
      </c>
      <c r="P503" s="525">
        <f>'HIV-Key Info'!$G$79*(('HIV-Key Info'!$E$79*'HPM costs'!F379)+('HIV-Key Info'!$F$79*('HPM costs'!F382+'HPM costs'!F385)))</f>
        <v>0</v>
      </c>
      <c r="Q503" s="525" t="s">
        <v>1237</v>
      </c>
      <c r="R503" s="525">
        <f>'HIV-Key Info'!$G$79*(('HIV-Key Info'!$E$79*'HPM costs'!G379)+('HIV-Key Info'!$F$79*('HPM costs'!G382+'HPM costs'!G385)))</f>
        <v>0</v>
      </c>
      <c r="S503" s="525" t="s">
        <v>1237</v>
      </c>
      <c r="T503" s="525">
        <f>'HIV-Key Info'!$G$79*(('HIV-Key Info'!$E$79*'HPM costs'!H379)+('HIV-Key Info'!$F$79*('HPM costs'!H382+'HPM costs'!H385)))</f>
        <v>0</v>
      </c>
      <c r="U503" s="525" t="s">
        <v>1237</v>
      </c>
      <c r="V503" s="525">
        <f>'HIV-Key Info'!$G$79*(('HIV-Key Info'!$E$79*'HPM costs'!I379)+('HIV-Key Info'!$F$79*('HPM costs'!I382+'HPM costs'!I385)))</f>
        <v>0</v>
      </c>
      <c r="W503" s="525"/>
      <c r="X503" s="1154">
        <f t="shared" si="48"/>
        <v>0</v>
      </c>
      <c r="Y503" s="1155"/>
      <c r="Z503" s="1156"/>
      <c r="AA503" s="529"/>
      <c r="AB503" s="525"/>
      <c r="AC503" s="525">
        <f>'HIV-Key Info'!$G$79*(('HIV-Key Info'!$E$79*'HPM costs'!K379)+('HIV-Key Info'!$F$79*('HPM costs'!K382+'HPM costs'!K385)))</f>
        <v>0</v>
      </c>
      <c r="AD503" s="525"/>
      <c r="AE503" s="525">
        <f>'HIV-Key Info'!$G$79*(('HIV-Key Info'!$E$79*'HPM costs'!L379)+('HIV-Key Info'!$F$79*('HPM costs'!L382+'HPM costs'!L385)))</f>
        <v>0</v>
      </c>
      <c r="AF503" s="525"/>
      <c r="AG503" s="525">
        <f>'HIV-Key Info'!$G$79*(('HIV-Key Info'!$E$79*'HPM costs'!M379)+('HIV-Key Info'!$F$79*('HPM costs'!M382+'HPM costs'!M385)))</f>
        <v>0</v>
      </c>
      <c r="AH503" s="525"/>
      <c r="AI503" s="525">
        <f>'HIV-Key Info'!$G$79*(('HIV-Key Info'!$E$79*'HPM costs'!N379)+('HIV-Key Info'!$F$79*('HPM costs'!N382+'HPM costs'!N385)))</f>
        <v>0</v>
      </c>
      <c r="AJ503" s="525"/>
      <c r="AK503" s="1154">
        <f t="shared" si="49"/>
        <v>0</v>
      </c>
      <c r="AL503" s="1155"/>
      <c r="AM503" s="1156"/>
      <c r="AN503" s="529"/>
      <c r="AO503" s="525"/>
      <c r="AP503" s="525">
        <f>'HIV-Key Info'!$G$79*(('HIV-Key Info'!$E$79*'HPM costs'!P379)+('HIV-Key Info'!$F$79*('HPM costs'!P382+'HPM costs'!P385)))</f>
        <v>0</v>
      </c>
      <c r="AQ503" s="525"/>
      <c r="AR503" s="525">
        <f>'HIV-Key Info'!$G$79*(('HIV-Key Info'!$E$79*'HPM costs'!Q379)+('HIV-Key Info'!$F$79*('HPM costs'!Q382+'HPM costs'!Q385)))</f>
        <v>0</v>
      </c>
      <c r="AS503" s="525"/>
      <c r="AT503" s="525">
        <f>'HIV-Key Info'!$G$79*(('HIV-Key Info'!$E$79*'HPM costs'!R379)+('HIV-Key Info'!$F$79*('HPM costs'!R382+'HPM costs'!R385)))</f>
        <v>0</v>
      </c>
      <c r="AU503" s="525"/>
      <c r="AV503" s="525">
        <f>'HIV-Key Info'!$G$79*(('HIV-Key Info'!$E$79*'HPM costs'!S379)+('HIV-Key Info'!$F$79*('HPM costs'!S382+'HPM costs'!S385)))</f>
        <v>0</v>
      </c>
      <c r="AW503" s="525"/>
      <c r="AX503" s="1154">
        <f t="shared" si="50"/>
        <v>0</v>
      </c>
      <c r="AY503" s="1154"/>
      <c r="AZ503" s="528"/>
      <c r="BA503" s="529"/>
      <c r="BB503" s="527"/>
      <c r="BC503" s="527">
        <v>0</v>
      </c>
      <c r="BD503" s="527">
        <v>0</v>
      </c>
      <c r="BE503" s="527">
        <v>0</v>
      </c>
      <c r="BF503" s="527">
        <v>0</v>
      </c>
      <c r="BG503" s="527">
        <v>0</v>
      </c>
      <c r="BH503" s="527">
        <v>0</v>
      </c>
      <c r="BI503" s="527">
        <v>0</v>
      </c>
      <c r="BJ503" s="527">
        <v>0</v>
      </c>
      <c r="BK503" s="1154">
        <f t="shared" si="51"/>
        <v>0</v>
      </c>
      <c r="BL503" s="1154"/>
      <c r="BM503" s="1154">
        <f t="shared" si="52"/>
        <v>0</v>
      </c>
      <c r="BN503" s="1154">
        <f t="shared" si="53"/>
        <v>0</v>
      </c>
      <c r="BO503" s="527"/>
      <c r="BP503" s="527"/>
      <c r="BQ503" s="1157" t="s">
        <v>2557</v>
      </c>
      <c r="BR503" s="1157" t="s">
        <v>690</v>
      </c>
      <c r="BS503" s="1157" t="s">
        <v>527</v>
      </c>
      <c r="BT503" s="1376" t="s">
        <v>1807</v>
      </c>
    </row>
    <row r="504" spans="1:72" s="1371" customFormat="1" ht="13">
      <c r="A504" s="1204">
        <v>1060</v>
      </c>
      <c r="B504" s="1205" t="s">
        <v>672</v>
      </c>
      <c r="C504" s="1205" t="s">
        <v>673</v>
      </c>
      <c r="D504" s="1206" t="s">
        <v>2524</v>
      </c>
      <c r="E504" s="1386" t="s">
        <v>534</v>
      </c>
      <c r="F504" s="521"/>
      <c r="G504" s="522"/>
      <c r="H504" s="522"/>
      <c r="I504" s="522"/>
      <c r="J504" s="523"/>
      <c r="K504" s="523"/>
      <c r="L504" s="523"/>
      <c r="M504" s="524"/>
      <c r="N504" s="525"/>
      <c r="O504" s="526" t="s">
        <v>1237</v>
      </c>
      <c r="P504" s="525">
        <f>'HIV-Key Info'!$G$79*(('HIV-Key Info'!$E$79*'HPM costs'!F465)+('HIV-Key Info'!$F$79*('HPM costs'!F468+'HPM costs'!F471)))</f>
        <v>0</v>
      </c>
      <c r="Q504" s="525" t="s">
        <v>1237</v>
      </c>
      <c r="R504" s="525">
        <f>'HIV-Key Info'!$G$79*(('HIV-Key Info'!$E$79*'HPM costs'!G465)+('HIV-Key Info'!$F$79*('HPM costs'!G468+'HPM costs'!G471)))</f>
        <v>0</v>
      </c>
      <c r="S504" s="525" t="s">
        <v>1237</v>
      </c>
      <c r="T504" s="525">
        <f>'HIV-Key Info'!$G$79*(('HIV-Key Info'!$E$79*'HPM costs'!H465)+('HIV-Key Info'!$F$79*('HPM costs'!H468+'HPM costs'!H471)))</f>
        <v>0</v>
      </c>
      <c r="U504" s="525" t="s">
        <v>1237</v>
      </c>
      <c r="V504" s="525">
        <f>'HIV-Key Info'!$G$79*(('HIV-Key Info'!$E$79*'HPM costs'!I465)+('HIV-Key Info'!$F$79*('HPM costs'!I468+'HPM costs'!I471)))</f>
        <v>0</v>
      </c>
      <c r="W504" s="525"/>
      <c r="X504" s="1154">
        <f t="shared" si="48"/>
        <v>0</v>
      </c>
      <c r="Y504" s="1155"/>
      <c r="Z504" s="1156"/>
      <c r="AA504" s="529"/>
      <c r="AB504" s="525"/>
      <c r="AC504" s="525">
        <f>'HIV-Key Info'!$G$79*(('HIV-Key Info'!$E$79*'HPM costs'!K465)+('HIV-Key Info'!$F$79*('HPM costs'!K468+'HPM costs'!K471)))</f>
        <v>0</v>
      </c>
      <c r="AD504" s="525"/>
      <c r="AE504" s="525">
        <f>'HIV-Key Info'!$G$79*(('HIV-Key Info'!$E$79*'HPM costs'!L465)+('HIV-Key Info'!$F$79*('HPM costs'!L468+'HPM costs'!L471)))</f>
        <v>0</v>
      </c>
      <c r="AF504" s="525"/>
      <c r="AG504" s="525">
        <f>'HIV-Key Info'!$G$79*(('HIV-Key Info'!$E$79*'HPM costs'!M465)+('HIV-Key Info'!$F$79*('HPM costs'!M468+'HPM costs'!M471)))</f>
        <v>0</v>
      </c>
      <c r="AH504" s="525"/>
      <c r="AI504" s="525">
        <f>'HIV-Key Info'!$G$79*(('HIV-Key Info'!$E$79*'HPM costs'!N465)+('HIV-Key Info'!$F$79*('HPM costs'!N468+'HPM costs'!N471)))</f>
        <v>0</v>
      </c>
      <c r="AJ504" s="525"/>
      <c r="AK504" s="1154">
        <f t="shared" si="49"/>
        <v>0</v>
      </c>
      <c r="AL504" s="1155"/>
      <c r="AM504" s="1156"/>
      <c r="AN504" s="529"/>
      <c r="AO504" s="525"/>
      <c r="AP504" s="525">
        <f>'HIV-Key Info'!$G$79*(('HIV-Key Info'!$E$79*'HPM costs'!P465)+('HIV-Key Info'!$F$79*('HPM costs'!P468+'HPM costs'!P471)))</f>
        <v>0</v>
      </c>
      <c r="AQ504" s="525"/>
      <c r="AR504" s="525">
        <f>'HIV-Key Info'!$G$79*(('HIV-Key Info'!$E$79*'HPM costs'!Q465)+('HIV-Key Info'!$F$79*('HPM costs'!Q468+'HPM costs'!Q471)))</f>
        <v>0</v>
      </c>
      <c r="AS504" s="525"/>
      <c r="AT504" s="525">
        <f>'HIV-Key Info'!$G$79*(('HIV-Key Info'!$E$79*'HPM costs'!R465)+('HIV-Key Info'!$F$79*('HPM costs'!R468+'HPM costs'!R471)))</f>
        <v>0</v>
      </c>
      <c r="AU504" s="525"/>
      <c r="AV504" s="525">
        <f>'HIV-Key Info'!$G$79*(('HIV-Key Info'!$E$79*'HPM costs'!S465)+('HIV-Key Info'!$F$79*('HPM costs'!S468+'HPM costs'!S471)))</f>
        <v>0</v>
      </c>
      <c r="AW504" s="525"/>
      <c r="AX504" s="1154">
        <f t="shared" si="50"/>
        <v>0</v>
      </c>
      <c r="AY504" s="1154"/>
      <c r="AZ504" s="528"/>
      <c r="BA504" s="529"/>
      <c r="BB504" s="527"/>
      <c r="BC504" s="527">
        <v>0</v>
      </c>
      <c r="BD504" s="527">
        <v>0</v>
      </c>
      <c r="BE504" s="527">
        <v>0</v>
      </c>
      <c r="BF504" s="527">
        <v>0</v>
      </c>
      <c r="BG504" s="527">
        <v>0</v>
      </c>
      <c r="BH504" s="527">
        <v>0</v>
      </c>
      <c r="BI504" s="527">
        <v>0</v>
      </c>
      <c r="BJ504" s="527">
        <v>0</v>
      </c>
      <c r="BK504" s="1154">
        <f t="shared" si="51"/>
        <v>0</v>
      </c>
      <c r="BL504" s="1154"/>
      <c r="BM504" s="1154">
        <f t="shared" si="52"/>
        <v>0</v>
      </c>
      <c r="BN504" s="1154">
        <f t="shared" si="53"/>
        <v>0</v>
      </c>
      <c r="BO504" s="527"/>
      <c r="BP504" s="527"/>
      <c r="BQ504" s="1157" t="s">
        <v>2557</v>
      </c>
      <c r="BR504" s="1157" t="s">
        <v>690</v>
      </c>
      <c r="BS504" s="1157" t="s">
        <v>527</v>
      </c>
      <c r="BT504" s="1376" t="s">
        <v>1808</v>
      </c>
    </row>
    <row r="505" spans="1:72" s="1371" customFormat="1" ht="13">
      <c r="A505" s="1204">
        <v>1061</v>
      </c>
      <c r="B505" s="1205" t="s">
        <v>672</v>
      </c>
      <c r="C505" s="1205" t="s">
        <v>673</v>
      </c>
      <c r="D505" s="1206" t="s">
        <v>2524</v>
      </c>
      <c r="E505" s="1386" t="s">
        <v>536</v>
      </c>
      <c r="F505" s="521"/>
      <c r="G505" s="522"/>
      <c r="H505" s="522"/>
      <c r="I505" s="522"/>
      <c r="J505" s="523"/>
      <c r="K505" s="523"/>
      <c r="L505" s="523"/>
      <c r="M505" s="524"/>
      <c r="N505" s="525"/>
      <c r="O505" s="526" t="s">
        <v>1237</v>
      </c>
      <c r="P505" s="525">
        <f>'HIV-Key Info'!$G$79*(('HIV-Key Info'!$E$79*('HPM costs'!F205+'HPM costs'!F551))+('HIV-Key Info'!$F$79*('HPM costs'!F208+'HPM costs'!F211+'HPM costs'!F554+'HPM costs'!F557)))</f>
        <v>0</v>
      </c>
      <c r="Q505" s="525" t="s">
        <v>1237</v>
      </c>
      <c r="R505" s="525">
        <f>'HIV-Key Info'!$G$79*(('HIV-Key Info'!$E$79*('HPM costs'!G205+'HPM costs'!G551))+('HIV-Key Info'!$F$79*('HPM costs'!G208+'HPM costs'!G211+'HPM costs'!G554+'HPM costs'!G557)))</f>
        <v>0</v>
      </c>
      <c r="S505" s="525" t="s">
        <v>1237</v>
      </c>
      <c r="T505" s="525">
        <f>'HIV-Key Info'!$G$79*(('HIV-Key Info'!$E$79*('HPM costs'!H205+'HPM costs'!H551))+('HIV-Key Info'!$F$79*('HPM costs'!H208+'HPM costs'!H211+'HPM costs'!H554+'HPM costs'!H557)))</f>
        <v>0</v>
      </c>
      <c r="U505" s="525" t="s">
        <v>1237</v>
      </c>
      <c r="V505" s="525">
        <f>'HIV-Key Info'!$G$79*(('HIV-Key Info'!$E$79*('HPM costs'!I205+'HPM costs'!I551))+('HIV-Key Info'!$F$79*('HPM costs'!I208+'HPM costs'!I211+'HPM costs'!I554+'HPM costs'!I557)))</f>
        <v>0</v>
      </c>
      <c r="W505" s="525"/>
      <c r="X505" s="1154">
        <f t="shared" si="48"/>
        <v>0</v>
      </c>
      <c r="Y505" s="1155"/>
      <c r="Z505" s="1156"/>
      <c r="AA505" s="529"/>
      <c r="AB505" s="525"/>
      <c r="AC505" s="525">
        <f>'HIV-Key Info'!$G$79*(('HIV-Key Info'!$E$79*('HPM costs'!K205+'HPM costs'!K551))+('HIV-Key Info'!$F$79*('HPM costs'!K208+'HPM costs'!K211+'HPM costs'!K554+'HPM costs'!K557)))</f>
        <v>0</v>
      </c>
      <c r="AD505" s="525"/>
      <c r="AE505" s="525">
        <f>'HIV-Key Info'!$G$79*(('HIV-Key Info'!$E$79*('HPM costs'!L205+'HPM costs'!L551))+('HIV-Key Info'!$F$79*('HPM costs'!L208+'HPM costs'!L211+'HPM costs'!L554+'HPM costs'!L557)))</f>
        <v>0</v>
      </c>
      <c r="AF505" s="525"/>
      <c r="AG505" s="525">
        <f>'HIV-Key Info'!$G$79*(('HIV-Key Info'!$E$79*('HPM costs'!M205+'HPM costs'!M551))+('HIV-Key Info'!$F$79*('HPM costs'!M208+'HPM costs'!M211+'HPM costs'!M554+'HPM costs'!M557)))</f>
        <v>0</v>
      </c>
      <c r="AH505" s="525"/>
      <c r="AI505" s="525">
        <f>'HIV-Key Info'!$G$79*(('HIV-Key Info'!$E$79*('HPM costs'!N205+'HPM costs'!N551))+('HIV-Key Info'!$F$79*('HPM costs'!N208+'HPM costs'!N211+'HPM costs'!N554+'HPM costs'!N557)))</f>
        <v>0</v>
      </c>
      <c r="AJ505" s="525"/>
      <c r="AK505" s="1154">
        <f t="shared" si="49"/>
        <v>0</v>
      </c>
      <c r="AL505" s="1155"/>
      <c r="AM505" s="1156"/>
      <c r="AN505" s="529"/>
      <c r="AO505" s="525"/>
      <c r="AP505" s="525">
        <f>'HIV-Key Info'!$G$79*(('HIV-Key Info'!$E$79*('HPM costs'!P205+'HPM costs'!P551))+('HIV-Key Info'!$F$79*('HPM costs'!P208+'HPM costs'!P211+'HPM costs'!P554+'HPM costs'!P557)))</f>
        <v>0</v>
      </c>
      <c r="AQ505" s="525"/>
      <c r="AR505" s="525">
        <f>'HIV-Key Info'!$G$79*(('HIV-Key Info'!$E$79*('HPM costs'!Q205+'HPM costs'!Q551))+('HIV-Key Info'!$F$79*('HPM costs'!Q208+'HPM costs'!Q211+'HPM costs'!Q554+'HPM costs'!Q557)))</f>
        <v>0</v>
      </c>
      <c r="AS505" s="525"/>
      <c r="AT505" s="525">
        <f>'HIV-Key Info'!$G$79*(('HIV-Key Info'!$E$79*('HPM costs'!R205+'HPM costs'!R551))+('HIV-Key Info'!$F$79*('HPM costs'!R208+'HPM costs'!R211+'HPM costs'!R554+'HPM costs'!R557)))</f>
        <v>0</v>
      </c>
      <c r="AU505" s="525"/>
      <c r="AV505" s="525">
        <f>'HIV-Key Info'!$G$79*(('HIV-Key Info'!$E$79*('HPM costs'!S205+'HPM costs'!S551))+('HIV-Key Info'!$F$79*('HPM costs'!S208+'HPM costs'!S211+'HPM costs'!S554+'HPM costs'!S557)))</f>
        <v>0</v>
      </c>
      <c r="AW505" s="525"/>
      <c r="AX505" s="1154">
        <f t="shared" si="50"/>
        <v>0</v>
      </c>
      <c r="AY505" s="1154"/>
      <c r="AZ505" s="528"/>
      <c r="BA505" s="529"/>
      <c r="BB505" s="527"/>
      <c r="BC505" s="527">
        <v>0</v>
      </c>
      <c r="BD505" s="527">
        <v>0</v>
      </c>
      <c r="BE505" s="527">
        <v>0</v>
      </c>
      <c r="BF505" s="527">
        <v>0</v>
      </c>
      <c r="BG505" s="527">
        <v>0</v>
      </c>
      <c r="BH505" s="527">
        <v>0</v>
      </c>
      <c r="BI505" s="527">
        <v>0</v>
      </c>
      <c r="BJ505" s="527">
        <v>0</v>
      </c>
      <c r="BK505" s="1154">
        <f t="shared" si="51"/>
        <v>0</v>
      </c>
      <c r="BL505" s="1154"/>
      <c r="BM505" s="1154">
        <f t="shared" si="52"/>
        <v>0</v>
      </c>
      <c r="BN505" s="1154">
        <f t="shared" si="53"/>
        <v>0</v>
      </c>
      <c r="BO505" s="527"/>
      <c r="BP505" s="527"/>
      <c r="BQ505" s="1157" t="s">
        <v>2557</v>
      </c>
      <c r="BR505" s="1157" t="s">
        <v>690</v>
      </c>
      <c r="BS505" s="1157" t="s">
        <v>527</v>
      </c>
      <c r="BT505" s="1376" t="s">
        <v>1809</v>
      </c>
    </row>
    <row r="506" spans="1:72" s="1371" customFormat="1" ht="13">
      <c r="A506" s="1204">
        <v>1062</v>
      </c>
      <c r="B506" s="1205" t="s">
        <v>672</v>
      </c>
      <c r="C506" s="1205" t="s">
        <v>673</v>
      </c>
      <c r="D506" s="1206" t="s">
        <v>2524</v>
      </c>
      <c r="E506" s="1386" t="s">
        <v>538</v>
      </c>
      <c r="F506" s="521"/>
      <c r="G506" s="522"/>
      <c r="H506" s="522"/>
      <c r="I506" s="522"/>
      <c r="J506" s="523"/>
      <c r="K506" s="523"/>
      <c r="L506" s="523"/>
      <c r="M506" s="524"/>
      <c r="N506" s="525"/>
      <c r="O506" s="526" t="s">
        <v>1237</v>
      </c>
      <c r="P506" s="525">
        <f>'HIV-Key Info'!$G$79*(('HIV-Key Info'!$E$79*'HPM costs'!F291)+('HIV-Key Info'!$F$79*('HPM costs'!F294+'HPM costs'!F297)))</f>
        <v>0</v>
      </c>
      <c r="Q506" s="525" t="s">
        <v>1237</v>
      </c>
      <c r="R506" s="525">
        <f>'HIV-Key Info'!$G$79*(('HIV-Key Info'!$E$79*'HPM costs'!G291)+('HIV-Key Info'!$F$79*('HPM costs'!G294+'HPM costs'!G297)))</f>
        <v>0</v>
      </c>
      <c r="S506" s="525" t="s">
        <v>1237</v>
      </c>
      <c r="T506" s="525">
        <f>'HIV-Key Info'!$G$79*(('HIV-Key Info'!$E$79*'HPM costs'!H291)+('HIV-Key Info'!$F$79*('HPM costs'!H294+'HPM costs'!H297)))</f>
        <v>0</v>
      </c>
      <c r="U506" s="525" t="s">
        <v>1237</v>
      </c>
      <c r="V506" s="525">
        <f>'HIV-Key Info'!$G$79*(('HIV-Key Info'!$E$79*'HPM costs'!I291)+('HIV-Key Info'!$F$79*('HPM costs'!I294+'HPM costs'!I297)))</f>
        <v>0</v>
      </c>
      <c r="W506" s="525"/>
      <c r="X506" s="1154">
        <f t="shared" si="48"/>
        <v>0</v>
      </c>
      <c r="Y506" s="1155"/>
      <c r="Z506" s="1156"/>
      <c r="AA506" s="529"/>
      <c r="AB506" s="525"/>
      <c r="AC506" s="525">
        <f>'HIV-Key Info'!$G$79*(('HIV-Key Info'!$E$79*'HPM costs'!K291)+('HIV-Key Info'!$F$79*('HPM costs'!K294+'HPM costs'!K297)))</f>
        <v>0</v>
      </c>
      <c r="AD506" s="525"/>
      <c r="AE506" s="525">
        <f>'HIV-Key Info'!$G$79*(('HIV-Key Info'!$E$79*'HPM costs'!L291)+('HIV-Key Info'!$F$79*('HPM costs'!L294+'HPM costs'!L297)))</f>
        <v>0</v>
      </c>
      <c r="AF506" s="525"/>
      <c r="AG506" s="525">
        <f>'HIV-Key Info'!$G$79*(('HIV-Key Info'!$E$79*'HPM costs'!M291)+('HIV-Key Info'!$F$79*('HPM costs'!M294+'HPM costs'!M297)))</f>
        <v>0</v>
      </c>
      <c r="AH506" s="525"/>
      <c r="AI506" s="525">
        <f>'HIV-Key Info'!$G$79*(('HIV-Key Info'!$E$79*'HPM costs'!N291)+('HIV-Key Info'!$F$79*('HPM costs'!N294+'HPM costs'!N297)))</f>
        <v>0</v>
      </c>
      <c r="AJ506" s="525"/>
      <c r="AK506" s="1154">
        <f t="shared" si="49"/>
        <v>0</v>
      </c>
      <c r="AL506" s="1155"/>
      <c r="AM506" s="1156"/>
      <c r="AN506" s="529"/>
      <c r="AO506" s="525"/>
      <c r="AP506" s="525">
        <f>'HIV-Key Info'!$G$79*(('HIV-Key Info'!$E$79*'HPM costs'!P291)+('HIV-Key Info'!$F$79*('HPM costs'!P294+'HPM costs'!P297)))</f>
        <v>0</v>
      </c>
      <c r="AQ506" s="525"/>
      <c r="AR506" s="525">
        <f>'HIV-Key Info'!$G$79*(('HIV-Key Info'!$E$79*'HPM costs'!Q291)+('HIV-Key Info'!$F$79*('HPM costs'!Q294+'HPM costs'!Q297)))</f>
        <v>0</v>
      </c>
      <c r="AS506" s="525"/>
      <c r="AT506" s="525">
        <f>'HIV-Key Info'!$G$79*(('HIV-Key Info'!$E$79*'HPM costs'!R291)+('HIV-Key Info'!$F$79*('HPM costs'!R294+'HPM costs'!R297)))</f>
        <v>0</v>
      </c>
      <c r="AU506" s="525"/>
      <c r="AV506" s="525">
        <f>'HIV-Key Info'!$G$79*(('HIV-Key Info'!$E$79*'HPM costs'!S291)+('HIV-Key Info'!$F$79*('HPM costs'!S294+'HPM costs'!S297)))</f>
        <v>0</v>
      </c>
      <c r="AW506" s="525"/>
      <c r="AX506" s="1154">
        <f t="shared" si="50"/>
        <v>0</v>
      </c>
      <c r="AY506" s="1154"/>
      <c r="AZ506" s="528"/>
      <c r="BA506" s="529"/>
      <c r="BB506" s="527"/>
      <c r="BC506" s="527">
        <v>0</v>
      </c>
      <c r="BD506" s="527">
        <v>0</v>
      </c>
      <c r="BE506" s="527">
        <v>0</v>
      </c>
      <c r="BF506" s="527">
        <v>0</v>
      </c>
      <c r="BG506" s="527">
        <v>0</v>
      </c>
      <c r="BH506" s="527">
        <v>0</v>
      </c>
      <c r="BI506" s="527">
        <v>0</v>
      </c>
      <c r="BJ506" s="527">
        <v>0</v>
      </c>
      <c r="BK506" s="1154">
        <f t="shared" si="51"/>
        <v>0</v>
      </c>
      <c r="BL506" s="1154"/>
      <c r="BM506" s="1154">
        <f t="shared" si="52"/>
        <v>0</v>
      </c>
      <c r="BN506" s="1154">
        <f t="shared" si="53"/>
        <v>0</v>
      </c>
      <c r="BO506" s="527"/>
      <c r="BP506" s="527"/>
      <c r="BQ506" s="1157" t="s">
        <v>2557</v>
      </c>
      <c r="BR506" s="1157" t="s">
        <v>690</v>
      </c>
      <c r="BS506" s="1157" t="s">
        <v>527</v>
      </c>
      <c r="BT506" s="1376" t="s">
        <v>1810</v>
      </c>
    </row>
    <row r="507" spans="1:72" s="1371" customFormat="1" ht="13">
      <c r="A507" s="1204">
        <v>1063</v>
      </c>
      <c r="B507" s="1205" t="s">
        <v>672</v>
      </c>
      <c r="C507" s="1205" t="s">
        <v>673</v>
      </c>
      <c r="D507" s="1206" t="s">
        <v>2524</v>
      </c>
      <c r="E507" s="1386" t="s">
        <v>540</v>
      </c>
      <c r="F507" s="521"/>
      <c r="G507" s="522"/>
      <c r="H507" s="522"/>
      <c r="I507" s="522"/>
      <c r="J507" s="523"/>
      <c r="K507" s="523"/>
      <c r="L507" s="523"/>
      <c r="M507" s="524"/>
      <c r="N507" s="525"/>
      <c r="O507" s="526" t="s">
        <v>1237</v>
      </c>
      <c r="P507" s="525">
        <f>'HIV-Key Info'!$G$79*(('HIV-Key Info'!$E$79*'HPM costs'!F636)+('HIV-Key Info'!$F$79*('HPM costs'!F639+'HPM costs'!F642)))</f>
        <v>0</v>
      </c>
      <c r="Q507" s="525" t="s">
        <v>1237</v>
      </c>
      <c r="R507" s="525">
        <f>'HIV-Key Info'!$G$79*(('HIV-Key Info'!$E$79*'HPM costs'!G636)+('HIV-Key Info'!$F$79*('HPM costs'!G639+'HPM costs'!G642)))</f>
        <v>0</v>
      </c>
      <c r="S507" s="525" t="s">
        <v>1237</v>
      </c>
      <c r="T507" s="525">
        <f>'HIV-Key Info'!$G$79*(('HIV-Key Info'!$E$79*'HPM costs'!H636)+('HIV-Key Info'!$F$79*('HPM costs'!H639+'HPM costs'!H642)))</f>
        <v>0</v>
      </c>
      <c r="U507" s="525" t="s">
        <v>1237</v>
      </c>
      <c r="V507" s="525">
        <f>'HIV-Key Info'!$G$79*(('HIV-Key Info'!$E$79*'HPM costs'!I636)+('HIV-Key Info'!$F$79*('HPM costs'!I639+'HPM costs'!I642)))</f>
        <v>0</v>
      </c>
      <c r="W507" s="525"/>
      <c r="X507" s="1154">
        <f t="shared" si="48"/>
        <v>0</v>
      </c>
      <c r="Y507" s="1155"/>
      <c r="Z507" s="1156"/>
      <c r="AA507" s="529"/>
      <c r="AB507" s="525"/>
      <c r="AC507" s="525">
        <f>'HIV-Key Info'!$G$79*(('HIV-Key Info'!$E$79*'HPM costs'!K636)+('HIV-Key Info'!$F$79*('HPM costs'!K639+'HPM costs'!K642)))</f>
        <v>0</v>
      </c>
      <c r="AD507" s="525"/>
      <c r="AE507" s="525">
        <f>'HIV-Key Info'!$G$79*(('HIV-Key Info'!$E$79*'HPM costs'!L636)+('HIV-Key Info'!$F$79*('HPM costs'!L639+'HPM costs'!L642)))</f>
        <v>0</v>
      </c>
      <c r="AF507" s="525"/>
      <c r="AG507" s="525">
        <f>'HIV-Key Info'!$G$79*(('HIV-Key Info'!$E$79*'HPM costs'!M636)+('HIV-Key Info'!$F$79*('HPM costs'!M639+'HPM costs'!M642)))</f>
        <v>0</v>
      </c>
      <c r="AH507" s="525"/>
      <c r="AI507" s="525">
        <f>'HIV-Key Info'!$G$79*(('HIV-Key Info'!$E$79*'HPM costs'!N636)+('HIV-Key Info'!$F$79*('HPM costs'!N639+'HPM costs'!N642)))</f>
        <v>0</v>
      </c>
      <c r="AJ507" s="525"/>
      <c r="AK507" s="1154">
        <f t="shared" si="49"/>
        <v>0</v>
      </c>
      <c r="AL507" s="1155"/>
      <c r="AM507" s="1156"/>
      <c r="AN507" s="529"/>
      <c r="AO507" s="525"/>
      <c r="AP507" s="525">
        <f>'HIV-Key Info'!$G$79*(('HIV-Key Info'!$E$79*'HPM costs'!P636)+('HIV-Key Info'!$F$79*('HPM costs'!P639+'HPM costs'!P642)))</f>
        <v>0</v>
      </c>
      <c r="AQ507" s="525"/>
      <c r="AR507" s="525">
        <f>'HIV-Key Info'!$G$79*(('HIV-Key Info'!$E$79*'HPM costs'!Q636)+('HIV-Key Info'!$F$79*('HPM costs'!Q639+'HPM costs'!Q642)))</f>
        <v>0</v>
      </c>
      <c r="AS507" s="525"/>
      <c r="AT507" s="525">
        <f>'HIV-Key Info'!$G$79*(('HIV-Key Info'!$E$79*'HPM costs'!R636)+('HIV-Key Info'!$F$79*('HPM costs'!R639+'HPM costs'!R642)))</f>
        <v>0</v>
      </c>
      <c r="AU507" s="525"/>
      <c r="AV507" s="525">
        <f>'HIV-Key Info'!$G$79*(('HIV-Key Info'!$E$79*'HPM costs'!S636)+('HIV-Key Info'!$F$79*('HPM costs'!S639+'HPM costs'!S642)))</f>
        <v>0</v>
      </c>
      <c r="AW507" s="525"/>
      <c r="AX507" s="1154">
        <f t="shared" si="50"/>
        <v>0</v>
      </c>
      <c r="AY507" s="1154"/>
      <c r="AZ507" s="528"/>
      <c r="BA507" s="529"/>
      <c r="BB507" s="527"/>
      <c r="BC507" s="527">
        <v>0</v>
      </c>
      <c r="BD507" s="527">
        <v>0</v>
      </c>
      <c r="BE507" s="527">
        <v>0</v>
      </c>
      <c r="BF507" s="527">
        <v>0</v>
      </c>
      <c r="BG507" s="527">
        <v>0</v>
      </c>
      <c r="BH507" s="527">
        <v>0</v>
      </c>
      <c r="BI507" s="527">
        <v>0</v>
      </c>
      <c r="BJ507" s="527">
        <v>0</v>
      </c>
      <c r="BK507" s="1154">
        <f t="shared" si="51"/>
        <v>0</v>
      </c>
      <c r="BL507" s="1154"/>
      <c r="BM507" s="1154">
        <f t="shared" si="52"/>
        <v>0</v>
      </c>
      <c r="BN507" s="1154">
        <f t="shared" si="53"/>
        <v>0</v>
      </c>
      <c r="BO507" s="527"/>
      <c r="BP507" s="527"/>
      <c r="BQ507" s="1157" t="s">
        <v>2557</v>
      </c>
      <c r="BR507" s="1157" t="s">
        <v>690</v>
      </c>
      <c r="BS507" s="1157" t="s">
        <v>527</v>
      </c>
      <c r="BT507" s="1376" t="s">
        <v>1811</v>
      </c>
    </row>
    <row r="508" spans="1:72" s="1371" customFormat="1" ht="13">
      <c r="A508" s="1204">
        <v>1064</v>
      </c>
      <c r="B508" s="1205" t="s">
        <v>672</v>
      </c>
      <c r="C508" s="1205" t="s">
        <v>674</v>
      </c>
      <c r="D508" s="1206" t="s">
        <v>2580</v>
      </c>
      <c r="E508" s="1386" t="s">
        <v>603</v>
      </c>
      <c r="F508" s="521"/>
      <c r="G508" s="522"/>
      <c r="H508" s="522"/>
      <c r="I508" s="522"/>
      <c r="J508" s="523"/>
      <c r="K508" s="523"/>
      <c r="L508" s="523"/>
      <c r="M508" s="524"/>
      <c r="N508" s="525"/>
      <c r="O508" s="526" t="s">
        <v>1237</v>
      </c>
      <c r="P508" s="525">
        <f>'HIV-Key Info'!$H$79*('HIV-Key Info'!$E$79*('HPM costs'!F119/'HPM costs'!$E$119)+'HIV-Key Info'!$F$79*('HPM costs'!F125/'HPM costs'!$E$125+'HPM costs'!F122/'HPM costs'!$E$122))</f>
        <v>0</v>
      </c>
      <c r="Q508" s="525" t="s">
        <v>1237</v>
      </c>
      <c r="R508" s="525">
        <f>'HIV-Key Info'!$H$79*('HIV-Key Info'!$E$79*('HPM costs'!G119/'HPM costs'!$E$119)+'HIV-Key Info'!$F$79*('HPM costs'!G125/'HPM costs'!$E$125+'HPM costs'!G122/'HPM costs'!$E$122))</f>
        <v>0</v>
      </c>
      <c r="S508" s="525" t="s">
        <v>1237</v>
      </c>
      <c r="T508" s="525">
        <f>'HIV-Key Info'!$H$79*('HIV-Key Info'!$E$79*('HPM costs'!H119/'HPM costs'!$E$119)+'HIV-Key Info'!$F$79*('HPM costs'!H125/'HPM costs'!$E$125+'HPM costs'!H122/'HPM costs'!$E$122))</f>
        <v>0</v>
      </c>
      <c r="U508" s="525" t="s">
        <v>1237</v>
      </c>
      <c r="V508" s="525">
        <f>'HIV-Key Info'!$H$79*('HIV-Key Info'!$E$79*('HPM costs'!I119/'HPM costs'!$E$119)+'HIV-Key Info'!$F$79*('HPM costs'!I125/'HPM costs'!$E$125+'HPM costs'!I122/'HPM costs'!$E$122))</f>
        <v>0</v>
      </c>
      <c r="W508" s="525"/>
      <c r="X508" s="1154">
        <f t="shared" si="48"/>
        <v>0</v>
      </c>
      <c r="Y508" s="1155"/>
      <c r="Z508" s="1156"/>
      <c r="AA508" s="529"/>
      <c r="AB508" s="525"/>
      <c r="AC508" s="525">
        <f>'HIV-Key Info'!$H$79*('HIV-Key Info'!$E$79*('HPM costs'!K119/'HPM costs'!$E$119)+'HIV-Key Info'!$F$79*('HPM costs'!K125/'HPM costs'!$E$125+'HPM costs'!K122/'HPM costs'!$E$122))</f>
        <v>0</v>
      </c>
      <c r="AD508" s="525"/>
      <c r="AE508" s="525">
        <f>'HIV-Key Info'!$H$79*('HIV-Key Info'!$E$79*('HPM costs'!L119/'HPM costs'!$E$119)+'HIV-Key Info'!$F$79*('HPM costs'!L125/'HPM costs'!$E$125+'HPM costs'!L122/'HPM costs'!$E$122))</f>
        <v>0</v>
      </c>
      <c r="AF508" s="525"/>
      <c r="AG508" s="525">
        <f>'HIV-Key Info'!$H$79*('HIV-Key Info'!$E$79*('HPM costs'!M119/'HPM costs'!$E$119)+'HIV-Key Info'!$F$79*('HPM costs'!M125/'HPM costs'!$E$125+'HPM costs'!M122/'HPM costs'!$E$122))</f>
        <v>0</v>
      </c>
      <c r="AH508" s="525"/>
      <c r="AI508" s="525">
        <f>'HIV-Key Info'!$H$79*('HIV-Key Info'!$E$79*('HPM costs'!N119/'HPM costs'!$E$119)+'HIV-Key Info'!$F$79*('HPM costs'!N125/'HPM costs'!$E$125+'HPM costs'!N122/'HPM costs'!$E$122))</f>
        <v>0</v>
      </c>
      <c r="AJ508" s="525"/>
      <c r="AK508" s="1154">
        <f t="shared" si="49"/>
        <v>0</v>
      </c>
      <c r="AL508" s="1155"/>
      <c r="AM508" s="1156"/>
      <c r="AN508" s="529"/>
      <c r="AO508" s="525"/>
      <c r="AP508" s="525">
        <f>'HIV-Key Info'!$H$79*('HIV-Key Info'!$E$79*('HPM costs'!P119/'HPM costs'!$E$119)+'HIV-Key Info'!$F$79*('HPM costs'!P125/'HPM costs'!$E$125+'HPM costs'!P122/'HPM costs'!$E$122))</f>
        <v>0</v>
      </c>
      <c r="AQ508" s="525"/>
      <c r="AR508" s="525">
        <f>'HIV-Key Info'!$H$79*('HIV-Key Info'!$E$79*('HPM costs'!Q119/'HPM costs'!$E$119)+'HIV-Key Info'!$F$79*('HPM costs'!Q125/'HPM costs'!$E$125+'HPM costs'!Q122/'HPM costs'!$E$122))</f>
        <v>0</v>
      </c>
      <c r="AS508" s="525"/>
      <c r="AT508" s="525">
        <f>'HIV-Key Info'!$H$79*('HIV-Key Info'!$E$79*('HPM costs'!R119/'HPM costs'!$E$119)+'HIV-Key Info'!$F$79*('HPM costs'!R125/'HPM costs'!$E$125+'HPM costs'!R122/'HPM costs'!$E$122))</f>
        <v>0</v>
      </c>
      <c r="AU508" s="525"/>
      <c r="AV508" s="525">
        <f>'HIV-Key Info'!$H$79*('HIV-Key Info'!$E$79*('HPM costs'!S119/'HPM costs'!$E$119)+'HIV-Key Info'!$F$79*('HPM costs'!S125/'HPM costs'!$E$125+'HPM costs'!S122/'HPM costs'!$E$122))</f>
        <v>0</v>
      </c>
      <c r="AW508" s="525"/>
      <c r="AX508" s="1154">
        <f t="shared" si="50"/>
        <v>0</v>
      </c>
      <c r="AY508" s="1154"/>
      <c r="AZ508" s="528"/>
      <c r="BA508" s="529"/>
      <c r="BB508" s="527"/>
      <c r="BC508" s="527">
        <v>0</v>
      </c>
      <c r="BD508" s="527">
        <v>0</v>
      </c>
      <c r="BE508" s="527">
        <v>0</v>
      </c>
      <c r="BF508" s="527">
        <v>0</v>
      </c>
      <c r="BG508" s="527">
        <v>0</v>
      </c>
      <c r="BH508" s="527">
        <v>0</v>
      </c>
      <c r="BI508" s="527">
        <v>0</v>
      </c>
      <c r="BJ508" s="527">
        <v>0</v>
      </c>
      <c r="BK508" s="1154">
        <f t="shared" si="51"/>
        <v>0</v>
      </c>
      <c r="BL508" s="1154"/>
      <c r="BM508" s="1154">
        <f t="shared" si="52"/>
        <v>0</v>
      </c>
      <c r="BN508" s="1154">
        <f t="shared" si="53"/>
        <v>0</v>
      </c>
      <c r="BO508" s="527"/>
      <c r="BP508" s="527"/>
      <c r="BQ508" s="1157" t="s">
        <v>2557</v>
      </c>
      <c r="BR508" s="1157" t="s">
        <v>690</v>
      </c>
      <c r="BS508" s="1157" t="s">
        <v>2570</v>
      </c>
      <c r="BT508" s="1376" t="s">
        <v>1812</v>
      </c>
    </row>
    <row r="509" spans="1:72" s="1371" customFormat="1" ht="13">
      <c r="A509" s="1204">
        <v>1065</v>
      </c>
      <c r="B509" s="1205" t="s">
        <v>672</v>
      </c>
      <c r="C509" s="1205" t="s">
        <v>674</v>
      </c>
      <c r="D509" s="1206" t="s">
        <v>2524</v>
      </c>
      <c r="E509" s="1386" t="s">
        <v>528</v>
      </c>
      <c r="F509" s="521"/>
      <c r="G509" s="522"/>
      <c r="H509" s="522"/>
      <c r="I509" s="522"/>
      <c r="J509" s="523"/>
      <c r="K509" s="523"/>
      <c r="L509" s="523"/>
      <c r="M509" s="524"/>
      <c r="N509" s="525"/>
      <c r="O509" s="526" t="s">
        <v>1237</v>
      </c>
      <c r="P509" s="525">
        <f>'HIV-Key Info'!$H$79*(('HIV-Key Info'!$E$79*'HPM costs'!F33)+('HIV-Key Info'!$F$79*('HPM costs'!F36+'HPM costs'!F39)))</f>
        <v>0</v>
      </c>
      <c r="Q509" s="525" t="s">
        <v>1237</v>
      </c>
      <c r="R509" s="525">
        <f>'HIV-Key Info'!$H$79*(('HIV-Key Info'!$E$79*'HPM costs'!G33)+('HIV-Key Info'!$F$79*('HPM costs'!G36+'HPM costs'!G39)))</f>
        <v>0</v>
      </c>
      <c r="S509" s="525" t="s">
        <v>1237</v>
      </c>
      <c r="T509" s="525">
        <f>'HIV-Key Info'!$H$79*(('HIV-Key Info'!$E$79*'HPM costs'!H33)+('HIV-Key Info'!$F$79*('HPM costs'!H36+'HPM costs'!H39)))</f>
        <v>0</v>
      </c>
      <c r="U509" s="525" t="s">
        <v>1237</v>
      </c>
      <c r="V509" s="525">
        <f>'HIV-Key Info'!$H$79*(('HIV-Key Info'!$E$79*'HPM costs'!I33)+('HIV-Key Info'!$F$79*('HPM costs'!I36+'HPM costs'!I39)))</f>
        <v>0</v>
      </c>
      <c r="W509" s="525"/>
      <c r="X509" s="1154">
        <f t="shared" si="48"/>
        <v>0</v>
      </c>
      <c r="Y509" s="1155"/>
      <c r="Z509" s="1156"/>
      <c r="AA509" s="529"/>
      <c r="AB509" s="525"/>
      <c r="AC509" s="525">
        <f>'HIV-Key Info'!$H$79*(('HIV-Key Info'!$E$79*'HPM costs'!K33)+('HIV-Key Info'!$F$79*('HPM costs'!K36+'HPM costs'!K39)))</f>
        <v>0</v>
      </c>
      <c r="AD509" s="525"/>
      <c r="AE509" s="525">
        <f>'HIV-Key Info'!$H$79*(('HIV-Key Info'!$E$79*'HPM costs'!L33)+('HIV-Key Info'!$F$79*('HPM costs'!L36+'HPM costs'!L39)))</f>
        <v>0</v>
      </c>
      <c r="AF509" s="525"/>
      <c r="AG509" s="525">
        <f>'HIV-Key Info'!$H$79*(('HIV-Key Info'!$E$79*'HPM costs'!M33)+('HIV-Key Info'!$F$79*('HPM costs'!M36+'HPM costs'!M39)))</f>
        <v>0</v>
      </c>
      <c r="AH509" s="525"/>
      <c r="AI509" s="525">
        <f>'HIV-Key Info'!$H$79*(('HIV-Key Info'!$E$79*'HPM costs'!N33)+('HIV-Key Info'!$F$79*('HPM costs'!N36+'HPM costs'!N39)))</f>
        <v>0</v>
      </c>
      <c r="AJ509" s="525"/>
      <c r="AK509" s="1154">
        <f t="shared" si="49"/>
        <v>0</v>
      </c>
      <c r="AL509" s="1155"/>
      <c r="AM509" s="1156"/>
      <c r="AN509" s="529"/>
      <c r="AO509" s="525"/>
      <c r="AP509" s="525">
        <f>'HIV-Key Info'!$H$79*(('HIV-Key Info'!$E$79*'HPM costs'!P33)+('HIV-Key Info'!$F$79*('HPM costs'!P36+'HPM costs'!P39)))</f>
        <v>0</v>
      </c>
      <c r="AQ509" s="525"/>
      <c r="AR509" s="525">
        <f>'HIV-Key Info'!$H$79*(('HIV-Key Info'!$E$79*'HPM costs'!Q33)+('HIV-Key Info'!$F$79*('HPM costs'!Q36+'HPM costs'!Q39)))</f>
        <v>0</v>
      </c>
      <c r="AS509" s="525"/>
      <c r="AT509" s="525">
        <f>'HIV-Key Info'!$H$79*(('HIV-Key Info'!$E$79*'HPM costs'!R33)+('HIV-Key Info'!$F$79*('HPM costs'!R36+'HPM costs'!R39)))</f>
        <v>0</v>
      </c>
      <c r="AU509" s="525"/>
      <c r="AV509" s="525">
        <f>'HIV-Key Info'!$H$79*(('HIV-Key Info'!$E$79*'HPM costs'!S33)+('HIV-Key Info'!$F$79*('HPM costs'!S36+'HPM costs'!S39)))</f>
        <v>0</v>
      </c>
      <c r="AW509" s="525"/>
      <c r="AX509" s="1154">
        <f t="shared" si="50"/>
        <v>0</v>
      </c>
      <c r="AY509" s="1154"/>
      <c r="AZ509" s="528"/>
      <c r="BA509" s="529"/>
      <c r="BB509" s="527"/>
      <c r="BC509" s="527">
        <v>0</v>
      </c>
      <c r="BD509" s="527">
        <v>0</v>
      </c>
      <c r="BE509" s="527">
        <v>0</v>
      </c>
      <c r="BF509" s="527">
        <v>0</v>
      </c>
      <c r="BG509" s="527">
        <v>0</v>
      </c>
      <c r="BH509" s="527">
        <v>0</v>
      </c>
      <c r="BI509" s="527">
        <v>0</v>
      </c>
      <c r="BJ509" s="527">
        <v>0</v>
      </c>
      <c r="BK509" s="1154">
        <f t="shared" si="51"/>
        <v>0</v>
      </c>
      <c r="BL509" s="1154"/>
      <c r="BM509" s="1154">
        <f t="shared" si="52"/>
        <v>0</v>
      </c>
      <c r="BN509" s="1154">
        <f t="shared" si="53"/>
        <v>0</v>
      </c>
      <c r="BO509" s="527"/>
      <c r="BP509" s="527"/>
      <c r="BQ509" s="1157" t="s">
        <v>2557</v>
      </c>
      <c r="BR509" s="1157" t="s">
        <v>690</v>
      </c>
      <c r="BS509" s="1157" t="s">
        <v>527</v>
      </c>
      <c r="BT509" s="1376" t="s">
        <v>1813</v>
      </c>
    </row>
    <row r="510" spans="1:72" s="1371" customFormat="1" ht="13">
      <c r="A510" s="1204">
        <v>1066</v>
      </c>
      <c r="B510" s="1205" t="s">
        <v>672</v>
      </c>
      <c r="C510" s="1205" t="s">
        <v>674</v>
      </c>
      <c r="D510" s="1206" t="s">
        <v>2524</v>
      </c>
      <c r="E510" s="1386" t="s">
        <v>530</v>
      </c>
      <c r="F510" s="521"/>
      <c r="G510" s="522"/>
      <c r="H510" s="522"/>
      <c r="I510" s="522"/>
      <c r="J510" s="523"/>
      <c r="K510" s="523"/>
      <c r="L510" s="523"/>
      <c r="M510" s="524"/>
      <c r="N510" s="525"/>
      <c r="O510" s="526" t="s">
        <v>1237</v>
      </c>
      <c r="P510" s="525">
        <f>'HIV-Key Info'!$H$79*(('HIV-Key Info'!$E$79*'HPM costs'!F119)+('HIV-Key Info'!$F$79*('HPM costs'!F122+'HPM costs'!F125)))</f>
        <v>0</v>
      </c>
      <c r="Q510" s="525" t="s">
        <v>1237</v>
      </c>
      <c r="R510" s="525">
        <f>'HIV-Key Info'!$H$79*(('HIV-Key Info'!$E$79*'HPM costs'!G119)+('HIV-Key Info'!$F$79*('HPM costs'!G122+'HPM costs'!G125)))</f>
        <v>0</v>
      </c>
      <c r="S510" s="525" t="s">
        <v>1237</v>
      </c>
      <c r="T510" s="525">
        <f>'HIV-Key Info'!$H$79*(('HIV-Key Info'!$E$79*'HPM costs'!H119)+('HIV-Key Info'!$F$79*('HPM costs'!H122+'HPM costs'!H125)))</f>
        <v>0</v>
      </c>
      <c r="U510" s="525" t="s">
        <v>1237</v>
      </c>
      <c r="V510" s="525">
        <f>'HIV-Key Info'!$H$79*(('HIV-Key Info'!$E$79*'HPM costs'!I119)+('HIV-Key Info'!$F$79*('HPM costs'!I122+'HPM costs'!I125)))</f>
        <v>0</v>
      </c>
      <c r="W510" s="525"/>
      <c r="X510" s="1154">
        <f t="shared" si="48"/>
        <v>0</v>
      </c>
      <c r="Y510" s="1155"/>
      <c r="Z510" s="1156"/>
      <c r="AA510" s="529"/>
      <c r="AB510" s="525"/>
      <c r="AC510" s="525">
        <f>'HIV-Key Info'!$H$79*(('HIV-Key Info'!$E$79*'HPM costs'!K119)+('HIV-Key Info'!$F$79*('HPM costs'!K122+'HPM costs'!K125)))</f>
        <v>0</v>
      </c>
      <c r="AD510" s="525"/>
      <c r="AE510" s="525">
        <f>'HIV-Key Info'!$H$79*(('HIV-Key Info'!$E$79*'HPM costs'!L119)+('HIV-Key Info'!$F$79*('HPM costs'!L122+'HPM costs'!L125)))</f>
        <v>0</v>
      </c>
      <c r="AF510" s="525"/>
      <c r="AG510" s="525">
        <f>'HIV-Key Info'!$H$79*(('HIV-Key Info'!$E$79*'HPM costs'!M119)+('HIV-Key Info'!$F$79*('HPM costs'!M122+'HPM costs'!M125)))</f>
        <v>0</v>
      </c>
      <c r="AH510" s="525"/>
      <c r="AI510" s="525">
        <f>'HIV-Key Info'!$H$79*(('HIV-Key Info'!$E$79*'HPM costs'!N119)+('HIV-Key Info'!$F$79*('HPM costs'!N122+'HPM costs'!N125)))</f>
        <v>0</v>
      </c>
      <c r="AJ510" s="525"/>
      <c r="AK510" s="1154">
        <f t="shared" si="49"/>
        <v>0</v>
      </c>
      <c r="AL510" s="1155"/>
      <c r="AM510" s="1156"/>
      <c r="AN510" s="529"/>
      <c r="AO510" s="525"/>
      <c r="AP510" s="525">
        <f>'HIV-Key Info'!$H$79*(('HIV-Key Info'!$E$79*'HPM costs'!P119)+('HIV-Key Info'!$F$79*('HPM costs'!P122+'HPM costs'!P125)))</f>
        <v>0</v>
      </c>
      <c r="AQ510" s="525"/>
      <c r="AR510" s="525">
        <f>'HIV-Key Info'!$H$79*(('HIV-Key Info'!$E$79*'HPM costs'!Q119)+('HIV-Key Info'!$F$79*('HPM costs'!Q122+'HPM costs'!Q125)))</f>
        <v>0</v>
      </c>
      <c r="AS510" s="525"/>
      <c r="AT510" s="525">
        <f>'HIV-Key Info'!$H$79*(('HIV-Key Info'!$E$79*'HPM costs'!R119)+('HIV-Key Info'!$F$79*('HPM costs'!R122+'HPM costs'!R125)))</f>
        <v>0</v>
      </c>
      <c r="AU510" s="525"/>
      <c r="AV510" s="525">
        <f>'HIV-Key Info'!$H$79*(('HIV-Key Info'!$E$79*'HPM costs'!S119)+('HIV-Key Info'!$F$79*('HPM costs'!S122+'HPM costs'!S125)))</f>
        <v>0</v>
      </c>
      <c r="AW510" s="525"/>
      <c r="AX510" s="1154">
        <f t="shared" si="50"/>
        <v>0</v>
      </c>
      <c r="AY510" s="1154"/>
      <c r="AZ510" s="528"/>
      <c r="BA510" s="529"/>
      <c r="BB510" s="527"/>
      <c r="BC510" s="527">
        <v>0</v>
      </c>
      <c r="BD510" s="527">
        <v>0</v>
      </c>
      <c r="BE510" s="527">
        <v>0</v>
      </c>
      <c r="BF510" s="527">
        <v>0</v>
      </c>
      <c r="BG510" s="527">
        <v>0</v>
      </c>
      <c r="BH510" s="527">
        <v>0</v>
      </c>
      <c r="BI510" s="527">
        <v>0</v>
      </c>
      <c r="BJ510" s="527">
        <v>0</v>
      </c>
      <c r="BK510" s="1154">
        <f t="shared" si="51"/>
        <v>0</v>
      </c>
      <c r="BL510" s="1154"/>
      <c r="BM510" s="1154">
        <f t="shared" si="52"/>
        <v>0</v>
      </c>
      <c r="BN510" s="1154">
        <f t="shared" si="53"/>
        <v>0</v>
      </c>
      <c r="BO510" s="527"/>
      <c r="BP510" s="527"/>
      <c r="BQ510" s="1157" t="s">
        <v>2557</v>
      </c>
      <c r="BR510" s="1157" t="s">
        <v>690</v>
      </c>
      <c r="BS510" s="1157" t="s">
        <v>527</v>
      </c>
      <c r="BT510" s="1376" t="s">
        <v>1814</v>
      </c>
    </row>
    <row r="511" spans="1:72" s="1371" customFormat="1" ht="13">
      <c r="A511" s="1204">
        <v>1067</v>
      </c>
      <c r="B511" s="1205" t="s">
        <v>672</v>
      </c>
      <c r="C511" s="1205" t="s">
        <v>674</v>
      </c>
      <c r="D511" s="1206" t="s">
        <v>2524</v>
      </c>
      <c r="E511" s="1386" t="s">
        <v>532</v>
      </c>
      <c r="F511" s="521"/>
      <c r="G511" s="522"/>
      <c r="H511" s="522"/>
      <c r="I511" s="522"/>
      <c r="J511" s="523"/>
      <c r="K511" s="523"/>
      <c r="L511" s="523"/>
      <c r="M511" s="524"/>
      <c r="N511" s="525"/>
      <c r="O511" s="526" t="s">
        <v>1237</v>
      </c>
      <c r="P511" s="525">
        <f>'HIV-Key Info'!$H$79*(('HIV-Key Info'!$E$79*'HPM costs'!F379)+('HIV-Key Info'!$F$79*('HPM costs'!F382+'HPM costs'!F385)))</f>
        <v>0</v>
      </c>
      <c r="Q511" s="525" t="s">
        <v>1237</v>
      </c>
      <c r="R511" s="525">
        <f>'HIV-Key Info'!$H$79*(('HIV-Key Info'!$E$79*'HPM costs'!G379)+('HIV-Key Info'!$F$79*('HPM costs'!G382+'HPM costs'!G385)))</f>
        <v>0</v>
      </c>
      <c r="S511" s="525" t="s">
        <v>1237</v>
      </c>
      <c r="T511" s="525">
        <f>'HIV-Key Info'!$H$79*(('HIV-Key Info'!$E$79*'HPM costs'!H379)+('HIV-Key Info'!$F$79*('HPM costs'!H382+'HPM costs'!H385)))</f>
        <v>0</v>
      </c>
      <c r="U511" s="525" t="s">
        <v>1237</v>
      </c>
      <c r="V511" s="525">
        <f>'HIV-Key Info'!$H$79*(('HIV-Key Info'!$E$79*'HPM costs'!I379)+('HIV-Key Info'!$F$79*('HPM costs'!I382+'HPM costs'!I385)))</f>
        <v>0</v>
      </c>
      <c r="W511" s="525"/>
      <c r="X511" s="1154">
        <f t="shared" si="48"/>
        <v>0</v>
      </c>
      <c r="Y511" s="1155"/>
      <c r="Z511" s="1156"/>
      <c r="AA511" s="529"/>
      <c r="AB511" s="525"/>
      <c r="AC511" s="525">
        <f>'HIV-Key Info'!$H$79*(('HIV-Key Info'!$E$79*'HPM costs'!K379)+('HIV-Key Info'!$F$79*('HPM costs'!K382+'HPM costs'!K385)))</f>
        <v>0</v>
      </c>
      <c r="AD511" s="525"/>
      <c r="AE511" s="525">
        <f>'HIV-Key Info'!$H$79*(('HIV-Key Info'!$E$79*'HPM costs'!L379)+('HIV-Key Info'!$F$79*('HPM costs'!L382+'HPM costs'!L385)))</f>
        <v>0</v>
      </c>
      <c r="AF511" s="525"/>
      <c r="AG511" s="525">
        <f>'HIV-Key Info'!$H$79*(('HIV-Key Info'!$E$79*'HPM costs'!M379)+('HIV-Key Info'!$F$79*('HPM costs'!M382+'HPM costs'!M385)))</f>
        <v>0</v>
      </c>
      <c r="AH511" s="525"/>
      <c r="AI511" s="525">
        <f>'HIV-Key Info'!$H$79*(('HIV-Key Info'!$E$79*'HPM costs'!N379)+('HIV-Key Info'!$F$79*('HPM costs'!N382+'HPM costs'!N385)))</f>
        <v>0</v>
      </c>
      <c r="AJ511" s="525"/>
      <c r="AK511" s="1154">
        <f t="shared" si="49"/>
        <v>0</v>
      </c>
      <c r="AL511" s="1155"/>
      <c r="AM511" s="1156"/>
      <c r="AN511" s="529"/>
      <c r="AO511" s="525"/>
      <c r="AP511" s="525">
        <f>'HIV-Key Info'!$H$79*(('HIV-Key Info'!$E$79*'HPM costs'!P379)+('HIV-Key Info'!$F$79*('HPM costs'!P382+'HPM costs'!P385)))</f>
        <v>0</v>
      </c>
      <c r="AQ511" s="525"/>
      <c r="AR511" s="525">
        <f>'HIV-Key Info'!$H$79*(('HIV-Key Info'!$E$79*'HPM costs'!Q379)+('HIV-Key Info'!$F$79*('HPM costs'!Q382+'HPM costs'!Q385)))</f>
        <v>0</v>
      </c>
      <c r="AS511" s="525"/>
      <c r="AT511" s="525">
        <f>'HIV-Key Info'!$H$79*(('HIV-Key Info'!$E$79*'HPM costs'!R379)+('HIV-Key Info'!$F$79*('HPM costs'!R382+'HPM costs'!R385)))</f>
        <v>0</v>
      </c>
      <c r="AU511" s="525"/>
      <c r="AV511" s="525">
        <f>'HIV-Key Info'!$H$79*(('HIV-Key Info'!$E$79*'HPM costs'!S379)+('HIV-Key Info'!$F$79*('HPM costs'!S382+'HPM costs'!S385)))</f>
        <v>0</v>
      </c>
      <c r="AW511" s="525"/>
      <c r="AX511" s="1154">
        <f t="shared" si="50"/>
        <v>0</v>
      </c>
      <c r="AY511" s="1154"/>
      <c r="AZ511" s="528"/>
      <c r="BA511" s="529"/>
      <c r="BB511" s="527"/>
      <c r="BC511" s="527">
        <v>0</v>
      </c>
      <c r="BD511" s="527">
        <v>0</v>
      </c>
      <c r="BE511" s="527">
        <v>0</v>
      </c>
      <c r="BF511" s="527">
        <v>0</v>
      </c>
      <c r="BG511" s="527">
        <v>0</v>
      </c>
      <c r="BH511" s="527">
        <v>0</v>
      </c>
      <c r="BI511" s="527">
        <v>0</v>
      </c>
      <c r="BJ511" s="527">
        <v>0</v>
      </c>
      <c r="BK511" s="1154">
        <f t="shared" si="51"/>
        <v>0</v>
      </c>
      <c r="BL511" s="1154"/>
      <c r="BM511" s="1154">
        <f t="shared" si="52"/>
        <v>0</v>
      </c>
      <c r="BN511" s="1154">
        <f t="shared" si="53"/>
        <v>0</v>
      </c>
      <c r="BO511" s="527"/>
      <c r="BP511" s="527"/>
      <c r="BQ511" s="1157" t="s">
        <v>2557</v>
      </c>
      <c r="BR511" s="1157" t="s">
        <v>690</v>
      </c>
      <c r="BS511" s="1157" t="s">
        <v>527</v>
      </c>
      <c r="BT511" s="1376" t="s">
        <v>1815</v>
      </c>
    </row>
    <row r="512" spans="1:72" s="1371" customFormat="1" ht="13">
      <c r="A512" s="1204">
        <v>1068</v>
      </c>
      <c r="B512" s="1205" t="s">
        <v>672</v>
      </c>
      <c r="C512" s="1205" t="s">
        <v>674</v>
      </c>
      <c r="D512" s="1206" t="s">
        <v>2524</v>
      </c>
      <c r="E512" s="1386" t="s">
        <v>534</v>
      </c>
      <c r="F512" s="521"/>
      <c r="G512" s="522"/>
      <c r="H512" s="522"/>
      <c r="I512" s="522"/>
      <c r="J512" s="523"/>
      <c r="K512" s="523"/>
      <c r="L512" s="523"/>
      <c r="M512" s="524"/>
      <c r="N512" s="525"/>
      <c r="O512" s="526" t="s">
        <v>1237</v>
      </c>
      <c r="P512" s="525">
        <f>'HIV-Key Info'!$H$79*(('HIV-Key Info'!$E$79*'HPM costs'!F465)+('HIV-Key Info'!$F$79*('HPM costs'!F468+'HPM costs'!F471)))</f>
        <v>0</v>
      </c>
      <c r="Q512" s="525" t="s">
        <v>1237</v>
      </c>
      <c r="R512" s="525">
        <f>'HIV-Key Info'!$H$79*(('HIV-Key Info'!$E$79*'HPM costs'!G465)+('HIV-Key Info'!$F$79*('HPM costs'!G468+'HPM costs'!G471)))</f>
        <v>0</v>
      </c>
      <c r="S512" s="525" t="s">
        <v>1237</v>
      </c>
      <c r="T512" s="525">
        <f>'HIV-Key Info'!$H$79*(('HIV-Key Info'!$E$79*'HPM costs'!H465)+('HIV-Key Info'!$F$79*('HPM costs'!H468+'HPM costs'!H471)))</f>
        <v>0</v>
      </c>
      <c r="U512" s="525" t="s">
        <v>1237</v>
      </c>
      <c r="V512" s="525">
        <f>'HIV-Key Info'!$H$79*(('HIV-Key Info'!$E$79*'HPM costs'!I465)+('HIV-Key Info'!$F$79*('HPM costs'!I468+'HPM costs'!I471)))</f>
        <v>0</v>
      </c>
      <c r="W512" s="525"/>
      <c r="X512" s="1154">
        <f t="shared" si="48"/>
        <v>0</v>
      </c>
      <c r="Y512" s="1155"/>
      <c r="Z512" s="1156"/>
      <c r="AA512" s="529"/>
      <c r="AB512" s="525"/>
      <c r="AC512" s="525">
        <f>'HIV-Key Info'!$H$79*(('HIV-Key Info'!$E$79*'HPM costs'!K465)+('HIV-Key Info'!$F$79*('HPM costs'!K468+'HPM costs'!K471)))</f>
        <v>0</v>
      </c>
      <c r="AD512" s="525"/>
      <c r="AE512" s="525">
        <f>'HIV-Key Info'!$H$79*(('HIV-Key Info'!$E$79*'HPM costs'!L465)+('HIV-Key Info'!$F$79*('HPM costs'!L468+'HPM costs'!L471)))</f>
        <v>0</v>
      </c>
      <c r="AF512" s="525"/>
      <c r="AG512" s="525">
        <f>'HIV-Key Info'!$H$79*(('HIV-Key Info'!$E$79*'HPM costs'!M465)+('HIV-Key Info'!$F$79*('HPM costs'!M468+'HPM costs'!M471)))</f>
        <v>0</v>
      </c>
      <c r="AH512" s="525"/>
      <c r="AI512" s="525">
        <f>'HIV-Key Info'!$H$79*(('HIV-Key Info'!$E$79*'HPM costs'!N465)+('HIV-Key Info'!$F$79*('HPM costs'!N468+'HPM costs'!N471)))</f>
        <v>0</v>
      </c>
      <c r="AJ512" s="525"/>
      <c r="AK512" s="1154">
        <f t="shared" si="49"/>
        <v>0</v>
      </c>
      <c r="AL512" s="1155"/>
      <c r="AM512" s="1156"/>
      <c r="AN512" s="529"/>
      <c r="AO512" s="525"/>
      <c r="AP512" s="525">
        <f>'HIV-Key Info'!$H$79*(('HIV-Key Info'!$E$79*'HPM costs'!P465)+('HIV-Key Info'!$F$79*('HPM costs'!P468+'HPM costs'!P471)))</f>
        <v>0</v>
      </c>
      <c r="AQ512" s="525"/>
      <c r="AR512" s="525">
        <f>'HIV-Key Info'!$H$79*(('HIV-Key Info'!$E$79*'HPM costs'!Q465)+('HIV-Key Info'!$F$79*('HPM costs'!Q468+'HPM costs'!Q471)))</f>
        <v>0</v>
      </c>
      <c r="AS512" s="525"/>
      <c r="AT512" s="525">
        <f>'HIV-Key Info'!$H$79*(('HIV-Key Info'!$E$79*'HPM costs'!R465)+('HIV-Key Info'!$F$79*('HPM costs'!R468+'HPM costs'!R471)))</f>
        <v>0</v>
      </c>
      <c r="AU512" s="525"/>
      <c r="AV512" s="525">
        <f>'HIV-Key Info'!$H$79*(('HIV-Key Info'!$E$79*'HPM costs'!S465)+('HIV-Key Info'!$F$79*('HPM costs'!S468+'HPM costs'!S471)))</f>
        <v>0</v>
      </c>
      <c r="AW512" s="525"/>
      <c r="AX512" s="1154">
        <f t="shared" si="50"/>
        <v>0</v>
      </c>
      <c r="AY512" s="1154"/>
      <c r="AZ512" s="528"/>
      <c r="BA512" s="529"/>
      <c r="BB512" s="527"/>
      <c r="BC512" s="527">
        <v>0</v>
      </c>
      <c r="BD512" s="527">
        <v>0</v>
      </c>
      <c r="BE512" s="527">
        <v>0</v>
      </c>
      <c r="BF512" s="527">
        <v>0</v>
      </c>
      <c r="BG512" s="527">
        <v>0</v>
      </c>
      <c r="BH512" s="527">
        <v>0</v>
      </c>
      <c r="BI512" s="527">
        <v>0</v>
      </c>
      <c r="BJ512" s="527">
        <v>0</v>
      </c>
      <c r="BK512" s="1154">
        <f t="shared" si="51"/>
        <v>0</v>
      </c>
      <c r="BL512" s="1154"/>
      <c r="BM512" s="1154">
        <f t="shared" si="52"/>
        <v>0</v>
      </c>
      <c r="BN512" s="1154">
        <f t="shared" si="53"/>
        <v>0</v>
      </c>
      <c r="BO512" s="527"/>
      <c r="BP512" s="527"/>
      <c r="BQ512" s="1157" t="s">
        <v>2557</v>
      </c>
      <c r="BR512" s="1157" t="s">
        <v>690</v>
      </c>
      <c r="BS512" s="1157" t="s">
        <v>527</v>
      </c>
      <c r="BT512" s="1376" t="s">
        <v>1816</v>
      </c>
    </row>
    <row r="513" spans="1:72" s="1371" customFormat="1" ht="13">
      <c r="A513" s="1204">
        <v>1069</v>
      </c>
      <c r="B513" s="1205" t="s">
        <v>672</v>
      </c>
      <c r="C513" s="1205" t="s">
        <v>674</v>
      </c>
      <c r="D513" s="1206" t="s">
        <v>2524</v>
      </c>
      <c r="E513" s="1386" t="s">
        <v>536</v>
      </c>
      <c r="F513" s="521"/>
      <c r="G513" s="522"/>
      <c r="H513" s="522"/>
      <c r="I513" s="522"/>
      <c r="J513" s="523"/>
      <c r="K513" s="523"/>
      <c r="L513" s="523"/>
      <c r="M513" s="524"/>
      <c r="N513" s="525"/>
      <c r="O513" s="526" t="s">
        <v>1237</v>
      </c>
      <c r="P513" s="525">
        <f>'HIV-Key Info'!$H$79*(('HIV-Key Info'!$E$79*('HPM costs'!F205+'HPM costs'!F551))+('HIV-Key Info'!$F$79*('HPM costs'!F208+'HPM costs'!F211+'HPM costs'!F554+'HPM costs'!F557)))</f>
        <v>0</v>
      </c>
      <c r="Q513" s="525" t="s">
        <v>1237</v>
      </c>
      <c r="R513" s="525">
        <f>'HIV-Key Info'!$H$79*(('HIV-Key Info'!$E$79*('HPM costs'!G205+'HPM costs'!G551))+('HIV-Key Info'!$F$79*('HPM costs'!G208+'HPM costs'!G211+'HPM costs'!G554+'HPM costs'!G557)))</f>
        <v>0</v>
      </c>
      <c r="S513" s="525" t="s">
        <v>1237</v>
      </c>
      <c r="T513" s="525">
        <f>'HIV-Key Info'!$H$79*(('HIV-Key Info'!$E$79*('HPM costs'!H205+'HPM costs'!H551))+('HIV-Key Info'!$F$79*('HPM costs'!H208+'HPM costs'!H211+'HPM costs'!H554+'HPM costs'!H557)))</f>
        <v>0</v>
      </c>
      <c r="U513" s="525" t="s">
        <v>1237</v>
      </c>
      <c r="V513" s="525">
        <f>'HIV-Key Info'!$H$79*(('HIV-Key Info'!$E$79*('HPM costs'!I205+'HPM costs'!I551))+('HIV-Key Info'!$F$79*('HPM costs'!I208+'HPM costs'!I211+'HPM costs'!I554+'HPM costs'!I557)))</f>
        <v>0</v>
      </c>
      <c r="W513" s="525"/>
      <c r="X513" s="1154">
        <f t="shared" ref="X513:X561" si="54">P513+R513+T513+V513</f>
        <v>0</v>
      </c>
      <c r="Y513" s="1155"/>
      <c r="Z513" s="1156"/>
      <c r="AA513" s="529"/>
      <c r="AB513" s="525"/>
      <c r="AC513" s="525">
        <f>'HIV-Key Info'!$H$79*(('HIV-Key Info'!$E$79*('HPM costs'!K205+'HPM costs'!K551))+('HIV-Key Info'!$F$79*('HPM costs'!K208+'HPM costs'!K211+'HPM costs'!K554+'HPM costs'!K557)))</f>
        <v>0</v>
      </c>
      <c r="AD513" s="525"/>
      <c r="AE513" s="525">
        <f>'HIV-Key Info'!$H$79*(('HIV-Key Info'!$E$79*('HPM costs'!L205+'HPM costs'!L551))+('HIV-Key Info'!$F$79*('HPM costs'!L208+'HPM costs'!L211+'HPM costs'!L554+'HPM costs'!L557)))</f>
        <v>0</v>
      </c>
      <c r="AF513" s="525"/>
      <c r="AG513" s="525">
        <f>'HIV-Key Info'!$H$79*(('HIV-Key Info'!$E$79*('HPM costs'!M205+'HPM costs'!M551))+('HIV-Key Info'!$F$79*('HPM costs'!M208+'HPM costs'!M211+'HPM costs'!M554+'HPM costs'!M557)))</f>
        <v>0</v>
      </c>
      <c r="AH513" s="525"/>
      <c r="AI513" s="525">
        <f>'HIV-Key Info'!$H$79*(('HIV-Key Info'!$E$79*('HPM costs'!N205+'HPM costs'!N551))+('HIV-Key Info'!$F$79*('HPM costs'!N208+'HPM costs'!N211+'HPM costs'!N554+'HPM costs'!N557)))</f>
        <v>0</v>
      </c>
      <c r="AJ513" s="525"/>
      <c r="AK513" s="1154">
        <f t="shared" ref="AK513:AK561" si="55">AI513+AG513+AE513+AC513</f>
        <v>0</v>
      </c>
      <c r="AL513" s="1155"/>
      <c r="AM513" s="1156"/>
      <c r="AN513" s="529"/>
      <c r="AO513" s="525"/>
      <c r="AP513" s="525">
        <f>'HIV-Key Info'!$H$79*(('HIV-Key Info'!$E$79*('HPM costs'!P205+'HPM costs'!P551))+('HIV-Key Info'!$F$79*('HPM costs'!P208+'HPM costs'!P211+'HPM costs'!P554+'HPM costs'!P557)))</f>
        <v>0</v>
      </c>
      <c r="AQ513" s="525"/>
      <c r="AR513" s="525">
        <f>'HIV-Key Info'!$H$79*(('HIV-Key Info'!$E$79*('HPM costs'!Q205+'HPM costs'!Q551))+('HIV-Key Info'!$F$79*('HPM costs'!Q208+'HPM costs'!Q211+'HPM costs'!Q554+'HPM costs'!Q557)))</f>
        <v>0</v>
      </c>
      <c r="AS513" s="525"/>
      <c r="AT513" s="525">
        <f>'HIV-Key Info'!$H$79*(('HIV-Key Info'!$E$79*('HPM costs'!R205+'HPM costs'!R551))+('HIV-Key Info'!$F$79*('HPM costs'!R208+'HPM costs'!R211+'HPM costs'!R554+'HPM costs'!R557)))</f>
        <v>0</v>
      </c>
      <c r="AU513" s="525"/>
      <c r="AV513" s="525">
        <f>'HIV-Key Info'!$H$79*(('HIV-Key Info'!$E$79*('HPM costs'!S205+'HPM costs'!S551))+('HIV-Key Info'!$F$79*('HPM costs'!S208+'HPM costs'!S211+'HPM costs'!S554+'HPM costs'!S557)))</f>
        <v>0</v>
      </c>
      <c r="AW513" s="525"/>
      <c r="AX513" s="1154">
        <f t="shared" ref="AX513:AX561" si="56">AV513+AT513+AR513+AP513</f>
        <v>0</v>
      </c>
      <c r="AY513" s="1154"/>
      <c r="AZ513" s="528"/>
      <c r="BA513" s="529"/>
      <c r="BB513" s="527"/>
      <c r="BC513" s="527">
        <v>0</v>
      </c>
      <c r="BD513" s="527">
        <v>0</v>
      </c>
      <c r="BE513" s="527">
        <v>0</v>
      </c>
      <c r="BF513" s="527">
        <v>0</v>
      </c>
      <c r="BG513" s="527">
        <v>0</v>
      </c>
      <c r="BH513" s="527">
        <v>0</v>
      </c>
      <c r="BI513" s="527">
        <v>0</v>
      </c>
      <c r="BJ513" s="527">
        <v>0</v>
      </c>
      <c r="BK513" s="1154">
        <f t="shared" ref="BK513:BK549" si="57">BI513+BG513+BE513+BC513</f>
        <v>0</v>
      </c>
      <c r="BL513" s="1154"/>
      <c r="BM513" s="1154">
        <f t="shared" si="52"/>
        <v>0</v>
      </c>
      <c r="BN513" s="1154">
        <f t="shared" si="53"/>
        <v>0</v>
      </c>
      <c r="BO513" s="527"/>
      <c r="BP513" s="527"/>
      <c r="BQ513" s="1157" t="s">
        <v>2557</v>
      </c>
      <c r="BR513" s="1157" t="s">
        <v>690</v>
      </c>
      <c r="BS513" s="1157" t="s">
        <v>527</v>
      </c>
      <c r="BT513" s="1376" t="s">
        <v>1817</v>
      </c>
    </row>
    <row r="514" spans="1:72" s="1371" customFormat="1" ht="13">
      <c r="A514" s="1204">
        <v>1070</v>
      </c>
      <c r="B514" s="1205" t="s">
        <v>672</v>
      </c>
      <c r="C514" s="1205" t="s">
        <v>674</v>
      </c>
      <c r="D514" s="1206" t="s">
        <v>2524</v>
      </c>
      <c r="E514" s="1386" t="s">
        <v>538</v>
      </c>
      <c r="F514" s="521"/>
      <c r="G514" s="522"/>
      <c r="H514" s="522"/>
      <c r="I514" s="522"/>
      <c r="J514" s="523"/>
      <c r="K514" s="523"/>
      <c r="L514" s="523"/>
      <c r="M514" s="524"/>
      <c r="N514" s="525"/>
      <c r="O514" s="526" t="s">
        <v>1237</v>
      </c>
      <c r="P514" s="525">
        <f>'HIV-Key Info'!$H$79*(('HIV-Key Info'!$E$79*'HPM costs'!F291)+('HIV-Key Info'!$F$79*('HPM costs'!F294+'HPM costs'!F297)))</f>
        <v>0</v>
      </c>
      <c r="Q514" s="525" t="s">
        <v>1237</v>
      </c>
      <c r="R514" s="525">
        <f>'HIV-Key Info'!$H$79*(('HIV-Key Info'!$E$79*'HPM costs'!G291)+('HIV-Key Info'!$F$79*('HPM costs'!G294+'HPM costs'!G297)))</f>
        <v>0</v>
      </c>
      <c r="S514" s="525" t="s">
        <v>1237</v>
      </c>
      <c r="T514" s="525">
        <f>'HIV-Key Info'!$H$79*(('HIV-Key Info'!$E$79*'HPM costs'!H291)+('HIV-Key Info'!$F$79*('HPM costs'!H294+'HPM costs'!H297)))</f>
        <v>0</v>
      </c>
      <c r="U514" s="525" t="s">
        <v>1237</v>
      </c>
      <c r="V514" s="525">
        <f>'HIV-Key Info'!$H$79*(('HIV-Key Info'!$E$79*'HPM costs'!I291)+('HIV-Key Info'!$F$79*('HPM costs'!I294+'HPM costs'!I297)))</f>
        <v>0</v>
      </c>
      <c r="W514" s="525"/>
      <c r="X514" s="1154">
        <f t="shared" si="54"/>
        <v>0</v>
      </c>
      <c r="Y514" s="1155"/>
      <c r="Z514" s="1156"/>
      <c r="AA514" s="529"/>
      <c r="AB514" s="525"/>
      <c r="AC514" s="525">
        <f>'HIV-Key Info'!$H$79*(('HIV-Key Info'!$E$79*'HPM costs'!K291)+('HIV-Key Info'!$F$79*('HPM costs'!K294+'HPM costs'!K297)))</f>
        <v>0</v>
      </c>
      <c r="AD514" s="525"/>
      <c r="AE514" s="525">
        <f>'HIV-Key Info'!$H$79*(('HIV-Key Info'!$E$79*'HPM costs'!L291)+('HIV-Key Info'!$F$79*('HPM costs'!L294+'HPM costs'!L297)))</f>
        <v>0</v>
      </c>
      <c r="AF514" s="525"/>
      <c r="AG514" s="525">
        <f>'HIV-Key Info'!$H$79*(('HIV-Key Info'!$E$79*'HPM costs'!M291)+('HIV-Key Info'!$F$79*('HPM costs'!M294+'HPM costs'!M297)))</f>
        <v>0</v>
      </c>
      <c r="AH514" s="525"/>
      <c r="AI514" s="525">
        <f>'HIV-Key Info'!$H$79*(('HIV-Key Info'!$E$79*'HPM costs'!N291)+('HIV-Key Info'!$F$79*('HPM costs'!N294+'HPM costs'!N297)))</f>
        <v>0</v>
      </c>
      <c r="AJ514" s="525"/>
      <c r="AK514" s="1154">
        <f t="shared" si="55"/>
        <v>0</v>
      </c>
      <c r="AL514" s="1155"/>
      <c r="AM514" s="1156"/>
      <c r="AN514" s="529"/>
      <c r="AO514" s="525"/>
      <c r="AP514" s="525">
        <f>'HIV-Key Info'!$H$79*(('HIV-Key Info'!$E$79*'HPM costs'!P291)+('HIV-Key Info'!$F$79*('HPM costs'!P294+'HPM costs'!P297)))</f>
        <v>0</v>
      </c>
      <c r="AQ514" s="525"/>
      <c r="AR514" s="525">
        <f>'HIV-Key Info'!$H$79*(('HIV-Key Info'!$E$79*'HPM costs'!Q291)+('HIV-Key Info'!$F$79*('HPM costs'!Q294+'HPM costs'!Q297)))</f>
        <v>0</v>
      </c>
      <c r="AS514" s="525"/>
      <c r="AT514" s="525">
        <f>'HIV-Key Info'!$H$79*(('HIV-Key Info'!$E$79*'HPM costs'!R291)+('HIV-Key Info'!$F$79*('HPM costs'!R294+'HPM costs'!R297)))</f>
        <v>0</v>
      </c>
      <c r="AU514" s="525"/>
      <c r="AV514" s="525">
        <f>'HIV-Key Info'!$H$79*(('HIV-Key Info'!$E$79*'HPM costs'!S291)+('HIV-Key Info'!$F$79*('HPM costs'!S294+'HPM costs'!S297)))</f>
        <v>0</v>
      </c>
      <c r="AW514" s="525"/>
      <c r="AX514" s="1154">
        <f t="shared" si="56"/>
        <v>0</v>
      </c>
      <c r="AY514" s="1154"/>
      <c r="AZ514" s="528"/>
      <c r="BA514" s="529"/>
      <c r="BB514" s="527"/>
      <c r="BC514" s="527">
        <v>0</v>
      </c>
      <c r="BD514" s="527">
        <v>0</v>
      </c>
      <c r="BE514" s="527">
        <v>0</v>
      </c>
      <c r="BF514" s="527">
        <v>0</v>
      </c>
      <c r="BG514" s="527">
        <v>0</v>
      </c>
      <c r="BH514" s="527">
        <v>0</v>
      </c>
      <c r="BI514" s="527">
        <v>0</v>
      </c>
      <c r="BJ514" s="527">
        <v>0</v>
      </c>
      <c r="BK514" s="1154">
        <f t="shared" si="57"/>
        <v>0</v>
      </c>
      <c r="BL514" s="1154"/>
      <c r="BM514" s="1154">
        <f t="shared" ref="BM514:BM562" si="58">BJ514+AW514+AJ514+W514</f>
        <v>0</v>
      </c>
      <c r="BN514" s="1154">
        <f t="shared" ref="BN514:BN562" si="59">BK514+AX514+AK514+X514</f>
        <v>0</v>
      </c>
      <c r="BO514" s="527"/>
      <c r="BP514" s="527"/>
      <c r="BQ514" s="1157" t="s">
        <v>2557</v>
      </c>
      <c r="BR514" s="1157" t="s">
        <v>690</v>
      </c>
      <c r="BS514" s="1157" t="s">
        <v>527</v>
      </c>
      <c r="BT514" s="1376" t="s">
        <v>1818</v>
      </c>
    </row>
    <row r="515" spans="1:72" s="1371" customFormat="1" ht="13">
      <c r="A515" s="1204">
        <v>1071</v>
      </c>
      <c r="B515" s="1205" t="s">
        <v>672</v>
      </c>
      <c r="C515" s="1205" t="s">
        <v>674</v>
      </c>
      <c r="D515" s="1206" t="s">
        <v>2524</v>
      </c>
      <c r="E515" s="1386" t="s">
        <v>540</v>
      </c>
      <c r="F515" s="521"/>
      <c r="G515" s="522"/>
      <c r="H515" s="522"/>
      <c r="I515" s="522"/>
      <c r="J515" s="523"/>
      <c r="K515" s="523"/>
      <c r="L515" s="523"/>
      <c r="M515" s="524"/>
      <c r="N515" s="525"/>
      <c r="O515" s="526" t="s">
        <v>1237</v>
      </c>
      <c r="P515" s="525">
        <f>'HIV-Key Info'!$H$79*(('HIV-Key Info'!$E$79*'HPM costs'!F636)+('HIV-Key Info'!$F$79*('HPM costs'!F639+'HPM costs'!F642)))</f>
        <v>0</v>
      </c>
      <c r="Q515" s="525" t="s">
        <v>1237</v>
      </c>
      <c r="R515" s="525">
        <f>'HIV-Key Info'!$H$79*(('HIV-Key Info'!$E$79*'HPM costs'!G636)+('HIV-Key Info'!$F$79*('HPM costs'!G639+'HPM costs'!G642)))</f>
        <v>0</v>
      </c>
      <c r="S515" s="525" t="s">
        <v>1237</v>
      </c>
      <c r="T515" s="525">
        <f>'HIV-Key Info'!$H$79*(('HIV-Key Info'!$E$79*'HPM costs'!H636)+('HIV-Key Info'!$F$79*('HPM costs'!H639+'HPM costs'!H642)))</f>
        <v>0</v>
      </c>
      <c r="U515" s="525" t="s">
        <v>1237</v>
      </c>
      <c r="V515" s="525">
        <f>'HIV-Key Info'!$H$79*(('HIV-Key Info'!$E$79*'HPM costs'!I636)+('HIV-Key Info'!$F$79*('HPM costs'!I639+'HPM costs'!I642)))</f>
        <v>0</v>
      </c>
      <c r="W515" s="525"/>
      <c r="X515" s="1154">
        <f t="shared" si="54"/>
        <v>0</v>
      </c>
      <c r="Y515" s="1155"/>
      <c r="Z515" s="1156"/>
      <c r="AA515" s="529"/>
      <c r="AB515" s="525"/>
      <c r="AC515" s="525">
        <f>'HIV-Key Info'!$H$79*(('HIV-Key Info'!$E$79*'HPM costs'!K636)+('HIV-Key Info'!$F$79*('HPM costs'!K639+'HPM costs'!K642)))</f>
        <v>0</v>
      </c>
      <c r="AD515" s="525"/>
      <c r="AE515" s="525">
        <f>'HIV-Key Info'!$H$79*(('HIV-Key Info'!$E$79*'HPM costs'!L636)+('HIV-Key Info'!$F$79*('HPM costs'!L639+'HPM costs'!L642)))</f>
        <v>0</v>
      </c>
      <c r="AF515" s="525"/>
      <c r="AG515" s="525">
        <f>'HIV-Key Info'!$H$79*(('HIV-Key Info'!$E$79*'HPM costs'!M636)+('HIV-Key Info'!$F$79*('HPM costs'!M639+'HPM costs'!M642)))</f>
        <v>0</v>
      </c>
      <c r="AH515" s="525"/>
      <c r="AI515" s="525">
        <f>'HIV-Key Info'!$H$79*(('HIV-Key Info'!$E$79*'HPM costs'!N636)+('HIV-Key Info'!$F$79*('HPM costs'!N639+'HPM costs'!N642)))</f>
        <v>0</v>
      </c>
      <c r="AJ515" s="525"/>
      <c r="AK515" s="1154">
        <f t="shared" si="55"/>
        <v>0</v>
      </c>
      <c r="AL515" s="1155"/>
      <c r="AM515" s="1156"/>
      <c r="AN515" s="529"/>
      <c r="AO515" s="525"/>
      <c r="AP515" s="525">
        <f>'HIV-Key Info'!$H$79*(('HIV-Key Info'!$E$79*'HPM costs'!P636)+('HIV-Key Info'!$F$79*('HPM costs'!P639+'HPM costs'!P642)))</f>
        <v>0</v>
      </c>
      <c r="AQ515" s="525"/>
      <c r="AR515" s="525">
        <f>'HIV-Key Info'!$H$79*(('HIV-Key Info'!$E$79*'HPM costs'!Q636)+('HIV-Key Info'!$F$79*('HPM costs'!Q639+'HPM costs'!Q642)))</f>
        <v>0</v>
      </c>
      <c r="AS515" s="525"/>
      <c r="AT515" s="525">
        <f>'HIV-Key Info'!$H$79*(('HIV-Key Info'!$E$79*'HPM costs'!R636)+('HIV-Key Info'!$F$79*('HPM costs'!R639+'HPM costs'!R642)))</f>
        <v>0</v>
      </c>
      <c r="AU515" s="525"/>
      <c r="AV515" s="525">
        <f>'HIV-Key Info'!$H$79*(('HIV-Key Info'!$E$79*'HPM costs'!S636)+('HIV-Key Info'!$F$79*('HPM costs'!S639+'HPM costs'!S642)))</f>
        <v>0</v>
      </c>
      <c r="AW515" s="525"/>
      <c r="AX515" s="1154">
        <f t="shared" si="56"/>
        <v>0</v>
      </c>
      <c r="AY515" s="1154"/>
      <c r="AZ515" s="528"/>
      <c r="BA515" s="529"/>
      <c r="BB515" s="527"/>
      <c r="BC515" s="527">
        <v>0</v>
      </c>
      <c r="BD515" s="527">
        <v>0</v>
      </c>
      <c r="BE515" s="527">
        <v>0</v>
      </c>
      <c r="BF515" s="527">
        <v>0</v>
      </c>
      <c r="BG515" s="527">
        <v>0</v>
      </c>
      <c r="BH515" s="527">
        <v>0</v>
      </c>
      <c r="BI515" s="527">
        <v>0</v>
      </c>
      <c r="BJ515" s="527">
        <v>0</v>
      </c>
      <c r="BK515" s="1154">
        <f t="shared" si="57"/>
        <v>0</v>
      </c>
      <c r="BL515" s="1154"/>
      <c r="BM515" s="1154">
        <f t="shared" si="58"/>
        <v>0</v>
      </c>
      <c r="BN515" s="1154">
        <f t="shared" si="59"/>
        <v>0</v>
      </c>
      <c r="BO515" s="527"/>
      <c r="BP515" s="527"/>
      <c r="BQ515" s="1157" t="s">
        <v>2557</v>
      </c>
      <c r="BR515" s="1157" t="s">
        <v>690</v>
      </c>
      <c r="BS515" s="1157" t="s">
        <v>527</v>
      </c>
      <c r="BT515" s="1376" t="s">
        <v>1819</v>
      </c>
    </row>
    <row r="516" spans="1:72" s="1371" customFormat="1" ht="13">
      <c r="A516" s="1204">
        <v>1072</v>
      </c>
      <c r="B516" s="1205" t="s">
        <v>672</v>
      </c>
      <c r="C516" s="1205" t="s">
        <v>675</v>
      </c>
      <c r="D516" s="1206" t="s">
        <v>2580</v>
      </c>
      <c r="E516" s="1386" t="s">
        <v>603</v>
      </c>
      <c r="F516" s="521"/>
      <c r="G516" s="522"/>
      <c r="H516" s="522"/>
      <c r="I516" s="522"/>
      <c r="J516" s="523"/>
      <c r="K516" s="523"/>
      <c r="L516" s="523"/>
      <c r="M516" s="524"/>
      <c r="N516" s="525"/>
      <c r="O516" s="526" t="s">
        <v>1237</v>
      </c>
      <c r="P516" s="525">
        <f>'HIV-Key Info'!$I$79*('HIV-Key Info'!$E$79*('HPM costs'!F119/'HPM costs'!$E$119)+'HIV-Key Info'!$F$79*('HPM costs'!F125/'HPM costs'!$E$125+'HPM costs'!F122/'HPM costs'!$E$122))</f>
        <v>0</v>
      </c>
      <c r="Q516" s="525" t="s">
        <v>1237</v>
      </c>
      <c r="R516" s="525">
        <f>'HIV-Key Info'!$I$79*('HIV-Key Info'!$E$79*('HPM costs'!G119/'HPM costs'!$E$119)+'HIV-Key Info'!$F$79*('HPM costs'!G125/'HPM costs'!$E$125+'HPM costs'!G122/'HPM costs'!$E$122))</f>
        <v>0</v>
      </c>
      <c r="S516" s="525" t="s">
        <v>1237</v>
      </c>
      <c r="T516" s="525">
        <f>'HIV-Key Info'!$I$79*('HIV-Key Info'!$E$79*('HPM costs'!H119/'HPM costs'!$E$119)+'HIV-Key Info'!$F$79*('HPM costs'!H125/'HPM costs'!$E$125+'HPM costs'!H122/'HPM costs'!$E$122))</f>
        <v>0</v>
      </c>
      <c r="U516" s="525" t="s">
        <v>1237</v>
      </c>
      <c r="V516" s="525">
        <f>'HIV-Key Info'!$I$79*('HIV-Key Info'!$E$79*('HPM costs'!I119/'HPM costs'!$E$119)+'HIV-Key Info'!$F$79*('HPM costs'!I125/'HPM costs'!$E$125+'HPM costs'!I122/'HPM costs'!$E$122))</f>
        <v>0</v>
      </c>
      <c r="W516" s="525"/>
      <c r="X516" s="1154">
        <f t="shared" si="54"/>
        <v>0</v>
      </c>
      <c r="Y516" s="1155"/>
      <c r="Z516" s="1156"/>
      <c r="AA516" s="529"/>
      <c r="AB516" s="525"/>
      <c r="AC516" s="525">
        <f>'HIV-Key Info'!$I$79*('HIV-Key Info'!$E$79*('HPM costs'!K119/'HPM costs'!$E$119)+'HIV-Key Info'!$F$79*('HPM costs'!K125/'HPM costs'!$E$125+'HPM costs'!K122/'HPM costs'!$E$122))</f>
        <v>0</v>
      </c>
      <c r="AD516" s="525"/>
      <c r="AE516" s="525">
        <f>'HIV-Key Info'!$I$79*('HIV-Key Info'!$E$79*('HPM costs'!L119/'HPM costs'!$E$119)+'HIV-Key Info'!$F$79*('HPM costs'!L125/'HPM costs'!$E$125+'HPM costs'!L122/'HPM costs'!$E$122))</f>
        <v>0</v>
      </c>
      <c r="AF516" s="525"/>
      <c r="AG516" s="525">
        <f>'HIV-Key Info'!$I$79*('HIV-Key Info'!$E$79*('HPM costs'!M119/'HPM costs'!$E$119)+'HIV-Key Info'!$F$79*('HPM costs'!M125/'HPM costs'!$E$125+'HPM costs'!M122/'HPM costs'!$E$122))</f>
        <v>0</v>
      </c>
      <c r="AH516" s="525"/>
      <c r="AI516" s="525">
        <f>'HIV-Key Info'!$I$79*('HIV-Key Info'!$E$79*('HPM costs'!N119/'HPM costs'!$E$119)+'HIV-Key Info'!$F$79*('HPM costs'!N125/'HPM costs'!$E$125+'HPM costs'!N122/'HPM costs'!$E$122))</f>
        <v>0</v>
      </c>
      <c r="AJ516" s="525"/>
      <c r="AK516" s="1154">
        <f t="shared" si="55"/>
        <v>0</v>
      </c>
      <c r="AL516" s="1155"/>
      <c r="AM516" s="1156"/>
      <c r="AN516" s="529"/>
      <c r="AO516" s="525"/>
      <c r="AP516" s="525">
        <f>'HIV-Key Info'!$I$79*('HIV-Key Info'!$E$79*('HPM costs'!P119/'HPM costs'!$E$119)+'HIV-Key Info'!$F$79*('HPM costs'!P125/'HPM costs'!$E$125+'HPM costs'!P122/'HPM costs'!$E$122))</f>
        <v>0</v>
      </c>
      <c r="AQ516" s="525"/>
      <c r="AR516" s="525">
        <f>'HIV-Key Info'!$I$79*('HIV-Key Info'!$E$79*('HPM costs'!Q119/'HPM costs'!$E$119)+'HIV-Key Info'!$F$79*('HPM costs'!Q125/'HPM costs'!$E$125+'HPM costs'!Q122/'HPM costs'!$E$122))</f>
        <v>0</v>
      </c>
      <c r="AS516" s="525"/>
      <c r="AT516" s="525">
        <f>'HIV-Key Info'!$I$79*('HIV-Key Info'!$E$79*('HPM costs'!R119/'HPM costs'!$E$119)+'HIV-Key Info'!$F$79*('HPM costs'!R125/'HPM costs'!$E$125+'HPM costs'!R122/'HPM costs'!$E$122))</f>
        <v>0</v>
      </c>
      <c r="AU516" s="525"/>
      <c r="AV516" s="525">
        <f>'HIV-Key Info'!$I$79*('HIV-Key Info'!$E$79*('HPM costs'!S119/'HPM costs'!$E$119)+'HIV-Key Info'!$F$79*('HPM costs'!S125/'HPM costs'!$E$125+'HPM costs'!S122/'HPM costs'!$E$122))</f>
        <v>0</v>
      </c>
      <c r="AW516" s="525"/>
      <c r="AX516" s="1154">
        <f t="shared" si="56"/>
        <v>0</v>
      </c>
      <c r="AY516" s="1154"/>
      <c r="AZ516" s="528"/>
      <c r="BA516" s="529"/>
      <c r="BB516" s="527"/>
      <c r="BC516" s="527">
        <v>0</v>
      </c>
      <c r="BD516" s="527">
        <v>0</v>
      </c>
      <c r="BE516" s="527">
        <v>0</v>
      </c>
      <c r="BF516" s="527">
        <v>0</v>
      </c>
      <c r="BG516" s="527">
        <v>0</v>
      </c>
      <c r="BH516" s="527">
        <v>0</v>
      </c>
      <c r="BI516" s="527">
        <v>0</v>
      </c>
      <c r="BJ516" s="527">
        <v>0</v>
      </c>
      <c r="BK516" s="1154">
        <f t="shared" si="57"/>
        <v>0</v>
      </c>
      <c r="BL516" s="1154"/>
      <c r="BM516" s="1154">
        <f t="shared" si="58"/>
        <v>0</v>
      </c>
      <c r="BN516" s="1154">
        <f t="shared" si="59"/>
        <v>0</v>
      </c>
      <c r="BO516" s="527"/>
      <c r="BP516" s="527"/>
      <c r="BQ516" s="1157" t="s">
        <v>2557</v>
      </c>
      <c r="BR516" s="1157" t="s">
        <v>690</v>
      </c>
      <c r="BS516" s="1157" t="s">
        <v>2570</v>
      </c>
      <c r="BT516" s="1376" t="s">
        <v>1820</v>
      </c>
    </row>
    <row r="517" spans="1:72" s="1371" customFormat="1" ht="13">
      <c r="A517" s="1204">
        <v>1073</v>
      </c>
      <c r="B517" s="1205" t="s">
        <v>672</v>
      </c>
      <c r="C517" s="1205" t="s">
        <v>675</v>
      </c>
      <c r="D517" s="1206" t="s">
        <v>2524</v>
      </c>
      <c r="E517" s="1386" t="s">
        <v>528</v>
      </c>
      <c r="F517" s="521"/>
      <c r="G517" s="522"/>
      <c r="H517" s="522"/>
      <c r="I517" s="522"/>
      <c r="J517" s="523"/>
      <c r="K517" s="523"/>
      <c r="L517" s="523"/>
      <c r="M517" s="524"/>
      <c r="N517" s="525"/>
      <c r="O517" s="526" t="s">
        <v>1237</v>
      </c>
      <c r="P517" s="525">
        <f>'HIV-Key Info'!$I$79*(('HIV-Key Info'!$E$79*'HPM costs'!F33)+('HIV-Key Info'!$F$79*('HPM costs'!F36+'HPM costs'!F39)))</f>
        <v>0</v>
      </c>
      <c r="Q517" s="525" t="s">
        <v>1237</v>
      </c>
      <c r="R517" s="525">
        <f>'HIV-Key Info'!$I$79*(('HIV-Key Info'!$E$79*'HPM costs'!G33)+('HIV-Key Info'!$F$79*('HPM costs'!G36+'HPM costs'!G39)))</f>
        <v>0</v>
      </c>
      <c r="S517" s="525" t="s">
        <v>1237</v>
      </c>
      <c r="T517" s="525">
        <f>'HIV-Key Info'!$I$79*(('HIV-Key Info'!$E$79*'HPM costs'!H33)+('HIV-Key Info'!$F$79*('HPM costs'!H36+'HPM costs'!H39)))</f>
        <v>0</v>
      </c>
      <c r="U517" s="525" t="s">
        <v>1237</v>
      </c>
      <c r="V517" s="525">
        <f>'HIV-Key Info'!$I$79*(('HIV-Key Info'!$E$79*'HPM costs'!I33)+('HIV-Key Info'!$F$79*('HPM costs'!I36+'HPM costs'!I39)))</f>
        <v>0</v>
      </c>
      <c r="W517" s="525"/>
      <c r="X517" s="1154">
        <f t="shared" si="54"/>
        <v>0</v>
      </c>
      <c r="Y517" s="1155"/>
      <c r="Z517" s="1156"/>
      <c r="AA517" s="529"/>
      <c r="AB517" s="525"/>
      <c r="AC517" s="525">
        <f>'HIV-Key Info'!$I$79*(('HIV-Key Info'!$E$79*'HPM costs'!K33)+('HIV-Key Info'!$F$79*('HPM costs'!K36+'HPM costs'!K39)))</f>
        <v>0</v>
      </c>
      <c r="AD517" s="525"/>
      <c r="AE517" s="525">
        <f>'HIV-Key Info'!$I$79*(('HIV-Key Info'!$E$79*'HPM costs'!L33)+('HIV-Key Info'!$F$79*('HPM costs'!L36+'HPM costs'!L39)))</f>
        <v>0</v>
      </c>
      <c r="AF517" s="525"/>
      <c r="AG517" s="525">
        <f>'HIV-Key Info'!$I$79*(('HIV-Key Info'!$E$79*'HPM costs'!M33)+('HIV-Key Info'!$F$79*('HPM costs'!M36+'HPM costs'!M39)))</f>
        <v>0</v>
      </c>
      <c r="AH517" s="525"/>
      <c r="AI517" s="525">
        <f>'HIV-Key Info'!$I$79*(('HIV-Key Info'!$E$79*'HPM costs'!N33)+('HIV-Key Info'!$F$79*('HPM costs'!N36+'HPM costs'!N39)))</f>
        <v>0</v>
      </c>
      <c r="AJ517" s="525"/>
      <c r="AK517" s="1154">
        <f t="shared" si="55"/>
        <v>0</v>
      </c>
      <c r="AL517" s="1155"/>
      <c r="AM517" s="1156"/>
      <c r="AN517" s="529"/>
      <c r="AO517" s="525"/>
      <c r="AP517" s="525">
        <f>'HIV-Key Info'!$I$79*(('HIV-Key Info'!$E$79*'HPM costs'!P33)+('HIV-Key Info'!$F$79*('HPM costs'!P36+'HPM costs'!P39)))</f>
        <v>0</v>
      </c>
      <c r="AQ517" s="525"/>
      <c r="AR517" s="525">
        <f>'HIV-Key Info'!$I$79*(('HIV-Key Info'!$E$79*'HPM costs'!Q33)+('HIV-Key Info'!$F$79*('HPM costs'!Q36+'HPM costs'!Q39)))</f>
        <v>0</v>
      </c>
      <c r="AS517" s="525"/>
      <c r="AT517" s="525">
        <f>'HIV-Key Info'!$I$79*(('HIV-Key Info'!$E$79*'HPM costs'!R33)+('HIV-Key Info'!$F$79*('HPM costs'!R36+'HPM costs'!R39)))</f>
        <v>0</v>
      </c>
      <c r="AU517" s="525"/>
      <c r="AV517" s="525">
        <f>'HIV-Key Info'!$I$79*(('HIV-Key Info'!$E$79*'HPM costs'!S33)+('HIV-Key Info'!$F$79*('HPM costs'!S36+'HPM costs'!S39)))</f>
        <v>0</v>
      </c>
      <c r="AW517" s="525"/>
      <c r="AX517" s="1154">
        <f t="shared" si="56"/>
        <v>0</v>
      </c>
      <c r="AY517" s="1154"/>
      <c r="AZ517" s="528"/>
      <c r="BA517" s="529"/>
      <c r="BB517" s="527"/>
      <c r="BC517" s="527">
        <v>0</v>
      </c>
      <c r="BD517" s="527">
        <v>0</v>
      </c>
      <c r="BE517" s="527">
        <v>0</v>
      </c>
      <c r="BF517" s="527">
        <v>0</v>
      </c>
      <c r="BG517" s="527">
        <v>0</v>
      </c>
      <c r="BH517" s="527">
        <v>0</v>
      </c>
      <c r="BI517" s="527">
        <v>0</v>
      </c>
      <c r="BJ517" s="527">
        <v>0</v>
      </c>
      <c r="BK517" s="1154">
        <f t="shared" si="57"/>
        <v>0</v>
      </c>
      <c r="BL517" s="1154"/>
      <c r="BM517" s="1154">
        <f t="shared" si="58"/>
        <v>0</v>
      </c>
      <c r="BN517" s="1154">
        <f t="shared" si="59"/>
        <v>0</v>
      </c>
      <c r="BO517" s="527"/>
      <c r="BP517" s="527"/>
      <c r="BQ517" s="1157" t="s">
        <v>2557</v>
      </c>
      <c r="BR517" s="1157" t="s">
        <v>690</v>
      </c>
      <c r="BS517" s="1157" t="s">
        <v>527</v>
      </c>
      <c r="BT517" s="1376" t="s">
        <v>1821</v>
      </c>
    </row>
    <row r="518" spans="1:72" s="1371" customFormat="1" ht="13">
      <c r="A518" s="1204">
        <v>1074</v>
      </c>
      <c r="B518" s="1205" t="s">
        <v>672</v>
      </c>
      <c r="C518" s="1205" t="s">
        <v>675</v>
      </c>
      <c r="D518" s="1206" t="s">
        <v>2524</v>
      </c>
      <c r="E518" s="1386" t="s">
        <v>530</v>
      </c>
      <c r="F518" s="521"/>
      <c r="G518" s="522"/>
      <c r="H518" s="522"/>
      <c r="I518" s="522"/>
      <c r="J518" s="523"/>
      <c r="K518" s="523"/>
      <c r="L518" s="523"/>
      <c r="M518" s="524"/>
      <c r="N518" s="525"/>
      <c r="O518" s="526" t="s">
        <v>1237</v>
      </c>
      <c r="P518" s="525">
        <f>'HIV-Key Info'!$I$79*(('HIV-Key Info'!$E$79*'HPM costs'!F119)+('HIV-Key Info'!$F$79*('HPM costs'!F122+'HPM costs'!F125)))</f>
        <v>0</v>
      </c>
      <c r="Q518" s="525" t="s">
        <v>1237</v>
      </c>
      <c r="R518" s="525">
        <f>'HIV-Key Info'!$I$79*(('HIV-Key Info'!$E$79*'HPM costs'!G119)+('HIV-Key Info'!$F$79*('HPM costs'!G122+'HPM costs'!G125)))</f>
        <v>0</v>
      </c>
      <c r="S518" s="525" t="s">
        <v>1237</v>
      </c>
      <c r="T518" s="525">
        <f>'HIV-Key Info'!$I$79*(('HIV-Key Info'!$E$79*'HPM costs'!H119)+('HIV-Key Info'!$F$79*('HPM costs'!H122+'HPM costs'!H125)))</f>
        <v>0</v>
      </c>
      <c r="U518" s="525" t="s">
        <v>1237</v>
      </c>
      <c r="V518" s="525">
        <f>'HIV-Key Info'!$I$79*(('HIV-Key Info'!$E$79*'HPM costs'!I119)+('HIV-Key Info'!$F$79*('HPM costs'!I122+'HPM costs'!I125)))</f>
        <v>0</v>
      </c>
      <c r="W518" s="525"/>
      <c r="X518" s="1154">
        <f t="shared" si="54"/>
        <v>0</v>
      </c>
      <c r="Y518" s="1155"/>
      <c r="Z518" s="1156"/>
      <c r="AA518" s="529"/>
      <c r="AB518" s="525"/>
      <c r="AC518" s="525">
        <f>'HIV-Key Info'!$I$79*(('HIV-Key Info'!$E$79*'HPM costs'!K119)+('HIV-Key Info'!$F$79*('HPM costs'!K122+'HPM costs'!K125)))</f>
        <v>0</v>
      </c>
      <c r="AD518" s="525"/>
      <c r="AE518" s="525">
        <f>'HIV-Key Info'!$I$79*(('HIV-Key Info'!$E$79*'HPM costs'!L119)+('HIV-Key Info'!$F$79*('HPM costs'!L122+'HPM costs'!L125)))</f>
        <v>0</v>
      </c>
      <c r="AF518" s="525"/>
      <c r="AG518" s="525">
        <f>'HIV-Key Info'!$I$79*(('HIV-Key Info'!$E$79*'HPM costs'!M119)+('HIV-Key Info'!$F$79*('HPM costs'!M122+'HPM costs'!M125)))</f>
        <v>0</v>
      </c>
      <c r="AH518" s="525"/>
      <c r="AI518" s="525">
        <f>'HIV-Key Info'!$I$79*(('HIV-Key Info'!$E$79*'HPM costs'!N119)+('HIV-Key Info'!$F$79*('HPM costs'!N122+'HPM costs'!N125)))</f>
        <v>0</v>
      </c>
      <c r="AJ518" s="525"/>
      <c r="AK518" s="1154">
        <f t="shared" si="55"/>
        <v>0</v>
      </c>
      <c r="AL518" s="1155"/>
      <c r="AM518" s="1156"/>
      <c r="AN518" s="529"/>
      <c r="AO518" s="525"/>
      <c r="AP518" s="525">
        <f>'HIV-Key Info'!$I$79*(('HIV-Key Info'!$E$79*'HPM costs'!P119)+('HIV-Key Info'!$F$79*('HPM costs'!P122+'HPM costs'!P125)))</f>
        <v>0</v>
      </c>
      <c r="AQ518" s="525"/>
      <c r="AR518" s="525">
        <f>'HIV-Key Info'!$I$79*(('HIV-Key Info'!$E$79*'HPM costs'!Q119)+('HIV-Key Info'!$F$79*('HPM costs'!Q122+'HPM costs'!Q125)))</f>
        <v>0</v>
      </c>
      <c r="AS518" s="525"/>
      <c r="AT518" s="525">
        <f>'HIV-Key Info'!$I$79*(('HIV-Key Info'!$E$79*'HPM costs'!R119)+('HIV-Key Info'!$F$79*('HPM costs'!R122+'HPM costs'!R125)))</f>
        <v>0</v>
      </c>
      <c r="AU518" s="525"/>
      <c r="AV518" s="525">
        <f>'HIV-Key Info'!$I$79*(('HIV-Key Info'!$E$79*'HPM costs'!S119)+('HIV-Key Info'!$F$79*('HPM costs'!S122+'HPM costs'!S125)))</f>
        <v>0</v>
      </c>
      <c r="AW518" s="525"/>
      <c r="AX518" s="1154">
        <f t="shared" si="56"/>
        <v>0</v>
      </c>
      <c r="AY518" s="1154"/>
      <c r="AZ518" s="528"/>
      <c r="BA518" s="529"/>
      <c r="BB518" s="527"/>
      <c r="BC518" s="527">
        <v>0</v>
      </c>
      <c r="BD518" s="527">
        <v>0</v>
      </c>
      <c r="BE518" s="527">
        <v>0</v>
      </c>
      <c r="BF518" s="527">
        <v>0</v>
      </c>
      <c r="BG518" s="527">
        <v>0</v>
      </c>
      <c r="BH518" s="527">
        <v>0</v>
      </c>
      <c r="BI518" s="527">
        <v>0</v>
      </c>
      <c r="BJ518" s="527">
        <v>0</v>
      </c>
      <c r="BK518" s="1154">
        <f t="shared" si="57"/>
        <v>0</v>
      </c>
      <c r="BL518" s="1154"/>
      <c r="BM518" s="1154">
        <f t="shared" si="58"/>
        <v>0</v>
      </c>
      <c r="BN518" s="1154">
        <f t="shared" si="59"/>
        <v>0</v>
      </c>
      <c r="BO518" s="527"/>
      <c r="BP518" s="527"/>
      <c r="BQ518" s="1157" t="s">
        <v>2557</v>
      </c>
      <c r="BR518" s="1157" t="s">
        <v>690</v>
      </c>
      <c r="BS518" s="1157" t="s">
        <v>527</v>
      </c>
      <c r="BT518" s="1376" t="s">
        <v>1822</v>
      </c>
    </row>
    <row r="519" spans="1:72" s="1371" customFormat="1" ht="13">
      <c r="A519" s="1204">
        <v>1075</v>
      </c>
      <c r="B519" s="1205" t="s">
        <v>672</v>
      </c>
      <c r="C519" s="1205" t="s">
        <v>675</v>
      </c>
      <c r="D519" s="1206" t="s">
        <v>2524</v>
      </c>
      <c r="E519" s="1386" t="s">
        <v>532</v>
      </c>
      <c r="F519" s="521"/>
      <c r="G519" s="522"/>
      <c r="H519" s="522"/>
      <c r="I519" s="522"/>
      <c r="J519" s="523"/>
      <c r="K519" s="523"/>
      <c r="L519" s="523"/>
      <c r="M519" s="524"/>
      <c r="N519" s="525"/>
      <c r="O519" s="526" t="s">
        <v>1237</v>
      </c>
      <c r="P519" s="525">
        <f>'HIV-Key Info'!$I$79*(('HIV-Key Info'!$E$79*'HPM costs'!F379)+('HIV-Key Info'!$F$79*('HPM costs'!F382+'HPM costs'!F385)))</f>
        <v>0</v>
      </c>
      <c r="Q519" s="525" t="s">
        <v>1237</v>
      </c>
      <c r="R519" s="525">
        <f>'HIV-Key Info'!$I$79*(('HIV-Key Info'!$E$79*'HPM costs'!G379)+('HIV-Key Info'!$F$79*('HPM costs'!G382+'HPM costs'!G385)))</f>
        <v>0</v>
      </c>
      <c r="S519" s="525" t="s">
        <v>1237</v>
      </c>
      <c r="T519" s="525">
        <f>'HIV-Key Info'!$I$79*(('HIV-Key Info'!$E$79*'HPM costs'!H379)+('HIV-Key Info'!$F$79*('HPM costs'!H382+'HPM costs'!H385)))</f>
        <v>0</v>
      </c>
      <c r="U519" s="525" t="s">
        <v>1237</v>
      </c>
      <c r="V519" s="525">
        <f>'HIV-Key Info'!$I$79*(('HIV-Key Info'!$E$79*'HPM costs'!I379)+('HIV-Key Info'!$F$79*('HPM costs'!I382+'HPM costs'!I385)))</f>
        <v>0</v>
      </c>
      <c r="W519" s="525"/>
      <c r="X519" s="1154">
        <f t="shared" si="54"/>
        <v>0</v>
      </c>
      <c r="Y519" s="1155"/>
      <c r="Z519" s="1156"/>
      <c r="AA519" s="529"/>
      <c r="AB519" s="525"/>
      <c r="AC519" s="525">
        <f>'HIV-Key Info'!$I$79*(('HIV-Key Info'!$E$79*'HPM costs'!K379)+('HIV-Key Info'!$F$79*('HPM costs'!K382+'HPM costs'!K385)))</f>
        <v>0</v>
      </c>
      <c r="AD519" s="525"/>
      <c r="AE519" s="525">
        <f>'HIV-Key Info'!$I$79*(('HIV-Key Info'!$E$79*'HPM costs'!L379)+('HIV-Key Info'!$F$79*('HPM costs'!L382+'HPM costs'!L385)))</f>
        <v>0</v>
      </c>
      <c r="AF519" s="525"/>
      <c r="AG519" s="525">
        <f>'HIV-Key Info'!$I$79*(('HIV-Key Info'!$E$79*'HPM costs'!M379)+('HIV-Key Info'!$F$79*('HPM costs'!M382+'HPM costs'!M385)))</f>
        <v>0</v>
      </c>
      <c r="AH519" s="525"/>
      <c r="AI519" s="525">
        <f>'HIV-Key Info'!$I$79*(('HIV-Key Info'!$E$79*'HPM costs'!N379)+('HIV-Key Info'!$F$79*('HPM costs'!N382+'HPM costs'!N385)))</f>
        <v>0</v>
      </c>
      <c r="AJ519" s="525"/>
      <c r="AK519" s="1154">
        <f t="shared" si="55"/>
        <v>0</v>
      </c>
      <c r="AL519" s="1155"/>
      <c r="AM519" s="1156"/>
      <c r="AN519" s="529"/>
      <c r="AO519" s="525"/>
      <c r="AP519" s="525">
        <f>'HIV-Key Info'!$I$79*(('HIV-Key Info'!$E$79*'HPM costs'!P379)+('HIV-Key Info'!$F$79*('HPM costs'!P382+'HPM costs'!P385)))</f>
        <v>0</v>
      </c>
      <c r="AQ519" s="525"/>
      <c r="AR519" s="525">
        <f>'HIV-Key Info'!$I$79*(('HIV-Key Info'!$E$79*'HPM costs'!Q379)+('HIV-Key Info'!$F$79*('HPM costs'!Q382+'HPM costs'!Q385)))</f>
        <v>0</v>
      </c>
      <c r="AS519" s="525"/>
      <c r="AT519" s="525">
        <f>'HIV-Key Info'!$I$79*(('HIV-Key Info'!$E$79*'HPM costs'!R379)+('HIV-Key Info'!$F$79*('HPM costs'!R382+'HPM costs'!R385)))</f>
        <v>0</v>
      </c>
      <c r="AU519" s="525"/>
      <c r="AV519" s="525">
        <f>'HIV-Key Info'!$I$79*(('HIV-Key Info'!$E$79*'HPM costs'!S379)+('HIV-Key Info'!$F$79*('HPM costs'!S382+'HPM costs'!S385)))</f>
        <v>0</v>
      </c>
      <c r="AW519" s="525"/>
      <c r="AX519" s="1154">
        <f t="shared" si="56"/>
        <v>0</v>
      </c>
      <c r="AY519" s="1154"/>
      <c r="AZ519" s="528"/>
      <c r="BA519" s="529"/>
      <c r="BB519" s="527"/>
      <c r="BC519" s="527">
        <v>0</v>
      </c>
      <c r="BD519" s="527">
        <v>0</v>
      </c>
      <c r="BE519" s="527">
        <v>0</v>
      </c>
      <c r="BF519" s="527">
        <v>0</v>
      </c>
      <c r="BG519" s="527">
        <v>0</v>
      </c>
      <c r="BH519" s="527">
        <v>0</v>
      </c>
      <c r="BI519" s="527">
        <v>0</v>
      </c>
      <c r="BJ519" s="527">
        <v>0</v>
      </c>
      <c r="BK519" s="1154">
        <f t="shared" si="57"/>
        <v>0</v>
      </c>
      <c r="BL519" s="1154"/>
      <c r="BM519" s="1154">
        <f t="shared" si="58"/>
        <v>0</v>
      </c>
      <c r="BN519" s="1154">
        <f t="shared" si="59"/>
        <v>0</v>
      </c>
      <c r="BO519" s="527"/>
      <c r="BP519" s="527"/>
      <c r="BQ519" s="1157" t="s">
        <v>2557</v>
      </c>
      <c r="BR519" s="1157" t="s">
        <v>690</v>
      </c>
      <c r="BS519" s="1157" t="s">
        <v>527</v>
      </c>
      <c r="BT519" s="1376" t="s">
        <v>1823</v>
      </c>
    </row>
    <row r="520" spans="1:72" s="1371" customFormat="1" ht="13">
      <c r="A520" s="1204">
        <v>1076</v>
      </c>
      <c r="B520" s="1205" t="s">
        <v>672</v>
      </c>
      <c r="C520" s="1205" t="s">
        <v>675</v>
      </c>
      <c r="D520" s="1206" t="s">
        <v>2524</v>
      </c>
      <c r="E520" s="1386" t="s">
        <v>534</v>
      </c>
      <c r="F520" s="521"/>
      <c r="G520" s="522"/>
      <c r="H520" s="522"/>
      <c r="I520" s="522"/>
      <c r="J520" s="523"/>
      <c r="K520" s="523"/>
      <c r="L520" s="523"/>
      <c r="M520" s="524"/>
      <c r="N520" s="525"/>
      <c r="O520" s="526" t="s">
        <v>1237</v>
      </c>
      <c r="P520" s="525">
        <f>'HIV-Key Info'!$I$79*(('HIV-Key Info'!$E$79*'HPM costs'!F465)+('HIV-Key Info'!$F$79*('HPM costs'!F468+'HPM costs'!F471)))</f>
        <v>0</v>
      </c>
      <c r="Q520" s="525" t="s">
        <v>1237</v>
      </c>
      <c r="R520" s="525">
        <f>'HIV-Key Info'!$I$79*(('HIV-Key Info'!$E$79*'HPM costs'!G465)+('HIV-Key Info'!$F$79*('HPM costs'!G468+'HPM costs'!G471)))</f>
        <v>0</v>
      </c>
      <c r="S520" s="525" t="s">
        <v>1237</v>
      </c>
      <c r="T520" s="525">
        <f>'HIV-Key Info'!$I$79*(('HIV-Key Info'!$E$79*'HPM costs'!H465)+('HIV-Key Info'!$F$79*('HPM costs'!H468+'HPM costs'!H471)))</f>
        <v>0</v>
      </c>
      <c r="U520" s="525" t="s">
        <v>1237</v>
      </c>
      <c r="V520" s="525">
        <f>'HIV-Key Info'!$I$79*(('HIV-Key Info'!$E$79*'HPM costs'!I465)+('HIV-Key Info'!$F$79*('HPM costs'!I468+'HPM costs'!I471)))</f>
        <v>0</v>
      </c>
      <c r="W520" s="525"/>
      <c r="X520" s="1154">
        <f t="shared" si="54"/>
        <v>0</v>
      </c>
      <c r="Y520" s="1155"/>
      <c r="Z520" s="1156"/>
      <c r="AA520" s="529"/>
      <c r="AB520" s="525"/>
      <c r="AC520" s="525">
        <f>'HIV-Key Info'!$I$79*(('HIV-Key Info'!$E$79*'HPM costs'!K465)+('HIV-Key Info'!$F$79*('HPM costs'!K468+'HPM costs'!K471)))</f>
        <v>0</v>
      </c>
      <c r="AD520" s="525"/>
      <c r="AE520" s="525">
        <f>'HIV-Key Info'!$I$79*(('HIV-Key Info'!$E$79*'HPM costs'!L465)+('HIV-Key Info'!$F$79*('HPM costs'!L468+'HPM costs'!L471)))</f>
        <v>0</v>
      </c>
      <c r="AF520" s="525"/>
      <c r="AG520" s="525">
        <f>'HIV-Key Info'!$I$79*(('HIV-Key Info'!$E$79*'HPM costs'!M465)+('HIV-Key Info'!$F$79*('HPM costs'!M468+'HPM costs'!M471)))</f>
        <v>0</v>
      </c>
      <c r="AH520" s="525"/>
      <c r="AI520" s="525">
        <f>'HIV-Key Info'!$I$79*(('HIV-Key Info'!$E$79*'HPM costs'!N465)+('HIV-Key Info'!$F$79*('HPM costs'!N468+'HPM costs'!N471)))</f>
        <v>0</v>
      </c>
      <c r="AJ520" s="525"/>
      <c r="AK520" s="1154">
        <f t="shared" si="55"/>
        <v>0</v>
      </c>
      <c r="AL520" s="1155"/>
      <c r="AM520" s="1156"/>
      <c r="AN520" s="529"/>
      <c r="AO520" s="525"/>
      <c r="AP520" s="525">
        <f>'HIV-Key Info'!$I$79*(('HIV-Key Info'!$E$79*'HPM costs'!P465)+('HIV-Key Info'!$F$79*('HPM costs'!P468+'HPM costs'!P471)))</f>
        <v>0</v>
      </c>
      <c r="AQ520" s="525"/>
      <c r="AR520" s="525">
        <f>'HIV-Key Info'!$I$79*(('HIV-Key Info'!$E$79*'HPM costs'!Q465)+('HIV-Key Info'!$F$79*('HPM costs'!Q468+'HPM costs'!Q471)))</f>
        <v>0</v>
      </c>
      <c r="AS520" s="525"/>
      <c r="AT520" s="525">
        <f>'HIV-Key Info'!$I$79*(('HIV-Key Info'!$E$79*'HPM costs'!R465)+('HIV-Key Info'!$F$79*('HPM costs'!R468+'HPM costs'!R471)))</f>
        <v>0</v>
      </c>
      <c r="AU520" s="525"/>
      <c r="AV520" s="525">
        <f>'HIV-Key Info'!$I$79*(('HIV-Key Info'!$E$79*'HPM costs'!S465)+('HIV-Key Info'!$F$79*('HPM costs'!S468+'HPM costs'!S471)))</f>
        <v>0</v>
      </c>
      <c r="AW520" s="525"/>
      <c r="AX520" s="1154">
        <f t="shared" si="56"/>
        <v>0</v>
      </c>
      <c r="AY520" s="1154"/>
      <c r="AZ520" s="528"/>
      <c r="BA520" s="529"/>
      <c r="BB520" s="527"/>
      <c r="BC520" s="527">
        <v>0</v>
      </c>
      <c r="BD520" s="527">
        <v>0</v>
      </c>
      <c r="BE520" s="527">
        <v>0</v>
      </c>
      <c r="BF520" s="527">
        <v>0</v>
      </c>
      <c r="BG520" s="527">
        <v>0</v>
      </c>
      <c r="BH520" s="527">
        <v>0</v>
      </c>
      <c r="BI520" s="527">
        <v>0</v>
      </c>
      <c r="BJ520" s="527">
        <v>0</v>
      </c>
      <c r="BK520" s="1154">
        <f t="shared" si="57"/>
        <v>0</v>
      </c>
      <c r="BL520" s="1154"/>
      <c r="BM520" s="1154">
        <f t="shared" si="58"/>
        <v>0</v>
      </c>
      <c r="BN520" s="1154">
        <f t="shared" si="59"/>
        <v>0</v>
      </c>
      <c r="BO520" s="527"/>
      <c r="BP520" s="527"/>
      <c r="BQ520" s="1157" t="s">
        <v>2557</v>
      </c>
      <c r="BR520" s="1157" t="s">
        <v>690</v>
      </c>
      <c r="BS520" s="1157" t="s">
        <v>527</v>
      </c>
      <c r="BT520" s="1376" t="s">
        <v>1824</v>
      </c>
    </row>
    <row r="521" spans="1:72" s="1371" customFormat="1" ht="13">
      <c r="A521" s="1204">
        <v>1077</v>
      </c>
      <c r="B521" s="1205" t="s">
        <v>672</v>
      </c>
      <c r="C521" s="1205" t="s">
        <v>675</v>
      </c>
      <c r="D521" s="1206" t="s">
        <v>2524</v>
      </c>
      <c r="E521" s="1386" t="s">
        <v>536</v>
      </c>
      <c r="F521" s="521"/>
      <c r="G521" s="522"/>
      <c r="H521" s="522"/>
      <c r="I521" s="522"/>
      <c r="J521" s="523"/>
      <c r="K521" s="523"/>
      <c r="L521" s="523"/>
      <c r="M521" s="524"/>
      <c r="N521" s="525"/>
      <c r="O521" s="526" t="s">
        <v>1237</v>
      </c>
      <c r="P521" s="525">
        <f>'HIV-Key Info'!$I$79*(('HIV-Key Info'!$E$79*('HPM costs'!F205+'HPM costs'!F551))+('HIV-Key Info'!$F$79*('HPM costs'!F208+'HPM costs'!F211+'HPM costs'!F554+'HPM costs'!F557)))</f>
        <v>0</v>
      </c>
      <c r="Q521" s="525" t="s">
        <v>1237</v>
      </c>
      <c r="R521" s="525">
        <f>'HIV-Key Info'!$I$79*(('HIV-Key Info'!$E$79*('HPM costs'!G205+'HPM costs'!G551))+('HIV-Key Info'!$F$79*('HPM costs'!G208+'HPM costs'!G211+'HPM costs'!G554+'HPM costs'!G557)))</f>
        <v>0</v>
      </c>
      <c r="S521" s="525" t="s">
        <v>1237</v>
      </c>
      <c r="T521" s="525">
        <f>'HIV-Key Info'!$I$79*(('HIV-Key Info'!$E$79*('HPM costs'!H205+'HPM costs'!H551))+('HIV-Key Info'!$F$79*('HPM costs'!H208+'HPM costs'!H211+'HPM costs'!H554+'HPM costs'!H557)))</f>
        <v>0</v>
      </c>
      <c r="U521" s="525" t="s">
        <v>1237</v>
      </c>
      <c r="V521" s="525">
        <f>'HIV-Key Info'!$I$79*(('HIV-Key Info'!$E$79*('HPM costs'!I205+'HPM costs'!I551))+('HIV-Key Info'!$F$79*('HPM costs'!I208+'HPM costs'!I211+'HPM costs'!I554+'HPM costs'!I557)))</f>
        <v>0</v>
      </c>
      <c r="W521" s="525"/>
      <c r="X521" s="1154">
        <f t="shared" si="54"/>
        <v>0</v>
      </c>
      <c r="Y521" s="1155"/>
      <c r="Z521" s="1156"/>
      <c r="AA521" s="529"/>
      <c r="AB521" s="525"/>
      <c r="AC521" s="525">
        <f>'HIV-Key Info'!$I$79*(('HIV-Key Info'!$E$79*('HPM costs'!K205+'HPM costs'!K551))+('HIV-Key Info'!$F$79*('HPM costs'!K208+'HPM costs'!K211+'HPM costs'!K554+'HPM costs'!K557)))</f>
        <v>0</v>
      </c>
      <c r="AD521" s="525"/>
      <c r="AE521" s="525">
        <f>'HIV-Key Info'!$I$79*(('HIV-Key Info'!$E$79*('HPM costs'!L205+'HPM costs'!L551))+('HIV-Key Info'!$F$79*('HPM costs'!L208+'HPM costs'!L211+'HPM costs'!L554+'HPM costs'!L557)))</f>
        <v>0</v>
      </c>
      <c r="AF521" s="525"/>
      <c r="AG521" s="525">
        <f>'HIV-Key Info'!$I$79*(('HIV-Key Info'!$E$79*('HPM costs'!M205+'HPM costs'!M551))+('HIV-Key Info'!$F$79*('HPM costs'!M208+'HPM costs'!M211+'HPM costs'!M554+'HPM costs'!M557)))</f>
        <v>0</v>
      </c>
      <c r="AH521" s="525"/>
      <c r="AI521" s="525">
        <f>'HIV-Key Info'!$I$79*(('HIV-Key Info'!$E$79*('HPM costs'!N205+'HPM costs'!N551))+('HIV-Key Info'!$F$79*('HPM costs'!N208+'HPM costs'!N211+'HPM costs'!N554+'HPM costs'!N557)))</f>
        <v>0</v>
      </c>
      <c r="AJ521" s="525"/>
      <c r="AK521" s="1154">
        <f t="shared" si="55"/>
        <v>0</v>
      </c>
      <c r="AL521" s="1155"/>
      <c r="AM521" s="1156"/>
      <c r="AN521" s="529"/>
      <c r="AO521" s="525"/>
      <c r="AP521" s="525">
        <f>'HIV-Key Info'!$I$79*(('HIV-Key Info'!$E$79*('HPM costs'!P205+'HPM costs'!P551))+('HIV-Key Info'!$F$79*('HPM costs'!P208+'HPM costs'!P211+'HPM costs'!P554+'HPM costs'!P557)))</f>
        <v>0</v>
      </c>
      <c r="AQ521" s="525"/>
      <c r="AR521" s="525">
        <f>'HIV-Key Info'!$I$79*(('HIV-Key Info'!$E$79*('HPM costs'!Q205+'HPM costs'!Q551))+('HIV-Key Info'!$F$79*('HPM costs'!Q208+'HPM costs'!Q211+'HPM costs'!Q554+'HPM costs'!Q557)))</f>
        <v>0</v>
      </c>
      <c r="AS521" s="525"/>
      <c r="AT521" s="525">
        <f>'HIV-Key Info'!$I$79*(('HIV-Key Info'!$E$79*('HPM costs'!R205+'HPM costs'!R551))+('HIV-Key Info'!$F$79*('HPM costs'!R208+'HPM costs'!R211+'HPM costs'!R554+'HPM costs'!R557)))</f>
        <v>0</v>
      </c>
      <c r="AU521" s="525"/>
      <c r="AV521" s="525">
        <f>'HIV-Key Info'!$I$79*(('HIV-Key Info'!$E$79*('HPM costs'!S205+'HPM costs'!S551))+('HIV-Key Info'!$F$79*('HPM costs'!S208+'HPM costs'!S211+'HPM costs'!S554+'HPM costs'!S557)))</f>
        <v>0</v>
      </c>
      <c r="AW521" s="525"/>
      <c r="AX521" s="1154">
        <f t="shared" si="56"/>
        <v>0</v>
      </c>
      <c r="AY521" s="1154"/>
      <c r="AZ521" s="528"/>
      <c r="BA521" s="529"/>
      <c r="BB521" s="527"/>
      <c r="BC521" s="527">
        <v>0</v>
      </c>
      <c r="BD521" s="527">
        <v>0</v>
      </c>
      <c r="BE521" s="527">
        <v>0</v>
      </c>
      <c r="BF521" s="527">
        <v>0</v>
      </c>
      <c r="BG521" s="527">
        <v>0</v>
      </c>
      <c r="BH521" s="527">
        <v>0</v>
      </c>
      <c r="BI521" s="527">
        <v>0</v>
      </c>
      <c r="BJ521" s="527">
        <v>0</v>
      </c>
      <c r="BK521" s="1154">
        <f t="shared" si="57"/>
        <v>0</v>
      </c>
      <c r="BL521" s="1154"/>
      <c r="BM521" s="1154">
        <f t="shared" si="58"/>
        <v>0</v>
      </c>
      <c r="BN521" s="1154">
        <f t="shared" si="59"/>
        <v>0</v>
      </c>
      <c r="BO521" s="527"/>
      <c r="BP521" s="527"/>
      <c r="BQ521" s="1157" t="s">
        <v>2557</v>
      </c>
      <c r="BR521" s="1157" t="s">
        <v>690</v>
      </c>
      <c r="BS521" s="1157" t="s">
        <v>527</v>
      </c>
      <c r="BT521" s="1376" t="s">
        <v>1825</v>
      </c>
    </row>
    <row r="522" spans="1:72" s="1371" customFormat="1" ht="13">
      <c r="A522" s="1204">
        <v>1078</v>
      </c>
      <c r="B522" s="1205" t="s">
        <v>672</v>
      </c>
      <c r="C522" s="1205" t="s">
        <v>675</v>
      </c>
      <c r="D522" s="1206" t="s">
        <v>2524</v>
      </c>
      <c r="E522" s="1386" t="s">
        <v>538</v>
      </c>
      <c r="F522" s="521"/>
      <c r="G522" s="522"/>
      <c r="H522" s="522"/>
      <c r="I522" s="522"/>
      <c r="J522" s="523"/>
      <c r="K522" s="523"/>
      <c r="L522" s="523"/>
      <c r="M522" s="524"/>
      <c r="N522" s="525"/>
      <c r="O522" s="526" t="s">
        <v>1237</v>
      </c>
      <c r="P522" s="525">
        <f>'HIV-Key Info'!$I$79*(('HIV-Key Info'!$E$79*'HPM costs'!F291)+('HIV-Key Info'!$F$79*('HPM costs'!F294+'HPM costs'!F297)))</f>
        <v>0</v>
      </c>
      <c r="Q522" s="525" t="s">
        <v>1237</v>
      </c>
      <c r="R522" s="525">
        <f>'HIV-Key Info'!$I$79*(('HIV-Key Info'!$E$79*'HPM costs'!G291)+('HIV-Key Info'!$F$79*('HPM costs'!G294+'HPM costs'!G297)))</f>
        <v>0</v>
      </c>
      <c r="S522" s="525" t="s">
        <v>1237</v>
      </c>
      <c r="T522" s="525">
        <f>'HIV-Key Info'!$I$79*(('HIV-Key Info'!$E$79*'HPM costs'!H291)+('HIV-Key Info'!$F$79*('HPM costs'!H294+'HPM costs'!H297)))</f>
        <v>0</v>
      </c>
      <c r="U522" s="525" t="s">
        <v>1237</v>
      </c>
      <c r="V522" s="525">
        <f>'HIV-Key Info'!$I$79*(('HIV-Key Info'!$E$79*'HPM costs'!I291)+('HIV-Key Info'!$F$79*('HPM costs'!I294+'HPM costs'!I297)))</f>
        <v>0</v>
      </c>
      <c r="W522" s="525"/>
      <c r="X522" s="1154">
        <f t="shared" si="54"/>
        <v>0</v>
      </c>
      <c r="Y522" s="1155"/>
      <c r="Z522" s="1156"/>
      <c r="AA522" s="529"/>
      <c r="AB522" s="525"/>
      <c r="AC522" s="525">
        <f>'HIV-Key Info'!$I$79*(('HIV-Key Info'!$E$79*'HPM costs'!K291)+('HIV-Key Info'!$F$79*('HPM costs'!K294+'HPM costs'!K297)))</f>
        <v>0</v>
      </c>
      <c r="AD522" s="525"/>
      <c r="AE522" s="525">
        <f>'HIV-Key Info'!$I$79*(('HIV-Key Info'!$E$79*'HPM costs'!L291)+('HIV-Key Info'!$F$79*('HPM costs'!L294+'HPM costs'!L297)))</f>
        <v>0</v>
      </c>
      <c r="AF522" s="525"/>
      <c r="AG522" s="525">
        <f>'HIV-Key Info'!$I$79*(('HIV-Key Info'!$E$79*'HPM costs'!M291)+('HIV-Key Info'!$F$79*('HPM costs'!M294+'HPM costs'!M297)))</f>
        <v>0</v>
      </c>
      <c r="AH522" s="525"/>
      <c r="AI522" s="525">
        <f>'HIV-Key Info'!$I$79*(('HIV-Key Info'!$E$79*'HPM costs'!N291)+('HIV-Key Info'!$F$79*('HPM costs'!N294+'HPM costs'!N297)))</f>
        <v>0</v>
      </c>
      <c r="AJ522" s="525"/>
      <c r="AK522" s="1154">
        <f t="shared" si="55"/>
        <v>0</v>
      </c>
      <c r="AL522" s="1155"/>
      <c r="AM522" s="1156"/>
      <c r="AN522" s="529"/>
      <c r="AO522" s="525"/>
      <c r="AP522" s="525">
        <f>'HIV-Key Info'!$I$79*(('HIV-Key Info'!$E$79*'HPM costs'!P291)+('HIV-Key Info'!$F$79*('HPM costs'!P294+'HPM costs'!P297)))</f>
        <v>0</v>
      </c>
      <c r="AQ522" s="525"/>
      <c r="AR522" s="525">
        <f>'HIV-Key Info'!$I$79*(('HIV-Key Info'!$E$79*'HPM costs'!Q291)+('HIV-Key Info'!$F$79*('HPM costs'!Q294+'HPM costs'!Q297)))</f>
        <v>0</v>
      </c>
      <c r="AS522" s="525"/>
      <c r="AT522" s="525">
        <f>'HIV-Key Info'!$I$79*(('HIV-Key Info'!$E$79*'HPM costs'!R291)+('HIV-Key Info'!$F$79*('HPM costs'!R294+'HPM costs'!R297)))</f>
        <v>0</v>
      </c>
      <c r="AU522" s="525"/>
      <c r="AV522" s="525">
        <f>'HIV-Key Info'!$I$79*(('HIV-Key Info'!$E$79*'HPM costs'!S291)+('HIV-Key Info'!$F$79*('HPM costs'!S294+'HPM costs'!S297)))</f>
        <v>0</v>
      </c>
      <c r="AW522" s="525"/>
      <c r="AX522" s="1154">
        <f t="shared" si="56"/>
        <v>0</v>
      </c>
      <c r="AY522" s="1154"/>
      <c r="AZ522" s="528"/>
      <c r="BA522" s="529"/>
      <c r="BB522" s="527"/>
      <c r="BC522" s="527">
        <v>0</v>
      </c>
      <c r="BD522" s="527">
        <v>0</v>
      </c>
      <c r="BE522" s="527">
        <v>0</v>
      </c>
      <c r="BF522" s="527">
        <v>0</v>
      </c>
      <c r="BG522" s="527">
        <v>0</v>
      </c>
      <c r="BH522" s="527">
        <v>0</v>
      </c>
      <c r="BI522" s="527">
        <v>0</v>
      </c>
      <c r="BJ522" s="527">
        <v>0</v>
      </c>
      <c r="BK522" s="1154">
        <f t="shared" si="57"/>
        <v>0</v>
      </c>
      <c r="BL522" s="1154"/>
      <c r="BM522" s="1154">
        <f t="shared" si="58"/>
        <v>0</v>
      </c>
      <c r="BN522" s="1154">
        <f t="shared" si="59"/>
        <v>0</v>
      </c>
      <c r="BO522" s="527"/>
      <c r="BP522" s="527"/>
      <c r="BQ522" s="1157" t="s">
        <v>2557</v>
      </c>
      <c r="BR522" s="1157" t="s">
        <v>690</v>
      </c>
      <c r="BS522" s="1157" t="s">
        <v>527</v>
      </c>
      <c r="BT522" s="1376" t="s">
        <v>1826</v>
      </c>
    </row>
    <row r="523" spans="1:72" s="1371" customFormat="1" ht="13">
      <c r="A523" s="1204">
        <v>1079</v>
      </c>
      <c r="B523" s="1205" t="s">
        <v>672</v>
      </c>
      <c r="C523" s="1205" t="s">
        <v>675</v>
      </c>
      <c r="D523" s="1206" t="s">
        <v>2524</v>
      </c>
      <c r="E523" s="1386" t="s">
        <v>540</v>
      </c>
      <c r="F523" s="521"/>
      <c r="G523" s="522"/>
      <c r="H523" s="522"/>
      <c r="I523" s="522"/>
      <c r="J523" s="523"/>
      <c r="K523" s="523"/>
      <c r="L523" s="523"/>
      <c r="M523" s="524"/>
      <c r="N523" s="525"/>
      <c r="O523" s="526" t="s">
        <v>1237</v>
      </c>
      <c r="P523" s="525">
        <f>'HIV-Key Info'!$I$79*(('HIV-Key Info'!$E$79*'HPM costs'!F636)+('HIV-Key Info'!$F$79*('HPM costs'!F639+'HPM costs'!F642)))</f>
        <v>0</v>
      </c>
      <c r="Q523" s="525" t="s">
        <v>1237</v>
      </c>
      <c r="R523" s="525">
        <f>'HIV-Key Info'!$I$79*(('HIV-Key Info'!$E$79*'HPM costs'!G636)+('HIV-Key Info'!$F$79*('HPM costs'!G639+'HPM costs'!G642)))</f>
        <v>0</v>
      </c>
      <c r="S523" s="525" t="s">
        <v>1237</v>
      </c>
      <c r="T523" s="525">
        <f>'HIV-Key Info'!$I$79*(('HIV-Key Info'!$E$79*'HPM costs'!H636)+('HIV-Key Info'!$F$79*('HPM costs'!H639+'HPM costs'!H642)))</f>
        <v>0</v>
      </c>
      <c r="U523" s="525" t="s">
        <v>1237</v>
      </c>
      <c r="V523" s="525">
        <f>'HIV-Key Info'!$I$79*(('HIV-Key Info'!$E$79*'HPM costs'!I636)+('HIV-Key Info'!$F$79*('HPM costs'!I639+'HPM costs'!I642)))</f>
        <v>0</v>
      </c>
      <c r="W523" s="525"/>
      <c r="X523" s="1154">
        <f t="shared" si="54"/>
        <v>0</v>
      </c>
      <c r="Y523" s="1155"/>
      <c r="Z523" s="1156"/>
      <c r="AA523" s="529"/>
      <c r="AB523" s="525"/>
      <c r="AC523" s="525">
        <f>'HIV-Key Info'!$I$79*(('HIV-Key Info'!$E$79*'HPM costs'!K636)+('HIV-Key Info'!$F$79*('HPM costs'!K639+'HPM costs'!K642)))</f>
        <v>0</v>
      </c>
      <c r="AD523" s="525"/>
      <c r="AE523" s="525">
        <f>'HIV-Key Info'!$I$79*(('HIV-Key Info'!$E$79*'HPM costs'!L636)+('HIV-Key Info'!$F$79*('HPM costs'!L639+'HPM costs'!L642)))</f>
        <v>0</v>
      </c>
      <c r="AF523" s="525"/>
      <c r="AG523" s="525">
        <f>'HIV-Key Info'!$I$79*(('HIV-Key Info'!$E$79*'HPM costs'!M636)+('HIV-Key Info'!$F$79*('HPM costs'!M639+'HPM costs'!M642)))</f>
        <v>0</v>
      </c>
      <c r="AH523" s="525"/>
      <c r="AI523" s="525">
        <f>'HIV-Key Info'!$I$79*(('HIV-Key Info'!$E$79*'HPM costs'!N636)+('HIV-Key Info'!$F$79*('HPM costs'!N639+'HPM costs'!N642)))</f>
        <v>0</v>
      </c>
      <c r="AJ523" s="525"/>
      <c r="AK523" s="1154">
        <f t="shared" si="55"/>
        <v>0</v>
      </c>
      <c r="AL523" s="1155"/>
      <c r="AM523" s="1156"/>
      <c r="AN523" s="529"/>
      <c r="AO523" s="525"/>
      <c r="AP523" s="525">
        <f>'HIV-Key Info'!$I$79*(('HIV-Key Info'!$E$79*'HPM costs'!P636)+('HIV-Key Info'!$F$79*('HPM costs'!P639+'HPM costs'!P642)))</f>
        <v>0</v>
      </c>
      <c r="AQ523" s="525"/>
      <c r="AR523" s="525">
        <f>'HIV-Key Info'!$I$79*(('HIV-Key Info'!$E$79*'HPM costs'!Q636)+('HIV-Key Info'!$F$79*('HPM costs'!Q639+'HPM costs'!Q642)))</f>
        <v>0</v>
      </c>
      <c r="AS523" s="525"/>
      <c r="AT523" s="525">
        <f>'HIV-Key Info'!$I$79*(('HIV-Key Info'!$E$79*'HPM costs'!R636)+('HIV-Key Info'!$F$79*('HPM costs'!R639+'HPM costs'!R642)))</f>
        <v>0</v>
      </c>
      <c r="AU523" s="525"/>
      <c r="AV523" s="525">
        <f>'HIV-Key Info'!$I$79*(('HIV-Key Info'!$E$79*'HPM costs'!S636)+('HIV-Key Info'!$F$79*('HPM costs'!S639+'HPM costs'!S642)))</f>
        <v>0</v>
      </c>
      <c r="AW523" s="525"/>
      <c r="AX523" s="1154">
        <f t="shared" si="56"/>
        <v>0</v>
      </c>
      <c r="AY523" s="1154"/>
      <c r="AZ523" s="528"/>
      <c r="BA523" s="529"/>
      <c r="BB523" s="527"/>
      <c r="BC523" s="527">
        <v>0</v>
      </c>
      <c r="BD523" s="527">
        <v>0</v>
      </c>
      <c r="BE523" s="527">
        <v>0</v>
      </c>
      <c r="BF523" s="527">
        <v>0</v>
      </c>
      <c r="BG523" s="527">
        <v>0</v>
      </c>
      <c r="BH523" s="527">
        <v>0</v>
      </c>
      <c r="BI523" s="527">
        <v>0</v>
      </c>
      <c r="BJ523" s="527">
        <v>0</v>
      </c>
      <c r="BK523" s="1154">
        <f t="shared" si="57"/>
        <v>0</v>
      </c>
      <c r="BL523" s="1154"/>
      <c r="BM523" s="1154">
        <f t="shared" si="58"/>
        <v>0</v>
      </c>
      <c r="BN523" s="1154">
        <f t="shared" si="59"/>
        <v>0</v>
      </c>
      <c r="BO523" s="527"/>
      <c r="BP523" s="527"/>
      <c r="BQ523" s="1157" t="s">
        <v>2557</v>
      </c>
      <c r="BR523" s="1157" t="s">
        <v>690</v>
      </c>
      <c r="BS523" s="1157" t="s">
        <v>527</v>
      </c>
      <c r="BT523" s="1376" t="s">
        <v>1827</v>
      </c>
    </row>
    <row r="524" spans="1:72" s="1371" customFormat="1" ht="13">
      <c r="A524" s="1204">
        <v>1080</v>
      </c>
      <c r="B524" s="1205" t="s">
        <v>676</v>
      </c>
      <c r="C524" s="1205" t="s">
        <v>677</v>
      </c>
      <c r="D524" s="1206" t="s">
        <v>2548</v>
      </c>
      <c r="E524" s="1386" t="s">
        <v>655</v>
      </c>
      <c r="F524" s="521"/>
      <c r="G524" s="522"/>
      <c r="H524" s="522"/>
      <c r="I524" s="522"/>
      <c r="J524" s="523"/>
      <c r="K524" s="523"/>
      <c r="L524" s="523"/>
      <c r="M524" s="524"/>
      <c r="N524" s="525"/>
      <c r="O524" s="526" t="s">
        <v>1237</v>
      </c>
      <c r="P524" s="1110">
        <f>IFERROR(INDEX('HIV-Pharmaceuticals'!$AX$24:$BI$28,MATCH(4.1,'HIV-Pharmaceuticals'!$AW$24:$AW$28,0),MID(LEFT(P$1,SEARCH(" ",P$1)-1),2,3)-INDEX('HIV-Pharmaceuticals'!$AV$24:$AV$28,MATCH(4.1,'HIV-Pharmaceuticals'!$AW$24:$AW$28,0))),0)</f>
        <v>0</v>
      </c>
      <c r="Q524" s="525" t="s">
        <v>1237</v>
      </c>
      <c r="R524" s="1110">
        <f>IFERROR(INDEX('HIV-Pharmaceuticals'!$AX$24:$BI$28,MATCH(4.1,'HIV-Pharmaceuticals'!$AW$24:$AW$28,0),MID(LEFT(R$1,SEARCH(" ",R$1)-1),2,3)-INDEX('HIV-Pharmaceuticals'!$AV$24:$AV$28,MATCH(4.1,'HIV-Pharmaceuticals'!$AW$24:$AW$28,0))),0)</f>
        <v>0</v>
      </c>
      <c r="S524" s="525" t="s">
        <v>1237</v>
      </c>
      <c r="T524" s="1110">
        <f>IFERROR(INDEX('HIV-Pharmaceuticals'!$AX$24:$BI$28,MATCH(4.1,'HIV-Pharmaceuticals'!$AW$24:$AW$28,0),MID(LEFT(T$1,SEARCH(" ",T$1)-1),2,3)-INDEX('HIV-Pharmaceuticals'!$AV$24:$AV$28,MATCH(4.1,'HIV-Pharmaceuticals'!$AW$24:$AW$28,0))),0)</f>
        <v>0</v>
      </c>
      <c r="U524" s="525" t="s">
        <v>1237</v>
      </c>
      <c r="V524" s="1110">
        <f>IFERROR(INDEX('HIV-Pharmaceuticals'!$AX$24:$BI$28,MATCH(4.1,'HIV-Pharmaceuticals'!$AW$24:$AW$28,0),MID(LEFT(V$1,SEARCH(" ",V$1)-1),2,3)-INDEX('HIV-Pharmaceuticals'!$AV$24:$AV$28,MATCH(4.1,'HIV-Pharmaceuticals'!$AW$24:$AW$28,0))),0)</f>
        <v>0</v>
      </c>
      <c r="W524" s="525"/>
      <c r="X524" s="1154">
        <f t="shared" si="54"/>
        <v>0</v>
      </c>
      <c r="Y524" s="1155"/>
      <c r="Z524" s="1156"/>
      <c r="AA524" s="529"/>
      <c r="AB524" s="525"/>
      <c r="AC524" s="1110">
        <f>IFERROR(INDEX('HIV-Pharmaceuticals'!$AX$24:$BI$28,MATCH(4.1,'HIV-Pharmaceuticals'!$AW$24:$AW$28,0),MID(LEFT(AC$1,SEARCH(" ",AC$1)-1),2,3)-INDEX('HIV-Pharmaceuticals'!$AV$24:$AV$28,MATCH(4.1,'HIV-Pharmaceuticals'!$AW$24:$AW$28,0))),0)</f>
        <v>0</v>
      </c>
      <c r="AD524" s="525"/>
      <c r="AE524" s="1110">
        <f>IFERROR(INDEX('HIV-Pharmaceuticals'!$AX$24:$BI$28,MATCH(4.1,'HIV-Pharmaceuticals'!$AW$24:$AW$28,0),MID(LEFT(AE$1,SEARCH(" ",AE$1)-1),2,3)-INDEX('HIV-Pharmaceuticals'!$AV$24:$AV$28,MATCH(4.1,'HIV-Pharmaceuticals'!$AW$24:$AW$28,0))),0)</f>
        <v>0</v>
      </c>
      <c r="AF524" s="525"/>
      <c r="AG524" s="1110">
        <f>IFERROR(INDEX('HIV-Pharmaceuticals'!$AX$24:$BI$28,MATCH(4.1,'HIV-Pharmaceuticals'!$AW$24:$AW$28,0),MID(LEFT(AG$1,SEARCH(" ",AG$1)-1),2,3)-INDEX('HIV-Pharmaceuticals'!$AV$24:$AV$28,MATCH(4.1,'HIV-Pharmaceuticals'!$AW$24:$AW$28,0))),0)</f>
        <v>0</v>
      </c>
      <c r="AH524" s="525"/>
      <c r="AI524" s="1110">
        <f>IFERROR(INDEX('HIV-Pharmaceuticals'!$AX$24:$BI$28,MATCH(4.1,'HIV-Pharmaceuticals'!$AW$24:$AW$28,0),MID(LEFT(AI$1,SEARCH(" ",AI$1)-1),2,3)-INDEX('HIV-Pharmaceuticals'!$AV$24:$AV$28,MATCH(4.1,'HIV-Pharmaceuticals'!$AW$24:$AW$28,0))),0)</f>
        <v>0</v>
      </c>
      <c r="AJ524" s="525"/>
      <c r="AK524" s="1154">
        <f t="shared" si="55"/>
        <v>0</v>
      </c>
      <c r="AL524" s="1155"/>
      <c r="AM524" s="1156"/>
      <c r="AN524" s="529"/>
      <c r="AO524" s="525"/>
      <c r="AP524" s="1110">
        <f>IFERROR(INDEX('HIV-Pharmaceuticals'!$AX$24:$BI$28,MATCH(4.1,'HIV-Pharmaceuticals'!$AW$24:$AW$28,0),MID(LEFT(AP$1,SEARCH(" ",AP$1)-1),2,3)-INDEX('HIV-Pharmaceuticals'!$AV$24:$AV$28,MATCH(4.1,'HIV-Pharmaceuticals'!$AW$24:$AW$28,0))),0)</f>
        <v>0</v>
      </c>
      <c r="AQ524" s="525"/>
      <c r="AR524" s="1110">
        <f>IFERROR(INDEX('HIV-Pharmaceuticals'!$AX$24:$BI$28,MATCH(4.1,'HIV-Pharmaceuticals'!$AW$24:$AW$28,0),MID(LEFT(AR$1,SEARCH(" ",AR$1)-1),2,3)-INDEX('HIV-Pharmaceuticals'!$AV$24:$AV$28,MATCH(4.1,'HIV-Pharmaceuticals'!$AW$24:$AW$28,0))),0)</f>
        <v>0</v>
      </c>
      <c r="AS524" s="525"/>
      <c r="AT524" s="1110">
        <f>IFERROR(INDEX('HIV-Pharmaceuticals'!$AX$24:$BI$28,MATCH(4.1,'HIV-Pharmaceuticals'!$AW$24:$AW$28,0),MID(LEFT(AT$1,SEARCH(" ",AT$1)-1),2,3)-INDEX('HIV-Pharmaceuticals'!$AV$24:$AV$28,MATCH(4.1,'HIV-Pharmaceuticals'!$AW$24:$AW$28,0))),0)</f>
        <v>0</v>
      </c>
      <c r="AU524" s="525"/>
      <c r="AV524" s="525">
        <f>INDEX('HIV-Pharmaceuticals'!$BJ$24:$BJ$28,MATCH(4.1,'HIV-Pharmaceuticals'!$AW$24:$AW$28,0))-SUM(X524,AK524,AP524,AR524,AT524)</f>
        <v>0</v>
      </c>
      <c r="AW524" s="525"/>
      <c r="AX524" s="1154">
        <f t="shared" si="56"/>
        <v>0</v>
      </c>
      <c r="AY524" s="1154"/>
      <c r="AZ524" s="528"/>
      <c r="BA524" s="529"/>
      <c r="BB524" s="527"/>
      <c r="BC524" s="527">
        <v>0</v>
      </c>
      <c r="BD524" s="527">
        <v>0</v>
      </c>
      <c r="BE524" s="527">
        <v>0</v>
      </c>
      <c r="BF524" s="527">
        <v>0</v>
      </c>
      <c r="BG524" s="527">
        <v>0</v>
      </c>
      <c r="BH524" s="527">
        <v>0</v>
      </c>
      <c r="BI524" s="527">
        <v>0</v>
      </c>
      <c r="BJ524" s="527">
        <v>0</v>
      </c>
      <c r="BK524" s="1154">
        <f t="shared" si="57"/>
        <v>0</v>
      </c>
      <c r="BL524" s="1154"/>
      <c r="BM524" s="1154">
        <f t="shared" si="58"/>
        <v>0</v>
      </c>
      <c r="BN524" s="1154">
        <f t="shared" si="59"/>
        <v>0</v>
      </c>
      <c r="BO524" s="527"/>
      <c r="BP524" s="527"/>
      <c r="BQ524" s="1157">
        <v>0</v>
      </c>
      <c r="BR524" s="1157" t="s">
        <v>690</v>
      </c>
      <c r="BS524" s="1157" t="s">
        <v>2548</v>
      </c>
      <c r="BT524" s="1376" t="s">
        <v>1828</v>
      </c>
    </row>
    <row r="525" spans="1:72" s="1371" customFormat="1" ht="13">
      <c r="A525" s="1204">
        <v>1083</v>
      </c>
      <c r="B525" s="1205" t="s">
        <v>676</v>
      </c>
      <c r="C525" s="1205" t="s">
        <v>677</v>
      </c>
      <c r="D525" s="1206" t="s">
        <v>2581</v>
      </c>
      <c r="E525" s="1386" t="s">
        <v>678</v>
      </c>
      <c r="F525" s="521"/>
      <c r="G525" s="522"/>
      <c r="H525" s="522"/>
      <c r="I525" s="522"/>
      <c r="J525" s="523"/>
      <c r="K525" s="523"/>
      <c r="L525" s="523"/>
      <c r="M525" s="524"/>
      <c r="N525" s="525"/>
      <c r="O525" s="526" t="s">
        <v>1237</v>
      </c>
      <c r="P525" s="1110">
        <f>IFERROR(INDEX('HIV-Equipment'!$AW$23:$BH$27,MATCH(6.1,'HIV-Equipment'!$AV$23:$AV$27,0),MID(LEFT(P$1,SEARCH(" ",P$1)-1),2,3)-INDEX('HIV-Equipment'!$AU$23:$AU$27,MATCH(6.1,'HIV-Equipment'!$AV$23:$AV$27,0))),0)</f>
        <v>0</v>
      </c>
      <c r="Q525" s="525" t="s">
        <v>1237</v>
      </c>
      <c r="R525" s="1110">
        <f>IFERROR(INDEX('HIV-Equipment'!$AW$23:$BH$27,MATCH(6.1,'HIV-Equipment'!$AV$23:$AV$27,0),MID(LEFT(R$1,SEARCH(" ",R$1)-1),2,3)-INDEX('HIV-Equipment'!$AU$23:$AU$27,MATCH(6.1,'HIV-Equipment'!$AV$23:$AV$27,0))),0)</f>
        <v>0</v>
      </c>
      <c r="S525" s="525" t="s">
        <v>1237</v>
      </c>
      <c r="T525" s="1110">
        <f>IFERROR(INDEX('HIV-Equipment'!$AW$23:$BH$27,MATCH(6.1,'HIV-Equipment'!$AV$23:$AV$27,0),MID(LEFT(T$1,SEARCH(" ",T$1)-1),2,3)-INDEX('HIV-Equipment'!$AU$23:$AU$27,MATCH(6.1,'HIV-Equipment'!$AV$23:$AV$27,0))),0)</f>
        <v>0</v>
      </c>
      <c r="U525" s="525" t="s">
        <v>1237</v>
      </c>
      <c r="V525" s="1110">
        <f>IFERROR(INDEX('HIV-Equipment'!$AW$23:$BH$27,MATCH(6.1,'HIV-Equipment'!$AV$23:$AV$27,0),MID(LEFT(V$1,SEARCH(" ",V$1)-1),2,3)-INDEX('HIV-Equipment'!$AU$23:$AU$27,MATCH(6.1,'HIV-Equipment'!$AV$23:$AV$27,0))),0)</f>
        <v>0</v>
      </c>
      <c r="W525" s="525"/>
      <c r="X525" s="1154">
        <f t="shared" si="54"/>
        <v>0</v>
      </c>
      <c r="Y525" s="1155"/>
      <c r="Z525" s="1156"/>
      <c r="AA525" s="529"/>
      <c r="AB525" s="525"/>
      <c r="AC525" s="1110">
        <f>IFERROR(INDEX('HIV-Equipment'!$AW$23:$BH$27,MATCH(6.1,'HIV-Equipment'!$AV$23:$AV$27,0),MID(LEFT(AC$1,SEARCH(" ",AC$1)-1),2,3)-INDEX('HIV-Equipment'!$AU$23:$AU$27,MATCH(6.1,'HIV-Equipment'!$AV$23:$AV$27,0))),0)</f>
        <v>0</v>
      </c>
      <c r="AD525" s="525"/>
      <c r="AE525" s="1110">
        <f>IFERROR(INDEX('HIV-Equipment'!$AW$23:$BH$27,MATCH(6.1,'HIV-Equipment'!$AV$23:$AV$27,0),MID(LEFT(AE$1,SEARCH(" ",AE$1)-1),2,3)-INDEX('HIV-Equipment'!$AU$23:$AU$27,MATCH(6.1,'HIV-Equipment'!$AV$23:$AV$27,0))),0)</f>
        <v>0</v>
      </c>
      <c r="AF525" s="525"/>
      <c r="AG525" s="1110">
        <f>IFERROR(INDEX('HIV-Equipment'!$AW$23:$BH$27,MATCH(6.1,'HIV-Equipment'!$AV$23:$AV$27,0),MID(LEFT(AG$1,SEARCH(" ",AG$1)-1),2,3)-INDEX('HIV-Equipment'!$AU$23:$AU$27,MATCH(6.1,'HIV-Equipment'!$AV$23:$AV$27,0))),0)</f>
        <v>0</v>
      </c>
      <c r="AH525" s="525"/>
      <c r="AI525" s="1110">
        <f>IFERROR(INDEX('HIV-Equipment'!$AW$23:$BH$27,MATCH(6.1,'HIV-Equipment'!$AV$23:$AV$27,0),MID(LEFT(AI$1,SEARCH(" ",AI$1)-1),2,3)-INDEX('HIV-Equipment'!$AU$23:$AU$27,MATCH(6.1,'HIV-Equipment'!$AV$23:$AV$27,0))),0)</f>
        <v>0</v>
      </c>
      <c r="AJ525" s="525"/>
      <c r="AK525" s="1154">
        <f t="shared" si="55"/>
        <v>0</v>
      </c>
      <c r="AL525" s="1155"/>
      <c r="AM525" s="1156"/>
      <c r="AN525" s="529"/>
      <c r="AO525" s="525"/>
      <c r="AP525" s="1110">
        <f>IFERROR(INDEX('HIV-Equipment'!$AW$23:$BH$27,MATCH(6.1,'HIV-Equipment'!$AV$23:$AV$27,0),MID(LEFT(AP$1,SEARCH(" ",AP$1)-1),2,3)-INDEX('HIV-Equipment'!$AU$23:$AU$27,MATCH(6.1,'HIV-Equipment'!$AV$23:$AV$27,0))),0)</f>
        <v>0</v>
      </c>
      <c r="AQ525" s="525"/>
      <c r="AR525" s="1110">
        <f>IFERROR(INDEX('HIV-Equipment'!$AW$23:$BH$27,MATCH(6.1,'HIV-Equipment'!$AV$23:$AV$27,0),MID(LEFT(AR$1,SEARCH(" ",AR$1)-1),2,3)-INDEX('HIV-Equipment'!$AU$23:$AU$27,MATCH(6.1,'HIV-Equipment'!$AV$23:$AV$27,0))),0)</f>
        <v>0</v>
      </c>
      <c r="AS525" s="525"/>
      <c r="AT525" s="1110">
        <f>IFERROR(INDEX('HIV-Equipment'!$AW$23:$BH$27,MATCH(6.1,'HIV-Equipment'!$AV$23:$AV$27,0),MID(LEFT(AT$1,SEARCH(" ",AT$1)-1),2,3)-INDEX('HIV-Equipment'!$AU$23:$AU$27,MATCH(6.1,'HIV-Equipment'!$AV$23:$AV$27,0))),0)</f>
        <v>0</v>
      </c>
      <c r="AU525" s="525"/>
      <c r="AV525" s="525">
        <f>INDEX('HIV-Equipment'!$BI$23:$BI$27,MATCH(6.1,'HIV-Equipment'!$AV$23:$AV$27,0))-SUM(X525,AK525,AP525,AR525,AT525)</f>
        <v>0</v>
      </c>
      <c r="AW525" s="525"/>
      <c r="AX525" s="1154">
        <f t="shared" si="56"/>
        <v>0</v>
      </c>
      <c r="AY525" s="1154"/>
      <c r="AZ525" s="528"/>
      <c r="BA525" s="529"/>
      <c r="BB525" s="527"/>
      <c r="BC525" s="527">
        <v>0</v>
      </c>
      <c r="BD525" s="527">
        <v>0</v>
      </c>
      <c r="BE525" s="527">
        <v>0</v>
      </c>
      <c r="BF525" s="527">
        <v>0</v>
      </c>
      <c r="BG525" s="527">
        <v>0</v>
      </c>
      <c r="BH525" s="527">
        <v>0</v>
      </c>
      <c r="BI525" s="527">
        <v>0</v>
      </c>
      <c r="BJ525" s="527">
        <v>0</v>
      </c>
      <c r="BK525" s="1154">
        <f t="shared" si="57"/>
        <v>0</v>
      </c>
      <c r="BL525" s="1154"/>
      <c r="BM525" s="1154">
        <f t="shared" si="58"/>
        <v>0</v>
      </c>
      <c r="BN525" s="1154">
        <f t="shared" si="59"/>
        <v>0</v>
      </c>
      <c r="BO525" s="527"/>
      <c r="BP525" s="527"/>
      <c r="BQ525" s="1157">
        <v>0</v>
      </c>
      <c r="BR525" s="1157" t="s">
        <v>690</v>
      </c>
      <c r="BS525" s="1157" t="s">
        <v>2581</v>
      </c>
      <c r="BT525" s="1376" t="s">
        <v>1829</v>
      </c>
    </row>
    <row r="526" spans="1:72" s="1371" customFormat="1" ht="13">
      <c r="A526" s="1204">
        <v>1084</v>
      </c>
      <c r="B526" s="1205" t="s">
        <v>676</v>
      </c>
      <c r="C526" s="1205" t="s">
        <v>677</v>
      </c>
      <c r="D526" s="1206" t="s">
        <v>2582</v>
      </c>
      <c r="E526" s="1386" t="s">
        <v>671</v>
      </c>
      <c r="F526" s="521"/>
      <c r="G526" s="522"/>
      <c r="H526" s="522"/>
      <c r="I526" s="522"/>
      <c r="J526" s="523"/>
      <c r="K526" s="523"/>
      <c r="L526" s="523"/>
      <c r="M526" s="524"/>
      <c r="N526" s="525"/>
      <c r="O526" s="526" t="s">
        <v>1237</v>
      </c>
      <c r="P526" s="1110">
        <f>IFERROR(INDEX('HIV-Equipment'!$AW$23:$BH$27,MATCH(6.2,'HIV-Equipment'!$AV$23:$AV$27,0),MID(LEFT(P$1,SEARCH(" ",P$1)-1),2,3)-INDEX('HIV-Equipment'!$AU$23:$AU$27,MATCH(6.2,'HIV-Equipment'!$AV$23:$AV$27,0))),0)</f>
        <v>0</v>
      </c>
      <c r="Q526" s="525" t="s">
        <v>1237</v>
      </c>
      <c r="R526" s="1110">
        <f>IFERROR(INDEX('HIV-Equipment'!$AW$23:$BH$27,MATCH(6.2,'HIV-Equipment'!$AV$23:$AV$27,0),MID(LEFT(R$1,SEARCH(" ",R$1)-1),2,3)-INDEX('HIV-Equipment'!$AU$23:$AU$27,MATCH(6.2,'HIV-Equipment'!$AV$23:$AV$27,0))),0)</f>
        <v>0</v>
      </c>
      <c r="S526" s="525" t="s">
        <v>1237</v>
      </c>
      <c r="T526" s="1110">
        <f>IFERROR(INDEX('HIV-Equipment'!$AW$23:$BH$27,MATCH(6.2,'HIV-Equipment'!$AV$23:$AV$27,0),MID(LEFT(T$1,SEARCH(" ",T$1)-1),2,3)-INDEX('HIV-Equipment'!$AU$23:$AU$27,MATCH(6.2,'HIV-Equipment'!$AV$23:$AV$27,0))),0)</f>
        <v>0</v>
      </c>
      <c r="U526" s="525" t="s">
        <v>1237</v>
      </c>
      <c r="V526" s="1110">
        <f>IFERROR(INDEX('HIV-Equipment'!$AW$23:$BH$27,MATCH(6.2,'HIV-Equipment'!$AV$23:$AV$27,0),MID(LEFT(V$1,SEARCH(" ",V$1)-1),2,3)-INDEX('HIV-Equipment'!$AU$23:$AU$27,MATCH(6.2,'HIV-Equipment'!$AV$23:$AV$27,0))),0)</f>
        <v>0</v>
      </c>
      <c r="W526" s="525"/>
      <c r="X526" s="1154">
        <f t="shared" si="54"/>
        <v>0</v>
      </c>
      <c r="Y526" s="1155"/>
      <c r="Z526" s="1156"/>
      <c r="AA526" s="529"/>
      <c r="AB526" s="525"/>
      <c r="AC526" s="1110">
        <f>IFERROR(INDEX('HIV-Equipment'!$AW$23:$BH$27,MATCH(6.2,'HIV-Equipment'!$AV$23:$AV$27,0),MID(LEFT(AC$1,SEARCH(" ",AC$1)-1),2,3)-INDEX('HIV-Equipment'!$AU$23:$AU$27,MATCH(6.2,'HIV-Equipment'!$AV$23:$AV$27,0))),0)</f>
        <v>0</v>
      </c>
      <c r="AD526" s="525"/>
      <c r="AE526" s="1110">
        <f>IFERROR(INDEX('HIV-Equipment'!$AW$23:$BH$27,MATCH(6.2,'HIV-Equipment'!$AV$23:$AV$27,0),MID(LEFT(AE$1,SEARCH(" ",AE$1)-1),2,3)-INDEX('HIV-Equipment'!$AU$23:$AU$27,MATCH(6.2,'HIV-Equipment'!$AV$23:$AV$27,0))),0)</f>
        <v>0</v>
      </c>
      <c r="AF526" s="525"/>
      <c r="AG526" s="1110">
        <f>IFERROR(INDEX('HIV-Equipment'!$AW$23:$BH$27,MATCH(6.2,'HIV-Equipment'!$AV$23:$AV$27,0),MID(LEFT(AG$1,SEARCH(" ",AG$1)-1),2,3)-INDEX('HIV-Equipment'!$AU$23:$AU$27,MATCH(6.2,'HIV-Equipment'!$AV$23:$AV$27,0))),0)</f>
        <v>0</v>
      </c>
      <c r="AH526" s="525"/>
      <c r="AI526" s="1110">
        <f>IFERROR(INDEX('HIV-Equipment'!$AW$23:$BH$27,MATCH(6.2,'HIV-Equipment'!$AV$23:$AV$27,0),MID(LEFT(AI$1,SEARCH(" ",AI$1)-1),2,3)-INDEX('HIV-Equipment'!$AU$23:$AU$27,MATCH(6.2,'HIV-Equipment'!$AV$23:$AV$27,0))),0)</f>
        <v>0</v>
      </c>
      <c r="AJ526" s="525"/>
      <c r="AK526" s="1154">
        <f t="shared" si="55"/>
        <v>0</v>
      </c>
      <c r="AL526" s="1155"/>
      <c r="AM526" s="1156"/>
      <c r="AN526" s="529"/>
      <c r="AO526" s="525"/>
      <c r="AP526" s="1110">
        <f>IFERROR(INDEX('HIV-Equipment'!$AW$23:$BH$27,MATCH(6.2,'HIV-Equipment'!$AV$23:$AV$27,0),MID(LEFT(AP$1,SEARCH(" ",AP$1)-1),2,3)-INDEX('HIV-Equipment'!$AU$23:$AU$27,MATCH(6.2,'HIV-Equipment'!$AV$23:$AV$27,0))),0)</f>
        <v>0</v>
      </c>
      <c r="AQ526" s="525"/>
      <c r="AR526" s="1110">
        <f>IFERROR(INDEX('HIV-Equipment'!$AW$23:$BH$27,MATCH(6.2,'HIV-Equipment'!$AV$23:$AV$27,0),MID(LEFT(AR$1,SEARCH(" ",AR$1)-1),2,3)-INDEX('HIV-Equipment'!$AU$23:$AU$27,MATCH(6.2,'HIV-Equipment'!$AV$23:$AV$27,0))),0)</f>
        <v>0</v>
      </c>
      <c r="AS526" s="525"/>
      <c r="AT526" s="1110">
        <f>IFERROR(INDEX('HIV-Equipment'!$AW$23:$BH$27,MATCH(6.2,'HIV-Equipment'!$AV$23:$AV$27,0),MID(LEFT(AT$1,SEARCH(" ",AT$1)-1),2,3)-INDEX('HIV-Equipment'!$AU$23:$AU$27,MATCH(6.2,'HIV-Equipment'!$AV$23:$AV$27,0))),0)</f>
        <v>0</v>
      </c>
      <c r="AU526" s="525"/>
      <c r="AV526" s="525">
        <f>INDEX('HIV-Equipment'!$BI$23:$BI$27,MATCH(6.2,'HIV-Equipment'!$AV$23:$AV$27,0))-SUM(X526,AK526,AP526,AR526,AT526)</f>
        <v>0</v>
      </c>
      <c r="AW526" s="525"/>
      <c r="AX526" s="1154">
        <f t="shared" si="56"/>
        <v>0</v>
      </c>
      <c r="AY526" s="1154"/>
      <c r="AZ526" s="528"/>
      <c r="BA526" s="529"/>
      <c r="BB526" s="527"/>
      <c r="BC526" s="527">
        <v>0</v>
      </c>
      <c r="BD526" s="527">
        <v>0</v>
      </c>
      <c r="BE526" s="527">
        <v>0</v>
      </c>
      <c r="BF526" s="527">
        <v>0</v>
      </c>
      <c r="BG526" s="527">
        <v>0</v>
      </c>
      <c r="BH526" s="527">
        <v>0</v>
      </c>
      <c r="BI526" s="527">
        <v>0</v>
      </c>
      <c r="BJ526" s="527">
        <v>0</v>
      </c>
      <c r="BK526" s="1154">
        <f t="shared" si="57"/>
        <v>0</v>
      </c>
      <c r="BL526" s="1154"/>
      <c r="BM526" s="1154">
        <f t="shared" si="58"/>
        <v>0</v>
      </c>
      <c r="BN526" s="1154">
        <f t="shared" si="59"/>
        <v>0</v>
      </c>
      <c r="BO526" s="527"/>
      <c r="BP526" s="527"/>
      <c r="BQ526" s="1157">
        <v>0</v>
      </c>
      <c r="BR526" s="1157" t="s">
        <v>690</v>
      </c>
      <c r="BS526" s="1157" t="s">
        <v>2582</v>
      </c>
      <c r="BT526" s="1376" t="s">
        <v>1830</v>
      </c>
    </row>
    <row r="527" spans="1:72" s="1371" customFormat="1" ht="13">
      <c r="A527" s="1204">
        <v>1085</v>
      </c>
      <c r="B527" s="1205" t="s">
        <v>676</v>
      </c>
      <c r="C527" s="1205" t="s">
        <v>677</v>
      </c>
      <c r="D527" s="1206" t="s">
        <v>2566</v>
      </c>
      <c r="E527" s="1386" t="s">
        <v>654</v>
      </c>
      <c r="F527" s="521"/>
      <c r="G527" s="522"/>
      <c r="H527" s="522"/>
      <c r="I527" s="522"/>
      <c r="J527" s="523"/>
      <c r="K527" s="523"/>
      <c r="L527" s="523"/>
      <c r="M527" s="524"/>
      <c r="N527" s="525"/>
      <c r="O527" s="526" t="s">
        <v>1237</v>
      </c>
      <c r="P527" s="1110">
        <f>IFERROR(INDEX('HIV-Equipment'!$AW$23:$BH$27,MATCH(6.4,'HIV-Equipment'!$AV$23:$AV$27,0),MID(LEFT(P$1,SEARCH(" ",P$1)-1),2,3)-INDEX('HIV-Equipment'!$AU$23:$AU$27,MATCH(6.4,'HIV-Equipment'!$AV$23:$AV$27,0))),0)</f>
        <v>0</v>
      </c>
      <c r="Q527" s="525" t="s">
        <v>1237</v>
      </c>
      <c r="R527" s="1110">
        <f>IFERROR(INDEX('HIV-Equipment'!$AW$23:$BH$27,MATCH(6.4,'HIV-Equipment'!$AV$23:$AV$27,0),MID(LEFT(R$1,SEARCH(" ",R$1)-1),2,3)-INDEX('HIV-Equipment'!$AU$23:$AU$27,MATCH(6.4,'HIV-Equipment'!$AV$23:$AV$27,0))),0)</f>
        <v>0</v>
      </c>
      <c r="S527" s="525" t="s">
        <v>1237</v>
      </c>
      <c r="T527" s="1110">
        <f>IFERROR(INDEX('HIV-Equipment'!$AW$23:$BH$27,MATCH(6.4,'HIV-Equipment'!$AV$23:$AV$27,0),MID(LEFT(T$1,SEARCH(" ",T$1)-1),2,3)-INDEX('HIV-Equipment'!$AU$23:$AU$27,MATCH(6.4,'HIV-Equipment'!$AV$23:$AV$27,0))),0)</f>
        <v>0</v>
      </c>
      <c r="U527" s="525" t="s">
        <v>1237</v>
      </c>
      <c r="V527" s="1110">
        <f>IFERROR(INDEX('HIV-Equipment'!$AW$23:$BH$27,MATCH(6.4,'HIV-Equipment'!$AV$23:$AV$27,0),MID(LEFT(V$1,SEARCH(" ",V$1)-1),2,3)-INDEX('HIV-Equipment'!$AU$23:$AU$27,MATCH(6.4,'HIV-Equipment'!$AV$23:$AV$27,0))),0)</f>
        <v>0</v>
      </c>
      <c r="W527" s="525"/>
      <c r="X527" s="1154">
        <f t="shared" si="54"/>
        <v>0</v>
      </c>
      <c r="Y527" s="1155"/>
      <c r="Z527" s="1156"/>
      <c r="AA527" s="529"/>
      <c r="AB527" s="525"/>
      <c r="AC527" s="1110">
        <f>IFERROR(INDEX('HIV-Equipment'!$AW$23:$BH$27,MATCH(6.4,'HIV-Equipment'!$AV$23:$AV$27,0),MID(LEFT(AC$1,SEARCH(" ",AC$1)-1),2,3)-INDEX('HIV-Equipment'!$AU$23:$AU$27,MATCH(6.4,'HIV-Equipment'!$AV$23:$AV$27,0))),0)</f>
        <v>0</v>
      </c>
      <c r="AD527" s="525"/>
      <c r="AE527" s="1110">
        <f>IFERROR(INDEX('HIV-Equipment'!$AW$23:$BH$27,MATCH(6.4,'HIV-Equipment'!$AV$23:$AV$27,0),MID(LEFT(AE$1,SEARCH(" ",AE$1)-1),2,3)-INDEX('HIV-Equipment'!$AU$23:$AU$27,MATCH(6.4,'HIV-Equipment'!$AV$23:$AV$27,0))),0)</f>
        <v>0</v>
      </c>
      <c r="AF527" s="525"/>
      <c r="AG527" s="1110">
        <f>IFERROR(INDEX('HIV-Equipment'!$AW$23:$BH$27,MATCH(6.4,'HIV-Equipment'!$AV$23:$AV$27,0),MID(LEFT(AG$1,SEARCH(" ",AG$1)-1),2,3)-INDEX('HIV-Equipment'!$AU$23:$AU$27,MATCH(6.4,'HIV-Equipment'!$AV$23:$AV$27,0))),0)</f>
        <v>0</v>
      </c>
      <c r="AH527" s="525"/>
      <c r="AI527" s="1110">
        <f>IFERROR(INDEX('HIV-Equipment'!$AW$23:$BH$27,MATCH(6.4,'HIV-Equipment'!$AV$23:$AV$27,0),MID(LEFT(AI$1,SEARCH(" ",AI$1)-1),2,3)-INDEX('HIV-Equipment'!$AU$23:$AU$27,MATCH(6.4,'HIV-Equipment'!$AV$23:$AV$27,0))),0)</f>
        <v>0</v>
      </c>
      <c r="AJ527" s="525"/>
      <c r="AK527" s="1154">
        <f t="shared" si="55"/>
        <v>0</v>
      </c>
      <c r="AL527" s="1155"/>
      <c r="AM527" s="1156"/>
      <c r="AN527" s="529"/>
      <c r="AO527" s="525"/>
      <c r="AP527" s="1110">
        <f>IFERROR(INDEX('HIV-Equipment'!$AW$23:$BH$27,MATCH(6.4,'HIV-Equipment'!$AV$23:$AV$27,0),MID(LEFT(AP$1,SEARCH(" ",AP$1)-1),2,3)-INDEX('HIV-Equipment'!$AU$23:$AU$27,MATCH(6.4,'HIV-Equipment'!$AV$23:$AV$27,0))),0)</f>
        <v>0</v>
      </c>
      <c r="AQ527" s="525"/>
      <c r="AR527" s="1110">
        <f>IFERROR(INDEX('HIV-Equipment'!$AW$23:$BH$27,MATCH(6.4,'HIV-Equipment'!$AV$23:$AV$27,0),MID(LEFT(AR$1,SEARCH(" ",AR$1)-1),2,3)-INDEX('HIV-Equipment'!$AU$23:$AU$27,MATCH(6.4,'HIV-Equipment'!$AV$23:$AV$27,0))),0)</f>
        <v>0</v>
      </c>
      <c r="AS527" s="525"/>
      <c r="AT527" s="1110">
        <f>IFERROR(INDEX('HIV-Equipment'!$AW$23:$BH$27,MATCH(6.4,'HIV-Equipment'!$AV$23:$AV$27,0),MID(LEFT(AT$1,SEARCH(" ",AT$1)-1),2,3)-INDEX('HIV-Equipment'!$AU$23:$AU$27,MATCH(6.4,'HIV-Equipment'!$AV$23:$AV$27,0))),0)</f>
        <v>0</v>
      </c>
      <c r="AU527" s="525"/>
      <c r="AV527" s="525">
        <f>INDEX('HIV-Equipment'!$BI$23:$BI$27,MATCH(6.4,'HIV-Equipment'!$AV$23:$AV$27,0))-SUM(X527,AK527,AP527,AR527,AT527)</f>
        <v>0</v>
      </c>
      <c r="AW527" s="525"/>
      <c r="AX527" s="1154">
        <f t="shared" si="56"/>
        <v>0</v>
      </c>
      <c r="AY527" s="1154"/>
      <c r="AZ527" s="528"/>
      <c r="BA527" s="529"/>
      <c r="BB527" s="527"/>
      <c r="BC527" s="527">
        <v>0</v>
      </c>
      <c r="BD527" s="527">
        <v>0</v>
      </c>
      <c r="BE527" s="527">
        <v>0</v>
      </c>
      <c r="BF527" s="527">
        <v>0</v>
      </c>
      <c r="BG527" s="527">
        <v>0</v>
      </c>
      <c r="BH527" s="527">
        <v>0</v>
      </c>
      <c r="BI527" s="527">
        <v>0</v>
      </c>
      <c r="BJ527" s="527">
        <v>0</v>
      </c>
      <c r="BK527" s="1154">
        <f t="shared" si="57"/>
        <v>0</v>
      </c>
      <c r="BL527" s="1154"/>
      <c r="BM527" s="1154">
        <f t="shared" si="58"/>
        <v>0</v>
      </c>
      <c r="BN527" s="1154">
        <f t="shared" si="59"/>
        <v>0</v>
      </c>
      <c r="BO527" s="527"/>
      <c r="BP527" s="527"/>
      <c r="BQ527" s="1157">
        <v>0</v>
      </c>
      <c r="BR527" s="1157" t="s">
        <v>690</v>
      </c>
      <c r="BS527" s="1157" t="s">
        <v>2566</v>
      </c>
      <c r="BT527" s="1376" t="s">
        <v>1831</v>
      </c>
    </row>
    <row r="528" spans="1:72" s="1371" customFormat="1" ht="13">
      <c r="A528" s="1204">
        <v>1086</v>
      </c>
      <c r="B528" s="1205" t="s">
        <v>676</v>
      </c>
      <c r="C528" s="1205" t="s">
        <v>677</v>
      </c>
      <c r="D528" s="1206" t="s">
        <v>2567</v>
      </c>
      <c r="E528" s="1386" t="s">
        <v>593</v>
      </c>
      <c r="F528" s="521"/>
      <c r="G528" s="522"/>
      <c r="H528" s="522"/>
      <c r="I528" s="522"/>
      <c r="J528" s="523"/>
      <c r="K528" s="523"/>
      <c r="L528" s="523"/>
      <c r="M528" s="524"/>
      <c r="N528" s="525"/>
      <c r="O528" s="526" t="s">
        <v>1237</v>
      </c>
      <c r="P528" s="1110">
        <f>IFERROR(INDEX('HIV-Equipment'!$AW$23:$BH$27,MATCH(6.5,'HIV-Equipment'!$AV$23:$AV$27,0),MID(LEFT(P$1,SEARCH(" ",P$1)-1),2,3)-INDEX('HIV-Equipment'!$AU$23:$AU$27,MATCH(6.5,'HIV-Equipment'!$AV$23:$AV$27,0))),0)</f>
        <v>0</v>
      </c>
      <c r="Q528" s="525" t="s">
        <v>1237</v>
      </c>
      <c r="R528" s="1110">
        <f>IFERROR(INDEX('HIV-Equipment'!$AW$23:$BH$27,MATCH(6.5,'HIV-Equipment'!$AV$23:$AV$27,0),MID(LEFT(R$1,SEARCH(" ",R$1)-1),2,3)-INDEX('HIV-Equipment'!$AU$23:$AU$27,MATCH(6.5,'HIV-Equipment'!$AV$23:$AV$27,0))),0)</f>
        <v>0</v>
      </c>
      <c r="S528" s="525" t="s">
        <v>1237</v>
      </c>
      <c r="T528" s="1110">
        <f>IFERROR(INDEX('HIV-Equipment'!$AW$23:$BH$27,MATCH(6.5,'HIV-Equipment'!$AV$23:$AV$27,0),MID(LEFT(T$1,SEARCH(" ",T$1)-1),2,3)-INDEX('HIV-Equipment'!$AU$23:$AU$27,MATCH(6.5,'HIV-Equipment'!$AV$23:$AV$27,0))),0)</f>
        <v>0</v>
      </c>
      <c r="U528" s="525" t="s">
        <v>1237</v>
      </c>
      <c r="V528" s="1110">
        <f>IFERROR(INDEX('HIV-Equipment'!$AW$23:$BH$27,MATCH(6.5,'HIV-Equipment'!$AV$23:$AV$27,0),MID(LEFT(V$1,SEARCH(" ",V$1)-1),2,3)-INDEX('HIV-Equipment'!$AU$23:$AU$27,MATCH(6.5,'HIV-Equipment'!$AV$23:$AV$27,0))),0)</f>
        <v>0</v>
      </c>
      <c r="W528" s="525"/>
      <c r="X528" s="1154">
        <f t="shared" si="54"/>
        <v>0</v>
      </c>
      <c r="Y528" s="1155"/>
      <c r="Z528" s="1156"/>
      <c r="AA528" s="529"/>
      <c r="AB528" s="525"/>
      <c r="AC528" s="1110">
        <f>IFERROR(INDEX('HIV-Equipment'!$AW$23:$BH$27,MATCH(6.5,'HIV-Equipment'!$AV$23:$AV$27,0),MID(LEFT(AC$1,SEARCH(" ",AC$1)-1),2,3)-INDEX('HIV-Equipment'!$AU$23:$AU$27,MATCH(6.5,'HIV-Equipment'!$AV$23:$AV$27,0))),0)</f>
        <v>0</v>
      </c>
      <c r="AD528" s="525"/>
      <c r="AE528" s="1110">
        <f>IFERROR(INDEX('HIV-Equipment'!$AW$23:$BH$27,MATCH(6.5,'HIV-Equipment'!$AV$23:$AV$27,0),MID(LEFT(AE$1,SEARCH(" ",AE$1)-1),2,3)-INDEX('HIV-Equipment'!$AU$23:$AU$27,MATCH(6.5,'HIV-Equipment'!$AV$23:$AV$27,0))),0)</f>
        <v>0</v>
      </c>
      <c r="AF528" s="525"/>
      <c r="AG528" s="1110">
        <f>IFERROR(INDEX('HIV-Equipment'!$AW$23:$BH$27,MATCH(6.5,'HIV-Equipment'!$AV$23:$AV$27,0),MID(LEFT(AG$1,SEARCH(" ",AG$1)-1),2,3)-INDEX('HIV-Equipment'!$AU$23:$AU$27,MATCH(6.5,'HIV-Equipment'!$AV$23:$AV$27,0))),0)</f>
        <v>0</v>
      </c>
      <c r="AH528" s="525"/>
      <c r="AI528" s="1110">
        <f>IFERROR(INDEX('HIV-Equipment'!$AW$23:$BH$27,MATCH(6.5,'HIV-Equipment'!$AV$23:$AV$27,0),MID(LEFT(AI$1,SEARCH(" ",AI$1)-1),2,3)-INDEX('HIV-Equipment'!$AU$23:$AU$27,MATCH(6.5,'HIV-Equipment'!$AV$23:$AV$27,0))),0)</f>
        <v>0</v>
      </c>
      <c r="AJ528" s="525"/>
      <c r="AK528" s="1154">
        <f t="shared" si="55"/>
        <v>0</v>
      </c>
      <c r="AL528" s="1155"/>
      <c r="AM528" s="1156"/>
      <c r="AN528" s="529"/>
      <c r="AO528" s="525"/>
      <c r="AP528" s="1110">
        <f>IFERROR(INDEX('HIV-Equipment'!$AW$23:$BH$27,MATCH(6.5,'HIV-Equipment'!$AV$23:$AV$27,0),MID(LEFT(AP$1,SEARCH(" ",AP$1)-1),2,3)-INDEX('HIV-Equipment'!$AU$23:$AU$27,MATCH(6.5,'HIV-Equipment'!$AV$23:$AV$27,0))),0)</f>
        <v>0</v>
      </c>
      <c r="AQ528" s="525"/>
      <c r="AR528" s="1110">
        <f>IFERROR(INDEX('HIV-Equipment'!$AW$23:$BH$27,MATCH(6.5,'HIV-Equipment'!$AV$23:$AV$27,0),MID(LEFT(AR$1,SEARCH(" ",AR$1)-1),2,3)-INDEX('HIV-Equipment'!$AU$23:$AU$27,MATCH(6.5,'HIV-Equipment'!$AV$23:$AV$27,0))),0)</f>
        <v>0</v>
      </c>
      <c r="AS528" s="525"/>
      <c r="AT528" s="1110">
        <f>IFERROR(INDEX('HIV-Equipment'!$AW$23:$BH$27,MATCH(6.5,'HIV-Equipment'!$AV$23:$AV$27,0),MID(LEFT(AT$1,SEARCH(" ",AT$1)-1),2,3)-INDEX('HIV-Equipment'!$AU$23:$AU$27,MATCH(6.5,'HIV-Equipment'!$AV$23:$AV$27,0))),0)</f>
        <v>0</v>
      </c>
      <c r="AU528" s="525"/>
      <c r="AV528" s="525">
        <f>INDEX('HIV-Equipment'!$BI$23:$BI$27,MATCH(6.5,'HIV-Equipment'!$AV$23:$AV$27,0))-SUM(X528,AK528,AP528,AR528,AT528)</f>
        <v>0</v>
      </c>
      <c r="AW528" s="525"/>
      <c r="AX528" s="1154">
        <f t="shared" si="56"/>
        <v>0</v>
      </c>
      <c r="AY528" s="1154"/>
      <c r="AZ528" s="528"/>
      <c r="BA528" s="529"/>
      <c r="BB528" s="527"/>
      <c r="BC528" s="527">
        <v>0</v>
      </c>
      <c r="BD528" s="527">
        <v>0</v>
      </c>
      <c r="BE528" s="527">
        <v>0</v>
      </c>
      <c r="BF528" s="527">
        <v>0</v>
      </c>
      <c r="BG528" s="527">
        <v>0</v>
      </c>
      <c r="BH528" s="527">
        <v>0</v>
      </c>
      <c r="BI528" s="527">
        <v>0</v>
      </c>
      <c r="BJ528" s="527">
        <v>0</v>
      </c>
      <c r="BK528" s="1154">
        <f t="shared" si="57"/>
        <v>0</v>
      </c>
      <c r="BL528" s="1154"/>
      <c r="BM528" s="1154">
        <f t="shared" si="58"/>
        <v>0</v>
      </c>
      <c r="BN528" s="1154">
        <f t="shared" si="59"/>
        <v>0</v>
      </c>
      <c r="BO528" s="527"/>
      <c r="BP528" s="527"/>
      <c r="BQ528" s="1157">
        <v>0</v>
      </c>
      <c r="BR528" s="1157" t="s">
        <v>690</v>
      </c>
      <c r="BS528" s="1157" t="s">
        <v>2567</v>
      </c>
      <c r="BT528" s="1376" t="s">
        <v>1832</v>
      </c>
    </row>
    <row r="529" spans="1:73" ht="13">
      <c r="A529" s="1204">
        <v>1087</v>
      </c>
      <c r="B529" s="1205" t="s">
        <v>676</v>
      </c>
      <c r="C529" s="1205" t="s">
        <v>677</v>
      </c>
      <c r="D529" s="1206" t="s">
        <v>1883</v>
      </c>
      <c r="E529" s="1386" t="s">
        <v>586</v>
      </c>
      <c r="F529" s="521"/>
      <c r="G529" s="522"/>
      <c r="H529" s="522"/>
      <c r="I529" s="522"/>
      <c r="J529" s="523"/>
      <c r="K529" s="523"/>
      <c r="L529" s="523"/>
      <c r="M529" s="524"/>
      <c r="N529" s="525"/>
      <c r="O529" s="526" t="s">
        <v>1237</v>
      </c>
      <c r="P529" s="1110">
        <f>IFERROR(INDEX('HIV-Equipment'!$AW$23:$BH$27,MATCH(6.6,'HIV-Equipment'!$AV$23:$AV$27,0),MID(LEFT(P$1,SEARCH(" ",P$1)-1),2,3)-INDEX('HIV-Equipment'!$AU$23:$AU$27,MATCH(6.6,'HIV-Equipment'!$AV$23:$AV$27,0))),0)</f>
        <v>0</v>
      </c>
      <c r="Q529" s="525" t="s">
        <v>1237</v>
      </c>
      <c r="R529" s="1110">
        <f>IFERROR(INDEX('HIV-Equipment'!$AW$23:$BH$27,MATCH(6.6,'HIV-Equipment'!$AV$23:$AV$27,0),MID(LEFT(R$1,SEARCH(" ",R$1)-1),2,3)-INDEX('HIV-Equipment'!$AU$23:$AU$27,MATCH(6.6,'HIV-Equipment'!$AV$23:$AV$27,0))),0)</f>
        <v>255000</v>
      </c>
      <c r="S529" s="525" t="s">
        <v>1237</v>
      </c>
      <c r="T529" s="1110">
        <f>IFERROR(INDEX('HIV-Equipment'!$AW$23:$BH$27,MATCH(6.6,'HIV-Equipment'!$AV$23:$AV$27,0),MID(LEFT(T$1,SEARCH(" ",T$1)-1),2,3)-INDEX('HIV-Equipment'!$AU$23:$AU$27,MATCH(6.6,'HIV-Equipment'!$AV$23:$AV$27,0))),0)</f>
        <v>0</v>
      </c>
      <c r="U529" s="525" t="s">
        <v>1237</v>
      </c>
      <c r="V529" s="1110">
        <f>IFERROR(INDEX('HIV-Equipment'!$AW$23:$BH$27,MATCH(6.6,'HIV-Equipment'!$AV$23:$AV$27,0),MID(LEFT(V$1,SEARCH(" ",V$1)-1),2,3)-INDEX('HIV-Equipment'!$AU$23:$AU$27,MATCH(6.6,'HIV-Equipment'!$AV$23:$AV$27,0))),0)</f>
        <v>0</v>
      </c>
      <c r="W529" s="525"/>
      <c r="X529" s="1154">
        <f t="shared" si="54"/>
        <v>255000</v>
      </c>
      <c r="Y529" s="1155"/>
      <c r="Z529" s="1156"/>
      <c r="AA529" s="529"/>
      <c r="AB529" s="525"/>
      <c r="AC529" s="1110">
        <f>IFERROR(INDEX('HIV-Equipment'!$AW$23:$BH$27,MATCH(6.6,'HIV-Equipment'!$AV$23:$AV$27,0),MID(LEFT(AC$1,SEARCH(" ",AC$1)-1),2,3)-INDEX('HIV-Equipment'!$AU$23:$AU$27,MATCH(6.6,'HIV-Equipment'!$AV$23:$AV$27,0))),0)</f>
        <v>0</v>
      </c>
      <c r="AD529" s="525"/>
      <c r="AE529" s="1110">
        <f>IFERROR(INDEX('HIV-Equipment'!$AW$23:$BH$27,MATCH(6.6,'HIV-Equipment'!$AV$23:$AV$27,0),MID(LEFT(AE$1,SEARCH(" ",AE$1)-1),2,3)-INDEX('HIV-Equipment'!$AU$23:$AU$27,MATCH(6.6,'HIV-Equipment'!$AV$23:$AV$27,0))),0)</f>
        <v>0</v>
      </c>
      <c r="AF529" s="525"/>
      <c r="AG529" s="1110">
        <f>IFERROR(INDEX('HIV-Equipment'!$AW$23:$BH$27,MATCH(6.6,'HIV-Equipment'!$AV$23:$AV$27,0),MID(LEFT(AG$1,SEARCH(" ",AG$1)-1),2,3)-INDEX('HIV-Equipment'!$AU$23:$AU$27,MATCH(6.6,'HIV-Equipment'!$AV$23:$AV$27,0))),0)</f>
        <v>0</v>
      </c>
      <c r="AH529" s="525"/>
      <c r="AI529" s="1110">
        <f>IFERROR(INDEX('HIV-Equipment'!$AW$23:$BH$27,MATCH(6.6,'HIV-Equipment'!$AV$23:$AV$27,0),MID(LEFT(AI$1,SEARCH(" ",AI$1)-1),2,3)-INDEX('HIV-Equipment'!$AU$23:$AU$27,MATCH(6.6,'HIV-Equipment'!$AV$23:$AV$27,0))),0)</f>
        <v>0</v>
      </c>
      <c r="AJ529" s="525"/>
      <c r="AK529" s="1154">
        <f t="shared" si="55"/>
        <v>0</v>
      </c>
      <c r="AL529" s="1155"/>
      <c r="AM529" s="1156"/>
      <c r="AN529" s="529"/>
      <c r="AO529" s="525"/>
      <c r="AP529" s="1110">
        <f>IFERROR(INDEX('HIV-Equipment'!$AW$23:$BH$27,MATCH(6.6,'HIV-Equipment'!$AV$23:$AV$27,0),MID(LEFT(AP$1,SEARCH(" ",AP$1)-1),2,3)-INDEX('HIV-Equipment'!$AU$23:$AU$27,MATCH(6.6,'HIV-Equipment'!$AV$23:$AV$27,0))),0)</f>
        <v>0</v>
      </c>
      <c r="AQ529" s="525"/>
      <c r="AR529" s="1110">
        <f>IFERROR(INDEX('HIV-Equipment'!$AW$23:$BH$27,MATCH(6.6,'HIV-Equipment'!$AV$23:$AV$27,0),MID(LEFT(AR$1,SEARCH(" ",AR$1)-1),2,3)-INDEX('HIV-Equipment'!$AU$23:$AU$27,MATCH(6.6,'HIV-Equipment'!$AV$23:$AV$27,0))),0)</f>
        <v>0</v>
      </c>
      <c r="AS529" s="525"/>
      <c r="AT529" s="1110">
        <f>IFERROR(INDEX('HIV-Equipment'!$AW$23:$BH$27,MATCH(6.6,'HIV-Equipment'!$AV$23:$AV$27,0),MID(LEFT(AT$1,SEARCH(" ",AT$1)-1),2,3)-INDEX('HIV-Equipment'!$AU$23:$AU$27,MATCH(6.6,'HIV-Equipment'!$AV$23:$AV$27,0))),0)</f>
        <v>0</v>
      </c>
      <c r="AU529" s="525"/>
      <c r="AV529" s="525">
        <f>INDEX('HIV-Equipment'!$BI$23:$BI$27,MATCH(6.6,'HIV-Equipment'!$AV$23:$AV$27,0))-SUM(X529,AK529,AP529,AR529,AT529)</f>
        <v>0</v>
      </c>
      <c r="AW529" s="525"/>
      <c r="AX529" s="1154">
        <f t="shared" si="56"/>
        <v>0</v>
      </c>
      <c r="AY529" s="1154"/>
      <c r="AZ529" s="528"/>
      <c r="BA529" s="529"/>
      <c r="BB529" s="527"/>
      <c r="BC529" s="527">
        <v>0</v>
      </c>
      <c r="BD529" s="527">
        <v>0</v>
      </c>
      <c r="BE529" s="527">
        <v>0</v>
      </c>
      <c r="BF529" s="527">
        <v>0</v>
      </c>
      <c r="BG529" s="527">
        <v>0</v>
      </c>
      <c r="BH529" s="527">
        <v>0</v>
      </c>
      <c r="BI529" s="527">
        <v>0</v>
      </c>
      <c r="BJ529" s="527">
        <v>0</v>
      </c>
      <c r="BK529" s="1154">
        <f t="shared" si="57"/>
        <v>0</v>
      </c>
      <c r="BL529" s="1154"/>
      <c r="BM529" s="1154">
        <f t="shared" si="58"/>
        <v>0</v>
      </c>
      <c r="BN529" s="1154">
        <f t="shared" si="59"/>
        <v>255000</v>
      </c>
      <c r="BO529" s="527"/>
      <c r="BP529" s="527" t="s">
        <v>4300</v>
      </c>
      <c r="BQ529" s="1157">
        <v>0</v>
      </c>
      <c r="BR529" s="1157" t="s">
        <v>690</v>
      </c>
      <c r="BS529" s="1157" t="s">
        <v>1883</v>
      </c>
      <c r="BT529" s="1480" t="s">
        <v>1833</v>
      </c>
      <c r="BU529" s="1371"/>
    </row>
    <row r="530" spans="1:73" ht="13">
      <c r="A530" s="1204">
        <v>1088</v>
      </c>
      <c r="B530" s="1205" t="s">
        <v>676</v>
      </c>
      <c r="C530" s="1205" t="s">
        <v>677</v>
      </c>
      <c r="D530" s="1206" t="s">
        <v>594</v>
      </c>
      <c r="E530" s="1386" t="s">
        <v>595</v>
      </c>
      <c r="F530" s="521"/>
      <c r="G530" s="522"/>
      <c r="H530" s="522"/>
      <c r="I530" s="522"/>
      <c r="J530" s="523"/>
      <c r="K530" s="523"/>
      <c r="L530" s="523"/>
      <c r="M530" s="524"/>
      <c r="N530" s="525"/>
      <c r="O530" s="526" t="s">
        <v>1237</v>
      </c>
      <c r="P530" s="525">
        <f>IFERROR(INDEX('HIV-Other HPs'!$AX$41:$BI$48,MATCH(5.6,'HIV-Other HPs'!$AW$41:$AW$48,0),MID(LEFT(P$1,SEARCH(" ",P$1)-1),2,3)-INDEX('HIV-Other HPs'!$AV$41:$AV$48,MATCH(5.6,'HIV-Other HPs'!$AW$41:$AW$48,0))),0)+IFERROR(INDEX('HIV-Other HPs'!$AX$41:$BI$48,MATCH("5.6"&amp;"4",INDEX('HIV-Other HPs'!$AW$41:$AW$48&amp;'HIV-Other HPs'!$AU$41:$AU$48,0),0),MID(LEFT(P$1,SEARCH(" ",P$1)-1),2,3)-INDEX('HIV-Other HPs'!$AV$41:$AV$48,MATCH("5.6"&amp;"4",INDEX('HIV-Other HPs'!$AW$41:$AW$48&amp;'HIV-Other HPs'!$AU$41:$AU$48,0),0))),0)</f>
        <v>0</v>
      </c>
      <c r="Q530" s="525" t="s">
        <v>1237</v>
      </c>
      <c r="R530" s="525">
        <f>IFERROR(INDEX('HIV-Other HPs'!$AX$41:$BI$48,MATCH(5.6,'HIV-Other HPs'!$AW$41:$AW$48,0),MID(LEFT(R$1,SEARCH(" ",R$1)-1),2,3)-INDEX('HIV-Other HPs'!$AV$41:$AV$48,MATCH(5.6,'HIV-Other HPs'!$AW$41:$AW$48,0))),0)+IFERROR(INDEX('HIV-Other HPs'!$AX$41:$BI$48,MATCH("5.6"&amp;"4",INDEX('HIV-Other HPs'!$AW$41:$AW$48&amp;'HIV-Other HPs'!$AU$41:$AU$48,0),0),MID(LEFT(R$1,SEARCH(" ",R$1)-1),2,3)-INDEX('HIV-Other HPs'!$AV$41:$AV$48,MATCH("5.6"&amp;"4",INDEX('HIV-Other HPs'!$AW$41:$AW$48&amp;'HIV-Other HPs'!$AU$41:$AU$48,0),0))),0)</f>
        <v>380413.43999999994</v>
      </c>
      <c r="S530" s="525" t="s">
        <v>1237</v>
      </c>
      <c r="T530" s="525">
        <f>IFERROR(INDEX('HIV-Other HPs'!$AX$41:$BI$48,MATCH(5.6,'HIV-Other HPs'!$AW$41:$AW$48,0),MID(LEFT(T$1,SEARCH(" ",T$1)-1),2,3)-INDEX('HIV-Other HPs'!$AV$41:$AV$48,MATCH(5.6,'HIV-Other HPs'!$AW$41:$AW$48,0))),0)+IFERROR(INDEX('HIV-Other HPs'!$AX$41:$BI$48,MATCH("5.6"&amp;"4",INDEX('HIV-Other HPs'!$AW$41:$AW$48&amp;'HIV-Other HPs'!$AU$41:$AU$48,0),0),MID(LEFT(T$1,SEARCH(" ",T$1)-1),2,3)-INDEX('HIV-Other HPs'!$AV$41:$AV$48,MATCH("5.6"&amp;"4",INDEX('HIV-Other HPs'!$AW$41:$AW$48&amp;'HIV-Other HPs'!$AU$41:$AU$48,0),0))),0)</f>
        <v>1136451</v>
      </c>
      <c r="U530" s="525" t="s">
        <v>1237</v>
      </c>
      <c r="V530" s="525">
        <f>IFERROR(INDEX('HIV-Other HPs'!$AX$41:$BI$48,MATCH(5.6,'HIV-Other HPs'!$AW$41:$AW$48,0),MID(LEFT(V$1,SEARCH(" ",V$1)-1),2,3)-INDEX('HIV-Other HPs'!$AV$41:$AV$48,MATCH(5.6,'HIV-Other HPs'!$AW$41:$AW$48,0))),0)+IFERROR(INDEX('HIV-Other HPs'!$AX$41:$BI$48,MATCH("5.6"&amp;"4",INDEX('HIV-Other HPs'!$AW$41:$AW$48&amp;'HIV-Other HPs'!$AU$41:$AU$48,0),0),MID(LEFT(V$1,SEARCH(" ",V$1)-1),2,3)-INDEX('HIV-Other HPs'!$AV$41:$AV$48,MATCH("5.6"&amp;"4",INDEX('HIV-Other HPs'!$AW$41:$AW$48&amp;'HIV-Other HPs'!$AU$41:$AU$48,0),0))),0)</f>
        <v>0</v>
      </c>
      <c r="W530" s="525"/>
      <c r="X530" s="1154">
        <f t="shared" si="54"/>
        <v>1516864.44</v>
      </c>
      <c r="Y530" s="1155"/>
      <c r="Z530" s="1156"/>
      <c r="AA530" s="529"/>
      <c r="AB530" s="525"/>
      <c r="AC530" s="525">
        <f>IFERROR(INDEX('HIV-Other HPs'!$AX$41:$BI$48,MATCH(5.6,'HIV-Other HPs'!$AW$41:$AW$48,0),MID(LEFT(AC$1,SEARCH(" ",AC$1)-1),2,3)-INDEX('HIV-Other HPs'!$AV$41:$AV$48,MATCH(5.6,'HIV-Other HPs'!$AW$41:$AW$48,0))),0)+IFERROR(INDEX('HIV-Other HPs'!$AX$41:$BI$48,MATCH("5.6"&amp;"4",INDEX('HIV-Other HPs'!$AW$41:$AW$48&amp;'HIV-Other HPs'!$AU$41:$AU$48,0),0),MID(LEFT(AC$1,SEARCH(" ",AC$1)-1),2,3)-INDEX('HIV-Other HPs'!$AV$41:$AV$48,MATCH("5.6"&amp;"4",INDEX('HIV-Other HPs'!$AW$41:$AW$48&amp;'HIV-Other HPs'!$AU$41:$AU$48,0),0))),0)</f>
        <v>0</v>
      </c>
      <c r="AD530" s="525"/>
      <c r="AE530" s="525">
        <f>IFERROR(INDEX('HIV-Other HPs'!$AX$41:$BI$48,MATCH(5.6,'HIV-Other HPs'!$AW$41:$AW$48,0),MID(LEFT(AE$1,SEARCH(" ",AE$1)-1),2,3)-INDEX('HIV-Other HPs'!$AV$41:$AV$48,MATCH(5.6,'HIV-Other HPs'!$AW$41:$AW$48,0))),0)+IFERROR(INDEX('HIV-Other HPs'!$AX$41:$BI$48,MATCH("5.6"&amp;"4",INDEX('HIV-Other HPs'!$AW$41:$AW$48&amp;'HIV-Other HPs'!$AU$41:$AU$48,0),0),MID(LEFT(AE$1,SEARCH(" ",AE$1)-1),2,3)-INDEX('HIV-Other HPs'!$AV$41:$AV$48,MATCH("5.6"&amp;"4",INDEX('HIV-Other HPs'!$AW$41:$AW$48&amp;'HIV-Other HPs'!$AU$41:$AU$48,0),0))),0)</f>
        <v>1644015.38</v>
      </c>
      <c r="AF530" s="525"/>
      <c r="AG530" s="525">
        <f>IFERROR(INDEX('HIV-Other HPs'!$AX$41:$BI$48,MATCH(5.6,'HIV-Other HPs'!$AW$41:$AW$48,0),MID(LEFT(AG$1,SEARCH(" ",AG$1)-1),2,3)-INDEX('HIV-Other HPs'!$AV$41:$AV$48,MATCH(5.6,'HIV-Other HPs'!$AW$41:$AW$48,0))),0)+IFERROR(INDEX('HIV-Other HPs'!$AX$41:$BI$48,MATCH("5.6"&amp;"4",INDEX('HIV-Other HPs'!$AW$41:$AW$48&amp;'HIV-Other HPs'!$AU$41:$AU$48,0),0),MID(LEFT(AG$1,SEARCH(" ",AG$1)-1),2,3)-INDEX('HIV-Other HPs'!$AV$41:$AV$48,MATCH("5.6"&amp;"4",INDEX('HIV-Other HPs'!$AW$41:$AW$48&amp;'HIV-Other HPs'!$AU$41:$AU$48,0),0))),0)</f>
        <v>0</v>
      </c>
      <c r="AH530" s="525"/>
      <c r="AI530" s="525">
        <f>IFERROR(INDEX('HIV-Other HPs'!$AX$41:$BI$48,MATCH(5.6,'HIV-Other HPs'!$AW$41:$AW$48,0),MID(LEFT(AI$1,SEARCH(" ",AI$1)-1),2,3)-INDEX('HIV-Other HPs'!$AV$41:$AV$48,MATCH(5.6,'HIV-Other HPs'!$AW$41:$AW$48,0))),0)+IFERROR(INDEX('HIV-Other HPs'!$AX$41:$BI$48,MATCH("5.6"&amp;"4",INDEX('HIV-Other HPs'!$AW$41:$AW$48&amp;'HIV-Other HPs'!$AU$41:$AU$48,0),0),MID(LEFT(AI$1,SEARCH(" ",AI$1)-1),2,3)-INDEX('HIV-Other HPs'!$AV$41:$AV$48,MATCH("5.6"&amp;"4",INDEX('HIV-Other HPs'!$AW$41:$AW$48&amp;'HIV-Other HPs'!$AU$41:$AU$48,0),0))),0)</f>
        <v>0</v>
      </c>
      <c r="AJ530" s="525"/>
      <c r="AK530" s="1154">
        <f t="shared" si="55"/>
        <v>1644015.38</v>
      </c>
      <c r="AL530" s="1155"/>
      <c r="AM530" s="1156"/>
      <c r="AN530" s="529"/>
      <c r="AO530" s="525"/>
      <c r="AP530" s="525">
        <f>IFERROR(INDEX('HIV-Other HPs'!$AX$41:$BI$48,MATCH(5.6,'HIV-Other HPs'!$AW$41:$AW$48,0),MID(LEFT(AP$1,SEARCH(" ",AP$1)-1),2,3)-INDEX('HIV-Other HPs'!$AV$41:$AV$48,MATCH(5.6,'HIV-Other HPs'!$AW$41:$AW$48,0))),0)+IFERROR(INDEX('HIV-Other HPs'!$AX$41:$BI$48,MATCH("5.6"&amp;"4",INDEX('HIV-Other HPs'!$AW$41:$AW$48&amp;'HIV-Other HPs'!$AU$41:$AU$48,0),0),MID(LEFT(AP$1,SEARCH(" ",AP$1)-1),2,3)-INDEX('HIV-Other HPs'!$AV$41:$AV$48,MATCH("5.6"&amp;"4",INDEX('HIV-Other HPs'!$AW$41:$AW$48&amp;'HIV-Other HPs'!$AU$41:$AU$48,0),0))),0)</f>
        <v>0</v>
      </c>
      <c r="AQ530" s="525"/>
      <c r="AR530" s="525">
        <f>IFERROR(INDEX('HIV-Other HPs'!$AX$41:$BI$48,MATCH(5.6,'HIV-Other HPs'!$AW$41:$AW$48,0),MID(LEFT(AR$1,SEARCH(" ",AR$1)-1),2,3)-INDEX('HIV-Other HPs'!$AV$41:$AV$48,MATCH(5.6,'HIV-Other HPs'!$AW$41:$AW$48,0))),0)+IFERROR(INDEX('HIV-Other HPs'!$AX$41:$BI$48,MATCH("5.6"&amp;"4",INDEX('HIV-Other HPs'!$AW$41:$AW$48&amp;'HIV-Other HPs'!$AU$41:$AU$48,0),0),MID(LEFT(AR$1,SEARCH(" ",AR$1)-1),2,3)-INDEX('HIV-Other HPs'!$AV$41:$AV$48,MATCH("5.6"&amp;"4",INDEX('HIV-Other HPs'!$AW$41:$AW$48&amp;'HIV-Other HPs'!$AU$41:$AU$48,0),0))),0)</f>
        <v>1789812.6</v>
      </c>
      <c r="AS530" s="525"/>
      <c r="AT530" s="525">
        <f>IFERROR(INDEX('HIV-Other HPs'!$AX$41:$BI$48,MATCH(5.6,'HIV-Other HPs'!$AW$41:$AW$48,0),MID(LEFT(AT$1,SEARCH(" ",AT$1)-1),2,3)-INDEX('HIV-Other HPs'!$AV$41:$AV$48,MATCH(5.6,'HIV-Other HPs'!$AW$41:$AW$48,0))),0)+IFERROR(INDEX('HIV-Other HPs'!$AX$41:$BI$48,MATCH("5.6"&amp;"4",INDEX('HIV-Other HPs'!$AW$41:$AW$48&amp;'HIV-Other HPs'!$AU$41:$AU$48,0),0),MID(LEFT(AT$1,SEARCH(" ",AT$1)-1),2,3)-INDEX('HIV-Other HPs'!$AV$41:$AV$48,MATCH("5.6"&amp;"4",INDEX('HIV-Other HPs'!$AW$41:$AW$48&amp;'HIV-Other HPs'!$AU$41:$AU$48,0),0))),0)</f>
        <v>0</v>
      </c>
      <c r="AU530" s="525"/>
      <c r="AV530" s="525">
        <f>IFERROR(INDEX('HIV-Other HPs'!$BJ$41:$BJ$48,MATCH(5.6,'HIV-Other HPs'!$AW$41:$AW$48,0),0),0)+IFERROR(INDEX('HIV-Other HPs'!$BJ$41:$BJ$48,MATCH("5.6"&amp;"4",INDEX('HIV-Other HPs'!$AW$41:$AW$48&amp;'HIV-Other HPs'!$AU$41:$AU$48,0),0),0)-SUM(X530,AK530,AP530,AR530,AT530),0)</f>
        <v>0</v>
      </c>
      <c r="AW530" s="525"/>
      <c r="AX530" s="1154">
        <f t="shared" si="56"/>
        <v>1789812.6</v>
      </c>
      <c r="AY530" s="1154"/>
      <c r="AZ530" s="528"/>
      <c r="BA530" s="529"/>
      <c r="BB530" s="527"/>
      <c r="BC530" s="527">
        <v>0</v>
      </c>
      <c r="BD530" s="527">
        <v>0</v>
      </c>
      <c r="BE530" s="527">
        <v>0</v>
      </c>
      <c r="BF530" s="527">
        <v>0</v>
      </c>
      <c r="BG530" s="527">
        <v>0</v>
      </c>
      <c r="BH530" s="527">
        <v>0</v>
      </c>
      <c r="BI530" s="527">
        <v>0</v>
      </c>
      <c r="BJ530" s="527">
        <v>0</v>
      </c>
      <c r="BK530" s="1154">
        <f t="shared" si="57"/>
        <v>0</v>
      </c>
      <c r="BL530" s="1154"/>
      <c r="BM530" s="1154">
        <f t="shared" si="58"/>
        <v>0</v>
      </c>
      <c r="BN530" s="1154">
        <f t="shared" si="59"/>
        <v>4950692.42</v>
      </c>
      <c r="BO530" s="527"/>
      <c r="BP530" s="527" t="s">
        <v>4301</v>
      </c>
      <c r="BQ530" s="1157">
        <v>0</v>
      </c>
      <c r="BR530" s="1157" t="s">
        <v>690</v>
      </c>
      <c r="BS530" s="1157" t="s">
        <v>594</v>
      </c>
      <c r="BT530" s="1480" t="s">
        <v>1834</v>
      </c>
      <c r="BU530" s="1371"/>
    </row>
    <row r="531" spans="1:73" ht="13">
      <c r="A531" s="1204">
        <v>1089</v>
      </c>
      <c r="B531" s="1205" t="s">
        <v>676</v>
      </c>
      <c r="C531" s="1205" t="s">
        <v>677</v>
      </c>
      <c r="D531" s="1206" t="s">
        <v>596</v>
      </c>
      <c r="E531" s="1386" t="s">
        <v>597</v>
      </c>
      <c r="F531" s="521"/>
      <c r="G531" s="522"/>
      <c r="H531" s="522"/>
      <c r="I531" s="522"/>
      <c r="J531" s="523"/>
      <c r="K531" s="523"/>
      <c r="L531" s="523"/>
      <c r="M531" s="524"/>
      <c r="N531" s="525"/>
      <c r="O531" s="526" t="s">
        <v>1237</v>
      </c>
      <c r="P531" s="1110">
        <f>IFERROR(INDEX('HIV-Other HPs'!$AX$41:$BI$48,MATCH("5.8"&amp;"4",INDEX('HIV-Other HPs'!$AW$41:$AW$48&amp;'HIV-Other HPs'!$AU$41:$AU$48,0),0),MID(LEFT(P$1,SEARCH(" ",P$1)-1),2,3)-INDEX('HIV-Other HPs'!$AV$41:$AV$48,MATCH("5.8"&amp;"4",INDEX('HIV-Other HPs'!$AW$41:$AW$48&amp;'HIV-Other HPs'!$AU$41:$AU$48,0),0))),0)</f>
        <v>0</v>
      </c>
      <c r="Q531" s="525" t="s">
        <v>1237</v>
      </c>
      <c r="R531" s="1110">
        <f>IFERROR(INDEX('HIV-Other HPs'!$AX$41:$BI$48,MATCH("5.8"&amp;"4",INDEX('HIV-Other HPs'!$AW$41:$AW$48&amp;'HIV-Other HPs'!$AU$41:$AU$48,0),0),MID(LEFT(R$1,SEARCH(" ",R$1)-1),2,3)-INDEX('HIV-Other HPs'!$AV$41:$AV$48,MATCH("5.8"&amp;"4",INDEX('HIV-Other HPs'!$AW$41:$AW$48&amp;'HIV-Other HPs'!$AU$41:$AU$48,0),0))),0)</f>
        <v>0</v>
      </c>
      <c r="S531" s="525" t="s">
        <v>1237</v>
      </c>
      <c r="T531" s="1110">
        <f>IFERROR(INDEX('HIV-Other HPs'!$AX$41:$BI$48,MATCH("5.8"&amp;"4",INDEX('HIV-Other HPs'!$AW$41:$AW$48&amp;'HIV-Other HPs'!$AU$41:$AU$48,0),0),MID(LEFT(T$1,SEARCH(" ",T$1)-1),2,3)-INDEX('HIV-Other HPs'!$AV$41:$AV$48,MATCH("5.8"&amp;"4",INDEX('HIV-Other HPs'!$AW$41:$AW$48&amp;'HIV-Other HPs'!$AU$41:$AU$48,0),0))),0)</f>
        <v>185894</v>
      </c>
      <c r="U531" s="525" t="s">
        <v>1237</v>
      </c>
      <c r="V531" s="1110">
        <f>IFERROR(INDEX('HIV-Other HPs'!$AX$41:$BI$48,MATCH("5.8"&amp;"4",INDEX('HIV-Other HPs'!$AW$41:$AW$48&amp;'HIV-Other HPs'!$AU$41:$AU$48,0),0),MID(LEFT(V$1,SEARCH(" ",V$1)-1),2,3)-INDEX('HIV-Other HPs'!$AV$41:$AV$48,MATCH("5.8"&amp;"4",INDEX('HIV-Other HPs'!$AW$41:$AW$48&amp;'HIV-Other HPs'!$AU$41:$AU$48,0),0))),0)</f>
        <v>0</v>
      </c>
      <c r="W531" s="525"/>
      <c r="X531" s="1160">
        <f t="shared" si="54"/>
        <v>185894</v>
      </c>
      <c r="Y531" s="1155"/>
      <c r="Z531" s="1156"/>
      <c r="AA531" s="529"/>
      <c r="AB531" s="525"/>
      <c r="AC531" s="1110">
        <f>IFERROR(INDEX('HIV-Other HPs'!$AX$41:$BI$48,MATCH("5.8"&amp;"4",INDEX('HIV-Other HPs'!$AW$41:$AW$48&amp;'HIV-Other HPs'!$AU$41:$AU$48,0),0),MID(LEFT(AC$1,SEARCH(" ",AC$1)-1),2,3)-INDEX('HIV-Other HPs'!$AV$41:$AV$48,MATCH("5.8"&amp;"4",INDEX('HIV-Other HPs'!$AW$41:$AW$48&amp;'HIV-Other HPs'!$AU$41:$AU$48,0),0))),0)</f>
        <v>0</v>
      </c>
      <c r="AD531" s="525"/>
      <c r="AE531" s="1110">
        <f>IFERROR(INDEX('HIV-Other HPs'!$AX$41:$BI$48,MATCH("5.8"&amp;"4",INDEX('HIV-Other HPs'!$AW$41:$AW$48&amp;'HIV-Other HPs'!$AU$41:$AU$48,0),0),MID(LEFT(AE$1,SEARCH(" ",AE$1)-1),2,3)-INDEX('HIV-Other HPs'!$AV$41:$AV$48,MATCH("5.8"&amp;"4",INDEX('HIV-Other HPs'!$AW$41:$AW$48&amp;'HIV-Other HPs'!$AU$41:$AU$48,0),0))),0)</f>
        <v>187954</v>
      </c>
      <c r="AF531" s="525"/>
      <c r="AG531" s="1110">
        <f>IFERROR(INDEX('HIV-Other HPs'!$AX$41:$BI$48,MATCH("5.8"&amp;"4",INDEX('HIV-Other HPs'!$AW$41:$AW$48&amp;'HIV-Other HPs'!$AU$41:$AU$48,0),0),MID(LEFT(AG$1,SEARCH(" ",AG$1)-1),2,3)-INDEX('HIV-Other HPs'!$AV$41:$AV$48,MATCH("5.8"&amp;"4",INDEX('HIV-Other HPs'!$AW$41:$AW$48&amp;'HIV-Other HPs'!$AU$41:$AU$48,0),0))),0)</f>
        <v>0</v>
      </c>
      <c r="AH531" s="525"/>
      <c r="AI531" s="1110">
        <f>IFERROR(INDEX('HIV-Other HPs'!$AX$41:$BI$48,MATCH("5.8"&amp;"4",INDEX('HIV-Other HPs'!$AW$41:$AW$48&amp;'HIV-Other HPs'!$AU$41:$AU$48,0),0),MID(LEFT(AI$1,SEARCH(" ",AI$1)-1),2,3)-INDEX('HIV-Other HPs'!$AV$41:$AV$48,MATCH("5.8"&amp;"4",INDEX('HIV-Other HPs'!$AW$41:$AW$48&amp;'HIV-Other HPs'!$AU$41:$AU$48,0),0))),0)</f>
        <v>0</v>
      </c>
      <c r="AJ531" s="525"/>
      <c r="AK531" s="1160">
        <f t="shared" si="55"/>
        <v>187954</v>
      </c>
      <c r="AL531" s="1155"/>
      <c r="AM531" s="1156"/>
      <c r="AN531" s="529"/>
      <c r="AO531" s="525"/>
      <c r="AP531" s="1110">
        <f>IFERROR(INDEX('HIV-Other HPs'!$AX$41:$BI$48,MATCH("5.8"&amp;"4",INDEX('HIV-Other HPs'!$AW$41:$AW$48&amp;'HIV-Other HPs'!$AU$41:$AU$48,0),0),MID(LEFT(AP$1,SEARCH(" ",AP$1)-1),2,3)-INDEX('HIV-Other HPs'!$AV$41:$AV$48,MATCH("5.8"&amp;"4",INDEX('HIV-Other HPs'!$AW$41:$AW$48&amp;'HIV-Other HPs'!$AU$41:$AU$48,0),0))),0)</f>
        <v>0</v>
      </c>
      <c r="AQ531" s="525"/>
      <c r="AR531" s="1110">
        <f>IFERROR(INDEX('HIV-Other HPs'!$AX$41:$BI$48,MATCH("5.8"&amp;"4",INDEX('HIV-Other HPs'!$AW$41:$AW$48&amp;'HIV-Other HPs'!$AU$41:$AU$48,0),0),MID(LEFT(AR$1,SEARCH(" ",AR$1)-1),2,3)-INDEX('HIV-Other HPs'!$AV$41:$AV$48,MATCH("5.8"&amp;"4",INDEX('HIV-Other HPs'!$AW$41:$AW$48&amp;'HIV-Other HPs'!$AU$41:$AU$48,0),0))),0)</f>
        <v>191044</v>
      </c>
      <c r="AS531" s="525"/>
      <c r="AT531" s="1110">
        <f>IFERROR(INDEX('HIV-Other HPs'!$AX$41:$BI$48,MATCH("5.8"&amp;"4",INDEX('HIV-Other HPs'!$AW$41:$AW$48&amp;'HIV-Other HPs'!$AU$41:$AU$48,0),0),MID(LEFT(AT$1,SEARCH(" ",AT$1)-1),2,3)-INDEX('HIV-Other HPs'!$AV$41:$AV$48,MATCH("5.8"&amp;"4",INDEX('HIV-Other HPs'!$AW$41:$AW$48&amp;'HIV-Other HPs'!$AU$41:$AU$48,0),0))),0)</f>
        <v>0</v>
      </c>
      <c r="AU531" s="525"/>
      <c r="AV531" s="1110">
        <f>IFERROR(INDEX('HIV-Other HPs'!$BJ$41:$BJ$48,MATCH("5.8"&amp;"4",INDEX('HIV-Other HPs'!$AW$41:$AW$48&amp;'HIV-Other HPs'!$AU$41:$AU$48,0),0),0),0)-SUM(X531,AK531,AP531,AR531,AT531)</f>
        <v>0</v>
      </c>
      <c r="AW531" s="525"/>
      <c r="AX531" s="1160">
        <f t="shared" si="56"/>
        <v>191044</v>
      </c>
      <c r="AY531" s="1154"/>
      <c r="AZ531" s="528"/>
      <c r="BA531" s="529"/>
      <c r="BB531" s="527"/>
      <c r="BC531" s="527">
        <v>0</v>
      </c>
      <c r="BD531" s="527">
        <v>0</v>
      </c>
      <c r="BE531" s="527">
        <v>0</v>
      </c>
      <c r="BF531" s="527">
        <v>0</v>
      </c>
      <c r="BG531" s="527">
        <v>0</v>
      </c>
      <c r="BH531" s="527">
        <v>0</v>
      </c>
      <c r="BI531" s="527">
        <v>0</v>
      </c>
      <c r="BJ531" s="527">
        <v>0</v>
      </c>
      <c r="BK531" s="1160">
        <f t="shared" si="57"/>
        <v>0</v>
      </c>
      <c r="BL531" s="1154"/>
      <c r="BM531" s="1154">
        <f t="shared" si="58"/>
        <v>0</v>
      </c>
      <c r="BN531" s="1160">
        <f t="shared" si="59"/>
        <v>564892</v>
      </c>
      <c r="BO531" s="1112"/>
      <c r="BP531" s="527" t="s">
        <v>4302</v>
      </c>
      <c r="BQ531" s="1412">
        <v>0</v>
      </c>
      <c r="BR531" s="1412" t="s">
        <v>690</v>
      </c>
      <c r="BS531" s="1412" t="s">
        <v>596</v>
      </c>
      <c r="BT531" s="1480" t="s">
        <v>1835</v>
      </c>
      <c r="BU531" s="1371"/>
    </row>
    <row r="532" spans="1:73" ht="13">
      <c r="A532" s="1204">
        <v>1090</v>
      </c>
      <c r="B532" s="1205" t="s">
        <v>676</v>
      </c>
      <c r="C532" s="1205" t="s">
        <v>677</v>
      </c>
      <c r="D532" s="1206" t="s">
        <v>2547</v>
      </c>
      <c r="E532" s="1386" t="s">
        <v>528</v>
      </c>
      <c r="F532" s="521"/>
      <c r="G532" s="522"/>
      <c r="H532" s="522"/>
      <c r="I532" s="522"/>
      <c r="J532" s="523"/>
      <c r="K532" s="523"/>
      <c r="L532" s="523"/>
      <c r="M532" s="524"/>
      <c r="N532" s="525"/>
      <c r="O532" s="526" t="s">
        <v>1237</v>
      </c>
      <c r="P532" s="525">
        <f>'HPM costs'!F15+'HPM costs'!F24+'HPM costs'!F42+'HPM costs'!F45</f>
        <v>0</v>
      </c>
      <c r="Q532" s="525" t="s">
        <v>1237</v>
      </c>
      <c r="R532" s="525">
        <f>'HPM costs'!G15+'HPM costs'!G24+'HPM costs'!G45+'HPM costs'!G42</f>
        <v>38124.806399999994</v>
      </c>
      <c r="S532" s="525" t="s">
        <v>1237</v>
      </c>
      <c r="T532" s="525">
        <f>'HPM costs'!H15+'HPM costs'!H24+'HPM costs'!H45+'HPM costs'!H42</f>
        <v>79340.7</v>
      </c>
      <c r="U532" s="525" t="s">
        <v>1237</v>
      </c>
      <c r="V532" s="525">
        <f>'HPM costs'!I15+'HPM costs'!I24+'HPM costs'!I45+'HPM costs'!I42</f>
        <v>0</v>
      </c>
      <c r="W532" s="525"/>
      <c r="X532" s="1154">
        <f t="shared" si="54"/>
        <v>117465.50639999998</v>
      </c>
      <c r="Y532" s="1155"/>
      <c r="Z532" s="1156"/>
      <c r="AA532" s="529"/>
      <c r="AB532" s="525"/>
      <c r="AC532" s="525">
        <f>'HPM costs'!K15+'HPM costs'!K24+'HPM costs'!K45+'HPM costs'!K42</f>
        <v>0</v>
      </c>
      <c r="AD532" s="525"/>
      <c r="AE532" s="525">
        <f>'HPM costs'!L15+'HPM costs'!L24+'HPM costs'!L45+'HPM costs'!L42</f>
        <v>109918.16279999999</v>
      </c>
      <c r="AF532" s="525"/>
      <c r="AG532" s="525">
        <f>'HPM costs'!M15+'HPM costs'!M24+'HPM costs'!M45+'HPM costs'!M42</f>
        <v>0</v>
      </c>
      <c r="AH532" s="525"/>
      <c r="AI532" s="525">
        <f>'HPM costs'!N15+'HPM costs'!N24+'HPM costs'!N45+'HPM costs'!N42</f>
        <v>0</v>
      </c>
      <c r="AJ532" s="525"/>
      <c r="AK532" s="1154">
        <f>AI532+AG532+AE532+AC532</f>
        <v>109918.16279999999</v>
      </c>
      <c r="AL532" s="1155"/>
      <c r="AM532" s="1156"/>
      <c r="AN532" s="529"/>
      <c r="AO532" s="525"/>
      <c r="AP532" s="525">
        <f>'HPM costs'!P15+'HPM costs'!P24+'HPM costs'!P45+'HPM costs'!P42</f>
        <v>0</v>
      </c>
      <c r="AQ532" s="525"/>
      <c r="AR532" s="525">
        <f>'HPM costs'!Q15+'HPM costs'!Q24+'HPM costs'!Q45+'HPM costs'!Q42</f>
        <v>118851.39599999999</v>
      </c>
      <c r="AS532" s="525"/>
      <c r="AT532" s="525">
        <f>'HPM costs'!R15+'HPM costs'!R24+'HPM costs'!R45+'HPM costs'!R42</f>
        <v>0</v>
      </c>
      <c r="AU532" s="525"/>
      <c r="AV532" s="525">
        <f>'HPM costs'!S15+'HPM costs'!S24+'HPM costs'!S45+'HPM costs'!S42</f>
        <v>0</v>
      </c>
      <c r="AW532" s="525"/>
      <c r="AX532" s="1154">
        <f t="shared" si="56"/>
        <v>118851.39599999999</v>
      </c>
      <c r="AY532" s="1154"/>
      <c r="AZ532" s="528"/>
      <c r="BA532" s="529"/>
      <c r="BB532" s="527"/>
      <c r="BC532" s="527">
        <v>0</v>
      </c>
      <c r="BD532" s="527">
        <v>0</v>
      </c>
      <c r="BE532" s="527">
        <v>0</v>
      </c>
      <c r="BF532" s="527">
        <v>0</v>
      </c>
      <c r="BG532" s="527">
        <v>0</v>
      </c>
      <c r="BH532" s="527">
        <v>0</v>
      </c>
      <c r="BI532" s="527">
        <v>0</v>
      </c>
      <c r="BJ532" s="527">
        <v>0</v>
      </c>
      <c r="BK532" s="1154">
        <f t="shared" si="57"/>
        <v>0</v>
      </c>
      <c r="BL532" s="1154"/>
      <c r="BM532" s="1154">
        <f t="shared" si="58"/>
        <v>0</v>
      </c>
      <c r="BN532" s="1154">
        <f t="shared" si="59"/>
        <v>346235.06519999995</v>
      </c>
      <c r="BO532" s="527"/>
      <c r="BP532" s="527" t="s">
        <v>4303</v>
      </c>
      <c r="BQ532" s="1157">
        <v>0</v>
      </c>
      <c r="BR532" s="1157" t="s">
        <v>690</v>
      </c>
      <c r="BS532" s="1157" t="s">
        <v>2547</v>
      </c>
      <c r="BT532" s="1376" t="s">
        <v>1836</v>
      </c>
      <c r="BU532" s="1371"/>
    </row>
    <row r="533" spans="1:73" ht="13">
      <c r="A533" s="1204">
        <v>1091</v>
      </c>
      <c r="B533" s="1205" t="s">
        <v>676</v>
      </c>
      <c r="C533" s="1205" t="s">
        <v>677</v>
      </c>
      <c r="D533" s="1206" t="s">
        <v>2547</v>
      </c>
      <c r="E533" s="1386" t="s">
        <v>530</v>
      </c>
      <c r="F533" s="521"/>
      <c r="G533" s="522"/>
      <c r="H533" s="522"/>
      <c r="I533" s="522"/>
      <c r="J533" s="523"/>
      <c r="K533" s="523"/>
      <c r="L533" s="523"/>
      <c r="M533" s="524"/>
      <c r="N533" s="525"/>
      <c r="O533" s="526" t="s">
        <v>1237</v>
      </c>
      <c r="P533" s="525">
        <f>'HPM costs'!F101+'HPM costs'!F110+'HPM costs'!F131+'HPM costs'!F128</f>
        <v>0</v>
      </c>
      <c r="Q533" s="525" t="s">
        <v>1237</v>
      </c>
      <c r="R533" s="525">
        <f>'HPM costs'!G101+'HPM costs'!G110+'HPM costs'!G131+'HPM costs'!G128</f>
        <v>6.3541343999999995E-11</v>
      </c>
      <c r="S533" s="525" t="s">
        <v>1237</v>
      </c>
      <c r="T533" s="525">
        <f>'HPM costs'!H101+'HPM costs'!H110+'HPM costs'!H131+'HPM costs'!H128</f>
        <v>1.322345E-10</v>
      </c>
      <c r="U533" s="525" t="s">
        <v>1237</v>
      </c>
      <c r="V533" s="525">
        <f>'HPM costs'!I101+'HPM costs'!I110+'HPM costs'!I131+'HPM costs'!I128</f>
        <v>0</v>
      </c>
      <c r="W533" s="525"/>
      <c r="X533" s="1154">
        <f t="shared" si="54"/>
        <v>1.95775844E-10</v>
      </c>
      <c r="Y533" s="1155"/>
      <c r="Z533" s="1156"/>
      <c r="AA533" s="529"/>
      <c r="AB533" s="525"/>
      <c r="AC533" s="525">
        <f>'HPM costs'!K101+'HPM costs'!K110+'HPM costs'!K131+'HPM costs'!K128</f>
        <v>0</v>
      </c>
      <c r="AD533" s="525"/>
      <c r="AE533" s="525">
        <f>'HPM costs'!L101+'HPM costs'!L110+'HPM costs'!L131+'HPM costs'!L128</f>
        <v>1.8319693799999998E-10</v>
      </c>
      <c r="AF533" s="525"/>
      <c r="AG533" s="525">
        <f>'HPM costs'!M101+'HPM costs'!M110+'HPM costs'!M131+'HPM costs'!M128</f>
        <v>0</v>
      </c>
      <c r="AH533" s="525"/>
      <c r="AI533" s="525">
        <f>'HPM costs'!N101+'HPM costs'!N110+'HPM costs'!N131+'HPM costs'!N128</f>
        <v>0</v>
      </c>
      <c r="AJ533" s="525"/>
      <c r="AK533" s="1154">
        <f t="shared" si="55"/>
        <v>1.8319693799999998E-10</v>
      </c>
      <c r="AL533" s="1155"/>
      <c r="AM533" s="1156"/>
      <c r="AN533" s="529"/>
      <c r="AO533" s="525"/>
      <c r="AP533" s="525">
        <f>'HPM costs'!P101+'HPM costs'!P110+'HPM costs'!P131+'HPM costs'!P128</f>
        <v>0</v>
      </c>
      <c r="AQ533" s="525"/>
      <c r="AR533" s="525">
        <f>'HPM costs'!Q101+'HPM costs'!Q110+'HPM costs'!Q131+'HPM costs'!Q128</f>
        <v>1.9808565999999999E-10</v>
      </c>
      <c r="AS533" s="525"/>
      <c r="AT533" s="525">
        <f>'HPM costs'!R101+'HPM costs'!R110+'HPM costs'!R131+'HPM costs'!R128</f>
        <v>0</v>
      </c>
      <c r="AU533" s="525"/>
      <c r="AV533" s="525">
        <f>'HPM costs'!S101+'HPM costs'!S110+'HPM costs'!S131+'HPM costs'!S128</f>
        <v>0</v>
      </c>
      <c r="AW533" s="525"/>
      <c r="AX533" s="1154">
        <f t="shared" si="56"/>
        <v>1.9808565999999999E-10</v>
      </c>
      <c r="AY533" s="1154"/>
      <c r="AZ533" s="528"/>
      <c r="BA533" s="529"/>
      <c r="BB533" s="527"/>
      <c r="BC533" s="527">
        <v>0</v>
      </c>
      <c r="BD533" s="527">
        <v>0</v>
      </c>
      <c r="BE533" s="527">
        <v>0</v>
      </c>
      <c r="BF533" s="527">
        <v>0</v>
      </c>
      <c r="BG533" s="527">
        <v>0</v>
      </c>
      <c r="BH533" s="527">
        <v>0</v>
      </c>
      <c r="BI533" s="527">
        <v>0</v>
      </c>
      <c r="BJ533" s="527">
        <v>0</v>
      </c>
      <c r="BK533" s="1154">
        <f t="shared" si="57"/>
        <v>0</v>
      </c>
      <c r="BL533" s="1154"/>
      <c r="BM533" s="1154">
        <f t="shared" si="58"/>
        <v>0</v>
      </c>
      <c r="BN533" s="1154">
        <f t="shared" si="59"/>
        <v>5.7705844199999994E-10</v>
      </c>
      <c r="BO533" s="527"/>
      <c r="BP533" s="527"/>
      <c r="BQ533" s="1157">
        <v>0</v>
      </c>
      <c r="BR533" s="1157" t="s">
        <v>690</v>
      </c>
      <c r="BS533" s="1157" t="s">
        <v>2547</v>
      </c>
      <c r="BT533" s="1376" t="s">
        <v>1837</v>
      </c>
      <c r="BU533" s="1371"/>
    </row>
    <row r="534" spans="1:73" ht="13">
      <c r="A534" s="1204">
        <v>1092</v>
      </c>
      <c r="B534" s="1205" t="s">
        <v>676</v>
      </c>
      <c r="C534" s="1205" t="s">
        <v>677</v>
      </c>
      <c r="D534" s="1206" t="s">
        <v>2547</v>
      </c>
      <c r="E534" s="1386" t="s">
        <v>532</v>
      </c>
      <c r="F534" s="521"/>
      <c r="G534" s="522"/>
      <c r="H534" s="522"/>
      <c r="I534" s="522"/>
      <c r="J534" s="523"/>
      <c r="K534" s="523"/>
      <c r="L534" s="523"/>
      <c r="M534" s="524"/>
      <c r="N534" s="525"/>
      <c r="O534" s="526" t="s">
        <v>1237</v>
      </c>
      <c r="P534" s="525">
        <f>'HPM costs'!F361+'HPM costs'!F370+'HPM costs'!F391+'HPM costs'!F388</f>
        <v>0</v>
      </c>
      <c r="Q534" s="525" t="s">
        <v>1237</v>
      </c>
      <c r="R534" s="525">
        <f>'HPM costs'!G361+'HPM costs'!G370+'HPM costs'!G391+'HPM costs'!G388</f>
        <v>0</v>
      </c>
      <c r="S534" s="525" t="s">
        <v>1237</v>
      </c>
      <c r="T534" s="525">
        <f>'HPM costs'!H361+'HPM costs'!H370+'HPM costs'!H391+'HPM costs'!H388</f>
        <v>0</v>
      </c>
      <c r="U534" s="525" t="s">
        <v>1237</v>
      </c>
      <c r="V534" s="525">
        <f>'HPM costs'!I361+'HPM costs'!I370+'HPM costs'!I391+'HPM costs'!I388</f>
        <v>0</v>
      </c>
      <c r="W534" s="525"/>
      <c r="X534" s="1154">
        <f t="shared" si="54"/>
        <v>0</v>
      </c>
      <c r="Y534" s="1155"/>
      <c r="Z534" s="1156"/>
      <c r="AA534" s="529"/>
      <c r="AB534" s="525"/>
      <c r="AC534" s="525">
        <f>'HPM costs'!K361+'HPM costs'!K370+'HPM costs'!K391+'HPM costs'!K388</f>
        <v>0</v>
      </c>
      <c r="AD534" s="525"/>
      <c r="AE534" s="525">
        <f>'HPM costs'!L361+'HPM costs'!L370+'HPM costs'!L391+'HPM costs'!L388</f>
        <v>0</v>
      </c>
      <c r="AF534" s="525"/>
      <c r="AG534" s="525">
        <f>'HPM costs'!M361+'HPM costs'!M370+'HPM costs'!M391+'HPM costs'!M388</f>
        <v>0</v>
      </c>
      <c r="AH534" s="525"/>
      <c r="AI534" s="525">
        <f>'HPM costs'!N361+'HPM costs'!N370+'HPM costs'!N391+'HPM costs'!N388</f>
        <v>0</v>
      </c>
      <c r="AJ534" s="525"/>
      <c r="AK534" s="1154">
        <f>AI534+AG534+AE534+AC534</f>
        <v>0</v>
      </c>
      <c r="AL534" s="1155"/>
      <c r="AM534" s="1156"/>
      <c r="AN534" s="529"/>
      <c r="AO534" s="525"/>
      <c r="AP534" s="525">
        <f>'HPM costs'!P361+'HPM costs'!P370+'HPM costs'!P391+'HPM costs'!P388</f>
        <v>0</v>
      </c>
      <c r="AQ534" s="525"/>
      <c r="AR534" s="525">
        <f>'HPM costs'!Q361+'HPM costs'!Q370+'HPM costs'!Q391+'HPM costs'!Q388</f>
        <v>0</v>
      </c>
      <c r="AS534" s="525"/>
      <c r="AT534" s="525">
        <f>'HPM costs'!R361+'HPM costs'!R370+'HPM costs'!R391+'HPM costs'!R388</f>
        <v>0</v>
      </c>
      <c r="AU534" s="525"/>
      <c r="AV534" s="525">
        <f>'HPM costs'!S361+'HPM costs'!S370+'HPM costs'!S391+'HPM costs'!S388</f>
        <v>0</v>
      </c>
      <c r="AW534" s="525"/>
      <c r="AX534" s="1154">
        <f>AV534+AT534+AR534+AP534</f>
        <v>0</v>
      </c>
      <c r="AY534" s="1154"/>
      <c r="AZ534" s="528"/>
      <c r="BA534" s="529"/>
      <c r="BB534" s="527"/>
      <c r="BC534" s="527">
        <v>0</v>
      </c>
      <c r="BD534" s="527">
        <v>0</v>
      </c>
      <c r="BE534" s="527">
        <v>0</v>
      </c>
      <c r="BF534" s="527">
        <v>0</v>
      </c>
      <c r="BG534" s="527">
        <v>0</v>
      </c>
      <c r="BH534" s="527">
        <v>0</v>
      </c>
      <c r="BI534" s="527">
        <v>0</v>
      </c>
      <c r="BJ534" s="527">
        <v>0</v>
      </c>
      <c r="BK534" s="1154">
        <f t="shared" si="57"/>
        <v>0</v>
      </c>
      <c r="BL534" s="1154"/>
      <c r="BM534" s="1154">
        <f t="shared" si="58"/>
        <v>0</v>
      </c>
      <c r="BN534" s="1154">
        <f t="shared" si="59"/>
        <v>0</v>
      </c>
      <c r="BO534" s="527"/>
      <c r="BP534" s="527"/>
      <c r="BQ534" s="1157">
        <v>0</v>
      </c>
      <c r="BR534" s="1157" t="s">
        <v>690</v>
      </c>
      <c r="BS534" s="1157" t="s">
        <v>2547</v>
      </c>
      <c r="BT534" s="1376" t="s">
        <v>1838</v>
      </c>
      <c r="BU534" s="1371"/>
    </row>
    <row r="535" spans="1:73" ht="13">
      <c r="A535" s="1204">
        <v>1093</v>
      </c>
      <c r="B535" s="1205" t="s">
        <v>676</v>
      </c>
      <c r="C535" s="1205" t="s">
        <v>677</v>
      </c>
      <c r="D535" s="1206" t="s">
        <v>2547</v>
      </c>
      <c r="E535" s="1386" t="s">
        <v>534</v>
      </c>
      <c r="F535" s="521"/>
      <c r="G535" s="522"/>
      <c r="H535" s="522"/>
      <c r="I535" s="522"/>
      <c r="J535" s="523"/>
      <c r="K535" s="523"/>
      <c r="L535" s="523"/>
      <c r="M535" s="524"/>
      <c r="N535" s="525"/>
      <c r="O535" s="526" t="s">
        <v>1237</v>
      </c>
      <c r="P535" s="525">
        <f>'HPM costs'!F447+'HPM costs'!F456+'HPM costs'!F477+'HPM costs'!F474</f>
        <v>0</v>
      </c>
      <c r="Q535" s="525" t="s">
        <v>1237</v>
      </c>
      <c r="R535" s="525">
        <f>'HPM costs'!G447+'HPM costs'!G456+'HPM costs'!G477+'HPM costs'!G474</f>
        <v>0</v>
      </c>
      <c r="S535" s="525" t="s">
        <v>1237</v>
      </c>
      <c r="T535" s="525">
        <f>'HPM costs'!H447+'HPM costs'!H456+'HPM costs'!H477+'HPM costs'!H474</f>
        <v>0</v>
      </c>
      <c r="U535" s="525" t="s">
        <v>1237</v>
      </c>
      <c r="V535" s="525">
        <f>'HPM costs'!I447+'HPM costs'!I456+'HPM costs'!I477+'HPM costs'!I474</f>
        <v>0</v>
      </c>
      <c r="W535" s="525"/>
      <c r="X535" s="1154">
        <f t="shared" si="54"/>
        <v>0</v>
      </c>
      <c r="Y535" s="1155"/>
      <c r="Z535" s="1156"/>
      <c r="AA535" s="529"/>
      <c r="AB535" s="525"/>
      <c r="AC535" s="525">
        <f>'HPM costs'!K447+'HPM costs'!K456+'HPM costs'!K477+'HPM costs'!K474</f>
        <v>0</v>
      </c>
      <c r="AD535" s="525"/>
      <c r="AE535" s="525">
        <f>'HPM costs'!L447+'HPM costs'!L456+'HPM costs'!L477+'HPM costs'!L474</f>
        <v>0</v>
      </c>
      <c r="AF535" s="525"/>
      <c r="AG535" s="525">
        <f>'HPM costs'!M447+'HPM costs'!M456+'HPM costs'!M477+'HPM costs'!M474</f>
        <v>0</v>
      </c>
      <c r="AH535" s="525"/>
      <c r="AI535" s="525">
        <f>'HPM costs'!N447+'HPM costs'!N456+'HPM costs'!N477+'HPM costs'!N474</f>
        <v>0</v>
      </c>
      <c r="AJ535" s="525"/>
      <c r="AK535" s="1154">
        <f t="shared" si="55"/>
        <v>0</v>
      </c>
      <c r="AL535" s="1155"/>
      <c r="AM535" s="1156"/>
      <c r="AN535" s="529"/>
      <c r="AO535" s="525"/>
      <c r="AP535" s="525">
        <f>'HPM costs'!P447+'HPM costs'!P456+'HPM costs'!P477+'HPM costs'!P474</f>
        <v>0</v>
      </c>
      <c r="AQ535" s="525"/>
      <c r="AR535" s="525">
        <f>'HPM costs'!Q447+'HPM costs'!Q456+'HPM costs'!Q477+'HPM costs'!Q474</f>
        <v>0</v>
      </c>
      <c r="AS535" s="525"/>
      <c r="AT535" s="525">
        <f>'HPM costs'!R447+'HPM costs'!R456+'HPM costs'!R477+'HPM costs'!R474</f>
        <v>0</v>
      </c>
      <c r="AU535" s="525"/>
      <c r="AV535" s="525">
        <f>'HPM costs'!S447+'HPM costs'!S456+'HPM costs'!S477+'HPM costs'!S474</f>
        <v>0</v>
      </c>
      <c r="AW535" s="525"/>
      <c r="AX535" s="1154">
        <f t="shared" si="56"/>
        <v>0</v>
      </c>
      <c r="AY535" s="1154"/>
      <c r="AZ535" s="528"/>
      <c r="BA535" s="529"/>
      <c r="BB535" s="527"/>
      <c r="BC535" s="527">
        <v>0</v>
      </c>
      <c r="BD535" s="527">
        <v>0</v>
      </c>
      <c r="BE535" s="527">
        <v>0</v>
      </c>
      <c r="BF535" s="527">
        <v>0</v>
      </c>
      <c r="BG535" s="527">
        <v>0</v>
      </c>
      <c r="BH535" s="527">
        <v>0</v>
      </c>
      <c r="BI535" s="527">
        <v>0</v>
      </c>
      <c r="BJ535" s="527">
        <v>0</v>
      </c>
      <c r="BK535" s="1154">
        <f t="shared" si="57"/>
        <v>0</v>
      </c>
      <c r="BL535" s="1154"/>
      <c r="BM535" s="1154">
        <f t="shared" si="58"/>
        <v>0</v>
      </c>
      <c r="BN535" s="1154">
        <f t="shared" si="59"/>
        <v>0</v>
      </c>
      <c r="BO535" s="527"/>
      <c r="BP535" s="527"/>
      <c r="BQ535" s="1157">
        <v>0</v>
      </c>
      <c r="BR535" s="1157" t="s">
        <v>690</v>
      </c>
      <c r="BS535" s="1157" t="s">
        <v>2547</v>
      </c>
      <c r="BT535" s="1376" t="s">
        <v>1839</v>
      </c>
      <c r="BU535" s="1371"/>
    </row>
    <row r="536" spans="1:73" ht="13">
      <c r="A536" s="1204">
        <v>1094</v>
      </c>
      <c r="B536" s="1205" t="s">
        <v>676</v>
      </c>
      <c r="C536" s="1205" t="s">
        <v>677</v>
      </c>
      <c r="D536" s="1206" t="s">
        <v>2547</v>
      </c>
      <c r="E536" s="1386" t="s">
        <v>536</v>
      </c>
      <c r="F536" s="521"/>
      <c r="G536" s="522"/>
      <c r="H536" s="522"/>
      <c r="I536" s="522"/>
      <c r="J536" s="523"/>
      <c r="K536" s="523"/>
      <c r="L536" s="523"/>
      <c r="M536" s="524"/>
      <c r="N536" s="525"/>
      <c r="O536" s="526" t="s">
        <v>1237</v>
      </c>
      <c r="P536" s="525">
        <f>'HPM costs'!F187+'HPM costs'!F196+'HPM costs'!F217+'HPM costs'!F533+'HPM costs'!F542+'HPM costs'!F563++'HPM costs'!F214+'HPM costs'!F560</f>
        <v>0</v>
      </c>
      <c r="Q536" s="525" t="s">
        <v>1237</v>
      </c>
      <c r="R536" s="525">
        <f>'HPM costs'!G187+'HPM costs'!G196+'HPM costs'!G217+'HPM costs'!G533+'HPM costs'!G542+'HPM costs'!G563+'HPM costs'!G214+'HPM costs'!G560</f>
        <v>0</v>
      </c>
      <c r="S536" s="525" t="s">
        <v>1237</v>
      </c>
      <c r="T536" s="525">
        <f>'HPM costs'!H187+'HPM costs'!H196+'HPM costs'!H217+'HPM costs'!H533+'HPM costs'!H542+'HPM costs'!H563+'HPM costs'!H214+'HPM costs'!H560</f>
        <v>0</v>
      </c>
      <c r="U536" s="525" t="s">
        <v>1237</v>
      </c>
      <c r="V536" s="525">
        <f>'HPM costs'!I187+'HPM costs'!I196+'HPM costs'!I217+'HPM costs'!I533+'HPM costs'!I542+'HPM costs'!I563+'HPM costs'!I214+'HPM costs'!I560</f>
        <v>0</v>
      </c>
      <c r="W536" s="525"/>
      <c r="X536" s="1154">
        <f t="shared" si="54"/>
        <v>0</v>
      </c>
      <c r="Y536" s="1155"/>
      <c r="Z536" s="1156"/>
      <c r="AA536" s="529"/>
      <c r="AB536" s="525"/>
      <c r="AC536" s="525">
        <f>'HPM costs'!K187+'HPM costs'!K196+'HPM costs'!K217+'HPM costs'!K533+'HPM costs'!K542+'HPM costs'!K563+'HPM costs'!K214+'HPM costs'!K560</f>
        <v>0</v>
      </c>
      <c r="AD536" s="525"/>
      <c r="AE536" s="525">
        <f>'HPM costs'!L187+'HPM costs'!L196+'HPM costs'!L217+'HPM costs'!L533+'HPM costs'!L542+'HPM costs'!L563+'HPM costs'!L214+'HPM costs'!L560</f>
        <v>0</v>
      </c>
      <c r="AF536" s="525"/>
      <c r="AG536" s="525">
        <f>'HPM costs'!M187+'HPM costs'!M196+'HPM costs'!M217+'HPM costs'!M533+'HPM costs'!M542+'HPM costs'!M563+'HPM costs'!M214+'HPM costs'!M560</f>
        <v>0</v>
      </c>
      <c r="AH536" s="525"/>
      <c r="AI536" s="525">
        <f>'HPM costs'!N187+'HPM costs'!N196+'HPM costs'!N217+'HPM costs'!N533+'HPM costs'!N542+'HPM costs'!N563+'HPM costs'!N214+'HPM costs'!N560</f>
        <v>0</v>
      </c>
      <c r="AJ536" s="525"/>
      <c r="AK536" s="1154">
        <f t="shared" si="55"/>
        <v>0</v>
      </c>
      <c r="AL536" s="1155"/>
      <c r="AM536" s="1156"/>
      <c r="AN536" s="529"/>
      <c r="AO536" s="525"/>
      <c r="AP536" s="525">
        <f>'HPM costs'!P187+'HPM costs'!P196+'HPM costs'!P217+'HPM costs'!P533+'HPM costs'!P542+'HPM costs'!P563+'HPM costs'!P214+'HPM costs'!P560</f>
        <v>0</v>
      </c>
      <c r="AQ536" s="525"/>
      <c r="AR536" s="525">
        <f>'HPM costs'!Q187+'HPM costs'!Q196+'HPM costs'!Q217+'HPM costs'!Q533+'HPM costs'!Q542+'HPM costs'!Q563+'HPM costs'!Q214+'HPM costs'!Q560</f>
        <v>0</v>
      </c>
      <c r="AS536" s="525"/>
      <c r="AT536" s="525">
        <f>'HPM costs'!R187+'HPM costs'!R196+'HPM costs'!R217+'HPM costs'!R533+'HPM costs'!R542+'HPM costs'!R563+'HPM costs'!R214+'HPM costs'!R560</f>
        <v>0</v>
      </c>
      <c r="AU536" s="525"/>
      <c r="AV536" s="525">
        <f>'HPM costs'!S187+'HPM costs'!S196+'HPM costs'!S217+'HPM costs'!S533+'HPM costs'!S542+'HPM costs'!S563+'HPM costs'!S214+'HPM costs'!S560</f>
        <v>0</v>
      </c>
      <c r="AW536" s="525"/>
      <c r="AX536" s="1154">
        <f t="shared" si="56"/>
        <v>0</v>
      </c>
      <c r="AY536" s="1154"/>
      <c r="AZ536" s="528"/>
      <c r="BA536" s="529"/>
      <c r="BB536" s="527"/>
      <c r="BC536" s="527">
        <v>0</v>
      </c>
      <c r="BD536" s="527">
        <v>0</v>
      </c>
      <c r="BE536" s="527">
        <v>0</v>
      </c>
      <c r="BF536" s="527">
        <v>0</v>
      </c>
      <c r="BG536" s="527">
        <v>0</v>
      </c>
      <c r="BH536" s="527">
        <v>0</v>
      </c>
      <c r="BI536" s="527">
        <v>0</v>
      </c>
      <c r="BJ536" s="527">
        <v>0</v>
      </c>
      <c r="BK536" s="1154">
        <f t="shared" si="57"/>
        <v>0</v>
      </c>
      <c r="BL536" s="1154"/>
      <c r="BM536" s="1154">
        <f t="shared" si="58"/>
        <v>0</v>
      </c>
      <c r="BN536" s="1154">
        <f t="shared" si="59"/>
        <v>0</v>
      </c>
      <c r="BO536" s="527"/>
      <c r="BP536" s="527"/>
      <c r="BQ536" s="1157">
        <v>0</v>
      </c>
      <c r="BR536" s="1157" t="s">
        <v>690</v>
      </c>
      <c r="BS536" s="1157" t="s">
        <v>2547</v>
      </c>
      <c r="BT536" s="1376" t="s">
        <v>1840</v>
      </c>
      <c r="BU536" s="1371"/>
    </row>
    <row r="537" spans="1:73" ht="13">
      <c r="A537" s="1204">
        <v>1095</v>
      </c>
      <c r="B537" s="1205" t="s">
        <v>676</v>
      </c>
      <c r="C537" s="1205" t="s">
        <v>677</v>
      </c>
      <c r="D537" s="1206" t="s">
        <v>2547</v>
      </c>
      <c r="E537" s="1386" t="s">
        <v>538</v>
      </c>
      <c r="F537" s="521"/>
      <c r="G537" s="522"/>
      <c r="H537" s="522"/>
      <c r="I537" s="522"/>
      <c r="J537" s="523"/>
      <c r="K537" s="523"/>
      <c r="L537" s="523"/>
      <c r="M537" s="524"/>
      <c r="N537" s="525"/>
      <c r="O537" s="526" t="s">
        <v>1237</v>
      </c>
      <c r="P537" s="525">
        <f>'HPM costs'!F273+'HPM costs'!F282+'HPM costs'!F303+'HPM costs'!F300</f>
        <v>0</v>
      </c>
      <c r="Q537" s="525" t="s">
        <v>1237</v>
      </c>
      <c r="R537" s="525">
        <f>'HPM costs'!G273+'HPM costs'!G282+'HPM costs'!G303+'HPM costs'!G300</f>
        <v>0</v>
      </c>
      <c r="S537" s="525" t="s">
        <v>1237</v>
      </c>
      <c r="T537" s="525">
        <f>'HPM costs'!H273+'HPM costs'!H282+'HPM costs'!H303+'HPM costs'!H300</f>
        <v>0</v>
      </c>
      <c r="U537" s="525" t="s">
        <v>1237</v>
      </c>
      <c r="V537" s="525">
        <f>'HPM costs'!I273+'HPM costs'!I282+'HPM costs'!I303+'HPM costs'!I300</f>
        <v>0</v>
      </c>
      <c r="W537" s="525"/>
      <c r="X537" s="1154">
        <f t="shared" si="54"/>
        <v>0</v>
      </c>
      <c r="Y537" s="1155"/>
      <c r="Z537" s="1156"/>
      <c r="AA537" s="529"/>
      <c r="AB537" s="525"/>
      <c r="AC537" s="525">
        <f>'HPM costs'!K273+'HPM costs'!K282+'HPM costs'!K303+'HPM costs'!K300</f>
        <v>0</v>
      </c>
      <c r="AD537" s="525"/>
      <c r="AE537" s="525">
        <f>'HPM costs'!L273+'HPM costs'!L282+'HPM costs'!L303+'HPM costs'!L300</f>
        <v>0</v>
      </c>
      <c r="AF537" s="525"/>
      <c r="AG537" s="525">
        <f>'HPM costs'!M273+'HPM costs'!M282+'HPM costs'!M303+'HPM costs'!M300</f>
        <v>0</v>
      </c>
      <c r="AH537" s="525"/>
      <c r="AI537" s="525">
        <f>'HPM costs'!N273+'HPM costs'!N282+'HPM costs'!N303+'HPM costs'!N300</f>
        <v>0</v>
      </c>
      <c r="AJ537" s="525"/>
      <c r="AK537" s="1154">
        <f t="shared" si="55"/>
        <v>0</v>
      </c>
      <c r="AL537" s="1155"/>
      <c r="AM537" s="1156"/>
      <c r="AN537" s="529"/>
      <c r="AO537" s="525"/>
      <c r="AP537" s="525">
        <f>'HPM costs'!P273+'HPM costs'!P282+'HPM costs'!P303+'HPM costs'!P300</f>
        <v>0</v>
      </c>
      <c r="AQ537" s="525"/>
      <c r="AR537" s="525">
        <f>'HPM costs'!Q273+'HPM costs'!Q282+'HPM costs'!Q303+'HPM costs'!Q300</f>
        <v>0</v>
      </c>
      <c r="AS537" s="525"/>
      <c r="AT537" s="525">
        <f>'HPM costs'!R273+'HPM costs'!R282+'HPM costs'!R303+'HPM costs'!R300</f>
        <v>0</v>
      </c>
      <c r="AU537" s="525"/>
      <c r="AV537" s="525">
        <f>'HPM costs'!S273+'HPM costs'!S282+'HPM costs'!S303+'HPM costs'!S300</f>
        <v>0</v>
      </c>
      <c r="AW537" s="525"/>
      <c r="AX537" s="1154">
        <f t="shared" si="56"/>
        <v>0</v>
      </c>
      <c r="AY537" s="1154"/>
      <c r="AZ537" s="528"/>
      <c r="BA537" s="529"/>
      <c r="BB537" s="527"/>
      <c r="BC537" s="527">
        <v>0</v>
      </c>
      <c r="BD537" s="527">
        <v>0</v>
      </c>
      <c r="BE537" s="527">
        <v>0</v>
      </c>
      <c r="BF537" s="527">
        <v>0</v>
      </c>
      <c r="BG537" s="527">
        <v>0</v>
      </c>
      <c r="BH537" s="527">
        <v>0</v>
      </c>
      <c r="BI537" s="527">
        <v>0</v>
      </c>
      <c r="BJ537" s="527">
        <v>0</v>
      </c>
      <c r="BK537" s="1154">
        <f t="shared" si="57"/>
        <v>0</v>
      </c>
      <c r="BL537" s="1154"/>
      <c r="BM537" s="1154">
        <f t="shared" si="58"/>
        <v>0</v>
      </c>
      <c r="BN537" s="1154">
        <f t="shared" si="59"/>
        <v>0</v>
      </c>
      <c r="BO537" s="527"/>
      <c r="BP537" s="527"/>
      <c r="BQ537" s="1157">
        <v>0</v>
      </c>
      <c r="BR537" s="1157" t="s">
        <v>690</v>
      </c>
      <c r="BS537" s="1157" t="s">
        <v>2547</v>
      </c>
      <c r="BT537" s="1376" t="s">
        <v>1841</v>
      </c>
      <c r="BU537" s="1371"/>
    </row>
    <row r="538" spans="1:73" ht="13">
      <c r="A538" s="1204">
        <v>1096</v>
      </c>
      <c r="B538" s="1205" t="s">
        <v>676</v>
      </c>
      <c r="C538" s="1205" t="s">
        <v>677</v>
      </c>
      <c r="D538" s="1206" t="s">
        <v>2547</v>
      </c>
      <c r="E538" s="1386" t="s">
        <v>540</v>
      </c>
      <c r="F538" s="521"/>
      <c r="G538" s="522"/>
      <c r="H538" s="522"/>
      <c r="I538" s="522"/>
      <c r="J538" s="523"/>
      <c r="K538" s="523"/>
      <c r="L538" s="523"/>
      <c r="M538" s="524"/>
      <c r="N538" s="525"/>
      <c r="O538" s="526" t="s">
        <v>1237</v>
      </c>
      <c r="P538" s="525">
        <f>'HPM costs'!F618+'HPM costs'!F627+'HPM costs'!F648+'HPM costs'!F645</f>
        <v>0</v>
      </c>
      <c r="Q538" s="525" t="s">
        <v>1237</v>
      </c>
      <c r="R538" s="525">
        <f>'HPM costs'!G618+'HPM costs'!G627+'HPM costs'!G648+'HPM costs'!G645</f>
        <v>0</v>
      </c>
      <c r="S538" s="525" t="s">
        <v>1237</v>
      </c>
      <c r="T538" s="525">
        <f>'HPM costs'!H618+'HPM costs'!H627+'HPM costs'!H648+'HPM costs'!H645</f>
        <v>0</v>
      </c>
      <c r="U538" s="525" t="s">
        <v>1237</v>
      </c>
      <c r="V538" s="525">
        <f>'HPM costs'!I618+'HPM costs'!I627+'HPM costs'!I648+'HPM costs'!I645</f>
        <v>0</v>
      </c>
      <c r="W538" s="525"/>
      <c r="X538" s="1154">
        <f t="shared" si="54"/>
        <v>0</v>
      </c>
      <c r="Y538" s="1155"/>
      <c r="Z538" s="1156"/>
      <c r="AA538" s="529"/>
      <c r="AB538" s="525"/>
      <c r="AC538" s="525">
        <f>'HPM costs'!K618+'HPM costs'!K627+'HPM costs'!K648+'HPM costs'!K645</f>
        <v>0</v>
      </c>
      <c r="AD538" s="525"/>
      <c r="AE538" s="525">
        <f>'HPM costs'!L618+'HPM costs'!L627+'HPM costs'!L648+'HPM costs'!L645</f>
        <v>0</v>
      </c>
      <c r="AF538" s="525"/>
      <c r="AG538" s="525">
        <f>'HPM costs'!M618+'HPM costs'!M627+'HPM costs'!M648+'HPM costs'!M645</f>
        <v>0</v>
      </c>
      <c r="AH538" s="525"/>
      <c r="AI538" s="525">
        <f>'HPM costs'!N618+'HPM costs'!N627+'HPM costs'!N648+'HPM costs'!N645</f>
        <v>0</v>
      </c>
      <c r="AJ538" s="525"/>
      <c r="AK538" s="1154">
        <f t="shared" si="55"/>
        <v>0</v>
      </c>
      <c r="AL538" s="1155"/>
      <c r="AM538" s="1156"/>
      <c r="AN538" s="529"/>
      <c r="AO538" s="525"/>
      <c r="AP538" s="525">
        <f>'HPM costs'!P618+'HPM costs'!P627+'HPM costs'!P648+'HPM costs'!P645</f>
        <v>0</v>
      </c>
      <c r="AQ538" s="525"/>
      <c r="AR538" s="525">
        <f>'HPM costs'!Q618+'HPM costs'!Q627+'HPM costs'!Q648+'HPM costs'!Q645</f>
        <v>0</v>
      </c>
      <c r="AS538" s="525"/>
      <c r="AT538" s="525">
        <f>'HPM costs'!R618+'HPM costs'!R627+'HPM costs'!R648+'HPM costs'!R645</f>
        <v>0</v>
      </c>
      <c r="AU538" s="525"/>
      <c r="AV538" s="525">
        <f>'HPM costs'!S618+'HPM costs'!S627+'HPM costs'!S648+'HPM costs'!S645</f>
        <v>0</v>
      </c>
      <c r="AW538" s="525"/>
      <c r="AX538" s="1154">
        <f t="shared" si="56"/>
        <v>0</v>
      </c>
      <c r="AY538" s="1154"/>
      <c r="AZ538" s="528"/>
      <c r="BA538" s="529"/>
      <c r="BB538" s="527"/>
      <c r="BC538" s="527">
        <v>0</v>
      </c>
      <c r="BD538" s="527">
        <v>0</v>
      </c>
      <c r="BE538" s="527">
        <v>0</v>
      </c>
      <c r="BF538" s="527">
        <v>0</v>
      </c>
      <c r="BG538" s="527">
        <v>0</v>
      </c>
      <c r="BH538" s="527">
        <v>0</v>
      </c>
      <c r="BI538" s="527">
        <v>0</v>
      </c>
      <c r="BJ538" s="527">
        <v>0</v>
      </c>
      <c r="BK538" s="1154">
        <f t="shared" si="57"/>
        <v>0</v>
      </c>
      <c r="BL538" s="1154"/>
      <c r="BM538" s="1154">
        <f t="shared" si="58"/>
        <v>0</v>
      </c>
      <c r="BN538" s="1154">
        <f t="shared" si="59"/>
        <v>0</v>
      </c>
      <c r="BO538" s="527"/>
      <c r="BP538" s="527"/>
      <c r="BQ538" s="1157">
        <v>0</v>
      </c>
      <c r="BR538" s="1157" t="s">
        <v>690</v>
      </c>
      <c r="BS538" s="1157" t="s">
        <v>2547</v>
      </c>
      <c r="BT538" s="1376" t="s">
        <v>1842</v>
      </c>
      <c r="BU538" s="1371"/>
    </row>
    <row r="539" spans="1:73" ht="13">
      <c r="A539" s="1204">
        <v>1109</v>
      </c>
      <c r="B539" s="1205" t="s">
        <v>676</v>
      </c>
      <c r="C539" s="1205" t="s">
        <v>679</v>
      </c>
      <c r="D539" s="1206" t="s">
        <v>2583</v>
      </c>
      <c r="E539" s="1386" t="s">
        <v>656</v>
      </c>
      <c r="F539" s="521"/>
      <c r="G539" s="522"/>
      <c r="H539" s="522"/>
      <c r="I539" s="522"/>
      <c r="J539" s="523"/>
      <c r="K539" s="523"/>
      <c r="L539" s="523"/>
      <c r="M539" s="524"/>
      <c r="N539" s="525"/>
      <c r="O539" s="526" t="s">
        <v>1237</v>
      </c>
      <c r="P539" s="1110">
        <f>IFERROR(INDEX('HIV-Pharmaceuticals'!$AX$24:$BI$28,MATCH(4.5,'HIV-Pharmaceuticals'!$AW$24:$AW$28,0),MID(LEFT(P$1,SEARCH(" ",P$1)-1),2,3)-INDEX('HIV-Pharmaceuticals'!$AV$24:$AV$28,MATCH(4.5,'HIV-Pharmaceuticals'!$AW$24:$AW$28,0))),0)</f>
        <v>0</v>
      </c>
      <c r="Q539" s="525" t="s">
        <v>1237</v>
      </c>
      <c r="R539" s="1110">
        <f>IFERROR(INDEX('HIV-Pharmaceuticals'!$AX$24:$BI$28,MATCH(4.5,'HIV-Pharmaceuticals'!$AW$24:$AW$28,0),MID(LEFT(R$1,SEARCH(" ",R$1)-1),2,3)-INDEX('HIV-Pharmaceuticals'!$AV$24:$AV$28,MATCH(4.5,'HIV-Pharmaceuticals'!$AW$24:$AW$28,0))),0)</f>
        <v>88680</v>
      </c>
      <c r="S539" s="525" t="s">
        <v>1237</v>
      </c>
      <c r="T539" s="1110">
        <f>IFERROR(INDEX('HIV-Pharmaceuticals'!$AX$24:$BI$28,MATCH(4.5,'HIV-Pharmaceuticals'!$AW$24:$AW$28,0),MID(LEFT(T$1,SEARCH(" ",T$1)-1),2,3)-INDEX('HIV-Pharmaceuticals'!$AV$24:$AV$28,MATCH(4.5,'HIV-Pharmaceuticals'!$AW$24:$AW$28,0))),0)</f>
        <v>0</v>
      </c>
      <c r="U539" s="525" t="s">
        <v>1237</v>
      </c>
      <c r="V539" s="1110">
        <f>IFERROR(INDEX('HIV-Pharmaceuticals'!$AX$24:$BI$28,MATCH(4.5,'HIV-Pharmaceuticals'!$AW$24:$AW$28,0),MID(LEFT(V$1,SEARCH(" ",V$1)-1),2,3)-INDEX('HIV-Pharmaceuticals'!$AV$24:$AV$28,MATCH(4.5,'HIV-Pharmaceuticals'!$AW$24:$AW$28,0))),0)</f>
        <v>0</v>
      </c>
      <c r="W539" s="525"/>
      <c r="X539" s="1154">
        <f t="shared" si="54"/>
        <v>88680</v>
      </c>
      <c r="Y539" s="1155"/>
      <c r="Z539" s="1156"/>
      <c r="AA539" s="529"/>
      <c r="AB539" s="525"/>
      <c r="AC539" s="1110">
        <f>IFERROR(INDEX('HIV-Pharmaceuticals'!$AX$24:$BI$28,MATCH(4.5,'HIV-Pharmaceuticals'!$AW$24:$AW$28,0),MID(LEFT(AC$1,SEARCH(" ",AC$1)-1),2,3)-INDEX('HIV-Pharmaceuticals'!$AV$24:$AV$28,MATCH(4.5,'HIV-Pharmaceuticals'!$AW$24:$AW$28,0))),0)</f>
        <v>0</v>
      </c>
      <c r="AD539" s="525"/>
      <c r="AE539" s="1110">
        <f>IFERROR(INDEX('HIV-Pharmaceuticals'!$AX$24:$BI$28,MATCH(4.5,'HIV-Pharmaceuticals'!$AW$24:$AW$28,0),MID(LEFT(AE$1,SEARCH(" ",AE$1)-1),2,3)-INDEX('HIV-Pharmaceuticals'!$AV$24:$AV$28,MATCH(4.5,'HIV-Pharmaceuticals'!$AW$24:$AW$28,0))),0)</f>
        <v>88680</v>
      </c>
      <c r="AF539" s="525"/>
      <c r="AG539" s="1110">
        <f>IFERROR(INDEX('HIV-Pharmaceuticals'!$AX$24:$BI$28,MATCH(4.5,'HIV-Pharmaceuticals'!$AW$24:$AW$28,0),MID(LEFT(AG$1,SEARCH(" ",AG$1)-1),2,3)-INDEX('HIV-Pharmaceuticals'!$AV$24:$AV$28,MATCH(4.5,'HIV-Pharmaceuticals'!$AW$24:$AW$28,0))),0)</f>
        <v>0</v>
      </c>
      <c r="AH539" s="525"/>
      <c r="AI539" s="1110">
        <f>IFERROR(INDEX('HIV-Pharmaceuticals'!$AX$24:$BI$28,MATCH(4.5,'HIV-Pharmaceuticals'!$AW$24:$AW$28,0),MID(LEFT(AI$1,SEARCH(" ",AI$1)-1),2,3)-INDEX('HIV-Pharmaceuticals'!$AV$24:$AV$28,MATCH(4.5,'HIV-Pharmaceuticals'!$AW$24:$AW$28,0))),0)</f>
        <v>0</v>
      </c>
      <c r="AJ539" s="525"/>
      <c r="AK539" s="1154">
        <f t="shared" si="55"/>
        <v>88680</v>
      </c>
      <c r="AL539" s="1155"/>
      <c r="AM539" s="1156"/>
      <c r="AN539" s="529"/>
      <c r="AO539" s="525"/>
      <c r="AP539" s="1110">
        <f>IFERROR(INDEX('HIV-Pharmaceuticals'!$AX$24:$BI$28,MATCH(4.5,'HIV-Pharmaceuticals'!$AW$24:$AW$28,0),MID(LEFT(AP$1,SEARCH(" ",AP$1)-1),2,3)-INDEX('HIV-Pharmaceuticals'!$AV$24:$AV$28,MATCH(4.5,'HIV-Pharmaceuticals'!$AW$24:$AW$28,0))),0)</f>
        <v>0</v>
      </c>
      <c r="AQ539" s="525"/>
      <c r="AR539" s="1110">
        <f>IFERROR(INDEX('HIV-Pharmaceuticals'!$AX$24:$BI$28,MATCH(4.5,'HIV-Pharmaceuticals'!$AW$24:$AW$28,0),MID(LEFT(AR$1,SEARCH(" ",AR$1)-1),2,3)-INDEX('HIV-Pharmaceuticals'!$AV$24:$AV$28,MATCH(4.5,'HIV-Pharmaceuticals'!$AW$24:$AW$28,0))),0)</f>
        <v>88680</v>
      </c>
      <c r="AS539" s="525"/>
      <c r="AT539" s="1110">
        <f>IFERROR(INDEX('HIV-Pharmaceuticals'!$AX$24:$BI$28,MATCH(4.5,'HIV-Pharmaceuticals'!$AW$24:$AW$28,0),MID(LEFT(AT$1,SEARCH(" ",AT$1)-1),2,3)-INDEX('HIV-Pharmaceuticals'!$AV$24:$AV$28,MATCH(4.5,'HIV-Pharmaceuticals'!$AW$24:$AW$28,0))),0)</f>
        <v>0</v>
      </c>
      <c r="AU539" s="525"/>
      <c r="AV539" s="525">
        <f>INDEX('HIV-Pharmaceuticals'!$BJ$24:$BJ$28,MATCH(4.5,'HIV-Pharmaceuticals'!$AW$24:$AW$28,0))-SUM(X539,AK539,AP539,AR539,AT539)</f>
        <v>0</v>
      </c>
      <c r="AW539" s="525"/>
      <c r="AX539" s="1154">
        <f t="shared" si="56"/>
        <v>88680</v>
      </c>
      <c r="AY539" s="1154"/>
      <c r="AZ539" s="528"/>
      <c r="BA539" s="529"/>
      <c r="BB539" s="527"/>
      <c r="BC539" s="527">
        <v>0</v>
      </c>
      <c r="BD539" s="527">
        <v>0</v>
      </c>
      <c r="BE539" s="527">
        <v>0</v>
      </c>
      <c r="BF539" s="527">
        <v>0</v>
      </c>
      <c r="BG539" s="527">
        <v>0</v>
      </c>
      <c r="BH539" s="527">
        <v>0</v>
      </c>
      <c r="BI539" s="527">
        <v>0</v>
      </c>
      <c r="BJ539" s="527">
        <v>0</v>
      </c>
      <c r="BK539" s="1154">
        <f t="shared" si="57"/>
        <v>0</v>
      </c>
      <c r="BL539" s="1154"/>
      <c r="BM539" s="1154">
        <f t="shared" si="58"/>
        <v>0</v>
      </c>
      <c r="BN539" s="1154">
        <f t="shared" si="59"/>
        <v>266040</v>
      </c>
      <c r="BO539" s="527"/>
      <c r="BP539" s="527"/>
      <c r="BQ539" s="1157">
        <v>0</v>
      </c>
      <c r="BR539" s="1157" t="s">
        <v>690</v>
      </c>
      <c r="BS539" s="1157" t="s">
        <v>2583</v>
      </c>
      <c r="BT539" s="1480" t="s">
        <v>1843</v>
      </c>
      <c r="BU539" s="1371"/>
    </row>
    <row r="540" spans="1:73" ht="13">
      <c r="A540" s="1204">
        <v>1110</v>
      </c>
      <c r="B540" s="1205" t="s">
        <v>676</v>
      </c>
      <c r="C540" s="1205" t="s">
        <v>679</v>
      </c>
      <c r="D540" s="1206" t="s">
        <v>2568</v>
      </c>
      <c r="E540" s="1386" t="s">
        <v>649</v>
      </c>
      <c r="F540" s="521"/>
      <c r="G540" s="522"/>
      <c r="H540" s="522"/>
      <c r="I540" s="522"/>
      <c r="J540" s="523"/>
      <c r="K540" s="523"/>
      <c r="L540" s="523"/>
      <c r="M540" s="524"/>
      <c r="N540" s="525"/>
      <c r="O540" s="526" t="s">
        <v>1237</v>
      </c>
      <c r="P540" s="1110">
        <f>IFERROR(INDEX('HIV-Pharmaceuticals'!$AX$24:$BI$28,MATCH(4.2,'HIV-Pharmaceuticals'!$AW$24:$AW$28,0),MID(LEFT(P$1,SEARCH(" ",P$1)-1),2,3)-INDEX('HIV-Pharmaceuticals'!$AV$24:$AV$28,MATCH(4.2,'HIV-Pharmaceuticals'!$AW$24:$AW$28,0))),0)</f>
        <v>0</v>
      </c>
      <c r="Q540" s="525" t="s">
        <v>1237</v>
      </c>
      <c r="R540" s="1110">
        <f>IFERROR(INDEX('HIV-Pharmaceuticals'!$AX$24:$BI$28,MATCH(4.2,'HIV-Pharmaceuticals'!$AW$24:$AW$28,0),MID(LEFT(R$1,SEARCH(" ",R$1)-1),2,3)-INDEX('HIV-Pharmaceuticals'!$AV$24:$AV$28,MATCH(4.2,'HIV-Pharmaceuticals'!$AW$24:$AW$28,0))),0)</f>
        <v>0</v>
      </c>
      <c r="S540" s="525" t="s">
        <v>1237</v>
      </c>
      <c r="T540" s="1110">
        <f>IFERROR(INDEX('HIV-Pharmaceuticals'!$AX$24:$BI$28,MATCH(4.2,'HIV-Pharmaceuticals'!$AW$24:$AW$28,0),MID(LEFT(T$1,SEARCH(" ",T$1)-1),2,3)-INDEX('HIV-Pharmaceuticals'!$AV$24:$AV$28,MATCH(4.2,'HIV-Pharmaceuticals'!$AW$24:$AW$28,0))),0)</f>
        <v>0</v>
      </c>
      <c r="U540" s="525" t="s">
        <v>1237</v>
      </c>
      <c r="V540" s="1110">
        <f>IFERROR(INDEX('HIV-Pharmaceuticals'!$AX$24:$BI$28,MATCH(4.2,'HIV-Pharmaceuticals'!$AW$24:$AW$28,0),MID(LEFT(V$1,SEARCH(" ",V$1)-1),2,3)-INDEX('HIV-Pharmaceuticals'!$AV$24:$AV$28,MATCH(4.2,'HIV-Pharmaceuticals'!$AW$24:$AW$28,0))),0)</f>
        <v>0</v>
      </c>
      <c r="W540" s="525"/>
      <c r="X540" s="1154">
        <f t="shared" si="54"/>
        <v>0</v>
      </c>
      <c r="Y540" s="1155"/>
      <c r="Z540" s="1156"/>
      <c r="AA540" s="529"/>
      <c r="AB540" s="525"/>
      <c r="AC540" s="1110">
        <f>IFERROR(INDEX('HIV-Pharmaceuticals'!$AX$24:$BI$28,MATCH(4.2,'HIV-Pharmaceuticals'!$AW$24:$AW$28,0),MID(LEFT(AC$1,SEARCH(" ",AC$1)-1),2,3)-INDEX('HIV-Pharmaceuticals'!$AV$24:$AV$28,MATCH(4.2,'HIV-Pharmaceuticals'!$AW$24:$AW$28,0))),0)</f>
        <v>0</v>
      </c>
      <c r="AD540" s="525"/>
      <c r="AE540" s="1110">
        <f>IFERROR(INDEX('HIV-Pharmaceuticals'!$AX$24:$BI$28,MATCH(4.2,'HIV-Pharmaceuticals'!$AW$24:$AW$28,0),MID(LEFT(AE$1,SEARCH(" ",AE$1)-1),2,3)-INDEX('HIV-Pharmaceuticals'!$AV$24:$AV$28,MATCH(4.2,'HIV-Pharmaceuticals'!$AW$24:$AW$28,0))),0)</f>
        <v>0</v>
      </c>
      <c r="AF540" s="525"/>
      <c r="AG540" s="1110">
        <f>IFERROR(INDEX('HIV-Pharmaceuticals'!$AX$24:$BI$28,MATCH(4.2,'HIV-Pharmaceuticals'!$AW$24:$AW$28,0),MID(LEFT(AG$1,SEARCH(" ",AG$1)-1),2,3)-INDEX('HIV-Pharmaceuticals'!$AV$24:$AV$28,MATCH(4.2,'HIV-Pharmaceuticals'!$AW$24:$AW$28,0))),0)</f>
        <v>0</v>
      </c>
      <c r="AH540" s="525"/>
      <c r="AI540" s="1110">
        <f>IFERROR(INDEX('HIV-Pharmaceuticals'!$AX$24:$BI$28,MATCH(4.2,'HIV-Pharmaceuticals'!$AW$24:$AW$28,0),MID(LEFT(AI$1,SEARCH(" ",AI$1)-1),2,3)-INDEX('HIV-Pharmaceuticals'!$AV$24:$AV$28,MATCH(4.2,'HIV-Pharmaceuticals'!$AW$24:$AW$28,0))),0)</f>
        <v>0</v>
      </c>
      <c r="AJ540" s="525"/>
      <c r="AK540" s="1154">
        <f t="shared" si="55"/>
        <v>0</v>
      </c>
      <c r="AL540" s="1155"/>
      <c r="AM540" s="1156"/>
      <c r="AN540" s="529"/>
      <c r="AO540" s="525"/>
      <c r="AP540" s="1110">
        <f>IFERROR(INDEX('HIV-Pharmaceuticals'!$AX$24:$BI$28,MATCH(4.2,'HIV-Pharmaceuticals'!$AW$24:$AW$28,0),MID(LEFT(AP$1,SEARCH(" ",AP$1)-1),2,3)-INDEX('HIV-Pharmaceuticals'!$AV$24:$AV$28,MATCH(4.2,'HIV-Pharmaceuticals'!$AW$24:$AW$28,0))),0)</f>
        <v>0</v>
      </c>
      <c r="AQ540" s="525"/>
      <c r="AR540" s="1110">
        <f>IFERROR(INDEX('HIV-Pharmaceuticals'!$AX$24:$BI$28,MATCH(4.2,'HIV-Pharmaceuticals'!$AW$24:$AW$28,0),MID(LEFT(AR$1,SEARCH(" ",AR$1)-1),2,3)-INDEX('HIV-Pharmaceuticals'!$AV$24:$AV$28,MATCH(4.2,'HIV-Pharmaceuticals'!$AW$24:$AW$28,0))),0)</f>
        <v>0</v>
      </c>
      <c r="AS540" s="525"/>
      <c r="AT540" s="1110">
        <f>IFERROR(INDEX('HIV-Pharmaceuticals'!$AX$24:$BI$28,MATCH(4.2,'HIV-Pharmaceuticals'!$AW$24:$AW$28,0),MID(LEFT(AT$1,SEARCH(" ",AT$1)-1),2,3)-INDEX('HIV-Pharmaceuticals'!$AV$24:$AV$28,MATCH(4.2,'HIV-Pharmaceuticals'!$AW$24:$AW$28,0))),0)</f>
        <v>0</v>
      </c>
      <c r="AU540" s="525"/>
      <c r="AV540" s="525">
        <f>INDEX('HIV-Pharmaceuticals'!$BJ$24:$BJ$28,MATCH(4.2,'HIV-Pharmaceuticals'!$AW$24:$AW$28,0))-SUM(X540,AK540,AP540,AR540,AT540)</f>
        <v>0</v>
      </c>
      <c r="AW540" s="525"/>
      <c r="AX540" s="1154">
        <f t="shared" si="56"/>
        <v>0</v>
      </c>
      <c r="AY540" s="1154"/>
      <c r="AZ540" s="528"/>
      <c r="BA540" s="529"/>
      <c r="BB540" s="527"/>
      <c r="BC540" s="527">
        <v>0</v>
      </c>
      <c r="BD540" s="527">
        <v>0</v>
      </c>
      <c r="BE540" s="527">
        <v>0</v>
      </c>
      <c r="BF540" s="527">
        <v>0</v>
      </c>
      <c r="BG540" s="527">
        <v>0</v>
      </c>
      <c r="BH540" s="527">
        <v>0</v>
      </c>
      <c r="BI540" s="527">
        <v>0</v>
      </c>
      <c r="BJ540" s="527">
        <v>0</v>
      </c>
      <c r="BK540" s="1154">
        <f t="shared" si="57"/>
        <v>0</v>
      </c>
      <c r="BL540" s="1154"/>
      <c r="BM540" s="1154">
        <f t="shared" si="58"/>
        <v>0</v>
      </c>
      <c r="BN540" s="1154">
        <f t="shared" si="59"/>
        <v>0</v>
      </c>
      <c r="BO540" s="527"/>
      <c r="BP540" s="527"/>
      <c r="BQ540" s="1157">
        <v>0</v>
      </c>
      <c r="BR540" s="1157" t="s">
        <v>690</v>
      </c>
      <c r="BS540" s="1157" t="s">
        <v>2568</v>
      </c>
      <c r="BT540" s="1480" t="s">
        <v>1844</v>
      </c>
      <c r="BU540" s="1371"/>
    </row>
    <row r="541" spans="1:73" ht="13">
      <c r="A541" s="1204">
        <v>1111</v>
      </c>
      <c r="B541" s="1205" t="s">
        <v>676</v>
      </c>
      <c r="C541" s="1205" t="s">
        <v>679</v>
      </c>
      <c r="D541" s="1206" t="s">
        <v>2584</v>
      </c>
      <c r="E541" s="1386" t="s">
        <v>651</v>
      </c>
      <c r="F541" s="521"/>
      <c r="G541" s="522"/>
      <c r="H541" s="522"/>
      <c r="I541" s="522"/>
      <c r="J541" s="523"/>
      <c r="K541" s="523"/>
      <c r="L541" s="523"/>
      <c r="M541" s="524"/>
      <c r="N541" s="525"/>
      <c r="O541" s="526" t="s">
        <v>1237</v>
      </c>
      <c r="P541" s="1110">
        <f>IFERROR(INDEX('HIV-Pharmaceuticals'!$AX$24:$BI$28,MATCH(4.7,'HIV-Pharmaceuticals'!$AW$24:$AW$28,0),MID(LEFT(P$1,SEARCH(" ",P$1)-1),2,3)-INDEX('HIV-Pharmaceuticals'!$AV$24:$AV$28,MATCH(4.7,'HIV-Pharmaceuticals'!$AW$24:$AW$28,0))),0)</f>
        <v>0</v>
      </c>
      <c r="Q541" s="525" t="s">
        <v>1237</v>
      </c>
      <c r="R541" s="1110">
        <f>IFERROR(INDEX('HIV-Pharmaceuticals'!$AX$24:$BI$28,MATCH(4.7,'HIV-Pharmaceuticals'!$AW$24:$AW$28,0),MID(LEFT(R$1,SEARCH(" ",R$1)-1),2,3)-INDEX('HIV-Pharmaceuticals'!$AV$24:$AV$28,MATCH(4.7,'HIV-Pharmaceuticals'!$AW$24:$AW$28,0))),0)</f>
        <v>63432.5</v>
      </c>
      <c r="S541" s="525" t="s">
        <v>1237</v>
      </c>
      <c r="T541" s="1110">
        <f>IFERROR(INDEX('HIV-Pharmaceuticals'!$AX$24:$BI$28,MATCH(4.7,'HIV-Pharmaceuticals'!$AW$24:$AW$28,0),MID(LEFT(T$1,SEARCH(" ",T$1)-1),2,3)-INDEX('HIV-Pharmaceuticals'!$AV$24:$AV$28,MATCH(4.7,'HIV-Pharmaceuticals'!$AW$24:$AW$28,0))),0)</f>
        <v>0</v>
      </c>
      <c r="U541" s="525" t="s">
        <v>1237</v>
      </c>
      <c r="V541" s="1110">
        <f>IFERROR(INDEX('HIV-Pharmaceuticals'!$AX$24:$BI$28,MATCH(4.7,'HIV-Pharmaceuticals'!$AW$24:$AW$28,0),MID(LEFT(V$1,SEARCH(" ",V$1)-1),2,3)-INDEX('HIV-Pharmaceuticals'!$AV$24:$AV$28,MATCH(4.7,'HIV-Pharmaceuticals'!$AW$24:$AW$28,0))),0)</f>
        <v>0</v>
      </c>
      <c r="W541" s="525"/>
      <c r="X541" s="1154">
        <f t="shared" si="54"/>
        <v>63432.5</v>
      </c>
      <c r="Y541" s="1155"/>
      <c r="Z541" s="1156"/>
      <c r="AA541" s="529"/>
      <c r="AB541" s="525"/>
      <c r="AC541" s="1110">
        <f>IFERROR(INDEX('HIV-Pharmaceuticals'!$AX$24:$BI$28,MATCH(4.7,'HIV-Pharmaceuticals'!$AW$24:$AW$28,0),MID(LEFT(AC$1,SEARCH(" ",AC$1)-1),2,3)-INDEX('HIV-Pharmaceuticals'!$AV$24:$AV$28,MATCH(4.7,'HIV-Pharmaceuticals'!$AW$24:$AW$28,0))),0)</f>
        <v>0</v>
      </c>
      <c r="AD541" s="525"/>
      <c r="AE541" s="1110">
        <f>IFERROR(INDEX('HIV-Pharmaceuticals'!$AX$24:$BI$28,MATCH(4.7,'HIV-Pharmaceuticals'!$AW$24:$AW$28,0),MID(LEFT(AE$1,SEARCH(" ",AE$1)-1),2,3)-INDEX('HIV-Pharmaceuticals'!$AV$24:$AV$28,MATCH(4.7,'HIV-Pharmaceuticals'!$AW$24:$AW$28,0))),0)</f>
        <v>63432.5</v>
      </c>
      <c r="AF541" s="525"/>
      <c r="AG541" s="1110">
        <f>IFERROR(INDEX('HIV-Pharmaceuticals'!$AX$24:$BI$28,MATCH(4.7,'HIV-Pharmaceuticals'!$AW$24:$AW$28,0),MID(LEFT(AG$1,SEARCH(" ",AG$1)-1),2,3)-INDEX('HIV-Pharmaceuticals'!$AV$24:$AV$28,MATCH(4.7,'HIV-Pharmaceuticals'!$AW$24:$AW$28,0))),0)</f>
        <v>0</v>
      </c>
      <c r="AH541" s="525"/>
      <c r="AI541" s="1110">
        <f>IFERROR(INDEX('HIV-Pharmaceuticals'!$AX$24:$BI$28,MATCH(4.7,'HIV-Pharmaceuticals'!$AW$24:$AW$28,0),MID(LEFT(AI$1,SEARCH(" ",AI$1)-1),2,3)-INDEX('HIV-Pharmaceuticals'!$AV$24:$AV$28,MATCH(4.7,'HIV-Pharmaceuticals'!$AW$24:$AW$28,0))),0)</f>
        <v>0</v>
      </c>
      <c r="AJ541" s="525"/>
      <c r="AK541" s="1154">
        <f t="shared" si="55"/>
        <v>63432.5</v>
      </c>
      <c r="AL541" s="1155"/>
      <c r="AM541" s="1156"/>
      <c r="AN541" s="529"/>
      <c r="AO541" s="525"/>
      <c r="AP541" s="1110">
        <f>IFERROR(INDEX('HIV-Pharmaceuticals'!$AX$24:$BI$28,MATCH(4.7,'HIV-Pharmaceuticals'!$AW$24:$AW$28,0),MID(LEFT(AP$1,SEARCH(" ",AP$1)-1),2,3)-INDEX('HIV-Pharmaceuticals'!$AV$24:$AV$28,MATCH(4.7,'HIV-Pharmaceuticals'!$AW$24:$AW$28,0))),0)</f>
        <v>0</v>
      </c>
      <c r="AQ541" s="525"/>
      <c r="AR541" s="1110">
        <f>IFERROR(INDEX('HIV-Pharmaceuticals'!$AX$24:$BI$28,MATCH(4.7,'HIV-Pharmaceuticals'!$AW$24:$AW$28,0),MID(LEFT(AR$1,SEARCH(" ",AR$1)-1),2,3)-INDEX('HIV-Pharmaceuticals'!$AV$24:$AV$28,MATCH(4.7,'HIV-Pharmaceuticals'!$AW$24:$AW$28,0))),0)</f>
        <v>63432.5</v>
      </c>
      <c r="AS541" s="525"/>
      <c r="AT541" s="1110">
        <f>IFERROR(INDEX('HIV-Pharmaceuticals'!$AX$24:$BI$28,MATCH(4.7,'HIV-Pharmaceuticals'!$AW$24:$AW$28,0),MID(LEFT(AT$1,SEARCH(" ",AT$1)-1),2,3)-INDEX('HIV-Pharmaceuticals'!$AV$24:$AV$28,MATCH(4.7,'HIV-Pharmaceuticals'!$AW$24:$AW$28,0))),0)</f>
        <v>0</v>
      </c>
      <c r="AU541" s="525"/>
      <c r="AV541" s="525">
        <f>INDEX('HIV-Pharmaceuticals'!$BJ$24:$BJ$28,MATCH(4.7,'HIV-Pharmaceuticals'!$AW$24:$AW$28,0))-SUM(X541,AK541,AP541,AR541,AT541)</f>
        <v>0</v>
      </c>
      <c r="AW541" s="525"/>
      <c r="AX541" s="1154">
        <f t="shared" si="56"/>
        <v>63432.5</v>
      </c>
      <c r="AY541" s="1154"/>
      <c r="AZ541" s="528"/>
      <c r="BA541" s="529"/>
      <c r="BB541" s="527"/>
      <c r="BC541" s="527">
        <v>0</v>
      </c>
      <c r="BD541" s="527">
        <v>0</v>
      </c>
      <c r="BE541" s="527">
        <v>0</v>
      </c>
      <c r="BF541" s="527">
        <v>0</v>
      </c>
      <c r="BG541" s="527">
        <v>0</v>
      </c>
      <c r="BH541" s="527">
        <v>0</v>
      </c>
      <c r="BI541" s="527">
        <v>0</v>
      </c>
      <c r="BJ541" s="527">
        <v>0</v>
      </c>
      <c r="BK541" s="1154">
        <f t="shared" si="57"/>
        <v>0</v>
      </c>
      <c r="BL541" s="1154"/>
      <c r="BM541" s="1154">
        <f t="shared" si="58"/>
        <v>0</v>
      </c>
      <c r="BN541" s="1154">
        <f t="shared" si="59"/>
        <v>190297.5</v>
      </c>
      <c r="BO541" s="527"/>
      <c r="BP541" s="527"/>
      <c r="BQ541" s="1157">
        <v>0</v>
      </c>
      <c r="BR541" s="1157" t="s">
        <v>690</v>
      </c>
      <c r="BS541" s="1157" t="s">
        <v>2584</v>
      </c>
      <c r="BT541" s="1480" t="s">
        <v>1845</v>
      </c>
    </row>
    <row r="542" spans="1:73" ht="13">
      <c r="A542" s="1204">
        <v>1115</v>
      </c>
      <c r="B542" s="1205" t="s">
        <v>676</v>
      </c>
      <c r="C542" s="1205" t="s">
        <v>679</v>
      </c>
      <c r="D542" s="1206" t="s">
        <v>2547</v>
      </c>
      <c r="E542" s="1386" t="s">
        <v>528</v>
      </c>
      <c r="F542" s="521"/>
      <c r="G542" s="522"/>
      <c r="H542" s="522"/>
      <c r="I542" s="522"/>
      <c r="J542" s="523"/>
      <c r="K542" s="523"/>
      <c r="L542" s="523"/>
      <c r="M542" s="524"/>
      <c r="N542" s="525"/>
      <c r="O542" s="526" t="s">
        <v>1237</v>
      </c>
      <c r="P542" s="525">
        <f>'HPM costs'!F21</f>
        <v>0</v>
      </c>
      <c r="Q542" s="525" t="s">
        <v>1237</v>
      </c>
      <c r="R542" s="525">
        <f>'HPM costs'!G21</f>
        <v>9126.75</v>
      </c>
      <c r="S542" s="525" t="s">
        <v>1237</v>
      </c>
      <c r="T542" s="525">
        <f>'HPM costs'!H21</f>
        <v>0</v>
      </c>
      <c r="U542" s="525" t="s">
        <v>1237</v>
      </c>
      <c r="V542" s="525">
        <f>'HPM costs'!I21</f>
        <v>0</v>
      </c>
      <c r="W542" s="525"/>
      <c r="X542" s="1154">
        <f t="shared" si="54"/>
        <v>9126.75</v>
      </c>
      <c r="Y542" s="1155"/>
      <c r="Z542" s="1156"/>
      <c r="AA542" s="529"/>
      <c r="AB542" s="525"/>
      <c r="AC542" s="525">
        <f>'HPM costs'!K21</f>
        <v>0</v>
      </c>
      <c r="AD542" s="525"/>
      <c r="AE542" s="525">
        <f>'HPM costs'!L21</f>
        <v>9126.75</v>
      </c>
      <c r="AF542" s="525"/>
      <c r="AG542" s="525">
        <f>'HPM costs'!M21</f>
        <v>0</v>
      </c>
      <c r="AH542" s="525"/>
      <c r="AI542" s="525">
        <f>'HPM costs'!N21</f>
        <v>0</v>
      </c>
      <c r="AJ542" s="525"/>
      <c r="AK542" s="1154">
        <f t="shared" si="55"/>
        <v>9126.75</v>
      </c>
      <c r="AL542" s="1155"/>
      <c r="AM542" s="1156"/>
      <c r="AN542" s="529"/>
      <c r="AO542" s="525"/>
      <c r="AP542" s="525">
        <f>'HPM costs'!P21</f>
        <v>0</v>
      </c>
      <c r="AQ542" s="525"/>
      <c r="AR542" s="525">
        <f>'HPM costs'!Q21</f>
        <v>9126.75</v>
      </c>
      <c r="AS542" s="525"/>
      <c r="AT542" s="525">
        <f>'HPM costs'!R21</f>
        <v>0</v>
      </c>
      <c r="AU542" s="525"/>
      <c r="AV542" s="525">
        <f>'HPM costs'!S21</f>
        <v>0</v>
      </c>
      <c r="AW542" s="525"/>
      <c r="AX542" s="1154">
        <f t="shared" si="56"/>
        <v>9126.75</v>
      </c>
      <c r="AY542" s="1154"/>
      <c r="AZ542" s="528"/>
      <c r="BA542" s="529"/>
      <c r="BB542" s="527"/>
      <c r="BC542" s="527">
        <v>0</v>
      </c>
      <c r="BD542" s="527">
        <v>0</v>
      </c>
      <c r="BE542" s="527">
        <v>0</v>
      </c>
      <c r="BF542" s="527">
        <v>0</v>
      </c>
      <c r="BG542" s="527">
        <v>0</v>
      </c>
      <c r="BH542" s="527">
        <v>0</v>
      </c>
      <c r="BI542" s="527">
        <v>0</v>
      </c>
      <c r="BJ542" s="527">
        <v>0</v>
      </c>
      <c r="BK542" s="1154">
        <f t="shared" si="57"/>
        <v>0</v>
      </c>
      <c r="BL542" s="1154"/>
      <c r="BM542" s="1154">
        <f t="shared" si="58"/>
        <v>0</v>
      </c>
      <c r="BN542" s="1154">
        <f t="shared" si="59"/>
        <v>27380.25</v>
      </c>
      <c r="BO542" s="527"/>
      <c r="BP542" s="527" t="s">
        <v>4303</v>
      </c>
      <c r="BQ542" s="1157">
        <v>0</v>
      </c>
      <c r="BR542" s="1157" t="s">
        <v>690</v>
      </c>
      <c r="BS542" s="1157" t="s">
        <v>2547</v>
      </c>
      <c r="BT542" s="1376" t="s">
        <v>1877</v>
      </c>
      <c r="BU542" s="1371"/>
    </row>
    <row r="543" spans="1:73" ht="13">
      <c r="A543" s="1204">
        <v>1116</v>
      </c>
      <c r="B543" s="1205" t="s">
        <v>676</v>
      </c>
      <c r="C543" s="1205" t="s">
        <v>679</v>
      </c>
      <c r="D543" s="1206" t="s">
        <v>2547</v>
      </c>
      <c r="E543" s="1386" t="s">
        <v>530</v>
      </c>
      <c r="F543" s="521"/>
      <c r="G543" s="522"/>
      <c r="H543" s="522"/>
      <c r="I543" s="522"/>
      <c r="J543" s="523"/>
      <c r="K543" s="523"/>
      <c r="L543" s="523"/>
      <c r="M543" s="524"/>
      <c r="N543" s="525"/>
      <c r="O543" s="526" t="s">
        <v>1237</v>
      </c>
      <c r="P543" s="525">
        <f>'HPM costs'!F107</f>
        <v>0</v>
      </c>
      <c r="Q543" s="525" t="s">
        <v>1237</v>
      </c>
      <c r="R543" s="525">
        <f>'HPM costs'!G107</f>
        <v>1.5211249999999999E-11</v>
      </c>
      <c r="S543" s="525" t="s">
        <v>1237</v>
      </c>
      <c r="T543" s="525">
        <f>'HPM costs'!H107</f>
        <v>0</v>
      </c>
      <c r="U543" s="525" t="s">
        <v>1237</v>
      </c>
      <c r="V543" s="525">
        <f>'HPM costs'!I107</f>
        <v>0</v>
      </c>
      <c r="W543" s="525"/>
      <c r="X543" s="1154">
        <f t="shared" si="54"/>
        <v>1.5211249999999999E-11</v>
      </c>
      <c r="Y543" s="1155"/>
      <c r="Z543" s="1156"/>
      <c r="AA543" s="529"/>
      <c r="AB543" s="525"/>
      <c r="AC543" s="525">
        <f>'HPM costs'!K107</f>
        <v>0</v>
      </c>
      <c r="AD543" s="525"/>
      <c r="AE543" s="525">
        <f>'HPM costs'!L107</f>
        <v>1.5211249999999999E-11</v>
      </c>
      <c r="AF543" s="525"/>
      <c r="AG543" s="525">
        <f>'HPM costs'!M107</f>
        <v>0</v>
      </c>
      <c r="AH543" s="525"/>
      <c r="AI543" s="525">
        <f>'HPM costs'!N107</f>
        <v>0</v>
      </c>
      <c r="AJ543" s="525"/>
      <c r="AK543" s="1154">
        <f t="shared" si="55"/>
        <v>1.5211249999999999E-11</v>
      </c>
      <c r="AL543" s="1155"/>
      <c r="AM543" s="1156"/>
      <c r="AN543" s="529"/>
      <c r="AO543" s="525"/>
      <c r="AP543" s="525">
        <f>'HPM costs'!P107</f>
        <v>0</v>
      </c>
      <c r="AQ543" s="525"/>
      <c r="AR543" s="525">
        <f>'HPM costs'!Q107</f>
        <v>1.5211249999999999E-11</v>
      </c>
      <c r="AS543" s="525"/>
      <c r="AT543" s="525">
        <f>'HPM costs'!R107</f>
        <v>0</v>
      </c>
      <c r="AU543" s="525"/>
      <c r="AV543" s="525">
        <f>'HPM costs'!S107</f>
        <v>0</v>
      </c>
      <c r="AW543" s="525"/>
      <c r="AX543" s="1154">
        <f t="shared" si="56"/>
        <v>1.5211249999999999E-11</v>
      </c>
      <c r="AY543" s="1154"/>
      <c r="AZ543" s="528"/>
      <c r="BA543" s="529"/>
      <c r="BB543" s="527"/>
      <c r="BC543" s="527">
        <v>0</v>
      </c>
      <c r="BD543" s="527">
        <v>0</v>
      </c>
      <c r="BE543" s="527">
        <v>0</v>
      </c>
      <c r="BF543" s="527">
        <v>0</v>
      </c>
      <c r="BG543" s="527">
        <v>0</v>
      </c>
      <c r="BH543" s="527">
        <v>0</v>
      </c>
      <c r="BI543" s="527">
        <v>0</v>
      </c>
      <c r="BJ543" s="527">
        <v>0</v>
      </c>
      <c r="BK543" s="1154">
        <f t="shared" si="57"/>
        <v>0</v>
      </c>
      <c r="BL543" s="1154"/>
      <c r="BM543" s="1154">
        <f t="shared" si="58"/>
        <v>0</v>
      </c>
      <c r="BN543" s="1154">
        <f t="shared" si="59"/>
        <v>4.5633749999999995E-11</v>
      </c>
      <c r="BO543" s="527"/>
      <c r="BP543" s="527"/>
      <c r="BQ543" s="1157">
        <v>0</v>
      </c>
      <c r="BR543" s="1157" t="s">
        <v>690</v>
      </c>
      <c r="BS543" s="1157" t="s">
        <v>2547</v>
      </c>
      <c r="BT543" s="1376" t="s">
        <v>1878</v>
      </c>
      <c r="BU543" s="1371"/>
    </row>
    <row r="544" spans="1:73" ht="13">
      <c r="A544" s="1204">
        <v>1117</v>
      </c>
      <c r="B544" s="1205" t="s">
        <v>676</v>
      </c>
      <c r="C544" s="1205" t="s">
        <v>679</v>
      </c>
      <c r="D544" s="1206" t="s">
        <v>2547</v>
      </c>
      <c r="E544" s="1386" t="s">
        <v>532</v>
      </c>
      <c r="F544" s="521"/>
      <c r="G544" s="522"/>
      <c r="H544" s="522"/>
      <c r="I544" s="522"/>
      <c r="J544" s="523"/>
      <c r="K544" s="523"/>
      <c r="L544" s="523"/>
      <c r="M544" s="524"/>
      <c r="N544" s="525"/>
      <c r="O544" s="526" t="s">
        <v>1237</v>
      </c>
      <c r="P544" s="525">
        <f>'HPM costs'!F367</f>
        <v>0</v>
      </c>
      <c r="Q544" s="525" t="s">
        <v>1237</v>
      </c>
      <c r="R544" s="525">
        <f>'HPM costs'!G367</f>
        <v>0</v>
      </c>
      <c r="S544" s="525" t="s">
        <v>1237</v>
      </c>
      <c r="T544" s="525">
        <f>'HPM costs'!H367</f>
        <v>0</v>
      </c>
      <c r="U544" s="525" t="s">
        <v>1237</v>
      </c>
      <c r="V544" s="525">
        <f>'HPM costs'!I367</f>
        <v>0</v>
      </c>
      <c r="W544" s="525"/>
      <c r="X544" s="1154">
        <f t="shared" si="54"/>
        <v>0</v>
      </c>
      <c r="Y544" s="1155"/>
      <c r="Z544" s="1156"/>
      <c r="AA544" s="529"/>
      <c r="AB544" s="525"/>
      <c r="AC544" s="525">
        <f>'HPM costs'!K367</f>
        <v>0</v>
      </c>
      <c r="AD544" s="525"/>
      <c r="AE544" s="525">
        <f>'HPM costs'!L367</f>
        <v>0</v>
      </c>
      <c r="AF544" s="525"/>
      <c r="AG544" s="525">
        <f>'HPM costs'!M367</f>
        <v>0</v>
      </c>
      <c r="AH544" s="525"/>
      <c r="AI544" s="525">
        <f>'HPM costs'!N367</f>
        <v>0</v>
      </c>
      <c r="AJ544" s="525"/>
      <c r="AK544" s="1154">
        <f t="shared" si="55"/>
        <v>0</v>
      </c>
      <c r="AL544" s="1155"/>
      <c r="AM544" s="1156"/>
      <c r="AN544" s="529"/>
      <c r="AO544" s="525"/>
      <c r="AP544" s="525">
        <f>'HPM costs'!P367</f>
        <v>0</v>
      </c>
      <c r="AQ544" s="525"/>
      <c r="AR544" s="525">
        <f>'HPM costs'!Q367</f>
        <v>0</v>
      </c>
      <c r="AS544" s="525"/>
      <c r="AT544" s="525">
        <f>'HPM costs'!R367</f>
        <v>0</v>
      </c>
      <c r="AU544" s="525"/>
      <c r="AV544" s="525">
        <f>'HPM costs'!S367</f>
        <v>0</v>
      </c>
      <c r="AW544" s="525"/>
      <c r="AX544" s="1154">
        <f t="shared" si="56"/>
        <v>0</v>
      </c>
      <c r="AY544" s="1154"/>
      <c r="AZ544" s="528"/>
      <c r="BA544" s="529"/>
      <c r="BB544" s="527"/>
      <c r="BC544" s="527">
        <v>0</v>
      </c>
      <c r="BD544" s="527">
        <v>0</v>
      </c>
      <c r="BE544" s="527">
        <v>0</v>
      </c>
      <c r="BF544" s="527">
        <v>0</v>
      </c>
      <c r="BG544" s="527">
        <v>0</v>
      </c>
      <c r="BH544" s="527">
        <v>0</v>
      </c>
      <c r="BI544" s="527">
        <v>0</v>
      </c>
      <c r="BJ544" s="527">
        <v>0</v>
      </c>
      <c r="BK544" s="1154">
        <f t="shared" si="57"/>
        <v>0</v>
      </c>
      <c r="BL544" s="1154"/>
      <c r="BM544" s="1154">
        <f t="shared" si="58"/>
        <v>0</v>
      </c>
      <c r="BN544" s="1154">
        <f t="shared" si="59"/>
        <v>0</v>
      </c>
      <c r="BO544" s="527"/>
      <c r="BP544" s="527"/>
      <c r="BQ544" s="1157">
        <v>0</v>
      </c>
      <c r="BR544" s="1157" t="s">
        <v>690</v>
      </c>
      <c r="BS544" s="1157" t="s">
        <v>2547</v>
      </c>
      <c r="BT544" s="1376" t="s">
        <v>1879</v>
      </c>
      <c r="BU544" s="1371"/>
    </row>
    <row r="545" spans="1:73" ht="13">
      <c r="A545" s="1204">
        <v>1118</v>
      </c>
      <c r="B545" s="1205" t="s">
        <v>676</v>
      </c>
      <c r="C545" s="1205" t="s">
        <v>679</v>
      </c>
      <c r="D545" s="1206" t="s">
        <v>2547</v>
      </c>
      <c r="E545" s="1386" t="s">
        <v>534</v>
      </c>
      <c r="F545" s="521"/>
      <c r="G545" s="522"/>
      <c r="H545" s="522"/>
      <c r="I545" s="522"/>
      <c r="J545" s="523"/>
      <c r="K545" s="523"/>
      <c r="L545" s="523"/>
      <c r="M545" s="524"/>
      <c r="N545" s="525"/>
      <c r="O545" s="526" t="s">
        <v>1237</v>
      </c>
      <c r="P545" s="525">
        <f>'HPM costs'!F453</f>
        <v>0</v>
      </c>
      <c r="Q545" s="525" t="s">
        <v>1237</v>
      </c>
      <c r="R545" s="525">
        <f>'HPM costs'!G453</f>
        <v>0</v>
      </c>
      <c r="S545" s="525" t="s">
        <v>1237</v>
      </c>
      <c r="T545" s="525">
        <f>'HPM costs'!H453</f>
        <v>0</v>
      </c>
      <c r="U545" s="525" t="s">
        <v>1237</v>
      </c>
      <c r="V545" s="525">
        <f>'HPM costs'!I453</f>
        <v>0</v>
      </c>
      <c r="W545" s="525"/>
      <c r="X545" s="1154">
        <f t="shared" si="54"/>
        <v>0</v>
      </c>
      <c r="Y545" s="1155"/>
      <c r="Z545" s="1156"/>
      <c r="AA545" s="529"/>
      <c r="AB545" s="525"/>
      <c r="AC545" s="525">
        <f>'HPM costs'!K453</f>
        <v>0</v>
      </c>
      <c r="AD545" s="525"/>
      <c r="AE545" s="525">
        <f>'HPM costs'!L453</f>
        <v>0</v>
      </c>
      <c r="AF545" s="525"/>
      <c r="AG545" s="525">
        <f>'HPM costs'!M453</f>
        <v>0</v>
      </c>
      <c r="AH545" s="525"/>
      <c r="AI545" s="525">
        <f>'HPM costs'!N453</f>
        <v>0</v>
      </c>
      <c r="AJ545" s="525"/>
      <c r="AK545" s="1154">
        <f t="shared" si="55"/>
        <v>0</v>
      </c>
      <c r="AL545" s="1155"/>
      <c r="AM545" s="1156"/>
      <c r="AN545" s="529"/>
      <c r="AO545" s="525"/>
      <c r="AP545" s="525">
        <f>'HPM costs'!P453</f>
        <v>0</v>
      </c>
      <c r="AQ545" s="525"/>
      <c r="AR545" s="525">
        <f>'HPM costs'!Q453</f>
        <v>0</v>
      </c>
      <c r="AS545" s="525"/>
      <c r="AT545" s="525">
        <f>'HPM costs'!R453</f>
        <v>0</v>
      </c>
      <c r="AU545" s="525"/>
      <c r="AV545" s="525">
        <f>'HPM costs'!S453</f>
        <v>0</v>
      </c>
      <c r="AW545" s="525"/>
      <c r="AX545" s="1154">
        <f t="shared" si="56"/>
        <v>0</v>
      </c>
      <c r="AY545" s="1154"/>
      <c r="AZ545" s="528"/>
      <c r="BA545" s="529"/>
      <c r="BB545" s="527"/>
      <c r="BC545" s="527">
        <v>0</v>
      </c>
      <c r="BD545" s="527">
        <v>0</v>
      </c>
      <c r="BE545" s="527">
        <v>0</v>
      </c>
      <c r="BF545" s="527">
        <v>0</v>
      </c>
      <c r="BG545" s="527">
        <v>0</v>
      </c>
      <c r="BH545" s="527">
        <v>0</v>
      </c>
      <c r="BI545" s="527">
        <v>0</v>
      </c>
      <c r="BJ545" s="527">
        <v>0</v>
      </c>
      <c r="BK545" s="1154">
        <f t="shared" si="57"/>
        <v>0</v>
      </c>
      <c r="BL545" s="1154"/>
      <c r="BM545" s="1154">
        <f t="shared" si="58"/>
        <v>0</v>
      </c>
      <c r="BN545" s="1154">
        <f t="shared" si="59"/>
        <v>0</v>
      </c>
      <c r="BO545" s="527"/>
      <c r="BP545" s="527"/>
      <c r="BQ545" s="1157">
        <v>0</v>
      </c>
      <c r="BR545" s="1157" t="s">
        <v>690</v>
      </c>
      <c r="BS545" s="1157" t="s">
        <v>2547</v>
      </c>
      <c r="BT545" s="1376" t="s">
        <v>1880</v>
      </c>
      <c r="BU545" s="1371"/>
    </row>
    <row r="546" spans="1:73" ht="13">
      <c r="A546" s="1204">
        <v>1119</v>
      </c>
      <c r="B546" s="1205" t="s">
        <v>676</v>
      </c>
      <c r="C546" s="1205" t="s">
        <v>679</v>
      </c>
      <c r="D546" s="1206" t="s">
        <v>2547</v>
      </c>
      <c r="E546" s="1386" t="s">
        <v>536</v>
      </c>
      <c r="F546" s="521"/>
      <c r="G546" s="522"/>
      <c r="H546" s="522"/>
      <c r="I546" s="522"/>
      <c r="J546" s="523"/>
      <c r="K546" s="523"/>
      <c r="L546" s="523"/>
      <c r="M546" s="524"/>
      <c r="N546" s="525"/>
      <c r="O546" s="526" t="s">
        <v>1237</v>
      </c>
      <c r="P546" s="525">
        <f>'HPM costs'!F193+'HPM costs'!F539</f>
        <v>0</v>
      </c>
      <c r="Q546" s="525" t="s">
        <v>1237</v>
      </c>
      <c r="R546" s="525">
        <f>'HPM costs'!G193+'HPM costs'!G539</f>
        <v>0</v>
      </c>
      <c r="S546" s="525" t="s">
        <v>1237</v>
      </c>
      <c r="T546" s="525">
        <f>'HPM costs'!H193+'HPM costs'!H539</f>
        <v>0</v>
      </c>
      <c r="U546" s="525" t="s">
        <v>1237</v>
      </c>
      <c r="V546" s="525">
        <f>'HPM costs'!I193+'HPM costs'!I539</f>
        <v>0</v>
      </c>
      <c r="W546" s="525"/>
      <c r="X546" s="1154">
        <f t="shared" si="54"/>
        <v>0</v>
      </c>
      <c r="Y546" s="1155"/>
      <c r="Z546" s="1156"/>
      <c r="AA546" s="529"/>
      <c r="AB546" s="525"/>
      <c r="AC546" s="525">
        <f>'HPM costs'!K193+'HPM costs'!K539</f>
        <v>0</v>
      </c>
      <c r="AD546" s="525"/>
      <c r="AE546" s="525">
        <f>'HPM costs'!L193+'HPM costs'!L539</f>
        <v>0</v>
      </c>
      <c r="AF546" s="525"/>
      <c r="AG546" s="525">
        <f>'HPM costs'!M193+'HPM costs'!M539</f>
        <v>0</v>
      </c>
      <c r="AH546" s="525"/>
      <c r="AI546" s="525">
        <f>'HPM costs'!N193+'HPM costs'!N539</f>
        <v>0</v>
      </c>
      <c r="AJ546" s="525"/>
      <c r="AK546" s="1154">
        <f t="shared" si="55"/>
        <v>0</v>
      </c>
      <c r="AL546" s="1155"/>
      <c r="AM546" s="1156"/>
      <c r="AN546" s="529"/>
      <c r="AO546" s="525"/>
      <c r="AP546" s="525">
        <f>'HPM costs'!P193+'HPM costs'!P539</f>
        <v>0</v>
      </c>
      <c r="AQ546" s="525"/>
      <c r="AR546" s="525">
        <f>'HPM costs'!Q193+'HPM costs'!Q539</f>
        <v>0</v>
      </c>
      <c r="AS546" s="525"/>
      <c r="AT546" s="525">
        <f>'HPM costs'!R193+'HPM costs'!R539</f>
        <v>0</v>
      </c>
      <c r="AU546" s="525"/>
      <c r="AV546" s="525">
        <f>'HPM costs'!S193+'HPM costs'!S539</f>
        <v>0</v>
      </c>
      <c r="AW546" s="525"/>
      <c r="AX546" s="1154">
        <f t="shared" si="56"/>
        <v>0</v>
      </c>
      <c r="AY546" s="1154"/>
      <c r="AZ546" s="528"/>
      <c r="BA546" s="529"/>
      <c r="BB546" s="527"/>
      <c r="BC546" s="527">
        <v>0</v>
      </c>
      <c r="BD546" s="527">
        <v>0</v>
      </c>
      <c r="BE546" s="527">
        <v>0</v>
      </c>
      <c r="BF546" s="527">
        <v>0</v>
      </c>
      <c r="BG546" s="527">
        <v>0</v>
      </c>
      <c r="BH546" s="527">
        <v>0</v>
      </c>
      <c r="BI546" s="527">
        <v>0</v>
      </c>
      <c r="BJ546" s="527">
        <v>0</v>
      </c>
      <c r="BK546" s="1154">
        <f t="shared" si="57"/>
        <v>0</v>
      </c>
      <c r="BL546" s="1154"/>
      <c r="BM546" s="1154">
        <f t="shared" si="58"/>
        <v>0</v>
      </c>
      <c r="BN546" s="1154">
        <f t="shared" si="59"/>
        <v>0</v>
      </c>
      <c r="BO546" s="527"/>
      <c r="BP546" s="527"/>
      <c r="BQ546" s="1157">
        <v>0</v>
      </c>
      <c r="BR546" s="1157" t="s">
        <v>690</v>
      </c>
      <c r="BS546" s="1157" t="s">
        <v>2547</v>
      </c>
      <c r="BT546" s="1376" t="s">
        <v>1881</v>
      </c>
      <c r="BU546" s="1371"/>
    </row>
    <row r="547" spans="1:73" ht="13">
      <c r="A547" s="1204">
        <v>1120</v>
      </c>
      <c r="B547" s="1205" t="s">
        <v>676</v>
      </c>
      <c r="C547" s="1205" t="s">
        <v>679</v>
      </c>
      <c r="D547" s="1206" t="s">
        <v>2547</v>
      </c>
      <c r="E547" s="1386" t="s">
        <v>538</v>
      </c>
      <c r="F547" s="521"/>
      <c r="G547" s="522"/>
      <c r="H547" s="522"/>
      <c r="I547" s="522"/>
      <c r="J547" s="523"/>
      <c r="K547" s="523"/>
      <c r="L547" s="523"/>
      <c r="M547" s="524"/>
      <c r="N547" s="525"/>
      <c r="O547" s="526" t="s">
        <v>1237</v>
      </c>
      <c r="P547" s="525">
        <f>'HPM costs'!F279</f>
        <v>0</v>
      </c>
      <c r="Q547" s="525" t="s">
        <v>1237</v>
      </c>
      <c r="R547" s="525">
        <f>'HPM costs'!G279</f>
        <v>0</v>
      </c>
      <c r="S547" s="525" t="s">
        <v>1237</v>
      </c>
      <c r="T547" s="525">
        <f>'HPM costs'!H279</f>
        <v>0</v>
      </c>
      <c r="U547" s="525" t="s">
        <v>1237</v>
      </c>
      <c r="V547" s="525">
        <f>'HPM costs'!I279</f>
        <v>0</v>
      </c>
      <c r="W547" s="525"/>
      <c r="X547" s="1154">
        <f>P547+R547+T547+V547</f>
        <v>0</v>
      </c>
      <c r="Y547" s="1155"/>
      <c r="Z547" s="1156"/>
      <c r="AA547" s="529"/>
      <c r="AB547" s="525"/>
      <c r="AC547" s="525">
        <f>'HPM costs'!K279</f>
        <v>0</v>
      </c>
      <c r="AD547" s="525"/>
      <c r="AE547" s="525">
        <f>'HPM costs'!L279</f>
        <v>0</v>
      </c>
      <c r="AF547" s="525"/>
      <c r="AG547" s="525">
        <f>'HPM costs'!M279</f>
        <v>0</v>
      </c>
      <c r="AH547" s="525"/>
      <c r="AI547" s="525">
        <f>'HPM costs'!N279</f>
        <v>0</v>
      </c>
      <c r="AJ547" s="525"/>
      <c r="AK547" s="1154">
        <f t="shared" si="55"/>
        <v>0</v>
      </c>
      <c r="AL547" s="1155"/>
      <c r="AM547" s="1156"/>
      <c r="AN547" s="529"/>
      <c r="AO547" s="525"/>
      <c r="AP547" s="525">
        <f>'HPM costs'!P279</f>
        <v>0</v>
      </c>
      <c r="AQ547" s="525"/>
      <c r="AR547" s="525">
        <f>'HPM costs'!Q279</f>
        <v>0</v>
      </c>
      <c r="AS547" s="525"/>
      <c r="AT547" s="525">
        <f>'HPM costs'!R279</f>
        <v>0</v>
      </c>
      <c r="AU547" s="525"/>
      <c r="AV547" s="525">
        <f>'HPM costs'!S279</f>
        <v>0</v>
      </c>
      <c r="AW547" s="525"/>
      <c r="AX547" s="1154">
        <f t="shared" si="56"/>
        <v>0</v>
      </c>
      <c r="AY547" s="1154"/>
      <c r="AZ547" s="528"/>
      <c r="BA547" s="529"/>
      <c r="BB547" s="527"/>
      <c r="BC547" s="527">
        <v>0</v>
      </c>
      <c r="BD547" s="527">
        <v>0</v>
      </c>
      <c r="BE547" s="527">
        <v>0</v>
      </c>
      <c r="BF547" s="527">
        <v>0</v>
      </c>
      <c r="BG547" s="527">
        <v>0</v>
      </c>
      <c r="BH547" s="527">
        <v>0</v>
      </c>
      <c r="BI547" s="527">
        <v>0</v>
      </c>
      <c r="BJ547" s="527">
        <v>0</v>
      </c>
      <c r="BK547" s="1154">
        <f t="shared" si="57"/>
        <v>0</v>
      </c>
      <c r="BL547" s="1154"/>
      <c r="BM547" s="1154">
        <f t="shared" si="58"/>
        <v>0</v>
      </c>
      <c r="BN547" s="1154">
        <f t="shared" si="59"/>
        <v>0</v>
      </c>
      <c r="BO547" s="527"/>
      <c r="BP547" s="527"/>
      <c r="BQ547" s="1157">
        <v>0</v>
      </c>
      <c r="BR547" s="1157" t="s">
        <v>690</v>
      </c>
      <c r="BS547" s="1157" t="s">
        <v>2547</v>
      </c>
      <c r="BT547" s="1376" t="s">
        <v>2542</v>
      </c>
      <c r="BU547" s="1371"/>
    </row>
    <row r="548" spans="1:73" ht="13">
      <c r="A548" s="1204">
        <v>1121</v>
      </c>
      <c r="B548" s="1205" t="s">
        <v>676</v>
      </c>
      <c r="C548" s="1205" t="s">
        <v>679</v>
      </c>
      <c r="D548" s="1206" t="s">
        <v>2547</v>
      </c>
      <c r="E548" s="1386" t="s">
        <v>540</v>
      </c>
      <c r="F548" s="521"/>
      <c r="G548" s="522"/>
      <c r="H548" s="522"/>
      <c r="I548" s="522"/>
      <c r="J548" s="523"/>
      <c r="K548" s="523"/>
      <c r="L548" s="523"/>
      <c r="M548" s="524"/>
      <c r="N548" s="525"/>
      <c r="O548" s="526" t="s">
        <v>1237</v>
      </c>
      <c r="P548" s="525">
        <f>'HPM costs'!F624</f>
        <v>0</v>
      </c>
      <c r="Q548" s="525" t="s">
        <v>1237</v>
      </c>
      <c r="R548" s="525">
        <f>'HPM costs'!G624</f>
        <v>0</v>
      </c>
      <c r="S548" s="525" t="s">
        <v>1237</v>
      </c>
      <c r="T548" s="525">
        <f>'HPM costs'!H624</f>
        <v>0</v>
      </c>
      <c r="U548" s="525" t="s">
        <v>1237</v>
      </c>
      <c r="V548" s="525">
        <f>'HPM costs'!I624</f>
        <v>0</v>
      </c>
      <c r="W548" s="525"/>
      <c r="X548" s="1154">
        <f t="shared" si="54"/>
        <v>0</v>
      </c>
      <c r="Y548" s="1155"/>
      <c r="Z548" s="1156"/>
      <c r="AA548" s="529"/>
      <c r="AB548" s="525"/>
      <c r="AC548" s="525">
        <f>'HPM costs'!K624</f>
        <v>0</v>
      </c>
      <c r="AD548" s="525"/>
      <c r="AE548" s="525">
        <f>'HPM costs'!L624</f>
        <v>0</v>
      </c>
      <c r="AF548" s="525"/>
      <c r="AG548" s="525">
        <f>'HPM costs'!M624</f>
        <v>0</v>
      </c>
      <c r="AH548" s="525"/>
      <c r="AI548" s="525">
        <f>'HPM costs'!N624</f>
        <v>0</v>
      </c>
      <c r="AJ548" s="525"/>
      <c r="AK548" s="1154">
        <f t="shared" si="55"/>
        <v>0</v>
      </c>
      <c r="AL548" s="1155"/>
      <c r="AM548" s="1156"/>
      <c r="AN548" s="529"/>
      <c r="AO548" s="525"/>
      <c r="AP548" s="525">
        <f>'HPM costs'!P624</f>
        <v>0</v>
      </c>
      <c r="AQ548" s="525"/>
      <c r="AR548" s="525">
        <f>'HPM costs'!Q624</f>
        <v>0</v>
      </c>
      <c r="AS548" s="525"/>
      <c r="AT548" s="525">
        <f>'HPM costs'!R624</f>
        <v>0</v>
      </c>
      <c r="AU548" s="525"/>
      <c r="AV548" s="525">
        <f>'HPM costs'!S624</f>
        <v>0</v>
      </c>
      <c r="AW548" s="525"/>
      <c r="AX548" s="1154">
        <f t="shared" si="56"/>
        <v>0</v>
      </c>
      <c r="AY548" s="1154"/>
      <c r="AZ548" s="528"/>
      <c r="BA548" s="529"/>
      <c r="BB548" s="527"/>
      <c r="BC548" s="527">
        <v>0</v>
      </c>
      <c r="BD548" s="527">
        <v>0</v>
      </c>
      <c r="BE548" s="527">
        <v>0</v>
      </c>
      <c r="BF548" s="527">
        <v>0</v>
      </c>
      <c r="BG548" s="527">
        <v>0</v>
      </c>
      <c r="BH548" s="527">
        <v>0</v>
      </c>
      <c r="BI548" s="527">
        <v>0</v>
      </c>
      <c r="BJ548" s="527">
        <v>0</v>
      </c>
      <c r="BK548" s="1154">
        <f t="shared" si="57"/>
        <v>0</v>
      </c>
      <c r="BL548" s="1154"/>
      <c r="BM548" s="1154">
        <f t="shared" si="58"/>
        <v>0</v>
      </c>
      <c r="BN548" s="1154">
        <f t="shared" si="59"/>
        <v>0</v>
      </c>
      <c r="BO548" s="527"/>
      <c r="BP548" s="527"/>
      <c r="BQ548" s="1157">
        <v>0</v>
      </c>
      <c r="BR548" s="1157" t="s">
        <v>690</v>
      </c>
      <c r="BS548" s="1157" t="s">
        <v>2547</v>
      </c>
      <c r="BT548" s="1376" t="s">
        <v>1882</v>
      </c>
      <c r="BU548" s="1371"/>
    </row>
    <row r="549" spans="1:73" s="512" customFormat="1" ht="13" hidden="1">
      <c r="A549" s="1204">
        <v>72</v>
      </c>
      <c r="B549" s="1277" t="s">
        <v>598</v>
      </c>
      <c r="C549" s="1277" t="s">
        <v>599</v>
      </c>
      <c r="D549" s="1206" t="s">
        <v>2567</v>
      </c>
      <c r="E549" s="1467" t="s">
        <v>593</v>
      </c>
      <c r="F549" s="521"/>
      <c r="G549" s="522"/>
      <c r="H549" s="522"/>
      <c r="I549" s="522"/>
      <c r="J549" s="523"/>
      <c r="K549" s="523"/>
      <c r="L549" s="523"/>
      <c r="M549" s="524"/>
      <c r="N549" s="525"/>
      <c r="O549" s="526" t="s">
        <v>1237</v>
      </c>
      <c r="P549" s="525">
        <f>IFERROR(INDEX('Malaria-Equipment &amp; Other HPs'!$AX$29:$BI$40,MATCH("6.5"&amp;"4",INDEX('Malaria-Equipment &amp; Other HPs'!$AW$29:$AW$40&amp;'Malaria-Equipment &amp; Other HPs'!$AU$29:$AU$40,0),0),MID(LEFT(P$1,SEARCH(" ",P$1)-1),2,3)-INDEX('Malaria-Equipment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HPs'!$AU$29:$AU$40,0),0),MID(LEFT(P$1,SEARCH(" ",P$1)-1),2,3)-INDEX('Malaria-Equipment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HPs'!$AU$29:$AU$40,0),0),MID(LEFT(P$1,SEARCH(" ",P$1)-1),2,3)-INDEX('Malaria-Equipment &amp; Other HPs'!$AV$29:$AV$40,MATCH("6.5"&amp;"1",INDEX('Malaria-Equipment &amp; Other HPs'!$AW$29:$AW$40&amp;'Malaria-Equipment &amp; Other HPs'!$AU$29:$AU$40,0),0))),)</f>
        <v>0</v>
      </c>
      <c r="Q549" s="525" t="s">
        <v>1237</v>
      </c>
      <c r="R549" s="525">
        <f>IFERROR(INDEX('Malaria-Equipment &amp; Other HPs'!$AX$29:$BI$40,MATCH("6.5"&amp;"4",INDEX('Malaria-Equipment &amp; Other HPs'!$AW$29:$AW$40&amp;'Malaria-Equipment &amp; Other HPs'!$AU$29:$AU$40,0),0),MID(LEFT(R$1,SEARCH(" ",R$1)-1),2,3)-INDEX('Malaria-Equipment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HPs'!$AU$29:$AU$40,0),0),MID(LEFT(R$1,SEARCH(" ",R$1)-1),2,3)-INDEX('Malaria-Equipment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HPs'!$AU$29:$AU$40,0),0),MID(LEFT(R$1,SEARCH(" ",R$1)-1),2,3)-INDEX('Malaria-Equipment &amp; Other HPs'!$AV$29:$AV$40,MATCH("6.5"&amp;"1",INDEX('Malaria-Equipment &amp; Other HPs'!$AW$29:$AW$40&amp;'Malaria-Equipment &amp; Other HPs'!$AU$29:$AU$40,0),0))),)</f>
        <v>0</v>
      </c>
      <c r="S549" s="525" t="s">
        <v>1237</v>
      </c>
      <c r="T549" s="525">
        <f>IFERROR(INDEX('Malaria-Equipment &amp; Other HPs'!$AX$29:$BI$40,MATCH("6.5"&amp;"4",INDEX('Malaria-Equipment &amp; Other HPs'!$AW$29:$AW$40&amp;'Malaria-Equipment &amp; Other HPs'!$AU$29:$AU$40,0),0),MID(LEFT(T$1,SEARCH(" ",T$1)-1),2,3)-INDEX('Malaria-Equipment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HPs'!$AU$29:$AU$40,0),0),MID(LEFT(T$1,SEARCH(" ",T$1)-1),2,3)-INDEX('Malaria-Equipment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HPs'!$AU$29:$AU$40,0),0),MID(LEFT(T$1,SEARCH(" ",T$1)-1),2,3)-INDEX('Malaria-Equipment &amp; Other HPs'!$AV$29:$AV$40,MATCH("6.5"&amp;"1",INDEX('Malaria-Equipment &amp; Other HPs'!$AW$29:$AW$40&amp;'Malaria-Equipment &amp; Other HPs'!$AU$29:$AU$40,0),0))),)</f>
        <v>0</v>
      </c>
      <c r="U549" s="525" t="s">
        <v>1237</v>
      </c>
      <c r="V549" s="525">
        <f>IFERROR(INDEX('Malaria-Equipment &amp; Other HPs'!$AX$29:$BI$40,MATCH("6.5"&amp;"4",INDEX('Malaria-Equipment &amp; Other HPs'!$AW$29:$AW$40&amp;'Malaria-Equipment &amp; Other HPs'!$AU$29:$AU$40,0),0),MID(LEFT(V$1,SEARCH(" ",V$1)-1),2,3)-INDEX('Malaria-Equipment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HPs'!$AU$29:$AU$40,0),0),MID(LEFT(V$1,SEARCH(" ",V$1)-1),2,3)-INDEX('Malaria-Equipment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HPs'!$AU$29:$AU$40,0),0),MID(LEFT(V$1,SEARCH(" ",V$1)-1),2,3)-INDEX('Malaria-Equipment &amp; Other HPs'!$AV$29:$AV$40,MATCH("6.5"&amp;"1",INDEX('Malaria-Equipment &amp; Other HPs'!$AW$29:$AW$40&amp;'Malaria-Equipment &amp; Other HPs'!$AU$29:$AU$40,0),0))),)</f>
        <v>0</v>
      </c>
      <c r="W549" s="525"/>
      <c r="X549" s="1154">
        <f t="shared" si="54"/>
        <v>0</v>
      </c>
      <c r="Y549" s="1155"/>
      <c r="Z549" s="1156"/>
      <c r="AA549" s="529"/>
      <c r="AB549" s="525"/>
      <c r="AC549" s="525">
        <f>IFERROR(INDEX('Malaria-Equipment &amp; Other HPs'!$AX$29:$BI$40,MATCH("6.5"&amp;"4",INDEX('Malaria-Equipment &amp; Other HPs'!$AW$29:$AW$40&amp;'Malaria-Equipment &amp; Other HPs'!$AU$29:$AU$40,0),0),MID(LEFT(AC$1,SEARCH(" ",AC$1)-1),2,3)-INDEX('Malaria-Equipment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HPs'!$AU$29:$AU$40,0),0),MID(LEFT(AC$1,SEARCH(" ",AC$1)-1),2,3)-INDEX('Malaria-Equipment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HPs'!$AU$29:$AU$40,0),0),MID(LEFT(AC$1,SEARCH(" ",AC$1)-1),2,3)-INDEX('Malaria-Equipment &amp; Other HPs'!$AV$29:$AV$40,MATCH("6.5"&amp;"1",INDEX('Malaria-Equipment &amp; Other HPs'!$AW$29:$AW$40&amp;'Malaria-Equipment &amp; Other HPs'!$AU$29:$AU$40,0),0))),)</f>
        <v>0</v>
      </c>
      <c r="AD549" s="525"/>
      <c r="AE549" s="525">
        <f>IFERROR(INDEX('Malaria-Equipment &amp; Other HPs'!$AX$29:$BI$40,MATCH("6.5"&amp;"4",INDEX('Malaria-Equipment &amp; Other HPs'!$AW$29:$AW$40&amp;'Malaria-Equipment &amp; Other HPs'!$AU$29:$AU$40,0),0),MID(LEFT(AE$1,SEARCH(" ",AE$1)-1),2,3)-INDEX('Malaria-Equipment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HPs'!$AU$29:$AU$40,0),0),MID(LEFT(AE$1,SEARCH(" ",AE$1)-1),2,3)-INDEX('Malaria-Equipment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HPs'!$AU$29:$AU$40,0),0),MID(LEFT(AE$1,SEARCH(" ",AE$1)-1),2,3)-INDEX('Malaria-Equipment &amp; Other HPs'!$AV$29:$AV$40,MATCH("6.5"&amp;"1",INDEX('Malaria-Equipment &amp; Other HPs'!$AW$29:$AW$40&amp;'Malaria-Equipment &amp; Other HPs'!$AU$29:$AU$40,0),0))),)</f>
        <v>0</v>
      </c>
      <c r="AF549" s="525"/>
      <c r="AG549" s="525">
        <f>IFERROR(INDEX('Malaria-Equipment &amp; Other HPs'!$AX$29:$BI$40,MATCH("6.5"&amp;"4",INDEX('Malaria-Equipment &amp; Other HPs'!$AW$29:$AW$40&amp;'Malaria-Equipment &amp; Other HPs'!$AU$29:$AU$40,0),0),MID(LEFT(AG$1,SEARCH(" ",AG$1)-1),2,3)-INDEX('Malaria-Equipment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HPs'!$AU$29:$AU$40,0),0),MID(LEFT(AG$1,SEARCH(" ",AG$1)-1),2,3)-INDEX('Malaria-Equipment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HPs'!$AU$29:$AU$40,0),0),MID(LEFT(AG$1,SEARCH(" ",AG$1)-1),2,3)-INDEX('Malaria-Equipment &amp; Other HPs'!$AV$29:$AV$40,MATCH("6.5"&amp;"1",INDEX('Malaria-Equipment &amp; Other HPs'!$AW$29:$AW$40&amp;'Malaria-Equipment &amp; Other HPs'!$AU$29:$AU$40,0),0))),)</f>
        <v>0</v>
      </c>
      <c r="AH549" s="525"/>
      <c r="AI549" s="525">
        <f>IFERROR(INDEX('Malaria-Equipment &amp; Other HPs'!$AX$29:$BI$40,MATCH("6.5"&amp;"4",INDEX('Malaria-Equipment &amp; Other HPs'!$AW$29:$AW$40&amp;'Malaria-Equipment &amp; Other HPs'!$AU$29:$AU$40,0),0),MID(LEFT(AI$1,SEARCH(" ",AI$1)-1),2,3)-INDEX('Malaria-Equipment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HPs'!$AU$29:$AU$40,0),0),MID(LEFT(AI$1,SEARCH(" ",AI$1)-1),2,3)-INDEX('Malaria-Equipment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HPs'!$AU$29:$AU$40,0),0),MID(LEFT(AI$1,SEARCH(" ",AI$1)-1),2,3)-INDEX('Malaria-Equipment &amp; Other HPs'!$AV$29:$AV$40,MATCH("6.5"&amp;"1",INDEX('Malaria-Equipment &amp; Other HPs'!$AW$29:$AW$40&amp;'Malaria-Equipment &amp; Other HPs'!$AU$29:$AU$40,0),0))),)</f>
        <v>0</v>
      </c>
      <c r="AJ549" s="525"/>
      <c r="AK549" s="1154">
        <f t="shared" si="55"/>
        <v>0</v>
      </c>
      <c r="AL549" s="1155"/>
      <c r="AM549" s="1156"/>
      <c r="AN549" s="529"/>
      <c r="AO549" s="525"/>
      <c r="AP549" s="525">
        <f>IFERROR(INDEX('Malaria-Equipment &amp; Other HPs'!$AX$29:$BI$40,MATCH("6.5"&amp;"4",INDEX('Malaria-Equipment &amp; Other HPs'!$AW$29:$AW$40&amp;'Malaria-Equipment &amp; Other HPs'!$AU$29:$AU$40,0),0),MID(LEFT(AP$1,SEARCH(" ",AP$1)-1),2,3)-INDEX('Malaria-Equipment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HPs'!$AU$29:$AU$40,0),0),MID(LEFT(AP$1,SEARCH(" ",AP$1)-1),2,3)-INDEX('Malaria-Equipment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HPs'!$AU$29:$AU$40,0),0),MID(LEFT(AP$1,SEARCH(" ",AP$1)-1),2,3)-INDEX('Malaria-Equipment &amp; Other HPs'!$AV$29:$AV$40,MATCH("6.5"&amp;"1",INDEX('Malaria-Equipment &amp; Other HPs'!$AW$29:$AW$40&amp;'Malaria-Equipment &amp; Other HPs'!$AU$29:$AU$40,0),0))),)</f>
        <v>0</v>
      </c>
      <c r="AQ549" s="525"/>
      <c r="AR549" s="525">
        <f>IFERROR(INDEX('Malaria-Equipment &amp; Other HPs'!$AX$29:$BI$40,MATCH("6.5"&amp;"4",INDEX('Malaria-Equipment &amp; Other HPs'!$AW$29:$AW$40&amp;'Malaria-Equipment &amp; Other HPs'!$AU$29:$AU$40,0),0),MID(LEFT(AR$1,SEARCH(" ",AR$1)-1),2,3)-INDEX('Malaria-Equipment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HPs'!$AU$29:$AU$40,0),0),MID(LEFT(AR$1,SEARCH(" ",AR$1)-1),2,3)-INDEX('Malaria-Equipment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HPs'!$AU$29:$AU$40,0),0),MID(LEFT(AR$1,SEARCH(" ",AR$1)-1),2,3)-INDEX('Malaria-Equipment &amp; Other HPs'!$AV$29:$AV$40,MATCH("6.5"&amp;"1",INDEX('Malaria-Equipment &amp; Other HPs'!$AW$29:$AW$40&amp;'Malaria-Equipment &amp; Other HPs'!$AU$29:$AU$40,0),0))),)</f>
        <v>0</v>
      </c>
      <c r="AS549" s="525"/>
      <c r="AT549" s="525">
        <f>IFERROR(INDEX('Malaria-Equipment &amp; Other HPs'!$AX$29:$BI$40,MATCH("6.5"&amp;"4",INDEX('Malaria-Equipment &amp; Other HPs'!$AW$29:$AW$40&amp;'Malaria-Equipment &amp; Other HPs'!$AU$29:$AU$40,0),0),MID(LEFT(AT$1,SEARCH(" ",AT$1)-1),2,3)-INDEX('Malaria-Equipment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HPs'!$AU$29:$AU$40,0),0),MID(LEFT(AT$1,SEARCH(" ",AT$1)-1),2,3)-INDEX('Malaria-Equipment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HPs'!$AU$29:$AU$40,0),0),MID(LEFT(AT$1,SEARCH(" ",AT$1)-1),2,3)-INDEX('Malaria-Equipment &amp; Other HPs'!$AV$29:$AV$40,MATCH("6.5"&amp;"1",INDEX('Malaria-Equipment &amp; Other HPs'!$AW$29:$AW$40&amp;'Malaria-Equipment &amp; Other HPs'!$AU$29:$AU$40,0),0))),)</f>
        <v>0</v>
      </c>
      <c r="AU549" s="525"/>
      <c r="AV549" s="525">
        <f>IFERROR(INDEX('Malaria-Equipment &amp; Other HPs'!$BJ$29:$BJ$40,MATCH("6.5"&amp;"4",INDEX('Malaria-Equipment &amp; Other HPs'!$AW$29:$AW$40&amp;'Malaria-Equipment &amp; Other HPs'!$AU$29:$AU$40,0),0),0),)+IFERROR(INDEX('Malaria-Equipment &amp; Other HPs'!$BJ$29:$BJ$40,MATCH("6.5"&amp;"3",INDEX('Malaria-Equipment &amp; Other HPs'!$AW$29:$AW$40&amp;'Malaria-Equipment &amp; Other HPs'!$AU$29:$AU$40,0),0),0),)+IFERROR(INDEX('Malaria-Equipment &amp; Other HPs'!$BJ$29:$BJ$40,MATCH("6.5"&amp;"1",INDEX('Malaria-Equipment &amp; Other HPs'!$AW$29:$AW$40&amp;'Malaria-Equipment &amp; Other HPs'!$AU$29:$AU$40,0),0),0),)-SUM(X549,AK549,AP549,AR549,AT549)</f>
        <v>0</v>
      </c>
      <c r="AW549" s="525"/>
      <c r="AX549" s="1154">
        <f t="shared" si="56"/>
        <v>0</v>
      </c>
      <c r="AY549" s="1154"/>
      <c r="AZ549" s="528"/>
      <c r="BA549" s="529"/>
      <c r="BB549" s="527"/>
      <c r="BC549" s="527">
        <v>0</v>
      </c>
      <c r="BD549" s="527">
        <v>0</v>
      </c>
      <c r="BE549" s="527">
        <v>0</v>
      </c>
      <c r="BF549" s="527">
        <v>0</v>
      </c>
      <c r="BG549" s="527">
        <v>0</v>
      </c>
      <c r="BH549" s="527">
        <v>0</v>
      </c>
      <c r="BI549" s="527">
        <v>0</v>
      </c>
      <c r="BJ549" s="527">
        <v>0</v>
      </c>
      <c r="BK549" s="1154">
        <f t="shared" si="57"/>
        <v>0</v>
      </c>
      <c r="BL549" s="1154"/>
      <c r="BM549" s="1154">
        <f t="shared" si="58"/>
        <v>0</v>
      </c>
      <c r="BN549" s="1154">
        <f>BK549+AX549+AK549+X549</f>
        <v>0</v>
      </c>
      <c r="BO549" s="527"/>
      <c r="BP549" s="527"/>
      <c r="BQ549" s="1157">
        <v>0</v>
      </c>
      <c r="BR549" s="1157" t="s">
        <v>19</v>
      </c>
      <c r="BS549" s="1157" t="s">
        <v>2567</v>
      </c>
      <c r="BT549" s="1376" t="s">
        <v>1247</v>
      </c>
    </row>
    <row r="550" spans="1:73" ht="13">
      <c r="A550" s="1204"/>
      <c r="B550" s="1205" t="s">
        <v>3085</v>
      </c>
      <c r="C550" s="1205" t="s">
        <v>3086</v>
      </c>
      <c r="D550" s="1206" t="s">
        <v>3087</v>
      </c>
      <c r="E550" s="1386" t="s">
        <v>651</v>
      </c>
      <c r="F550" s="521"/>
      <c r="G550" s="522"/>
      <c r="H550" s="522"/>
      <c r="I550" s="522"/>
      <c r="J550" s="523"/>
      <c r="K550" s="523"/>
      <c r="L550" s="523"/>
      <c r="M550" s="524"/>
      <c r="N550" s="525"/>
      <c r="O550" s="526"/>
      <c r="P550" s="1110">
        <f>IFERROR(INDEX(COVID!$AV$14:$BG$19,MATCH(4.7,COVID!$AU$14:$AU$19,0),MID(LEFT(P$1,SEARCH(" ",P$1)-1),2,3)-INDEX(COVID!$AT$14:$AT$19,MATCH(4.7,COVID!$AU$14:$AU$19,0))),0)</f>
        <v>0</v>
      </c>
      <c r="Q550" s="525"/>
      <c r="R550" s="525">
        <f>IFERROR(INDEX(COVID!$AV$14:$BG$19,MATCH(4.7,COVID!$AU$14:$AU$19,0),MID(LEFT(R$1,SEARCH(" ",R$1)-1),2,3)-INDEX(COVID!$AT$14:$AT$19,MATCH(4.7,COVID!$AU$14:$AU$19,0))),0)</f>
        <v>0</v>
      </c>
      <c r="S550" s="525"/>
      <c r="T550" s="525">
        <f>IFERROR(INDEX(COVID!$AV$14:$BG$19,MATCH(4.7,COVID!$AU$14:$AU$19,0),MID(LEFT(T$1,SEARCH(" ",T$1)-1),2,3)-INDEX(COVID!$AT$14:$AT$19,MATCH(4.7,COVID!$AU$14:$AU$19,0))),0)</f>
        <v>0</v>
      </c>
      <c r="U550" s="525"/>
      <c r="V550" s="525">
        <f>IFERROR(INDEX(COVID!$AV$14:$BG$19,MATCH(4.7,COVID!$AU$14:$AU$19,0),MID(LEFT(V$1,SEARCH(" ",V$1)-1),2,3)-INDEX(COVID!$AT$14:$AT$19,MATCH(4.7,COVID!$AU$14:$AU$19,0))),0)</f>
        <v>0</v>
      </c>
      <c r="W550" s="525"/>
      <c r="X550" s="1154">
        <f t="shared" si="54"/>
        <v>0</v>
      </c>
      <c r="Y550" s="1155"/>
      <c r="Z550" s="1156"/>
      <c r="AA550" s="529"/>
      <c r="AB550" s="525"/>
      <c r="AC550" s="525">
        <f>IFERROR(INDEX(COVID!$AV$14:$BG$19,MATCH(4.7,COVID!$AU$14:$AU$19,0),MID(LEFT(AC$1,SEARCH(" ",AC$1)-1),2,3)-INDEX(COVID!$AT$14:$AT$19,MATCH(4.7,COVID!$AU$14:$AU$19,0))),0)</f>
        <v>0</v>
      </c>
      <c r="AD550" s="525"/>
      <c r="AE550" s="525">
        <f>IFERROR(INDEX(COVID!$AV$14:$BG$19,MATCH(4.7,COVID!$AU$14:$AU$19,0),MID(LEFT(AE$1,SEARCH(" ",AE$1)-1),2,3)-INDEX(COVID!$AT$14:$AT$19,MATCH(4.7,COVID!$AU$14:$AU$19,0))),0)</f>
        <v>0</v>
      </c>
      <c r="AF550" s="525"/>
      <c r="AG550" s="525">
        <f>IFERROR(INDEX(COVID!$AV$14:$BG$19,MATCH(4.7,COVID!$AU$14:$AU$19,0),MID(LEFT(AG$1,SEARCH(" ",AG$1)-1),2,3)-INDEX(COVID!$AT$14:$AT$19,MATCH(4.7,COVID!$AU$14:$AU$19,0))),0)</f>
        <v>0</v>
      </c>
      <c r="AH550" s="525"/>
      <c r="AI550" s="525">
        <f>IFERROR(INDEX(COVID!$AV$14:$BG$19,MATCH(4.7,COVID!$AU$14:$AU$19,0),MID(LEFT(AI$1,SEARCH(" ",AI$1)-1),2,3)-INDEX(COVID!$AT$14:$AT$19,MATCH(4.7,COVID!$AU$14:$AU$19,0))),0)</f>
        <v>0</v>
      </c>
      <c r="AJ550" s="525"/>
      <c r="AK550" s="1154">
        <f t="shared" si="55"/>
        <v>0</v>
      </c>
      <c r="AL550" s="1155"/>
      <c r="AM550" s="1156"/>
      <c r="AN550" s="529"/>
      <c r="AO550" s="525"/>
      <c r="AP550" s="525">
        <f>IFERROR(INDEX(COVID!$AV$14:$BG$19,MATCH(4.7,COVID!$AU$14:$AU$19,0),MID(LEFT(AP$1,SEARCH(" ",AP$1)-1),2,3)-INDEX(COVID!$AT$14:$AT$19,MATCH(4.7,COVID!$AU$14:$AU$19,0))),0)</f>
        <v>0</v>
      </c>
      <c r="AQ550" s="525"/>
      <c r="AR550" s="525">
        <f>IFERROR(INDEX(COVID!$AV$14:$BG$19,MATCH(4.7,COVID!$AU$14:$AU$19,0),MID(LEFT(AR$1,SEARCH(" ",AR$1)-1),2,3)-INDEX(COVID!$AT$14:$AT$19,MATCH(4.7,COVID!$AU$14:$AU$19,0))),0)</f>
        <v>0</v>
      </c>
      <c r="AS550" s="525"/>
      <c r="AT550" s="525">
        <f>IFERROR(INDEX(COVID!$AV$14:$BG$19,MATCH(4.7,COVID!$AU$14:$AU$19,0),MID(LEFT(AT$1,SEARCH(" ",AT$1)-1),2,3)-INDEX(COVID!$AT$14:$AT$19,MATCH(4.7,COVID!$AU$14:$AU$19,0))),0)</f>
        <v>0</v>
      </c>
      <c r="AU550" s="525"/>
      <c r="AV550" s="525">
        <f>IFERROR(INDEX(COVID!$BH$14:$BH$19,MATCH(4.7,COVID!$AU$14:$AU$19,0),)-SUM(X550,AK550,AP550,AR550,AT550),0)</f>
        <v>0</v>
      </c>
      <c r="AW550" s="525"/>
      <c r="AX550" s="1154">
        <f t="shared" si="56"/>
        <v>0</v>
      </c>
      <c r="AY550" s="1154"/>
      <c r="AZ550" s="528"/>
      <c r="BA550" s="529"/>
      <c r="BB550" s="527"/>
      <c r="BC550" s="527"/>
      <c r="BD550" s="527"/>
      <c r="BE550" s="527"/>
      <c r="BF550" s="527"/>
      <c r="BG550" s="527"/>
      <c r="BH550" s="527"/>
      <c r="BI550" s="527"/>
      <c r="BJ550" s="527"/>
      <c r="BK550" s="1154">
        <f t="shared" ref="BK550:BK561" si="60">BI550+BG550+BE550+BC550</f>
        <v>0</v>
      </c>
      <c r="BL550" s="1154"/>
      <c r="BM550" s="1154">
        <f t="shared" ref="BM550:BM561" si="61">BJ550+AW550+AJ550+W550</f>
        <v>0</v>
      </c>
      <c r="BN550" s="1154">
        <f t="shared" ref="BN550:BN561" si="62">BK550+AX550+AK550+X550</f>
        <v>0</v>
      </c>
      <c r="BO550" s="527"/>
      <c r="BP550" s="527"/>
      <c r="BQ550" s="1157">
        <v>0</v>
      </c>
      <c r="BR550" s="1157" t="s">
        <v>2680</v>
      </c>
      <c r="BS550" s="1157" t="s">
        <v>3087</v>
      </c>
      <c r="BT550" s="1376" t="s">
        <v>3091</v>
      </c>
      <c r="BU550" s="1371"/>
    </row>
    <row r="551" spans="1:73" ht="13">
      <c r="A551" s="1204"/>
      <c r="B551" s="1205" t="s">
        <v>3085</v>
      </c>
      <c r="C551" s="1205" t="s">
        <v>3086</v>
      </c>
      <c r="D551" s="1206" t="s">
        <v>3088</v>
      </c>
      <c r="E551" s="1386" t="s">
        <v>595</v>
      </c>
      <c r="F551" s="521"/>
      <c r="G551" s="522"/>
      <c r="H551" s="522"/>
      <c r="I551" s="522"/>
      <c r="J551" s="523"/>
      <c r="K551" s="523"/>
      <c r="L551" s="523"/>
      <c r="M551" s="524"/>
      <c r="N551" s="525"/>
      <c r="O551" s="526"/>
      <c r="P551" s="525">
        <f>IFERROR(INDEX(COVID!$AV$14:$BG$19,MATCH(5.6,COVID!$AU$14:$AU$19,0),MID(LEFT(P$1,SEARCH(" ",P$1)-1),2,3)-INDEX(COVID!$AT$14:$AT$19,MATCH(5.6,COVID!$AU$14:$AU$19,0))),0)</f>
        <v>0</v>
      </c>
      <c r="Q551" s="525"/>
      <c r="R551" s="525">
        <f>IFERROR(INDEX(COVID!$AV$14:$BG$19,MATCH(5.6,COVID!$AU$14:$AU$19,0),MID(LEFT(R$1,SEARCH(" ",R$1)-1),2,3)-INDEX(COVID!$AT$14:$AT$19,MATCH(5.6,COVID!$AU$14:$AU$19,0))),0)</f>
        <v>0</v>
      </c>
      <c r="S551" s="525"/>
      <c r="T551" s="525">
        <f>IFERROR(INDEX(COVID!$AV$14:$BG$19,MATCH(5.6,COVID!$AU$14:$AU$19,0),MID(LEFT(T$1,SEARCH(" ",T$1)-1),2,3)-INDEX(COVID!$AT$14:$AT$19,MATCH(5.6,COVID!$AU$14:$AU$19,0))),0)</f>
        <v>0</v>
      </c>
      <c r="U551" s="525"/>
      <c r="V551" s="525">
        <f>IFERROR(INDEX(COVID!$AV$14:$BG$19,MATCH(5.6,COVID!$AU$14:$AU$19,0),MID(LEFT(V$1,SEARCH(" ",V$1)-1),2,3)-INDEX(COVID!$AT$14:$AT$19,MATCH(5.6,COVID!$AU$14:$AU$19,0))),0)</f>
        <v>0</v>
      </c>
      <c r="W551" s="525"/>
      <c r="X551" s="1154">
        <f t="shared" si="54"/>
        <v>0</v>
      </c>
      <c r="Y551" s="1155"/>
      <c r="Z551" s="1156"/>
      <c r="AA551" s="529"/>
      <c r="AB551" s="525"/>
      <c r="AC551" s="525">
        <f>IFERROR(INDEX(COVID!$AV$14:$BG$19,MATCH(5.6,COVID!$AU$14:$AU$19,0),MID(LEFT(AC$1,SEARCH(" ",AC$1)-1),2,3)-INDEX(COVID!$AT$14:$AT$19,MATCH(5.6,COVID!$AU$14:$AU$19,0))),0)</f>
        <v>0</v>
      </c>
      <c r="AD551" s="525"/>
      <c r="AE551" s="525">
        <f>IFERROR(INDEX(COVID!$AV$14:$BG$19,MATCH(5.6,COVID!$AU$14:$AU$19,0),MID(LEFT(AE$1,SEARCH(" ",AE$1)-1),2,3)-INDEX(COVID!$AT$14:$AT$19,MATCH(5.6,COVID!$AU$14:$AU$19,0))),0)</f>
        <v>0</v>
      </c>
      <c r="AF551" s="525"/>
      <c r="AG551" s="525">
        <f>IFERROR(INDEX(COVID!$AV$14:$BG$19,MATCH(5.6,COVID!$AU$14:$AU$19,0),MID(LEFT(AG$1,SEARCH(" ",AG$1)-1),2,3)-INDEX(COVID!$AT$14:$AT$19,MATCH(5.6,COVID!$AU$14:$AU$19,0))),0)</f>
        <v>0</v>
      </c>
      <c r="AH551" s="525"/>
      <c r="AI551" s="525">
        <f>IFERROR(INDEX(COVID!$AV$14:$BG$19,MATCH(5.6,COVID!$AU$14:$AU$19,0),MID(LEFT(AI$1,SEARCH(" ",AI$1)-1),2,3)-INDEX(COVID!$AT$14:$AT$19,MATCH(5.6,COVID!$AU$14:$AU$19,0))),0)</f>
        <v>0</v>
      </c>
      <c r="AJ551" s="525"/>
      <c r="AK551" s="1154">
        <f t="shared" si="55"/>
        <v>0</v>
      </c>
      <c r="AL551" s="1155"/>
      <c r="AM551" s="1156"/>
      <c r="AN551" s="529"/>
      <c r="AO551" s="525"/>
      <c r="AP551" s="525">
        <f>IFERROR(INDEX(COVID!$AV$14:$BG$19,MATCH(5.6,COVID!$AU$14:$AU$19,0),MID(LEFT(AP$1,SEARCH(" ",AP$1)-1),2,3)-INDEX(COVID!$AT$14:$AT$19,MATCH(5.6,COVID!$AU$14:$AU$19,0))),0)</f>
        <v>0</v>
      </c>
      <c r="AQ551" s="525"/>
      <c r="AR551" s="525">
        <f>IFERROR(INDEX(COVID!$AV$14:$BG$19,MATCH(5.6,COVID!$AU$14:$AU$19,0),MID(LEFT(AR$1,SEARCH(" ",AR$1)-1),2,3)-INDEX(COVID!$AT$14:$AT$19,MATCH(5.6,COVID!$AU$14:$AU$19,0))),0)</f>
        <v>0</v>
      </c>
      <c r="AS551" s="525"/>
      <c r="AT551" s="525">
        <f>IFERROR(INDEX(COVID!$AV$14:$BG$19,MATCH(5.6,COVID!$AU$14:$AU$19,0),MID(LEFT(AT$1,SEARCH(" ",AT$1)-1),2,3)-INDEX(COVID!$AT$14:$AT$19,MATCH(5.6,COVID!$AU$14:$AU$19,0))),0)</f>
        <v>0</v>
      </c>
      <c r="AU551" s="525"/>
      <c r="AV551" s="525">
        <f>IFERROR(INDEX(COVID!$BH$14:$BH$19,MATCH(5.6,COVID!$AU$14:$AU$19,0),)-SUM(X551,AK551,AP551,AR551,AT551),0)</f>
        <v>0</v>
      </c>
      <c r="AW551" s="525"/>
      <c r="AX551" s="1154">
        <f t="shared" si="56"/>
        <v>0</v>
      </c>
      <c r="AY551" s="1154"/>
      <c r="AZ551" s="528"/>
      <c r="BA551" s="529"/>
      <c r="BB551" s="527"/>
      <c r="BC551" s="527"/>
      <c r="BD551" s="527"/>
      <c r="BE551" s="527"/>
      <c r="BF551" s="527"/>
      <c r="BG551" s="527"/>
      <c r="BH551" s="527"/>
      <c r="BI551" s="527"/>
      <c r="BJ551" s="527"/>
      <c r="BK551" s="1154">
        <f t="shared" si="60"/>
        <v>0</v>
      </c>
      <c r="BL551" s="1154"/>
      <c r="BM551" s="1154">
        <f t="shared" si="61"/>
        <v>0</v>
      </c>
      <c r="BN551" s="1154">
        <f t="shared" si="62"/>
        <v>0</v>
      </c>
      <c r="BO551" s="527"/>
      <c r="BP551" s="527"/>
      <c r="BQ551" s="1157">
        <v>0</v>
      </c>
      <c r="BR551" s="1157" t="s">
        <v>2680</v>
      </c>
      <c r="BS551" s="1157" t="s">
        <v>3088</v>
      </c>
      <c r="BT551" s="1376" t="s">
        <v>3092</v>
      </c>
      <c r="BU551" s="1371"/>
    </row>
    <row r="552" spans="1:73" ht="13">
      <c r="A552" s="1204"/>
      <c r="B552" s="1205" t="s">
        <v>3085</v>
      </c>
      <c r="C552" s="1205" t="s">
        <v>3086</v>
      </c>
      <c r="D552" s="1206" t="s">
        <v>3089</v>
      </c>
      <c r="E552" s="1386" t="s">
        <v>597</v>
      </c>
      <c r="F552" s="521"/>
      <c r="G552" s="522"/>
      <c r="H552" s="522"/>
      <c r="I552" s="522"/>
      <c r="J552" s="523"/>
      <c r="K552" s="523"/>
      <c r="L552" s="523"/>
      <c r="M552" s="524"/>
      <c r="N552" s="525"/>
      <c r="O552" s="526"/>
      <c r="P552" s="525">
        <f>IFERROR(INDEX(COVID!$AV$14:$BG$19,MATCH(5.8,COVID!$AU$14:$AU$19,0),MID(LEFT(P$1,SEARCH(" ",P$1)-1),2,3)-INDEX(COVID!$AT$14:$AT$19,MATCH(5.8,COVID!$AU$14:$AU$19,0))),0)</f>
        <v>0</v>
      </c>
      <c r="Q552" s="525"/>
      <c r="R552" s="525">
        <f>IFERROR(INDEX(COVID!$AV$14:$BG$19,MATCH(5.8,COVID!$AU$14:$AU$19,0),MID(LEFT(R$1,SEARCH(" ",R$1)-1),2,3)-INDEX(COVID!$AT$14:$AT$19,MATCH(5.8,COVID!$AU$14:$AU$19,0))),0)</f>
        <v>0</v>
      </c>
      <c r="S552" s="525"/>
      <c r="T552" s="525">
        <f>IFERROR(INDEX(COVID!$AV$14:$BG$19,MATCH(5.8,COVID!$AU$14:$AU$19,0),MID(LEFT(T$1,SEARCH(" ",T$1)-1),2,3)-INDEX(COVID!$AT$14:$AT$19,MATCH(5.8,COVID!$AU$14:$AU$19,0))),0)</f>
        <v>0</v>
      </c>
      <c r="U552" s="525"/>
      <c r="V552" s="525">
        <f>IFERROR(INDEX(COVID!$AV$14:$BG$19,MATCH(5.8,COVID!$AU$14:$AU$19,0),MID(LEFT(V$1,SEARCH(" ",V$1)-1),2,3)-INDEX(COVID!$AT$14:$AT$19,MATCH(5.8,COVID!$AU$14:$AU$19,0))),0)</f>
        <v>0</v>
      </c>
      <c r="W552" s="525"/>
      <c r="X552" s="1154">
        <f t="shared" si="54"/>
        <v>0</v>
      </c>
      <c r="Y552" s="1155"/>
      <c r="Z552" s="1156"/>
      <c r="AA552" s="529"/>
      <c r="AB552" s="525"/>
      <c r="AC552" s="525">
        <f>IFERROR(INDEX(COVID!$AV$14:$BG$19,MATCH(5.8,COVID!$AU$14:$AU$19,0),MID(LEFT(AC$1,SEARCH(" ",AC$1)-1),2,3)-INDEX(COVID!$AT$14:$AT$19,MATCH(5.8,COVID!$AU$14:$AU$19,0))),0)</f>
        <v>0</v>
      </c>
      <c r="AD552" s="525"/>
      <c r="AE552" s="525">
        <f>IFERROR(INDEX(COVID!$AV$14:$BG$19,MATCH(5.8,COVID!$AU$14:$AU$19,0),MID(LEFT(AE$1,SEARCH(" ",AE$1)-1),2,3)-INDEX(COVID!$AT$14:$AT$19,MATCH(5.8,COVID!$AU$14:$AU$19,0))),0)</f>
        <v>0</v>
      </c>
      <c r="AF552" s="525"/>
      <c r="AG552" s="525">
        <f>IFERROR(INDEX(COVID!$AV$14:$BG$19,MATCH(5.8,COVID!$AU$14:$AU$19,0),MID(LEFT(AG$1,SEARCH(" ",AG$1)-1),2,3)-INDEX(COVID!$AT$14:$AT$19,MATCH(5.8,COVID!$AU$14:$AU$19,0))),0)</f>
        <v>0</v>
      </c>
      <c r="AH552" s="525"/>
      <c r="AI552" s="525">
        <f>IFERROR(INDEX(COVID!$AV$14:$BG$19,MATCH(5.8,COVID!$AU$14:$AU$19,0),MID(LEFT(AI$1,SEARCH(" ",AI$1)-1),2,3)-INDEX(COVID!$AT$14:$AT$19,MATCH(5.8,COVID!$AU$14:$AU$19,0))),0)</f>
        <v>0</v>
      </c>
      <c r="AJ552" s="525"/>
      <c r="AK552" s="1154">
        <f t="shared" si="55"/>
        <v>0</v>
      </c>
      <c r="AL552" s="1155"/>
      <c r="AM552" s="1156"/>
      <c r="AN552" s="529"/>
      <c r="AO552" s="525"/>
      <c r="AP552" s="525">
        <f>IFERROR(INDEX(COVID!$AV$14:$BG$19,MATCH(5.8,COVID!$AU$14:$AU$19,0),MID(LEFT(AP$1,SEARCH(" ",AP$1)-1),2,3)-INDEX(COVID!$AT$14:$AT$19,MATCH(5.8,COVID!$AU$14:$AU$19,0))),0)</f>
        <v>0</v>
      </c>
      <c r="AQ552" s="525"/>
      <c r="AR552" s="525">
        <f>IFERROR(INDEX(COVID!$AV$14:$BG$19,MATCH(5.8,COVID!$AU$14:$AU$19,0),MID(LEFT(AR$1,SEARCH(" ",AR$1)-1),2,3)-INDEX(COVID!$AT$14:$AT$19,MATCH(5.8,COVID!$AU$14:$AU$19,0))),0)</f>
        <v>0</v>
      </c>
      <c r="AS552" s="525"/>
      <c r="AT552" s="525">
        <f>IFERROR(INDEX(COVID!$AV$14:$BG$19,MATCH(5.8,COVID!$AU$14:$AU$19,0),MID(LEFT(AT$1,SEARCH(" ",AT$1)-1),2,3)-INDEX(COVID!$AT$14:$AT$19,MATCH(5.8,COVID!$AU$14:$AU$19,0))),0)</f>
        <v>0</v>
      </c>
      <c r="AU552" s="525"/>
      <c r="AV552" s="525">
        <f>IFERROR(INDEX(COVID!$BH$14:$BH$19,MATCH(5.8,COVID!$AU$14:$AU$19,0),)-SUM(X552,AK552,AP552,AR552,AT552),0)</f>
        <v>0</v>
      </c>
      <c r="AW552" s="525"/>
      <c r="AX552" s="1154">
        <f t="shared" si="56"/>
        <v>0</v>
      </c>
      <c r="AY552" s="1154"/>
      <c r="AZ552" s="528"/>
      <c r="BA552" s="529"/>
      <c r="BB552" s="527"/>
      <c r="BC552" s="527"/>
      <c r="BD552" s="527"/>
      <c r="BE552" s="527"/>
      <c r="BF552" s="527"/>
      <c r="BG552" s="527"/>
      <c r="BH552" s="527"/>
      <c r="BI552" s="527"/>
      <c r="BJ552" s="527"/>
      <c r="BK552" s="1154">
        <f t="shared" si="60"/>
        <v>0</v>
      </c>
      <c r="BL552" s="1154"/>
      <c r="BM552" s="1154">
        <f t="shared" si="61"/>
        <v>0</v>
      </c>
      <c r="BN552" s="1154">
        <f t="shared" si="62"/>
        <v>0</v>
      </c>
      <c r="BO552" s="527"/>
      <c r="BP552" s="527"/>
      <c r="BQ552" s="1157">
        <v>0</v>
      </c>
      <c r="BR552" s="1157" t="s">
        <v>2680</v>
      </c>
      <c r="BS552" s="1157" t="s">
        <v>3089</v>
      </c>
      <c r="BT552" s="1376" t="s">
        <v>3093</v>
      </c>
      <c r="BU552" s="1371"/>
    </row>
    <row r="553" spans="1:73" ht="13">
      <c r="A553" s="1204"/>
      <c r="B553" s="1205" t="s">
        <v>3085</v>
      </c>
      <c r="C553" s="1205" t="s">
        <v>3086</v>
      </c>
      <c r="D553" s="1206" t="s">
        <v>2567</v>
      </c>
      <c r="E553" s="1467" t="s">
        <v>593</v>
      </c>
      <c r="F553" s="521"/>
      <c r="G553" s="522"/>
      <c r="H553" s="522"/>
      <c r="I553" s="522"/>
      <c r="J553" s="523"/>
      <c r="K553" s="523"/>
      <c r="L553" s="523"/>
      <c r="M553" s="524"/>
      <c r="N553" s="525"/>
      <c r="O553" s="526"/>
      <c r="P553" s="525">
        <f>IFERROR(INDEX(COVID!$AV$14:$BG$19,MATCH(6.5,COVID!$AU$14:$AU$19,0),MID(LEFT(P$1,SEARCH(" ",P$1)-1),2,3)-INDEX(COVID!$AT$14:$AT$19,MATCH(6.5,COVID!$AU$14:$AU$19,0))),0)</f>
        <v>0</v>
      </c>
      <c r="Q553" s="525"/>
      <c r="R553" s="525">
        <f>IFERROR(INDEX(COVID!$AV$14:$BG$19,MATCH(6.5,COVID!$AU$14:$AU$19,0),MID(LEFT(R$1,SEARCH(" ",R$1)-1),2,3)-INDEX(COVID!$AT$14:$AT$19,MATCH(6.5,COVID!$AU$14:$AU$19,0))),0)</f>
        <v>0</v>
      </c>
      <c r="S553" s="525"/>
      <c r="T553" s="525">
        <f>IFERROR(INDEX(COVID!$AV$14:$BG$19,MATCH(6.5,COVID!$AU$14:$AU$19,0),MID(LEFT(T$1,SEARCH(" ",T$1)-1),2,3)-INDEX(COVID!$AT$14:$AT$19,MATCH(6.5,COVID!$AU$14:$AU$19,0))),0)</f>
        <v>0</v>
      </c>
      <c r="U553" s="525"/>
      <c r="V553" s="525">
        <f>IFERROR(INDEX(COVID!$AV$14:$BG$19,MATCH(6.5,COVID!$AU$14:$AU$19,0),MID(LEFT(V$1,SEARCH(" ",V$1)-1),2,3)-INDEX(COVID!$AT$14:$AT$19,MATCH(6.5,COVID!$AU$14:$AU$19,0))),0)</f>
        <v>0</v>
      </c>
      <c r="W553" s="525"/>
      <c r="X553" s="1154">
        <f t="shared" si="54"/>
        <v>0</v>
      </c>
      <c r="Y553" s="1155"/>
      <c r="Z553" s="1156"/>
      <c r="AA553" s="529"/>
      <c r="AB553" s="525"/>
      <c r="AC553" s="525">
        <f>IFERROR(INDEX(COVID!$AV$14:$BG$19,MATCH(6.5,COVID!$AU$14:$AU$19,0),MID(LEFT(AC$1,SEARCH(" ",AC$1)-1),2,3)-INDEX(COVID!$AT$14:$AT$19,MATCH(6.5,COVID!$AU$14:$AU$19,0))),0)</f>
        <v>0</v>
      </c>
      <c r="AD553" s="525"/>
      <c r="AE553" s="525">
        <f>IFERROR(INDEX(COVID!$AV$14:$BG$19,MATCH(6.5,COVID!$AU$14:$AU$19,0),MID(LEFT(AE$1,SEARCH(" ",AE$1)-1),2,3)-INDEX(COVID!$AT$14:$AT$19,MATCH(6.5,COVID!$AU$14:$AU$19,0))),0)</f>
        <v>0</v>
      </c>
      <c r="AF553" s="525"/>
      <c r="AG553" s="525">
        <f>IFERROR(INDEX(COVID!$AV$14:$BG$19,MATCH(6.5,COVID!$AU$14:$AU$19,0),MID(LEFT(AG$1,SEARCH(" ",AG$1)-1),2,3)-INDEX(COVID!$AT$14:$AT$19,MATCH(6.5,COVID!$AU$14:$AU$19,0))),0)</f>
        <v>0</v>
      </c>
      <c r="AH553" s="525"/>
      <c r="AI553" s="525">
        <f>IFERROR(INDEX(COVID!$AV$14:$BG$19,MATCH(6.5,COVID!$AU$14:$AU$19,0),MID(LEFT(AI$1,SEARCH(" ",AI$1)-1),2,3)-INDEX(COVID!$AT$14:$AT$19,MATCH(6.5,COVID!$AU$14:$AU$19,0))),0)</f>
        <v>0</v>
      </c>
      <c r="AJ553" s="525"/>
      <c r="AK553" s="1154">
        <f t="shared" si="55"/>
        <v>0</v>
      </c>
      <c r="AL553" s="1155"/>
      <c r="AM553" s="1156"/>
      <c r="AN553" s="529"/>
      <c r="AO553" s="525"/>
      <c r="AP553" s="525">
        <f>IFERROR(INDEX(COVID!$AV$14:$BG$19,MATCH(6.5,COVID!$AU$14:$AU$19,0),MID(LEFT(AP$1,SEARCH(" ",AP$1)-1),2,3)-INDEX(COVID!$AT$14:$AT$19,MATCH(6.5,COVID!$AU$14:$AU$19,0))),0)</f>
        <v>0</v>
      </c>
      <c r="AQ553" s="525"/>
      <c r="AR553" s="525">
        <f>IFERROR(INDEX(COVID!$AV$14:$BG$19,MATCH(6.5,COVID!$AU$14:$AU$19,0),MID(LEFT(AR$1,SEARCH(" ",AR$1)-1),2,3)-INDEX(COVID!$AT$14:$AT$19,MATCH(6.5,COVID!$AU$14:$AU$19,0))),0)</f>
        <v>0</v>
      </c>
      <c r="AS553" s="525"/>
      <c r="AT553" s="525">
        <f>IFERROR(INDEX(COVID!$AV$14:$BG$19,MATCH(6.5,COVID!$AU$14:$AU$19,0),MID(LEFT(AT$1,SEARCH(" ",AT$1)-1),2,3)-INDEX(COVID!$AT$14:$AT$19,MATCH(6.5,COVID!$AU$14:$AU$19,0))),0)</f>
        <v>0</v>
      </c>
      <c r="AU553" s="525"/>
      <c r="AV553" s="525">
        <f>IFERROR(INDEX(COVID!$BH$14:$BH$19,MATCH(6.5,COVID!$AU$14:$AU$19,0),)-SUM(X553,AK553,AP553,AR553,AT553),0)</f>
        <v>0</v>
      </c>
      <c r="AW553" s="525"/>
      <c r="AX553" s="1154">
        <f t="shared" si="56"/>
        <v>0</v>
      </c>
      <c r="AY553" s="1154"/>
      <c r="AZ553" s="528"/>
      <c r="BA553" s="529"/>
      <c r="BB553" s="527"/>
      <c r="BC553" s="527"/>
      <c r="BD553" s="527"/>
      <c r="BE553" s="527"/>
      <c r="BF553" s="527"/>
      <c r="BG553" s="527"/>
      <c r="BH553" s="527"/>
      <c r="BI553" s="527"/>
      <c r="BJ553" s="527"/>
      <c r="BK553" s="1154"/>
      <c r="BL553" s="1154"/>
      <c r="BM553" s="1154"/>
      <c r="BN553" s="1154">
        <f t="shared" si="62"/>
        <v>0</v>
      </c>
      <c r="BO553" s="527"/>
      <c r="BP553" s="527"/>
      <c r="BQ553" s="1157"/>
      <c r="BR553" s="1157" t="s">
        <v>2680</v>
      </c>
      <c r="BS553" s="1157" t="s">
        <v>2567</v>
      </c>
      <c r="BT553" s="1376"/>
      <c r="BU553" s="1371"/>
    </row>
    <row r="554" spans="1:73" ht="13">
      <c r="A554" s="1204"/>
      <c r="B554" s="1205" t="s">
        <v>3085</v>
      </c>
      <c r="C554" s="1205" t="s">
        <v>3086</v>
      </c>
      <c r="D554" s="1206" t="s">
        <v>3090</v>
      </c>
      <c r="E554" s="1386" t="s">
        <v>586</v>
      </c>
      <c r="F554" s="521"/>
      <c r="G554" s="522"/>
      <c r="H554" s="522"/>
      <c r="I554" s="522"/>
      <c r="J554" s="523"/>
      <c r="K554" s="523"/>
      <c r="L554" s="523"/>
      <c r="M554" s="524"/>
      <c r="N554" s="525"/>
      <c r="O554" s="526"/>
      <c r="P554" s="525">
        <f>IFERROR(INDEX(COVID!$AV$14:$BG$19,MATCH(6.6,COVID!$AU$14:$AU$19,0),MID(LEFT(P$1,SEARCH(" ",P$1)-1),2,3)-INDEX(COVID!$AT$14:$AT$19,MATCH(6.6,COVID!$AU$14:$AU$19,0))),0)</f>
        <v>0</v>
      </c>
      <c r="Q554" s="525"/>
      <c r="R554" s="525">
        <f>IFERROR(INDEX(COVID!$AV$14:$BG$19,MATCH(6.6,COVID!$AU$14:$AU$19,0),MID(LEFT(R$1,SEARCH(" ",R$1)-1),2,3)-INDEX(COVID!$AT$14:$AT$19,MATCH(6.6,COVID!$AU$14:$AU$19,0))),0)</f>
        <v>0</v>
      </c>
      <c r="S554" s="525"/>
      <c r="T554" s="525">
        <f>IFERROR(INDEX(COVID!$AV$14:$BG$19,MATCH(6.6,COVID!$AU$14:$AU$19,0),MID(LEFT(T$1,SEARCH(" ",T$1)-1),2,3)-INDEX(COVID!$AT$14:$AT$19,MATCH(6.6,COVID!$AU$14:$AU$19,0))),0)</f>
        <v>0</v>
      </c>
      <c r="U554" s="525"/>
      <c r="V554" s="525">
        <f>IFERROR(INDEX(COVID!$AV$14:$BG$19,MATCH(6.6,COVID!$AU$14:$AU$19,0),MID(LEFT(V$1,SEARCH(" ",V$1)-1),2,3)-INDEX(COVID!$AT$14:$AT$19,MATCH(6.6,COVID!$AU$14:$AU$19,0))),0)</f>
        <v>0</v>
      </c>
      <c r="W554" s="525"/>
      <c r="X554" s="1154">
        <f t="shared" si="54"/>
        <v>0</v>
      </c>
      <c r="Y554" s="1155"/>
      <c r="Z554" s="1156"/>
      <c r="AA554" s="529"/>
      <c r="AB554" s="525"/>
      <c r="AC554" s="525">
        <f>IFERROR(INDEX(COVID!$AV$14:$BG$19,MATCH(6.6,COVID!$AU$14:$AU$19,0),MID(LEFT(AC$1,SEARCH(" ",AC$1)-1),2,3)-INDEX(COVID!$AT$14:$AT$19,MATCH(6.6,COVID!$AU$14:$AU$19,0))),0)</f>
        <v>0</v>
      </c>
      <c r="AD554" s="525"/>
      <c r="AE554" s="525">
        <f>IFERROR(INDEX(COVID!$AV$14:$BG$19,MATCH(6.6,COVID!$AU$14:$AU$19,0),MID(LEFT(AE$1,SEARCH(" ",AE$1)-1),2,3)-INDEX(COVID!$AT$14:$AT$19,MATCH(6.6,COVID!$AU$14:$AU$19,0))),0)</f>
        <v>0</v>
      </c>
      <c r="AF554" s="525"/>
      <c r="AG554" s="525">
        <f>IFERROR(INDEX(COVID!$AV$14:$BG$19,MATCH(6.6,COVID!$AU$14:$AU$19,0),MID(LEFT(AG$1,SEARCH(" ",AG$1)-1),2,3)-INDEX(COVID!$AT$14:$AT$19,MATCH(6.6,COVID!$AU$14:$AU$19,0))),0)</f>
        <v>0</v>
      </c>
      <c r="AH554" s="525"/>
      <c r="AI554" s="525">
        <f>IFERROR(INDEX(COVID!$AV$14:$BG$19,MATCH(6.6,COVID!$AU$14:$AU$19,0),MID(LEFT(AI$1,SEARCH(" ",AI$1)-1),2,3)-INDEX(COVID!$AT$14:$AT$19,MATCH(6.6,COVID!$AU$14:$AU$19,0))),0)</f>
        <v>0</v>
      </c>
      <c r="AJ554" s="525"/>
      <c r="AK554" s="1154">
        <f t="shared" si="55"/>
        <v>0</v>
      </c>
      <c r="AL554" s="1155"/>
      <c r="AM554" s="1156"/>
      <c r="AN554" s="529"/>
      <c r="AO554" s="525"/>
      <c r="AP554" s="525">
        <f>IFERROR(INDEX(COVID!$AV$14:$BG$19,MATCH(6.6,COVID!$AU$14:$AU$19,0),MID(LEFT(AP$1,SEARCH(" ",AP$1)-1),2,3)-INDEX(COVID!$AT$14:$AT$19,MATCH(6.6,COVID!$AU$14:$AU$19,0))),0)</f>
        <v>0</v>
      </c>
      <c r="AQ554" s="525"/>
      <c r="AR554" s="525">
        <f>IFERROR(INDEX(COVID!$AV$14:$BG$19,MATCH(6.6,COVID!$AU$14:$AU$19,0),MID(LEFT(AR$1,SEARCH(" ",AR$1)-1),2,3)-INDEX(COVID!$AT$14:$AT$19,MATCH(6.6,COVID!$AU$14:$AU$19,0))),0)</f>
        <v>0</v>
      </c>
      <c r="AS554" s="525"/>
      <c r="AT554" s="525">
        <f>IFERROR(INDEX(COVID!$AV$14:$BG$19,MATCH(6.6,COVID!$AU$14:$AU$19,0),MID(LEFT(AT$1,SEARCH(" ",AT$1)-1),2,3)-INDEX(COVID!$AT$14:$AT$19,MATCH(6.6,COVID!$AU$14:$AU$19,0))),0)</f>
        <v>0</v>
      </c>
      <c r="AU554" s="525"/>
      <c r="AV554" s="525">
        <f>IFERROR(INDEX(COVID!$BH$14:$BH$19,MATCH(6.6,COVID!$AU$14:$AU$19,0),)-SUM(X554,AK554,AP554,AR554,AT554),0)</f>
        <v>0</v>
      </c>
      <c r="AW554" s="525"/>
      <c r="AX554" s="1154">
        <f t="shared" si="56"/>
        <v>0</v>
      </c>
      <c r="AY554" s="1154"/>
      <c r="AZ554" s="528"/>
      <c r="BA554" s="529"/>
      <c r="BB554" s="527"/>
      <c r="BC554" s="527"/>
      <c r="BD554" s="527"/>
      <c r="BE554" s="527"/>
      <c r="BF554" s="527"/>
      <c r="BG554" s="527"/>
      <c r="BH554" s="527"/>
      <c r="BI554" s="527"/>
      <c r="BJ554" s="527"/>
      <c r="BK554" s="1154">
        <f t="shared" si="60"/>
        <v>0</v>
      </c>
      <c r="BL554" s="1154"/>
      <c r="BM554" s="1154">
        <f t="shared" si="61"/>
        <v>0</v>
      </c>
      <c r="BN554" s="1154">
        <f t="shared" si="62"/>
        <v>0</v>
      </c>
      <c r="BO554" s="527"/>
      <c r="BP554" s="527"/>
      <c r="BQ554" s="1157">
        <v>0</v>
      </c>
      <c r="BR554" s="1157" t="s">
        <v>2680</v>
      </c>
      <c r="BS554" s="1157" t="s">
        <v>3090</v>
      </c>
      <c r="BT554" s="1376" t="s">
        <v>3094</v>
      </c>
      <c r="BU554" s="1371"/>
    </row>
    <row r="555" spans="1:73" ht="13">
      <c r="A555" s="1204"/>
      <c r="B555" s="1205" t="s">
        <v>3085</v>
      </c>
      <c r="C555" s="1205" t="s">
        <v>3086</v>
      </c>
      <c r="D555" s="1206" t="s">
        <v>2547</v>
      </c>
      <c r="E555" s="1386" t="s">
        <v>528</v>
      </c>
      <c r="F555" s="521"/>
      <c r="G555" s="522"/>
      <c r="H555" s="522"/>
      <c r="I555" s="522"/>
      <c r="J555" s="523"/>
      <c r="K555" s="523"/>
      <c r="L555" s="523"/>
      <c r="M555" s="524"/>
      <c r="N555" s="525"/>
      <c r="O555" s="526"/>
      <c r="P555" s="1110">
        <f>IFERROR(INDEX(COVID!$E$64:$P$67,MATCH("COVID Pharmaceuticals"&amp;"7.1",INDEX(COVID!$C$64:$C$67&amp;COVID!$V$64:$V$67,0),0),IF(MID(LEFT(P$1,SEARCH(" ",P$1)-1),2,3)-INDEX(COVID!$U$64:$U$67,MATCH("COVID Pharmaceuticals"&amp;"7.1",INDEX(COVID!$C$64:$C$67&amp;COVID!$V$64:$V$67,0),0))&lt;=0,"#VALUE!",MID(LEFT(P$1,SEARCH(" ",P$1)-1),2,3)-INDEX(COVID!$U$64:$U$67,MATCH("COVID Pharmaceuticals"&amp;"7.1",INDEX(COVID!$C$64:$C$67&amp;COVID!$V$64:$V$67,0),0)))),0)+IFERROR(INDEX(COVID!$E$64:$P$67,MATCH("COVID Diagnostics reagents &amp; consumables"&amp;"7.1",INDEX(COVID!$C$64:$C$67&amp;COVID!$V$64:$V$67,0),0),IF(MID(LEFT(P$1,SEARCH(" ",P$1)-1),2,3)-INDEX(COVID!$U$64:$U$67,MATCH("COVID Diagnostics reagents &amp; consumables"&amp;"7.1",INDEX(COVID!$C$64:$C$67&amp;COVID!$V$64:$V$67,0),0))&lt;=0,"#VALUE!",MID(LEFT(P$1,SEARCH(" ",P$1)-1),2,3)-INDEX(COVID!$U$64:$U$67,MATCH("COVID Diagnostics reagents &amp; consumables"&amp;"7.1",INDEX(COVID!$C$64:$C$67&amp;COVID!$V$64:$V$67,0),0)))),0)+IFERROR(INDEX(COVID!$E$64:$P$67,MATCH("COVID PPE &amp; consumables"&amp;"7.1",INDEX(COVID!$C$64:$C$67&amp;COVID!$V$64:$V$67,0),0),IF(MID(LEFT(P$1,SEARCH(" ",P$1)-1),2,3)-INDEX(COVID!$U$64:$U$67,MATCH("COVID PPE &amp; consumables"&amp;"7.1",INDEX(COVID!$C$64:$C$67&amp;COVID!$V$64:$V$67,0),0))&lt;=0,"#VALUE!",MID(LEFT(P$1,SEARCH(" ",P$1)-1),2,3)-INDEX(COVID!$U$64:$U$67,MATCH("COVID PPE &amp; consumables"&amp;"7.1",INDEX(COVID!$C$64:$C$67&amp;COVID!$V$64:$V$67,0),0)))),0)+IFERROR(INDEX(COVID!$E$64:$P$67,MATCH("COVID Equipment"&amp;"7.1",INDEX(COVID!$C$64:$C$67&amp;COVID!$V$64:$V$67,0),0),IF(MID(LEFT(P$1,SEARCH(" ",P$1)-1),2,3)-INDEX(COVID!$U$64:$U$67,MATCH("COVID Equipment"&amp;"7.1",INDEX(COVID!$C$64:$C$67&amp;COVID!$V$64:$V$67,0),0))&lt;=0,"#VALUE!",MID(LEFT(P$1,SEARCH(" ",P$1)-1),2,3)-INDEX(COVID!$U$64:$U$67,MATCH("COVID Equipment"&amp;"7.1",INDEX(COVID!$C$64:$C$67&amp;COVID!$V$64:$V$67,0),0)))),0)</f>
        <v>0</v>
      </c>
      <c r="Q555" s="1110"/>
      <c r="R555" s="1110">
        <f>IFERROR(INDEX(COVID!$E$64:$P$67,MATCH("COVID Pharmaceuticals"&amp;"7.1",INDEX(COVID!$C$64:$C$67&amp;COVID!$V$64:$V$67,0),0),MID(LEFT(R$1,SEARCH(" ",R$1)-1),2,3)-INDEX(COVID!$U$64:$U$67,MATCH("COVID Pharmaceuticals"&amp;"7.1",INDEX(COVID!$C$64:$C$67&amp;COVID!$V$64:$V$67,0),0))),)+IFERROR(INDEX(COVID!$E$64:$P$67,MATCH("COVID Diagnostics reagents &amp; consumables"&amp;"7.1",INDEX(COVID!$C$64:$C$67&amp;COVID!$V$64:$V$67,0),0),MID(LEFT(R$1,SEARCH(" ",R$1)-1),2,3)-INDEX(COVID!$U$64:$U$67,MATCH("COVID Diagnostics reagents &amp; consumables"&amp;"7.1",INDEX(COVID!$C$64:$C$67&amp;COVID!$V$64:$V$67,0),0))),)+IFERROR(INDEX(COVID!$E$64:$P$67,MATCH("COVID PPE &amp; consumables"&amp;"7.1",INDEX(COVID!$C$64:$C$67&amp;COVID!$V$64:$V$67,0),0),MID(LEFT(R$1,SEARCH(" ",R$1)-1),2,3)-INDEX(COVID!$U$64:$U$67,MATCH("COVID PPE &amp; consumables"&amp;"7.1",INDEX(COVID!$C$64:$C$67&amp;COVID!$V$64:$V$67,0),0))),)+IFERROR(INDEX(COVID!$E$64:$P$67,MATCH("COVID Equipment"&amp;"7.1",INDEX(COVID!$C$64:$C$67&amp;COVID!$V$64:$V$67,0),0),MID(LEFT(R$1,SEARCH(" ",R$1)-1),2,3)-INDEX(COVID!$U$64:$U$67,MATCH("COVID Equipment"&amp;"7.1",INDEX(COVID!$C$64:$C$67&amp;COVID!$V$64:$V$67,0),0))),)</f>
        <v>0</v>
      </c>
      <c r="S555" s="1110"/>
      <c r="T555" s="1110">
        <f>IFERROR(INDEX(COVID!$E$64:$P$67,MATCH("COVID Pharmaceuticals"&amp;"7.1",INDEX(COVID!$C$64:$C$67&amp;COVID!$V$64:$V$67,0),0),MID(LEFT(T$1,SEARCH(" ",T$1)-1),2,3)-INDEX(COVID!$U$64:$U$67,MATCH("COVID Pharmaceuticals"&amp;"7.1",INDEX(COVID!$C$64:$C$67&amp;COVID!$V$64:$V$67,0),0))),)+IFERROR(INDEX(COVID!$E$64:$P$67,MATCH("COVID Diagnostics reagents &amp; consumables"&amp;"7.1",INDEX(COVID!$C$64:$C$67&amp;COVID!$V$64:$V$67,0),0),MID(LEFT(T$1,SEARCH(" ",T$1)-1),2,3)-INDEX(COVID!$U$64:$U$67,MATCH("COVID Diagnostics reagents &amp; consumables"&amp;"7.1",INDEX(COVID!$C$64:$C$67&amp;COVID!$V$64:$V$67,0),0))),)+IFERROR(INDEX(COVID!$E$64:$P$67,MATCH("COVID PPE &amp; consumables"&amp;"7.1",INDEX(COVID!$C$64:$C$67&amp;COVID!$V$64:$V$67,0),0),MID(LEFT(T$1,SEARCH(" ",T$1)-1),2,3)-INDEX(COVID!$U$64:$U$67,MATCH("COVID PPE &amp; consumables"&amp;"7.1",INDEX(COVID!$C$64:$C$67&amp;COVID!$V$64:$V$67,0),0))),)+IFERROR(INDEX(COVID!$E$64:$P$67,MATCH("COVID Equipment"&amp;"7.1",INDEX(COVID!$C$64:$C$67&amp;COVID!$V$64:$V$67,0),0),MID(LEFT(T$1,SEARCH(" ",T$1)-1),2,3)-INDEX(COVID!$U$64:$U$67,MATCH("COVID Equipment"&amp;"7.1",INDEX(COVID!$C$64:$C$67&amp;COVID!$V$64:$V$67,0),0))),)</f>
        <v>0</v>
      </c>
      <c r="U555" s="1110"/>
      <c r="V555" s="1110">
        <f>IFERROR(INDEX(COVID!$E$64:$P$67,MATCH("COVID Pharmaceuticals"&amp;"7.1",INDEX(COVID!$C$64:$C$67&amp;COVID!$V$64:$V$67,0),0),MID(LEFT(V$1,SEARCH(" ",V$1)-1),2,3)-INDEX(COVID!$U$64:$U$67,MATCH("COVID Pharmaceuticals"&amp;"7.1",INDEX(COVID!$C$64:$C$67&amp;COVID!$V$64:$V$67,0),0))),)+IFERROR(INDEX(COVID!$E$64:$P$67,MATCH("COVID Diagnostics reagents &amp; consumables"&amp;"7.1",INDEX(COVID!$C$64:$C$67&amp;COVID!$V$64:$V$67,0),0),MID(LEFT(V$1,SEARCH(" ",V$1)-1),2,3)-INDEX(COVID!$U$64:$U$67,MATCH("COVID Diagnostics reagents &amp; consumables"&amp;"7.1",INDEX(COVID!$C$64:$C$67&amp;COVID!$V$64:$V$67,0),0))),)+IFERROR(INDEX(COVID!$E$64:$P$67,MATCH("COVID PPE &amp; consumables"&amp;"7.1",INDEX(COVID!$C$64:$C$67&amp;COVID!$V$64:$V$67,0),0),MID(LEFT(V$1,SEARCH(" ",V$1)-1),2,3)-INDEX(COVID!$U$64:$U$67,MATCH("COVID PPE &amp; consumables"&amp;"7.1",INDEX(COVID!$C$64:$C$67&amp;COVID!$V$64:$V$67,0),0))),)+IFERROR(INDEX(COVID!$E$64:$P$67,MATCH("COVID Equipment"&amp;"7.1",INDEX(COVID!$C$64:$C$67&amp;COVID!$V$64:$V$67,0),0),MID(LEFT(V$1,SEARCH(" ",V$1)-1),2,3)-INDEX(COVID!$U$64:$U$67,MATCH("COVID Equipment"&amp;"7.1",INDEX(COVID!$C$64:$C$67&amp;COVID!$V$64:$V$67,0),0))),)</f>
        <v>0</v>
      </c>
      <c r="W555" s="525"/>
      <c r="X555" s="1154">
        <f>P555+R555+T555+V555</f>
        <v>0</v>
      </c>
      <c r="Y555" s="1155"/>
      <c r="Z555" s="1156"/>
      <c r="AA555" s="529"/>
      <c r="AB555" s="525"/>
      <c r="AC555" s="1110">
        <f>IFERROR(INDEX(COVID!$E$64:$P$67,MATCH("COVID Pharmaceuticals"&amp;"7.1",INDEX(COVID!$C$64:$C$67&amp;COVID!$V$64:$V$67,0),0),MID(LEFT(AC$1,SEARCH(" ",AC$1)-1),2,3)-INDEX(COVID!$U$64:$U$67,MATCH("COVID Pharmaceuticals"&amp;"7.1",INDEX(COVID!$C$64:$C$67&amp;COVID!$V$64:$V$67,0),0))),)+IFERROR(INDEX(COVID!$E$64:$P$67,MATCH("COVID Diagnostics reagents &amp; consumables"&amp;"7.1",INDEX(COVID!$C$64:$C$67&amp;COVID!$V$64:$V$67,0),0),MID(LEFT(AC$1,SEARCH(" ",AC$1)-1),2,3)-INDEX(COVID!$U$64:$U$67,MATCH("COVID Diagnostics reagents &amp; consumables"&amp;"7.1",INDEX(COVID!$C$64:$C$67&amp;COVID!$V$64:$V$67,0),0))),)+IFERROR(INDEX(COVID!$E$64:$P$67,MATCH("COVID PPE &amp; consumables"&amp;"7.1",INDEX(COVID!$C$64:$C$67&amp;COVID!$V$64:$V$67,0),0),MID(LEFT(AC$1,SEARCH(" ",AC$1)-1),2,3)-INDEX(COVID!$U$64:$U$67,MATCH("COVID PPE &amp; consumables"&amp;"7.1",INDEX(COVID!$C$64:$C$67&amp;COVID!$V$64:$V$67,0),0))),)+IFERROR(INDEX(COVID!$E$64:$P$67,MATCH("COVID Equipment"&amp;"7.1",INDEX(COVID!$C$64:$C$67&amp;COVID!$V$64:$V$67,0),0),MID(LEFT(AC$1,SEARCH(" ",AC$1)-1),2,3)-INDEX(COVID!$U$64:$U$67,MATCH("COVID Equipment"&amp;"7.1",INDEX(COVID!$C$64:$C$67&amp;COVID!$V$64:$V$67,0),0))),)</f>
        <v>0</v>
      </c>
      <c r="AD555" s="525"/>
      <c r="AE555" s="1110">
        <f>IFERROR(INDEX(COVID!$E$64:$P$67,MATCH("COVID Pharmaceuticals"&amp;"7.1",INDEX(COVID!$C$64:$C$67&amp;COVID!$V$64:$V$67,0),0),MID(LEFT(AE$1,SEARCH(" ",AE$1)-1),2,3)-INDEX(COVID!$U$64:$U$67,MATCH("COVID Pharmaceuticals"&amp;"7.1",INDEX(COVID!$C$64:$C$67&amp;COVID!$V$64:$V$67,0),0))),)+IFERROR(INDEX(COVID!$E$64:$P$67,MATCH("COVID Diagnostics reagents &amp; consumables"&amp;"7.1",INDEX(COVID!$C$64:$C$67&amp;COVID!$V$64:$V$67,0),0),MID(LEFT(AE$1,SEARCH(" ",AE$1)-1),2,3)-INDEX(COVID!$U$64:$U$67,MATCH("COVID Diagnostics reagents &amp; consumables"&amp;"7.1",INDEX(COVID!$C$64:$C$67&amp;COVID!$V$64:$V$67,0),0))),)+IFERROR(INDEX(COVID!$E$64:$P$67,MATCH("COVID PPE &amp; consumables"&amp;"7.1",INDEX(COVID!$C$64:$C$67&amp;COVID!$V$64:$V$67,0),0),MID(LEFT(AE$1,SEARCH(" ",AE$1)-1),2,3)-INDEX(COVID!$U$64:$U$67,MATCH("COVID PPE &amp; consumables"&amp;"7.1",INDEX(COVID!$C$64:$C$67&amp;COVID!$V$64:$V$67,0),0))),)+IFERROR(INDEX(COVID!$E$64:$P$67,MATCH("COVID Equipment"&amp;"7.1",INDEX(COVID!$C$64:$C$67&amp;COVID!$V$64:$V$67,0),0),MID(LEFT(AE$1,SEARCH(" ",AE$1)-1),2,3)-INDEX(COVID!$U$64:$U$67,MATCH("COVID Equipment"&amp;"7.1",INDEX(COVID!$C$64:$C$67&amp;COVID!$V$64:$V$67,0),0))),)</f>
        <v>0</v>
      </c>
      <c r="AF555" s="525"/>
      <c r="AG555" s="1110">
        <f>IFERROR(INDEX(COVID!$E$64:$P$67,MATCH("COVID Pharmaceuticals"&amp;"7.1",INDEX(COVID!$C$64:$C$67&amp;COVID!$V$64:$V$67,0),0),MID(LEFT(AG$1,SEARCH(" ",AG$1)-1),2,3)-INDEX(COVID!$U$64:$U$67,MATCH("COVID Pharmaceuticals"&amp;"7.1",INDEX(COVID!$C$64:$C$67&amp;COVID!$V$64:$V$67,0),0))),)+IFERROR(INDEX(COVID!$E$64:$P$67,MATCH("COVID Diagnostics reagents &amp; consumables"&amp;"7.1",INDEX(COVID!$C$64:$C$67&amp;COVID!$V$64:$V$67,0),0),MID(LEFT(AG$1,SEARCH(" ",AG$1)-1),2,3)-INDEX(COVID!$U$64:$U$67,MATCH("COVID Diagnostics reagents &amp; consumables"&amp;"7.1",INDEX(COVID!$C$64:$C$67&amp;COVID!$V$64:$V$67,0),0))),)+IFERROR(INDEX(COVID!$E$64:$P$67,MATCH("COVID PPE &amp; consumables"&amp;"7.1",INDEX(COVID!$C$64:$C$67&amp;COVID!$V$64:$V$67,0),0),MID(LEFT(AG$1,SEARCH(" ",AG$1)-1),2,3)-INDEX(COVID!$U$64:$U$67,MATCH("COVID PPE &amp; consumables"&amp;"7.1",INDEX(COVID!$C$64:$C$67&amp;COVID!$V$64:$V$67,0),0))),)+IFERROR(INDEX(COVID!$E$64:$P$67,MATCH("COVID Equipment"&amp;"7.1",INDEX(COVID!$C$64:$C$67&amp;COVID!$V$64:$V$67,0),0),MID(LEFT(AG$1,SEARCH(" ",AG$1)-1),2,3)-INDEX(COVID!$U$64:$U$67,MATCH("COVID Equipment"&amp;"7.1",INDEX(COVID!$C$64:$C$67&amp;COVID!$V$64:$V$67,0),0))),)</f>
        <v>0</v>
      </c>
      <c r="AH555" s="525"/>
      <c r="AI555" s="1110">
        <f>IFERROR(INDEX(COVID!$E$64:$P$67,MATCH("COVID Pharmaceuticals"&amp;"7.1",INDEX(COVID!$C$64:$C$67&amp;COVID!$V$64:$V$67,0),0),MID(LEFT(AI$1,SEARCH(" ",AI$1)-1),2,3)-INDEX(COVID!$U$64:$U$67,MATCH("COVID Pharmaceuticals"&amp;"7.1",INDEX(COVID!$C$64:$C$67&amp;COVID!$V$64:$V$67,0),0))),)+IFERROR(INDEX(COVID!$E$64:$P$67,MATCH("COVID Diagnostics reagents &amp; consumables"&amp;"7.1",INDEX(COVID!$C$64:$C$67&amp;COVID!$V$64:$V$67,0),0),MID(LEFT(AI$1,SEARCH(" ",AI$1)-1),2,3)-INDEX(COVID!$U$64:$U$67,MATCH("COVID Diagnostics reagents &amp; consumables"&amp;"7.1",INDEX(COVID!$C$64:$C$67&amp;COVID!$V$64:$V$67,0),0))),)+IFERROR(INDEX(COVID!$E$64:$P$67,MATCH("COVID PPE &amp; consumables"&amp;"7.1",INDEX(COVID!$C$64:$C$67&amp;COVID!$V$64:$V$67,0),0),MID(LEFT(AI$1,SEARCH(" ",AI$1)-1),2,3)-INDEX(COVID!$U$64:$U$67,MATCH("COVID PPE &amp; consumables"&amp;"7.1",INDEX(COVID!$C$64:$C$67&amp;COVID!$V$64:$V$67,0),0))),)+IFERROR(INDEX(COVID!$E$64:$P$67,MATCH("COVID Equipment"&amp;"7.1",INDEX(COVID!$C$64:$C$67&amp;COVID!$V$64:$V$67,0),0),MID(LEFT(AI$1,SEARCH(" ",AI$1)-1),2,3)-INDEX(COVID!$U$64:$U$67,MATCH("COVID Equipment"&amp;"7.1",INDEX(COVID!$C$64:$C$67&amp;COVID!$V$64:$V$67,0),0))),)</f>
        <v>0</v>
      </c>
      <c r="AJ555" s="525"/>
      <c r="AK555" s="1154">
        <f t="shared" si="55"/>
        <v>0</v>
      </c>
      <c r="AL555" s="1155"/>
      <c r="AM555" s="1156"/>
      <c r="AN555" s="529"/>
      <c r="AO555" s="525"/>
      <c r="AP555" s="1110">
        <f>IFERROR(INDEX(COVID!$E$64:$P$67,MATCH("COVID Pharmaceuticals"&amp;"7.1",INDEX(COVID!$C$64:$C$67&amp;COVID!$V$64:$V$67,0),0),MID(LEFT(AP$1,SEARCH(" ",AP$1)-1),2,3)-INDEX(COVID!$U$64:$U$67,MATCH("COVID Pharmaceuticals"&amp;"7.1",INDEX(COVID!$C$64:$C$67&amp;COVID!$V$64:$V$67,0),0))),)+IFERROR(INDEX(COVID!$E$64:$P$67,MATCH("COVID Diagnostics reagents &amp; consumables"&amp;"7.1",INDEX(COVID!$C$64:$C$67&amp;COVID!$V$64:$V$67,0),0),MID(LEFT(AP$1,SEARCH(" ",AP$1)-1),2,3)-INDEX(COVID!$U$64:$U$67,MATCH("COVID Diagnostics reagents &amp; consumables"&amp;"7.1",INDEX(COVID!$C$64:$C$67&amp;COVID!$V$64:$V$67,0),0))),)+IFERROR(INDEX(COVID!$E$64:$P$67,MATCH("COVID PPE &amp; consumables"&amp;"7.1",INDEX(COVID!$C$64:$C$67&amp;COVID!$V$64:$V$67,0),0),MID(LEFT(AP$1,SEARCH(" ",AP$1)-1),2,3)-INDEX(COVID!$U$64:$U$67,MATCH("COVID PPE &amp; consumables"&amp;"7.1",INDEX(COVID!$C$64:$C$67&amp;COVID!$V$64:$V$67,0),0))),)+IFERROR(INDEX(COVID!$E$64:$P$67,MATCH("COVID Equipment"&amp;"7.1",INDEX(COVID!$C$64:$C$67&amp;COVID!$V$64:$V$67,0),0),MID(LEFT(AP$1,SEARCH(" ",AP$1)-1),2,3)-INDEX(COVID!$U$64:$U$67,MATCH("COVID Equipment"&amp;"7.1",INDEX(COVID!$C$64:$C$67&amp;COVID!$V$64:$V$67,0),0))),)</f>
        <v>0</v>
      </c>
      <c r="AQ555" s="525"/>
      <c r="AR555" s="1110">
        <f>IFERROR(INDEX(COVID!$E$64:$P$67,MATCH("COVID Pharmaceuticals"&amp;"7.1",INDEX(COVID!$C$64:$C$67&amp;COVID!$V$64:$V$67,0),0),MID(LEFT(AR$1,SEARCH(" ",AR$1)-1),2,3)-INDEX(COVID!$U$64:$U$67,MATCH("COVID Pharmaceuticals"&amp;"7.1",INDEX(COVID!$C$64:$C$67&amp;COVID!$V$64:$V$67,0),0))),)+IFERROR(INDEX(COVID!$E$64:$P$67,MATCH("COVID Diagnostics reagents &amp; consumables"&amp;"7.1",INDEX(COVID!$C$64:$C$67&amp;COVID!$V$64:$V$67,0),0),MID(LEFT(AR$1,SEARCH(" ",AR$1)-1),2,3)-INDEX(COVID!$U$64:$U$67,MATCH("COVID Diagnostics reagents &amp; consumables"&amp;"7.1",INDEX(COVID!$C$64:$C$67&amp;COVID!$V$64:$V$67,0),0))),)+IFERROR(INDEX(COVID!$E$64:$P$67,MATCH("COVID PPE &amp; consumables"&amp;"7.1",INDEX(COVID!$C$64:$C$67&amp;COVID!$V$64:$V$67,0),0),MID(LEFT(AR$1,SEARCH(" ",AR$1)-1),2,3)-INDEX(COVID!$U$64:$U$67,MATCH("COVID PPE &amp; consumables"&amp;"7.1",INDEX(COVID!$C$64:$C$67&amp;COVID!$V$64:$V$67,0),0))),)+IFERROR(INDEX(COVID!$E$64:$P$67,MATCH("COVID Equipment"&amp;"7.1",INDEX(COVID!$C$64:$C$67&amp;COVID!$V$64:$V$67,0),0),MID(LEFT(AR$1,SEARCH(" ",AR$1)-1),2,3)-INDEX(COVID!$U$64:$U$67,MATCH("COVID Equipment"&amp;"7.1",INDEX(COVID!$C$64:$C$67&amp;COVID!$V$64:$V$67,0),0))),)</f>
        <v>0</v>
      </c>
      <c r="AS555" s="525"/>
      <c r="AT555" s="1110">
        <f>IFERROR(INDEX(COVID!$E$64:$P$67,MATCH("COVID Pharmaceuticals"&amp;"7.1",INDEX(COVID!$C$64:$C$67&amp;COVID!$V$64:$V$67,0),0),MID(LEFT(AT$1,SEARCH(" ",AT$1)-1),2,3)-INDEX(COVID!$U$64:$U$67,MATCH("COVID Pharmaceuticals"&amp;"7.1",INDEX(COVID!$C$64:$C$67&amp;COVID!$V$64:$V$67,0),0))),)+IFERROR(INDEX(COVID!$E$64:$P$67,MATCH("COVID Diagnostics reagents &amp; consumables"&amp;"7.1",INDEX(COVID!$C$64:$C$67&amp;COVID!$V$64:$V$67,0),0),MID(LEFT(AT$1,SEARCH(" ",AT$1)-1),2,3)-INDEX(COVID!$U$64:$U$67,MATCH("COVID Diagnostics reagents &amp; consumables"&amp;"7.1",INDEX(COVID!$C$64:$C$67&amp;COVID!$V$64:$V$67,0),0))),)+IFERROR(INDEX(COVID!$E$64:$P$67,MATCH("COVID PPE &amp; consumables"&amp;"7.1",INDEX(COVID!$C$64:$C$67&amp;COVID!$V$64:$V$67,0),0),MID(LEFT(AT$1,SEARCH(" ",AT$1)-1),2,3)-INDEX(COVID!$U$64:$U$67,MATCH("COVID PPE &amp; consumables"&amp;"7.1",INDEX(COVID!$C$64:$C$67&amp;COVID!$V$64:$V$67,0),0))),)+IFERROR(INDEX(COVID!$E$64:$P$67,MATCH("COVID Equipment"&amp;"7.1",INDEX(COVID!$C$64:$C$67&amp;COVID!$V$64:$V$67,0),0),MID(LEFT(AT$1,SEARCH(" ",AT$1)-1),2,3)-INDEX(COVID!$U$64:$U$67,MATCH("COVID Equipment"&amp;"7.1",INDEX(COVID!$C$64:$C$67&amp;COVID!$V$64:$V$67,0),0))),)</f>
        <v>0</v>
      </c>
      <c r="AU555" s="525"/>
      <c r="AV555" s="525">
        <f>IFERROR(INDEX(COVID!$Q$64:$Q$91,MATCH("COVID Pharmaceuticals"&amp;"7.1",INDEX(COVID!$C$64:$C$91&amp;COVID!$V$64:$V$91,0),0),),)+IFERROR(INDEX(COVID!$Q$64:$Q$91,MATCH("COVID Diagnostics reagents &amp; consumables"&amp;"7.1",INDEX(COVID!$C$64:$C$91&amp;COVID!$V$64:$V$91,0),0),),)+IFERROR(INDEX(COVID!$Q$64:$Q$91,MATCH("COVID PPE &amp; consumables"&amp;"7.1",INDEX(COVID!$C$64:$C$91&amp;COVID!$V$64:$V$91,0),0),),)+IFERROR(INDEX(COVID!$Q$64:$Q$91,MATCH("COVID Equipment"&amp;"7.1",INDEX(COVID!$C$64:$C$91&amp;COVID!$V$64:$V$91,0),0),),)-SUM(X555,AK555,AP555,AR555,AT555)</f>
        <v>0</v>
      </c>
      <c r="AW555" s="525"/>
      <c r="AX555" s="1154">
        <f t="shared" si="56"/>
        <v>0</v>
      </c>
      <c r="AY555" s="1154"/>
      <c r="AZ555" s="528"/>
      <c r="BA555" s="529"/>
      <c r="BB555" s="527"/>
      <c r="BC555" s="527"/>
      <c r="BD555" s="527"/>
      <c r="BE555" s="527"/>
      <c r="BF555" s="527"/>
      <c r="BG555" s="527"/>
      <c r="BH555" s="527"/>
      <c r="BI555" s="527"/>
      <c r="BJ555" s="527"/>
      <c r="BK555" s="1154">
        <f t="shared" si="60"/>
        <v>0</v>
      </c>
      <c r="BL555" s="1154"/>
      <c r="BM555" s="1154">
        <f t="shared" si="61"/>
        <v>0</v>
      </c>
      <c r="BN555" s="1154">
        <f t="shared" si="62"/>
        <v>0</v>
      </c>
      <c r="BO555" s="527"/>
      <c r="BP555" s="527"/>
      <c r="BQ555" s="1157">
        <v>0</v>
      </c>
      <c r="BR555" s="1157" t="s">
        <v>2680</v>
      </c>
      <c r="BS555" s="1157" t="s">
        <v>2547</v>
      </c>
      <c r="BT555" s="1376" t="s">
        <v>3095</v>
      </c>
      <c r="BU555" s="1371"/>
    </row>
    <row r="556" spans="1:73" ht="13">
      <c r="A556" s="1204"/>
      <c r="B556" s="1205" t="s">
        <v>3085</v>
      </c>
      <c r="C556" s="1205" t="s">
        <v>3086</v>
      </c>
      <c r="D556" s="1206" t="s">
        <v>2547</v>
      </c>
      <c r="E556" s="1386" t="s">
        <v>530</v>
      </c>
      <c r="F556" s="521"/>
      <c r="G556" s="522"/>
      <c r="H556" s="522"/>
      <c r="I556" s="522"/>
      <c r="J556" s="523"/>
      <c r="K556" s="523"/>
      <c r="L556" s="523"/>
      <c r="M556" s="524"/>
      <c r="N556" s="525"/>
      <c r="O556" s="526"/>
      <c r="P556" s="1110">
        <f>IFERROR(INDEX(COVID!$E$68:$P$71,MATCH("COVID Pharmaceuticals"&amp;"7.2",INDEX(COVID!$C$68:$C$71&amp;COVID!$V$68:$V$71,0),0),IF(MID(LEFT(P$1,SEARCH(" ",P$1)-1),2,3)-INDEX(COVID!$U$68:$U$71,MATCH("COVID Pharmaceuticals"&amp;"7.2",INDEX(COVID!$C$68:$C$71&amp;COVID!$V$68:$V$71,0),0))&lt;=0,"#VALUE!",MID(LEFT(P$1,SEARCH(" ",P$1)-1),2,3)-INDEX(COVID!$U$68:$U$71,MATCH("COVID Pharmaceuticals"&amp;"7.2",INDEX(COVID!$C$68:$C$71&amp;COVID!$V$68:$V$71,0),0)))),0)+IFERROR(INDEX(COVID!$E$68:$P$71,MATCH("COVID Diagnostics reagents &amp; consumables"&amp;"7.2",INDEX(COVID!$C$68:$C$71&amp;COVID!$V$68:$V$71,0),0),IF(MID(LEFT(P$1,SEARCH(" ",P$1)-1),2,3)-INDEX(COVID!$U$68:$U$71,MATCH("COVID Diagnostics reagents &amp; consumables"&amp;"7.2",INDEX(COVID!$C$68:$C$71&amp;COVID!$V$68:$V$71,0),0))&lt;=0,"#VALUE!",MID(LEFT(P$1,SEARCH(" ",P$1)-1),2,3)-INDEX(COVID!$U$68:$U$71,MATCH("COVID Diagnostics reagents &amp; consumables"&amp;"7.2",INDEX(COVID!$C$68:$C$71&amp;COVID!$V$68:$V$71,0),0)))),0)+IFERROR(INDEX(COVID!$E$68:$P$71,MATCH("COVID PPE &amp; consumables"&amp;"7.2",INDEX(COVID!$C$68:$C$71&amp;COVID!$V$68:$V$71,0),0),IF(MID(LEFT(P$1,SEARCH(" ",P$1)-1),2,3)-INDEX(COVID!$U$68:$U$71,MATCH("COVID PPE &amp; consumables"&amp;"7.2",INDEX(COVID!$C$68:$C$71&amp;COVID!$V$68:$V$71,0),0))&lt;=0,"#VALUE!",MID(LEFT(P$1,SEARCH(" ",P$1)-1),2,3)-INDEX(COVID!$U$68:$U$71,MATCH("COVID PPE &amp; consumables"&amp;"7.2",INDEX(COVID!$C$68:$C$71&amp;COVID!$V$68:$V$71,0),0)))),0)+IFERROR(INDEX(COVID!$E$68:$P$71,MATCH("COVID Equipment"&amp;"7.2",INDEX(COVID!$C$68:$C$71&amp;COVID!$V$68:$V$71,0),0),IF(MID(LEFT(P$1,SEARCH(" ",P$1)-1),2,3)-INDEX(COVID!$U$68:$U$71,MATCH("COVID Equipment"&amp;"7.2",INDEX(COVID!$C$68:$C$71&amp;COVID!$V$68:$V$71,0),0))&lt;=0,"#VALUE!",MID(LEFT(P$1,SEARCH(" ",P$1)-1),2,3)-INDEX(COVID!$U$68:$U$71,MATCH("COVID Equipment"&amp;"7.2",INDEX(COVID!$C$68:$C$71&amp;COVID!$V$68:$V$71,0),0)))),0)</f>
        <v>0</v>
      </c>
      <c r="Q556" s="525"/>
      <c r="R556" s="1110">
        <f>IFERROR(INDEX(COVID!$E$68:$P$71,MATCH("COVID Pharmaceuticals"&amp;"7.2",INDEX(COVID!$C$68:$C$71&amp;COVID!$V$68:$V$71,0),0),MID(LEFT(R$1,SEARCH(" ",R$1)-1),2,3)-INDEX(COVID!$U$68:$U$71,MATCH("COVID Pharmaceuticals"&amp;"7.2",INDEX(COVID!$C$68:$C$71&amp;COVID!$V$68:$V$71,0),0))),)+IFERROR(INDEX(COVID!$E$68:$P$71,MATCH("COVID Diagnostics reagents &amp; consumables"&amp;"7.2",INDEX(COVID!$C$68:$C$71&amp;COVID!$V$68:$V$71,0),0),MID(LEFT(R$1,SEARCH(" ",R$1)-1),2,3)-INDEX(COVID!$U$68:$U$71,MATCH("COVID Diagnostics reagents &amp; consumables"&amp;"7.2",INDEX(COVID!$C$68:$C$71&amp;COVID!$V$68:$V$71,0),0))),)+IFERROR(INDEX(COVID!$E$68:$P$71,MATCH("COVID PPE &amp; consumables"&amp;"7.2",INDEX(COVID!$C$68:$C$71&amp;COVID!$V$68:$V$71,0),0),MID(LEFT(R$1,SEARCH(" ",R$1)-1),2,3)-INDEX(COVID!$U$68:$U$71,MATCH("COVID PPE &amp; consumables"&amp;"7.2",INDEX(COVID!$C$68:$C$71&amp;COVID!$V$68:$V$71,0),0))),)+IFERROR(INDEX(COVID!$E$68:$P$71,MATCH("COVID Equipment"&amp;"7.2",INDEX(COVID!$C$68:$C$71&amp;COVID!$V$68:$V$71,0),0),MID(LEFT(R$1,SEARCH(" ",R$1)-1),2,3)-INDEX(COVID!$U$68:$U$71,MATCH("COVID Equipment"&amp;"7.2",INDEX(COVID!$C$68:$C$71&amp;COVID!$V$68:$V$71,0),0))),)</f>
        <v>0</v>
      </c>
      <c r="S556" s="525"/>
      <c r="T556" s="1110">
        <f>IFERROR(INDEX(COVID!$E$68:$P$71,MATCH("COVID Pharmaceuticals"&amp;"7.2",INDEX(COVID!$C$68:$C$71&amp;COVID!$V$68:$V$71,0),0),MID(LEFT(T$1,SEARCH(" ",T$1)-1),2,3)-INDEX(COVID!$U$68:$U$71,MATCH("COVID Pharmaceuticals"&amp;"7.2",INDEX(COVID!$C$68:$C$71&amp;COVID!$V$68:$V$71,0),0))),)+IFERROR(INDEX(COVID!$E$68:$P$71,MATCH("COVID Diagnostics reagents &amp; consumables"&amp;"7.2",INDEX(COVID!$C$68:$C$71&amp;COVID!$V$68:$V$71,0),0),MID(LEFT(T$1,SEARCH(" ",T$1)-1),2,3)-INDEX(COVID!$U$68:$U$71,MATCH("COVID Diagnostics reagents &amp; consumables"&amp;"7.2",INDEX(COVID!$C$68:$C$71&amp;COVID!$V$68:$V$71,0),0))),)+IFERROR(INDEX(COVID!$E$68:$P$71,MATCH("COVID PPE &amp; consumables"&amp;"7.2",INDEX(COVID!$C$68:$C$71&amp;COVID!$V$68:$V$71,0),0),MID(LEFT(T$1,SEARCH(" ",T$1)-1),2,3)-INDEX(COVID!$U$68:$U$71,MATCH("COVID PPE &amp; consumables"&amp;"7.2",INDEX(COVID!$C$68:$C$71&amp;COVID!$V$68:$V$71,0),0))),)+IFERROR(INDEX(COVID!$E$68:$P$71,MATCH("COVID Equipment"&amp;"7.2",INDEX(COVID!$C$68:$C$71&amp;COVID!$V$68:$V$71,0),0),MID(LEFT(T$1,SEARCH(" ",T$1)-1),2,3)-INDEX(COVID!$U$68:$U$71,MATCH("COVID Equipment"&amp;"7.2",INDEX(COVID!$C$68:$C$71&amp;COVID!$V$68:$V$71,0),0))),)</f>
        <v>0</v>
      </c>
      <c r="U556" s="525"/>
      <c r="V556" s="1110">
        <f>IFERROR(INDEX(COVID!$E$68:$P$71,MATCH("COVID Pharmaceuticals"&amp;"7.2",INDEX(COVID!$C$68:$C$71&amp;COVID!$V$68:$V$71,0),0),MID(LEFT(V$1,SEARCH(" ",V$1)-1),2,3)-INDEX(COVID!$U$68:$U$71,MATCH("COVID Pharmaceuticals"&amp;"7.2",INDEX(COVID!$C$68:$C$71&amp;COVID!$V$68:$V$71,0),0))),)+IFERROR(INDEX(COVID!$E$68:$P$71,MATCH("COVID Diagnostics reagents &amp; consumables"&amp;"7.2",INDEX(COVID!$C$68:$C$71&amp;COVID!$V$68:$V$71,0),0),MID(LEFT(V$1,SEARCH(" ",V$1)-1),2,3)-INDEX(COVID!$U$68:$U$71,MATCH("COVID Diagnostics reagents &amp; consumables"&amp;"7.2",INDEX(COVID!$C$68:$C$71&amp;COVID!$V$68:$V$71,0),0))),)+IFERROR(INDEX(COVID!$E$68:$P$71,MATCH("COVID PPE &amp; consumables"&amp;"7.2",INDEX(COVID!$C$68:$C$71&amp;COVID!$V$68:$V$71,0),0),MID(LEFT(V$1,SEARCH(" ",V$1)-1),2,3)-INDEX(COVID!$U$68:$U$71,MATCH("COVID PPE &amp; consumables"&amp;"7.2",INDEX(COVID!$C$68:$C$71&amp;COVID!$V$68:$V$71,0),0))),)+IFERROR(INDEX(COVID!$E$68:$P$71,MATCH("COVID Equipment"&amp;"7.2",INDEX(COVID!$C$68:$C$71&amp;COVID!$V$68:$V$71,0),0),MID(LEFT(V$1,SEARCH(" ",V$1)-1),2,3)-INDEX(COVID!$U$68:$U$71,MATCH("COVID Equipment"&amp;"7.2",INDEX(COVID!$C$68:$C$71&amp;COVID!$V$68:$V$71,0),0))),)</f>
        <v>0</v>
      </c>
      <c r="W556" s="525"/>
      <c r="X556" s="1154">
        <f t="shared" si="54"/>
        <v>0</v>
      </c>
      <c r="Y556" s="1155"/>
      <c r="Z556" s="1156"/>
      <c r="AA556" s="529"/>
      <c r="AB556" s="525"/>
      <c r="AC556" s="1110">
        <f>IFERROR(INDEX(COVID!$E$68:$P$71,MATCH("COVID Pharmaceuticals"&amp;"7.2",INDEX(COVID!$C$68:$C$71&amp;COVID!$V$68:$V$71,0),0),MID(LEFT(AC$1,SEARCH(" ",AC$1)-1),2,3)-INDEX(COVID!$U$68:$U$71,MATCH("COVID Pharmaceuticals"&amp;"7.2",INDEX(COVID!$C$68:$C$71&amp;COVID!$V$68:$V$71,0),0))),)+IFERROR(INDEX(COVID!$E$68:$P$71,MATCH("COVID Diagnostics reagents &amp; consumables"&amp;"7.2",INDEX(COVID!$C$68:$C$71&amp;COVID!$V$68:$V$71,0),0),MID(LEFT(AC$1,SEARCH(" ",AC$1)-1),2,3)-INDEX(COVID!$U$68:$U$71,MATCH("COVID Diagnostics reagents &amp; consumables"&amp;"7.2",INDEX(COVID!$C$68:$C$71&amp;COVID!$V$68:$V$71,0),0))),)+IFERROR(INDEX(COVID!$E$68:$P$71,MATCH("COVID PPE &amp; consumables"&amp;"7.2",INDEX(COVID!$C$68:$C$71&amp;COVID!$V$68:$V$71,0),0),MID(LEFT(AC$1,SEARCH(" ",AC$1)-1),2,3)-INDEX(COVID!$U$68:$U$71,MATCH("COVID PPE &amp; consumables"&amp;"7.2",INDEX(COVID!$C$68:$C$71&amp;COVID!$V$68:$V$71,0),0))),)+IFERROR(INDEX(COVID!$E$68:$P$71,MATCH("COVID Equipment"&amp;"7.2",INDEX(COVID!$C$68:$C$71&amp;COVID!$V$68:$V$71,0),0),MID(LEFT(AC$1,SEARCH(" ",AC$1)-1),2,3)-INDEX(COVID!$U$68:$U$71,MATCH("COVID Equipment"&amp;"7.2",INDEX(COVID!$C$68:$C$71&amp;COVID!$V$68:$V$71,0),0))),)</f>
        <v>0</v>
      </c>
      <c r="AD556" s="525"/>
      <c r="AE556" s="1110">
        <f>IFERROR(INDEX(COVID!$E$68:$P$71,MATCH("COVID Pharmaceuticals"&amp;"7.2",INDEX(COVID!$C$68:$C$71&amp;COVID!$V$68:$V$71,0),0),MID(LEFT(AE$1,SEARCH(" ",AE$1)-1),2,3)-INDEX(COVID!$U$68:$U$71,MATCH("COVID Pharmaceuticals"&amp;"7.2",INDEX(COVID!$C$68:$C$71&amp;COVID!$V$68:$V$71,0),0))),)+IFERROR(INDEX(COVID!$E$68:$P$71,MATCH("COVID Diagnostics reagents &amp; consumables"&amp;"7.2",INDEX(COVID!$C$68:$C$71&amp;COVID!$V$68:$V$71,0),0),MID(LEFT(AE$1,SEARCH(" ",AE$1)-1),2,3)-INDEX(COVID!$U$68:$U$71,MATCH("COVID Diagnostics reagents &amp; consumables"&amp;"7.2",INDEX(COVID!$C$68:$C$71&amp;COVID!$V$68:$V$71,0),0))),)+IFERROR(INDEX(COVID!$E$68:$P$71,MATCH("COVID PPE &amp; consumables"&amp;"7.2",INDEX(COVID!$C$68:$C$71&amp;COVID!$V$68:$V$71,0),0),MID(LEFT(AE$1,SEARCH(" ",AE$1)-1),2,3)-INDEX(COVID!$U$68:$U$71,MATCH("COVID PPE &amp; consumables"&amp;"7.2",INDEX(COVID!$C$68:$C$71&amp;COVID!$V$68:$V$71,0),0))),)+IFERROR(INDEX(COVID!$E$68:$P$71,MATCH("COVID Equipment"&amp;"7.2",INDEX(COVID!$C$68:$C$71&amp;COVID!$V$68:$V$71,0),0),MID(LEFT(AE$1,SEARCH(" ",AE$1)-1),2,3)-INDEX(COVID!$U$68:$U$71,MATCH("COVID Equipment"&amp;"7.2",INDEX(COVID!$C$68:$C$71&amp;COVID!$V$68:$V$71,0),0))),)</f>
        <v>0</v>
      </c>
      <c r="AF556" s="525"/>
      <c r="AG556" s="1110">
        <f>IFERROR(INDEX(COVID!$E$68:$P$71,MATCH("COVID Pharmaceuticals"&amp;"7.2",INDEX(COVID!$C$68:$C$71&amp;COVID!$V$68:$V$71,0),0),MID(LEFT(AG$1,SEARCH(" ",AG$1)-1),2,3)-INDEX(COVID!$U$68:$U$71,MATCH("COVID Pharmaceuticals"&amp;"7.2",INDEX(COVID!$C$68:$C$71&amp;COVID!$V$68:$V$71,0),0))),)+IFERROR(INDEX(COVID!$E$68:$P$71,MATCH("COVID Diagnostics reagents &amp; consumables"&amp;"7.2",INDEX(COVID!$C$68:$C$71&amp;COVID!$V$68:$V$71,0),0),MID(LEFT(AG$1,SEARCH(" ",AG$1)-1),2,3)-INDEX(COVID!$U$68:$U$71,MATCH("COVID Diagnostics reagents &amp; consumables"&amp;"7.2",INDEX(COVID!$C$68:$C$71&amp;COVID!$V$68:$V$71,0),0))),)+IFERROR(INDEX(COVID!$E$68:$P$71,MATCH("COVID PPE &amp; consumables"&amp;"7.2",INDEX(COVID!$C$68:$C$71&amp;COVID!$V$68:$V$71,0),0),MID(LEFT(AG$1,SEARCH(" ",AG$1)-1),2,3)-INDEX(COVID!$U$68:$U$71,MATCH("COVID PPE &amp; consumables"&amp;"7.2",INDEX(COVID!$C$68:$C$71&amp;COVID!$V$68:$V$71,0),0))),)+IFERROR(INDEX(COVID!$E$68:$P$71,MATCH("COVID Equipment"&amp;"7.2",INDEX(COVID!$C$68:$C$71&amp;COVID!$V$68:$V$71,0),0),MID(LEFT(AG$1,SEARCH(" ",AG$1)-1),2,3)-INDEX(COVID!$U$68:$U$71,MATCH("COVID Equipment"&amp;"7.2",INDEX(COVID!$C$68:$C$71&amp;COVID!$V$68:$V$71,0),0))),)</f>
        <v>0</v>
      </c>
      <c r="AH556" s="525"/>
      <c r="AI556" s="1110">
        <f>IFERROR(INDEX(COVID!$E$68:$P$71,MATCH("COVID Pharmaceuticals"&amp;"7.2",INDEX(COVID!$C$68:$C$71&amp;COVID!$V$68:$V$71,0),0),MID(LEFT(AI$1,SEARCH(" ",AI$1)-1),2,3)-INDEX(COVID!$U$68:$U$71,MATCH("COVID Pharmaceuticals"&amp;"7.2",INDEX(COVID!$C$68:$C$71&amp;COVID!$V$68:$V$71,0),0))),)+IFERROR(INDEX(COVID!$E$68:$P$71,MATCH("COVID Diagnostics reagents &amp; consumables"&amp;"7.2",INDEX(COVID!$C$68:$C$71&amp;COVID!$V$68:$V$71,0),0),MID(LEFT(AI$1,SEARCH(" ",AI$1)-1),2,3)-INDEX(COVID!$U$68:$U$71,MATCH("COVID Diagnostics reagents &amp; consumables"&amp;"7.2",INDEX(COVID!$C$68:$C$71&amp;COVID!$V$68:$V$71,0),0))),)+IFERROR(INDEX(COVID!$E$68:$P$71,MATCH("COVID PPE &amp; consumables"&amp;"7.2",INDEX(COVID!$C$68:$C$71&amp;COVID!$V$68:$V$71,0),0),MID(LEFT(AI$1,SEARCH(" ",AI$1)-1),2,3)-INDEX(COVID!$U$68:$U$71,MATCH("COVID PPE &amp; consumables"&amp;"7.2",INDEX(COVID!$C$68:$C$71&amp;COVID!$V$68:$V$71,0),0))),)+IFERROR(INDEX(COVID!$E$68:$P$71,MATCH("COVID Equipment"&amp;"7.2",INDEX(COVID!$C$68:$C$71&amp;COVID!$V$68:$V$71,0),0),MID(LEFT(AI$1,SEARCH(" ",AI$1)-1),2,3)-INDEX(COVID!$U$68:$U$71,MATCH("COVID Equipment"&amp;"7.2",INDEX(COVID!$C$68:$C$71&amp;COVID!$V$68:$V$71,0),0))),)</f>
        <v>0</v>
      </c>
      <c r="AJ556" s="525"/>
      <c r="AK556" s="1154">
        <f t="shared" si="55"/>
        <v>0</v>
      </c>
      <c r="AL556" s="1155"/>
      <c r="AM556" s="1156"/>
      <c r="AN556" s="529"/>
      <c r="AO556" s="525"/>
      <c r="AP556" s="1110">
        <f>IFERROR(INDEX(COVID!$E$68:$P$71,MATCH("COVID Pharmaceuticals"&amp;"7.2",INDEX(COVID!$C$68:$C$71&amp;COVID!$V$68:$V$71,0),0),MID(LEFT(AP$1,SEARCH(" ",AP$1)-1),2,3)-INDEX(COVID!$U$68:$U$71,MATCH("COVID Pharmaceuticals"&amp;"7.2",INDEX(COVID!$C$68:$C$71&amp;COVID!$V$68:$V$71,0),0))),)+IFERROR(INDEX(COVID!$E$68:$P$71,MATCH("COVID Diagnostics reagents &amp; consumables"&amp;"7.2",INDEX(COVID!$C$68:$C$71&amp;COVID!$V$68:$V$71,0),0),MID(LEFT(AP$1,SEARCH(" ",AP$1)-1),2,3)-INDEX(COVID!$U$68:$U$71,MATCH("COVID Diagnostics reagents &amp; consumables"&amp;"7.2",INDEX(COVID!$C$68:$C$71&amp;COVID!$V$68:$V$71,0),0))),)+IFERROR(INDEX(COVID!$E$68:$P$71,MATCH("COVID PPE &amp; consumables"&amp;"7.2",INDEX(COVID!$C$68:$C$71&amp;COVID!$V$68:$V$71,0),0),MID(LEFT(AP$1,SEARCH(" ",AP$1)-1),2,3)-INDEX(COVID!$U$68:$U$71,MATCH("COVID PPE &amp; consumables"&amp;"7.2",INDEX(COVID!$C$68:$C$71&amp;COVID!$V$68:$V$71,0),0))),)+IFERROR(INDEX(COVID!$E$68:$P$71,MATCH("COVID Equipment"&amp;"7.2",INDEX(COVID!$C$68:$C$71&amp;COVID!$V$68:$V$71,0),0),MID(LEFT(AP$1,SEARCH(" ",AP$1)-1),2,3)-INDEX(COVID!$U$68:$U$71,MATCH("COVID Equipment"&amp;"7.2",INDEX(COVID!$C$68:$C$71&amp;COVID!$V$68:$V$71,0),0))),)</f>
        <v>0</v>
      </c>
      <c r="AQ556" s="525"/>
      <c r="AR556" s="1110">
        <f>IFERROR(INDEX(COVID!$E$68:$P$71,MATCH("COVID Pharmaceuticals"&amp;"7.2",INDEX(COVID!$C$68:$C$71&amp;COVID!$V$68:$V$71,0),0),MID(LEFT(AR$1,SEARCH(" ",AR$1)-1),2,3)-INDEX(COVID!$U$68:$U$71,MATCH("COVID Pharmaceuticals"&amp;"7.2",INDEX(COVID!$C$68:$C$71&amp;COVID!$V$68:$V$71,0),0))),)+IFERROR(INDEX(COVID!$E$68:$P$71,MATCH("COVID Diagnostics reagents &amp; consumables"&amp;"7.2",INDEX(COVID!$C$68:$C$71&amp;COVID!$V$68:$V$71,0),0),MID(LEFT(AR$1,SEARCH(" ",AR$1)-1),2,3)-INDEX(COVID!$U$68:$U$71,MATCH("COVID Diagnostics reagents &amp; consumables"&amp;"7.2",INDEX(COVID!$C$68:$C$71&amp;COVID!$V$68:$V$71,0),0))),)+IFERROR(INDEX(COVID!$E$68:$P$71,MATCH("COVID PPE &amp; consumables"&amp;"7.2",INDEX(COVID!$C$68:$C$71&amp;COVID!$V$68:$V$71,0),0),MID(LEFT(AR$1,SEARCH(" ",AR$1)-1),2,3)-INDEX(COVID!$U$68:$U$71,MATCH("COVID PPE &amp; consumables"&amp;"7.2",INDEX(COVID!$C$68:$C$71&amp;COVID!$V$68:$V$71,0),0))),)+IFERROR(INDEX(COVID!$E$68:$P$71,MATCH("COVID Equipment"&amp;"7.2",INDEX(COVID!$C$68:$C$71&amp;COVID!$V$68:$V$71,0),0),MID(LEFT(AR$1,SEARCH(" ",AR$1)-1),2,3)-INDEX(COVID!$U$68:$U$71,MATCH("COVID Equipment"&amp;"7.2",INDEX(COVID!$C$68:$C$71&amp;COVID!$V$68:$V$71,0),0))),)</f>
        <v>0</v>
      </c>
      <c r="AS556" s="525"/>
      <c r="AT556" s="1110">
        <f>IFERROR(INDEX(COVID!$E$68:$P$71,MATCH("COVID Pharmaceuticals"&amp;"7.2",INDEX(COVID!$C$68:$C$71&amp;COVID!$V$68:$V$71,0),0),MID(LEFT(AT$1,SEARCH(" ",AT$1)-1),2,3)-INDEX(COVID!$U$68:$U$71,MATCH("COVID Pharmaceuticals"&amp;"7.2",INDEX(COVID!$C$68:$C$71&amp;COVID!$V$68:$V$71,0),0))),)+IFERROR(INDEX(COVID!$E$68:$P$71,MATCH("COVID Diagnostics reagents &amp; consumables"&amp;"7.2",INDEX(COVID!$C$68:$C$71&amp;COVID!$V$68:$V$71,0),0),MID(LEFT(AT$1,SEARCH(" ",AT$1)-1),2,3)-INDEX(COVID!$U$68:$U$71,MATCH("COVID Diagnostics reagents &amp; consumables"&amp;"7.2",INDEX(COVID!$C$68:$C$71&amp;COVID!$V$68:$V$71,0),0))),)+IFERROR(INDEX(COVID!$E$68:$P$71,MATCH("COVID PPE &amp; consumables"&amp;"7.2",INDEX(COVID!$C$68:$C$71&amp;COVID!$V$68:$V$71,0),0),MID(LEFT(AT$1,SEARCH(" ",AT$1)-1),2,3)-INDEX(COVID!$U$68:$U$71,MATCH("COVID PPE &amp; consumables"&amp;"7.2",INDEX(COVID!$C$68:$C$71&amp;COVID!$V$68:$V$71,0),0))),)+IFERROR(INDEX(COVID!$E$68:$P$71,MATCH("COVID Equipment"&amp;"7.2",INDEX(COVID!$C$68:$C$71&amp;COVID!$V$68:$V$71,0),0),MID(LEFT(AT$1,SEARCH(" ",AT$1)-1),2,3)-INDEX(COVID!$U$68:$U$71,MATCH("COVID Equipment"&amp;"7.2",INDEX(COVID!$C$68:$C$71&amp;COVID!$V$68:$V$71,0),0))),)</f>
        <v>0</v>
      </c>
      <c r="AU556" s="525"/>
      <c r="AV556" s="525">
        <f>IFERROR(INDEX(COVID!$Q$64:$Q$91,MATCH("COVID Pharmaceuticals"&amp;"7.2",INDEX(COVID!$C$64:$C$91&amp;COVID!$V$64:$V$91,0),0),),)+IFERROR(INDEX(COVID!$Q$64:$Q$91,MATCH("COVID Diagnostics reagents &amp; consumables"&amp;"7.2",INDEX(COVID!$C$64:$C$91&amp;COVID!$V$64:$V$91,0),0),),)+IFERROR(INDEX(COVID!$Q$64:$Q$91,MATCH("COVID PPE &amp; consumables"&amp;"7.2",INDEX(COVID!$C$64:$C$91&amp;COVID!$V$64:$V$91,0),0),),)+IFERROR(INDEX(COVID!$Q$64:$Q$91,MATCH("COVID Equipment"&amp;"7.2",INDEX(COVID!$C$64:$C$91&amp;COVID!$V$64:$V$91,0),0),),)-SUM(X556,AK556,AP556,AR556,AT556)</f>
        <v>0</v>
      </c>
      <c r="AW556" s="525"/>
      <c r="AX556" s="1154">
        <f t="shared" si="56"/>
        <v>0</v>
      </c>
      <c r="AY556" s="1154"/>
      <c r="AZ556" s="528"/>
      <c r="BA556" s="529"/>
      <c r="BB556" s="527"/>
      <c r="BC556" s="527"/>
      <c r="BD556" s="527"/>
      <c r="BE556" s="527"/>
      <c r="BF556" s="527"/>
      <c r="BG556" s="527"/>
      <c r="BH556" s="527"/>
      <c r="BI556" s="527"/>
      <c r="BJ556" s="527"/>
      <c r="BK556" s="1154">
        <f t="shared" si="60"/>
        <v>0</v>
      </c>
      <c r="BL556" s="1154"/>
      <c r="BM556" s="1154">
        <f t="shared" si="61"/>
        <v>0</v>
      </c>
      <c r="BN556" s="1154">
        <f t="shared" si="62"/>
        <v>0</v>
      </c>
      <c r="BO556" s="527"/>
      <c r="BP556" s="527"/>
      <c r="BQ556" s="1157">
        <v>0</v>
      </c>
      <c r="BR556" s="1157" t="s">
        <v>2680</v>
      </c>
      <c r="BS556" s="1157" t="s">
        <v>2547</v>
      </c>
      <c r="BT556" s="1376" t="s">
        <v>3096</v>
      </c>
      <c r="BU556" s="1371"/>
    </row>
    <row r="557" spans="1:73" ht="13">
      <c r="A557" s="1204"/>
      <c r="B557" s="1205" t="s">
        <v>3085</v>
      </c>
      <c r="C557" s="1205" t="s">
        <v>3086</v>
      </c>
      <c r="D557" s="1206" t="s">
        <v>2547</v>
      </c>
      <c r="E557" s="1386" t="s">
        <v>532</v>
      </c>
      <c r="F557" s="521"/>
      <c r="G557" s="522"/>
      <c r="H557" s="522"/>
      <c r="I557" s="522"/>
      <c r="J557" s="523"/>
      <c r="K557" s="523"/>
      <c r="L557" s="523"/>
      <c r="M557" s="524"/>
      <c r="N557" s="525"/>
      <c r="O557" s="526"/>
      <c r="P557" s="525">
        <f>IFERROR(INDEX(COVID!$E$72:$P$75,MATCH("COVID Pharmaceuticals"&amp;"7.3",INDEX(COVID!$C$72:$C$75&amp;COVID!$V$72:$V$75,0),0),IF(MID(LEFT(P$1,SEARCH(" ",P$1)-1),2,3)-INDEX(COVID!$U$72:$U$75,MATCH("COVID Pharmaceuticals"&amp;"7.3",INDEX(COVID!$C$72:$C$75&amp;COVID!$V$72:$V$75,0),0))&lt;=0,"#VALUE!",MID(LEFT(P$1,SEARCH(" ",P$1)-1),2,3)-INDEX(COVID!$U$72:$U$75,MATCH("COVID Pharmaceuticals"&amp;"7.3",INDEX(COVID!$C$72:$C$75&amp;COVID!$V$72:$V$75,0),0)))),0)+IFERROR(INDEX(COVID!$E$72:$P$75,MATCH("COVID Diagnostics reagents &amp; consumables"&amp;"7.3",INDEX(COVID!$C$72:$C$75&amp;COVID!$V$72:$V$75,0),0),IF(MID(LEFT(P$1,SEARCH(" ",P$1)-1),2,3)-INDEX(COVID!$U$72:$U$75,MATCH("COVID Diagnostics reagents &amp; consumables"&amp;"7.3",INDEX(COVID!$C$72:$C$75&amp;COVID!$V$72:$V$75,0),0))&lt;=0,"#VALUE!",MID(LEFT(P$1,SEARCH(" ",P$1)-1),2,3)-INDEX(COVID!$U$72:$U$75,MATCH("COVID Diagnostics reagents &amp; consumables"&amp;"7.3",INDEX(COVID!$C$72:$C$75&amp;COVID!$V$72:$V$75,0),0)))),0)+IFERROR(INDEX(COVID!$E$72:$P$75,MATCH("COVID PPE &amp; consumables"&amp;"7.3",INDEX(COVID!$C$72:$C$75&amp;COVID!$V$72:$V$75,0),0),IF(MID(LEFT(P$1,SEARCH(" ",P$1)-1),2,3)-INDEX(COVID!$U$72:$U$75,MATCH("COVID PPE &amp; consumables"&amp;"7.3",INDEX(COVID!$C$72:$C$75&amp;COVID!$V$72:$V$75,0),0))&lt;=0,"#VALUE!",MID(LEFT(P$1,SEARCH(" ",P$1)-1),2,3)-INDEX(COVID!$U$72:$U$75,MATCH("COVID PPE &amp; consumables"&amp;"7.3",INDEX(COVID!$C$72:$C$75&amp;COVID!$V$72:$V$75,0),0)))),0)+IFERROR(INDEX(COVID!$E$72:$P$75,MATCH("COVID Equipment"&amp;"7.3",INDEX(COVID!$C$72:$C$75&amp;COVID!$V$72:$V$75,0),0),IF(MID(LEFT(P$1,SEARCH(" ",P$1)-1),2,3)-INDEX(COVID!$U$72:$U$75,MATCH("COVID Equipment"&amp;"7.3",INDEX(COVID!$C$72:$C$75&amp;COVID!$V$72:$V$75,0),0))&lt;=0,"#VALUE!",MID(LEFT(P$1,SEARCH(" ",P$1)-1),2,3)-INDEX(COVID!$U$72:$U$75,MATCH("COVID Equipment"&amp;"7.3",INDEX(COVID!$C$72:$C$75&amp;COVID!$V$72:$V$75,0),0)))),0)</f>
        <v>0</v>
      </c>
      <c r="Q557" s="525"/>
      <c r="R557" s="525">
        <f>IFERROR(INDEX(COVID!$E$72:$P$75,MATCH("COVID Pharmaceuticals"&amp;"7.3",INDEX(COVID!$C$72:$C$75&amp;COVID!$V$72:$V$75,0),0),MID(LEFT(R$1,SEARCH(" ",R$1)-1),2,3)-INDEX(COVID!$U$72:$U$75,MATCH("COVID Pharmaceuticals"&amp;"7.3",INDEX(COVID!$C$72:$C$75&amp;COVID!$V$72:$V$75,0),0))),)+IFERROR(INDEX(COVID!$E$72:$P$75,MATCH("COVID Diagnostics reagents &amp; consumables"&amp;"7.3",INDEX(COVID!$C$72:$C$75&amp;COVID!$V$72:$V$75,0),0),MID(LEFT(R$1,SEARCH(" ",R$1)-1),2,3)-INDEX(COVID!$U$72:$U$75,MATCH("COVID Diagnostics reagents &amp; consumables"&amp;"7.3",INDEX(COVID!$C$72:$C$75&amp;COVID!$V$72:$V$75,0),0))),)+IFERROR(INDEX(COVID!$E$72:$P$75,MATCH("COVID PPE &amp; consumables"&amp;"7.3",INDEX(COVID!$C$72:$C$75&amp;COVID!$V$72:$V$75,0),0),MID(LEFT(R$1,SEARCH(" ",R$1)-1),2,3)-INDEX(COVID!$U$72:$U$75,MATCH("COVID PPE &amp; consumables"&amp;"7.3",INDEX(COVID!$C$72:$C$75&amp;COVID!$V$72:$V$75,0),0))),)+IFERROR(INDEX(COVID!$E$72:$P$75,MATCH("COVID Equipment"&amp;"7.3",INDEX(COVID!$C$72:$C$75&amp;COVID!$V$72:$V$75,0),0),MID(LEFT(R$1,SEARCH(" ",R$1)-1),2,3)-INDEX(COVID!$U$72:$U$75,MATCH("COVID Equipment"&amp;"7.3",INDEX(COVID!$C$72:$C$75&amp;COVID!$V$72:$V$75,0),0))),)</f>
        <v>0</v>
      </c>
      <c r="S557" s="525"/>
      <c r="T557" s="525">
        <f>IFERROR(INDEX(COVID!$E$72:$P$75,MATCH("COVID Pharmaceuticals"&amp;"7.3",INDEX(COVID!$C$72:$C$75&amp;COVID!$V$72:$V$75,0),0),MID(LEFT(T$1,SEARCH(" ",T$1)-1),2,3)-INDEX(COVID!$U$72:$U$75,MATCH("COVID Pharmaceuticals"&amp;"7.3",INDEX(COVID!$C$72:$C$75&amp;COVID!$V$72:$V$75,0),0))),)+IFERROR(INDEX(COVID!$E$72:$P$75,MATCH("COVID Diagnostics reagents &amp; consumables"&amp;"7.3",INDEX(COVID!$C$72:$C$75&amp;COVID!$V$72:$V$75,0),0),MID(LEFT(T$1,SEARCH(" ",T$1)-1),2,3)-INDEX(COVID!$U$72:$U$75,MATCH("COVID Diagnostics reagents &amp; consumables"&amp;"7.3",INDEX(COVID!$C$72:$C$75&amp;COVID!$V$72:$V$75,0),0))),)+IFERROR(INDEX(COVID!$E$72:$P$75,MATCH("COVID PPE &amp; consumables"&amp;"7.3",INDEX(COVID!$C$72:$C$75&amp;COVID!$V$72:$V$75,0),0),MID(LEFT(T$1,SEARCH(" ",T$1)-1),2,3)-INDEX(COVID!$U$72:$U$75,MATCH("COVID PPE &amp; consumables"&amp;"7.3",INDEX(COVID!$C$72:$C$75&amp;COVID!$V$72:$V$75,0),0))),)+IFERROR(INDEX(COVID!$E$72:$P$75,MATCH("COVID Equipment"&amp;"7.3",INDEX(COVID!$C$72:$C$75&amp;COVID!$V$72:$V$75,0),0),MID(LEFT(T$1,SEARCH(" ",T$1)-1),2,3)-INDEX(COVID!$U$72:$U$75,MATCH("COVID Equipment"&amp;"7.3",INDEX(COVID!$C$72:$C$75&amp;COVID!$V$72:$V$75,0),0))),)</f>
        <v>0</v>
      </c>
      <c r="U557" s="525"/>
      <c r="V557" s="525">
        <f>IFERROR(INDEX(COVID!$E$72:$P$75,MATCH("COVID Pharmaceuticals"&amp;"7.3",INDEX(COVID!$C$72:$C$75&amp;COVID!$V$72:$V$75,0),0),MID(LEFT(V$1,SEARCH(" ",V$1)-1),2,3)-INDEX(COVID!$U$72:$U$75,MATCH("COVID Pharmaceuticals"&amp;"7.3",INDEX(COVID!$C$72:$C$75&amp;COVID!$V$72:$V$75,0),0))),)+IFERROR(INDEX(COVID!$E$72:$P$75,MATCH("COVID Diagnostics reagents &amp; consumables"&amp;"7.3",INDEX(COVID!$C$72:$C$75&amp;COVID!$V$72:$V$75,0),0),MID(LEFT(V$1,SEARCH(" ",V$1)-1),2,3)-INDEX(COVID!$U$72:$U$75,MATCH("COVID Diagnostics reagents &amp; consumables"&amp;"7.3",INDEX(COVID!$C$72:$C$75&amp;COVID!$V$72:$V$75,0),0))),)+IFERROR(INDEX(COVID!$E$72:$P$75,MATCH("COVID PPE &amp; consumables"&amp;"7.3",INDEX(COVID!$C$72:$C$75&amp;COVID!$V$72:$V$75,0),0),MID(LEFT(V$1,SEARCH(" ",V$1)-1),2,3)-INDEX(COVID!$U$72:$U$75,MATCH("COVID PPE &amp; consumables"&amp;"7.3",INDEX(COVID!$C$72:$C$75&amp;COVID!$V$72:$V$75,0),0))),)+IFERROR(INDEX(COVID!$E$72:$P$75,MATCH("COVID Equipment"&amp;"7.3",INDEX(COVID!$C$72:$C$75&amp;COVID!$V$72:$V$75,0),0),MID(LEFT(V$1,SEARCH(" ",V$1)-1),2,3)-INDEX(COVID!$U$72:$U$75,MATCH("COVID Equipment"&amp;"7.3",INDEX(COVID!$C$72:$C$75&amp;COVID!$V$72:$V$75,0),0))),)</f>
        <v>0</v>
      </c>
      <c r="W557" s="525"/>
      <c r="X557" s="1154">
        <f>P557+R557+T557+V557</f>
        <v>0</v>
      </c>
      <c r="Y557" s="1155"/>
      <c r="Z557" s="1156"/>
      <c r="AA557" s="529"/>
      <c r="AB557" s="525"/>
      <c r="AC557" s="525">
        <f>IFERROR(INDEX(COVID!$E$72:$P$75,MATCH("COVID Pharmaceuticals"&amp;"7.3",INDEX(COVID!$C$72:$C$75&amp;COVID!$V$72:$V$75,0),0),MID(LEFT(AC$1,SEARCH(" ",AC$1)-1),2,3)-INDEX(COVID!$U$72:$U$75,MATCH("COVID Pharmaceuticals"&amp;"7.3",INDEX(COVID!$C$72:$C$75&amp;COVID!$V$72:$V$75,0),0))),)+IFERROR(INDEX(COVID!$E$72:$P$75,MATCH("COVID Diagnostics reagents &amp; consumables"&amp;"7.3",INDEX(COVID!$C$72:$C$75&amp;COVID!$V$72:$V$75,0),0),MID(LEFT(AC$1,SEARCH(" ",AC$1)-1),2,3)-INDEX(COVID!$U$72:$U$75,MATCH("COVID Diagnostics reagents &amp; consumables"&amp;"7.3",INDEX(COVID!$C$72:$C$75&amp;COVID!$V$72:$V$75,0),0))),)+IFERROR(INDEX(COVID!$E$72:$P$75,MATCH("COVID PPE &amp; consumables"&amp;"7.3",INDEX(COVID!$C$72:$C$75&amp;COVID!$V$72:$V$75,0),0),MID(LEFT(AC$1,SEARCH(" ",AC$1)-1),2,3)-INDEX(COVID!$U$72:$U$75,MATCH("COVID PPE &amp; consumables"&amp;"7.3",INDEX(COVID!$C$72:$C$75&amp;COVID!$V$72:$V$75,0),0))),)+IFERROR(INDEX(COVID!$E$72:$P$75,MATCH("COVID Equipment"&amp;"7.3",INDEX(COVID!$C$72:$C$75&amp;COVID!$V$72:$V$75,0),0),MID(LEFT(AC$1,SEARCH(" ",AC$1)-1),2,3)-INDEX(COVID!$U$72:$U$75,MATCH("COVID Equipment"&amp;"7.3",INDEX(COVID!$C$72:$C$75&amp;COVID!$V$72:$V$75,0),0))),)</f>
        <v>0</v>
      </c>
      <c r="AD557" s="525"/>
      <c r="AE557" s="525">
        <f>IFERROR(INDEX(COVID!$E$72:$P$75,MATCH("COVID Pharmaceuticals"&amp;"7.3",INDEX(COVID!$C$72:$C$75&amp;COVID!$V$72:$V$75,0),0),MID(LEFT(AE$1,SEARCH(" ",AE$1)-1),2,3)-INDEX(COVID!$U$72:$U$75,MATCH("COVID Pharmaceuticals"&amp;"7.3",INDEX(COVID!$C$72:$C$75&amp;COVID!$V$72:$V$75,0),0))),)+IFERROR(INDEX(COVID!$E$72:$P$75,MATCH("COVID Diagnostics reagents &amp; consumables"&amp;"7.3",INDEX(COVID!$C$72:$C$75&amp;COVID!$V$72:$V$75,0),0),MID(LEFT(AE$1,SEARCH(" ",AE$1)-1),2,3)-INDEX(COVID!$U$72:$U$75,MATCH("COVID Diagnostics reagents &amp; consumables"&amp;"7.3",INDEX(COVID!$C$72:$C$75&amp;COVID!$V$72:$V$75,0),0))),)+IFERROR(INDEX(COVID!$E$72:$P$75,MATCH("COVID PPE &amp; consumables"&amp;"7.3",INDEX(COVID!$C$72:$C$75&amp;COVID!$V$72:$V$75,0),0),MID(LEFT(AE$1,SEARCH(" ",AE$1)-1),2,3)-INDEX(COVID!$U$72:$U$75,MATCH("COVID PPE &amp; consumables"&amp;"7.3",INDEX(COVID!$C$72:$C$75&amp;COVID!$V$72:$V$75,0),0))),)+IFERROR(INDEX(COVID!$E$72:$P$75,MATCH("COVID Equipment"&amp;"7.3",INDEX(COVID!$C$72:$C$75&amp;COVID!$V$72:$V$75,0),0),MID(LEFT(AE$1,SEARCH(" ",AE$1)-1),2,3)-INDEX(COVID!$U$72:$U$75,MATCH("COVID Equipment"&amp;"7.3",INDEX(COVID!$C$72:$C$75&amp;COVID!$V$72:$V$75,0),0))),)</f>
        <v>0</v>
      </c>
      <c r="AF557" s="525"/>
      <c r="AG557" s="525">
        <f>IFERROR(INDEX(COVID!$E$72:$P$75,MATCH("COVID Pharmaceuticals"&amp;"7.3",INDEX(COVID!$C$72:$C$75&amp;COVID!$V$72:$V$75,0),0),MID(LEFT(AG$1,SEARCH(" ",AG$1)-1),2,3)-INDEX(COVID!$U$72:$U$75,MATCH("COVID Pharmaceuticals"&amp;"7.3",INDEX(COVID!$C$72:$C$75&amp;COVID!$V$72:$V$75,0),0))),)+IFERROR(INDEX(COVID!$E$72:$P$75,MATCH("COVID Diagnostics reagents &amp; consumables"&amp;"7.3",INDEX(COVID!$C$72:$C$75&amp;COVID!$V$72:$V$75,0),0),MID(LEFT(AG$1,SEARCH(" ",AG$1)-1),2,3)-INDEX(COVID!$U$72:$U$75,MATCH("COVID Diagnostics reagents &amp; consumables"&amp;"7.3",INDEX(COVID!$C$72:$C$75&amp;COVID!$V$72:$V$75,0),0))),)+IFERROR(INDEX(COVID!$E$72:$P$75,MATCH("COVID PPE &amp; consumables"&amp;"7.3",INDEX(COVID!$C$72:$C$75&amp;COVID!$V$72:$V$75,0),0),MID(LEFT(AG$1,SEARCH(" ",AG$1)-1),2,3)-INDEX(COVID!$U$72:$U$75,MATCH("COVID PPE &amp; consumables"&amp;"7.3",INDEX(COVID!$C$72:$C$75&amp;COVID!$V$72:$V$75,0),0))),)+IFERROR(INDEX(COVID!$E$72:$P$75,MATCH("COVID Equipment"&amp;"7.3",INDEX(COVID!$C$72:$C$75&amp;COVID!$V$72:$V$75,0),0),MID(LEFT(AG$1,SEARCH(" ",AG$1)-1),2,3)-INDEX(COVID!$U$72:$U$75,MATCH("COVID Equipment"&amp;"7.3",INDEX(COVID!$C$72:$C$75&amp;COVID!$V$72:$V$75,0),0))),)</f>
        <v>0</v>
      </c>
      <c r="AH557" s="525"/>
      <c r="AI557" s="525">
        <f>IFERROR(INDEX(COVID!$E$72:$P$75,MATCH("COVID Pharmaceuticals"&amp;"7.3",INDEX(COVID!$C$72:$C$75&amp;COVID!$V$72:$V$75,0),0),MID(LEFT(AI$1,SEARCH(" ",AI$1)-1),2,3)-INDEX(COVID!$U$72:$U$75,MATCH("COVID Pharmaceuticals"&amp;"7.3",INDEX(COVID!$C$72:$C$75&amp;COVID!$V$72:$V$75,0),0))),)+IFERROR(INDEX(COVID!$E$72:$P$75,MATCH("COVID Diagnostics reagents &amp; consumables"&amp;"7.3",INDEX(COVID!$C$72:$C$75&amp;COVID!$V$72:$V$75,0),0),MID(LEFT(AI$1,SEARCH(" ",AI$1)-1),2,3)-INDEX(COVID!$U$72:$U$75,MATCH("COVID Diagnostics reagents &amp; consumables"&amp;"7.3",INDEX(COVID!$C$72:$C$75&amp;COVID!$V$72:$V$75,0),0))),)+IFERROR(INDEX(COVID!$E$72:$P$75,MATCH("COVID PPE &amp; consumables"&amp;"7.3",INDEX(COVID!$C$72:$C$75&amp;COVID!$V$72:$V$75,0),0),MID(LEFT(AI$1,SEARCH(" ",AI$1)-1),2,3)-INDEX(COVID!$U$72:$U$75,MATCH("COVID PPE &amp; consumables"&amp;"7.3",INDEX(COVID!$C$72:$C$75&amp;COVID!$V$72:$V$75,0),0))),)+IFERROR(INDEX(COVID!$E$72:$P$75,MATCH("COVID Equipment"&amp;"7.3",INDEX(COVID!$C$72:$C$75&amp;COVID!$V$72:$V$75,0),0),MID(LEFT(AI$1,SEARCH(" ",AI$1)-1),2,3)-INDEX(COVID!$U$72:$U$75,MATCH("COVID Equipment"&amp;"7.3",INDEX(COVID!$C$72:$C$75&amp;COVID!$V$72:$V$75,0),0))),)</f>
        <v>0</v>
      </c>
      <c r="AJ557" s="525"/>
      <c r="AK557" s="1154">
        <f t="shared" si="55"/>
        <v>0</v>
      </c>
      <c r="AL557" s="1155"/>
      <c r="AM557" s="1156"/>
      <c r="AN557" s="529"/>
      <c r="AO557" s="525"/>
      <c r="AP557" s="525">
        <f>IFERROR(INDEX(COVID!$E$72:$P$75,MATCH("COVID Pharmaceuticals"&amp;"7.3",INDEX(COVID!$C$72:$C$75&amp;COVID!$V$72:$V$75,0),0),MID(LEFT(AP$1,SEARCH(" ",AP$1)-1),2,3)-INDEX(COVID!$U$72:$U$75,MATCH("COVID Pharmaceuticals"&amp;"7.3",INDEX(COVID!$C$72:$C$75&amp;COVID!$V$72:$V$75,0),0))),)+IFERROR(INDEX(COVID!$E$72:$P$75,MATCH("COVID Diagnostics reagents &amp; consumables"&amp;"7.3",INDEX(COVID!$C$72:$C$75&amp;COVID!$V$72:$V$75,0),0),MID(LEFT(AP$1,SEARCH(" ",AP$1)-1),2,3)-INDEX(COVID!$U$72:$U$75,MATCH("COVID Diagnostics reagents &amp; consumables"&amp;"7.3",INDEX(COVID!$C$72:$C$75&amp;COVID!$V$72:$V$75,0),0))),)+IFERROR(INDEX(COVID!$E$72:$P$75,MATCH("COVID PPE &amp; consumables"&amp;"7.3",INDEX(COVID!$C$72:$C$75&amp;COVID!$V$72:$V$75,0),0),MID(LEFT(AP$1,SEARCH(" ",AP$1)-1),2,3)-INDEX(COVID!$U$72:$U$75,MATCH("COVID PPE &amp; consumables"&amp;"7.3",INDEX(COVID!$C$72:$C$75&amp;COVID!$V$72:$V$75,0),0))),)+IFERROR(INDEX(COVID!$E$72:$P$75,MATCH("COVID Equipment"&amp;"7.3",INDEX(COVID!$C$72:$C$75&amp;COVID!$V$72:$V$75,0),0),MID(LEFT(AP$1,SEARCH(" ",AP$1)-1),2,3)-INDEX(COVID!$U$72:$U$75,MATCH("COVID Equipment"&amp;"7.3",INDEX(COVID!$C$72:$C$75&amp;COVID!$V$72:$V$75,0),0))),)</f>
        <v>0</v>
      </c>
      <c r="AQ557" s="525"/>
      <c r="AR557" s="525">
        <f>IFERROR(INDEX(COVID!$E$72:$P$75,MATCH("COVID Pharmaceuticals"&amp;"7.3",INDEX(COVID!$C$72:$C$75&amp;COVID!$V$72:$V$75,0),0),MID(LEFT(AR$1,SEARCH(" ",AR$1)-1),2,3)-INDEX(COVID!$U$72:$U$75,MATCH("COVID Pharmaceuticals"&amp;"7.3",INDEX(COVID!$C$72:$C$75&amp;COVID!$V$72:$V$75,0),0))),)+IFERROR(INDEX(COVID!$E$72:$P$75,MATCH("COVID Diagnostics reagents &amp; consumables"&amp;"7.3",INDEX(COVID!$C$72:$C$75&amp;COVID!$V$72:$V$75,0),0),MID(LEFT(AR$1,SEARCH(" ",AR$1)-1),2,3)-INDEX(COVID!$U$72:$U$75,MATCH("COVID Diagnostics reagents &amp; consumables"&amp;"7.3",INDEX(COVID!$C$72:$C$75&amp;COVID!$V$72:$V$75,0),0))),)+IFERROR(INDEX(COVID!$E$72:$P$75,MATCH("COVID PPE &amp; consumables"&amp;"7.3",INDEX(COVID!$C$72:$C$75&amp;COVID!$V$72:$V$75,0),0),MID(LEFT(AR$1,SEARCH(" ",AR$1)-1),2,3)-INDEX(COVID!$U$72:$U$75,MATCH("COVID PPE &amp; consumables"&amp;"7.3",INDEX(COVID!$C$72:$C$75&amp;COVID!$V$72:$V$75,0),0))),)+IFERROR(INDEX(COVID!$E$72:$P$75,MATCH("COVID Equipment"&amp;"7.3",INDEX(COVID!$C$72:$C$75&amp;COVID!$V$72:$V$75,0),0),MID(LEFT(AR$1,SEARCH(" ",AR$1)-1),2,3)-INDEX(COVID!$U$72:$U$75,MATCH("COVID Equipment"&amp;"7.3",INDEX(COVID!$C$72:$C$75&amp;COVID!$V$72:$V$75,0),0))),)</f>
        <v>0</v>
      </c>
      <c r="AS557" s="525"/>
      <c r="AT557" s="525">
        <f>IFERROR(INDEX(COVID!$E$72:$P$75,MATCH("COVID Pharmaceuticals"&amp;"7.3",INDEX(COVID!$C$72:$C$75&amp;COVID!$V$72:$V$75,0),0),MID(LEFT(AT$1,SEARCH(" ",AT$1)-1),2,3)-INDEX(COVID!$U$72:$U$75,MATCH("COVID Pharmaceuticals"&amp;"7.3",INDEX(COVID!$C$72:$C$75&amp;COVID!$V$72:$V$75,0),0))),)+IFERROR(INDEX(COVID!$E$72:$P$75,MATCH("COVID Diagnostics reagents &amp; consumables"&amp;"7.3",INDEX(COVID!$C$72:$C$75&amp;COVID!$V$72:$V$75,0),0),MID(LEFT(AT$1,SEARCH(" ",AT$1)-1),2,3)-INDEX(COVID!$U$72:$U$75,MATCH("COVID Diagnostics reagents &amp; consumables"&amp;"7.3",INDEX(COVID!$C$72:$C$75&amp;COVID!$V$72:$V$75,0),0))),)+IFERROR(INDEX(COVID!$E$72:$P$75,MATCH("COVID PPE &amp; consumables"&amp;"7.3",INDEX(COVID!$C$72:$C$75&amp;COVID!$V$72:$V$75,0),0),MID(LEFT(AT$1,SEARCH(" ",AT$1)-1),2,3)-INDEX(COVID!$U$72:$U$75,MATCH("COVID PPE &amp; consumables"&amp;"7.3",INDEX(COVID!$C$72:$C$75&amp;COVID!$V$72:$V$75,0),0))),)+IFERROR(INDEX(COVID!$E$72:$P$75,MATCH("COVID Equipment"&amp;"7.3",INDEX(COVID!$C$72:$C$75&amp;COVID!$V$72:$V$75,0),0),MID(LEFT(AT$1,SEARCH(" ",AT$1)-1),2,3)-INDEX(COVID!$U$72:$U$75,MATCH("COVID Equipment"&amp;"7.3",INDEX(COVID!$C$72:$C$75&amp;COVID!$V$72:$V$75,0),0))),)</f>
        <v>0</v>
      </c>
      <c r="AU557" s="525"/>
      <c r="AV557" s="525">
        <f>IFERROR(INDEX(COVID!$Q$64:$Q$91,MATCH("COVID Pharmaceuticals"&amp;"7.3",INDEX(COVID!$C$64:$C$91&amp;COVID!$V$64:$V$91,0),0),),)+IFERROR(INDEX(COVID!$Q$64:$Q$91,MATCH("COVID Diagnostics reagents &amp; consumables"&amp;"7.3",INDEX(COVID!$C$64:$C$91&amp;COVID!$V$64:$V$91,0),0),),)+IFERROR(INDEX(COVID!$Q$64:$Q$91,MATCH("COVID PPE &amp; consumables"&amp;"7.3",INDEX(COVID!$C$64:$C$91&amp;COVID!$V$64:$V$91,0),0),),)+IFERROR(INDEX(COVID!$Q$64:$Q$91,MATCH("COVID Equipment"&amp;"7.3",INDEX(COVID!$C$64:$C$91&amp;COVID!$V$64:$V$91,0),0),),)-SUM(X557,AK557,AP557,AR557,AT557)</f>
        <v>0</v>
      </c>
      <c r="AW557" s="525"/>
      <c r="AX557" s="1154">
        <f t="shared" si="56"/>
        <v>0</v>
      </c>
      <c r="AY557" s="1154"/>
      <c r="AZ557" s="528"/>
      <c r="BA557" s="529"/>
      <c r="BB557" s="527"/>
      <c r="BC557" s="527"/>
      <c r="BD557" s="527"/>
      <c r="BE557" s="527"/>
      <c r="BF557" s="527"/>
      <c r="BG557" s="527"/>
      <c r="BH557" s="527"/>
      <c r="BI557" s="527"/>
      <c r="BJ557" s="527"/>
      <c r="BK557" s="1154">
        <f t="shared" si="60"/>
        <v>0</v>
      </c>
      <c r="BL557" s="1154"/>
      <c r="BM557" s="1154">
        <f t="shared" si="61"/>
        <v>0</v>
      </c>
      <c r="BN557" s="1154">
        <f t="shared" si="62"/>
        <v>0</v>
      </c>
      <c r="BO557" s="527"/>
      <c r="BP557" s="527"/>
      <c r="BQ557" s="1157">
        <v>0</v>
      </c>
      <c r="BR557" s="1157" t="s">
        <v>2680</v>
      </c>
      <c r="BS557" s="1157" t="s">
        <v>2547</v>
      </c>
      <c r="BT557" s="1376" t="s">
        <v>3097</v>
      </c>
      <c r="BU557" s="1371"/>
    </row>
    <row r="558" spans="1:73" ht="13">
      <c r="A558" s="1204"/>
      <c r="B558" s="1205" t="s">
        <v>3085</v>
      </c>
      <c r="C558" s="1205" t="s">
        <v>3086</v>
      </c>
      <c r="D558" s="1206" t="s">
        <v>2547</v>
      </c>
      <c r="E558" s="1386" t="s">
        <v>534</v>
      </c>
      <c r="F558" s="521"/>
      <c r="G558" s="522"/>
      <c r="H558" s="522"/>
      <c r="I558" s="522"/>
      <c r="J558" s="523"/>
      <c r="K558" s="523"/>
      <c r="L558" s="523"/>
      <c r="M558" s="524"/>
      <c r="N558" s="525"/>
      <c r="O558" s="526"/>
      <c r="P558" s="525">
        <f>IFERROR(INDEX(COVID!$E$76:$P$79,MATCH("COVID Pharmaceuticals"&amp;"7.4",INDEX(COVID!$C$76:$C$79&amp;COVID!$V$76:$V$79,0),0),IF(MID(LEFT(P$1,SEARCH(" ",P$1)-1),2,3)-INDEX(COVID!$U$76:$U$79,MATCH("COVID Pharmaceuticals"&amp;"7.4",INDEX(COVID!$C$76:$C$79&amp;COVID!$V$76:$V$79,0),0))&lt;=0,"#VALUE!",MID(LEFT(P$1,SEARCH(" ",P$1)-1),2,3)-INDEX(COVID!$U$76:$U$79,MATCH("COVID Pharmaceuticals"&amp;"7.4",INDEX(COVID!$C$76:$C$79&amp;COVID!$V$76:$V$79,0),0)))),0)+IFERROR(INDEX(COVID!$E$76:$P$79,MATCH("COVID Diagnostics reagents &amp; consumables"&amp;"7.4",INDEX(COVID!$C$76:$C$79&amp;COVID!$V$76:$V$79,0),0),IF(MID(LEFT(P$1,SEARCH(" ",P$1)-1),2,3)-INDEX(COVID!$U$76:$U$79,MATCH("COVID Diagnostics reagents &amp; consumables"&amp;"7.4",INDEX(COVID!$C$76:$C$79&amp;COVID!$V$76:$V$79,0),0))&lt;=0,"#VALUE!",MID(LEFT(P$1,SEARCH(" ",P$1)-1),2,3)-INDEX(COVID!$U$76:$U$79,MATCH("COVID Diagnostics reagents &amp; consumables"&amp;"7.4",INDEX(COVID!$C$76:$C$79&amp;COVID!$V$76:$V$79,0),0)))),0)+IFERROR(INDEX(COVID!$E$76:$P$79,MATCH("COVID PPE &amp; consumables"&amp;"7.4",INDEX(COVID!$C$76:$C$79&amp;COVID!$V$76:$V$79,0),0),IF(MID(LEFT(P$1,SEARCH(" ",P$1)-1),2,3)-INDEX(COVID!$U$76:$U$79,MATCH("COVID PPE &amp; consumables"&amp;"7.4",INDEX(COVID!$C$76:$C$79&amp;COVID!$V$76:$V$79,0),0))&lt;=0,"#VALUE!",MID(LEFT(P$1,SEARCH(" ",P$1)-1),2,3)-INDEX(COVID!$U$76:$U$79,MATCH("COVID PPE &amp; consumables"&amp;"7.4",INDEX(COVID!$C$76:$C$79&amp;COVID!$V$76:$V$79,0),0)))),0)+IFERROR(INDEX(COVID!$E$76:$P$79,MATCH("COVID Equipment"&amp;"7.4",INDEX(COVID!$C$76:$C$79&amp;COVID!$V$76:$V$79,0),0),IF(MID(LEFT(P$1,SEARCH(" ",P$1)-1),2,3)-INDEX(COVID!$U$76:$U$79,MATCH("COVID Equipment"&amp;"7.4",INDEX(COVID!$C$76:$C$79&amp;COVID!$V$76:$V$79,0),0))&lt;=0,"#VALUE!",MID(LEFT(P$1,SEARCH(" ",P$1)-1),2,3)-INDEX(COVID!$U$76:$U$79,MATCH("COVID Equipment"&amp;"7.4",INDEX(COVID!$C$76:$C$79&amp;COVID!$V$76:$V$79,0),0)))),0)</f>
        <v>0</v>
      </c>
      <c r="Q558" s="525"/>
      <c r="R558" s="525">
        <f>IFERROR(INDEX(COVID!$E$76:$P$79,MATCH("COVID Pharmaceuticals"&amp;"7.4",INDEX(COVID!$C$76:$C$79&amp;COVID!$V$76:$V$79,0),0),MID(LEFT(R$1,SEARCH(" ",R$1)-1),2,3)-INDEX(COVID!$U$76:$U$79,MATCH("COVID Pharmaceuticals"&amp;"7.4",INDEX(COVID!$C$76:$C$79&amp;COVID!$V$76:$V$79,0),0))),)+IFERROR(INDEX(COVID!$E$76:$P$79,MATCH("COVID Diagnostics reagents &amp; consumables"&amp;"7.4",INDEX(COVID!$C$76:$C$79&amp;COVID!$V$76:$V$79,0),0),MID(LEFT(R$1,SEARCH(" ",R$1)-1),2,3)-INDEX(COVID!$U$76:$U$79,MATCH("COVID Diagnostics reagents &amp; consumables"&amp;"7.4",INDEX(COVID!$C$76:$C$79&amp;COVID!$V$76:$V$79,0),0))),)+IFERROR(INDEX(COVID!$E$76:$P$79,MATCH("COVID PPE &amp; consumables"&amp;"7.4",INDEX(COVID!$C$76:$C$79&amp;COVID!$V$76:$V$79,0),0),MID(LEFT(R$1,SEARCH(" ",R$1)-1),2,3)-INDEX(COVID!$U$76:$U$79,MATCH("COVID PPE &amp; consumables"&amp;"7.4",INDEX(COVID!$C$76:$C$79&amp;COVID!$V$76:$V$79,0),0))),)+IFERROR(INDEX(COVID!$E$76:$P$79,MATCH("COVID Equipment"&amp;"7.4",INDEX(COVID!$C$76:$C$79&amp;COVID!$V$76:$V$79,0),0),MID(LEFT(R$1,SEARCH(" ",R$1)-1),2,3)-INDEX(COVID!$U$76:$U$79,MATCH("COVID Equipment"&amp;"7.4",INDEX(COVID!$C$76:$C$79&amp;COVID!$V$76:$V$79,0),0))),)</f>
        <v>0</v>
      </c>
      <c r="S558" s="525"/>
      <c r="T558" s="525">
        <f>IFERROR(INDEX(COVID!$E$76:$P$79,MATCH("COVID Pharmaceuticals"&amp;"7.4",INDEX(COVID!$C$76:$C$79&amp;COVID!$V$76:$V$79,0),0),MID(LEFT(T$1,SEARCH(" ",T$1)-1),2,3)-INDEX(COVID!$U$76:$U$79,MATCH("COVID Pharmaceuticals"&amp;"7.4",INDEX(COVID!$C$76:$C$79&amp;COVID!$V$76:$V$79,0),0))),)+IFERROR(INDEX(COVID!$E$76:$P$79,MATCH("COVID Diagnostics reagents &amp; consumables"&amp;"7.4",INDEX(COVID!$C$76:$C$79&amp;COVID!$V$76:$V$79,0),0),MID(LEFT(T$1,SEARCH(" ",T$1)-1),2,3)-INDEX(COVID!$U$76:$U$79,MATCH("COVID Diagnostics reagents &amp; consumables"&amp;"7.4",INDEX(COVID!$C$76:$C$79&amp;COVID!$V$76:$V$79,0),0))),)+IFERROR(INDEX(COVID!$E$76:$P$79,MATCH("COVID PPE &amp; consumables"&amp;"7.4",INDEX(COVID!$C$76:$C$79&amp;COVID!$V$76:$V$79,0),0),MID(LEFT(T$1,SEARCH(" ",T$1)-1),2,3)-INDEX(COVID!$U$76:$U$79,MATCH("COVID PPE &amp; consumables"&amp;"7.4",INDEX(COVID!$C$76:$C$79&amp;COVID!$V$76:$V$79,0),0))),)+IFERROR(INDEX(COVID!$E$76:$P$79,MATCH("COVID Equipment"&amp;"7.4",INDEX(COVID!$C$76:$C$79&amp;COVID!$V$76:$V$79,0),0),MID(LEFT(T$1,SEARCH(" ",T$1)-1),2,3)-INDEX(COVID!$U$76:$U$79,MATCH("COVID Equipment"&amp;"7.4",INDEX(COVID!$C$76:$C$79&amp;COVID!$V$76:$V$79,0),0))),)</f>
        <v>0</v>
      </c>
      <c r="U558" s="525"/>
      <c r="V558" s="525">
        <f>IFERROR(INDEX(COVID!$E$76:$P$79,MATCH("COVID Pharmaceuticals"&amp;"7.4",INDEX(COVID!$C$76:$C$79&amp;COVID!$V$76:$V$79,0),0),MID(LEFT(V$1,SEARCH(" ",V$1)-1),2,3)-INDEX(COVID!$U$76:$U$79,MATCH("COVID Pharmaceuticals"&amp;"7.4",INDEX(COVID!$C$76:$C$79&amp;COVID!$V$76:$V$79,0),0))),)+IFERROR(INDEX(COVID!$E$76:$P$79,MATCH("COVID Diagnostics reagents &amp; consumables"&amp;"7.4",INDEX(COVID!$C$76:$C$79&amp;COVID!$V$76:$V$79,0),0),MID(LEFT(V$1,SEARCH(" ",V$1)-1),2,3)-INDEX(COVID!$U$76:$U$79,MATCH("COVID Diagnostics reagents &amp; consumables"&amp;"7.4",INDEX(COVID!$C$76:$C$79&amp;COVID!$V$76:$V$79,0),0))),)+IFERROR(INDEX(COVID!$E$76:$P$79,MATCH("COVID PPE &amp; consumables"&amp;"7.4",INDEX(COVID!$C$76:$C$79&amp;COVID!$V$76:$V$79,0),0),MID(LEFT(V$1,SEARCH(" ",V$1)-1),2,3)-INDEX(COVID!$U$76:$U$79,MATCH("COVID PPE &amp; consumables"&amp;"7.4",INDEX(COVID!$C$76:$C$79&amp;COVID!$V$76:$V$79,0),0))),)+IFERROR(INDEX(COVID!$E$76:$P$79,MATCH("COVID Equipment"&amp;"7.4",INDEX(COVID!$C$76:$C$79&amp;COVID!$V$76:$V$79,0),0),MID(LEFT(V$1,SEARCH(" ",V$1)-1),2,3)-INDEX(COVID!$U$76:$U$79,MATCH("COVID Equipment"&amp;"7.4",INDEX(COVID!$C$76:$C$79&amp;COVID!$V$76:$V$79,0),0))),)</f>
        <v>0</v>
      </c>
      <c r="W558" s="525"/>
      <c r="X558" s="1154">
        <f t="shared" si="54"/>
        <v>0</v>
      </c>
      <c r="Y558" s="1155"/>
      <c r="Z558" s="1156"/>
      <c r="AA558" s="529"/>
      <c r="AB558" s="525"/>
      <c r="AC558" s="525">
        <f>IFERROR(INDEX(COVID!$E$76:$P$79,MATCH("COVID Pharmaceuticals"&amp;"7.4",INDEX(COVID!$C$76:$C$79&amp;COVID!$V$76:$V$79,0),0),MID(LEFT(AC$1,SEARCH(" ",AC$1)-1),2,3)-INDEX(COVID!$U$76:$U$79,MATCH("COVID Pharmaceuticals"&amp;"7.4",INDEX(COVID!$C$76:$C$79&amp;COVID!$V$76:$V$79,0),0))),)+IFERROR(INDEX(COVID!$E$76:$P$79,MATCH("COVID Diagnostics reagents &amp; consumables"&amp;"7.4",INDEX(COVID!$C$76:$C$79&amp;COVID!$V$76:$V$79,0),0),MID(LEFT(AC$1,SEARCH(" ",AC$1)-1),2,3)-INDEX(COVID!$U$76:$U$79,MATCH("COVID Diagnostics reagents &amp; consumables"&amp;"7.4",INDEX(COVID!$C$76:$C$79&amp;COVID!$V$76:$V$79,0),0))),)+IFERROR(INDEX(COVID!$E$76:$P$79,MATCH("COVID PPE &amp; consumables"&amp;"7.4",INDEX(COVID!$C$76:$C$79&amp;COVID!$V$76:$V$79,0),0),MID(LEFT(AC$1,SEARCH(" ",AC$1)-1),2,3)-INDEX(COVID!$U$76:$U$79,MATCH("COVID PPE &amp; consumables"&amp;"7.4",INDEX(COVID!$C$76:$C$79&amp;COVID!$V$76:$V$79,0),0))),)+IFERROR(INDEX(COVID!$E$76:$P$79,MATCH("COVID Equipment"&amp;"7.4",INDEX(COVID!$C$76:$C$79&amp;COVID!$V$76:$V$79,0),0),MID(LEFT(AC$1,SEARCH(" ",AC$1)-1),2,3)-INDEX(COVID!$U$76:$U$79,MATCH("COVID Equipment"&amp;"7.4",INDEX(COVID!$C$76:$C$79&amp;COVID!$V$76:$V$79,0),0))),)</f>
        <v>0</v>
      </c>
      <c r="AD558" s="525"/>
      <c r="AE558" s="525">
        <f>IFERROR(INDEX(COVID!$E$76:$P$79,MATCH("COVID Pharmaceuticals"&amp;"7.4",INDEX(COVID!$C$76:$C$79&amp;COVID!$V$76:$V$79,0),0),MID(LEFT(AE$1,SEARCH(" ",AE$1)-1),2,3)-INDEX(COVID!$U$76:$U$79,MATCH("COVID Pharmaceuticals"&amp;"7.4",INDEX(COVID!$C$76:$C$79&amp;COVID!$V$76:$V$79,0),0))),)+IFERROR(INDEX(COVID!$E$76:$P$79,MATCH("COVID Diagnostics reagents &amp; consumables"&amp;"7.4",INDEX(COVID!$C$76:$C$79&amp;COVID!$V$76:$V$79,0),0),MID(LEFT(AE$1,SEARCH(" ",AE$1)-1),2,3)-INDEX(COVID!$U$76:$U$79,MATCH("COVID Diagnostics reagents &amp; consumables"&amp;"7.4",INDEX(COVID!$C$76:$C$79&amp;COVID!$V$76:$V$79,0),0))),)+IFERROR(INDEX(COVID!$E$76:$P$79,MATCH("COVID PPE &amp; consumables"&amp;"7.4",INDEX(COVID!$C$76:$C$79&amp;COVID!$V$76:$V$79,0),0),MID(LEFT(AE$1,SEARCH(" ",AE$1)-1),2,3)-INDEX(COVID!$U$76:$U$79,MATCH("COVID PPE &amp; consumables"&amp;"7.4",INDEX(COVID!$C$76:$C$79&amp;COVID!$V$76:$V$79,0),0))),)+IFERROR(INDEX(COVID!$E$76:$P$79,MATCH("COVID Equipment"&amp;"7.4",INDEX(COVID!$C$76:$C$79&amp;COVID!$V$76:$V$79,0),0),MID(LEFT(AE$1,SEARCH(" ",AE$1)-1),2,3)-INDEX(COVID!$U$76:$U$79,MATCH("COVID Equipment"&amp;"7.4",INDEX(COVID!$C$76:$C$79&amp;COVID!$V$76:$V$79,0),0))),)</f>
        <v>0</v>
      </c>
      <c r="AF558" s="525"/>
      <c r="AG558" s="525">
        <f>IFERROR(INDEX(COVID!$E$76:$P$79,MATCH("COVID Pharmaceuticals"&amp;"7.4",INDEX(COVID!$C$76:$C$79&amp;COVID!$V$76:$V$79,0),0),MID(LEFT(AG$1,SEARCH(" ",AG$1)-1),2,3)-INDEX(COVID!$U$76:$U$79,MATCH("COVID Pharmaceuticals"&amp;"7.4",INDEX(COVID!$C$76:$C$79&amp;COVID!$V$76:$V$79,0),0))),)+IFERROR(INDEX(COVID!$E$76:$P$79,MATCH("COVID Diagnostics reagents &amp; consumables"&amp;"7.4",INDEX(COVID!$C$76:$C$79&amp;COVID!$V$76:$V$79,0),0),MID(LEFT(AG$1,SEARCH(" ",AG$1)-1),2,3)-INDEX(COVID!$U$76:$U$79,MATCH("COVID Diagnostics reagents &amp; consumables"&amp;"7.4",INDEX(COVID!$C$76:$C$79&amp;COVID!$V$76:$V$79,0),0))),)+IFERROR(INDEX(COVID!$E$76:$P$79,MATCH("COVID PPE &amp; consumables"&amp;"7.4",INDEX(COVID!$C$76:$C$79&amp;COVID!$V$76:$V$79,0),0),MID(LEFT(AG$1,SEARCH(" ",AG$1)-1),2,3)-INDEX(COVID!$U$76:$U$79,MATCH("COVID PPE &amp; consumables"&amp;"7.4",INDEX(COVID!$C$76:$C$79&amp;COVID!$V$76:$V$79,0),0))),)+IFERROR(INDEX(COVID!$E$76:$P$79,MATCH("COVID Equipment"&amp;"7.4",INDEX(COVID!$C$76:$C$79&amp;COVID!$V$76:$V$79,0),0),MID(LEFT(AG$1,SEARCH(" ",AG$1)-1),2,3)-INDEX(COVID!$U$76:$U$79,MATCH("COVID Equipment"&amp;"7.4",INDEX(COVID!$C$76:$C$79&amp;COVID!$V$76:$V$79,0),0))),)</f>
        <v>0</v>
      </c>
      <c r="AH558" s="525"/>
      <c r="AI558" s="525">
        <f>IFERROR(INDEX(COVID!$E$76:$P$79,MATCH("COVID Pharmaceuticals"&amp;"7.4",INDEX(COVID!$C$76:$C$79&amp;COVID!$V$76:$V$79,0),0),MID(LEFT(AI$1,SEARCH(" ",AI$1)-1),2,3)-INDEX(COVID!$U$76:$U$79,MATCH("COVID Pharmaceuticals"&amp;"7.4",INDEX(COVID!$C$76:$C$79&amp;COVID!$V$76:$V$79,0),0))),)+IFERROR(INDEX(COVID!$E$76:$P$79,MATCH("COVID Diagnostics reagents &amp; consumables"&amp;"7.4",INDEX(COVID!$C$76:$C$79&amp;COVID!$V$76:$V$79,0),0),MID(LEFT(AI$1,SEARCH(" ",AI$1)-1),2,3)-INDEX(COVID!$U$76:$U$79,MATCH("COVID Diagnostics reagents &amp; consumables"&amp;"7.4",INDEX(COVID!$C$76:$C$79&amp;COVID!$V$76:$V$79,0),0))),)+IFERROR(INDEX(COVID!$E$76:$P$79,MATCH("COVID PPE &amp; consumables"&amp;"7.4",INDEX(COVID!$C$76:$C$79&amp;COVID!$V$76:$V$79,0),0),MID(LEFT(AI$1,SEARCH(" ",AI$1)-1),2,3)-INDEX(COVID!$U$76:$U$79,MATCH("COVID PPE &amp; consumables"&amp;"7.4",INDEX(COVID!$C$76:$C$79&amp;COVID!$V$76:$V$79,0),0))),)+IFERROR(INDEX(COVID!$E$76:$P$79,MATCH("COVID Equipment"&amp;"7.4",INDEX(COVID!$C$76:$C$79&amp;COVID!$V$76:$V$79,0),0),MID(LEFT(AI$1,SEARCH(" ",AI$1)-1),2,3)-INDEX(COVID!$U$76:$U$79,MATCH("COVID Equipment"&amp;"7.4",INDEX(COVID!$C$76:$C$79&amp;COVID!$V$76:$V$79,0),0))),)</f>
        <v>0</v>
      </c>
      <c r="AJ558" s="525"/>
      <c r="AK558" s="1154">
        <f t="shared" si="55"/>
        <v>0</v>
      </c>
      <c r="AL558" s="1155"/>
      <c r="AM558" s="1156"/>
      <c r="AN558" s="529"/>
      <c r="AO558" s="525"/>
      <c r="AP558" s="525">
        <f>IFERROR(INDEX(COVID!$E$76:$P$79,MATCH("COVID Pharmaceuticals"&amp;"7.4",INDEX(COVID!$C$76:$C$79&amp;COVID!$V$76:$V$79,0),0),MID(LEFT(AP$1,SEARCH(" ",AP$1)-1),2,3)-INDEX(COVID!$U$76:$U$79,MATCH("COVID Pharmaceuticals"&amp;"7.4",INDEX(COVID!$C$76:$C$79&amp;COVID!$V$76:$V$79,0),0))),)+IFERROR(INDEX(COVID!$E$76:$P$79,MATCH("COVID Diagnostics reagents &amp; consumables"&amp;"7.4",INDEX(COVID!$C$76:$C$79&amp;COVID!$V$76:$V$79,0),0),MID(LEFT(AP$1,SEARCH(" ",AP$1)-1),2,3)-INDEX(COVID!$U$76:$U$79,MATCH("COVID Diagnostics reagents &amp; consumables"&amp;"7.4",INDEX(COVID!$C$76:$C$79&amp;COVID!$V$76:$V$79,0),0))),)+IFERROR(INDEX(COVID!$E$76:$P$79,MATCH("COVID PPE &amp; consumables"&amp;"7.4",INDEX(COVID!$C$76:$C$79&amp;COVID!$V$76:$V$79,0),0),MID(LEFT(AP$1,SEARCH(" ",AP$1)-1),2,3)-INDEX(COVID!$U$76:$U$79,MATCH("COVID PPE &amp; consumables"&amp;"7.4",INDEX(COVID!$C$76:$C$79&amp;COVID!$V$76:$V$79,0),0))),)+IFERROR(INDEX(COVID!$E$76:$P$79,MATCH("COVID Equipment"&amp;"7.4",INDEX(COVID!$C$76:$C$79&amp;COVID!$V$76:$V$79,0),0),MID(LEFT(AP$1,SEARCH(" ",AP$1)-1),2,3)-INDEX(COVID!$U$76:$U$79,MATCH("COVID Equipment"&amp;"7.4",INDEX(COVID!$C$76:$C$79&amp;COVID!$V$76:$V$79,0),0))),)</f>
        <v>0</v>
      </c>
      <c r="AQ558" s="525"/>
      <c r="AR558" s="525">
        <f>IFERROR(INDEX(COVID!$E$76:$P$79,MATCH("COVID Pharmaceuticals"&amp;"7.4",INDEX(COVID!$C$76:$C$79&amp;COVID!$V$76:$V$79,0),0),MID(LEFT(AR$1,SEARCH(" ",AR$1)-1),2,3)-INDEX(COVID!$U$76:$U$79,MATCH("COVID Pharmaceuticals"&amp;"7.4",INDEX(COVID!$C$76:$C$79&amp;COVID!$V$76:$V$79,0),0))),)+IFERROR(INDEX(COVID!$E$76:$P$79,MATCH("COVID Diagnostics reagents &amp; consumables"&amp;"7.4",INDEX(COVID!$C$76:$C$79&amp;COVID!$V$76:$V$79,0),0),MID(LEFT(AR$1,SEARCH(" ",AR$1)-1),2,3)-INDEX(COVID!$U$76:$U$79,MATCH("COVID Diagnostics reagents &amp; consumables"&amp;"7.4",INDEX(COVID!$C$76:$C$79&amp;COVID!$V$76:$V$79,0),0))),)+IFERROR(INDEX(COVID!$E$76:$P$79,MATCH("COVID PPE &amp; consumables"&amp;"7.4",INDEX(COVID!$C$76:$C$79&amp;COVID!$V$76:$V$79,0),0),MID(LEFT(AR$1,SEARCH(" ",AR$1)-1),2,3)-INDEX(COVID!$U$76:$U$79,MATCH("COVID PPE &amp; consumables"&amp;"7.4",INDEX(COVID!$C$76:$C$79&amp;COVID!$V$76:$V$79,0),0))),)+IFERROR(INDEX(COVID!$E$76:$P$79,MATCH("COVID Equipment"&amp;"7.4",INDEX(COVID!$C$76:$C$79&amp;COVID!$V$76:$V$79,0),0),MID(LEFT(AR$1,SEARCH(" ",AR$1)-1),2,3)-INDEX(COVID!$U$76:$U$79,MATCH("COVID Equipment"&amp;"7.4",INDEX(COVID!$C$76:$C$79&amp;COVID!$V$76:$V$79,0),0))),)</f>
        <v>0</v>
      </c>
      <c r="AS558" s="525"/>
      <c r="AT558" s="525">
        <f>IFERROR(INDEX(COVID!$E$76:$P$79,MATCH("COVID Pharmaceuticals"&amp;"7.4",INDEX(COVID!$C$76:$C$79&amp;COVID!$V$76:$V$79,0),0),MID(LEFT(AT$1,SEARCH(" ",AT$1)-1),2,3)-INDEX(COVID!$U$76:$U$79,MATCH("COVID Pharmaceuticals"&amp;"7.4",INDEX(COVID!$C$76:$C$79&amp;COVID!$V$76:$V$79,0),0))),)+IFERROR(INDEX(COVID!$E$76:$P$79,MATCH("COVID Diagnostics reagents &amp; consumables"&amp;"7.4",INDEX(COVID!$C$76:$C$79&amp;COVID!$V$76:$V$79,0),0),MID(LEFT(AT$1,SEARCH(" ",AT$1)-1),2,3)-INDEX(COVID!$U$76:$U$79,MATCH("COVID Diagnostics reagents &amp; consumables"&amp;"7.4",INDEX(COVID!$C$76:$C$79&amp;COVID!$V$76:$V$79,0),0))),)+IFERROR(INDEX(COVID!$E$76:$P$79,MATCH("COVID PPE &amp; consumables"&amp;"7.4",INDEX(COVID!$C$76:$C$79&amp;COVID!$V$76:$V$79,0),0),MID(LEFT(AT$1,SEARCH(" ",AT$1)-1),2,3)-INDEX(COVID!$U$76:$U$79,MATCH("COVID PPE &amp; consumables"&amp;"7.4",INDEX(COVID!$C$76:$C$79&amp;COVID!$V$76:$V$79,0),0))),)+IFERROR(INDEX(COVID!$E$76:$P$79,MATCH("COVID Equipment"&amp;"7.4",INDEX(COVID!$C$76:$C$79&amp;COVID!$V$76:$V$79,0),0),MID(LEFT(AT$1,SEARCH(" ",AT$1)-1),2,3)-INDEX(COVID!$U$76:$U$79,MATCH("COVID Equipment"&amp;"7.4",INDEX(COVID!$C$76:$C$79&amp;COVID!$V$76:$V$79,0),0))),)</f>
        <v>0</v>
      </c>
      <c r="AU558" s="525"/>
      <c r="AV558" s="525">
        <f>IFERROR(INDEX(COVID!$Q$64:$Q$91,MATCH("COVID Pharmaceuticals"&amp;"7.4",INDEX(COVID!$C$64:$C$91&amp;COVID!$V$64:$V$91,0),0),),)+IFERROR(INDEX(COVID!$Q$64:$Q$91,MATCH("COVID Diagnostics reagents &amp; consumables"&amp;"7.4",INDEX(COVID!$C$64:$C$91&amp;COVID!$V$64:$V$91,0),0),),)+IFERROR(INDEX(COVID!$Q$64:$Q$91,MATCH("COVID PPE &amp; consumables"&amp;"7.4",INDEX(COVID!$C$64:$C$91&amp;COVID!$V$64:$V$91,0),0),),)+IFERROR(INDEX(COVID!$Q$64:$Q$91,MATCH("COVID Equipment"&amp;"7.4",INDEX(COVID!$C$64:$C$91&amp;COVID!$V$64:$V$91,0),0),),)-SUM(X558,AK558,AP558,AR558,AT558)</f>
        <v>0</v>
      </c>
      <c r="AW558" s="525"/>
      <c r="AX558" s="1154">
        <f t="shared" si="56"/>
        <v>0</v>
      </c>
      <c r="AY558" s="1154"/>
      <c r="AZ558" s="528"/>
      <c r="BA558" s="529"/>
      <c r="BB558" s="527"/>
      <c r="BC558" s="527"/>
      <c r="BD558" s="527"/>
      <c r="BE558" s="527"/>
      <c r="BF558" s="527"/>
      <c r="BG558" s="527"/>
      <c r="BH558" s="527"/>
      <c r="BI558" s="527"/>
      <c r="BJ558" s="527"/>
      <c r="BK558" s="1154">
        <f t="shared" si="60"/>
        <v>0</v>
      </c>
      <c r="BL558" s="1154"/>
      <c r="BM558" s="1154">
        <f t="shared" si="61"/>
        <v>0</v>
      </c>
      <c r="BN558" s="1154">
        <f t="shared" si="62"/>
        <v>0</v>
      </c>
      <c r="BO558" s="527"/>
      <c r="BP558" s="527"/>
      <c r="BQ558" s="1157">
        <v>0</v>
      </c>
      <c r="BR558" s="1157" t="s">
        <v>2680</v>
      </c>
      <c r="BS558" s="1157" t="s">
        <v>2547</v>
      </c>
      <c r="BT558" s="1376" t="s">
        <v>3098</v>
      </c>
      <c r="BU558" s="1371"/>
    </row>
    <row r="559" spans="1:73" ht="13">
      <c r="A559" s="1204"/>
      <c r="B559" s="1205" t="s">
        <v>3085</v>
      </c>
      <c r="C559" s="1205" t="s">
        <v>3086</v>
      </c>
      <c r="D559" s="1206" t="s">
        <v>2547</v>
      </c>
      <c r="E559" s="1386" t="s">
        <v>536</v>
      </c>
      <c r="F559" s="521"/>
      <c r="G559" s="522"/>
      <c r="H559" s="522"/>
      <c r="I559" s="522"/>
      <c r="J559" s="523"/>
      <c r="K559" s="523"/>
      <c r="L559" s="523"/>
      <c r="M559" s="524"/>
      <c r="N559" s="525"/>
      <c r="O559" s="526"/>
      <c r="P559" s="525">
        <f>IFERROR(INDEX(COVID!$E$80:$P$83,MATCH("COVID Pharmaceuticals"&amp;"7.5",INDEX(COVID!$C$80:$C$83&amp;COVID!$V$80:$V$83,0),0),IF(MID(LEFT(P$1,SEARCH(" ",P$1)-1),2,3)-INDEX(COVID!$U$80:$U$83,MATCH("COVID Pharmaceuticals"&amp;"7.5",INDEX(COVID!$C$80:$C$83&amp;COVID!$V$80:$V$83,0),0))&lt;=0,"#VALUE!",MID(LEFT(P$1,SEARCH(" ",P$1)-1),2,3)-INDEX(COVID!$U$80:$U$83,MATCH("COVID Pharmaceuticals"&amp;"7.5",INDEX(COVID!$C$80:$C$83&amp;COVID!$V$80:$V$83,0),0)))),0)+IFERROR(INDEX(COVID!$E$80:$P$83,MATCH("COVID Diagnostics reagents &amp; consumables"&amp;"7.5",INDEX(COVID!$C$80:$C$83&amp;COVID!$V$80:$V$83,0),0),IF(MID(LEFT(P$1,SEARCH(" ",P$1)-1),2,3)-INDEX(COVID!$U$80:$U$83,MATCH("COVID Diagnostics reagents &amp; consumables"&amp;"7.5",INDEX(COVID!$C$80:$C$83&amp;COVID!$V$80:$V$83,0),0))&lt;=0,"#VALUE!",MID(LEFT(P$1,SEARCH(" ",P$1)-1),2,3)-INDEX(COVID!$U$80:$U$83,MATCH("COVID Diagnostics reagents &amp; consumables"&amp;"7.5",INDEX(COVID!$C$80:$C$83&amp;COVID!$V$80:$V$83,0),0)))),0)+IFERROR(INDEX(COVID!$E$80:$P$83,MATCH("COVID PPE &amp; consumables"&amp;"7.5",INDEX(COVID!$C$80:$C$83&amp;COVID!$V$80:$V$83,0),0),IF(MID(LEFT(P$1,SEARCH(" ",P$1)-1),2,3)-INDEX(COVID!$U$80:$U$83,MATCH("COVID PPE &amp; consumables"&amp;"7.5",INDEX(COVID!$C$80:$C$83&amp;COVID!$V$80:$V$83,0),0))&lt;=0,"#VALUE!",MID(LEFT(P$1,SEARCH(" ",P$1)-1),2,3)-INDEX(COVID!$U$80:$U$83,MATCH("COVID PPE &amp; consumables"&amp;"7.5",INDEX(COVID!$C$80:$C$83&amp;COVID!$V$80:$V$83,0),0)))),0)+IFERROR(INDEX(COVID!$E$80:$P$83,MATCH("COVID Equipment"&amp;"7.5",INDEX(COVID!$C$80:$C$83&amp;COVID!$V$80:$V$83,0),0),IF(MID(LEFT(P$1,SEARCH(" ",P$1)-1),2,3)-INDEX(COVID!$U$80:$U$83,MATCH("COVID Equipment"&amp;"7.5",INDEX(COVID!$C$80:$C$83&amp;COVID!$V$80:$V$83,0),0))&lt;=0,"#VALUE!",MID(LEFT(P$1,SEARCH(" ",P$1)-1),2,3)-INDEX(COVID!$U$80:$U$83,MATCH("COVID Equipment"&amp;"7.5",INDEX(COVID!$C$80:$C$83&amp;COVID!$V$80:$V$83,0),0)))),0)</f>
        <v>0</v>
      </c>
      <c r="Q559" s="525"/>
      <c r="R559" s="525">
        <f>IFERROR(INDEX(COVID!$E$80:$P$83,MATCH("COVID Pharmaceuticals"&amp;"7.5",INDEX(COVID!$C$80:$C$83&amp;COVID!$V$80:$V$83,0),0),MID(LEFT(R$1,SEARCH(" ",R$1)-1),2,3)-INDEX(COVID!$U$80:$U$83,MATCH("COVID Pharmaceuticals"&amp;"7.5",INDEX(COVID!$C$80:$C$83&amp;COVID!$V$80:$V$83,0),0))),)+IFERROR(INDEX(COVID!$E$80:$P$83,MATCH("COVID Diagnostics reagents &amp; consumables"&amp;"7.5",INDEX(COVID!$C$80:$C$83&amp;COVID!$V$80:$V$83,0),0),MID(LEFT(R$1,SEARCH(" ",R$1)-1),2,3)-INDEX(COVID!$U$80:$U$83,MATCH("COVID Diagnostics reagents &amp; consumables"&amp;"7.5",INDEX(COVID!$C$80:$C$83&amp;COVID!$V$80:$V$83,0),0))),)+IFERROR(INDEX(COVID!$E$80:$P$83,MATCH("COVID PPE &amp; consumables"&amp;"7.5",INDEX(COVID!$C$80:$C$83&amp;COVID!$V$80:$V$83,0),0),MID(LEFT(R$1,SEARCH(" ",R$1)-1),2,3)-INDEX(COVID!$U$80:$U$83,MATCH("COVID PPE &amp; consumables"&amp;"7.5",INDEX(COVID!$C$80:$C$83&amp;COVID!$V$80:$V$83,0),0))),)+IFERROR(INDEX(COVID!$E$80:$P$83,MATCH("COVID Equipment"&amp;"7.5",INDEX(COVID!$C$80:$C$83&amp;COVID!$V$80:$V$83,0),0),MID(LEFT(R$1,SEARCH(" ",R$1)-1),2,3)-INDEX(COVID!$U$80:$U$83,MATCH("COVID Equipment"&amp;"7.5",INDEX(COVID!$C$80:$C$83&amp;COVID!$V$80:$V$83,0),0))),)</f>
        <v>0</v>
      </c>
      <c r="S559" s="525"/>
      <c r="T559" s="525">
        <f>IFERROR(INDEX(COVID!$E$80:$P$83,MATCH("COVID Pharmaceuticals"&amp;"7.5",INDEX(COVID!$C$80:$C$83&amp;COVID!$V$80:$V$83,0),0),MID(LEFT(T$1,SEARCH(" ",T$1)-1),2,3)-INDEX(COVID!$U$80:$U$83,MATCH("COVID Pharmaceuticals"&amp;"7.5",INDEX(COVID!$C$80:$C$83&amp;COVID!$V$80:$V$83,0),0))),)+IFERROR(INDEX(COVID!$E$80:$P$83,MATCH("COVID Diagnostics reagents &amp; consumables"&amp;"7.5",INDEX(COVID!$C$80:$C$83&amp;COVID!$V$80:$V$83,0),0),MID(LEFT(T$1,SEARCH(" ",T$1)-1),2,3)-INDEX(COVID!$U$80:$U$83,MATCH("COVID Diagnostics reagents &amp; consumables"&amp;"7.5",INDEX(COVID!$C$80:$C$83&amp;COVID!$V$80:$V$83,0),0))),)+IFERROR(INDEX(COVID!$E$80:$P$83,MATCH("COVID PPE &amp; consumables"&amp;"7.5",INDEX(COVID!$C$80:$C$83&amp;COVID!$V$80:$V$83,0),0),MID(LEFT(T$1,SEARCH(" ",T$1)-1),2,3)-INDEX(COVID!$U$80:$U$83,MATCH("COVID PPE &amp; consumables"&amp;"7.5",INDEX(COVID!$C$80:$C$83&amp;COVID!$V$80:$V$83,0),0))),)+IFERROR(INDEX(COVID!$E$80:$P$83,MATCH("COVID Equipment"&amp;"7.5",INDEX(COVID!$C$80:$C$83&amp;COVID!$V$80:$V$83,0),0),MID(LEFT(T$1,SEARCH(" ",T$1)-1),2,3)-INDEX(COVID!$U$80:$U$83,MATCH("COVID Equipment"&amp;"7.5",INDEX(COVID!$C$80:$C$83&amp;COVID!$V$80:$V$83,0),0))),)</f>
        <v>0</v>
      </c>
      <c r="U559" s="525"/>
      <c r="V559" s="525">
        <f>IFERROR(INDEX(COVID!$E$80:$P$83,MATCH("COVID Pharmaceuticals"&amp;"7.5",INDEX(COVID!$C$80:$C$83&amp;COVID!$V$80:$V$83,0),0),MID(LEFT(V$1,SEARCH(" ",V$1)-1),2,3)-INDEX(COVID!$U$80:$U$83,MATCH("COVID Pharmaceuticals"&amp;"7.5",INDEX(COVID!$C$80:$C$83&amp;COVID!$V$80:$V$83,0),0))),)+IFERROR(INDEX(COVID!$E$80:$P$83,MATCH("COVID Diagnostics reagents &amp; consumables"&amp;"7.5",INDEX(COVID!$C$80:$C$83&amp;COVID!$V$80:$V$83,0),0),MID(LEFT(V$1,SEARCH(" ",V$1)-1),2,3)-INDEX(COVID!$U$80:$U$83,MATCH("COVID Diagnostics reagents &amp; consumables"&amp;"7.5",INDEX(COVID!$C$80:$C$83&amp;COVID!$V$80:$V$83,0),0))),)+IFERROR(INDEX(COVID!$E$80:$P$83,MATCH("COVID PPE &amp; consumables"&amp;"7.5",INDEX(COVID!$C$80:$C$83&amp;COVID!$V$80:$V$83,0),0),MID(LEFT(V$1,SEARCH(" ",V$1)-1),2,3)-INDEX(COVID!$U$80:$U$83,MATCH("COVID PPE &amp; consumables"&amp;"7.5",INDEX(COVID!$C$80:$C$83&amp;COVID!$V$80:$V$83,0),0))),)+IFERROR(INDEX(COVID!$E$80:$P$83,MATCH("COVID Equipment"&amp;"7.5",INDEX(COVID!$C$80:$C$83&amp;COVID!$V$80:$V$83,0),0),MID(LEFT(V$1,SEARCH(" ",V$1)-1),2,3)-INDEX(COVID!$U$80:$U$83,MATCH("COVID Equipment"&amp;"7.5",INDEX(COVID!$C$80:$C$83&amp;COVID!$V$80:$V$83,0),0))),)</f>
        <v>0</v>
      </c>
      <c r="W559" s="525"/>
      <c r="X559" s="1154">
        <f t="shared" si="54"/>
        <v>0</v>
      </c>
      <c r="Y559" s="1155"/>
      <c r="Z559" s="1156"/>
      <c r="AA559" s="529"/>
      <c r="AB559" s="525"/>
      <c r="AC559" s="525">
        <f>IFERROR(INDEX(COVID!$E$80:$P$83,MATCH("COVID Pharmaceuticals"&amp;"7.5",INDEX(COVID!$C$80:$C$83&amp;COVID!$V$80:$V$83,0),0),MID(LEFT(AC$1,SEARCH(" ",AC$1)-1),2,3)-INDEX(COVID!$U$80:$U$83,MATCH("COVID Pharmaceuticals"&amp;"7.5",INDEX(COVID!$C$80:$C$83&amp;COVID!$V$80:$V$83,0),0))),)+IFERROR(INDEX(COVID!$E$80:$P$83,MATCH("COVID Diagnostics reagents &amp; consumables"&amp;"7.5",INDEX(COVID!$C$80:$C$83&amp;COVID!$V$80:$V$83,0),0),MID(LEFT(AC$1,SEARCH(" ",AC$1)-1),2,3)-INDEX(COVID!$U$80:$U$83,MATCH("COVID Diagnostics reagents &amp; consumables"&amp;"7.5",INDEX(COVID!$C$80:$C$83&amp;COVID!$V$80:$V$83,0),0))),)+IFERROR(INDEX(COVID!$E$80:$P$83,MATCH("COVID PPE &amp; consumables"&amp;"7.5",INDEX(COVID!$C$80:$C$83&amp;COVID!$V$80:$V$83,0),0),MID(LEFT(AC$1,SEARCH(" ",AC$1)-1),2,3)-INDEX(COVID!$U$80:$U$83,MATCH("COVID PPE &amp; consumables"&amp;"7.5",INDEX(COVID!$C$80:$C$83&amp;COVID!$V$80:$V$83,0),0))),)+IFERROR(INDEX(COVID!$E$80:$P$83,MATCH("COVID Equipment"&amp;"7.5",INDEX(COVID!$C$80:$C$83&amp;COVID!$V$80:$V$83,0),0),MID(LEFT(AC$1,SEARCH(" ",AC$1)-1),2,3)-INDEX(COVID!$U$80:$U$83,MATCH("COVID Equipment"&amp;"7.5",INDEX(COVID!$C$80:$C$83&amp;COVID!$V$80:$V$83,0),0))),)</f>
        <v>0</v>
      </c>
      <c r="AD559" s="525"/>
      <c r="AE559" s="525">
        <f>IFERROR(INDEX(COVID!$E$80:$P$83,MATCH("COVID Pharmaceuticals"&amp;"7.5",INDEX(COVID!$C$80:$C$83&amp;COVID!$V$80:$V$83,0),0),MID(LEFT(AE$1,SEARCH(" ",AE$1)-1),2,3)-INDEX(COVID!$U$80:$U$83,MATCH("COVID Pharmaceuticals"&amp;"7.5",INDEX(COVID!$C$80:$C$83&amp;COVID!$V$80:$V$83,0),0))),)+IFERROR(INDEX(COVID!$E$80:$P$83,MATCH("COVID Diagnostics reagents &amp; consumables"&amp;"7.5",INDEX(COVID!$C$80:$C$83&amp;COVID!$V$80:$V$83,0),0),MID(LEFT(AE$1,SEARCH(" ",AE$1)-1),2,3)-INDEX(COVID!$U$80:$U$83,MATCH("COVID Diagnostics reagents &amp; consumables"&amp;"7.5",INDEX(COVID!$C$80:$C$83&amp;COVID!$V$80:$V$83,0),0))),)+IFERROR(INDEX(COVID!$E$80:$P$83,MATCH("COVID PPE &amp; consumables"&amp;"7.5",INDEX(COVID!$C$80:$C$83&amp;COVID!$V$80:$V$83,0),0),MID(LEFT(AE$1,SEARCH(" ",AE$1)-1),2,3)-INDEX(COVID!$U$80:$U$83,MATCH("COVID PPE &amp; consumables"&amp;"7.5",INDEX(COVID!$C$80:$C$83&amp;COVID!$V$80:$V$83,0),0))),)+IFERROR(INDEX(COVID!$E$80:$P$83,MATCH("COVID Equipment"&amp;"7.5",INDEX(COVID!$C$80:$C$83&amp;COVID!$V$80:$V$83,0),0),MID(LEFT(AE$1,SEARCH(" ",AE$1)-1),2,3)-INDEX(COVID!$U$80:$U$83,MATCH("COVID Equipment"&amp;"7.5",INDEX(COVID!$C$80:$C$83&amp;COVID!$V$80:$V$83,0),0))),)</f>
        <v>0</v>
      </c>
      <c r="AF559" s="525"/>
      <c r="AG559" s="525">
        <f>IFERROR(INDEX(COVID!$E$80:$P$83,MATCH("COVID Pharmaceuticals"&amp;"7.5",INDEX(COVID!$C$80:$C$83&amp;COVID!$V$80:$V$83,0),0),MID(LEFT(AG$1,SEARCH(" ",AG$1)-1),2,3)-INDEX(COVID!$U$80:$U$83,MATCH("COVID Pharmaceuticals"&amp;"7.5",INDEX(COVID!$C$80:$C$83&amp;COVID!$V$80:$V$83,0),0))),)+IFERROR(INDEX(COVID!$E$80:$P$83,MATCH("COVID Diagnostics reagents &amp; consumables"&amp;"7.5",INDEX(COVID!$C$80:$C$83&amp;COVID!$V$80:$V$83,0),0),MID(LEFT(AG$1,SEARCH(" ",AG$1)-1),2,3)-INDEX(COVID!$U$80:$U$83,MATCH("COVID Diagnostics reagents &amp; consumables"&amp;"7.5",INDEX(COVID!$C$80:$C$83&amp;COVID!$V$80:$V$83,0),0))),)+IFERROR(INDEX(COVID!$E$80:$P$83,MATCH("COVID PPE &amp; consumables"&amp;"7.5",INDEX(COVID!$C$80:$C$83&amp;COVID!$V$80:$V$83,0),0),MID(LEFT(AG$1,SEARCH(" ",AG$1)-1),2,3)-INDEX(COVID!$U$80:$U$83,MATCH("COVID PPE &amp; consumables"&amp;"7.5",INDEX(COVID!$C$80:$C$83&amp;COVID!$V$80:$V$83,0),0))),)+IFERROR(INDEX(COVID!$E$80:$P$83,MATCH("COVID Equipment"&amp;"7.5",INDEX(COVID!$C$80:$C$83&amp;COVID!$V$80:$V$83,0),0),MID(LEFT(AG$1,SEARCH(" ",AG$1)-1),2,3)-INDEX(COVID!$U$80:$U$83,MATCH("COVID Equipment"&amp;"7.5",INDEX(COVID!$C$80:$C$83&amp;COVID!$V$80:$V$83,0),0))),)</f>
        <v>0</v>
      </c>
      <c r="AH559" s="525"/>
      <c r="AI559" s="525">
        <f>IFERROR(INDEX(COVID!$E$80:$P$83,MATCH("COVID Pharmaceuticals"&amp;"7.5",INDEX(COVID!$C$80:$C$83&amp;COVID!$V$80:$V$83,0),0),MID(LEFT(AI$1,SEARCH(" ",AI$1)-1),2,3)-INDEX(COVID!$U$80:$U$83,MATCH("COVID Pharmaceuticals"&amp;"7.5",INDEX(COVID!$C$80:$C$83&amp;COVID!$V$80:$V$83,0),0))),)+IFERROR(INDEX(COVID!$E$80:$P$83,MATCH("COVID Diagnostics reagents &amp; consumables"&amp;"7.5",INDEX(COVID!$C$80:$C$83&amp;COVID!$V$80:$V$83,0),0),MID(LEFT(AI$1,SEARCH(" ",AI$1)-1),2,3)-INDEX(COVID!$U$80:$U$83,MATCH("COVID Diagnostics reagents &amp; consumables"&amp;"7.5",INDEX(COVID!$C$80:$C$83&amp;COVID!$V$80:$V$83,0),0))),)+IFERROR(INDEX(COVID!$E$80:$P$83,MATCH("COVID PPE &amp; consumables"&amp;"7.5",INDEX(COVID!$C$80:$C$83&amp;COVID!$V$80:$V$83,0),0),MID(LEFT(AI$1,SEARCH(" ",AI$1)-1),2,3)-INDEX(COVID!$U$80:$U$83,MATCH("COVID PPE &amp; consumables"&amp;"7.5",INDEX(COVID!$C$80:$C$83&amp;COVID!$V$80:$V$83,0),0))),)+IFERROR(INDEX(COVID!$E$80:$P$83,MATCH("COVID Equipment"&amp;"7.5",INDEX(COVID!$C$80:$C$83&amp;COVID!$V$80:$V$83,0),0),MID(LEFT(AI$1,SEARCH(" ",AI$1)-1),2,3)-INDEX(COVID!$U$80:$U$83,MATCH("COVID Equipment"&amp;"7.5",INDEX(COVID!$C$80:$C$83&amp;COVID!$V$80:$V$83,0),0))),)</f>
        <v>0</v>
      </c>
      <c r="AJ559" s="525"/>
      <c r="AK559" s="1154">
        <f t="shared" si="55"/>
        <v>0</v>
      </c>
      <c r="AL559" s="1155"/>
      <c r="AM559" s="1156"/>
      <c r="AN559" s="529"/>
      <c r="AO559" s="525"/>
      <c r="AP559" s="525">
        <f>IFERROR(INDEX(COVID!$E$80:$P$83,MATCH("COVID Pharmaceuticals"&amp;"7.5",INDEX(COVID!$C$80:$C$83&amp;COVID!$V$80:$V$83,0),0),MID(LEFT(AP$1,SEARCH(" ",AP$1)-1),2,3)-INDEX(COVID!$U$80:$U$83,MATCH("COVID Pharmaceuticals"&amp;"7.5",INDEX(COVID!$C$80:$C$83&amp;COVID!$V$80:$V$83,0),0))),)+IFERROR(INDEX(COVID!$E$80:$P$83,MATCH("COVID Diagnostics reagents &amp; consumables"&amp;"7.5",INDEX(COVID!$C$80:$C$83&amp;COVID!$V$80:$V$83,0),0),MID(LEFT(AP$1,SEARCH(" ",AP$1)-1),2,3)-INDEX(COVID!$U$80:$U$83,MATCH("COVID Diagnostics reagents &amp; consumables"&amp;"7.5",INDEX(COVID!$C$80:$C$83&amp;COVID!$V$80:$V$83,0),0))),)+IFERROR(INDEX(COVID!$E$80:$P$83,MATCH("COVID PPE &amp; consumables"&amp;"7.5",INDEX(COVID!$C$80:$C$83&amp;COVID!$V$80:$V$83,0),0),MID(LEFT(AP$1,SEARCH(" ",AP$1)-1),2,3)-INDEX(COVID!$U$80:$U$83,MATCH("COVID PPE &amp; consumables"&amp;"7.5",INDEX(COVID!$C$80:$C$83&amp;COVID!$V$80:$V$83,0),0))),)+IFERROR(INDEX(COVID!$E$80:$P$83,MATCH("COVID Equipment"&amp;"7.5",INDEX(COVID!$C$80:$C$83&amp;COVID!$V$80:$V$83,0),0),MID(LEFT(AP$1,SEARCH(" ",AP$1)-1),2,3)-INDEX(COVID!$U$80:$U$83,MATCH("COVID Equipment"&amp;"7.5",INDEX(COVID!$C$80:$C$83&amp;COVID!$V$80:$V$83,0),0))),)</f>
        <v>0</v>
      </c>
      <c r="AQ559" s="525"/>
      <c r="AR559" s="525">
        <f>IFERROR(INDEX(COVID!$E$80:$P$83,MATCH("COVID Pharmaceuticals"&amp;"7.5",INDEX(COVID!$C$80:$C$83&amp;COVID!$V$80:$V$83,0),0),MID(LEFT(AR$1,SEARCH(" ",AR$1)-1),2,3)-INDEX(COVID!$U$80:$U$83,MATCH("COVID Pharmaceuticals"&amp;"7.5",INDEX(COVID!$C$80:$C$83&amp;COVID!$V$80:$V$83,0),0))),)+IFERROR(INDEX(COVID!$E$80:$P$83,MATCH("COVID Diagnostics reagents &amp; consumables"&amp;"7.5",INDEX(COVID!$C$80:$C$83&amp;COVID!$V$80:$V$83,0),0),MID(LEFT(AR$1,SEARCH(" ",AR$1)-1),2,3)-INDEX(COVID!$U$80:$U$83,MATCH("COVID Diagnostics reagents &amp; consumables"&amp;"7.5",INDEX(COVID!$C$80:$C$83&amp;COVID!$V$80:$V$83,0),0))),)+IFERROR(INDEX(COVID!$E$80:$P$83,MATCH("COVID PPE &amp; consumables"&amp;"7.5",INDEX(COVID!$C$80:$C$83&amp;COVID!$V$80:$V$83,0),0),MID(LEFT(AR$1,SEARCH(" ",AR$1)-1),2,3)-INDEX(COVID!$U$80:$U$83,MATCH("COVID PPE &amp; consumables"&amp;"7.5",INDEX(COVID!$C$80:$C$83&amp;COVID!$V$80:$V$83,0),0))),)+IFERROR(INDEX(COVID!$E$80:$P$83,MATCH("COVID Equipment"&amp;"7.5",INDEX(COVID!$C$80:$C$83&amp;COVID!$V$80:$V$83,0),0),MID(LEFT(AR$1,SEARCH(" ",AR$1)-1),2,3)-INDEX(COVID!$U$80:$U$83,MATCH("COVID Equipment"&amp;"7.5",INDEX(COVID!$C$80:$C$83&amp;COVID!$V$80:$V$83,0),0))),)</f>
        <v>0</v>
      </c>
      <c r="AS559" s="525"/>
      <c r="AT559" s="525">
        <f>IFERROR(INDEX(COVID!$E$80:$P$83,MATCH("COVID Pharmaceuticals"&amp;"7.5",INDEX(COVID!$C$80:$C$83&amp;COVID!$V$80:$V$83,0),0),MID(LEFT(AT$1,SEARCH(" ",AT$1)-1),2,3)-INDEX(COVID!$U$80:$U$83,MATCH("COVID Pharmaceuticals"&amp;"7.5",INDEX(COVID!$C$80:$C$83&amp;COVID!$V$80:$V$83,0),0))),)+IFERROR(INDEX(COVID!$E$80:$P$83,MATCH("COVID Diagnostics reagents &amp; consumables"&amp;"7.5",INDEX(COVID!$C$80:$C$83&amp;COVID!$V$80:$V$83,0),0),MID(LEFT(AT$1,SEARCH(" ",AT$1)-1),2,3)-INDEX(COVID!$U$80:$U$83,MATCH("COVID Diagnostics reagents &amp; consumables"&amp;"7.5",INDEX(COVID!$C$80:$C$83&amp;COVID!$V$80:$V$83,0),0))),)+IFERROR(INDEX(COVID!$E$80:$P$83,MATCH("COVID PPE &amp; consumables"&amp;"7.5",INDEX(COVID!$C$80:$C$83&amp;COVID!$V$80:$V$83,0),0),MID(LEFT(AT$1,SEARCH(" ",AT$1)-1),2,3)-INDEX(COVID!$U$80:$U$83,MATCH("COVID PPE &amp; consumables"&amp;"7.5",INDEX(COVID!$C$80:$C$83&amp;COVID!$V$80:$V$83,0),0))),)+IFERROR(INDEX(COVID!$E$80:$P$83,MATCH("COVID Equipment"&amp;"7.5",INDEX(COVID!$C$80:$C$83&amp;COVID!$V$80:$V$83,0),0),MID(LEFT(AT$1,SEARCH(" ",AT$1)-1),2,3)-INDEX(COVID!$U$80:$U$83,MATCH("COVID Equipment"&amp;"7.5",INDEX(COVID!$C$80:$C$83&amp;COVID!$V$80:$V$83,0),0))),)</f>
        <v>0</v>
      </c>
      <c r="AU559" s="525"/>
      <c r="AV559" s="525">
        <f>IFERROR(INDEX(COVID!$Q$64:$Q$91,MATCH("COVID Pharmaceuticals"&amp;"7.5",INDEX(COVID!$C$64:$C$91&amp;COVID!$V$64:$V$91,0),0),),)+IFERROR(INDEX(COVID!$Q$64:$Q$91,MATCH("COVID Diagnostics reagents &amp; consumables"&amp;"7.5",INDEX(COVID!$C$64:$C$91&amp;COVID!$V$64:$V$91,0),0),),)+IFERROR(INDEX(COVID!$Q$64:$Q$91,MATCH("COVID PPE &amp; consumables"&amp;"7.5",INDEX(COVID!$C$64:$C$91&amp;COVID!$V$64:$V$91,0),0),),)+IFERROR(INDEX(COVID!$Q$64:$Q$91,MATCH("COVID Equipment"&amp;"7.5",INDEX(COVID!$C$64:$C$91&amp;COVID!$V$64:$V$91,0),0),),)-SUM(X559,AK559,AP559,AR559,AT559)</f>
        <v>0</v>
      </c>
      <c r="AW559" s="525"/>
      <c r="AX559" s="1154">
        <f t="shared" si="56"/>
        <v>0</v>
      </c>
      <c r="AY559" s="1154"/>
      <c r="AZ559" s="528"/>
      <c r="BA559" s="529"/>
      <c r="BB559" s="527"/>
      <c r="BC559" s="527"/>
      <c r="BD559" s="527"/>
      <c r="BE559" s="527"/>
      <c r="BF559" s="527"/>
      <c r="BG559" s="527"/>
      <c r="BH559" s="527"/>
      <c r="BI559" s="527"/>
      <c r="BJ559" s="527"/>
      <c r="BK559" s="1154">
        <f t="shared" si="60"/>
        <v>0</v>
      </c>
      <c r="BL559" s="1154"/>
      <c r="BM559" s="1154">
        <f t="shared" si="61"/>
        <v>0</v>
      </c>
      <c r="BN559" s="1154">
        <f t="shared" si="62"/>
        <v>0</v>
      </c>
      <c r="BO559" s="527"/>
      <c r="BP559" s="527"/>
      <c r="BQ559" s="1157">
        <v>0</v>
      </c>
      <c r="BR559" s="1157" t="s">
        <v>2680</v>
      </c>
      <c r="BS559" s="1157" t="s">
        <v>2547</v>
      </c>
      <c r="BT559" s="1376" t="s">
        <v>3099</v>
      </c>
      <c r="BU559" s="1371"/>
    </row>
    <row r="560" spans="1:73" ht="13">
      <c r="A560" s="1204"/>
      <c r="B560" s="1205" t="s">
        <v>3085</v>
      </c>
      <c r="C560" s="1205" t="s">
        <v>3086</v>
      </c>
      <c r="D560" s="1206" t="s">
        <v>2547</v>
      </c>
      <c r="E560" s="1386" t="s">
        <v>538</v>
      </c>
      <c r="F560" s="521"/>
      <c r="G560" s="522"/>
      <c r="H560" s="522"/>
      <c r="I560" s="522"/>
      <c r="J560" s="523"/>
      <c r="K560" s="523"/>
      <c r="L560" s="523"/>
      <c r="M560" s="524"/>
      <c r="N560" s="525"/>
      <c r="O560" s="526"/>
      <c r="P560" s="525">
        <f>IFERROR(INDEX(COVID!$E$84:$P$87,MATCH("COVID Pharmaceuticals"&amp;"7.6",INDEX(COVID!$C$84:$C$87&amp;COVID!$V$84:$V$87,0),0),IF(MID(LEFT(P$1,SEARCH(" ",P$1)-1),2,3)-INDEX(COVID!$U$84:$U$87,MATCH("COVID Pharmaceuticals"&amp;"7.6",INDEX(COVID!$C$84:$C$87&amp;COVID!$V$84:$V$87,0),0))&lt;=0,"#VALUE!",MID(LEFT(P$1,SEARCH(" ",P$1)-1),2,3)-INDEX(COVID!$U$84:$U$87,MATCH("COVID Pharmaceuticals"&amp;"7.6",INDEX(COVID!$C$84:$C$87&amp;COVID!$V$84:$V$87,0),0)))),0)+IFERROR(INDEX(COVID!$E$84:$P$87,MATCH("COVID Diagnostics reagents &amp; consumables"&amp;"7.6",INDEX(COVID!$C$84:$C$87&amp;COVID!$V$84:$V$87,0),0),IF(MID(LEFT(P$1,SEARCH(" ",P$1)-1),2,3)-INDEX(COVID!$U$84:$U$87,MATCH("COVID Diagnostics reagents &amp; consumables"&amp;"7.6",INDEX(COVID!$C$84:$C$87&amp;COVID!$V$84:$V$87,0),0))&lt;=0,"#VALUE!",MID(LEFT(P$1,SEARCH(" ",P$1)-1),2,3)-INDEX(COVID!$U$84:$U$87,MATCH("COVID Diagnostics reagents &amp; consumables"&amp;"7.6",INDEX(COVID!$C$84:$C$87&amp;COVID!$V$84:$V$87,0),0)))),0)+IFERROR(INDEX(COVID!$E$84:$P$87,MATCH("COVID PPE &amp; consumables"&amp;"7.6",INDEX(COVID!$C$84:$C$87&amp;COVID!$V$84:$V$87,0),0),IF(MID(LEFT(P$1,SEARCH(" ",P$1)-1),2,3)-INDEX(COVID!$U$84:$U$87,MATCH("COVID PPE &amp; consumables"&amp;"7.6",INDEX(COVID!$C$84:$C$87&amp;COVID!$V$84:$V$87,0),0))&lt;=0,"#VALUE!",MID(LEFT(P$1,SEARCH(" ",P$1)-1),2,3)-INDEX(COVID!$U$84:$U$87,MATCH("COVID PPE &amp; consumables"&amp;"7.6",INDEX(COVID!$C$84:$C$87&amp;COVID!$V$84:$V$87,0),0)))),0)+IFERROR(INDEX(COVID!$E$84:$P$87,MATCH("COVID Equipment"&amp;"7.6",INDEX(COVID!$C$84:$C$87&amp;COVID!$V$84:$V$87,0),0),IF(MID(LEFT(P$1,SEARCH(" ",P$1)-1),2,3)-INDEX(COVID!$U$84:$U$87,MATCH("COVID Equipment"&amp;"7.6",INDEX(COVID!$C$84:$C$87&amp;COVID!$V$84:$V$87,0),0))&lt;=0,"#VALUE!",MID(LEFT(P$1,SEARCH(" ",P$1)-1),2,3)-INDEX(COVID!$U$84:$U$87,MATCH("COVID Equipment"&amp;"7.6",INDEX(COVID!$C$84:$C$87&amp;COVID!$V$84:$V$87,0),0)))),0)</f>
        <v>0</v>
      </c>
      <c r="Q560" s="525"/>
      <c r="R560" s="525">
        <f>IFERROR(INDEX(COVID!$E$84:$P$87,MATCH("COVID Pharmaceuticals"&amp;"7.6",INDEX(COVID!$C$84:$C$87&amp;COVID!$V$84:$V$87,0),0),MID(LEFT(R$1,SEARCH(" ",R$1)-1),2,3)-INDEX(COVID!$U$84:$U$87,MATCH("COVID Pharmaceuticals"&amp;"7.6",INDEX(COVID!$C$84:$C$87&amp;COVID!$V$84:$V$87,0),0))),)+IFERROR(INDEX(COVID!$E$84:$P$87,MATCH("COVID Diagnostics reagents &amp; consumables"&amp;"7.6",INDEX(COVID!$C$84:$C$87&amp;COVID!$V$84:$V$87,0),0),MID(LEFT(R$1,SEARCH(" ",R$1)-1),2,3)-INDEX(COVID!$U$84:$U$87,MATCH("COVID Diagnostics reagents &amp; consumables"&amp;"7.6",INDEX(COVID!$C$84:$C$87&amp;COVID!$V$84:$V$87,0),0))),)+IFERROR(INDEX(COVID!$E$84:$P$87,MATCH("COVID PPE &amp; consumables"&amp;"7.6",INDEX(COVID!$C$84:$C$87&amp;COVID!$V$84:$V$87,0),0),MID(LEFT(R$1,SEARCH(" ",R$1)-1),2,3)-INDEX(COVID!$U$84:$U$87,MATCH("COVID PPE &amp; consumables"&amp;"7.6",INDEX(COVID!$C$84:$C$87&amp;COVID!$V$84:$V$87,0),0))),)+IFERROR(INDEX(COVID!$E$84:$P$87,MATCH("COVID Equipment"&amp;"7.6",INDEX(COVID!$C$84:$C$87&amp;COVID!$V$84:$V$87,0),0),MID(LEFT(R$1,SEARCH(" ",R$1)-1),2,3)-INDEX(COVID!$U$84:$U$87,MATCH("COVID Equipment"&amp;"7.6",INDEX(COVID!$C$84:$C$87&amp;COVID!$V$84:$V$87,0),0))),)</f>
        <v>0</v>
      </c>
      <c r="S560" s="525"/>
      <c r="T560" s="525">
        <f>IFERROR(INDEX(COVID!$E$84:$P$87,MATCH("COVID Pharmaceuticals"&amp;"7.6",INDEX(COVID!$C$84:$C$87&amp;COVID!$V$84:$V$87,0),0),MID(LEFT(T$1,SEARCH(" ",T$1)-1),2,3)-INDEX(COVID!$U$84:$U$87,MATCH("COVID Pharmaceuticals"&amp;"7.6",INDEX(COVID!$C$84:$C$87&amp;COVID!$V$84:$V$87,0),0))),)+IFERROR(INDEX(COVID!$E$84:$P$87,MATCH("COVID Diagnostics reagents &amp; consumables"&amp;"7.6",INDEX(COVID!$C$84:$C$87&amp;COVID!$V$84:$V$87,0),0),MID(LEFT(T$1,SEARCH(" ",T$1)-1),2,3)-INDEX(COVID!$U$84:$U$87,MATCH("COVID Diagnostics reagents &amp; consumables"&amp;"7.6",INDEX(COVID!$C$84:$C$87&amp;COVID!$V$84:$V$87,0),0))),)+IFERROR(INDEX(COVID!$E$84:$P$87,MATCH("COVID PPE &amp; consumables"&amp;"7.6",INDEX(COVID!$C$84:$C$87&amp;COVID!$V$84:$V$87,0),0),MID(LEFT(T$1,SEARCH(" ",T$1)-1),2,3)-INDEX(COVID!$U$84:$U$87,MATCH("COVID PPE &amp; consumables"&amp;"7.6",INDEX(COVID!$C$84:$C$87&amp;COVID!$V$84:$V$87,0),0))),)+IFERROR(INDEX(COVID!$E$84:$P$87,MATCH("COVID Equipment"&amp;"7.6",INDEX(COVID!$C$84:$C$87&amp;COVID!$V$84:$V$87,0),0),MID(LEFT(T$1,SEARCH(" ",T$1)-1),2,3)-INDEX(COVID!$U$84:$U$87,MATCH("COVID Equipment"&amp;"7.6",INDEX(COVID!$C$84:$C$87&amp;COVID!$V$84:$V$87,0),0))),)</f>
        <v>0</v>
      </c>
      <c r="U560" s="525"/>
      <c r="V560" s="525">
        <f>IFERROR(INDEX(COVID!$E$84:$P$87,MATCH("COVID Pharmaceuticals"&amp;"7.6",INDEX(COVID!$C$84:$C$87&amp;COVID!$V$84:$V$87,0),0),MID(LEFT(V$1,SEARCH(" ",V$1)-1),2,3)-INDEX(COVID!$U$84:$U$87,MATCH("COVID Pharmaceuticals"&amp;"7.6",INDEX(COVID!$C$84:$C$87&amp;COVID!$V$84:$V$87,0),0))),)+IFERROR(INDEX(COVID!$E$84:$P$87,MATCH("COVID Diagnostics reagents &amp; consumables"&amp;"7.6",INDEX(COVID!$C$84:$C$87&amp;COVID!$V$84:$V$87,0),0),MID(LEFT(V$1,SEARCH(" ",V$1)-1),2,3)-INDEX(COVID!$U$84:$U$87,MATCH("COVID Diagnostics reagents &amp; consumables"&amp;"7.6",INDEX(COVID!$C$84:$C$87&amp;COVID!$V$84:$V$87,0),0))),)+IFERROR(INDEX(COVID!$E$84:$P$87,MATCH("COVID PPE &amp; consumables"&amp;"7.6",INDEX(COVID!$C$84:$C$87&amp;COVID!$V$84:$V$87,0),0),MID(LEFT(V$1,SEARCH(" ",V$1)-1),2,3)-INDEX(COVID!$U$84:$U$87,MATCH("COVID PPE &amp; consumables"&amp;"7.6",INDEX(COVID!$C$84:$C$87&amp;COVID!$V$84:$V$87,0),0))),)+IFERROR(INDEX(COVID!$E$84:$P$87,MATCH("COVID Equipment"&amp;"7.6",INDEX(COVID!$C$84:$C$87&amp;COVID!$V$84:$V$87,0),0),MID(LEFT(V$1,SEARCH(" ",V$1)-1),2,3)-INDEX(COVID!$U$84:$U$87,MATCH("COVID Equipment"&amp;"7.6",INDEX(COVID!$C$84:$C$87&amp;COVID!$V$84:$V$87,0),0))),)</f>
        <v>0</v>
      </c>
      <c r="W560" s="525"/>
      <c r="X560" s="1154">
        <f t="shared" si="54"/>
        <v>0</v>
      </c>
      <c r="Y560" s="1155"/>
      <c r="Z560" s="1156"/>
      <c r="AA560" s="529"/>
      <c r="AB560" s="525"/>
      <c r="AC560" s="525">
        <f>IFERROR(INDEX(COVID!$E$84:$P$87,MATCH("COVID Pharmaceuticals"&amp;"7.6",INDEX(COVID!$C$84:$C$87&amp;COVID!$V$84:$V$87,0),0),MID(LEFT(AC$1,SEARCH(" ",AC$1)-1),2,3)-INDEX(COVID!$U$84:$U$87,MATCH("COVID Pharmaceuticals"&amp;"7.6",INDEX(COVID!$C$84:$C$87&amp;COVID!$V$84:$V$87,0),0))),)+IFERROR(INDEX(COVID!$E$84:$P$87,MATCH("COVID Diagnostics reagents &amp; consumables"&amp;"7.6",INDEX(COVID!$C$84:$C$87&amp;COVID!$V$84:$V$87,0),0),MID(LEFT(AC$1,SEARCH(" ",AC$1)-1),2,3)-INDEX(COVID!$U$84:$U$87,MATCH("COVID Diagnostics reagents &amp; consumables"&amp;"7.6",INDEX(COVID!$C$84:$C$87&amp;COVID!$V$84:$V$87,0),0))),)+IFERROR(INDEX(COVID!$E$84:$P$87,MATCH("COVID PPE &amp; consumables"&amp;"7.6",INDEX(COVID!$C$84:$C$87&amp;COVID!$V$84:$V$87,0),0),MID(LEFT(AC$1,SEARCH(" ",AC$1)-1),2,3)-INDEX(COVID!$U$84:$U$87,MATCH("COVID PPE &amp; consumables"&amp;"7.6",INDEX(COVID!$C$84:$C$87&amp;COVID!$V$84:$V$87,0),0))),)+IFERROR(INDEX(COVID!$E$84:$P$87,MATCH("COVID Equipment"&amp;"7.6",INDEX(COVID!$C$84:$C$87&amp;COVID!$V$84:$V$87,0),0),MID(LEFT(AC$1,SEARCH(" ",AC$1)-1),2,3)-INDEX(COVID!$U$84:$U$87,MATCH("COVID Equipment"&amp;"7.6",INDEX(COVID!$C$84:$C$87&amp;COVID!$V$84:$V$87,0),0))),)</f>
        <v>0</v>
      </c>
      <c r="AD560" s="525"/>
      <c r="AE560" s="525">
        <f>IFERROR(INDEX(COVID!$E$84:$P$87,MATCH("COVID Pharmaceuticals"&amp;"7.6",INDEX(COVID!$C$84:$C$87&amp;COVID!$V$84:$V$87,0),0),MID(LEFT(AE$1,SEARCH(" ",AE$1)-1),2,3)-INDEX(COVID!$U$84:$U$87,MATCH("COVID Pharmaceuticals"&amp;"7.6",INDEX(COVID!$C$84:$C$87&amp;COVID!$V$84:$V$87,0),0))),)+IFERROR(INDEX(COVID!$E$84:$P$87,MATCH("COVID Diagnostics reagents &amp; consumables"&amp;"7.6",INDEX(COVID!$C$84:$C$87&amp;COVID!$V$84:$V$87,0),0),MID(LEFT(AE$1,SEARCH(" ",AE$1)-1),2,3)-INDEX(COVID!$U$84:$U$87,MATCH("COVID Diagnostics reagents &amp; consumables"&amp;"7.6",INDEX(COVID!$C$84:$C$87&amp;COVID!$V$84:$V$87,0),0))),)+IFERROR(INDEX(COVID!$E$84:$P$87,MATCH("COVID PPE &amp; consumables"&amp;"7.6",INDEX(COVID!$C$84:$C$87&amp;COVID!$V$84:$V$87,0),0),MID(LEFT(AE$1,SEARCH(" ",AE$1)-1),2,3)-INDEX(COVID!$U$84:$U$87,MATCH("COVID PPE &amp; consumables"&amp;"7.6",INDEX(COVID!$C$84:$C$87&amp;COVID!$V$84:$V$87,0),0))),)+IFERROR(INDEX(COVID!$E$84:$P$87,MATCH("COVID Equipment"&amp;"7.6",INDEX(COVID!$C$84:$C$87&amp;COVID!$V$84:$V$87,0),0),MID(LEFT(AE$1,SEARCH(" ",AE$1)-1),2,3)-INDEX(COVID!$U$84:$U$87,MATCH("COVID Equipment"&amp;"7.6",INDEX(COVID!$C$84:$C$87&amp;COVID!$V$84:$V$87,0),0))),)</f>
        <v>0</v>
      </c>
      <c r="AF560" s="525"/>
      <c r="AG560" s="525">
        <f>IFERROR(INDEX(COVID!$E$84:$P$87,MATCH("COVID Pharmaceuticals"&amp;"7.6",INDEX(COVID!$C$84:$C$87&amp;COVID!$V$84:$V$87,0),0),MID(LEFT(AG$1,SEARCH(" ",AG$1)-1),2,3)-INDEX(COVID!$U$84:$U$87,MATCH("COVID Pharmaceuticals"&amp;"7.6",INDEX(COVID!$C$84:$C$87&amp;COVID!$V$84:$V$87,0),0))),)+IFERROR(INDEX(COVID!$E$84:$P$87,MATCH("COVID Diagnostics reagents &amp; consumables"&amp;"7.6",INDEX(COVID!$C$84:$C$87&amp;COVID!$V$84:$V$87,0),0),MID(LEFT(AG$1,SEARCH(" ",AG$1)-1),2,3)-INDEX(COVID!$U$84:$U$87,MATCH("COVID Diagnostics reagents &amp; consumables"&amp;"7.6",INDEX(COVID!$C$84:$C$87&amp;COVID!$V$84:$V$87,0),0))),)+IFERROR(INDEX(COVID!$E$84:$P$87,MATCH("COVID PPE &amp; consumables"&amp;"7.6",INDEX(COVID!$C$84:$C$87&amp;COVID!$V$84:$V$87,0),0),MID(LEFT(AG$1,SEARCH(" ",AG$1)-1),2,3)-INDEX(COVID!$U$84:$U$87,MATCH("COVID PPE &amp; consumables"&amp;"7.6",INDEX(COVID!$C$84:$C$87&amp;COVID!$V$84:$V$87,0),0))),)+IFERROR(INDEX(COVID!$E$84:$P$87,MATCH("COVID Equipment"&amp;"7.6",INDEX(COVID!$C$84:$C$87&amp;COVID!$V$84:$V$87,0),0),MID(LEFT(AG$1,SEARCH(" ",AG$1)-1),2,3)-INDEX(COVID!$U$84:$U$87,MATCH("COVID Equipment"&amp;"7.6",INDEX(COVID!$C$84:$C$87&amp;COVID!$V$84:$V$87,0),0))),)</f>
        <v>0</v>
      </c>
      <c r="AH560" s="525"/>
      <c r="AI560" s="525">
        <f>IFERROR(INDEX(COVID!$E$84:$P$87,MATCH("COVID Pharmaceuticals"&amp;"7.6",INDEX(COVID!$C$84:$C$87&amp;COVID!$V$84:$V$87,0),0),MID(LEFT(AI$1,SEARCH(" ",AI$1)-1),2,3)-INDEX(COVID!$U$84:$U$87,MATCH("COVID Pharmaceuticals"&amp;"7.6",INDEX(COVID!$C$84:$C$87&amp;COVID!$V$84:$V$87,0),0))),)+IFERROR(INDEX(COVID!$E$84:$P$87,MATCH("COVID Diagnostics reagents &amp; consumables"&amp;"7.6",INDEX(COVID!$C$84:$C$87&amp;COVID!$V$84:$V$87,0),0),MID(LEFT(AI$1,SEARCH(" ",AI$1)-1),2,3)-INDEX(COVID!$U$84:$U$87,MATCH("COVID Diagnostics reagents &amp; consumables"&amp;"7.6",INDEX(COVID!$C$84:$C$87&amp;COVID!$V$84:$V$87,0),0))),)+IFERROR(INDEX(COVID!$E$84:$P$87,MATCH("COVID PPE &amp; consumables"&amp;"7.6",INDEX(COVID!$C$84:$C$87&amp;COVID!$V$84:$V$87,0),0),MID(LEFT(AI$1,SEARCH(" ",AI$1)-1),2,3)-INDEX(COVID!$U$84:$U$87,MATCH("COVID PPE &amp; consumables"&amp;"7.6",INDEX(COVID!$C$84:$C$87&amp;COVID!$V$84:$V$87,0),0))),)+IFERROR(INDEX(COVID!$E$84:$P$87,MATCH("COVID Equipment"&amp;"7.6",INDEX(COVID!$C$84:$C$87&amp;COVID!$V$84:$V$87,0),0),MID(LEFT(AI$1,SEARCH(" ",AI$1)-1),2,3)-INDEX(COVID!$U$84:$U$87,MATCH("COVID Equipment"&amp;"7.6",INDEX(COVID!$C$84:$C$87&amp;COVID!$V$84:$V$87,0),0))),)</f>
        <v>0</v>
      </c>
      <c r="AJ560" s="525"/>
      <c r="AK560" s="1154">
        <f t="shared" si="55"/>
        <v>0</v>
      </c>
      <c r="AL560" s="1155"/>
      <c r="AM560" s="1156"/>
      <c r="AN560" s="529"/>
      <c r="AO560" s="525"/>
      <c r="AP560" s="525">
        <f>IFERROR(INDEX(COVID!$E$84:$P$87,MATCH("COVID Pharmaceuticals"&amp;"7.6",INDEX(COVID!$C$84:$C$87&amp;COVID!$V$84:$V$87,0),0),MID(LEFT(AP$1,SEARCH(" ",AP$1)-1),2,3)-INDEX(COVID!$U$84:$U$87,MATCH("COVID Pharmaceuticals"&amp;"7.6",INDEX(COVID!$C$84:$C$87&amp;COVID!$V$84:$V$87,0),0))),)+IFERROR(INDEX(COVID!$E$84:$P$87,MATCH("COVID Diagnostics reagents &amp; consumables"&amp;"7.6",INDEX(COVID!$C$84:$C$87&amp;COVID!$V$84:$V$87,0),0),MID(LEFT(AP$1,SEARCH(" ",AP$1)-1),2,3)-INDEX(COVID!$U$84:$U$87,MATCH("COVID Diagnostics reagents &amp; consumables"&amp;"7.6",INDEX(COVID!$C$84:$C$87&amp;COVID!$V$84:$V$87,0),0))),)+IFERROR(INDEX(COVID!$E$84:$P$87,MATCH("COVID PPE &amp; consumables"&amp;"7.6",INDEX(COVID!$C$84:$C$87&amp;COVID!$V$84:$V$87,0),0),MID(LEFT(AP$1,SEARCH(" ",AP$1)-1),2,3)-INDEX(COVID!$U$84:$U$87,MATCH("COVID PPE &amp; consumables"&amp;"7.6",INDEX(COVID!$C$84:$C$87&amp;COVID!$V$84:$V$87,0),0))),)+IFERROR(INDEX(COVID!$E$84:$P$87,MATCH("COVID Equipment"&amp;"7.6",INDEX(COVID!$C$84:$C$87&amp;COVID!$V$84:$V$87,0),0),MID(LEFT(AP$1,SEARCH(" ",AP$1)-1),2,3)-INDEX(COVID!$U$84:$U$87,MATCH("COVID Equipment"&amp;"7.6",INDEX(COVID!$C$84:$C$87&amp;COVID!$V$84:$V$87,0),0))),)</f>
        <v>0</v>
      </c>
      <c r="AQ560" s="525"/>
      <c r="AR560" s="525">
        <f>IFERROR(INDEX(COVID!$E$84:$P$87,MATCH("COVID Pharmaceuticals"&amp;"7.6",INDEX(COVID!$C$84:$C$87&amp;COVID!$V$84:$V$87,0),0),MID(LEFT(AR$1,SEARCH(" ",AR$1)-1),2,3)-INDEX(COVID!$U$84:$U$87,MATCH("COVID Pharmaceuticals"&amp;"7.6",INDEX(COVID!$C$84:$C$87&amp;COVID!$V$84:$V$87,0),0))),)+IFERROR(INDEX(COVID!$E$84:$P$87,MATCH("COVID Diagnostics reagents &amp; consumables"&amp;"7.6",INDEX(COVID!$C$84:$C$87&amp;COVID!$V$84:$V$87,0),0),MID(LEFT(AR$1,SEARCH(" ",AR$1)-1),2,3)-INDEX(COVID!$U$84:$U$87,MATCH("COVID Diagnostics reagents &amp; consumables"&amp;"7.6",INDEX(COVID!$C$84:$C$87&amp;COVID!$V$84:$V$87,0),0))),)+IFERROR(INDEX(COVID!$E$84:$P$87,MATCH("COVID PPE &amp; consumables"&amp;"7.6",INDEX(COVID!$C$84:$C$87&amp;COVID!$V$84:$V$87,0),0),MID(LEFT(AR$1,SEARCH(" ",AR$1)-1),2,3)-INDEX(COVID!$U$84:$U$87,MATCH("COVID PPE &amp; consumables"&amp;"7.6",INDEX(COVID!$C$84:$C$87&amp;COVID!$V$84:$V$87,0),0))),)+IFERROR(INDEX(COVID!$E$84:$P$87,MATCH("COVID Equipment"&amp;"7.6",INDEX(COVID!$C$84:$C$87&amp;COVID!$V$84:$V$87,0),0),MID(LEFT(AR$1,SEARCH(" ",AR$1)-1),2,3)-INDEX(COVID!$U$84:$U$87,MATCH("COVID Equipment"&amp;"7.6",INDEX(COVID!$C$84:$C$87&amp;COVID!$V$84:$V$87,0),0))),)</f>
        <v>0</v>
      </c>
      <c r="AS560" s="525"/>
      <c r="AT560" s="525">
        <f>IFERROR(INDEX(COVID!$E$84:$P$87,MATCH("COVID Pharmaceuticals"&amp;"7.6",INDEX(COVID!$C$84:$C$87&amp;COVID!$V$84:$V$87,0),0),MID(LEFT(AT$1,SEARCH(" ",AT$1)-1),2,3)-INDEX(COVID!$U$84:$U$87,MATCH("COVID Pharmaceuticals"&amp;"7.6",INDEX(COVID!$C$84:$C$87&amp;COVID!$V$84:$V$87,0),0))),)+IFERROR(INDEX(COVID!$E$84:$P$87,MATCH("COVID Diagnostics reagents &amp; consumables"&amp;"7.6",INDEX(COVID!$C$84:$C$87&amp;COVID!$V$84:$V$87,0),0),MID(LEFT(AT$1,SEARCH(" ",AT$1)-1),2,3)-INDEX(COVID!$U$84:$U$87,MATCH("COVID Diagnostics reagents &amp; consumables"&amp;"7.6",INDEX(COVID!$C$84:$C$87&amp;COVID!$V$84:$V$87,0),0))),)+IFERROR(INDEX(COVID!$E$84:$P$87,MATCH("COVID PPE &amp; consumables"&amp;"7.6",INDEX(COVID!$C$84:$C$87&amp;COVID!$V$84:$V$87,0),0),MID(LEFT(AT$1,SEARCH(" ",AT$1)-1),2,3)-INDEX(COVID!$U$84:$U$87,MATCH("COVID PPE &amp; consumables"&amp;"7.6",INDEX(COVID!$C$84:$C$87&amp;COVID!$V$84:$V$87,0),0))),)+IFERROR(INDEX(COVID!$E$84:$P$87,MATCH("COVID Equipment"&amp;"7.6",INDEX(COVID!$C$84:$C$87&amp;COVID!$V$84:$V$87,0),0),MID(LEFT(AT$1,SEARCH(" ",AT$1)-1),2,3)-INDEX(COVID!$U$84:$U$87,MATCH("COVID Equipment"&amp;"7.6",INDEX(COVID!$C$84:$C$87&amp;COVID!$V$84:$V$87,0),0))),)</f>
        <v>0</v>
      </c>
      <c r="AU560" s="525"/>
      <c r="AV560" s="525">
        <f>IFERROR(INDEX(COVID!$Q$64:$Q$91,MATCH("COVID Pharmaceuticals"&amp;"7.6",INDEX(COVID!$C$64:$C$91&amp;COVID!$V$64:$V$91,0),0),),)+IFERROR(INDEX(COVID!$Q$64:$Q$91,MATCH("COVID Diagnostics reagents &amp; consumables"&amp;"7.6",INDEX(COVID!$C$64:$C$91&amp;COVID!$V$64:$V$91,0),0),),)+IFERROR(INDEX(COVID!$Q$64:$Q$91,MATCH("COVID PPE &amp; consumables"&amp;"7.6",INDEX(COVID!$C$64:$C$91&amp;COVID!$V$64:$V$91,0),0),),)+IFERROR(INDEX(COVID!$Q$64:$Q$91,MATCH("COVID Equipment"&amp;"7.6",INDEX(COVID!$C$64:$C$91&amp;COVID!$V$64:$V$91,0),0),),)-SUM(X560,AK560,AP560,AR560,AT560)</f>
        <v>0</v>
      </c>
      <c r="AW560" s="525"/>
      <c r="AX560" s="1154">
        <f t="shared" si="56"/>
        <v>0</v>
      </c>
      <c r="AY560" s="1154"/>
      <c r="AZ560" s="528"/>
      <c r="BA560" s="529"/>
      <c r="BB560" s="527"/>
      <c r="BC560" s="527"/>
      <c r="BD560" s="527"/>
      <c r="BE560" s="527"/>
      <c r="BF560" s="527"/>
      <c r="BG560" s="527"/>
      <c r="BH560" s="527"/>
      <c r="BI560" s="527"/>
      <c r="BJ560" s="527"/>
      <c r="BK560" s="1154">
        <f t="shared" si="60"/>
        <v>0</v>
      </c>
      <c r="BL560" s="1154"/>
      <c r="BM560" s="1154">
        <f t="shared" si="61"/>
        <v>0</v>
      </c>
      <c r="BN560" s="1154">
        <f t="shared" si="62"/>
        <v>0</v>
      </c>
      <c r="BO560" s="527"/>
      <c r="BP560" s="527"/>
      <c r="BQ560" s="1157">
        <v>0</v>
      </c>
      <c r="BR560" s="1157" t="s">
        <v>2680</v>
      </c>
      <c r="BS560" s="1157" t="s">
        <v>2547</v>
      </c>
      <c r="BT560" s="1376" t="s">
        <v>3100</v>
      </c>
      <c r="BU560" s="1371"/>
    </row>
    <row r="561" spans="1:73" ht="13">
      <c r="A561" s="1204"/>
      <c r="B561" s="1205" t="s">
        <v>3085</v>
      </c>
      <c r="C561" s="1205" t="s">
        <v>3086</v>
      </c>
      <c r="D561" s="1206" t="s">
        <v>2547</v>
      </c>
      <c r="E561" s="1386" t="s">
        <v>540</v>
      </c>
      <c r="F561" s="521"/>
      <c r="G561" s="522"/>
      <c r="H561" s="522"/>
      <c r="I561" s="522"/>
      <c r="J561" s="523"/>
      <c r="K561" s="523"/>
      <c r="L561" s="523"/>
      <c r="M561" s="524"/>
      <c r="N561" s="525"/>
      <c r="O561" s="526"/>
      <c r="P561" s="525">
        <f>IFERROR(INDEX(COVID!$E$88:$P$91,MATCH("COVID Pharmaceuticals"&amp;"7.7",INDEX(COVID!$C$88:$C$91&amp;COVID!$V$88:$V$91,0),0),IF(MID(LEFT(P$1,SEARCH(" ",P$1)-1),2,3)-INDEX(COVID!$U$88:$U$91,MATCH("COVID Pharmaceuticals"&amp;"7.7",INDEX(COVID!$C$88:$C$91&amp;COVID!$V$88:$V$91,0),0))&lt;=0,"#VALUE!",MID(LEFT(P$1,SEARCH(" ",P$1)-1),2,3)-INDEX(COVID!$U$88:$U$91,MATCH("COVID Pharmaceuticals"&amp;"7.7",INDEX(COVID!$C$88:$C$91&amp;COVID!$V$88:$V$91,0),0)))),0)+IFERROR(INDEX(COVID!$E$88:$P$91,MATCH("COVID Diagnostics reagents &amp; consumables"&amp;"7.7",INDEX(COVID!$C$88:$C$91&amp;COVID!$V$88:$V$91,0),0),IF(MID(LEFT(P$1,SEARCH(" ",P$1)-1),2,3)-INDEX(COVID!$U$88:$U$91,MATCH("COVID Diagnostics reagents &amp; consumables"&amp;"7.7",INDEX(COVID!$C$88:$C$91&amp;COVID!$V$88:$V$91,0),0))&lt;=0,"#VALUE!",MID(LEFT(P$1,SEARCH(" ",P$1)-1),2,3)-INDEX(COVID!$U$88:$U$91,MATCH("COVID Diagnostics reagents &amp; consumables"&amp;"7.7",INDEX(COVID!$C$88:$C$91&amp;COVID!$V$88:$V$91,0),0)))),0)+IFERROR(INDEX(COVID!$E$88:$P$91,MATCH("COVID PPE &amp; consumables"&amp;"7.7",INDEX(COVID!$C$88:$C$91&amp;COVID!$V$88:$V$91,0),0),IF(MID(LEFT(P$1,SEARCH(" ",P$1)-1),2,3)-INDEX(COVID!$U$88:$U$91,MATCH("COVID PPE &amp; consumables"&amp;"7.7",INDEX(COVID!$C$88:$C$91&amp;COVID!$V$88:$V$91,0),0))&lt;=0,"#VALUE!",MID(LEFT(P$1,SEARCH(" ",P$1)-1),2,3)-INDEX(COVID!$U$88:$U$91,MATCH("COVID PPE &amp; consumables"&amp;"7.7",INDEX(COVID!$C$88:$C$91&amp;COVID!$V$88:$V$91,0),0)))),0)+IFERROR(INDEX(COVID!$E$88:$P$91,MATCH("COVID Equipment"&amp;"7.7",INDEX(COVID!$C$88:$C$91&amp;COVID!$V$88:$V$91,0),0),IF(MID(LEFT(P$1,SEARCH(" ",P$1)-1),2,3)-INDEX(COVID!$U$88:$U$91,MATCH("COVID Equipment"&amp;"7.7",INDEX(COVID!$C$88:$C$91&amp;COVID!$V$88:$V$91,0),0))&lt;=0,"#VALUE!",MID(LEFT(P$1,SEARCH(" ",P$1)-1),2,3)-INDEX(COVID!$U$88:$U$91,MATCH("COVID Equipment"&amp;"7.7",INDEX(COVID!$C$88:$C$91&amp;COVID!$V$88:$V$91,0),0)))),0)</f>
        <v>0</v>
      </c>
      <c r="Q561" s="525"/>
      <c r="R561" s="525">
        <f>IFERROR(INDEX(COVID!$E$88:$P$91,MATCH("COVID Pharmaceuticals"&amp;"7.7",INDEX(COVID!$C$88:$C$91&amp;COVID!$V$88:$V$91,0),0),MID(LEFT(R$1,SEARCH(" ",R$1)-1),2,3)-INDEX(COVID!$U$88:$U$91,MATCH("COVID Pharmaceuticals"&amp;"7.7",INDEX(COVID!$C$88:$C$91&amp;COVID!$V$88:$V$91,0),0))),)+IFERROR(INDEX(COVID!$E$88:$P$91,MATCH("COVID Diagnostics reagents &amp; consumables"&amp;"7.7",INDEX(COVID!$C$88:$C$91&amp;COVID!$V$88:$V$91,0),0),MID(LEFT(R$1,SEARCH(" ",R$1)-1),2,3)-INDEX(COVID!$U$88:$U$91,MATCH("COVID Diagnostics reagents &amp; consumables"&amp;"7.7",INDEX(COVID!$C$88:$C$91&amp;COVID!$V$88:$V$91,0),0))),)+IFERROR(INDEX(COVID!$E$88:$P$91,MATCH("COVID PPE &amp; consumables"&amp;"7.7",INDEX(COVID!$C$88:$C$91&amp;COVID!$V$88:$V$91,0),0),MID(LEFT(R$1,SEARCH(" ",R$1)-1),2,3)-INDEX(COVID!$U$88:$U$91,MATCH("COVID PPE &amp; consumables"&amp;"7.7",INDEX(COVID!$C$88:$C$91&amp;COVID!$V$88:$V$91,0),0))),)+IFERROR(INDEX(COVID!$E$88:$P$91,MATCH("COVID Equipment"&amp;"7.7",INDEX(COVID!$C$88:$C$91&amp;COVID!$V$88:$V$91,0),0),MID(LEFT(R$1,SEARCH(" ",R$1)-1),2,3)-INDEX(COVID!$U$88:$U$91,MATCH("COVID Equipment"&amp;"7.7",INDEX(COVID!$C$88:$C$91&amp;COVID!$V$88:$V$91,0),0))),)</f>
        <v>0</v>
      </c>
      <c r="S561" s="525"/>
      <c r="T561" s="525">
        <f>IFERROR(INDEX(COVID!$E$88:$P$91,MATCH("COVID Pharmaceuticals"&amp;"7.7",INDEX(COVID!$C$88:$C$91&amp;COVID!$V$88:$V$91,0),0),MID(LEFT(T$1,SEARCH(" ",T$1)-1),2,3)-INDEX(COVID!$U$88:$U$91,MATCH("COVID Pharmaceuticals"&amp;"7.7",INDEX(COVID!$C$88:$C$91&amp;COVID!$V$88:$V$91,0),0))),)+IFERROR(INDEX(COVID!$E$88:$P$91,MATCH("COVID Diagnostics reagents &amp; consumables"&amp;"7.7",INDEX(COVID!$C$88:$C$91&amp;COVID!$V$88:$V$91,0),0),MID(LEFT(T$1,SEARCH(" ",T$1)-1),2,3)-INDEX(COVID!$U$88:$U$91,MATCH("COVID Diagnostics reagents &amp; consumables"&amp;"7.7",INDEX(COVID!$C$88:$C$91&amp;COVID!$V$88:$V$91,0),0))),)+IFERROR(INDEX(COVID!$E$88:$P$91,MATCH("COVID PPE &amp; consumables"&amp;"7.7",INDEX(COVID!$C$88:$C$91&amp;COVID!$V$88:$V$91,0),0),MID(LEFT(T$1,SEARCH(" ",T$1)-1),2,3)-INDEX(COVID!$U$88:$U$91,MATCH("COVID PPE &amp; consumables"&amp;"7.7",INDEX(COVID!$C$88:$C$91&amp;COVID!$V$88:$V$91,0),0))),)+IFERROR(INDEX(COVID!$E$88:$P$91,MATCH("COVID Equipment"&amp;"7.7",INDEX(COVID!$C$88:$C$91&amp;COVID!$V$88:$V$91,0),0),MID(LEFT(T$1,SEARCH(" ",T$1)-1),2,3)-INDEX(COVID!$U$88:$U$91,MATCH("COVID Equipment"&amp;"7.7",INDEX(COVID!$C$88:$C$91&amp;COVID!$V$88:$V$91,0),0))),)</f>
        <v>0</v>
      </c>
      <c r="U561" s="525"/>
      <c r="V561" s="525">
        <f>IFERROR(INDEX(COVID!$E$88:$P$91,MATCH("COVID Pharmaceuticals"&amp;"7.7",INDEX(COVID!$C$88:$C$91&amp;COVID!$V$88:$V$91,0),0),MID(LEFT(V$1,SEARCH(" ",V$1)-1),2,3)-INDEX(COVID!$U$88:$U$91,MATCH("COVID Pharmaceuticals"&amp;"7.7",INDEX(COVID!$C$88:$C$91&amp;COVID!$V$88:$V$91,0),0))),)+IFERROR(INDEX(COVID!$E$88:$P$91,MATCH("COVID Diagnostics reagents &amp; consumables"&amp;"7.7",INDEX(COVID!$C$88:$C$91&amp;COVID!$V$88:$V$91,0),0),MID(LEFT(V$1,SEARCH(" ",V$1)-1),2,3)-INDEX(COVID!$U$88:$U$91,MATCH("COVID Diagnostics reagents &amp; consumables"&amp;"7.7",INDEX(COVID!$C$88:$C$91&amp;COVID!$V$88:$V$91,0),0))),)+IFERROR(INDEX(COVID!$E$88:$P$91,MATCH("COVID PPE &amp; consumables"&amp;"7.7",INDEX(COVID!$C$88:$C$91&amp;COVID!$V$88:$V$91,0),0),MID(LEFT(V$1,SEARCH(" ",V$1)-1),2,3)-INDEX(COVID!$U$88:$U$91,MATCH("COVID PPE &amp; consumables"&amp;"7.7",INDEX(COVID!$C$88:$C$91&amp;COVID!$V$88:$V$91,0),0))),)+IFERROR(INDEX(COVID!$E$88:$P$91,MATCH("COVID Equipment"&amp;"7.7",INDEX(COVID!$C$88:$C$91&amp;COVID!$V$88:$V$91,0),0),MID(LEFT(V$1,SEARCH(" ",V$1)-1),2,3)-INDEX(COVID!$U$88:$U$91,MATCH("COVID Equipment"&amp;"7.7",INDEX(COVID!$C$88:$C$91&amp;COVID!$V$88:$V$91,0),0))),)</f>
        <v>0</v>
      </c>
      <c r="W561" s="525"/>
      <c r="X561" s="1154">
        <f t="shared" si="54"/>
        <v>0</v>
      </c>
      <c r="Y561" s="1155"/>
      <c r="Z561" s="1156"/>
      <c r="AA561" s="529"/>
      <c r="AB561" s="525"/>
      <c r="AC561" s="525">
        <f>IFERROR(INDEX(COVID!$E$88:$P$91,MATCH("COVID Pharmaceuticals"&amp;"7.7",INDEX(COVID!$C$88:$C$91&amp;COVID!$V$88:$V$91,0),0),MID(LEFT(AC$1,SEARCH(" ",AC$1)-1),2,3)-INDEX(COVID!$U$88:$U$91,MATCH("COVID Pharmaceuticals"&amp;"7.7",INDEX(COVID!$C$88:$C$91&amp;COVID!$V$88:$V$91,0),0))),)+IFERROR(INDEX(COVID!$E$88:$P$91,MATCH("COVID Diagnostics reagents &amp; consumables"&amp;"7.7",INDEX(COVID!$C$88:$C$91&amp;COVID!$V$88:$V$91,0),0),MID(LEFT(AC$1,SEARCH(" ",AC$1)-1),2,3)-INDEX(COVID!$U$88:$U$91,MATCH("COVID Diagnostics reagents &amp; consumables"&amp;"7.7",INDEX(COVID!$C$88:$C$91&amp;COVID!$V$88:$V$91,0),0))),)+IFERROR(INDEX(COVID!$E$88:$P$91,MATCH("COVID PPE &amp; consumables"&amp;"7.7",INDEX(COVID!$C$88:$C$91&amp;COVID!$V$88:$V$91,0),0),MID(LEFT(AC$1,SEARCH(" ",AC$1)-1),2,3)-INDEX(COVID!$U$88:$U$91,MATCH("COVID PPE &amp; consumables"&amp;"7.7",INDEX(COVID!$C$88:$C$91&amp;COVID!$V$88:$V$91,0),0))),)+IFERROR(INDEX(COVID!$E$88:$P$91,MATCH("COVID Equipment"&amp;"7.7",INDEX(COVID!$C$88:$C$91&amp;COVID!$V$88:$V$91,0),0),MID(LEFT(AC$1,SEARCH(" ",AC$1)-1),2,3)-INDEX(COVID!$U$88:$U$91,MATCH("COVID Equipment"&amp;"7.7",INDEX(COVID!$C$88:$C$91&amp;COVID!$V$88:$V$91,0),0))),)</f>
        <v>0</v>
      </c>
      <c r="AD561" s="525"/>
      <c r="AE561" s="525">
        <f>IFERROR(INDEX(COVID!$E$88:$P$91,MATCH("COVID Pharmaceuticals"&amp;"7.7",INDEX(COVID!$C$88:$C$91&amp;COVID!$V$88:$V$91,0),0),MID(LEFT(AE$1,SEARCH(" ",AE$1)-1),2,3)-INDEX(COVID!$U$88:$U$91,MATCH("COVID Pharmaceuticals"&amp;"7.7",INDEX(COVID!$C$88:$C$91&amp;COVID!$V$88:$V$91,0),0))),)+IFERROR(INDEX(COVID!$E$88:$P$91,MATCH("COVID Diagnostics reagents &amp; consumables"&amp;"7.7",INDEX(COVID!$C$88:$C$91&amp;COVID!$V$88:$V$91,0),0),MID(LEFT(AE$1,SEARCH(" ",AE$1)-1),2,3)-INDEX(COVID!$U$88:$U$91,MATCH("COVID Diagnostics reagents &amp; consumables"&amp;"7.7",INDEX(COVID!$C$88:$C$91&amp;COVID!$V$88:$V$91,0),0))),)+IFERROR(INDEX(COVID!$E$88:$P$91,MATCH("COVID PPE &amp; consumables"&amp;"7.7",INDEX(COVID!$C$88:$C$91&amp;COVID!$V$88:$V$91,0),0),MID(LEFT(AE$1,SEARCH(" ",AE$1)-1),2,3)-INDEX(COVID!$U$88:$U$91,MATCH("COVID PPE &amp; consumables"&amp;"7.7",INDEX(COVID!$C$88:$C$91&amp;COVID!$V$88:$V$91,0),0))),)+IFERROR(INDEX(COVID!$E$88:$P$91,MATCH("COVID Equipment"&amp;"7.7",INDEX(COVID!$C$88:$C$91&amp;COVID!$V$88:$V$91,0),0),MID(LEFT(AE$1,SEARCH(" ",AE$1)-1),2,3)-INDEX(COVID!$U$88:$U$91,MATCH("COVID Equipment"&amp;"7.7",INDEX(COVID!$C$88:$C$91&amp;COVID!$V$88:$V$91,0),0))),)</f>
        <v>0</v>
      </c>
      <c r="AF561" s="525"/>
      <c r="AG561" s="525">
        <f>IFERROR(INDEX(COVID!$E$88:$P$91,MATCH("COVID Pharmaceuticals"&amp;"7.7",INDEX(COVID!$C$88:$C$91&amp;COVID!$V$88:$V$91,0),0),MID(LEFT(AG$1,SEARCH(" ",AG$1)-1),2,3)-INDEX(COVID!$U$88:$U$91,MATCH("COVID Pharmaceuticals"&amp;"7.7",INDEX(COVID!$C$88:$C$91&amp;COVID!$V$88:$V$91,0),0))),)+IFERROR(INDEX(COVID!$E$88:$P$91,MATCH("COVID Diagnostics reagents &amp; consumables"&amp;"7.7",INDEX(COVID!$C$88:$C$91&amp;COVID!$V$88:$V$91,0),0),MID(LEFT(AG$1,SEARCH(" ",AG$1)-1),2,3)-INDEX(COVID!$U$88:$U$91,MATCH("COVID Diagnostics reagents &amp; consumables"&amp;"7.7",INDEX(COVID!$C$88:$C$91&amp;COVID!$V$88:$V$91,0),0))),)+IFERROR(INDEX(COVID!$E$88:$P$91,MATCH("COVID PPE &amp; consumables"&amp;"7.7",INDEX(COVID!$C$88:$C$91&amp;COVID!$V$88:$V$91,0),0),MID(LEFT(AG$1,SEARCH(" ",AG$1)-1),2,3)-INDEX(COVID!$U$88:$U$91,MATCH("COVID PPE &amp; consumables"&amp;"7.7",INDEX(COVID!$C$88:$C$91&amp;COVID!$V$88:$V$91,0),0))),)+IFERROR(INDEX(COVID!$E$88:$P$91,MATCH("COVID Equipment"&amp;"7.7",INDEX(COVID!$C$88:$C$91&amp;COVID!$V$88:$V$91,0),0),MID(LEFT(AG$1,SEARCH(" ",AG$1)-1),2,3)-INDEX(COVID!$U$88:$U$91,MATCH("COVID Equipment"&amp;"7.7",INDEX(COVID!$C$88:$C$91&amp;COVID!$V$88:$V$91,0),0))),)</f>
        <v>0</v>
      </c>
      <c r="AH561" s="525"/>
      <c r="AI561" s="525">
        <f>IFERROR(INDEX(COVID!$E$88:$P$91,MATCH("COVID Pharmaceuticals"&amp;"7.7",INDEX(COVID!$C$88:$C$91&amp;COVID!$V$88:$V$91,0),0),MID(LEFT(AI$1,SEARCH(" ",AI$1)-1),2,3)-INDEX(COVID!$U$88:$U$91,MATCH("COVID Pharmaceuticals"&amp;"7.7",INDEX(COVID!$C$88:$C$91&amp;COVID!$V$88:$V$91,0),0))),)+IFERROR(INDEX(COVID!$E$88:$P$91,MATCH("COVID Diagnostics reagents &amp; consumables"&amp;"7.7",INDEX(COVID!$C$88:$C$91&amp;COVID!$V$88:$V$91,0),0),MID(LEFT(AI$1,SEARCH(" ",AI$1)-1),2,3)-INDEX(COVID!$U$88:$U$91,MATCH("COVID Diagnostics reagents &amp; consumables"&amp;"7.7",INDEX(COVID!$C$88:$C$91&amp;COVID!$V$88:$V$91,0),0))),)+IFERROR(INDEX(COVID!$E$88:$P$91,MATCH("COVID PPE &amp; consumables"&amp;"7.7",INDEX(COVID!$C$88:$C$91&amp;COVID!$V$88:$V$91,0),0),MID(LEFT(AI$1,SEARCH(" ",AI$1)-1),2,3)-INDEX(COVID!$U$88:$U$91,MATCH("COVID PPE &amp; consumables"&amp;"7.7",INDEX(COVID!$C$88:$C$91&amp;COVID!$V$88:$V$91,0),0))),)+IFERROR(INDEX(COVID!$E$88:$P$91,MATCH("COVID Equipment"&amp;"7.7",INDEX(COVID!$C$88:$C$91&amp;COVID!$V$88:$V$91,0),0),MID(LEFT(AI$1,SEARCH(" ",AI$1)-1),2,3)-INDEX(COVID!$U$88:$U$91,MATCH("COVID Equipment"&amp;"7.7",INDEX(COVID!$C$88:$C$91&amp;COVID!$V$88:$V$91,0),0))),)</f>
        <v>0</v>
      </c>
      <c r="AJ561" s="525"/>
      <c r="AK561" s="1154">
        <f t="shared" si="55"/>
        <v>0</v>
      </c>
      <c r="AL561" s="1155"/>
      <c r="AM561" s="1156"/>
      <c r="AN561" s="529"/>
      <c r="AO561" s="525"/>
      <c r="AP561" s="525">
        <f>IFERROR(INDEX(COVID!$E$88:$P$91,MATCH("COVID Pharmaceuticals"&amp;"7.7",INDEX(COVID!$C$88:$C$91&amp;COVID!$V$88:$V$91,0),0),MID(LEFT(AP$1,SEARCH(" ",AP$1)-1),2,3)-INDEX(COVID!$U$88:$U$91,MATCH("COVID Pharmaceuticals"&amp;"7.7",INDEX(COVID!$C$88:$C$91&amp;COVID!$V$88:$V$91,0),0))),)+IFERROR(INDEX(COVID!$E$88:$P$91,MATCH("COVID Diagnostics reagents &amp; consumables"&amp;"7.7",INDEX(COVID!$C$88:$C$91&amp;COVID!$V$88:$V$91,0),0),MID(LEFT(AP$1,SEARCH(" ",AP$1)-1),2,3)-INDEX(COVID!$U$88:$U$91,MATCH("COVID Diagnostics reagents &amp; consumables"&amp;"7.7",INDEX(COVID!$C$88:$C$91&amp;COVID!$V$88:$V$91,0),0))),)+IFERROR(INDEX(COVID!$E$88:$P$91,MATCH("COVID PPE &amp; consumables"&amp;"7.7",INDEX(COVID!$C$88:$C$91&amp;COVID!$V$88:$V$91,0),0),MID(LEFT(AP$1,SEARCH(" ",AP$1)-1),2,3)-INDEX(COVID!$U$88:$U$91,MATCH("COVID PPE &amp; consumables"&amp;"7.7",INDEX(COVID!$C$88:$C$91&amp;COVID!$V$88:$V$91,0),0))),)+IFERROR(INDEX(COVID!$E$88:$P$91,MATCH("COVID Equipment"&amp;"7.7",INDEX(COVID!$C$88:$C$91&amp;COVID!$V$88:$V$91,0),0),MID(LEFT(AP$1,SEARCH(" ",AP$1)-1),2,3)-INDEX(COVID!$U$88:$U$91,MATCH("COVID Equipment"&amp;"7.7",INDEX(COVID!$C$88:$C$91&amp;COVID!$V$88:$V$91,0),0))),)</f>
        <v>0</v>
      </c>
      <c r="AQ561" s="525"/>
      <c r="AR561" s="525">
        <f>IFERROR(INDEX(COVID!$E$88:$P$91,MATCH("COVID Pharmaceuticals"&amp;"7.7",INDEX(COVID!$C$88:$C$91&amp;COVID!$V$88:$V$91,0),0),MID(LEFT(AR$1,SEARCH(" ",AR$1)-1),2,3)-INDEX(COVID!$U$88:$U$91,MATCH("COVID Pharmaceuticals"&amp;"7.7",INDEX(COVID!$C$88:$C$91&amp;COVID!$V$88:$V$91,0),0))),)+IFERROR(INDEX(COVID!$E$88:$P$91,MATCH("COVID Diagnostics reagents &amp; consumables"&amp;"7.7",INDEX(COVID!$C$88:$C$91&amp;COVID!$V$88:$V$91,0),0),MID(LEFT(AR$1,SEARCH(" ",AR$1)-1),2,3)-INDEX(COVID!$U$88:$U$91,MATCH("COVID Diagnostics reagents &amp; consumables"&amp;"7.7",INDEX(COVID!$C$88:$C$91&amp;COVID!$V$88:$V$91,0),0))),)+IFERROR(INDEX(COVID!$E$88:$P$91,MATCH("COVID PPE &amp; consumables"&amp;"7.7",INDEX(COVID!$C$88:$C$91&amp;COVID!$V$88:$V$91,0),0),MID(LEFT(AR$1,SEARCH(" ",AR$1)-1),2,3)-INDEX(COVID!$U$88:$U$91,MATCH("COVID PPE &amp; consumables"&amp;"7.7",INDEX(COVID!$C$88:$C$91&amp;COVID!$V$88:$V$91,0),0))),)+IFERROR(INDEX(COVID!$E$88:$P$91,MATCH("COVID Equipment"&amp;"7.7",INDEX(COVID!$C$88:$C$91&amp;COVID!$V$88:$V$91,0),0),MID(LEFT(AR$1,SEARCH(" ",AR$1)-1),2,3)-INDEX(COVID!$U$88:$U$91,MATCH("COVID Equipment"&amp;"7.7",INDEX(COVID!$C$88:$C$91&amp;COVID!$V$88:$V$91,0),0))),)</f>
        <v>0</v>
      </c>
      <c r="AS561" s="525"/>
      <c r="AT561" s="525">
        <f>IFERROR(INDEX(COVID!$E$88:$P$91,MATCH("COVID Pharmaceuticals"&amp;"7.7",INDEX(COVID!$C$88:$C$91&amp;COVID!$V$88:$V$91,0),0),MID(LEFT(AT$1,SEARCH(" ",AT$1)-1),2,3)-INDEX(COVID!$U$88:$U$91,MATCH("COVID Pharmaceuticals"&amp;"7.7",INDEX(COVID!$C$88:$C$91&amp;COVID!$V$88:$V$91,0),0))),)+IFERROR(INDEX(COVID!$E$88:$P$91,MATCH("COVID Diagnostics reagents &amp; consumables"&amp;"7.7",INDEX(COVID!$C$88:$C$91&amp;COVID!$V$88:$V$91,0),0),MID(LEFT(AT$1,SEARCH(" ",AT$1)-1),2,3)-INDEX(COVID!$U$88:$U$91,MATCH("COVID Diagnostics reagents &amp; consumables"&amp;"7.7",INDEX(COVID!$C$88:$C$91&amp;COVID!$V$88:$V$91,0),0))),)+IFERROR(INDEX(COVID!$E$88:$P$91,MATCH("COVID PPE &amp; consumables"&amp;"7.7",INDEX(COVID!$C$88:$C$91&amp;COVID!$V$88:$V$91,0),0),MID(LEFT(AT$1,SEARCH(" ",AT$1)-1),2,3)-INDEX(COVID!$U$88:$U$91,MATCH("COVID PPE &amp; consumables"&amp;"7.7",INDEX(COVID!$C$88:$C$91&amp;COVID!$V$88:$V$91,0),0))),)+IFERROR(INDEX(COVID!$E$88:$P$91,MATCH("COVID Equipment"&amp;"7.7",INDEX(COVID!$C$88:$C$91&amp;COVID!$V$88:$V$91,0),0),MID(LEFT(AT$1,SEARCH(" ",AT$1)-1),2,3)-INDEX(COVID!$U$88:$U$91,MATCH("COVID Equipment"&amp;"7.7",INDEX(COVID!$C$88:$C$91&amp;COVID!$V$88:$V$91,0),0))),)</f>
        <v>0</v>
      </c>
      <c r="AU561" s="525"/>
      <c r="AV561" s="525">
        <f>IFERROR(INDEX(COVID!$Q$64:$Q$91,MATCH("COVID Pharmaceuticals"&amp;"7.7",INDEX(COVID!$C$64:$C$91&amp;COVID!$V$64:$V$91,0),0),),)+IFERROR(INDEX(COVID!$Q$64:$Q$91,MATCH("COVID Diagnostics reagents &amp; consumables"&amp;"7.7",INDEX(COVID!$C$64:$C$91&amp;COVID!$V$64:$V$91,0),0),),)+IFERROR(INDEX(COVID!$Q$64:$Q$91,MATCH("COVID PPE &amp; consumables"&amp;"7.7",INDEX(COVID!$C$64:$C$91&amp;COVID!$V$64:$V$91,0),0),),)+IFERROR(INDEX(COVID!$Q$64:$Q$91,MATCH("COVID Equipment"&amp;"7.7",INDEX(COVID!$C$64:$C$91&amp;COVID!$V$64:$V$91,0),0),),)-SUM(X561,AK561,AP561,AR561,AT561)</f>
        <v>0</v>
      </c>
      <c r="AW561" s="525"/>
      <c r="AX561" s="1154">
        <f t="shared" si="56"/>
        <v>0</v>
      </c>
      <c r="AY561" s="1154"/>
      <c r="AZ561" s="528"/>
      <c r="BA561" s="529"/>
      <c r="BB561" s="527"/>
      <c r="BC561" s="527"/>
      <c r="BD561" s="527"/>
      <c r="BE561" s="527"/>
      <c r="BF561" s="527"/>
      <c r="BG561" s="527"/>
      <c r="BH561" s="527"/>
      <c r="BI561" s="527"/>
      <c r="BJ561" s="527"/>
      <c r="BK561" s="1154">
        <f t="shared" si="60"/>
        <v>0</v>
      </c>
      <c r="BL561" s="1154"/>
      <c r="BM561" s="1154">
        <f t="shared" si="61"/>
        <v>0</v>
      </c>
      <c r="BN561" s="1154">
        <f t="shared" si="62"/>
        <v>0</v>
      </c>
      <c r="BO561" s="527"/>
      <c r="BP561" s="527"/>
      <c r="BQ561" s="1157">
        <v>0</v>
      </c>
      <c r="BR561" s="1157" t="s">
        <v>2680</v>
      </c>
      <c r="BS561" s="1157" t="s">
        <v>2547</v>
      </c>
      <c r="BT561" s="1376" t="s">
        <v>3101</v>
      </c>
      <c r="BU561" s="1371"/>
    </row>
    <row r="562" spans="1:73" s="1374" customFormat="1" ht="10.5" hidden="1" customHeight="1">
      <c r="A562" s="959"/>
      <c r="B562" s="959"/>
      <c r="C562" s="959"/>
      <c r="D562" s="959"/>
      <c r="E562" s="959"/>
      <c r="F562" s="959"/>
      <c r="G562" s="959"/>
      <c r="H562" s="959"/>
      <c r="I562" s="959"/>
      <c r="J562" s="959"/>
      <c r="K562" s="959"/>
      <c r="L562" s="959"/>
      <c r="M562" s="959"/>
      <c r="N562" s="959"/>
      <c r="O562" s="959"/>
      <c r="P562" s="959"/>
      <c r="Q562" s="959"/>
      <c r="R562" s="959"/>
      <c r="S562" s="959"/>
      <c r="T562" s="959"/>
      <c r="U562" s="959"/>
      <c r="V562" s="959"/>
      <c r="W562" s="959"/>
      <c r="X562" s="959"/>
      <c r="Y562" s="959"/>
      <c r="Z562" s="959"/>
      <c r="AA562" s="959"/>
      <c r="AB562" s="959"/>
      <c r="AC562" s="959"/>
      <c r="AD562" s="959"/>
      <c r="AE562" s="959"/>
      <c r="AF562" s="959"/>
      <c r="AG562" s="959"/>
      <c r="AH562" s="959"/>
      <c r="AI562" s="959"/>
      <c r="AJ562" s="959"/>
      <c r="AK562" s="959"/>
      <c r="AL562" s="959"/>
      <c r="AM562" s="959"/>
      <c r="AN562" s="959"/>
      <c r="AO562" s="959"/>
      <c r="AP562" s="959"/>
      <c r="AQ562" s="959"/>
      <c r="AR562" s="959"/>
      <c r="AS562" s="959"/>
      <c r="AT562" s="959"/>
      <c r="AU562" s="959"/>
      <c r="AV562" s="959"/>
      <c r="AW562" s="959"/>
      <c r="AX562" s="959"/>
      <c r="AY562" s="959"/>
      <c r="AZ562" s="959"/>
      <c r="BA562" s="959"/>
      <c r="BB562" s="959"/>
      <c r="BC562" s="959"/>
      <c r="BD562" s="959"/>
      <c r="BE562" s="959"/>
      <c r="BF562" s="959"/>
      <c r="BG562" s="959"/>
      <c r="BH562" s="959"/>
      <c r="BI562" s="959"/>
      <c r="BJ562" s="959"/>
      <c r="BK562" s="959"/>
      <c r="BL562" s="959"/>
      <c r="BM562" s="1202">
        <f t="shared" si="58"/>
        <v>0</v>
      </c>
      <c r="BN562" s="1202">
        <f t="shared" si="59"/>
        <v>0</v>
      </c>
      <c r="BO562" s="1094"/>
      <c r="BP562" s="527"/>
      <c r="BQ562" s="1372"/>
      <c r="BR562" s="1372"/>
      <c r="BS562" s="1373"/>
      <c r="BT562" s="1202"/>
    </row>
    <row r="563" spans="1:73">
      <c r="P563" s="1463"/>
      <c r="R563" s="1463"/>
      <c r="T563" s="1463"/>
      <c r="V563" s="1463"/>
      <c r="AC563" s="1463"/>
      <c r="BP563" s="527"/>
    </row>
    <row r="564" spans="1:73">
      <c r="D564" s="1694"/>
      <c r="E564" s="1694"/>
      <c r="P564" s="1694"/>
      <c r="R564" s="1693"/>
      <c r="T564" s="1694"/>
      <c r="V564" s="1694"/>
      <c r="AC564" s="1694"/>
      <c r="AE564" s="1694"/>
      <c r="AG564" s="1694"/>
      <c r="AI564" s="1694"/>
      <c r="AP564" s="1694"/>
      <c r="AR564" s="1694"/>
      <c r="AT564" s="1694"/>
    </row>
    <row r="565" spans="1:73">
      <c r="D565" s="1692"/>
      <c r="E565" s="1692"/>
      <c r="P565" s="1692"/>
      <c r="T565" s="1692"/>
      <c r="V565" s="1692"/>
    </row>
    <row r="566" spans="1:73">
      <c r="D566" s="519"/>
      <c r="E566" s="519"/>
    </row>
    <row r="567" spans="1:73">
      <c r="D567" s="519"/>
      <c r="E567" s="519"/>
    </row>
    <row r="568" spans="1:73">
      <c r="P568" s="1404"/>
    </row>
    <row r="569" spans="1:73">
      <c r="X569" s="519"/>
      <c r="AK569" s="519"/>
    </row>
  </sheetData>
  <sheetProtection algorithmName="SHA-512" hashValue="n0duWpu5CKHt9ZLzeoBxDbCFabVGHj2Nf9i2VOBIu7/hPVQbB8vafzGa4c/oUUfLFHjLKFxH8edaGpq0Etx80Q==" saltValue="oagz/mLVVlIgoo3Sl4XCqg==" spinCount="100000" sheet="1" autoFilter="0" pivotTables="0"/>
  <autoFilter ref="A1:BT562" xr:uid="{00000000-0009-0000-0000-000012000000}">
    <filterColumn colId="69">
      <filters>
        <filter val="COVID"/>
        <filter val="HIV"/>
      </filters>
    </filterColumn>
  </autoFilter>
  <sortState xmlns:xlrd2="http://schemas.microsoft.com/office/spreadsheetml/2017/richdata2" ref="A2:BR550">
    <sortCondition sortBy="cellColor" ref="A2:A550" dxfId="576"/>
    <sortCondition ref="A2:A550"/>
  </sortState>
  <conditionalFormatting sqref="D562 D2">
    <cfRule type="expression" dxfId="575" priority="260">
      <formula>LEN(INDIRECT(ADDRESS(ROW(),COLUMN())))&gt;255</formula>
    </cfRule>
  </conditionalFormatting>
  <conditionalFormatting sqref="E70 BU562:XFD562 B2:B530 Q562:BM562 B532:B549 A562:O562">
    <cfRule type="expression" dxfId="574" priority="191">
      <formula>AND(#REF!="Discontinued")</formula>
    </cfRule>
  </conditionalFormatting>
  <conditionalFormatting sqref="C2:C33 C562 C50:C530 E2:E530 E532:E549 C532:C548 E562">
    <cfRule type="expression" dxfId="573" priority="591">
      <formula>AND(#REF!="Discontinued")</formula>
    </cfRule>
  </conditionalFormatting>
  <conditionalFormatting sqref="BN562">
    <cfRule type="expression" dxfId="572" priority="70">
      <formula>AND(#REF!="Discontinued")</formula>
    </cfRule>
  </conditionalFormatting>
  <conditionalFormatting sqref="BO562">
    <cfRule type="expression" dxfId="571" priority="69">
      <formula>AND(#REF!="Discontinued")</formula>
    </cfRule>
  </conditionalFormatting>
  <conditionalFormatting sqref="C549">
    <cfRule type="expression" dxfId="570" priority="66">
      <formula>AND(#REF!="Discontinued")</formula>
    </cfRule>
  </conditionalFormatting>
  <conditionalFormatting sqref="C34:C41">
    <cfRule type="expression" dxfId="569" priority="58">
      <formula>AND(#REF!="Discontinued")</formula>
    </cfRule>
  </conditionalFormatting>
  <conditionalFormatting sqref="C42:C49">
    <cfRule type="expression" dxfId="568" priority="57">
      <formula>AND(#REF!="Discontinued")</formula>
    </cfRule>
  </conditionalFormatting>
  <conditionalFormatting sqref="D3:D530 D532:D549">
    <cfRule type="expression" dxfId="567" priority="33">
      <formula>LEN(INDIRECT(ADDRESS(ROW(),COLUMN())))&gt;255</formula>
    </cfRule>
  </conditionalFormatting>
  <conditionalFormatting sqref="K1:K562">
    <cfRule type="expression" dxfId="566" priority="624">
      <formula>AND($Q1="",$C1&lt;&gt;"--")</formula>
    </cfRule>
  </conditionalFormatting>
  <conditionalFormatting sqref="BT562">
    <cfRule type="expression" dxfId="565" priority="31">
      <formula>AND(#REF!="Discontinued")</formula>
    </cfRule>
  </conditionalFormatting>
  <conditionalFormatting sqref="P562">
    <cfRule type="expression" dxfId="564" priority="22">
      <formula>AND(#REF!="Discontinued")</formula>
    </cfRule>
  </conditionalFormatting>
  <conditionalFormatting sqref="B531">
    <cfRule type="expression" dxfId="563" priority="20">
      <formula>AND(#REF!="Discontinued")</formula>
    </cfRule>
  </conditionalFormatting>
  <conditionalFormatting sqref="C531 E531">
    <cfRule type="expression" dxfId="562" priority="21">
      <formula>AND(#REF!="Discontinued")</formula>
    </cfRule>
  </conditionalFormatting>
  <conditionalFormatting sqref="D531">
    <cfRule type="expression" dxfId="561" priority="19">
      <formula>LEN(INDIRECT(ADDRESS(ROW(),COLUMN())))&gt;255</formula>
    </cfRule>
  </conditionalFormatting>
  <conditionalFormatting sqref="B550:B561">
    <cfRule type="expression" dxfId="560" priority="16">
      <formula>AND(#REF!="Discontinued")</formula>
    </cfRule>
  </conditionalFormatting>
  <conditionalFormatting sqref="C550:C561">
    <cfRule type="expression" dxfId="559" priority="17">
      <formula>AND(#REF!="Discontinued")</formula>
    </cfRule>
  </conditionalFormatting>
  <conditionalFormatting sqref="D550:D552 D554">
    <cfRule type="expression" dxfId="558" priority="15">
      <formula>LEN(INDIRECT(ADDRESS(ROW(),COLUMN())))&gt;255</formula>
    </cfRule>
  </conditionalFormatting>
  <conditionalFormatting sqref="D555:D561">
    <cfRule type="expression" dxfId="557" priority="14">
      <formula>LEN(INDIRECT(ADDRESS(ROW(),COLUMN())))&gt;255</formula>
    </cfRule>
  </conditionalFormatting>
  <conditionalFormatting sqref="E553">
    <cfRule type="expression" dxfId="556" priority="13">
      <formula>AND(#REF!="Discontinued")</formula>
    </cfRule>
  </conditionalFormatting>
  <conditionalFormatting sqref="D553">
    <cfRule type="expression" dxfId="555" priority="12">
      <formula>LEN(INDIRECT(ADDRESS(ROW(),COLUMN())))&gt;255</formula>
    </cfRule>
  </conditionalFormatting>
  <conditionalFormatting sqref="E550">
    <cfRule type="expression" dxfId="554" priority="11">
      <formula>AND(#REF!="Discontinued")</formula>
    </cfRule>
  </conditionalFormatting>
  <conditionalFormatting sqref="E551">
    <cfRule type="expression" dxfId="553" priority="10">
      <formula>AND(#REF!="Discontinued")</formula>
    </cfRule>
  </conditionalFormatting>
  <conditionalFormatting sqref="E552">
    <cfRule type="expression" dxfId="552" priority="9">
      <formula>AND(#REF!="Discontinued")</formula>
    </cfRule>
  </conditionalFormatting>
  <conditionalFormatting sqref="E554">
    <cfRule type="expression" dxfId="551" priority="8">
      <formula>AND(#REF!="Discontinued")</formula>
    </cfRule>
  </conditionalFormatting>
  <conditionalFormatting sqref="E555">
    <cfRule type="expression" dxfId="550" priority="7">
      <formula>AND(#REF!="Discontinued")</formula>
    </cfRule>
  </conditionalFormatting>
  <conditionalFormatting sqref="E556">
    <cfRule type="expression" dxfId="549" priority="6">
      <formula>AND(#REF!="Discontinued")</formula>
    </cfRule>
  </conditionalFormatting>
  <conditionalFormatting sqref="E557">
    <cfRule type="expression" dxfId="548" priority="5">
      <formula>AND(#REF!="Discontinued")</formula>
    </cfRule>
  </conditionalFormatting>
  <conditionalFormatting sqref="E558">
    <cfRule type="expression" dxfId="547" priority="4">
      <formula>AND(#REF!="Discontinued")</formula>
    </cfRule>
  </conditionalFormatting>
  <conditionalFormatting sqref="E559">
    <cfRule type="expression" dxfId="546" priority="3">
      <formula>AND(#REF!="Discontinued")</formula>
    </cfRule>
  </conditionalFormatting>
  <conditionalFormatting sqref="E560">
    <cfRule type="expression" dxfId="545" priority="2">
      <formula>AND(#REF!="Discontinued")</formula>
    </cfRule>
  </conditionalFormatting>
  <conditionalFormatting sqref="E561">
    <cfRule type="expression" dxfId="544" priority="1">
      <formula>AND(#REF!="Discontinued")</formula>
    </cfRule>
  </conditionalFormatting>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4" tint="-0.249977111117893"/>
  </sheetPr>
  <dimension ref="A1:P37"/>
  <sheetViews>
    <sheetView showGridLines="0" zoomScale="85" zoomScaleNormal="85" workbookViewId="0">
      <selection activeCell="B12" sqref="B12:L12"/>
    </sheetView>
  </sheetViews>
  <sheetFormatPr baseColWidth="10" defaultColWidth="8.7265625" defaultRowHeight="14.5"/>
  <cols>
    <col min="1" max="1" width="8.7265625" style="35"/>
    <col min="2" max="5" width="15.453125" style="35" customWidth="1"/>
    <col min="6" max="6" width="8.453125" style="35" customWidth="1"/>
    <col min="7" max="10" width="15.453125" style="35" customWidth="1"/>
    <col min="11" max="12" width="14" style="35" customWidth="1"/>
    <col min="13" max="13" width="8.7265625" style="35"/>
    <col min="14" max="14" width="8.7265625" style="657"/>
    <col min="15" max="16384" width="8.7265625" style="35"/>
  </cols>
  <sheetData>
    <row r="1" spans="1:16" ht="24" thickBot="1">
      <c r="A1" s="2115" t="s">
        <v>3387</v>
      </c>
      <c r="B1" s="2116"/>
      <c r="C1" s="2116"/>
      <c r="D1" s="2116"/>
      <c r="E1" s="2116"/>
      <c r="F1" s="2116"/>
      <c r="G1" s="2116"/>
      <c r="H1" s="2116"/>
      <c r="I1" s="2116"/>
      <c r="J1" s="2117"/>
      <c r="K1" s="39"/>
      <c r="L1" s="2088"/>
    </row>
    <row r="2" spans="1:16">
      <c r="A2" s="285"/>
      <c r="B2" s="285"/>
      <c r="C2" s="285"/>
      <c r="D2" s="285"/>
      <c r="E2" s="285"/>
      <c r="F2" s="285"/>
      <c r="G2" s="285"/>
      <c r="H2" s="285"/>
      <c r="I2" s="285"/>
      <c r="J2" s="285"/>
      <c r="K2" s="39"/>
      <c r="L2" s="2088"/>
    </row>
    <row r="3" spans="1:16" ht="15" hidden="1" customHeight="1" thickBot="1">
      <c r="A3" s="286"/>
      <c r="B3" s="2118" t="s">
        <v>1</v>
      </c>
      <c r="C3" s="2120" t="e">
        <v>#REF!</v>
      </c>
      <c r="D3" s="2120"/>
      <c r="E3" s="2120"/>
      <c r="F3" s="287"/>
      <c r="G3" s="2122" t="s">
        <v>2</v>
      </c>
      <c r="H3" s="2124" t="e">
        <v>#REF!</v>
      </c>
      <c r="I3" s="2124"/>
      <c r="J3" s="2125"/>
      <c r="K3" s="39"/>
      <c r="L3" s="294"/>
    </row>
    <row r="4" spans="1:16" ht="15.75" hidden="1" customHeight="1" thickTop="1" thickBot="1">
      <c r="A4" s="288"/>
      <c r="B4" s="2119"/>
      <c r="C4" s="2121"/>
      <c r="D4" s="2121"/>
      <c r="E4" s="2121"/>
      <c r="F4" s="289"/>
      <c r="G4" s="2123"/>
      <c r="H4" s="2126"/>
      <c r="I4" s="2126"/>
      <c r="J4" s="2127"/>
      <c r="K4" s="39"/>
      <c r="L4" s="295"/>
    </row>
    <row r="5" spans="1:16" ht="15" hidden="1" thickBot="1">
      <c r="A5" s="288"/>
      <c r="B5" s="2128" t="s">
        <v>3</v>
      </c>
      <c r="C5" s="2130" t="e">
        <v>#REF!</v>
      </c>
      <c r="D5" s="2130"/>
      <c r="E5" s="2130"/>
      <c r="F5" s="290"/>
      <c r="G5" s="2132" t="s">
        <v>4</v>
      </c>
      <c r="H5" s="2134" t="e">
        <v>#REF!</v>
      </c>
      <c r="I5" s="2134"/>
      <c r="J5" s="2135"/>
      <c r="K5" s="39"/>
      <c r="L5" s="295"/>
    </row>
    <row r="6" spans="1:16" ht="15.5" hidden="1" thickTop="1" thickBot="1">
      <c r="A6" s="291"/>
      <c r="B6" s="2129"/>
      <c r="C6" s="2131"/>
      <c r="D6" s="2131"/>
      <c r="E6" s="2131"/>
      <c r="F6" s="292"/>
      <c r="G6" s="2133"/>
      <c r="H6" s="2136"/>
      <c r="I6" s="2136"/>
      <c r="J6" s="2137"/>
      <c r="K6" s="39"/>
      <c r="L6" s="295"/>
    </row>
    <row r="7" spans="1:16">
      <c r="A7" s="293"/>
      <c r="B7" s="293"/>
      <c r="C7" s="293"/>
      <c r="D7" s="293"/>
      <c r="E7" s="293"/>
      <c r="F7" s="293"/>
      <c r="G7" s="293"/>
      <c r="H7" s="293"/>
      <c r="I7" s="293"/>
      <c r="J7" s="293"/>
      <c r="K7" s="48"/>
      <c r="L7" s="48"/>
    </row>
    <row r="8" spans="1:16">
      <c r="A8" s="2138" t="s">
        <v>3388</v>
      </c>
      <c r="B8" s="2138"/>
      <c r="C8" s="2138"/>
      <c r="D8" s="2138"/>
      <c r="E8" s="2138"/>
      <c r="F8" s="2138"/>
      <c r="G8" s="2138"/>
      <c r="H8" s="2138"/>
      <c r="I8" s="2138"/>
      <c r="J8" s="2138"/>
      <c r="K8" s="2138"/>
      <c r="L8" s="2138"/>
    </row>
    <row r="9" spans="1:16" s="123" customFormat="1" ht="50.25" customHeight="1">
      <c r="A9" s="1308"/>
      <c r="B9" s="2107" t="s">
        <v>3389</v>
      </c>
      <c r="C9" s="2114"/>
      <c r="D9" s="2114"/>
      <c r="E9" s="2114"/>
      <c r="F9" s="2114"/>
      <c r="G9" s="2114"/>
      <c r="H9" s="2114"/>
      <c r="I9" s="2114"/>
      <c r="J9" s="2114"/>
      <c r="K9" s="2114"/>
      <c r="L9" s="2114"/>
      <c r="N9" s="1215" t="b">
        <v>0</v>
      </c>
    </row>
    <row r="10" spans="1:16" s="123" customFormat="1" ht="30.75" customHeight="1">
      <c r="A10" s="1308"/>
      <c r="B10" s="2114" t="s">
        <v>3390</v>
      </c>
      <c r="C10" s="2114"/>
      <c r="D10" s="2114"/>
      <c r="E10" s="2114"/>
      <c r="F10" s="2114"/>
      <c r="G10" s="2114"/>
      <c r="H10" s="2114"/>
      <c r="I10" s="2114"/>
      <c r="J10" s="2114"/>
      <c r="K10" s="2114"/>
      <c r="L10" s="2114"/>
      <c r="N10" s="1215" t="b">
        <v>0</v>
      </c>
    </row>
    <row r="11" spans="1:16" s="123" customFormat="1" ht="30.75" customHeight="1">
      <c r="A11" s="1308"/>
      <c r="B11" s="2114" t="s">
        <v>3391</v>
      </c>
      <c r="C11" s="2114"/>
      <c r="D11" s="2114"/>
      <c r="E11" s="2114"/>
      <c r="F11" s="2114"/>
      <c r="G11" s="2114"/>
      <c r="H11" s="2114"/>
      <c r="I11" s="2114"/>
      <c r="J11" s="2114"/>
      <c r="K11" s="2114"/>
      <c r="L11" s="2114"/>
      <c r="N11" s="1215" t="b">
        <v>0</v>
      </c>
      <c r="P11" s="1214"/>
    </row>
    <row r="12" spans="1:16" s="123" customFormat="1" ht="30.75" customHeight="1">
      <c r="A12" s="1308"/>
      <c r="B12" s="2114" t="s">
        <v>3392</v>
      </c>
      <c r="C12" s="2114"/>
      <c r="D12" s="2114"/>
      <c r="E12" s="2114"/>
      <c r="F12" s="2114"/>
      <c r="G12" s="2114"/>
      <c r="H12" s="2114"/>
      <c r="I12" s="2114"/>
      <c r="J12" s="2114"/>
      <c r="K12" s="2114"/>
      <c r="L12" s="2114"/>
      <c r="N12" s="1215" t="b">
        <v>0</v>
      </c>
    </row>
    <row r="13" spans="1:16" s="123" customFormat="1" ht="30.75" customHeight="1">
      <c r="A13" s="1308"/>
      <c r="B13" s="2114" t="s">
        <v>3393</v>
      </c>
      <c r="C13" s="2114"/>
      <c r="D13" s="2114"/>
      <c r="E13" s="2114"/>
      <c r="F13" s="2114"/>
      <c r="G13" s="2114"/>
      <c r="H13" s="2114"/>
      <c r="I13" s="2114"/>
      <c r="J13" s="2114"/>
      <c r="K13" s="2114"/>
      <c r="L13" s="2114"/>
      <c r="N13" s="1215" t="b">
        <v>0</v>
      </c>
    </row>
    <row r="14" spans="1:16" s="123" customFormat="1" ht="50.25" customHeight="1">
      <c r="A14" s="1308"/>
      <c r="B14" s="2107" t="s">
        <v>3394</v>
      </c>
      <c r="C14" s="2114"/>
      <c r="D14" s="2114"/>
      <c r="E14" s="2114"/>
      <c r="F14" s="2114"/>
      <c r="G14" s="2114"/>
      <c r="H14" s="2114"/>
      <c r="I14" s="2114"/>
      <c r="J14" s="2114"/>
      <c r="K14" s="2114"/>
      <c r="L14" s="2114"/>
      <c r="N14" s="1215" t="b">
        <v>0</v>
      </c>
    </row>
    <row r="15" spans="1:16" s="123" customFormat="1" ht="47.15" customHeight="1">
      <c r="A15" s="1308"/>
      <c r="B15" s="2107" t="s">
        <v>3395</v>
      </c>
      <c r="C15" s="2114"/>
      <c r="D15" s="2114"/>
      <c r="E15" s="2114"/>
      <c r="F15" s="2114"/>
      <c r="G15" s="2114"/>
      <c r="H15" s="2114"/>
      <c r="I15" s="2114"/>
      <c r="J15" s="2114"/>
      <c r="K15" s="2114"/>
      <c r="L15" s="2114"/>
      <c r="N15" s="1215" t="b">
        <v>0</v>
      </c>
    </row>
    <row r="16" spans="1:16" s="1213" customFormat="1" ht="30.75" customHeight="1">
      <c r="A16" s="1309"/>
      <c r="B16" s="2107" t="s">
        <v>3396</v>
      </c>
      <c r="C16" s="2107"/>
      <c r="D16" s="2107"/>
      <c r="E16" s="2107"/>
      <c r="F16" s="2107"/>
      <c r="G16" s="2107"/>
      <c r="H16" s="2107"/>
      <c r="I16" s="2107"/>
      <c r="J16" s="2107"/>
      <c r="K16" s="2107"/>
      <c r="L16" s="2107"/>
      <c r="N16" s="1216" t="b">
        <v>0</v>
      </c>
    </row>
    <row r="17" spans="1:14" s="1213" customFormat="1" ht="30.75" customHeight="1">
      <c r="A17" s="1309"/>
      <c r="B17" s="2107" t="s">
        <v>3397</v>
      </c>
      <c r="C17" s="2107"/>
      <c r="D17" s="2107"/>
      <c r="E17" s="2107"/>
      <c r="F17" s="2107"/>
      <c r="G17" s="2107"/>
      <c r="H17" s="2107"/>
      <c r="I17" s="2107"/>
      <c r="J17" s="2107"/>
      <c r="K17" s="2107"/>
      <c r="L17" s="2107"/>
      <c r="N17" s="1216" t="b">
        <v>0</v>
      </c>
    </row>
    <row r="18" spans="1:14" s="1213" customFormat="1" ht="30.75" customHeight="1">
      <c r="A18" s="1309"/>
      <c r="B18" s="2107" t="s">
        <v>3398</v>
      </c>
      <c r="C18" s="2107"/>
      <c r="D18" s="2107"/>
      <c r="E18" s="2107"/>
      <c r="F18" s="2107"/>
      <c r="G18" s="2107"/>
      <c r="H18" s="2107"/>
      <c r="I18" s="2107"/>
      <c r="J18" s="2107"/>
      <c r="K18" s="2107"/>
      <c r="L18" s="2107"/>
      <c r="N18" s="1216" t="b">
        <v>0</v>
      </c>
    </row>
    <row r="19" spans="1:14" s="1213" customFormat="1" ht="86.15" customHeight="1">
      <c r="A19" s="1309"/>
      <c r="B19" s="2107" t="s">
        <v>3399</v>
      </c>
      <c r="C19" s="2107"/>
      <c r="D19" s="2107"/>
      <c r="E19" s="2107"/>
      <c r="F19" s="2107"/>
      <c r="G19" s="2107"/>
      <c r="H19" s="2107"/>
      <c r="I19" s="2107"/>
      <c r="J19" s="2107"/>
      <c r="K19" s="2107"/>
      <c r="L19" s="2107"/>
      <c r="N19" s="1216" t="b">
        <v>0</v>
      </c>
    </row>
    <row r="20" spans="1:14" s="1213" customFormat="1" ht="82.5" customHeight="1">
      <c r="A20" s="1309"/>
      <c r="B20" s="2107" t="s">
        <v>3400</v>
      </c>
      <c r="C20" s="2107"/>
      <c r="D20" s="2107"/>
      <c r="E20" s="2107"/>
      <c r="F20" s="2107"/>
      <c r="G20" s="2107"/>
      <c r="H20" s="2107"/>
      <c r="I20" s="2107"/>
      <c r="J20" s="2107"/>
      <c r="K20" s="2107"/>
      <c r="L20" s="2107"/>
      <c r="N20" s="1216" t="b">
        <v>0</v>
      </c>
    </row>
    <row r="21" spans="1:14" s="1213" customFormat="1" ht="65.650000000000006" customHeight="1">
      <c r="A21" s="1309"/>
      <c r="B21" s="2107" t="s">
        <v>3401</v>
      </c>
      <c r="C21" s="2107"/>
      <c r="D21" s="2107"/>
      <c r="E21" s="2107"/>
      <c r="F21" s="2107"/>
      <c r="G21" s="2107"/>
      <c r="H21" s="2107"/>
      <c r="I21" s="2107"/>
      <c r="J21" s="2107"/>
      <c r="K21" s="2107"/>
      <c r="L21" s="2107"/>
      <c r="N21" s="1216" t="b">
        <v>0</v>
      </c>
    </row>
    <row r="22" spans="1:14" s="1213" customFormat="1" ht="94.9" customHeight="1">
      <c r="A22" s="1309"/>
      <c r="B22" s="2107" t="s">
        <v>3402</v>
      </c>
      <c r="C22" s="2107"/>
      <c r="D22" s="2107"/>
      <c r="E22" s="2107"/>
      <c r="F22" s="2107"/>
      <c r="G22" s="2107"/>
      <c r="H22" s="2107"/>
      <c r="I22" s="2107"/>
      <c r="J22" s="2107"/>
      <c r="K22" s="2107"/>
      <c r="L22" s="2107"/>
      <c r="N22" s="1216" t="b">
        <v>0</v>
      </c>
    </row>
    <row r="23" spans="1:14">
      <c r="A23" s="289"/>
      <c r="B23" s="318"/>
      <c r="C23" s="319"/>
      <c r="D23" s="319"/>
      <c r="E23" s="319"/>
      <c r="F23" s="319"/>
      <c r="G23" s="319"/>
      <c r="H23" s="319"/>
      <c r="I23" s="319"/>
      <c r="J23" s="319"/>
      <c r="K23" s="319"/>
      <c r="L23" s="319"/>
    </row>
    <row r="24" spans="1:14" ht="163.15" customHeight="1">
      <c r="A24" s="2108" t="s">
        <v>3403</v>
      </c>
      <c r="B24" s="2108"/>
      <c r="C24" s="2108"/>
      <c r="D24" s="2108"/>
      <c r="E24" s="2108"/>
      <c r="F24" s="2108"/>
      <c r="G24" s="2108"/>
      <c r="H24" s="2108"/>
      <c r="I24" s="2108"/>
      <c r="J24" s="2108"/>
      <c r="K24" s="2108"/>
      <c r="L24" s="2108"/>
    </row>
    <row r="25" spans="1:14">
      <c r="A25" s="289"/>
      <c r="B25" s="289"/>
      <c r="C25" s="289"/>
      <c r="D25" s="289"/>
      <c r="E25" s="289"/>
      <c r="F25" s="289"/>
      <c r="G25" s="289"/>
      <c r="H25" s="289"/>
      <c r="I25" s="289"/>
      <c r="J25" s="289"/>
      <c r="K25" s="289"/>
      <c r="L25" s="289"/>
    </row>
    <row r="26" spans="1:14" ht="15.5">
      <c r="A26" s="2109" t="s">
        <v>3404</v>
      </c>
      <c r="B26" s="2109"/>
      <c r="C26" s="2109"/>
      <c r="D26" s="2109"/>
      <c r="E26" s="2109"/>
      <c r="F26" s="2109"/>
      <c r="G26" s="2109"/>
      <c r="H26" s="2109"/>
      <c r="I26" s="2109"/>
      <c r="J26" s="2109"/>
      <c r="K26" s="2109"/>
      <c r="L26" s="2109"/>
    </row>
    <row r="27" spans="1:14" ht="15.5">
      <c r="A27" s="1310"/>
      <c r="B27" s="1311" t="s">
        <v>3405</v>
      </c>
      <c r="C27" s="1312"/>
      <c r="D27" s="1312"/>
      <c r="E27" s="1312"/>
      <c r="F27" s="1312"/>
      <c r="G27" s="1312"/>
      <c r="H27" s="1312"/>
      <c r="I27" s="1312"/>
      <c r="J27" s="1312"/>
      <c r="K27" s="1312"/>
      <c r="L27" s="1312"/>
    </row>
    <row r="28" spans="1:14" ht="15.5">
      <c r="A28" s="1310"/>
      <c r="B28" s="1312" t="s">
        <v>3406</v>
      </c>
      <c r="C28" s="1312"/>
      <c r="D28" s="1312"/>
      <c r="E28" s="1312"/>
      <c r="F28" s="1312"/>
      <c r="G28" s="1312"/>
      <c r="H28" s="1312"/>
      <c r="I28" s="1312"/>
      <c r="J28" s="1312"/>
      <c r="K28" s="1312"/>
      <c r="L28" s="1312"/>
    </row>
    <row r="29" spans="1:14" ht="15.5">
      <c r="A29" s="1310"/>
      <c r="B29" s="1312" t="s">
        <v>3407</v>
      </c>
      <c r="C29" s="1312"/>
      <c r="D29" s="1312"/>
      <c r="E29" s="1312"/>
      <c r="F29" s="1312"/>
      <c r="G29" s="1312"/>
      <c r="H29" s="1312"/>
      <c r="I29" s="1312"/>
      <c r="J29" s="1312"/>
      <c r="K29" s="1312"/>
      <c r="L29" s="1312"/>
    </row>
    <row r="30" spans="1:14" ht="15.5">
      <c r="A30" s="1310"/>
      <c r="B30" s="1310" t="s">
        <v>3408</v>
      </c>
      <c r="C30" s="1310"/>
      <c r="D30" s="1310"/>
      <c r="E30" s="1310"/>
      <c r="F30" s="1310"/>
      <c r="G30" s="1310"/>
      <c r="H30" s="1310"/>
      <c r="I30" s="1310"/>
      <c r="J30" s="1310"/>
      <c r="K30" s="1310"/>
      <c r="L30" s="1310"/>
    </row>
    <row r="31" spans="1:14" ht="29.25" customHeight="1">
      <c r="A31" s="1310"/>
      <c r="B31" s="2110" t="s">
        <v>3409</v>
      </c>
      <c r="C31" s="2111"/>
      <c r="D31" s="2111"/>
      <c r="E31" s="2111"/>
      <c r="F31" s="2111"/>
      <c r="G31" s="2111"/>
      <c r="H31" s="2111"/>
      <c r="I31" s="2111"/>
      <c r="J31" s="2111"/>
      <c r="K31" s="2111"/>
      <c r="L31" s="2112"/>
    </row>
    <row r="32" spans="1:14" ht="15" thickBot="1"/>
    <row r="33" spans="1:13" ht="176.25" customHeight="1" thickBot="1">
      <c r="A33" s="1280"/>
      <c r="B33" s="2113" t="s">
        <v>3410</v>
      </c>
      <c r="C33" s="2113"/>
      <c r="D33" s="2113"/>
      <c r="E33" s="2113"/>
      <c r="F33" s="2113"/>
      <c r="G33" s="2113"/>
      <c r="H33" s="2113"/>
      <c r="I33" s="2113"/>
      <c r="J33" s="2113"/>
      <c r="K33" s="2113"/>
      <c r="L33" s="2113"/>
      <c r="M33" s="1280"/>
    </row>
    <row r="34" spans="1:13">
      <c r="A34" s="385"/>
      <c r="B34" s="385"/>
      <c r="C34" s="385"/>
      <c r="D34" s="385"/>
      <c r="E34" s="385"/>
      <c r="F34" s="385"/>
      <c r="G34" s="385"/>
      <c r="H34" s="385"/>
      <c r="I34" s="385"/>
      <c r="J34" s="385"/>
      <c r="K34" s="385"/>
      <c r="L34" s="385"/>
    </row>
    <row r="35" spans="1:13">
      <c r="A35" s="385"/>
      <c r="B35" s="385"/>
      <c r="C35" s="385"/>
      <c r="D35" s="385"/>
      <c r="E35" s="385"/>
      <c r="F35" s="385"/>
      <c r="G35" s="385"/>
      <c r="H35" s="385"/>
      <c r="I35" s="385"/>
      <c r="J35" s="385"/>
      <c r="K35" s="385"/>
      <c r="L35" s="385"/>
    </row>
    <row r="36" spans="1:13">
      <c r="A36" s="385"/>
      <c r="B36" s="385"/>
      <c r="C36" s="385"/>
      <c r="D36" s="385"/>
      <c r="E36" s="385"/>
      <c r="F36" s="385"/>
      <c r="G36" s="385"/>
      <c r="H36" s="385"/>
      <c r="I36" s="385"/>
      <c r="J36" s="385"/>
      <c r="K36" s="385"/>
      <c r="L36" s="385"/>
    </row>
    <row r="37" spans="1:13">
      <c r="A37" s="385"/>
      <c r="B37" s="385"/>
      <c r="C37" s="385"/>
      <c r="D37" s="385"/>
      <c r="E37" s="385"/>
      <c r="F37" s="385"/>
      <c r="G37" s="385"/>
      <c r="H37" s="385"/>
      <c r="I37" s="385"/>
      <c r="J37" s="385"/>
      <c r="K37" s="385"/>
      <c r="L37" s="385"/>
    </row>
  </sheetData>
  <sheetProtection algorithmName="SHA-512" hashValue="FxN/7yB86qao1vt1VDll6TZi1m5xwxbBK7X47nUUtxzk77HvX+POUSNxmo+MdHi2MOsHmCxgY7qnbrBFW/Vkfg==" saltValue="SSI04aogCX7qG9HxKS3rPw==" spinCount="100000" sheet="1" formatColumns="0" formatRows="0" selectLockedCells="1" autoFilter="0" selectUnlockedCells="1"/>
  <mergeCells count="29">
    <mergeCell ref="B9:L9"/>
    <mergeCell ref="A1:J1"/>
    <mergeCell ref="L1:L2"/>
    <mergeCell ref="B3:B4"/>
    <mergeCell ref="C3:E4"/>
    <mergeCell ref="G3:G4"/>
    <mergeCell ref="H3:J4"/>
    <mergeCell ref="B5:B6"/>
    <mergeCell ref="C5:E6"/>
    <mergeCell ref="G5:G6"/>
    <mergeCell ref="H5:J6"/>
    <mergeCell ref="A8:L8"/>
    <mergeCell ref="B21:L21"/>
    <mergeCell ref="B10:L10"/>
    <mergeCell ref="B11:L11"/>
    <mergeCell ref="B12:L12"/>
    <mergeCell ref="B13:L13"/>
    <mergeCell ref="B14:L14"/>
    <mergeCell ref="B15:L15"/>
    <mergeCell ref="B16:L16"/>
    <mergeCell ref="B17:L17"/>
    <mergeCell ref="B18:L18"/>
    <mergeCell ref="B19:L19"/>
    <mergeCell ref="B20:L20"/>
    <mergeCell ref="B22:L22"/>
    <mergeCell ref="A24:L24"/>
    <mergeCell ref="A26:L26"/>
    <mergeCell ref="B31:L31"/>
    <mergeCell ref="B33:L33"/>
  </mergeCells>
  <conditionalFormatting sqref="B10:L10">
    <cfRule type="expression" dxfId="863" priority="13">
      <formula>$N$10=FALSE</formula>
    </cfRule>
  </conditionalFormatting>
  <conditionalFormatting sqref="B11:L11">
    <cfRule type="expression" dxfId="862" priority="12">
      <formula>$N$11=FALSE</formula>
    </cfRule>
  </conditionalFormatting>
  <conditionalFormatting sqref="B9:L9">
    <cfRule type="expression" dxfId="861" priority="14">
      <formula>$N$9=FALSE</formula>
    </cfRule>
  </conditionalFormatting>
  <conditionalFormatting sqref="B12:L12">
    <cfRule type="expression" dxfId="860" priority="11">
      <formula>$N$12=FALSE</formula>
    </cfRule>
  </conditionalFormatting>
  <conditionalFormatting sqref="B13:L13">
    <cfRule type="expression" dxfId="859" priority="10">
      <formula>$N$13=FALSE</formula>
    </cfRule>
  </conditionalFormatting>
  <conditionalFormatting sqref="B14:L14">
    <cfRule type="expression" dxfId="858" priority="9">
      <formula>$N$14=FALSE</formula>
    </cfRule>
  </conditionalFormatting>
  <conditionalFormatting sqref="B16:L16">
    <cfRule type="expression" dxfId="857" priority="8">
      <formula>$N$16=FALSE</formula>
    </cfRule>
  </conditionalFormatting>
  <conditionalFormatting sqref="B17:L17">
    <cfRule type="expression" dxfId="856" priority="7">
      <formula>$N$17=FALSE</formula>
    </cfRule>
  </conditionalFormatting>
  <conditionalFormatting sqref="B18:L18">
    <cfRule type="expression" dxfId="855" priority="6">
      <formula>$N$18=FALSE</formula>
    </cfRule>
  </conditionalFormatting>
  <conditionalFormatting sqref="B19:L19">
    <cfRule type="expression" dxfId="854" priority="5">
      <formula>$N$19=FALSE</formula>
    </cfRule>
  </conditionalFormatting>
  <conditionalFormatting sqref="B20:L20">
    <cfRule type="expression" dxfId="853" priority="4">
      <formula>$N$20=FALSE</formula>
    </cfRule>
  </conditionalFormatting>
  <conditionalFormatting sqref="B21:L21">
    <cfRule type="expression" dxfId="852" priority="3">
      <formula>$N$21=FALSE</formula>
    </cfRule>
  </conditionalFormatting>
  <conditionalFormatting sqref="B22:L22">
    <cfRule type="expression" dxfId="851" priority="2">
      <formula>$N$22=FALSE</formula>
    </cfRule>
  </conditionalFormatting>
  <conditionalFormatting sqref="B15:L15">
    <cfRule type="expression" dxfId="850" priority="1">
      <formula>$N$14=FALSE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from>
                    <xdr:col>0</xdr:col>
                    <xdr:colOff>152400</xdr:colOff>
                    <xdr:row>19</xdr:row>
                    <xdr:rowOff>69850</xdr:rowOff>
                  </from>
                  <to>
                    <xdr:col>0</xdr:col>
                    <xdr:colOff>342900</xdr:colOff>
                    <xdr:row>19</xdr:row>
                    <xdr:rowOff>342900</xdr:rowOff>
                  </to>
                </anchor>
              </controlPr>
            </control>
          </mc:Choice>
        </mc:AlternateContent>
        <mc:AlternateContent xmlns:mc="http://schemas.openxmlformats.org/markup-compatibility/2006">
          <mc:Choice Requires="x14">
            <control shapeId="46082" r:id="rId5" name="Check Box 2">
              <controlPr defaultSize="0" autoFill="0" autoLine="0" autoPict="0">
                <anchor>
                  <from>
                    <xdr:col>0</xdr:col>
                    <xdr:colOff>152400</xdr:colOff>
                    <xdr:row>18</xdr:row>
                    <xdr:rowOff>209550</xdr:rowOff>
                  </from>
                  <to>
                    <xdr:col>0</xdr:col>
                    <xdr:colOff>361950</xdr:colOff>
                    <xdr:row>18</xdr:row>
                    <xdr:rowOff>400050</xdr:rowOff>
                  </to>
                </anchor>
              </controlPr>
            </control>
          </mc:Choice>
        </mc:AlternateContent>
        <mc:AlternateContent xmlns:mc="http://schemas.openxmlformats.org/markup-compatibility/2006">
          <mc:Choice Requires="x14">
            <control shapeId="46083" r:id="rId6" name="Check Box 3">
              <controlPr defaultSize="0" autoFill="0" autoLine="0" autoPict="0">
                <anchor>
                  <from>
                    <xdr:col>0</xdr:col>
                    <xdr:colOff>152400</xdr:colOff>
                    <xdr:row>18</xdr:row>
                    <xdr:rowOff>19050</xdr:rowOff>
                  </from>
                  <to>
                    <xdr:col>0</xdr:col>
                    <xdr:colOff>361950</xdr:colOff>
                    <xdr:row>18</xdr:row>
                    <xdr:rowOff>209550</xdr:rowOff>
                  </to>
                </anchor>
              </controlPr>
            </control>
          </mc:Choice>
        </mc:AlternateContent>
        <mc:AlternateContent xmlns:mc="http://schemas.openxmlformats.org/markup-compatibility/2006">
          <mc:Choice Requires="x14">
            <control shapeId="46084" r:id="rId7" name="Check Box 4">
              <controlPr defaultSize="0" autoFill="0" autoLine="0" autoPict="0">
                <anchor>
                  <from>
                    <xdr:col>0</xdr:col>
                    <xdr:colOff>152400</xdr:colOff>
                    <xdr:row>15</xdr:row>
                    <xdr:rowOff>209550</xdr:rowOff>
                  </from>
                  <to>
                    <xdr:col>0</xdr:col>
                    <xdr:colOff>361950</xdr:colOff>
                    <xdr:row>16</xdr:row>
                    <xdr:rowOff>133350</xdr:rowOff>
                  </to>
                </anchor>
              </controlPr>
            </control>
          </mc:Choice>
        </mc:AlternateContent>
        <mc:AlternateContent xmlns:mc="http://schemas.openxmlformats.org/markup-compatibility/2006">
          <mc:Choice Requires="x14">
            <control shapeId="46085" r:id="rId8" name="Check Box 5">
              <controlPr defaultSize="0" autoFill="0" autoLine="0" autoPict="0">
                <anchor>
                  <from>
                    <xdr:col>0</xdr:col>
                    <xdr:colOff>152400</xdr:colOff>
                    <xdr:row>16</xdr:row>
                    <xdr:rowOff>228600</xdr:rowOff>
                  </from>
                  <to>
                    <xdr:col>0</xdr:col>
                    <xdr:colOff>342900</xdr:colOff>
                    <xdr:row>17</xdr:row>
                    <xdr:rowOff>146050</xdr:rowOff>
                  </to>
                </anchor>
              </controlPr>
            </control>
          </mc:Choice>
        </mc:AlternateContent>
        <mc:AlternateContent xmlns:mc="http://schemas.openxmlformats.org/markup-compatibility/2006">
          <mc:Choice Requires="x14">
            <control shapeId="46086" r:id="rId9" name="Check Box 6">
              <controlPr defaultSize="0" autoFill="0" autoLine="0" autoPict="0">
                <anchor>
                  <from>
                    <xdr:col>0</xdr:col>
                    <xdr:colOff>152400</xdr:colOff>
                    <xdr:row>18</xdr:row>
                    <xdr:rowOff>400050</xdr:rowOff>
                  </from>
                  <to>
                    <xdr:col>0</xdr:col>
                    <xdr:colOff>374650</xdr:colOff>
                    <xdr:row>18</xdr:row>
                    <xdr:rowOff>609600</xdr:rowOff>
                  </to>
                </anchor>
              </controlPr>
            </control>
          </mc:Choice>
        </mc:AlternateContent>
        <mc:AlternateContent xmlns:mc="http://schemas.openxmlformats.org/markup-compatibility/2006">
          <mc:Choice Requires="x14">
            <control shapeId="46087" r:id="rId10" name="Check Box 7">
              <controlPr defaultSize="0" autoFill="0" autoLine="0" autoPict="0">
                <anchor>
                  <from>
                    <xdr:col>0</xdr:col>
                    <xdr:colOff>152400</xdr:colOff>
                    <xdr:row>13</xdr:row>
                    <xdr:rowOff>152400</xdr:rowOff>
                  </from>
                  <to>
                    <xdr:col>0</xdr:col>
                    <xdr:colOff>361950</xdr:colOff>
                    <xdr:row>13</xdr:row>
                    <xdr:rowOff>476250</xdr:rowOff>
                  </to>
                </anchor>
              </controlPr>
            </control>
          </mc:Choice>
        </mc:AlternateContent>
        <mc:AlternateContent xmlns:mc="http://schemas.openxmlformats.org/markup-compatibility/2006">
          <mc:Choice Requires="x14">
            <control shapeId="46088" r:id="rId11" name="Check Box 8">
              <controlPr defaultSize="0" autoFill="0" autoLine="0" autoPict="0">
                <anchor>
                  <from>
                    <xdr:col>0</xdr:col>
                    <xdr:colOff>152400</xdr:colOff>
                    <xdr:row>14</xdr:row>
                    <xdr:rowOff>38100</xdr:rowOff>
                  </from>
                  <to>
                    <xdr:col>0</xdr:col>
                    <xdr:colOff>342900</xdr:colOff>
                    <xdr:row>14</xdr:row>
                    <xdr:rowOff>336550</xdr:rowOff>
                  </to>
                </anchor>
              </controlPr>
            </control>
          </mc:Choice>
        </mc:AlternateContent>
        <mc:AlternateContent xmlns:mc="http://schemas.openxmlformats.org/markup-compatibility/2006">
          <mc:Choice Requires="x14">
            <control shapeId="46089" r:id="rId12" name="Check Box 9">
              <controlPr defaultSize="0" autoFill="0" autoLine="0" autoPict="0">
                <anchor>
                  <from>
                    <xdr:col>0</xdr:col>
                    <xdr:colOff>152400</xdr:colOff>
                    <xdr:row>14</xdr:row>
                    <xdr:rowOff>419100</xdr:rowOff>
                  </from>
                  <to>
                    <xdr:col>0</xdr:col>
                    <xdr:colOff>342900</xdr:colOff>
                    <xdr:row>15</xdr:row>
                    <xdr:rowOff>133350</xdr:rowOff>
                  </to>
                </anchor>
              </controlPr>
            </control>
          </mc:Choice>
        </mc:AlternateContent>
        <mc:AlternateContent xmlns:mc="http://schemas.openxmlformats.org/markup-compatibility/2006">
          <mc:Choice Requires="x14">
            <control shapeId="46090" r:id="rId13" name="Check Box 10">
              <controlPr defaultSize="0" autoFill="0" autoLine="0" autoPict="0">
                <anchor>
                  <from>
                    <xdr:col>0</xdr:col>
                    <xdr:colOff>133350</xdr:colOff>
                    <xdr:row>8</xdr:row>
                    <xdr:rowOff>152400</xdr:rowOff>
                  </from>
                  <to>
                    <xdr:col>0</xdr:col>
                    <xdr:colOff>342900</xdr:colOff>
                    <xdr:row>8</xdr:row>
                    <xdr:rowOff>476250</xdr:rowOff>
                  </to>
                </anchor>
              </controlPr>
            </control>
          </mc:Choice>
        </mc:AlternateContent>
        <mc:AlternateContent xmlns:mc="http://schemas.openxmlformats.org/markup-compatibility/2006">
          <mc:Choice Requires="x14">
            <control shapeId="46091" r:id="rId14" name="Check Box 11">
              <controlPr defaultSize="0" autoFill="0" autoLine="0" autoPict="0">
                <anchor>
                  <from>
                    <xdr:col>0</xdr:col>
                    <xdr:colOff>133350</xdr:colOff>
                    <xdr:row>9</xdr:row>
                    <xdr:rowOff>38100</xdr:rowOff>
                  </from>
                  <to>
                    <xdr:col>0</xdr:col>
                    <xdr:colOff>342900</xdr:colOff>
                    <xdr:row>9</xdr:row>
                    <xdr:rowOff>336550</xdr:rowOff>
                  </to>
                </anchor>
              </controlPr>
            </control>
          </mc:Choice>
        </mc:AlternateContent>
        <mc:AlternateContent xmlns:mc="http://schemas.openxmlformats.org/markup-compatibility/2006">
          <mc:Choice Requires="x14">
            <control shapeId="46092" r:id="rId15" name="Check Box 12">
              <controlPr defaultSize="0" autoFill="0" autoLine="0" autoPict="0">
                <anchor>
                  <from>
                    <xdr:col>0</xdr:col>
                    <xdr:colOff>152400</xdr:colOff>
                    <xdr:row>10</xdr:row>
                    <xdr:rowOff>57150</xdr:rowOff>
                  </from>
                  <to>
                    <xdr:col>0</xdr:col>
                    <xdr:colOff>342900</xdr:colOff>
                    <xdr:row>10</xdr:row>
                    <xdr:rowOff>342900</xdr:rowOff>
                  </to>
                </anchor>
              </controlPr>
            </control>
          </mc:Choice>
        </mc:AlternateContent>
        <mc:AlternateContent xmlns:mc="http://schemas.openxmlformats.org/markup-compatibility/2006">
          <mc:Choice Requires="x14">
            <control shapeId="46093" r:id="rId16" name="Check Box 13">
              <controlPr defaultSize="0" autoFill="0" autoLine="0" autoPict="0">
                <anchor>
                  <from>
                    <xdr:col>0</xdr:col>
                    <xdr:colOff>152400</xdr:colOff>
                    <xdr:row>11</xdr:row>
                    <xdr:rowOff>69850</xdr:rowOff>
                  </from>
                  <to>
                    <xdr:col>0</xdr:col>
                    <xdr:colOff>361950</xdr:colOff>
                    <xdr:row>11</xdr:row>
                    <xdr:rowOff>342900</xdr:rowOff>
                  </to>
                </anchor>
              </controlPr>
            </control>
          </mc:Choice>
        </mc:AlternateContent>
        <mc:AlternateContent xmlns:mc="http://schemas.openxmlformats.org/markup-compatibility/2006">
          <mc:Choice Requires="x14">
            <control shapeId="46094" r:id="rId17" name="Check Box 14">
              <controlPr defaultSize="0" autoFill="0" autoLine="0" autoPict="0">
                <anchor>
                  <from>
                    <xdr:col>0</xdr:col>
                    <xdr:colOff>152400</xdr:colOff>
                    <xdr:row>12</xdr:row>
                    <xdr:rowOff>133350</xdr:rowOff>
                  </from>
                  <to>
                    <xdr:col>0</xdr:col>
                    <xdr:colOff>361950</xdr:colOff>
                    <xdr:row>13</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theme="0" tint="-0.499984740745262"/>
  </sheetPr>
  <dimension ref="A1:Z1271"/>
  <sheetViews>
    <sheetView showGridLines="0" workbookViewId="0"/>
  </sheetViews>
  <sheetFormatPr baseColWidth="10" defaultColWidth="9.26953125" defaultRowHeight="13"/>
  <cols>
    <col min="1" max="1" width="12.54296875" style="7" bestFit="1" customWidth="1"/>
    <col min="2" max="2" width="17.453125" style="7" customWidth="1"/>
    <col min="3" max="3" width="9" style="7" bestFit="1" customWidth="1"/>
    <col min="4" max="4" width="40.26953125" style="7" customWidth="1"/>
    <col min="5" max="5" width="37" style="7" customWidth="1"/>
    <col min="6" max="6" width="32.7265625" style="7" customWidth="1"/>
    <col min="7" max="7" width="31" style="7" customWidth="1"/>
    <col min="8" max="8" width="12.26953125" style="7" bestFit="1" customWidth="1"/>
    <col min="9" max="9" width="16.7265625" style="7" bestFit="1" customWidth="1"/>
    <col min="10" max="10" width="9.26953125" style="7" customWidth="1"/>
    <col min="11" max="12" width="9.26953125" style="7"/>
    <col min="13" max="13" width="26.7265625" style="7" bestFit="1" customWidth="1"/>
    <col min="14" max="14" width="9.26953125" style="7"/>
    <col min="15" max="15" width="54.54296875" style="7" bestFit="1" customWidth="1"/>
    <col min="16" max="17" width="9.26953125" style="7"/>
    <col min="18" max="18" width="23.26953125" style="1472" bestFit="1" customWidth="1"/>
    <col min="19" max="19" width="5.54296875" style="1472" customWidth="1"/>
    <col min="20" max="20" width="33.26953125" style="7" customWidth="1"/>
    <col min="21" max="21" width="53.81640625" style="7" bestFit="1" customWidth="1"/>
    <col min="22" max="16384" width="9.26953125" style="7"/>
  </cols>
  <sheetData>
    <row r="1" spans="1:26">
      <c r="A1" s="1590"/>
      <c r="B1" s="1590"/>
      <c r="C1" s="1590"/>
      <c r="D1" s="1590"/>
      <c r="E1" s="1590"/>
      <c r="F1" s="1590"/>
      <c r="G1" s="1590"/>
      <c r="H1" s="1590"/>
      <c r="I1" s="1590"/>
      <c r="L1" s="1442" t="s">
        <v>686</v>
      </c>
      <c r="M1" s="1442" t="s">
        <v>2585</v>
      </c>
      <c r="N1" s="1442" t="s">
        <v>192</v>
      </c>
      <c r="O1" s="1442" t="s">
        <v>1305</v>
      </c>
    </row>
    <row r="2" spans="1:26">
      <c r="A2" s="1468" t="s">
        <v>686</v>
      </c>
      <c r="B2" s="1468" t="s">
        <v>3049</v>
      </c>
      <c r="C2" s="1468" t="s">
        <v>3048</v>
      </c>
      <c r="D2" s="1468" t="s">
        <v>2676</v>
      </c>
      <c r="E2" s="1468" t="s">
        <v>1028</v>
      </c>
      <c r="F2" s="1468" t="s">
        <v>3046</v>
      </c>
      <c r="G2" s="1468" t="s">
        <v>3047</v>
      </c>
      <c r="H2" s="1468" t="s">
        <v>2677</v>
      </c>
      <c r="I2" s="1468" t="s">
        <v>2678</v>
      </c>
      <c r="J2" s="1468" t="s">
        <v>2679</v>
      </c>
      <c r="R2" s="1473" t="s">
        <v>3049</v>
      </c>
      <c r="S2" s="1473" t="s">
        <v>3048</v>
      </c>
      <c r="T2" s="1473" t="s">
        <v>1028</v>
      </c>
      <c r="U2" s="1473" t="s">
        <v>3046</v>
      </c>
    </row>
    <row r="3" spans="1:26">
      <c r="A3" s="7" t="s">
        <v>2680</v>
      </c>
      <c r="B3" s="7" t="s">
        <v>2680</v>
      </c>
      <c r="C3" s="7">
        <v>1</v>
      </c>
      <c r="D3" s="7" t="s">
        <v>3073</v>
      </c>
      <c r="E3" s="7" t="s">
        <v>3073</v>
      </c>
      <c r="F3" s="7" t="s">
        <v>2689</v>
      </c>
      <c r="G3" s="1958" t="s">
        <v>2700</v>
      </c>
      <c r="H3" s="7">
        <v>5.8</v>
      </c>
      <c r="I3" s="7" t="s">
        <v>718</v>
      </c>
      <c r="J3" s="1533"/>
      <c r="L3" s="7" t="str">
        <f>INDEX(PMtbl[Component],MATCH(O3,PMtbl[Category],0),)</f>
        <v>COVID</v>
      </c>
      <c r="M3" s="7" t="str">
        <f>INDEX(PMtbl[WKst],MATCH(O3,PMtbl[Category],0),)</f>
        <v>COVID</v>
      </c>
      <c r="N3" s="7">
        <f>INDEX(PMtbl[Sec],MATCH(O3,PMtbl[Category],0),)</f>
        <v>1</v>
      </c>
      <c r="O3" s="1469" t="str">
        <f>INDEX(PMtbl[Category],MATCH(0,INDEX(COUNTIF($O$2:O2,PMtbl[Category]),),0))</f>
        <v>COVID Diagnostics reagents &amp; consumables</v>
      </c>
      <c r="R3" s="1472" t="s">
        <v>2680</v>
      </c>
      <c r="S3" s="1472">
        <v>1</v>
      </c>
      <c r="T3" s="1472" t="s">
        <v>3073</v>
      </c>
      <c r="U3" s="1472" t="s">
        <v>2689</v>
      </c>
      <c r="W3" s="1485" t="str">
        <f>TRIM(D8)</f>
        <v>COVID Diagnostics reagents &amp; consumables</v>
      </c>
      <c r="X3" s="1485">
        <f>LEN(W3)</f>
        <v>40</v>
      </c>
      <c r="Y3" s="1485">
        <f>LEN(D8)</f>
        <v>40</v>
      </c>
      <c r="Z3" s="1485" t="b">
        <f>X3=Y3</f>
        <v>1</v>
      </c>
    </row>
    <row r="4" spans="1:26">
      <c r="A4" s="7" t="s">
        <v>2680</v>
      </c>
      <c r="B4" s="7" t="s">
        <v>2680</v>
      </c>
      <c r="C4" s="7">
        <v>1</v>
      </c>
      <c r="D4" s="7" t="s">
        <v>3073</v>
      </c>
      <c r="E4" s="7" t="s">
        <v>3073</v>
      </c>
      <c r="F4" s="7" t="s">
        <v>2689</v>
      </c>
      <c r="G4" s="7" t="s">
        <v>2690</v>
      </c>
      <c r="H4" s="7">
        <v>5.8</v>
      </c>
      <c r="I4" s="7" t="s">
        <v>718</v>
      </c>
      <c r="L4" s="7" t="str">
        <f>INDEX(PMtbl[Component],MATCH(O4,PMtbl[Category],0),)</f>
        <v>COVID</v>
      </c>
      <c r="M4" s="7" t="str">
        <f>INDEX(PMtbl[WKst],MATCH(O4,PMtbl[Category],0),)</f>
        <v>COVID</v>
      </c>
      <c r="N4" s="7">
        <f>INDEX(PMtbl[Sec],MATCH(O4,PMtbl[Category],0),)</f>
        <v>1</v>
      </c>
      <c r="O4" s="1469" t="str">
        <f>INDEX(PMtbl[Category],MATCH(0,INDEX(COUNTIF($O$2:O3,PMtbl[Category]),),0))</f>
        <v>COVID Equipment</v>
      </c>
      <c r="R4" s="1472" t="s">
        <v>2680</v>
      </c>
      <c r="S4" s="1472">
        <v>1</v>
      </c>
      <c r="T4" s="1472" t="s">
        <v>3073</v>
      </c>
      <c r="U4" s="1472" t="s">
        <v>2681</v>
      </c>
      <c r="W4" s="1488"/>
      <c r="X4" s="1488"/>
      <c r="Y4" s="1488"/>
      <c r="Z4" s="1488"/>
    </row>
    <row r="5" spans="1:26">
      <c r="A5" s="7" t="s">
        <v>2680</v>
      </c>
      <c r="B5" s="7" t="s">
        <v>2680</v>
      </c>
      <c r="C5" s="7">
        <v>1</v>
      </c>
      <c r="D5" s="7" t="s">
        <v>3073</v>
      </c>
      <c r="E5" s="7" t="s">
        <v>3073</v>
      </c>
      <c r="F5" s="7" t="s">
        <v>2689</v>
      </c>
      <c r="G5" s="7" t="s">
        <v>2691</v>
      </c>
      <c r="H5" s="7">
        <v>5.8</v>
      </c>
      <c r="I5" s="7" t="s">
        <v>718</v>
      </c>
      <c r="L5" s="7" t="str">
        <f>INDEX(PMtbl[Component],MATCH(O5,PMtbl[Category],0),)</f>
        <v>COVID</v>
      </c>
      <c r="M5" s="7" t="str">
        <f>INDEX(PMtbl[WKst],MATCH(O5,PMtbl[Category],0),)</f>
        <v>COVID</v>
      </c>
      <c r="N5" s="7">
        <f>INDEX(PMtbl[Sec],MATCH(O5,PMtbl[Category],0),)</f>
        <v>1</v>
      </c>
      <c r="O5" s="1469" t="str">
        <f>INDEX(PMtbl[Category],MATCH(0,INDEX(COUNTIF($O$2:O4,PMtbl[Category]),),0))</f>
        <v>COVID Pharmaceuticals</v>
      </c>
      <c r="R5" s="1472" t="s">
        <v>2680</v>
      </c>
      <c r="S5" s="1472">
        <v>1</v>
      </c>
      <c r="T5" s="1472" t="s">
        <v>2692</v>
      </c>
      <c r="U5" s="1472" t="s">
        <v>2692</v>
      </c>
      <c r="W5" s="1488"/>
      <c r="X5" s="1488"/>
      <c r="Y5" s="1488"/>
      <c r="Z5" s="1488"/>
    </row>
    <row r="6" spans="1:26">
      <c r="A6" s="7" t="s">
        <v>2680</v>
      </c>
      <c r="B6" s="7" t="s">
        <v>2680</v>
      </c>
      <c r="C6" s="7">
        <v>1</v>
      </c>
      <c r="D6" s="7" t="s">
        <v>3073</v>
      </c>
      <c r="E6" s="7" t="s">
        <v>3073</v>
      </c>
      <c r="F6" s="7" t="s">
        <v>2681</v>
      </c>
      <c r="G6" s="7" t="s">
        <v>2685</v>
      </c>
      <c r="H6" s="7">
        <v>5.6</v>
      </c>
      <c r="I6" s="7" t="s">
        <v>718</v>
      </c>
      <c r="L6" s="7" t="str">
        <f>INDEX(PMtbl[Component],MATCH(O6,PMtbl[Category],0),)</f>
        <v>COVID</v>
      </c>
      <c r="M6" s="7" t="str">
        <f>INDEX(PMtbl[WKst],MATCH(O6,PMtbl[Category],0),)</f>
        <v>COVID</v>
      </c>
      <c r="N6" s="7">
        <f>INDEX(PMtbl[Sec],MATCH(O6,PMtbl[Category],0),)</f>
        <v>1</v>
      </c>
      <c r="O6" s="1469" t="str">
        <f>INDEX(PMtbl[Category],MATCH(0,INDEX(COUNTIF($O$2:O5,PMtbl[Category]),),0))</f>
        <v>COVID PPE &amp; consumables</v>
      </c>
      <c r="R6" s="1472" t="s">
        <v>2680</v>
      </c>
      <c r="S6" s="1472">
        <v>1</v>
      </c>
      <c r="T6" s="1472" t="s">
        <v>2694</v>
      </c>
      <c r="U6" s="1472" t="s">
        <v>2695</v>
      </c>
      <c r="W6" s="1488"/>
      <c r="X6" s="1488"/>
      <c r="Y6" s="1488"/>
      <c r="Z6" s="1488"/>
    </row>
    <row r="7" spans="1:26">
      <c r="A7" s="7" t="s">
        <v>2680</v>
      </c>
      <c r="B7" s="7" t="s">
        <v>2680</v>
      </c>
      <c r="C7" s="7">
        <v>1</v>
      </c>
      <c r="D7" s="7" t="s">
        <v>3073</v>
      </c>
      <c r="E7" s="7" t="s">
        <v>3073</v>
      </c>
      <c r="F7" s="7" t="s">
        <v>2681</v>
      </c>
      <c r="G7" s="7" t="s">
        <v>2682</v>
      </c>
      <c r="H7" s="7">
        <v>5.6</v>
      </c>
      <c r="I7" s="7" t="s">
        <v>718</v>
      </c>
      <c r="L7" s="7" t="str">
        <f>INDEX(PMtbl[Component],MATCH(O7,PMtbl[Category],0),)</f>
        <v>HIV</v>
      </c>
      <c r="M7" s="7" t="str">
        <f>INDEX(PMtbl[WKst],MATCH(O7,PMtbl[Category],0),)</f>
        <v>HIV-Equipment</v>
      </c>
      <c r="N7" s="7">
        <f>INDEX(PMtbl[Sec],MATCH(O7,PMtbl[Category],0),)</f>
        <v>1</v>
      </c>
      <c r="O7" s="1469" t="str">
        <f>INDEX(PMtbl[Category],MATCH(0,INDEX(COUNTIF($O$2:O6,PMtbl[Category]),),0))</f>
        <v>GeneXpert - Equipment &amp; cartridges for HIV program</v>
      </c>
      <c r="R7" s="1472" t="s">
        <v>2680</v>
      </c>
      <c r="S7" s="1472">
        <v>1</v>
      </c>
      <c r="T7" s="1472" t="s">
        <v>2694</v>
      </c>
      <c r="U7" s="1472" t="s">
        <v>172</v>
      </c>
      <c r="W7" s="1488"/>
      <c r="X7" s="1488"/>
      <c r="Y7" s="1488"/>
      <c r="Z7" s="1488"/>
    </row>
    <row r="8" spans="1:26">
      <c r="A8" s="7" t="s">
        <v>2680</v>
      </c>
      <c r="B8" s="7" t="s">
        <v>2680</v>
      </c>
      <c r="C8" s="7">
        <v>1</v>
      </c>
      <c r="D8" s="7" t="s">
        <v>3073</v>
      </c>
      <c r="E8" s="7" t="s">
        <v>3073</v>
      </c>
      <c r="F8" s="7" t="s">
        <v>2681</v>
      </c>
      <c r="G8" s="7" t="s">
        <v>2687</v>
      </c>
      <c r="H8" s="7">
        <v>5.6</v>
      </c>
      <c r="I8" s="7" t="s">
        <v>718</v>
      </c>
      <c r="L8" s="7" t="str">
        <f>INDEX(PMtbl[Component],MATCH(O8,PMtbl[Category],0),)</f>
        <v>HIV</v>
      </c>
      <c r="M8" s="7" t="str">
        <f>INDEX(PMtbl[WKst],MATCH(O8,PMtbl[Category],0),)</f>
        <v>HIV-Equipment</v>
      </c>
      <c r="N8" s="7">
        <f>INDEX(PMtbl[Sec],MATCH(O8,PMtbl[Category],0),)</f>
        <v>1</v>
      </c>
      <c r="O8" s="1469" t="str">
        <f>INDEX(PMtbl[Category],MATCH(0,INDEX(COUNTIF($O$2:O7,PMtbl[Category]),),0))</f>
        <v>Laboratory equipment for HIV program</v>
      </c>
      <c r="R8" s="1472" t="s">
        <v>2680</v>
      </c>
      <c r="S8" s="1472">
        <v>1</v>
      </c>
      <c r="T8" s="1472" t="s">
        <v>2701</v>
      </c>
      <c r="U8" s="1472" t="s">
        <v>3050</v>
      </c>
      <c r="W8" s="1488"/>
      <c r="X8" s="1488"/>
      <c r="Y8" s="1488"/>
      <c r="Z8" s="1488"/>
    </row>
    <row r="9" spans="1:26">
      <c r="A9" s="7" t="s">
        <v>2680</v>
      </c>
      <c r="B9" s="7" t="s">
        <v>2680</v>
      </c>
      <c r="C9" s="7">
        <v>1</v>
      </c>
      <c r="D9" s="7" t="s">
        <v>3073</v>
      </c>
      <c r="E9" s="7" t="s">
        <v>3073</v>
      </c>
      <c r="F9" s="7" t="s">
        <v>2681</v>
      </c>
      <c r="G9" s="7" t="s">
        <v>2688</v>
      </c>
      <c r="H9" s="7">
        <v>5.6</v>
      </c>
      <c r="I9" s="7" t="s">
        <v>718</v>
      </c>
      <c r="L9" s="7" t="str">
        <f>INDEX(PMtbl[Component],MATCH(O9,PMtbl[Category],0),)</f>
        <v>HIV</v>
      </c>
      <c r="M9" s="7" t="str">
        <f>INDEX(PMtbl[WKst],MATCH(O9,PMtbl[Category],0),)</f>
        <v>HIV-Equipment</v>
      </c>
      <c r="N9" s="7">
        <f>INDEX(PMtbl[Sec],MATCH(O9,PMtbl[Category],0),)</f>
        <v>1</v>
      </c>
      <c r="O9" s="1469" t="str">
        <f>INDEX(PMtbl[Category],MATCH(0,INDEX(COUNTIF($O$2:O8,PMtbl[Category]),),0))</f>
        <v>TB-LAMP Loop-Mediated Isothermal Amplification for HIV program</v>
      </c>
      <c r="R9" s="1472" t="s">
        <v>2680</v>
      </c>
      <c r="S9" s="1472">
        <v>1</v>
      </c>
      <c r="T9" s="1472" t="s">
        <v>2701</v>
      </c>
      <c r="U9" s="1472" t="s">
        <v>2703</v>
      </c>
      <c r="W9" s="1488"/>
      <c r="X9" s="1488"/>
      <c r="Y9" s="1488"/>
      <c r="Z9" s="1488"/>
    </row>
    <row r="10" spans="1:26">
      <c r="A10" s="7" t="s">
        <v>2680</v>
      </c>
      <c r="B10" s="7" t="s">
        <v>2680</v>
      </c>
      <c r="C10" s="7">
        <v>1</v>
      </c>
      <c r="D10" s="7" t="s">
        <v>3073</v>
      </c>
      <c r="E10" s="7" t="s">
        <v>3073</v>
      </c>
      <c r="F10" s="7" t="s">
        <v>2681</v>
      </c>
      <c r="G10" s="7" t="s">
        <v>2683</v>
      </c>
      <c r="H10" s="7">
        <v>5.6</v>
      </c>
      <c r="I10" s="7" t="s">
        <v>718</v>
      </c>
      <c r="L10" s="7" t="str">
        <f>INDEX(PMtbl[Component],MATCH(O10,PMtbl[Category],0),)</f>
        <v>HIV</v>
      </c>
      <c r="M10" s="7" t="str">
        <f>INDEX(PMtbl[WKst],MATCH(O10,PMtbl[Category],0),)</f>
        <v>HIV-Equipment</v>
      </c>
      <c r="N10" s="7">
        <f>INDEX(PMtbl[Sec],MATCH(O10,PMtbl[Category],0),)</f>
        <v>1</v>
      </c>
      <c r="O10" s="1469" t="str">
        <f>INDEX(PMtbl[Category],MATCH(0,INDEX(COUNTIF($O$2:O9,PMtbl[Category]),),0))</f>
        <v>TrueNat for HIV program</v>
      </c>
      <c r="R10" s="1472" t="s">
        <v>2680</v>
      </c>
      <c r="S10" s="1472">
        <v>1</v>
      </c>
      <c r="T10" s="1472" t="s">
        <v>2701</v>
      </c>
      <c r="U10" s="1472" t="s">
        <v>2706</v>
      </c>
      <c r="W10" s="1488"/>
      <c r="X10" s="1488"/>
      <c r="Y10" s="1488"/>
      <c r="Z10" s="1488"/>
    </row>
    <row r="11" spans="1:26">
      <c r="A11" s="7" t="s">
        <v>2680</v>
      </c>
      <c r="B11" s="7" t="s">
        <v>2680</v>
      </c>
      <c r="C11" s="7">
        <v>1</v>
      </c>
      <c r="D11" s="7" t="s">
        <v>3073</v>
      </c>
      <c r="E11" s="7" t="s">
        <v>3073</v>
      </c>
      <c r="F11" s="7" t="s">
        <v>2681</v>
      </c>
      <c r="G11" s="7" t="s">
        <v>2684</v>
      </c>
      <c r="H11" s="7">
        <v>5.6</v>
      </c>
      <c r="I11" s="7" t="s">
        <v>718</v>
      </c>
      <c r="L11" s="7" t="str">
        <f>INDEX(PMtbl[Component],MATCH(O11,PMtbl[Category],0),)</f>
        <v>HIV</v>
      </c>
      <c r="M11" s="7" t="str">
        <f>INDEX(PMtbl[WKst],MATCH(O11,PMtbl[Category],0),)</f>
        <v>HIV-Equipment</v>
      </c>
      <c r="N11" s="7">
        <f>INDEX(PMtbl[Sec],MATCH(O11,PMtbl[Category],0),)</f>
        <v>1</v>
      </c>
      <c r="O11" s="1469" t="str">
        <f>INDEX(PMtbl[Category],MATCH(0,INDEX(COUNTIF($O$2:O10,PMtbl[Category]),),0))</f>
        <v>Waste management for HIV: Equipment</v>
      </c>
      <c r="R11" s="1472" t="s">
        <v>2680</v>
      </c>
      <c r="S11" s="1472">
        <v>1</v>
      </c>
      <c r="T11" s="1472" t="s">
        <v>2701</v>
      </c>
      <c r="U11" s="1472" t="s">
        <v>2710</v>
      </c>
      <c r="W11" s="1488"/>
      <c r="X11" s="1488"/>
      <c r="Y11" s="1488"/>
      <c r="Z11" s="1488"/>
    </row>
    <row r="12" spans="1:26">
      <c r="A12" s="7" t="s">
        <v>2680</v>
      </c>
      <c r="B12" s="7" t="s">
        <v>2680</v>
      </c>
      <c r="C12" s="7">
        <v>1</v>
      </c>
      <c r="D12" s="7" t="s">
        <v>3073</v>
      </c>
      <c r="E12" s="7" t="s">
        <v>3073</v>
      </c>
      <c r="F12" s="7" t="s">
        <v>2681</v>
      </c>
      <c r="G12" s="7" t="s">
        <v>2686</v>
      </c>
      <c r="H12" s="7">
        <v>5.6</v>
      </c>
      <c r="I12" s="7" t="s">
        <v>718</v>
      </c>
      <c r="L12" s="7" t="str">
        <f>INDEX(PMtbl[Component],MATCH(O12,PMtbl[Category],0),)</f>
        <v>HIV</v>
      </c>
      <c r="M12" s="7" t="str">
        <f>INDEX(PMtbl[WKst],MATCH(O12,PMtbl[Category],0),)</f>
        <v>HIV-Other HPs</v>
      </c>
      <c r="N12" s="7">
        <f>INDEX(PMtbl[Sec],MATCH(O12,PMtbl[Category],0),)</f>
        <v>1</v>
      </c>
      <c r="O12" s="1469" t="str">
        <f>INDEX(PMtbl[Category],MATCH(0,INDEX(COUNTIF($O$2:O11,PMtbl[Category]),),0))</f>
        <v>Condoms</v>
      </c>
      <c r="R12" s="1472" t="s">
        <v>2680</v>
      </c>
      <c r="S12" s="1472">
        <v>1</v>
      </c>
      <c r="T12" s="1472" t="s">
        <v>2701</v>
      </c>
      <c r="U12" s="1472" t="s">
        <v>2712</v>
      </c>
      <c r="W12" s="1488"/>
      <c r="X12" s="1488"/>
      <c r="Y12" s="1488"/>
      <c r="Z12" s="1488"/>
    </row>
    <row r="13" spans="1:26">
      <c r="A13" s="7" t="s">
        <v>2680</v>
      </c>
      <c r="B13" s="7" t="s">
        <v>2680</v>
      </c>
      <c r="C13" s="7">
        <v>1</v>
      </c>
      <c r="D13" s="7" t="s">
        <v>2692</v>
      </c>
      <c r="E13" s="7" t="s">
        <v>2692</v>
      </c>
      <c r="F13" s="7" t="s">
        <v>2692</v>
      </c>
      <c r="G13" s="7" t="s">
        <v>191</v>
      </c>
      <c r="H13" s="7">
        <v>6.6</v>
      </c>
      <c r="I13" s="7" t="s">
        <v>719</v>
      </c>
      <c r="L13" s="7" t="str">
        <f>INDEX(PMtbl[Component],MATCH(O13,PMtbl[Category],0),)</f>
        <v>HIV</v>
      </c>
      <c r="M13" s="7" t="str">
        <f>INDEX(PMtbl[WKst],MATCH(O13,PMtbl[Category],0),)</f>
        <v>HIV-Other HPs</v>
      </c>
      <c r="N13" s="7">
        <f>INDEX(PMtbl[Sec],MATCH(O13,PMtbl[Category],0),)</f>
        <v>1</v>
      </c>
      <c r="O13" s="1469" t="str">
        <f>INDEX(PMtbl[Category],MATCH(0,INDEX(COUNTIF($O$2:O12,PMtbl[Category]),),0))</f>
        <v>Lubricants</v>
      </c>
      <c r="R13" s="1472" t="s">
        <v>2680</v>
      </c>
      <c r="S13" s="1472">
        <v>1</v>
      </c>
      <c r="T13" s="1472" t="s">
        <v>2701</v>
      </c>
      <c r="U13" s="1472" t="s">
        <v>2718</v>
      </c>
      <c r="W13" s="1488"/>
      <c r="X13" s="1488"/>
      <c r="Y13" s="1488"/>
      <c r="Z13" s="1488"/>
    </row>
    <row r="14" spans="1:26">
      <c r="A14" s="7" t="s">
        <v>2680</v>
      </c>
      <c r="B14" s="7" t="s">
        <v>2680</v>
      </c>
      <c r="C14" s="7">
        <v>1</v>
      </c>
      <c r="D14" s="7" t="s">
        <v>2692</v>
      </c>
      <c r="E14" s="7" t="s">
        <v>2692</v>
      </c>
      <c r="F14" s="7" t="s">
        <v>2692</v>
      </c>
      <c r="G14" s="7" t="s">
        <v>2693</v>
      </c>
      <c r="H14" s="7">
        <v>6.6</v>
      </c>
      <c r="I14" s="7" t="s">
        <v>719</v>
      </c>
      <c r="L14" s="7" t="str">
        <f>INDEX(PMtbl[Component],MATCH(O14,PMtbl[Category],0),)</f>
        <v>HIV</v>
      </c>
      <c r="M14" s="7" t="str">
        <f>INDEX(PMtbl[WKst],MATCH(O14,PMtbl[Category],0),)</f>
        <v>HIV-Other HPs</v>
      </c>
      <c r="N14" s="7">
        <f>INDEX(PMtbl[Sec],MATCH(O14,PMtbl[Category],0),)</f>
        <v>2</v>
      </c>
      <c r="O14" s="1469" t="str">
        <f>INDEX(PMtbl[Category],MATCH(0,INDEX(COUNTIF($O$2:O13,PMtbl[Category]),),0))</f>
        <v>RDTs for HIV</v>
      </c>
      <c r="R14" s="1472" t="s">
        <v>2680</v>
      </c>
      <c r="S14" s="1472">
        <v>1</v>
      </c>
      <c r="T14" s="1472" t="s">
        <v>2701</v>
      </c>
      <c r="U14" s="1472" t="s">
        <v>2721</v>
      </c>
      <c r="W14" s="1488"/>
      <c r="X14" s="1488"/>
      <c r="Y14" s="1488"/>
      <c r="Z14" s="1488"/>
    </row>
    <row r="15" spans="1:26">
      <c r="A15" s="7" t="s">
        <v>2680</v>
      </c>
      <c r="B15" s="7" t="s">
        <v>2680</v>
      </c>
      <c r="C15" s="7">
        <v>1</v>
      </c>
      <c r="D15" s="7" t="s">
        <v>2692</v>
      </c>
      <c r="E15" s="7" t="s">
        <v>2692</v>
      </c>
      <c r="F15" s="7" t="s">
        <v>2692</v>
      </c>
      <c r="G15" s="7" t="s">
        <v>206</v>
      </c>
      <c r="H15" s="7">
        <v>6.5</v>
      </c>
      <c r="I15" s="7" t="s">
        <v>719</v>
      </c>
      <c r="L15" s="7" t="str">
        <f>INDEX(PMtbl[Component],MATCH(O15,PMtbl[Category],0),)</f>
        <v>HIV</v>
      </c>
      <c r="M15" s="7" t="str">
        <f>INDEX(PMtbl[WKst],MATCH(O15,PMtbl[Category],0),)</f>
        <v>HIV-Other HPs</v>
      </c>
      <c r="N15" s="7">
        <f>INDEX(PMtbl[Sec],MATCH(O15,PMtbl[Category],0),)</f>
        <v>2</v>
      </c>
      <c r="O15" s="1469" t="str">
        <f>INDEX(PMtbl[Category],MATCH(0,INDEX(COUNTIF($O$2:O14,PMtbl[Category]),),0))</f>
        <v>RDTs for STIs, OIs &amp; hepatitis</v>
      </c>
      <c r="R15" s="1472" t="s">
        <v>2680</v>
      </c>
      <c r="S15" s="1472">
        <v>1</v>
      </c>
      <c r="T15" s="1472" t="s">
        <v>2701</v>
      </c>
      <c r="U15" s="1472" t="s">
        <v>2722</v>
      </c>
      <c r="W15" s="1488"/>
      <c r="X15" s="1488"/>
      <c r="Y15" s="1488"/>
      <c r="Z15" s="1488"/>
    </row>
    <row r="16" spans="1:26">
      <c r="A16" s="7" t="s">
        <v>2680</v>
      </c>
      <c r="B16" s="7" t="s">
        <v>2680</v>
      </c>
      <c r="C16" s="7">
        <v>1</v>
      </c>
      <c r="D16" s="7" t="s">
        <v>2694</v>
      </c>
      <c r="E16" s="7" t="s">
        <v>2694</v>
      </c>
      <c r="F16" s="7" t="s">
        <v>2695</v>
      </c>
      <c r="G16" s="7" t="s">
        <v>2698</v>
      </c>
      <c r="H16" s="7">
        <v>4.7</v>
      </c>
      <c r="I16" s="7" t="s">
        <v>718</v>
      </c>
      <c r="L16" s="7" t="str">
        <f>INDEX(PMtbl[Component],MATCH(O16,PMtbl[Category],0),)</f>
        <v>HIV</v>
      </c>
      <c r="M16" s="7" t="str">
        <f>INDEX(PMtbl[WKst],MATCH(O16,PMtbl[Category],0),)</f>
        <v>HIV-Other HPs</v>
      </c>
      <c r="N16" s="7">
        <f>INDEX(PMtbl[Sec],MATCH(O16,PMtbl[Category],0),)</f>
        <v>2</v>
      </c>
      <c r="O16" s="1469" t="str">
        <f>INDEX(PMtbl[Category],MATCH(0,INDEX(COUNTIF($O$2:O15,PMtbl[Category]),),0))</f>
        <v>RDTs for TB for HIV program</v>
      </c>
      <c r="R16" s="1472" t="s">
        <v>1458</v>
      </c>
      <c r="S16" s="1472">
        <v>1</v>
      </c>
      <c r="T16" s="1472" t="s">
        <v>1449</v>
      </c>
      <c r="U16" s="1472" t="s">
        <v>1176</v>
      </c>
      <c r="W16" s="1488"/>
      <c r="X16" s="1488"/>
      <c r="Y16" s="1488"/>
      <c r="Z16" s="1488"/>
    </row>
    <row r="17" spans="1:26">
      <c r="A17" s="7" t="s">
        <v>2680</v>
      </c>
      <c r="B17" s="7" t="s">
        <v>2680</v>
      </c>
      <c r="C17" s="7">
        <v>1</v>
      </c>
      <c r="D17" s="7" t="s">
        <v>2694</v>
      </c>
      <c r="E17" s="7" t="s">
        <v>2694</v>
      </c>
      <c r="F17" s="7" t="s">
        <v>2695</v>
      </c>
      <c r="G17" s="7" t="s">
        <v>2697</v>
      </c>
      <c r="H17" s="7">
        <v>4.7</v>
      </c>
      <c r="I17" s="7" t="s">
        <v>718</v>
      </c>
      <c r="L17" s="7" t="str">
        <f>INDEX(PMtbl[Component],MATCH(O17,PMtbl[Category],0),)</f>
        <v>HIV</v>
      </c>
      <c r="M17" s="7" t="str">
        <f>INDEX(PMtbl[WKst],MATCH(O17,PMtbl[Category],0),)</f>
        <v>HIV-Other HPs</v>
      </c>
      <c r="N17" s="7">
        <f>INDEX(PMtbl[Sec],MATCH(O17,PMtbl[Category],0),)</f>
        <v>3</v>
      </c>
      <c r="O17" s="1469" t="str">
        <f>INDEX(PMtbl[Category],MATCH(0,INDEX(COUNTIF($O$2:O16,PMtbl[Category]),),0))</f>
        <v>HIV VL/EID Laboratory reagents</v>
      </c>
      <c r="R17" s="1472" t="s">
        <v>1458</v>
      </c>
      <c r="S17" s="1472">
        <v>1</v>
      </c>
      <c r="T17" s="1472" t="s">
        <v>1448</v>
      </c>
      <c r="U17" s="1472" t="s">
        <v>1013</v>
      </c>
      <c r="W17" s="1488"/>
      <c r="X17" s="1488"/>
      <c r="Y17" s="1488"/>
      <c r="Z17" s="1488"/>
    </row>
    <row r="18" spans="1:26">
      <c r="A18" s="7" t="s">
        <v>2680</v>
      </c>
      <c r="B18" s="7" t="s">
        <v>2680</v>
      </c>
      <c r="C18" s="7">
        <v>1</v>
      </c>
      <c r="D18" s="7" t="s">
        <v>2694</v>
      </c>
      <c r="E18" s="7" t="s">
        <v>2694</v>
      </c>
      <c r="F18" s="7" t="s">
        <v>2695</v>
      </c>
      <c r="G18" s="7" t="s">
        <v>2696</v>
      </c>
      <c r="H18" s="7">
        <v>4.7</v>
      </c>
      <c r="I18" s="7" t="s">
        <v>718</v>
      </c>
      <c r="L18" s="7" t="str">
        <f>INDEX(PMtbl[Component],MATCH(O18,PMtbl[Category],0),)</f>
        <v>HIV</v>
      </c>
      <c r="M18" s="7" t="str">
        <f>INDEX(PMtbl[WKst],MATCH(O18,PMtbl[Category],0),)</f>
        <v>HIV-Other HPs</v>
      </c>
      <c r="N18" s="7">
        <f>INDEX(PMtbl[Sec],MATCH(O18,PMtbl[Category],0),)</f>
        <v>4</v>
      </c>
      <c r="O18" s="1469" t="str">
        <f>INDEX(PMtbl[Category],MATCH(0,INDEX(COUNTIF($O$2:O17,PMtbl[Category]),),0))</f>
        <v>Consumables for HIV program</v>
      </c>
      <c r="R18" s="1472" t="s">
        <v>1458</v>
      </c>
      <c r="S18" s="1472">
        <v>1</v>
      </c>
      <c r="T18" s="1472" t="s">
        <v>1448</v>
      </c>
      <c r="U18" s="1472" t="s">
        <v>203</v>
      </c>
      <c r="W18" s="1488"/>
      <c r="X18" s="1488"/>
      <c r="Y18" s="1488"/>
      <c r="Z18" s="1488"/>
    </row>
    <row r="19" spans="1:26">
      <c r="A19" s="7" t="s">
        <v>2680</v>
      </c>
      <c r="B19" s="7" t="s">
        <v>2680</v>
      </c>
      <c r="C19" s="7">
        <v>1</v>
      </c>
      <c r="D19" s="7" t="s">
        <v>2694</v>
      </c>
      <c r="E19" s="7" t="s">
        <v>2694</v>
      </c>
      <c r="F19" s="7" t="s">
        <v>2695</v>
      </c>
      <c r="G19" s="7" t="s">
        <v>2699</v>
      </c>
      <c r="H19" s="7">
        <v>4.7</v>
      </c>
      <c r="I19" s="7" t="s">
        <v>718</v>
      </c>
      <c r="L19" s="7" t="str">
        <f>INDEX(PMtbl[Component],MATCH(O19,PMtbl[Category],0),)</f>
        <v>HIV</v>
      </c>
      <c r="M19" s="7" t="str">
        <f>INDEX(PMtbl[WKst],MATCH(O19,PMtbl[Category],0),)</f>
        <v>HIV-Other HPs</v>
      </c>
      <c r="N19" s="7">
        <f>INDEX(PMtbl[Sec],MATCH(O19,PMtbl[Category],0),)</f>
        <v>4</v>
      </c>
      <c r="O19" s="1469" t="str">
        <f>INDEX(PMtbl[Category],MATCH(0,INDEX(COUNTIF($O$2:O18,PMtbl[Category]),),0))</f>
        <v>HIV Laboratory reagents</v>
      </c>
      <c r="R19" s="1472" t="s">
        <v>1458</v>
      </c>
      <c r="S19" s="1472">
        <v>1</v>
      </c>
      <c r="T19" s="1472" t="s">
        <v>1448</v>
      </c>
      <c r="U19" s="1472" t="s">
        <v>204</v>
      </c>
      <c r="W19" s="1488"/>
      <c r="X19" s="1488"/>
      <c r="Y19" s="1488"/>
      <c r="Z19" s="1488"/>
    </row>
    <row r="20" spans="1:26">
      <c r="A20" s="7" t="s">
        <v>2680</v>
      </c>
      <c r="B20" s="7" t="s">
        <v>2680</v>
      </c>
      <c r="C20" s="7">
        <v>1</v>
      </c>
      <c r="D20" s="7" t="s">
        <v>2694</v>
      </c>
      <c r="E20" s="7" t="s">
        <v>2694</v>
      </c>
      <c r="F20" s="7" t="s">
        <v>172</v>
      </c>
      <c r="G20" s="7" t="s">
        <v>2700</v>
      </c>
      <c r="H20" s="7">
        <v>4.7</v>
      </c>
      <c r="I20" s="7" t="s">
        <v>718</v>
      </c>
      <c r="L20" s="7" t="str">
        <f>INDEX(PMtbl[Component],MATCH(O20,PMtbl[Category],0),)</f>
        <v>HIV</v>
      </c>
      <c r="M20" s="7" t="str">
        <f>INDEX(PMtbl[WKst],MATCH(O20,PMtbl[Category],0),)</f>
        <v>HIV-Other HPs</v>
      </c>
      <c r="N20" s="7">
        <f>INDEX(PMtbl[Sec],MATCH(O20,PMtbl[Category],0),)</f>
        <v>4</v>
      </c>
      <c r="O20" s="1469" t="str">
        <f>INDEX(PMtbl[Category],MATCH(0,INDEX(COUNTIF($O$2:O19,PMtbl[Category]),),0))</f>
        <v>Other Laboratory reagents_HIV program</v>
      </c>
      <c r="R20" s="1472" t="s">
        <v>1458</v>
      </c>
      <c r="S20" s="1472">
        <v>1</v>
      </c>
      <c r="T20" s="1472" t="s">
        <v>1448</v>
      </c>
      <c r="U20" s="1472" t="s">
        <v>205</v>
      </c>
      <c r="W20" s="1488"/>
      <c r="X20" s="1488"/>
      <c r="Y20" s="1488"/>
      <c r="Z20" s="1488"/>
    </row>
    <row r="21" spans="1:26">
      <c r="A21" s="7" t="s">
        <v>2680</v>
      </c>
      <c r="B21" s="7" t="s">
        <v>2680</v>
      </c>
      <c r="C21" s="7">
        <v>1</v>
      </c>
      <c r="D21" s="7" t="s">
        <v>2701</v>
      </c>
      <c r="E21" s="7" t="s">
        <v>2701</v>
      </c>
      <c r="F21" s="7" t="s">
        <v>3050</v>
      </c>
      <c r="G21" s="7" t="s">
        <v>2702</v>
      </c>
      <c r="H21" s="7">
        <v>5.8</v>
      </c>
      <c r="I21" s="7" t="s">
        <v>718</v>
      </c>
      <c r="L21" s="7" t="str">
        <f>INDEX(PMtbl[Component],MATCH(O21,PMtbl[Category],0),)</f>
        <v>HIV</v>
      </c>
      <c r="M21" s="7" t="str">
        <f>INDEX(PMtbl[WKst],MATCH(O21,PMtbl[Category],0),)</f>
        <v>HIV-Other HPs</v>
      </c>
      <c r="N21" s="7">
        <f>INDEX(PMtbl[Sec],MATCH(O21,PMtbl[Category],0),)</f>
        <v>4</v>
      </c>
      <c r="O21" s="1469" t="str">
        <f>INDEX(PMtbl[Category],MATCH(0,INDEX(COUNTIF($O$2:O20,PMtbl[Category]),),0))</f>
        <v>Waste management for HIV: Reagents &amp; Consumables</v>
      </c>
      <c r="R21" s="1472" t="s">
        <v>1458</v>
      </c>
      <c r="S21" s="1472">
        <v>1</v>
      </c>
      <c r="T21" s="1472" t="s">
        <v>1448</v>
      </c>
      <c r="U21" s="1472" t="s">
        <v>207</v>
      </c>
      <c r="W21" s="1488"/>
      <c r="X21" s="1488"/>
      <c r="Y21" s="1488"/>
      <c r="Z21" s="1488"/>
    </row>
    <row r="22" spans="1:26">
      <c r="A22" s="7" t="s">
        <v>2680</v>
      </c>
      <c r="B22" s="7" t="s">
        <v>2680</v>
      </c>
      <c r="C22" s="7">
        <v>1</v>
      </c>
      <c r="D22" s="7" t="s">
        <v>2701</v>
      </c>
      <c r="E22" s="7" t="s">
        <v>2701</v>
      </c>
      <c r="F22" s="7" t="s">
        <v>2703</v>
      </c>
      <c r="G22" s="7" t="s">
        <v>2704</v>
      </c>
      <c r="H22" s="7">
        <v>5.8</v>
      </c>
      <c r="I22" s="7" t="s">
        <v>2705</v>
      </c>
      <c r="L22" s="7" t="str">
        <f>INDEX(PMtbl[Component],MATCH(O22,PMtbl[Category],0),)</f>
        <v>HIV</v>
      </c>
      <c r="M22" s="7" t="str">
        <f>INDEX(PMtbl[WKst],MATCH(O22,PMtbl[Category],0),)</f>
        <v>HIV-Pharmaceuticals</v>
      </c>
      <c r="N22" s="7">
        <f>INDEX(PMtbl[Sec],MATCH(O22,PMtbl[Category],0),)</f>
        <v>1</v>
      </c>
      <c r="O22" s="1469" t="str">
        <f>INDEX(PMtbl[Category],MATCH(0,INDEX(COUNTIF($O$2:O21,PMtbl[Category]),),0))</f>
        <v>ARVs</v>
      </c>
      <c r="R22" s="1472" t="s">
        <v>1458</v>
      </c>
      <c r="S22" s="1472">
        <v>1</v>
      </c>
      <c r="T22" s="1472" t="s">
        <v>1448</v>
      </c>
      <c r="U22" s="1472" t="s">
        <v>1034</v>
      </c>
      <c r="W22" s="1488"/>
      <c r="X22" s="1488"/>
      <c r="Y22" s="1488"/>
      <c r="Z22" s="1488"/>
    </row>
    <row r="23" spans="1:26">
      <c r="A23" s="7" t="s">
        <v>2680</v>
      </c>
      <c r="B23" s="7" t="s">
        <v>2680</v>
      </c>
      <c r="C23" s="7">
        <v>1</v>
      </c>
      <c r="D23" s="7" t="s">
        <v>2701</v>
      </c>
      <c r="E23" s="7" t="s">
        <v>2701</v>
      </c>
      <c r="F23" s="7" t="s">
        <v>2706</v>
      </c>
      <c r="G23" s="7" t="s">
        <v>2707</v>
      </c>
      <c r="H23" s="7">
        <v>5.8</v>
      </c>
      <c r="I23" s="7" t="s">
        <v>718</v>
      </c>
      <c r="L23" s="7" t="str">
        <f>INDEX(PMtbl[Component],MATCH(O23,PMtbl[Category],0),)</f>
        <v>HIV</v>
      </c>
      <c r="M23" s="7" t="str">
        <f>INDEX(PMtbl[WKst],MATCH(O23,PMtbl[Category],0),)</f>
        <v>HIV-Pharmaceuticals</v>
      </c>
      <c r="N23" s="7">
        <f>INDEX(PMtbl[Sec],MATCH(O23,PMtbl[Category],0),)</f>
        <v>1</v>
      </c>
      <c r="O23" s="1469" t="str">
        <f>INDEX(PMtbl[Category],MATCH(0,INDEX(COUNTIF($O$2:O22,PMtbl[Category]),),0))</f>
        <v>Opioid substitute medicines</v>
      </c>
      <c r="R23" s="1472" t="s">
        <v>1458</v>
      </c>
      <c r="S23" s="1472">
        <v>1</v>
      </c>
      <c r="T23" s="1472" t="s">
        <v>1448</v>
      </c>
      <c r="U23" s="1472" t="s">
        <v>208</v>
      </c>
      <c r="W23" s="1488"/>
      <c r="X23" s="1488"/>
      <c r="Y23" s="1488"/>
      <c r="Z23" s="1488"/>
    </row>
    <row r="24" spans="1:26">
      <c r="A24" s="7" t="s">
        <v>2680</v>
      </c>
      <c r="B24" s="7" t="s">
        <v>2680</v>
      </c>
      <c r="C24" s="7">
        <v>1</v>
      </c>
      <c r="D24" s="7" t="s">
        <v>2701</v>
      </c>
      <c r="E24" s="7" t="s">
        <v>2701</v>
      </c>
      <c r="F24" s="7" t="s">
        <v>2706</v>
      </c>
      <c r="G24" s="7" t="s">
        <v>2708</v>
      </c>
      <c r="H24" s="7">
        <v>5.8</v>
      </c>
      <c r="I24" s="7" t="s">
        <v>718</v>
      </c>
      <c r="L24" s="7" t="str">
        <f>INDEX(PMtbl[Component],MATCH(O24,PMtbl[Category],0),)</f>
        <v>HIV</v>
      </c>
      <c r="M24" s="7" t="str">
        <f>INDEX(PMtbl[WKst],MATCH(O24,PMtbl[Category],0),)</f>
        <v>HIV-Pharmaceuticals</v>
      </c>
      <c r="N24" s="7">
        <f>INDEX(PMtbl[Sec],MATCH(O24,PMtbl[Category],0),)</f>
        <v>2</v>
      </c>
      <c r="O24" s="1469" t="str">
        <f>INDEX(PMtbl[Category],MATCH(0,INDEX(COUNTIF($O$2:O23,PMtbl[Category]),),0))</f>
        <v>OIs, STIs &amp; other medicines in HIV</v>
      </c>
      <c r="R24" s="1472" t="s">
        <v>1458</v>
      </c>
      <c r="S24" s="1472">
        <v>1</v>
      </c>
      <c r="T24" s="1472" t="s">
        <v>1448</v>
      </c>
      <c r="U24" s="1472" t="s">
        <v>1027</v>
      </c>
      <c r="W24" s="1488"/>
      <c r="X24" s="1488"/>
      <c r="Y24" s="1488"/>
      <c r="Z24" s="1488"/>
    </row>
    <row r="25" spans="1:26">
      <c r="A25" s="7" t="s">
        <v>2680</v>
      </c>
      <c r="B25" s="7" t="s">
        <v>2680</v>
      </c>
      <c r="C25" s="7">
        <v>1</v>
      </c>
      <c r="D25" s="7" t="s">
        <v>2701</v>
      </c>
      <c r="E25" s="7" t="s">
        <v>2701</v>
      </c>
      <c r="F25" s="7" t="s">
        <v>2706</v>
      </c>
      <c r="G25" s="7" t="s">
        <v>2709</v>
      </c>
      <c r="H25" s="7">
        <v>5.8</v>
      </c>
      <c r="I25" s="7" t="s">
        <v>719</v>
      </c>
      <c r="L25" s="7" t="str">
        <f>INDEX(PMtbl[Component],MATCH(O25,PMtbl[Category],0),)</f>
        <v>HIV</v>
      </c>
      <c r="M25" s="7" t="str">
        <f>INDEX(PMtbl[WKst],MATCH(O25,PMtbl[Category],0),)</f>
        <v>HIV-Pharmaceuticals</v>
      </c>
      <c r="N25" s="7">
        <f>INDEX(PMtbl[Sec],MATCH(O25,PMtbl[Category],0),)</f>
        <v>2</v>
      </c>
      <c r="O25" s="1469" t="str">
        <f>INDEX(PMtbl[Category],MATCH(0,INDEX(COUNTIF($O$2:O24,PMtbl[Category]),),0))</f>
        <v>TB medicines for Prevention for HIV program</v>
      </c>
      <c r="R25" s="1472" t="s">
        <v>1458</v>
      </c>
      <c r="S25" s="1472">
        <v>1</v>
      </c>
      <c r="T25" s="1472" t="s">
        <v>1448</v>
      </c>
      <c r="U25" s="1472" t="s">
        <v>2728</v>
      </c>
      <c r="W25" s="1488"/>
      <c r="X25" s="1488"/>
      <c r="Y25" s="1488"/>
      <c r="Z25" s="1488"/>
    </row>
    <row r="26" spans="1:26">
      <c r="A26" s="7" t="s">
        <v>2680</v>
      </c>
      <c r="B26" s="7" t="s">
        <v>2680</v>
      </c>
      <c r="C26" s="7">
        <v>1</v>
      </c>
      <c r="D26" s="7" t="s">
        <v>2701</v>
      </c>
      <c r="E26" s="7" t="s">
        <v>2701</v>
      </c>
      <c r="F26" s="7" t="s">
        <v>2710</v>
      </c>
      <c r="G26" s="7" t="s">
        <v>2711</v>
      </c>
      <c r="H26" s="7">
        <v>5.8</v>
      </c>
      <c r="I26" s="7" t="s">
        <v>2705</v>
      </c>
      <c r="L26" s="7" t="str">
        <f>INDEX(PMtbl[Component],MATCH(O26,PMtbl[Category],0),)</f>
        <v>Malaria</v>
      </c>
      <c r="M26" s="7" t="str">
        <f>INDEX(PMtbl[WKst],MATCH(O26,PMtbl[Category],0),)</f>
        <v>Malaria-Equipment &amp; Other HPs</v>
      </c>
      <c r="N26" s="7">
        <f>INDEX(PMtbl[Sec],MATCH(O26,PMtbl[Category],0),)</f>
        <v>1</v>
      </c>
      <c r="O26" s="1469" t="str">
        <f>INDEX(PMtbl[Category],MATCH(0,INDEX(COUNTIF($O$2:O25,PMtbl[Category]),),0))</f>
        <v>Malaria Microscopy - Equipment &amp; reagents</v>
      </c>
      <c r="R26" s="1472" t="s">
        <v>1458</v>
      </c>
      <c r="S26" s="1472">
        <v>1</v>
      </c>
      <c r="T26" s="1472" t="s">
        <v>1448</v>
      </c>
      <c r="U26" s="1472" t="s">
        <v>2729</v>
      </c>
      <c r="W26" s="1488"/>
      <c r="X26" s="1488"/>
      <c r="Y26" s="1488"/>
      <c r="Z26" s="1488"/>
    </row>
    <row r="27" spans="1:26">
      <c r="A27" s="7" t="s">
        <v>2680</v>
      </c>
      <c r="B27" s="7" t="s">
        <v>2680</v>
      </c>
      <c r="C27" s="7">
        <v>1</v>
      </c>
      <c r="D27" s="7" t="s">
        <v>2701</v>
      </c>
      <c r="E27" s="7" t="s">
        <v>2701</v>
      </c>
      <c r="F27" s="7" t="s">
        <v>2712</v>
      </c>
      <c r="G27" s="7" t="s">
        <v>2717</v>
      </c>
      <c r="H27" s="7">
        <v>5.8</v>
      </c>
      <c r="I27" s="7" t="s">
        <v>2714</v>
      </c>
      <c r="L27" s="7" t="str">
        <f>INDEX(PMtbl[Component],MATCH(O27,PMtbl[Category],0),)</f>
        <v>Malaria</v>
      </c>
      <c r="M27" s="7" t="str">
        <f>INDEX(PMtbl[WKst],MATCH(O27,PMtbl[Category],0),)</f>
        <v>Malaria-Equipment &amp; Other HPs</v>
      </c>
      <c r="N27" s="7">
        <f>INDEX(PMtbl[Sec],MATCH(O27,PMtbl[Category],0),)</f>
        <v>2</v>
      </c>
      <c r="O27" s="1469" t="str">
        <f>INDEX(PMtbl[Category],MATCH(0,INDEX(COUNTIF($O$2:O26,PMtbl[Category]),),0))</f>
        <v>RDTs for Malaria</v>
      </c>
      <c r="R27" s="1472" t="s">
        <v>1458</v>
      </c>
      <c r="S27" s="1472">
        <v>1</v>
      </c>
      <c r="T27" s="1472" t="s">
        <v>1448</v>
      </c>
      <c r="U27" s="1472" t="s">
        <v>2730</v>
      </c>
      <c r="W27" s="1488"/>
      <c r="X27" s="1488"/>
      <c r="Y27" s="1488"/>
      <c r="Z27" s="1488"/>
    </row>
    <row r="28" spans="1:26">
      <c r="A28" s="7" t="s">
        <v>2680</v>
      </c>
      <c r="B28" s="7" t="s">
        <v>2680</v>
      </c>
      <c r="C28" s="7">
        <v>1</v>
      </c>
      <c r="D28" s="7" t="s">
        <v>2701</v>
      </c>
      <c r="E28" s="7" t="s">
        <v>2701</v>
      </c>
      <c r="F28" s="7" t="s">
        <v>2712</v>
      </c>
      <c r="G28" s="7" t="s">
        <v>2713</v>
      </c>
      <c r="H28" s="7">
        <v>5.8</v>
      </c>
      <c r="I28" s="7" t="s">
        <v>2714</v>
      </c>
      <c r="L28" s="7" t="str">
        <f>INDEX(PMtbl[Component],MATCH(O28,PMtbl[Category],0),)</f>
        <v>Malaria</v>
      </c>
      <c r="M28" s="7" t="str">
        <f>INDEX(PMtbl[WKst],MATCH(O28,PMtbl[Category],0),)</f>
        <v>Malaria-Equipment &amp; Other HPs</v>
      </c>
      <c r="N28" s="7">
        <f>INDEX(PMtbl[Sec],MATCH(O28,PMtbl[Category],0),)</f>
        <v>3</v>
      </c>
      <c r="O28" s="1469" t="str">
        <f>INDEX(PMtbl[Category],MATCH(0,INDEX(COUNTIF($O$2:O27,PMtbl[Category]),),0))</f>
        <v>IRS equipment &amp; insecticides</v>
      </c>
      <c r="R28" s="1472" t="s">
        <v>1458</v>
      </c>
      <c r="S28" s="1472">
        <v>1</v>
      </c>
      <c r="T28" s="1472" t="s">
        <v>1448</v>
      </c>
      <c r="U28" s="1472" t="s">
        <v>209</v>
      </c>
      <c r="W28" s="1488"/>
      <c r="X28" s="1488"/>
      <c r="Y28" s="1488"/>
      <c r="Z28" s="1488"/>
    </row>
    <row r="29" spans="1:26">
      <c r="A29" s="7" t="s">
        <v>2680</v>
      </c>
      <c r="B29" s="7" t="s">
        <v>2680</v>
      </c>
      <c r="C29" s="7">
        <v>1</v>
      </c>
      <c r="D29" s="7" t="s">
        <v>2701</v>
      </c>
      <c r="E29" s="7" t="s">
        <v>2701</v>
      </c>
      <c r="F29" s="7" t="s">
        <v>2712</v>
      </c>
      <c r="G29" s="7" t="s">
        <v>2716</v>
      </c>
      <c r="H29" s="7">
        <v>5.8</v>
      </c>
      <c r="I29" s="7" t="s">
        <v>2714</v>
      </c>
      <c r="L29" s="7" t="str">
        <f>INDEX(PMtbl[Component],MATCH(O29,PMtbl[Category],0),)</f>
        <v>Malaria</v>
      </c>
      <c r="M29" s="7" t="str">
        <f>INDEX(PMtbl[WKst],MATCH(O29,PMtbl[Category],0),)</f>
        <v>Malaria-Equipment &amp; Other HPs</v>
      </c>
      <c r="N29" s="7">
        <f>INDEX(PMtbl[Sec],MATCH(O29,PMtbl[Category],0),)</f>
        <v>3</v>
      </c>
      <c r="O29" s="1469" t="str">
        <f>INDEX(PMtbl[Category],MATCH(0,INDEX(COUNTIF($O$2:O28,PMtbl[Category]),),0))</f>
        <v>LLINs (mass campaigns)</v>
      </c>
      <c r="R29" s="1472" t="s">
        <v>1458</v>
      </c>
      <c r="S29" s="1472">
        <v>1</v>
      </c>
      <c r="T29" s="1472" t="s">
        <v>1448</v>
      </c>
      <c r="U29" s="1472" t="s">
        <v>2731</v>
      </c>
      <c r="W29" s="1488"/>
      <c r="X29" s="1488"/>
      <c r="Y29" s="1488"/>
      <c r="Z29" s="1488"/>
    </row>
    <row r="30" spans="1:26">
      <c r="A30" s="7" t="s">
        <v>2680</v>
      </c>
      <c r="B30" s="7" t="s">
        <v>2680</v>
      </c>
      <c r="C30" s="7">
        <v>1</v>
      </c>
      <c r="D30" s="7" t="s">
        <v>2701</v>
      </c>
      <c r="E30" s="7" t="s">
        <v>2701</v>
      </c>
      <c r="F30" s="7" t="s">
        <v>2712</v>
      </c>
      <c r="G30" s="7" t="s">
        <v>2715</v>
      </c>
      <c r="H30" s="7">
        <v>5.8</v>
      </c>
      <c r="I30" s="7" t="s">
        <v>2714</v>
      </c>
      <c r="L30" s="7" t="str">
        <f>INDEX(PMtbl[Component],MATCH(O30,PMtbl[Category],0),)</f>
        <v>Malaria</v>
      </c>
      <c r="M30" s="7" t="str">
        <f>INDEX(PMtbl[WKst],MATCH(O30,PMtbl[Category],0),)</f>
        <v>Malaria-Equipment &amp; Other HPs</v>
      </c>
      <c r="N30" s="7">
        <f>INDEX(PMtbl[Sec],MATCH(O30,PMtbl[Category],0),)</f>
        <v>3</v>
      </c>
      <c r="O30" s="1469" t="str">
        <f>INDEX(PMtbl[Category],MATCH(0,INDEX(COUNTIF($O$2:O29,PMtbl[Category]),),0))</f>
        <v>LLINs (routine distributions)</v>
      </c>
      <c r="R30" s="1472" t="s">
        <v>1458</v>
      </c>
      <c r="S30" s="1472">
        <v>1</v>
      </c>
      <c r="T30" s="1472" t="s">
        <v>1448</v>
      </c>
      <c r="U30" s="1472" t="s">
        <v>2732</v>
      </c>
      <c r="W30" s="1488"/>
      <c r="X30" s="1488"/>
      <c r="Y30" s="1488"/>
      <c r="Z30" s="1488"/>
    </row>
    <row r="31" spans="1:26">
      <c r="A31" s="7" t="s">
        <v>2680</v>
      </c>
      <c r="B31" s="7" t="s">
        <v>2680</v>
      </c>
      <c r="C31" s="7">
        <v>1</v>
      </c>
      <c r="D31" s="7" t="s">
        <v>2701</v>
      </c>
      <c r="E31" s="7" t="s">
        <v>2701</v>
      </c>
      <c r="F31" s="7" t="s">
        <v>2718</v>
      </c>
      <c r="G31" s="7" t="s">
        <v>2720</v>
      </c>
      <c r="H31" s="7">
        <v>5.8</v>
      </c>
      <c r="I31" s="7" t="s">
        <v>718</v>
      </c>
      <c r="L31" s="7" t="str">
        <f>INDEX(PMtbl[Component],MATCH(O31,PMtbl[Category],0),)</f>
        <v>Malaria</v>
      </c>
      <c r="M31" s="7" t="str">
        <f>INDEX(PMtbl[WKst],MATCH(O31,PMtbl[Category],0),)</f>
        <v>Malaria-Equipment &amp; Other HPs</v>
      </c>
      <c r="N31" s="7">
        <f>INDEX(PMtbl[Sec],MATCH(O31,PMtbl[Category],0),)</f>
        <v>4</v>
      </c>
      <c r="O31" s="1469" t="str">
        <f>INDEX(PMtbl[Category],MATCH(0,INDEX(COUNTIF($O$2:O30,PMtbl[Category]),),0))</f>
        <v>Malaria Other health equipment</v>
      </c>
      <c r="R31" s="1472" t="s">
        <v>1458</v>
      </c>
      <c r="S31" s="1472">
        <v>1</v>
      </c>
      <c r="T31" s="1472" t="s">
        <v>1448</v>
      </c>
      <c r="U31" s="1472" t="s">
        <v>210</v>
      </c>
      <c r="W31" s="1488"/>
      <c r="X31" s="1488"/>
      <c r="Y31" s="1488"/>
      <c r="Z31" s="1488"/>
    </row>
    <row r="32" spans="1:26">
      <c r="A32" s="7" t="s">
        <v>2680</v>
      </c>
      <c r="B32" s="7" t="s">
        <v>2680</v>
      </c>
      <c r="C32" s="7">
        <v>1</v>
      </c>
      <c r="D32" s="7" t="s">
        <v>2701</v>
      </c>
      <c r="E32" s="7" t="s">
        <v>2701</v>
      </c>
      <c r="F32" s="7" t="s">
        <v>2718</v>
      </c>
      <c r="G32" s="7" t="s">
        <v>2719</v>
      </c>
      <c r="H32" s="7">
        <v>5.8</v>
      </c>
      <c r="I32" s="7" t="s">
        <v>718</v>
      </c>
      <c r="L32" s="7" t="str">
        <f>INDEX(PMtbl[Component],MATCH(O32,PMtbl[Category],0),)</f>
        <v>Malaria</v>
      </c>
      <c r="M32" s="7" t="str">
        <f>INDEX(PMtbl[WKst],MATCH(O32,PMtbl[Category],0),)</f>
        <v>Malaria-Equipment &amp; Other HPs</v>
      </c>
      <c r="N32" s="7">
        <f>INDEX(PMtbl[Sec],MATCH(O32,PMtbl[Category],0),)</f>
        <v>4</v>
      </c>
      <c r="O32" s="1469" t="str">
        <f>INDEX(PMtbl[Category],MATCH(0,INDEX(COUNTIF($O$2:O31,PMtbl[Category]),),0))</f>
        <v>Malaria Consumables</v>
      </c>
      <c r="R32" s="1472" t="s">
        <v>1458</v>
      </c>
      <c r="S32" s="1472">
        <v>1</v>
      </c>
      <c r="T32" s="1472" t="s">
        <v>1448</v>
      </c>
      <c r="U32" s="1472" t="s">
        <v>190</v>
      </c>
      <c r="W32" s="1488"/>
      <c r="X32" s="1488"/>
      <c r="Y32" s="1488"/>
      <c r="Z32" s="1488"/>
    </row>
    <row r="33" spans="1:26">
      <c r="A33" s="7" t="s">
        <v>2680</v>
      </c>
      <c r="B33" s="7" t="s">
        <v>2680</v>
      </c>
      <c r="C33" s="7">
        <v>1</v>
      </c>
      <c r="D33" s="7" t="s">
        <v>2701</v>
      </c>
      <c r="E33" s="7" t="s">
        <v>2701</v>
      </c>
      <c r="F33" s="7" t="s">
        <v>2721</v>
      </c>
      <c r="G33" s="7" t="s">
        <v>2700</v>
      </c>
      <c r="H33" s="7">
        <v>5.8</v>
      </c>
      <c r="I33" s="7" t="s">
        <v>718</v>
      </c>
      <c r="L33" s="7" t="str">
        <f>INDEX(PMtbl[Component],MATCH(O33,PMtbl[Category],0),)</f>
        <v>Malaria</v>
      </c>
      <c r="M33" s="7" t="str">
        <f>INDEX(PMtbl[WKst],MATCH(O33,PMtbl[Category],0),)</f>
        <v>Malaria-Equipment &amp; Other HPs</v>
      </c>
      <c r="N33" s="7">
        <f>INDEX(PMtbl[Sec],MATCH(O33,PMtbl[Category],0),)</f>
        <v>4</v>
      </c>
      <c r="O33" s="1469" t="str">
        <f>INDEX(PMtbl[Category],MATCH(0,INDEX(COUNTIF($O$2:O32,PMtbl[Category]),),0))</f>
        <v>Malaria Laboratory equipment</v>
      </c>
      <c r="R33" s="1472" t="s">
        <v>1458</v>
      </c>
      <c r="S33" s="1472">
        <v>1</v>
      </c>
      <c r="T33" s="1472" t="s">
        <v>2733</v>
      </c>
      <c r="U33" s="1472" t="s">
        <v>2734</v>
      </c>
      <c r="W33" s="1488"/>
      <c r="X33" s="1488"/>
      <c r="Y33" s="1488"/>
      <c r="Z33" s="1488"/>
    </row>
    <row r="34" spans="1:26">
      <c r="A34" s="7" t="s">
        <v>2680</v>
      </c>
      <c r="B34" s="7" t="s">
        <v>2680</v>
      </c>
      <c r="C34" s="7">
        <v>1</v>
      </c>
      <c r="D34" s="7" t="s">
        <v>2701</v>
      </c>
      <c r="E34" s="7" t="s">
        <v>2701</v>
      </c>
      <c r="F34" s="7" t="s">
        <v>2722</v>
      </c>
      <c r="G34" s="7" t="s">
        <v>2723</v>
      </c>
      <c r="H34" s="7">
        <v>5.8</v>
      </c>
      <c r="I34" s="7" t="s">
        <v>718</v>
      </c>
      <c r="L34" s="7" t="str">
        <f>INDEX(PMtbl[Component],MATCH(O34,PMtbl[Category],0),)</f>
        <v>Malaria</v>
      </c>
      <c r="M34" s="7" t="str">
        <f>INDEX(PMtbl[WKst],MATCH(O34,PMtbl[Category],0),)</f>
        <v>Malaria-Equipment &amp; Other HPs</v>
      </c>
      <c r="N34" s="7">
        <f>INDEX(PMtbl[Sec],MATCH(O34,PMtbl[Category],0),)</f>
        <v>4</v>
      </c>
      <c r="O34" s="1469" t="str">
        <f>INDEX(PMtbl[Category],MATCH(0,INDEX(COUNTIF($O$2:O33,PMtbl[Category]),),0))</f>
        <v>Malaria Laboratory reagents</v>
      </c>
      <c r="R34" s="1472" t="s">
        <v>1458</v>
      </c>
      <c r="S34" s="1472">
        <v>1</v>
      </c>
      <c r="T34" s="1472" t="s">
        <v>2733</v>
      </c>
      <c r="U34" s="1472" t="s">
        <v>2735</v>
      </c>
      <c r="W34" s="1488"/>
      <c r="X34" s="1488"/>
      <c r="Y34" s="1488"/>
      <c r="Z34" s="1488"/>
    </row>
    <row r="35" spans="1:26">
      <c r="A35" s="7" t="s">
        <v>2680</v>
      </c>
      <c r="B35" s="7" t="s">
        <v>2680</v>
      </c>
      <c r="C35" s="7">
        <v>1</v>
      </c>
      <c r="D35" s="7" t="s">
        <v>2701</v>
      </c>
      <c r="E35" s="7" t="s">
        <v>2701</v>
      </c>
      <c r="F35" s="7" t="s">
        <v>2722</v>
      </c>
      <c r="G35" s="7" t="s">
        <v>2724</v>
      </c>
      <c r="H35" s="7">
        <v>5.8</v>
      </c>
      <c r="I35" s="7" t="s">
        <v>718</v>
      </c>
      <c r="L35" s="7" t="str">
        <f>INDEX(PMtbl[Component],MATCH(O35,PMtbl[Category],0),)</f>
        <v>Malaria</v>
      </c>
      <c r="M35" s="7" t="str">
        <f>INDEX(PMtbl[WKst],MATCH(O35,PMtbl[Category],0),)</f>
        <v>Malaria-Equipment &amp; Other HPs</v>
      </c>
      <c r="N35" s="7">
        <f>INDEX(PMtbl[Sec],MATCH(O35,PMtbl[Category],0),)</f>
        <v>4</v>
      </c>
      <c r="O35" s="1469" t="str">
        <f>INDEX(PMtbl[Category],MATCH(0,INDEX(COUNTIF($O$2:O34,PMtbl[Category]),),0))</f>
        <v>Waste management for Malaria</v>
      </c>
      <c r="R35" s="1472" t="s">
        <v>1458</v>
      </c>
      <c r="S35" s="1472">
        <v>1</v>
      </c>
      <c r="T35" s="1472" t="s">
        <v>2733</v>
      </c>
      <c r="U35" s="1472" t="s">
        <v>2736</v>
      </c>
      <c r="W35" s="1488"/>
      <c r="X35" s="1488"/>
      <c r="Y35" s="1488"/>
      <c r="Z35" s="1488"/>
    </row>
    <row r="36" spans="1:26">
      <c r="A36" s="7" t="s">
        <v>690</v>
      </c>
      <c r="B36" s="7" t="s">
        <v>1458</v>
      </c>
      <c r="C36" s="7">
        <v>1</v>
      </c>
      <c r="D36" s="7" t="s">
        <v>1390</v>
      </c>
      <c r="E36" s="7" t="s">
        <v>1449</v>
      </c>
      <c r="F36" s="7" t="s">
        <v>1176</v>
      </c>
      <c r="G36" s="7" t="s">
        <v>1178</v>
      </c>
      <c r="H36" s="7">
        <v>6.4</v>
      </c>
      <c r="I36" s="7" t="s">
        <v>719</v>
      </c>
      <c r="L36" s="7" t="str">
        <f>INDEX(PMtbl[Component],MATCH(O36,PMtbl[Category],0),)</f>
        <v>Malaria</v>
      </c>
      <c r="M36" s="7" t="str">
        <f>INDEX(PMtbl[WKst],MATCH(O36,PMtbl[Category],0),)</f>
        <v>Malaria-Pharmaceuticals</v>
      </c>
      <c r="N36" s="7">
        <f>INDEX(PMtbl[Sec],MATCH(O36,PMtbl[Category],0),)</f>
        <v>1</v>
      </c>
      <c r="O36" s="1469" t="str">
        <f>INDEX(PMtbl[Category],MATCH(0,INDEX(COUNTIF($O$2:O35,PMtbl[Category]),),0))</f>
        <v>Antimalaria medicines - treatment</v>
      </c>
      <c r="R36" s="1472" t="s">
        <v>1458</v>
      </c>
      <c r="S36" s="1472">
        <v>1</v>
      </c>
      <c r="T36" s="1472" t="s">
        <v>2733</v>
      </c>
      <c r="U36" s="1472" t="s">
        <v>2737</v>
      </c>
      <c r="W36" s="1488"/>
      <c r="X36" s="1488"/>
      <c r="Y36" s="1488"/>
      <c r="Z36" s="1488"/>
    </row>
    <row r="37" spans="1:26">
      <c r="A37" s="7" t="s">
        <v>690</v>
      </c>
      <c r="B37" s="7" t="s">
        <v>1458</v>
      </c>
      <c r="C37" s="7">
        <v>1</v>
      </c>
      <c r="D37" s="7" t="s">
        <v>1390</v>
      </c>
      <c r="E37" s="7" t="s">
        <v>1449</v>
      </c>
      <c r="F37" s="7" t="s">
        <v>1176</v>
      </c>
      <c r="G37" s="7" t="s">
        <v>1179</v>
      </c>
      <c r="H37" s="7">
        <v>6.4</v>
      </c>
      <c r="I37" s="7" t="s">
        <v>719</v>
      </c>
      <c r="L37" s="7" t="str">
        <f>INDEX(PMtbl[Component],MATCH(O37,PMtbl[Category],0),)</f>
        <v>Malaria</v>
      </c>
      <c r="M37" s="7" t="str">
        <f>INDEX(PMtbl[WKst],MATCH(O37,PMtbl[Category],0),)</f>
        <v>Malaria-Pharmaceuticals</v>
      </c>
      <c r="N37" s="7">
        <f>INDEX(PMtbl[Sec],MATCH(O37,PMtbl[Category],0),)</f>
        <v>2</v>
      </c>
      <c r="O37" s="1469" t="str">
        <f>INDEX(PMtbl[Category],MATCH(0,INDEX(COUNTIF($O$2:O36,PMtbl[Category]),),0))</f>
        <v>Antimalaria medicines - prevention</v>
      </c>
      <c r="R37" s="1472" t="s">
        <v>1458</v>
      </c>
      <c r="S37" s="1472">
        <v>1</v>
      </c>
      <c r="T37" s="1472" t="s">
        <v>2738</v>
      </c>
      <c r="U37" s="1472" t="s">
        <v>2739</v>
      </c>
      <c r="W37" s="1488"/>
      <c r="X37" s="1488"/>
      <c r="Y37" s="1488"/>
      <c r="Z37" s="1488"/>
    </row>
    <row r="38" spans="1:26">
      <c r="A38" s="7" t="s">
        <v>690</v>
      </c>
      <c r="B38" s="7" t="s">
        <v>1458</v>
      </c>
      <c r="C38" s="7">
        <v>1</v>
      </c>
      <c r="D38" s="7" t="s">
        <v>1390</v>
      </c>
      <c r="E38" s="7" t="s">
        <v>1449</v>
      </c>
      <c r="F38" s="7" t="s">
        <v>1176</v>
      </c>
      <c r="G38" s="7" t="s">
        <v>2726</v>
      </c>
      <c r="H38" s="7">
        <v>6.4</v>
      </c>
      <c r="I38" s="7" t="s">
        <v>719</v>
      </c>
      <c r="L38" s="7" t="str">
        <f>INDEX(PMtbl[Component],MATCH(O38,PMtbl[Category],0),)</f>
        <v>TB</v>
      </c>
      <c r="M38" s="7" t="str">
        <f>INDEX(PMtbl[WKst],MATCH(O38,PMtbl[Category],0),)</f>
        <v>TB-EQUIPMENT &amp; OTHER HPs</v>
      </c>
      <c r="N38" s="7">
        <f>INDEX(PMtbl[Sec],MATCH(O38,PMtbl[Category],0),)</f>
        <v>1</v>
      </c>
      <c r="O38" s="1469" t="str">
        <f>INDEX(PMtbl[Category],MATCH(0,INDEX(COUNTIF($O$2:O37,PMtbl[Category]),),0))</f>
        <v>TB Microscopy - Equipment &amp; reagents</v>
      </c>
      <c r="R38" s="1472" t="s">
        <v>1458</v>
      </c>
      <c r="S38" s="1472">
        <v>1</v>
      </c>
      <c r="T38" s="1472" t="s">
        <v>2738</v>
      </c>
      <c r="U38" s="1472" t="s">
        <v>2740</v>
      </c>
      <c r="W38" s="1488"/>
      <c r="X38" s="1488"/>
      <c r="Y38" s="1488"/>
      <c r="Z38" s="1488"/>
    </row>
    <row r="39" spans="1:26">
      <c r="A39" s="7" t="s">
        <v>690</v>
      </c>
      <c r="B39" s="7" t="s">
        <v>1458</v>
      </c>
      <c r="C39" s="7">
        <v>1</v>
      </c>
      <c r="D39" s="7" t="s">
        <v>1390</v>
      </c>
      <c r="E39" s="7" t="s">
        <v>1449</v>
      </c>
      <c r="F39" s="7" t="s">
        <v>1176</v>
      </c>
      <c r="G39" s="7" t="s">
        <v>1177</v>
      </c>
      <c r="H39" s="7">
        <v>6.4</v>
      </c>
      <c r="I39" s="7" t="s">
        <v>719</v>
      </c>
      <c r="L39" s="7" t="str">
        <f>INDEX(PMtbl[Component],MATCH(O39,PMtbl[Category],0),)</f>
        <v>TB</v>
      </c>
      <c r="M39" s="7" t="str">
        <f>INDEX(PMtbl[WKst],MATCH(O39,PMtbl[Category],0),)</f>
        <v>TB-EQUIPMENT &amp; OTHER HPs</v>
      </c>
      <c r="N39" s="7">
        <f>INDEX(PMtbl[Sec],MATCH(O39,PMtbl[Category],0),)</f>
        <v>2</v>
      </c>
      <c r="O39" s="1469" t="str">
        <f>INDEX(PMtbl[Category],MATCH(0,INDEX(COUNTIF($O$2:O38,PMtbl[Category]),),0))</f>
        <v>GeneXpert - Equipment &amp; cartridges for TB program</v>
      </c>
      <c r="R39" s="1472" t="s">
        <v>1458</v>
      </c>
      <c r="S39" s="1472">
        <v>1</v>
      </c>
      <c r="T39" s="1472" t="s">
        <v>3058</v>
      </c>
      <c r="U39" s="1472" t="s">
        <v>2741</v>
      </c>
      <c r="W39" s="1488"/>
      <c r="X39" s="1488"/>
      <c r="Y39" s="1488"/>
      <c r="Z39" s="1488"/>
    </row>
    <row r="40" spans="1:26">
      <c r="A40" s="7" t="s">
        <v>690</v>
      </c>
      <c r="B40" s="7" t="s">
        <v>1458</v>
      </c>
      <c r="C40" s="7">
        <v>1</v>
      </c>
      <c r="D40" s="7" t="s">
        <v>1390</v>
      </c>
      <c r="E40" s="7" t="s">
        <v>1449</v>
      </c>
      <c r="F40" s="7" t="s">
        <v>1176</v>
      </c>
      <c r="G40" s="7" t="s">
        <v>2725</v>
      </c>
      <c r="H40" s="7">
        <v>6.4</v>
      </c>
      <c r="I40" s="7" t="s">
        <v>719</v>
      </c>
      <c r="L40" s="7" t="str">
        <f>INDEX(PMtbl[Component],MATCH(O40,PMtbl[Category],0),)</f>
        <v>TB</v>
      </c>
      <c r="M40" s="7" t="str">
        <f>INDEX(PMtbl[WKst],MATCH(O40,PMtbl[Category],0),)</f>
        <v>TB-EQUIPMENT &amp; OTHER HPs</v>
      </c>
      <c r="N40" s="7">
        <f>INDEX(PMtbl[Sec],MATCH(O40,PMtbl[Category],0),)</f>
        <v>2</v>
      </c>
      <c r="O40" s="1469" t="str">
        <f>INDEX(PMtbl[Category],MATCH(0,INDEX(COUNTIF($O$2:O39,PMtbl[Category]),),0))</f>
        <v>RDTs for TB</v>
      </c>
      <c r="R40" s="1472" t="s">
        <v>1458</v>
      </c>
      <c r="S40" s="1472">
        <v>1</v>
      </c>
      <c r="T40" s="1472" t="s">
        <v>3058</v>
      </c>
      <c r="U40" s="1472" t="s">
        <v>2742</v>
      </c>
      <c r="W40" s="1488"/>
      <c r="X40" s="1488"/>
      <c r="Y40" s="1488"/>
      <c r="Z40" s="1488"/>
    </row>
    <row r="41" spans="1:26">
      <c r="A41" s="7" t="s">
        <v>690</v>
      </c>
      <c r="B41" s="7" t="s">
        <v>1458</v>
      </c>
      <c r="C41" s="7">
        <v>1</v>
      </c>
      <c r="D41" s="7" t="s">
        <v>1390</v>
      </c>
      <c r="E41" s="7" t="s">
        <v>1449</v>
      </c>
      <c r="F41" s="7" t="s">
        <v>1176</v>
      </c>
      <c r="G41" s="7" t="s">
        <v>1180</v>
      </c>
      <c r="H41" s="7">
        <v>6.4</v>
      </c>
      <c r="I41" s="7" t="s">
        <v>719</v>
      </c>
      <c r="L41" s="7" t="str">
        <f>INDEX(PMtbl[Component],MATCH(O41,PMtbl[Category],0),)</f>
        <v>TB</v>
      </c>
      <c r="M41" s="7" t="str">
        <f>INDEX(PMtbl[WKst],MATCH(O41,PMtbl[Category],0),)</f>
        <v>TB-EQUIPMENT &amp; OTHER HPs</v>
      </c>
      <c r="N41" s="7">
        <f>INDEX(PMtbl[Sec],MATCH(O41,PMtbl[Category],0),)</f>
        <v>2</v>
      </c>
      <c r="O41" s="1469" t="str">
        <f>INDEX(PMtbl[Category],MATCH(0,INDEX(COUNTIF($O$2:O40,PMtbl[Category]),),0))</f>
        <v>TB-LAMP Loop-Mediated Isothermal Amplification for TB program</v>
      </c>
      <c r="R41" s="1472" t="s">
        <v>1459</v>
      </c>
      <c r="S41" s="1472">
        <v>1</v>
      </c>
      <c r="T41" s="1472" t="s">
        <v>693</v>
      </c>
      <c r="U41" s="1472" t="s">
        <v>193</v>
      </c>
      <c r="W41" s="1488"/>
      <c r="X41" s="1488"/>
      <c r="Y41" s="1488"/>
      <c r="Z41" s="1488"/>
    </row>
    <row r="42" spans="1:26">
      <c r="A42" s="7" t="s">
        <v>690</v>
      </c>
      <c r="B42" s="7" t="s">
        <v>1458</v>
      </c>
      <c r="C42" s="7">
        <v>1</v>
      </c>
      <c r="D42" s="7" t="s">
        <v>1390</v>
      </c>
      <c r="E42" s="7" t="s">
        <v>1449</v>
      </c>
      <c r="F42" s="7" t="s">
        <v>1176</v>
      </c>
      <c r="G42" s="7" t="s">
        <v>2727</v>
      </c>
      <c r="H42" s="7">
        <v>6.4</v>
      </c>
      <c r="I42" s="7" t="s">
        <v>719</v>
      </c>
      <c r="L42" s="7" t="str">
        <f>INDEX(PMtbl[Component],MATCH(O42,PMtbl[Category],0),)</f>
        <v>TB</v>
      </c>
      <c r="M42" s="7" t="str">
        <f>INDEX(PMtbl[WKst],MATCH(O42,PMtbl[Category],0),)</f>
        <v>TB-EQUIPMENT &amp; OTHER HPs</v>
      </c>
      <c r="N42" s="7">
        <f>INDEX(PMtbl[Sec],MATCH(O42,PMtbl[Category],0),)</f>
        <v>2</v>
      </c>
      <c r="O42" s="1469" t="str">
        <f>INDEX(PMtbl[Category],MATCH(0,INDEX(COUNTIF($O$2:O41,PMtbl[Category]),),0))</f>
        <v>TrueNat for TB program</v>
      </c>
      <c r="R42" s="1472" t="s">
        <v>1459</v>
      </c>
      <c r="S42" s="1472">
        <v>1</v>
      </c>
      <c r="T42" s="1472" t="s">
        <v>693</v>
      </c>
      <c r="U42" s="1472" t="s">
        <v>197</v>
      </c>
      <c r="W42" s="1488"/>
      <c r="X42" s="1488"/>
      <c r="Y42" s="1488"/>
      <c r="Z42" s="1488"/>
    </row>
    <row r="43" spans="1:26">
      <c r="A43" s="7" t="s">
        <v>690</v>
      </c>
      <c r="B43" s="7" t="s">
        <v>1458</v>
      </c>
      <c r="C43" s="7">
        <v>1</v>
      </c>
      <c r="D43" s="7" t="s">
        <v>1390</v>
      </c>
      <c r="E43" s="7" t="s">
        <v>1449</v>
      </c>
      <c r="F43" s="7" t="s">
        <v>1176</v>
      </c>
      <c r="G43" s="7" t="s">
        <v>2700</v>
      </c>
      <c r="H43" s="7">
        <v>6.4</v>
      </c>
      <c r="I43" s="7" t="s">
        <v>719</v>
      </c>
      <c r="L43" s="7" t="str">
        <f>INDEX(PMtbl[Component],MATCH(O43,PMtbl[Category],0),)</f>
        <v>TB</v>
      </c>
      <c r="M43" s="7" t="str">
        <f>INDEX(PMtbl[WKst],MATCH(O43,PMtbl[Category],0),)</f>
        <v>TB-EQUIPMENT &amp; OTHER HPs</v>
      </c>
      <c r="N43" s="7">
        <f>INDEX(PMtbl[Sec],MATCH(O43,PMtbl[Category],0),)</f>
        <v>3</v>
      </c>
      <c r="O43" s="1469" t="str">
        <f>INDEX(PMtbl[Category],MATCH(0,INDEX(COUNTIF($O$2:O42,PMtbl[Category]),),0))</f>
        <v>Culture/DST/LPA - Equipment &amp; reagents</v>
      </c>
      <c r="R43" s="1472" t="s">
        <v>1459</v>
      </c>
      <c r="S43" s="1472">
        <v>1</v>
      </c>
      <c r="T43" s="1472" t="s">
        <v>217</v>
      </c>
      <c r="U43" s="1472" t="s">
        <v>196</v>
      </c>
      <c r="W43" s="1488"/>
      <c r="X43" s="1488"/>
      <c r="Y43" s="1488"/>
      <c r="Z43" s="1488"/>
    </row>
    <row r="44" spans="1:26">
      <c r="A44" s="7" t="s">
        <v>690</v>
      </c>
      <c r="B44" s="7" t="s">
        <v>1458</v>
      </c>
      <c r="C44" s="7">
        <v>1</v>
      </c>
      <c r="D44" s="7" t="s">
        <v>1390</v>
      </c>
      <c r="E44" s="7" t="s">
        <v>1449</v>
      </c>
      <c r="F44" s="7" t="s">
        <v>1176</v>
      </c>
      <c r="G44" s="7" t="s">
        <v>2693</v>
      </c>
      <c r="H44" s="7">
        <v>6.4</v>
      </c>
      <c r="I44" s="7" t="s">
        <v>719</v>
      </c>
      <c r="L44" s="7" t="str">
        <f>INDEX(PMtbl[Component],MATCH(O44,PMtbl[Category],0),)</f>
        <v>TB</v>
      </c>
      <c r="M44" s="7" t="str">
        <f>INDEX(PMtbl[WKst],MATCH(O44,PMtbl[Category],0),)</f>
        <v>TB-EQUIPMENT &amp; OTHER HPs</v>
      </c>
      <c r="N44" s="7">
        <f>INDEX(PMtbl[Sec],MATCH(O44,PMtbl[Category],0),)</f>
        <v>4</v>
      </c>
      <c r="O44" s="1469" t="str">
        <f>INDEX(PMtbl[Category],MATCH(0,INDEX(COUNTIF($O$2:O43,PMtbl[Category]),),0))</f>
        <v>Consumables for TB program</v>
      </c>
      <c r="R44" s="1472" t="s">
        <v>1459</v>
      </c>
      <c r="S44" s="1472">
        <v>2</v>
      </c>
      <c r="T44" s="1472" t="s">
        <v>441</v>
      </c>
      <c r="U44" s="1472" t="s">
        <v>194</v>
      </c>
      <c r="W44" s="1488"/>
      <c r="X44" s="1488"/>
      <c r="Y44" s="1488"/>
      <c r="Z44" s="1488"/>
    </row>
    <row r="45" spans="1:26">
      <c r="A45" s="7" t="s">
        <v>690</v>
      </c>
      <c r="B45" s="7" t="s">
        <v>1458</v>
      </c>
      <c r="C45" s="7">
        <v>1</v>
      </c>
      <c r="D45" s="7" t="s">
        <v>1390</v>
      </c>
      <c r="E45" s="7" t="s">
        <v>1449</v>
      </c>
      <c r="F45" s="7" t="s">
        <v>1176</v>
      </c>
      <c r="G45" s="7" t="s">
        <v>206</v>
      </c>
      <c r="H45" s="7">
        <v>6.5</v>
      </c>
      <c r="I45" s="7" t="s">
        <v>719</v>
      </c>
      <c r="L45" s="7" t="str">
        <f>INDEX(PMtbl[Component],MATCH(O45,PMtbl[Category],0),)</f>
        <v>TB</v>
      </c>
      <c r="M45" s="7" t="str">
        <f>INDEX(PMtbl[WKst],MATCH(O45,PMtbl[Category],0),)</f>
        <v>TB-EQUIPMENT &amp; OTHER HPs</v>
      </c>
      <c r="N45" s="7">
        <f>INDEX(PMtbl[Sec],MATCH(O45,PMtbl[Category],0),)</f>
        <v>4</v>
      </c>
      <c r="O45" s="1469" t="str">
        <f>INDEX(PMtbl[Category],MATCH(0,INDEX(COUNTIF($O$2:O44,PMtbl[Category]),),0))</f>
        <v>Laboratory equipment for TB program</v>
      </c>
      <c r="R45" s="1472" t="s">
        <v>1459</v>
      </c>
      <c r="S45" s="1472">
        <v>2</v>
      </c>
      <c r="T45" s="1472" t="s">
        <v>441</v>
      </c>
      <c r="U45" s="1472" t="s">
        <v>2768</v>
      </c>
      <c r="W45" s="1488"/>
      <c r="X45" s="1488"/>
      <c r="Y45" s="1488"/>
      <c r="Z45" s="1488"/>
    </row>
    <row r="46" spans="1:26">
      <c r="A46" s="7" t="s">
        <v>690</v>
      </c>
      <c r="B46" s="7" t="s">
        <v>1458</v>
      </c>
      <c r="C46" s="7">
        <v>1</v>
      </c>
      <c r="D46" s="7" t="s">
        <v>1390</v>
      </c>
      <c r="E46" s="7" t="s">
        <v>1448</v>
      </c>
      <c r="F46" s="7" t="s">
        <v>1013</v>
      </c>
      <c r="G46" s="7" t="s">
        <v>191</v>
      </c>
      <c r="H46" s="7">
        <v>6.6</v>
      </c>
      <c r="I46" s="7" t="s">
        <v>719</v>
      </c>
      <c r="L46" s="7" t="str">
        <f>INDEX(PMtbl[Component],MATCH(O46,PMtbl[Category],0),)</f>
        <v>TB</v>
      </c>
      <c r="M46" s="7" t="str">
        <f>INDEX(PMtbl[WKst],MATCH(O46,PMtbl[Category],0),)</f>
        <v>TB-EQUIPMENT &amp; OTHER HPs</v>
      </c>
      <c r="N46" s="7">
        <f>INDEX(PMtbl[Sec],MATCH(O46,PMtbl[Category],0),)</f>
        <v>4</v>
      </c>
      <c r="O46" s="1469" t="str">
        <f>INDEX(PMtbl[Category],MATCH(0,INDEX(COUNTIF($O$2:O45,PMtbl[Category]),),0))</f>
        <v>Other health equipment for TB program</v>
      </c>
      <c r="R46" s="1472" t="s">
        <v>1459</v>
      </c>
      <c r="S46" s="1472">
        <v>2</v>
      </c>
      <c r="T46" s="1472" t="s">
        <v>442</v>
      </c>
      <c r="U46" s="1472" t="s">
        <v>199</v>
      </c>
      <c r="W46" s="1488"/>
      <c r="X46" s="1488"/>
      <c r="Y46" s="1488"/>
      <c r="Z46" s="1488"/>
    </row>
    <row r="47" spans="1:26">
      <c r="A47" s="7" t="s">
        <v>690</v>
      </c>
      <c r="B47" s="7" t="s">
        <v>1458</v>
      </c>
      <c r="C47" s="7">
        <v>1</v>
      </c>
      <c r="D47" s="7" t="s">
        <v>1390</v>
      </c>
      <c r="E47" s="7" t="s">
        <v>1448</v>
      </c>
      <c r="F47" s="7" t="s">
        <v>1013</v>
      </c>
      <c r="G47" s="7" t="s">
        <v>2693</v>
      </c>
      <c r="H47" s="7">
        <v>6.6</v>
      </c>
      <c r="I47" s="7" t="s">
        <v>719</v>
      </c>
      <c r="L47" s="7" t="str">
        <f>INDEX(PMtbl[Component],MATCH(O47,PMtbl[Category],0),)</f>
        <v>TB</v>
      </c>
      <c r="M47" s="7" t="str">
        <f>INDEX(PMtbl[WKst],MATCH(O47,PMtbl[Category],0),)</f>
        <v>TB-EQUIPMENT &amp; OTHER HPs</v>
      </c>
      <c r="N47" s="7">
        <f>INDEX(PMtbl[Sec],MATCH(O47,PMtbl[Category],0),)</f>
        <v>4</v>
      </c>
      <c r="O47" s="1469" t="str">
        <f>INDEX(PMtbl[Category],MATCH(0,INDEX(COUNTIF($O$2:O46,PMtbl[Category]),),0))</f>
        <v>Other Laboratory reagents_TB program</v>
      </c>
      <c r="R47" s="1472" t="s">
        <v>1459</v>
      </c>
      <c r="S47" s="1472">
        <v>2</v>
      </c>
      <c r="T47" s="1472" t="s">
        <v>442</v>
      </c>
      <c r="U47" s="1472" t="s">
        <v>200</v>
      </c>
      <c r="W47" s="1488"/>
      <c r="X47" s="1488"/>
      <c r="Y47" s="1488"/>
      <c r="Z47" s="1488"/>
    </row>
    <row r="48" spans="1:26">
      <c r="A48" s="7" t="s">
        <v>690</v>
      </c>
      <c r="B48" s="7" t="s">
        <v>1458</v>
      </c>
      <c r="C48" s="7">
        <v>1</v>
      </c>
      <c r="D48" s="7" t="s">
        <v>1390</v>
      </c>
      <c r="E48" s="7" t="s">
        <v>1448</v>
      </c>
      <c r="F48" s="7" t="s">
        <v>1013</v>
      </c>
      <c r="G48" s="7" t="s">
        <v>206</v>
      </c>
      <c r="H48" s="7">
        <v>6.5</v>
      </c>
      <c r="I48" s="7" t="s">
        <v>719</v>
      </c>
      <c r="L48" s="7" t="str">
        <f>INDEX(PMtbl[Component],MATCH(O48,PMtbl[Category],0),)</f>
        <v>TB</v>
      </c>
      <c r="M48" s="7" t="str">
        <f>INDEX(PMtbl[WKst],MATCH(O48,PMtbl[Category],0),)</f>
        <v>TB-EQUIPMENT &amp; OTHER HPs</v>
      </c>
      <c r="N48" s="7">
        <f>INDEX(PMtbl[Sec],MATCH(O48,PMtbl[Category],0),)</f>
        <v>4</v>
      </c>
      <c r="O48" s="1469" t="str">
        <f>INDEX(PMtbl[Category],MATCH(0,INDEX(COUNTIF($O$2:O47,PMtbl[Category]),),0))</f>
        <v>RDTS for HIV testing in TB program</v>
      </c>
      <c r="R48" s="1472" t="s">
        <v>1459</v>
      </c>
      <c r="S48" s="1472">
        <v>2</v>
      </c>
      <c r="T48" s="1472" t="s">
        <v>442</v>
      </c>
      <c r="U48" s="1472" t="s">
        <v>201</v>
      </c>
      <c r="W48" s="1488"/>
      <c r="X48" s="1488"/>
      <c r="Y48" s="1488"/>
      <c r="Z48" s="1488"/>
    </row>
    <row r="49" spans="1:26">
      <c r="A49" s="7" t="s">
        <v>690</v>
      </c>
      <c r="B49" s="7" t="s">
        <v>1458</v>
      </c>
      <c r="C49" s="7">
        <v>1</v>
      </c>
      <c r="D49" s="7" t="s">
        <v>1390</v>
      </c>
      <c r="E49" s="7" t="s">
        <v>1448</v>
      </c>
      <c r="F49" s="7" t="s">
        <v>203</v>
      </c>
      <c r="G49" s="7" t="s">
        <v>191</v>
      </c>
      <c r="H49" s="7">
        <v>6.6</v>
      </c>
      <c r="I49" s="7" t="s">
        <v>719</v>
      </c>
      <c r="L49" s="7" t="str">
        <f>INDEX(PMtbl[Component],MATCH(O49,PMtbl[Category],0),)</f>
        <v>TB</v>
      </c>
      <c r="M49" s="7" t="str">
        <f>INDEX(PMtbl[WKst],MATCH(O49,PMtbl[Category],0),)</f>
        <v>TB-EQUIPMENT &amp; OTHER HPs</v>
      </c>
      <c r="N49" s="7">
        <f>INDEX(PMtbl[Sec],MATCH(O49,PMtbl[Category],0),)</f>
        <v>4</v>
      </c>
      <c r="O49" s="1469" t="str">
        <f>INDEX(PMtbl[Category],MATCH(0,INDEX(COUNTIF($O$2:O48,PMtbl[Category]),),0))</f>
        <v>Waste management for TB</v>
      </c>
      <c r="R49" s="1472" t="s">
        <v>1459</v>
      </c>
      <c r="S49" s="1472">
        <v>2</v>
      </c>
      <c r="T49" s="1472" t="s">
        <v>442</v>
      </c>
      <c r="U49" s="1472" t="s">
        <v>198</v>
      </c>
      <c r="W49" s="1488"/>
      <c r="X49" s="1488"/>
      <c r="Y49" s="1488"/>
      <c r="Z49" s="1488"/>
    </row>
    <row r="50" spans="1:26">
      <c r="A50" s="7" t="s">
        <v>690</v>
      </c>
      <c r="B50" s="7" t="s">
        <v>1458</v>
      </c>
      <c r="C50" s="7">
        <v>1</v>
      </c>
      <c r="D50" s="7" t="s">
        <v>1390</v>
      </c>
      <c r="E50" s="7" t="s">
        <v>1448</v>
      </c>
      <c r="F50" s="7" t="s">
        <v>203</v>
      </c>
      <c r="G50" s="7" t="s">
        <v>2693</v>
      </c>
      <c r="H50" s="7">
        <v>6.6</v>
      </c>
      <c r="I50" s="7" t="s">
        <v>719</v>
      </c>
      <c r="L50" s="7" t="str">
        <f>INDEX(PMtbl[Component],MATCH(O50,PMtbl[Category],0),)</f>
        <v>TB</v>
      </c>
      <c r="M50" s="7" t="str">
        <f>INDEX(PMtbl[WKst],MATCH(O50,PMtbl[Category],0),)</f>
        <v>TB-Pharmaceuticals</v>
      </c>
      <c r="N50" s="7">
        <f>INDEX(PMtbl[Sec],MATCH(O50,PMtbl[Category],0),)</f>
        <v>1</v>
      </c>
      <c r="O50" s="1469" t="str">
        <f>INDEX(PMtbl[Category],MATCH(0,INDEX(COUNTIF($O$2:O49,PMtbl[Category]),),0))</f>
        <v>TB medicines for Sensitive TB</v>
      </c>
      <c r="R50" s="1472" t="s">
        <v>1459</v>
      </c>
      <c r="S50" s="1472">
        <v>2</v>
      </c>
      <c r="T50" s="1472" t="s">
        <v>1452</v>
      </c>
      <c r="U50" s="1472" t="s">
        <v>448</v>
      </c>
      <c r="W50" s="1488"/>
      <c r="X50" s="1488"/>
      <c r="Y50" s="1488"/>
      <c r="Z50" s="1488"/>
    </row>
    <row r="51" spans="1:26">
      <c r="A51" s="7" t="s">
        <v>690</v>
      </c>
      <c r="B51" s="7" t="s">
        <v>1458</v>
      </c>
      <c r="C51" s="7">
        <v>1</v>
      </c>
      <c r="D51" s="7" t="s">
        <v>1390</v>
      </c>
      <c r="E51" s="7" t="s">
        <v>1448</v>
      </c>
      <c r="F51" s="7" t="s">
        <v>203</v>
      </c>
      <c r="G51" s="7" t="s">
        <v>206</v>
      </c>
      <c r="H51" s="7">
        <v>6.5</v>
      </c>
      <c r="I51" s="7" t="s">
        <v>719</v>
      </c>
      <c r="L51" s="7" t="str">
        <f>INDEX(PMtbl[Component],MATCH(O51,PMtbl[Category],0),)</f>
        <v>TB</v>
      </c>
      <c r="M51" s="7" t="str">
        <f>INDEX(PMtbl[WKst],MATCH(O51,PMtbl[Category],0),)</f>
        <v>TB-Pharmaceuticals</v>
      </c>
      <c r="N51" s="7">
        <f>INDEX(PMtbl[Sec],MATCH(O51,PMtbl[Category],0),)</f>
        <v>2</v>
      </c>
      <c r="O51" s="1469" t="str">
        <f>INDEX(PMtbl[Category],MATCH(0,INDEX(COUNTIF($O$2:O50,PMtbl[Category]),),0))</f>
        <v>TB medicines for Resistant TB</v>
      </c>
      <c r="R51" s="1472" t="s">
        <v>1459</v>
      </c>
      <c r="S51" s="1472">
        <v>2</v>
      </c>
      <c r="T51" s="1472" t="s">
        <v>1452</v>
      </c>
      <c r="U51" s="1472" t="s">
        <v>1350</v>
      </c>
      <c r="W51" s="1488"/>
      <c r="X51" s="1488"/>
      <c r="Y51" s="1488"/>
      <c r="Z51" s="1488"/>
    </row>
    <row r="52" spans="1:26">
      <c r="A52" s="7" t="s">
        <v>690</v>
      </c>
      <c r="B52" s="7" t="s">
        <v>1458</v>
      </c>
      <c r="C52" s="7">
        <v>1</v>
      </c>
      <c r="D52" s="7" t="s">
        <v>1390</v>
      </c>
      <c r="E52" s="7" t="s">
        <v>1448</v>
      </c>
      <c r="F52" s="7" t="s">
        <v>204</v>
      </c>
      <c r="G52" s="7" t="s">
        <v>191</v>
      </c>
      <c r="H52" s="7">
        <v>6.6</v>
      </c>
      <c r="I52" s="7" t="s">
        <v>719</v>
      </c>
      <c r="L52" s="7" t="str">
        <f>INDEX(PMtbl[Component],MATCH(O52,PMtbl[Category],0),)</f>
        <v>TB</v>
      </c>
      <c r="M52" s="7" t="str">
        <f>INDEX(PMtbl[WKst],MATCH(O52,PMtbl[Category],0),)</f>
        <v>TB-Pharmaceuticals</v>
      </c>
      <c r="N52" s="7">
        <f>INDEX(PMtbl[Sec],MATCH(O52,PMtbl[Category],0),)</f>
        <v>3</v>
      </c>
      <c r="O52" s="1469" t="str">
        <f>INDEX(PMtbl[Category],MATCH(0,INDEX(COUNTIF($O$2:O51,PMtbl[Category]),),0))</f>
        <v>TB medicines for Prevention</v>
      </c>
      <c r="R52" s="1472" t="s">
        <v>1459</v>
      </c>
      <c r="S52" s="1472">
        <v>2</v>
      </c>
      <c r="T52" s="1472" t="s">
        <v>1452</v>
      </c>
      <c r="U52" s="1472" t="s">
        <v>2777</v>
      </c>
      <c r="W52" s="1488"/>
      <c r="X52" s="1488"/>
      <c r="Y52" s="1488"/>
      <c r="Z52" s="1488"/>
    </row>
    <row r="53" spans="1:26">
      <c r="A53" s="7" t="s">
        <v>690</v>
      </c>
      <c r="B53" s="7" t="s">
        <v>1458</v>
      </c>
      <c r="C53" s="7">
        <v>1</v>
      </c>
      <c r="D53" s="7" t="s">
        <v>1390</v>
      </c>
      <c r="E53" s="7" t="s">
        <v>1448</v>
      </c>
      <c r="F53" s="7" t="s">
        <v>204</v>
      </c>
      <c r="G53" s="7" t="s">
        <v>2693</v>
      </c>
      <c r="H53" s="7">
        <v>6.6</v>
      </c>
      <c r="I53" s="7" t="s">
        <v>719</v>
      </c>
      <c r="L53" s="7" t="str">
        <f>INDEX(PMtbl[Component],MATCH(O53,PMtbl[Category],0),)</f>
        <v>TB</v>
      </c>
      <c r="M53" s="7" t="str">
        <f>INDEX(PMtbl[WKst],MATCH(O53,PMtbl[Category],0),)</f>
        <v>TB-Pharmaceuticals</v>
      </c>
      <c r="N53" s="7">
        <f>INDEX(PMtbl[Sec],MATCH(O53,PMtbl[Category],0),)</f>
        <v>4</v>
      </c>
      <c r="O53" s="1469" t="str">
        <f>INDEX(PMtbl[Category],MATCH(0,INDEX(COUNTIF($O$2:O52,PMtbl[Category]),),0))</f>
        <v>OIs, STIs &amp; other medicines in TB</v>
      </c>
      <c r="R53" s="1472" t="s">
        <v>1459</v>
      </c>
      <c r="S53" s="1472">
        <v>2</v>
      </c>
      <c r="T53" s="1472" t="s">
        <v>1452</v>
      </c>
      <c r="U53" s="1472" t="s">
        <v>2773</v>
      </c>
      <c r="W53" s="1488"/>
      <c r="X53" s="1488"/>
      <c r="Y53" s="1488"/>
      <c r="Z53" s="1488"/>
    </row>
    <row r="54" spans="1:26">
      <c r="A54" s="7" t="s">
        <v>690</v>
      </c>
      <c r="B54" s="7" t="s">
        <v>1458</v>
      </c>
      <c r="C54" s="7">
        <v>1</v>
      </c>
      <c r="D54" s="7" t="s">
        <v>1390</v>
      </c>
      <c r="E54" s="7" t="s">
        <v>1448</v>
      </c>
      <c r="F54" s="7" t="s">
        <v>204</v>
      </c>
      <c r="G54" s="7" t="s">
        <v>206</v>
      </c>
      <c r="H54" s="7">
        <v>6.5</v>
      </c>
      <c r="I54" s="7" t="s">
        <v>719</v>
      </c>
      <c r="L54" s="7" t="e">
        <f>INDEX(PMtbl[Component],MATCH(O54,PMtbl[Category],0),)</f>
        <v>#N/A</v>
      </c>
      <c r="M54" s="7" t="e">
        <f>INDEX(PMtbl[WKst],MATCH(O54,PMtbl[Category],0),)</f>
        <v>#N/A</v>
      </c>
      <c r="N54" s="7" t="e">
        <f>INDEX(PMtbl[Sec],MATCH(O54,PMtbl[Category],0),)</f>
        <v>#N/A</v>
      </c>
      <c r="O54" s="1469">
        <f>INDEX(PMtbl[Category],MATCH(0,INDEX(COUNTIF($O$2:O53,PMtbl[Category]),),0))</f>
        <v>0</v>
      </c>
      <c r="R54" s="1472" t="s">
        <v>1459</v>
      </c>
      <c r="S54" s="1472">
        <v>3</v>
      </c>
      <c r="T54" s="1472" t="s">
        <v>3060</v>
      </c>
      <c r="U54" s="1472" t="s">
        <v>202</v>
      </c>
      <c r="W54" s="1488"/>
      <c r="X54" s="1488"/>
      <c r="Y54" s="1488"/>
      <c r="Z54" s="1488"/>
    </row>
    <row r="55" spans="1:26">
      <c r="A55" s="7" t="s">
        <v>690</v>
      </c>
      <c r="B55" s="7" t="s">
        <v>1458</v>
      </c>
      <c r="C55" s="7">
        <v>1</v>
      </c>
      <c r="D55" s="7" t="s">
        <v>1390</v>
      </c>
      <c r="E55" s="7" t="s">
        <v>1448</v>
      </c>
      <c r="F55" s="7" t="s">
        <v>205</v>
      </c>
      <c r="G55" s="7" t="s">
        <v>191</v>
      </c>
      <c r="H55" s="7">
        <v>6.6</v>
      </c>
      <c r="I55" s="7" t="s">
        <v>719</v>
      </c>
      <c r="L55" s="7" t="e">
        <f>INDEX(PMtbl[Component],MATCH(O55,PMtbl[Category],0),)</f>
        <v>#N/A</v>
      </c>
      <c r="M55" s="7" t="e">
        <f>INDEX(PMtbl[WKst],MATCH(O55,PMtbl[Category],0),)</f>
        <v>#N/A</v>
      </c>
      <c r="N55" s="7" t="e">
        <f>INDEX(PMtbl[Sec],MATCH(O55,PMtbl[Category],0),)</f>
        <v>#N/A</v>
      </c>
      <c r="O55" s="1469" t="e">
        <f>INDEX(PMtbl[Category],MATCH(0,INDEX(COUNTIF($O$2:O54,PMtbl[Category]),),0))</f>
        <v>#N/A</v>
      </c>
      <c r="R55" s="1472" t="s">
        <v>1459</v>
      </c>
      <c r="S55" s="1472">
        <v>3</v>
      </c>
      <c r="T55" s="1472" t="s">
        <v>3060</v>
      </c>
      <c r="U55" s="1472" t="s">
        <v>195</v>
      </c>
      <c r="W55" s="1488"/>
      <c r="X55" s="1488"/>
      <c r="Y55" s="1488"/>
      <c r="Z55" s="1488"/>
    </row>
    <row r="56" spans="1:26">
      <c r="A56" s="7" t="s">
        <v>690</v>
      </c>
      <c r="B56" s="7" t="s">
        <v>1458</v>
      </c>
      <c r="C56" s="7">
        <v>1</v>
      </c>
      <c r="D56" s="7" t="s">
        <v>1390</v>
      </c>
      <c r="E56" s="7" t="s">
        <v>1448</v>
      </c>
      <c r="F56" s="7" t="s">
        <v>205</v>
      </c>
      <c r="G56" s="7" t="s">
        <v>2693</v>
      </c>
      <c r="H56" s="7">
        <v>6.6</v>
      </c>
      <c r="I56" s="7" t="s">
        <v>719</v>
      </c>
      <c r="L56" s="7" t="e">
        <f>INDEX(PMtbl[Component],MATCH(O56,PMtbl[Category],0),)</f>
        <v>#N/A</v>
      </c>
      <c r="M56" s="7" t="e">
        <f>INDEX(PMtbl[WKst],MATCH(O56,PMtbl[Category],0),)</f>
        <v>#N/A</v>
      </c>
      <c r="N56" s="7" t="e">
        <f>INDEX(PMtbl[Sec],MATCH(O56,PMtbl[Category],0),)</f>
        <v>#N/A</v>
      </c>
      <c r="O56" s="1469" t="e">
        <f>INDEX(PMtbl[Category],MATCH(0,INDEX(COUNTIF($O$2:O55,PMtbl[Category]),),0))</f>
        <v>#N/A</v>
      </c>
      <c r="R56" s="1472" t="s">
        <v>1459</v>
      </c>
      <c r="S56" s="1472">
        <v>4</v>
      </c>
      <c r="T56" s="1472" t="s">
        <v>1453</v>
      </c>
      <c r="U56" s="1472" t="s">
        <v>1461</v>
      </c>
      <c r="W56" s="1488"/>
      <c r="X56" s="1488"/>
      <c r="Y56" s="1488"/>
      <c r="Z56" s="1488"/>
    </row>
    <row r="57" spans="1:26">
      <c r="A57" s="7" t="s">
        <v>690</v>
      </c>
      <c r="B57" s="7" t="s">
        <v>1458</v>
      </c>
      <c r="C57" s="7">
        <v>1</v>
      </c>
      <c r="D57" s="7" t="s">
        <v>1390</v>
      </c>
      <c r="E57" s="7" t="s">
        <v>1448</v>
      </c>
      <c r="F57" s="7" t="s">
        <v>205</v>
      </c>
      <c r="G57" s="7" t="s">
        <v>206</v>
      </c>
      <c r="H57" s="7">
        <v>6.5</v>
      </c>
      <c r="I57" s="7" t="s">
        <v>719</v>
      </c>
      <c r="L57" s="7" t="e">
        <f>INDEX(PMtbl[Component],MATCH(O57,PMtbl[Category],0),)</f>
        <v>#N/A</v>
      </c>
      <c r="M57" s="7" t="e">
        <f>INDEX(PMtbl[WKst],MATCH(O57,PMtbl[Category],0),)</f>
        <v>#N/A</v>
      </c>
      <c r="N57" s="7" t="e">
        <f>INDEX(PMtbl[Sec],MATCH(O57,PMtbl[Category],0),)</f>
        <v>#N/A</v>
      </c>
      <c r="O57" s="1469" t="e">
        <f>INDEX(PMtbl[Category],MATCH(0,INDEX(COUNTIF($O$2:O56,PMtbl[Category]),),0))</f>
        <v>#N/A</v>
      </c>
      <c r="R57" s="1472" t="s">
        <v>1459</v>
      </c>
      <c r="S57" s="1472">
        <v>4</v>
      </c>
      <c r="T57" s="1472" t="s">
        <v>1453</v>
      </c>
      <c r="U57" s="1472" t="s">
        <v>3050</v>
      </c>
      <c r="W57" s="1488"/>
      <c r="X57" s="1488"/>
      <c r="Y57" s="1488"/>
      <c r="Z57" s="1488"/>
    </row>
    <row r="58" spans="1:26">
      <c r="A58" s="7" t="s">
        <v>690</v>
      </c>
      <c r="B58" s="7" t="s">
        <v>1458</v>
      </c>
      <c r="C58" s="7">
        <v>1</v>
      </c>
      <c r="D58" s="7" t="s">
        <v>1390</v>
      </c>
      <c r="E58" s="7" t="s">
        <v>1448</v>
      </c>
      <c r="F58" s="7" t="s">
        <v>207</v>
      </c>
      <c r="G58" s="7" t="s">
        <v>191</v>
      </c>
      <c r="H58" s="7">
        <v>6.6</v>
      </c>
      <c r="I58" s="7" t="s">
        <v>719</v>
      </c>
      <c r="L58" s="7" t="e">
        <f>INDEX(PMtbl[Component],MATCH(O58,PMtbl[Category],0),)</f>
        <v>#N/A</v>
      </c>
      <c r="M58" s="7" t="e">
        <f>INDEX(PMtbl[WKst],MATCH(O58,PMtbl[Category],0),)</f>
        <v>#N/A</v>
      </c>
      <c r="N58" s="7" t="e">
        <f>INDEX(PMtbl[Sec],MATCH(O58,PMtbl[Category],0),)</f>
        <v>#N/A</v>
      </c>
      <c r="O58" s="1469" t="e">
        <f>INDEX(PMtbl[Category],MATCH(0,INDEX(COUNTIF($O$2:O57,PMtbl[Category]),),0))</f>
        <v>#N/A</v>
      </c>
      <c r="R58" s="1472" t="s">
        <v>1459</v>
      </c>
      <c r="S58" s="1472">
        <v>4</v>
      </c>
      <c r="T58" s="1472" t="s">
        <v>1453</v>
      </c>
      <c r="U58" s="1472" t="s">
        <v>1475</v>
      </c>
      <c r="W58" s="1488"/>
      <c r="X58" s="1488"/>
      <c r="Y58" s="1488"/>
      <c r="Z58" s="1488"/>
    </row>
    <row r="59" spans="1:26">
      <c r="A59" s="7" t="s">
        <v>690</v>
      </c>
      <c r="B59" s="7" t="s">
        <v>1458</v>
      </c>
      <c r="C59" s="7">
        <v>1</v>
      </c>
      <c r="D59" s="7" t="s">
        <v>1390</v>
      </c>
      <c r="E59" s="7" t="s">
        <v>1448</v>
      </c>
      <c r="F59" s="7" t="s">
        <v>207</v>
      </c>
      <c r="G59" s="7" t="s">
        <v>2693</v>
      </c>
      <c r="H59" s="7">
        <v>6.6</v>
      </c>
      <c r="I59" s="7" t="s">
        <v>719</v>
      </c>
      <c r="L59" s="7" t="e">
        <f>INDEX(PMtbl[Component],MATCH(O59,PMtbl[Category],0),)</f>
        <v>#N/A</v>
      </c>
      <c r="M59" s="7" t="e">
        <f>INDEX(PMtbl[WKst],MATCH(O59,PMtbl[Category],0),)</f>
        <v>#N/A</v>
      </c>
      <c r="N59" s="7" t="e">
        <f>INDEX(PMtbl[Sec],MATCH(O59,PMtbl[Category],0),)</f>
        <v>#N/A</v>
      </c>
      <c r="O59" s="1469" t="e">
        <f>INDEX(PMtbl[Category],MATCH(0,INDEX(COUNTIF($O$2:O58,PMtbl[Category]),),0))</f>
        <v>#N/A</v>
      </c>
      <c r="R59" s="1472" t="s">
        <v>1459</v>
      </c>
      <c r="S59" s="1472">
        <v>4</v>
      </c>
      <c r="T59" s="1472" t="s">
        <v>1453</v>
      </c>
      <c r="U59" s="1472" t="s">
        <v>1460</v>
      </c>
      <c r="W59" s="1488"/>
      <c r="X59" s="1488"/>
      <c r="Y59" s="1488"/>
      <c r="Z59" s="1488"/>
    </row>
    <row r="60" spans="1:26">
      <c r="A60" s="7" t="s">
        <v>690</v>
      </c>
      <c r="B60" s="7" t="s">
        <v>1458</v>
      </c>
      <c r="C60" s="7">
        <v>1</v>
      </c>
      <c r="D60" s="7" t="s">
        <v>1390</v>
      </c>
      <c r="E60" s="7" t="s">
        <v>1448</v>
      </c>
      <c r="F60" s="7" t="s">
        <v>207</v>
      </c>
      <c r="G60" s="7" t="s">
        <v>206</v>
      </c>
      <c r="H60" s="7">
        <v>6.5</v>
      </c>
      <c r="I60" s="7" t="s">
        <v>719</v>
      </c>
      <c r="L60" s="7" t="e">
        <f>INDEX(PMtbl[Component],MATCH(O60,PMtbl[Category],0),)</f>
        <v>#N/A</v>
      </c>
      <c r="M60" s="7" t="e">
        <f>INDEX(PMtbl[WKst],MATCH(O60,PMtbl[Category],0),)</f>
        <v>#N/A</v>
      </c>
      <c r="N60" s="7" t="e">
        <f>INDEX(PMtbl[Sec],MATCH(O60,PMtbl[Category],0),)</f>
        <v>#N/A</v>
      </c>
      <c r="O60" s="1469" t="e">
        <f>INDEX(PMtbl[Category],MATCH(0,INDEX(COUNTIF($O$2:O59,PMtbl[Category]),),0))</f>
        <v>#N/A</v>
      </c>
      <c r="R60" s="1472" t="s">
        <v>1459</v>
      </c>
      <c r="S60" s="1472">
        <v>4</v>
      </c>
      <c r="T60" s="1472" t="s">
        <v>1453</v>
      </c>
      <c r="U60" s="1472" t="s">
        <v>1470</v>
      </c>
      <c r="W60" s="1488"/>
      <c r="X60" s="1488"/>
      <c r="Y60" s="1488"/>
      <c r="Z60" s="1488"/>
    </row>
    <row r="61" spans="1:26">
      <c r="A61" s="7" t="s">
        <v>690</v>
      </c>
      <c r="B61" s="7" t="s">
        <v>1458</v>
      </c>
      <c r="C61" s="7">
        <v>1</v>
      </c>
      <c r="D61" s="7" t="s">
        <v>1390</v>
      </c>
      <c r="E61" s="7" t="s">
        <v>1448</v>
      </c>
      <c r="F61" s="7" t="s">
        <v>1034</v>
      </c>
      <c r="G61" s="7" t="s">
        <v>191</v>
      </c>
      <c r="H61" s="7">
        <v>6.6</v>
      </c>
      <c r="I61" s="7" t="s">
        <v>719</v>
      </c>
      <c r="L61" s="7" t="e">
        <f>INDEX(PMtbl[Component],MATCH(O61,PMtbl[Category],0),)</f>
        <v>#N/A</v>
      </c>
      <c r="M61" s="7" t="e">
        <f>INDEX(PMtbl[WKst],MATCH(O61,PMtbl[Category],0),)</f>
        <v>#N/A</v>
      </c>
      <c r="N61" s="7" t="e">
        <f>INDEX(PMtbl[Sec],MATCH(O61,PMtbl[Category],0),)</f>
        <v>#N/A</v>
      </c>
      <c r="O61" s="1469" t="e">
        <f>INDEX(PMtbl[Category],MATCH(0,INDEX(COUNTIF($O$2:O60,PMtbl[Category]),),0))</f>
        <v>#N/A</v>
      </c>
      <c r="R61" s="1472" t="s">
        <v>1459</v>
      </c>
      <c r="S61" s="1472">
        <v>4</v>
      </c>
      <c r="T61" s="1472" t="s">
        <v>1453</v>
      </c>
      <c r="U61" s="1472" t="s">
        <v>2789</v>
      </c>
      <c r="W61" s="1488"/>
      <c r="X61" s="1488"/>
      <c r="Y61" s="1488"/>
      <c r="Z61" s="1488"/>
    </row>
    <row r="62" spans="1:26">
      <c r="A62" s="7" t="s">
        <v>690</v>
      </c>
      <c r="B62" s="7" t="s">
        <v>1458</v>
      </c>
      <c r="C62" s="7">
        <v>1</v>
      </c>
      <c r="D62" s="7" t="s">
        <v>1390</v>
      </c>
      <c r="E62" s="7" t="s">
        <v>1448</v>
      </c>
      <c r="F62" s="7" t="s">
        <v>1034</v>
      </c>
      <c r="G62" s="7" t="s">
        <v>2693</v>
      </c>
      <c r="H62" s="7">
        <v>6.6</v>
      </c>
      <c r="I62" s="7" t="s">
        <v>719</v>
      </c>
      <c r="L62" s="7" t="e">
        <f>INDEX(PMtbl[Component],MATCH(O62,PMtbl[Category],0),)</f>
        <v>#N/A</v>
      </c>
      <c r="M62" s="7" t="e">
        <f>INDEX(PMtbl[WKst],MATCH(O62,PMtbl[Category],0),)</f>
        <v>#N/A</v>
      </c>
      <c r="N62" s="7" t="e">
        <f>INDEX(PMtbl[Sec],MATCH(O62,PMtbl[Category],0),)</f>
        <v>#N/A</v>
      </c>
      <c r="O62" s="1469" t="e">
        <f>INDEX(PMtbl[Category],MATCH(0,INDEX(COUNTIF($O$2:O61,PMtbl[Category]),),0))</f>
        <v>#N/A</v>
      </c>
      <c r="R62" s="1472" t="s">
        <v>1459</v>
      </c>
      <c r="S62" s="1472">
        <v>4</v>
      </c>
      <c r="T62" s="1472" t="s">
        <v>1453</v>
      </c>
      <c r="U62" s="1472" t="s">
        <v>1014</v>
      </c>
      <c r="W62" s="1488"/>
      <c r="X62" s="1488"/>
      <c r="Y62" s="1488"/>
      <c r="Z62" s="1488"/>
    </row>
    <row r="63" spans="1:26">
      <c r="A63" s="7" t="s">
        <v>690</v>
      </c>
      <c r="B63" s="7" t="s">
        <v>1458</v>
      </c>
      <c r="C63" s="7">
        <v>1</v>
      </c>
      <c r="D63" s="7" t="s">
        <v>1390</v>
      </c>
      <c r="E63" s="7" t="s">
        <v>1448</v>
      </c>
      <c r="F63" s="7" t="s">
        <v>1034</v>
      </c>
      <c r="G63" s="7" t="s">
        <v>206</v>
      </c>
      <c r="H63" s="7">
        <v>6.5</v>
      </c>
      <c r="I63" s="7" t="s">
        <v>719</v>
      </c>
      <c r="L63" s="7" t="e">
        <f>INDEX(PMtbl[Component],MATCH(O63,PMtbl[Category],0),)</f>
        <v>#N/A</v>
      </c>
      <c r="M63" s="7" t="e">
        <f>INDEX(PMtbl[WKst],MATCH(O63,PMtbl[Category],0),)</f>
        <v>#N/A</v>
      </c>
      <c r="N63" s="7" t="e">
        <f>INDEX(PMtbl[Sec],MATCH(O63,PMtbl[Category],0),)</f>
        <v>#N/A</v>
      </c>
      <c r="O63" s="1469" t="e">
        <f>INDEX(PMtbl[Category],MATCH(0,INDEX(COUNTIF($O$2:O62,PMtbl[Category]),),0))</f>
        <v>#N/A</v>
      </c>
      <c r="R63" s="1472" t="s">
        <v>1459</v>
      </c>
      <c r="S63" s="1472">
        <v>4</v>
      </c>
      <c r="T63" s="1472" t="s">
        <v>1453</v>
      </c>
      <c r="U63" s="1472" t="s">
        <v>1015</v>
      </c>
      <c r="W63" s="1488"/>
      <c r="X63" s="1488"/>
      <c r="Y63" s="1488"/>
      <c r="Z63" s="1488"/>
    </row>
    <row r="64" spans="1:26">
      <c r="A64" s="7" t="s">
        <v>690</v>
      </c>
      <c r="B64" s="7" t="s">
        <v>1458</v>
      </c>
      <c r="C64" s="7">
        <v>1</v>
      </c>
      <c r="D64" s="7" t="s">
        <v>1390</v>
      </c>
      <c r="E64" s="7" t="s">
        <v>1448</v>
      </c>
      <c r="F64" s="7" t="s">
        <v>208</v>
      </c>
      <c r="G64" s="7" t="s">
        <v>191</v>
      </c>
      <c r="H64" s="7">
        <v>6.1</v>
      </c>
      <c r="I64" s="7" t="s">
        <v>719</v>
      </c>
      <c r="R64" s="1472" t="s">
        <v>1459</v>
      </c>
      <c r="S64" s="1472">
        <v>4</v>
      </c>
      <c r="T64" s="1472" t="s">
        <v>1453</v>
      </c>
      <c r="U64" s="1472" t="s">
        <v>1016</v>
      </c>
      <c r="W64" s="1488"/>
      <c r="X64" s="1488"/>
      <c r="Y64" s="1488"/>
      <c r="Z64" s="1488"/>
    </row>
    <row r="65" spans="1:26">
      <c r="A65" s="7" t="s">
        <v>690</v>
      </c>
      <c r="B65" s="7" t="s">
        <v>1458</v>
      </c>
      <c r="C65" s="7">
        <v>1</v>
      </c>
      <c r="D65" s="7" t="s">
        <v>1390</v>
      </c>
      <c r="E65" s="7" t="s">
        <v>1448</v>
      </c>
      <c r="F65" s="7" t="s">
        <v>208</v>
      </c>
      <c r="G65" s="7" t="s">
        <v>2693</v>
      </c>
      <c r="H65" s="7">
        <v>6.1</v>
      </c>
      <c r="I65" s="7" t="s">
        <v>719</v>
      </c>
      <c r="R65" s="1472" t="s">
        <v>1459</v>
      </c>
      <c r="S65" s="1472">
        <v>4</v>
      </c>
      <c r="T65" s="1472" t="s">
        <v>1453</v>
      </c>
      <c r="U65" s="1472" t="s">
        <v>1017</v>
      </c>
      <c r="W65" s="1488"/>
      <c r="X65" s="1488"/>
      <c r="Y65" s="1488"/>
      <c r="Z65" s="1488"/>
    </row>
    <row r="66" spans="1:26">
      <c r="A66" s="7" t="s">
        <v>690</v>
      </c>
      <c r="B66" s="7" t="s">
        <v>1458</v>
      </c>
      <c r="C66" s="7">
        <v>1</v>
      </c>
      <c r="D66" s="7" t="s">
        <v>1390</v>
      </c>
      <c r="E66" s="7" t="s">
        <v>1448</v>
      </c>
      <c r="F66" s="7" t="s">
        <v>208</v>
      </c>
      <c r="G66" s="7" t="s">
        <v>206</v>
      </c>
      <c r="H66" s="7">
        <v>6.5</v>
      </c>
      <c r="I66" s="7" t="s">
        <v>719</v>
      </c>
      <c r="R66" s="1472" t="s">
        <v>1459</v>
      </c>
      <c r="S66" s="1472">
        <v>4</v>
      </c>
      <c r="T66" s="1472" t="s">
        <v>1453</v>
      </c>
      <c r="U66" s="1472" t="s">
        <v>1018</v>
      </c>
      <c r="W66" s="1488"/>
      <c r="X66" s="1488"/>
      <c r="Y66" s="1488"/>
      <c r="Z66" s="1488"/>
    </row>
    <row r="67" spans="1:26">
      <c r="A67" s="7" t="s">
        <v>690</v>
      </c>
      <c r="B67" s="7" t="s">
        <v>1458</v>
      </c>
      <c r="C67" s="7">
        <v>1</v>
      </c>
      <c r="D67" s="7" t="s">
        <v>1390</v>
      </c>
      <c r="E67" s="7" t="s">
        <v>1448</v>
      </c>
      <c r="F67" s="7" t="s">
        <v>1027</v>
      </c>
      <c r="G67" s="7" t="s">
        <v>191</v>
      </c>
      <c r="H67" s="7">
        <v>6.6</v>
      </c>
      <c r="I67" s="7" t="s">
        <v>719</v>
      </c>
      <c r="R67" s="1472" t="s">
        <v>1459</v>
      </c>
      <c r="S67" s="1472">
        <v>4</v>
      </c>
      <c r="T67" s="1472" t="s">
        <v>1453</v>
      </c>
      <c r="U67" s="1472" t="s">
        <v>1019</v>
      </c>
      <c r="W67" s="1488"/>
      <c r="X67" s="1488"/>
      <c r="Y67" s="1488"/>
      <c r="Z67" s="1488"/>
    </row>
    <row r="68" spans="1:26">
      <c r="A68" s="7" t="s">
        <v>690</v>
      </c>
      <c r="B68" s="7" t="s">
        <v>1458</v>
      </c>
      <c r="C68" s="7">
        <v>1</v>
      </c>
      <c r="D68" s="7" t="s">
        <v>1390</v>
      </c>
      <c r="E68" s="7" t="s">
        <v>1448</v>
      </c>
      <c r="F68" s="7" t="s">
        <v>1027</v>
      </c>
      <c r="G68" s="7" t="s">
        <v>2693</v>
      </c>
      <c r="H68" s="7">
        <v>6.6</v>
      </c>
      <c r="I68" s="7" t="s">
        <v>719</v>
      </c>
      <c r="R68" s="1472" t="s">
        <v>1459</v>
      </c>
      <c r="S68" s="1472">
        <v>4</v>
      </c>
      <c r="T68" s="1472" t="s">
        <v>1453</v>
      </c>
      <c r="U68" s="1472" t="s">
        <v>2791</v>
      </c>
      <c r="W68" s="1488"/>
      <c r="X68" s="1488"/>
      <c r="Y68" s="1488"/>
      <c r="Z68" s="1488"/>
    </row>
    <row r="69" spans="1:26">
      <c r="A69" s="7" t="s">
        <v>690</v>
      </c>
      <c r="B69" s="7" t="s">
        <v>1458</v>
      </c>
      <c r="C69" s="7">
        <v>1</v>
      </c>
      <c r="D69" s="7" t="s">
        <v>1390</v>
      </c>
      <c r="E69" s="7" t="s">
        <v>1448</v>
      </c>
      <c r="F69" s="7" t="s">
        <v>1027</v>
      </c>
      <c r="G69" s="7" t="s">
        <v>206</v>
      </c>
      <c r="H69" s="7">
        <v>6.5</v>
      </c>
      <c r="I69" s="7" t="s">
        <v>719</v>
      </c>
      <c r="R69" s="1472" t="s">
        <v>1459</v>
      </c>
      <c r="S69" s="1472">
        <v>4</v>
      </c>
      <c r="T69" s="1472" t="s">
        <v>1453</v>
      </c>
      <c r="U69" s="1472" t="s">
        <v>2792</v>
      </c>
      <c r="W69" s="1488"/>
      <c r="X69" s="1488"/>
      <c r="Y69" s="1488"/>
      <c r="Z69" s="1488"/>
    </row>
    <row r="70" spans="1:26">
      <c r="A70" s="7" t="s">
        <v>690</v>
      </c>
      <c r="B70" s="7" t="s">
        <v>1458</v>
      </c>
      <c r="C70" s="7">
        <v>1</v>
      </c>
      <c r="D70" s="7" t="s">
        <v>1390</v>
      </c>
      <c r="E70" s="7" t="s">
        <v>1448</v>
      </c>
      <c r="F70" s="7" t="s">
        <v>2728</v>
      </c>
      <c r="G70" s="7" t="s">
        <v>191</v>
      </c>
      <c r="H70" s="7">
        <v>6.6</v>
      </c>
      <c r="I70" s="7" t="s">
        <v>719</v>
      </c>
      <c r="R70" s="1472" t="s">
        <v>1459</v>
      </c>
      <c r="S70" s="1472">
        <v>4</v>
      </c>
      <c r="T70" s="1472" t="s">
        <v>1453</v>
      </c>
      <c r="U70" s="1472" t="s">
        <v>2703</v>
      </c>
      <c r="W70" s="1488"/>
      <c r="X70" s="1488"/>
      <c r="Y70" s="1488"/>
      <c r="Z70" s="1488"/>
    </row>
    <row r="71" spans="1:26">
      <c r="A71" s="7" t="s">
        <v>690</v>
      </c>
      <c r="B71" s="7" t="s">
        <v>1458</v>
      </c>
      <c r="C71" s="7">
        <v>1</v>
      </c>
      <c r="D71" s="7" t="s">
        <v>1390</v>
      </c>
      <c r="E71" s="7" t="s">
        <v>1448</v>
      </c>
      <c r="F71" s="7" t="s">
        <v>2728</v>
      </c>
      <c r="G71" s="7" t="s">
        <v>2693</v>
      </c>
      <c r="H71" s="7">
        <v>6.6</v>
      </c>
      <c r="I71" s="7" t="s">
        <v>719</v>
      </c>
      <c r="R71" s="1472" t="s">
        <v>1459</v>
      </c>
      <c r="S71" s="1472">
        <v>4</v>
      </c>
      <c r="T71" s="1472" t="s">
        <v>1453</v>
      </c>
      <c r="U71" s="1472" t="s">
        <v>1196</v>
      </c>
      <c r="W71" s="1488"/>
      <c r="X71" s="1488"/>
      <c r="Y71" s="1488"/>
      <c r="Z71" s="1488"/>
    </row>
    <row r="72" spans="1:26">
      <c r="A72" s="7" t="s">
        <v>690</v>
      </c>
      <c r="B72" s="7" t="s">
        <v>1458</v>
      </c>
      <c r="C72" s="7">
        <v>1</v>
      </c>
      <c r="D72" s="7" t="s">
        <v>1390</v>
      </c>
      <c r="E72" s="7" t="s">
        <v>1448</v>
      </c>
      <c r="F72" s="7" t="s">
        <v>2728</v>
      </c>
      <c r="G72" s="7" t="s">
        <v>206</v>
      </c>
      <c r="H72" s="7">
        <v>6.5</v>
      </c>
      <c r="I72" s="7" t="s">
        <v>719</v>
      </c>
      <c r="R72" s="1472" t="s">
        <v>1459</v>
      </c>
      <c r="S72" s="1472">
        <v>4</v>
      </c>
      <c r="T72" s="1472" t="s">
        <v>1453</v>
      </c>
      <c r="U72" s="1472" t="s">
        <v>2706</v>
      </c>
      <c r="W72" s="1488"/>
      <c r="X72" s="1488"/>
      <c r="Y72" s="1488"/>
      <c r="Z72" s="1488"/>
    </row>
    <row r="73" spans="1:26">
      <c r="A73" s="7" t="s">
        <v>690</v>
      </c>
      <c r="B73" s="7" t="s">
        <v>1458</v>
      </c>
      <c r="C73" s="7">
        <v>1</v>
      </c>
      <c r="D73" s="7" t="s">
        <v>1390</v>
      </c>
      <c r="E73" s="7" t="s">
        <v>1448</v>
      </c>
      <c r="F73" s="7" t="s">
        <v>2729</v>
      </c>
      <c r="G73" s="7" t="s">
        <v>191</v>
      </c>
      <c r="H73" s="7">
        <v>6.6</v>
      </c>
      <c r="I73" s="7" t="s">
        <v>719</v>
      </c>
      <c r="R73" s="1472" t="s">
        <v>1459</v>
      </c>
      <c r="S73" s="1472">
        <v>4</v>
      </c>
      <c r="T73" s="1472" t="s">
        <v>1453</v>
      </c>
      <c r="U73" s="1472" t="s">
        <v>2710</v>
      </c>
      <c r="W73" s="1488"/>
      <c r="X73" s="1488"/>
      <c r="Y73" s="1488"/>
      <c r="Z73" s="1488"/>
    </row>
    <row r="74" spans="1:26">
      <c r="A74" s="7" t="s">
        <v>690</v>
      </c>
      <c r="B74" s="7" t="s">
        <v>1458</v>
      </c>
      <c r="C74" s="7">
        <v>1</v>
      </c>
      <c r="D74" s="7" t="s">
        <v>1390</v>
      </c>
      <c r="E74" s="7" t="s">
        <v>1448</v>
      </c>
      <c r="F74" s="7" t="s">
        <v>2729</v>
      </c>
      <c r="G74" s="7" t="s">
        <v>2693</v>
      </c>
      <c r="H74" s="7">
        <v>6.6</v>
      </c>
      <c r="I74" s="7" t="s">
        <v>719</v>
      </c>
      <c r="R74" s="1472" t="s">
        <v>1459</v>
      </c>
      <c r="S74" s="1472">
        <v>4</v>
      </c>
      <c r="T74" s="1472" t="s">
        <v>1453</v>
      </c>
      <c r="U74" s="1472" t="s">
        <v>2712</v>
      </c>
      <c r="W74" s="1488"/>
      <c r="X74" s="1488"/>
      <c r="Y74" s="1488"/>
      <c r="Z74" s="1488"/>
    </row>
    <row r="75" spans="1:26">
      <c r="A75" s="7" t="s">
        <v>690</v>
      </c>
      <c r="B75" s="7" t="s">
        <v>1458</v>
      </c>
      <c r="C75" s="7">
        <v>1</v>
      </c>
      <c r="D75" s="7" t="s">
        <v>1390</v>
      </c>
      <c r="E75" s="7" t="s">
        <v>1448</v>
      </c>
      <c r="F75" s="7" t="s">
        <v>2729</v>
      </c>
      <c r="G75" s="7" t="s">
        <v>206</v>
      </c>
      <c r="H75" s="7">
        <v>6.5</v>
      </c>
      <c r="I75" s="7" t="s">
        <v>719</v>
      </c>
      <c r="R75" s="1472" t="s">
        <v>1459</v>
      </c>
      <c r="S75" s="1472">
        <v>4</v>
      </c>
      <c r="T75" s="1472" t="s">
        <v>1453</v>
      </c>
      <c r="U75" s="1472" t="s">
        <v>2718</v>
      </c>
      <c r="W75" s="1488"/>
      <c r="X75" s="1488"/>
      <c r="Y75" s="1488"/>
      <c r="Z75" s="1488"/>
    </row>
    <row r="76" spans="1:26">
      <c r="A76" s="7" t="s">
        <v>690</v>
      </c>
      <c r="B76" s="7" t="s">
        <v>1458</v>
      </c>
      <c r="C76" s="7">
        <v>1</v>
      </c>
      <c r="D76" s="7" t="s">
        <v>1390</v>
      </c>
      <c r="E76" s="7" t="s">
        <v>1448</v>
      </c>
      <c r="F76" s="7" t="s">
        <v>2730</v>
      </c>
      <c r="G76" s="7" t="s">
        <v>191</v>
      </c>
      <c r="H76" s="7">
        <v>6.6</v>
      </c>
      <c r="I76" s="7" t="s">
        <v>719</v>
      </c>
      <c r="R76" s="1472" t="s">
        <v>1459</v>
      </c>
      <c r="S76" s="1472">
        <v>4</v>
      </c>
      <c r="T76" s="1472" t="s">
        <v>1453</v>
      </c>
      <c r="U76" s="1472" t="s">
        <v>2722</v>
      </c>
      <c r="W76" s="1488"/>
      <c r="X76" s="1488"/>
      <c r="Y76" s="1488"/>
      <c r="Z76" s="1488"/>
    </row>
    <row r="77" spans="1:26">
      <c r="A77" s="7" t="s">
        <v>690</v>
      </c>
      <c r="B77" s="7" t="s">
        <v>1458</v>
      </c>
      <c r="C77" s="7">
        <v>1</v>
      </c>
      <c r="D77" s="7" t="s">
        <v>1390</v>
      </c>
      <c r="E77" s="7" t="s">
        <v>1448</v>
      </c>
      <c r="F77" s="7" t="s">
        <v>2730</v>
      </c>
      <c r="G77" s="7" t="s">
        <v>2693</v>
      </c>
      <c r="H77" s="7">
        <v>6.6</v>
      </c>
      <c r="I77" s="7" t="s">
        <v>719</v>
      </c>
      <c r="R77" s="1472" t="s">
        <v>1459</v>
      </c>
      <c r="S77" s="1472">
        <v>4</v>
      </c>
      <c r="T77" s="1472" t="s">
        <v>1453</v>
      </c>
      <c r="U77" s="1472" t="s">
        <v>1456</v>
      </c>
      <c r="W77" s="1488"/>
      <c r="X77" s="1488"/>
      <c r="Y77" s="1488"/>
      <c r="Z77" s="1488"/>
    </row>
    <row r="78" spans="1:26">
      <c r="A78" s="7" t="s">
        <v>690</v>
      </c>
      <c r="B78" s="7" t="s">
        <v>1458</v>
      </c>
      <c r="C78" s="7">
        <v>1</v>
      </c>
      <c r="D78" s="7" t="s">
        <v>1390</v>
      </c>
      <c r="E78" s="7" t="s">
        <v>1448</v>
      </c>
      <c r="F78" s="7" t="s">
        <v>2730</v>
      </c>
      <c r="G78" s="7" t="s">
        <v>206</v>
      </c>
      <c r="H78" s="7">
        <v>6.5</v>
      </c>
      <c r="I78" s="7" t="s">
        <v>719</v>
      </c>
      <c r="R78" s="1472" t="s">
        <v>1459</v>
      </c>
      <c r="S78" s="1472">
        <v>4</v>
      </c>
      <c r="T78" s="1472" t="s">
        <v>1453</v>
      </c>
      <c r="U78" s="1472" t="s">
        <v>1462</v>
      </c>
      <c r="W78" s="1488"/>
      <c r="X78" s="1488"/>
      <c r="Y78" s="1488"/>
      <c r="Z78" s="1488"/>
    </row>
    <row r="79" spans="1:26">
      <c r="A79" s="7" t="s">
        <v>690</v>
      </c>
      <c r="B79" s="7" t="s">
        <v>1458</v>
      </c>
      <c r="C79" s="7">
        <v>1</v>
      </c>
      <c r="D79" s="7" t="s">
        <v>1390</v>
      </c>
      <c r="E79" s="7" t="s">
        <v>1448</v>
      </c>
      <c r="F79" s="7" t="s">
        <v>209</v>
      </c>
      <c r="G79" s="7" t="s">
        <v>191</v>
      </c>
      <c r="H79" s="7">
        <v>6.6</v>
      </c>
      <c r="I79" s="7" t="s">
        <v>719</v>
      </c>
      <c r="R79" s="1472" t="s">
        <v>1459</v>
      </c>
      <c r="S79" s="1472">
        <v>4</v>
      </c>
      <c r="T79" s="1472" t="s">
        <v>1453</v>
      </c>
      <c r="U79" s="1472" t="s">
        <v>55</v>
      </c>
      <c r="W79" s="1488"/>
      <c r="X79" s="1488"/>
      <c r="Y79" s="1488"/>
      <c r="Z79" s="1488"/>
    </row>
    <row r="80" spans="1:26">
      <c r="A80" s="7" t="s">
        <v>690</v>
      </c>
      <c r="B80" s="7" t="s">
        <v>1458</v>
      </c>
      <c r="C80" s="7">
        <v>1</v>
      </c>
      <c r="D80" s="7" t="s">
        <v>1390</v>
      </c>
      <c r="E80" s="7" t="s">
        <v>1448</v>
      </c>
      <c r="F80" s="7" t="s">
        <v>209</v>
      </c>
      <c r="G80" s="7" t="s">
        <v>2693</v>
      </c>
      <c r="H80" s="7">
        <v>6.6</v>
      </c>
      <c r="I80" s="7" t="s">
        <v>719</v>
      </c>
      <c r="R80" s="1472" t="s">
        <v>1459</v>
      </c>
      <c r="S80" s="1472">
        <v>4</v>
      </c>
      <c r="T80" s="1472" t="s">
        <v>1345</v>
      </c>
      <c r="U80" s="1472" t="s">
        <v>1468</v>
      </c>
      <c r="W80" s="1488"/>
      <c r="X80" s="1488"/>
      <c r="Y80" s="1488"/>
      <c r="Z80" s="1488"/>
    </row>
    <row r="81" spans="1:26">
      <c r="A81" s="7" t="s">
        <v>690</v>
      </c>
      <c r="B81" s="7" t="s">
        <v>1458</v>
      </c>
      <c r="C81" s="7">
        <v>1</v>
      </c>
      <c r="D81" s="7" t="s">
        <v>1390</v>
      </c>
      <c r="E81" s="7" t="s">
        <v>1448</v>
      </c>
      <c r="F81" s="7" t="s">
        <v>209</v>
      </c>
      <c r="G81" s="7" t="s">
        <v>206</v>
      </c>
      <c r="H81" s="7">
        <v>6.5</v>
      </c>
      <c r="I81" s="7" t="s">
        <v>719</v>
      </c>
      <c r="R81" s="1472" t="s">
        <v>1459</v>
      </c>
      <c r="S81" s="1472">
        <v>4</v>
      </c>
      <c r="T81" s="1472" t="s">
        <v>1345</v>
      </c>
      <c r="U81" s="1472" t="s">
        <v>1478</v>
      </c>
      <c r="W81" s="1488"/>
      <c r="X81" s="1488"/>
      <c r="Y81" s="1488"/>
      <c r="Z81" s="1488"/>
    </row>
    <row r="82" spans="1:26">
      <c r="A82" s="7" t="s">
        <v>690</v>
      </c>
      <c r="B82" s="7" t="s">
        <v>1458</v>
      </c>
      <c r="C82" s="7">
        <v>1</v>
      </c>
      <c r="D82" s="7" t="s">
        <v>1390</v>
      </c>
      <c r="E82" s="7" t="s">
        <v>1448</v>
      </c>
      <c r="F82" s="7" t="s">
        <v>2731</v>
      </c>
      <c r="G82" s="7" t="s">
        <v>191</v>
      </c>
      <c r="H82" s="7">
        <v>6.6</v>
      </c>
      <c r="I82" s="7" t="s">
        <v>719</v>
      </c>
      <c r="R82" s="1472" t="s">
        <v>1459</v>
      </c>
      <c r="S82" s="1472">
        <v>4</v>
      </c>
      <c r="T82" s="1472" t="s">
        <v>1345</v>
      </c>
      <c r="U82" s="1472" t="s">
        <v>1475</v>
      </c>
      <c r="W82" s="1488"/>
      <c r="X82" s="1488"/>
      <c r="Y82" s="1488"/>
      <c r="Z82" s="1488"/>
    </row>
    <row r="83" spans="1:26">
      <c r="A83" s="7" t="s">
        <v>690</v>
      </c>
      <c r="B83" s="7" t="s">
        <v>1458</v>
      </c>
      <c r="C83" s="7">
        <v>1</v>
      </c>
      <c r="D83" s="7" t="s">
        <v>1390</v>
      </c>
      <c r="E83" s="7" t="s">
        <v>1448</v>
      </c>
      <c r="F83" s="7" t="s">
        <v>2731</v>
      </c>
      <c r="G83" s="7" t="s">
        <v>2693</v>
      </c>
      <c r="H83" s="7">
        <v>6.6</v>
      </c>
      <c r="I83" s="7" t="s">
        <v>719</v>
      </c>
      <c r="R83" s="1472" t="s">
        <v>1459</v>
      </c>
      <c r="S83" s="1472">
        <v>4</v>
      </c>
      <c r="T83" s="1472" t="s">
        <v>1345</v>
      </c>
      <c r="U83" s="1472" t="s">
        <v>1477</v>
      </c>
      <c r="W83" s="1488"/>
      <c r="X83" s="1488"/>
      <c r="Y83" s="1488"/>
      <c r="Z83" s="1488"/>
    </row>
    <row r="84" spans="1:26">
      <c r="A84" s="7" t="s">
        <v>690</v>
      </c>
      <c r="B84" s="7" t="s">
        <v>1458</v>
      </c>
      <c r="C84" s="7">
        <v>1</v>
      </c>
      <c r="D84" s="7" t="s">
        <v>1390</v>
      </c>
      <c r="E84" s="7" t="s">
        <v>1448</v>
      </c>
      <c r="F84" s="7" t="s">
        <v>2731</v>
      </c>
      <c r="G84" s="7" t="s">
        <v>206</v>
      </c>
      <c r="H84" s="7">
        <v>6.5</v>
      </c>
      <c r="I84" s="7" t="s">
        <v>719</v>
      </c>
      <c r="R84" s="1472" t="s">
        <v>1459</v>
      </c>
      <c r="S84" s="1472">
        <v>4</v>
      </c>
      <c r="T84" s="1472" t="s">
        <v>1345</v>
      </c>
      <c r="U84" s="1472" t="s">
        <v>1470</v>
      </c>
      <c r="W84" s="1488"/>
      <c r="X84" s="1488"/>
      <c r="Y84" s="1488"/>
      <c r="Z84" s="1488"/>
    </row>
    <row r="85" spans="1:26">
      <c r="A85" s="7" t="s">
        <v>690</v>
      </c>
      <c r="B85" s="7" t="s">
        <v>1458</v>
      </c>
      <c r="C85" s="7">
        <v>1</v>
      </c>
      <c r="D85" s="7" t="s">
        <v>1390</v>
      </c>
      <c r="E85" s="7" t="s">
        <v>1448</v>
      </c>
      <c r="F85" s="7" t="s">
        <v>2732</v>
      </c>
      <c r="G85" s="7" t="s">
        <v>191</v>
      </c>
      <c r="H85" s="7">
        <v>6.6</v>
      </c>
      <c r="I85" s="7" t="s">
        <v>719</v>
      </c>
      <c r="R85" s="1472" t="s">
        <v>1459</v>
      </c>
      <c r="S85" s="1472">
        <v>4</v>
      </c>
      <c r="T85" s="1472" t="s">
        <v>1345</v>
      </c>
      <c r="U85" s="1472" t="s">
        <v>2789</v>
      </c>
      <c r="W85" s="1488"/>
      <c r="X85" s="1488"/>
      <c r="Y85" s="1488"/>
      <c r="Z85" s="1488"/>
    </row>
    <row r="86" spans="1:26">
      <c r="A86" s="7" t="s">
        <v>690</v>
      </c>
      <c r="B86" s="7" t="s">
        <v>1458</v>
      </c>
      <c r="C86" s="7">
        <v>1</v>
      </c>
      <c r="D86" s="7" t="s">
        <v>1390</v>
      </c>
      <c r="E86" s="7" t="s">
        <v>1448</v>
      </c>
      <c r="F86" s="7" t="s">
        <v>2732</v>
      </c>
      <c r="G86" s="7" t="s">
        <v>2693</v>
      </c>
      <c r="H86" s="7">
        <v>6.6</v>
      </c>
      <c r="I86" s="7" t="s">
        <v>719</v>
      </c>
      <c r="R86" s="1472" t="s">
        <v>1459</v>
      </c>
      <c r="S86" s="1472">
        <v>4</v>
      </c>
      <c r="T86" s="1472" t="s">
        <v>1345</v>
      </c>
      <c r="U86" s="1472" t="s">
        <v>1473</v>
      </c>
      <c r="W86" s="1488"/>
      <c r="X86" s="1488"/>
      <c r="Y86" s="1488"/>
      <c r="Z86" s="1488"/>
    </row>
    <row r="87" spans="1:26">
      <c r="A87" s="7" t="s">
        <v>690</v>
      </c>
      <c r="B87" s="7" t="s">
        <v>1458</v>
      </c>
      <c r="C87" s="7">
        <v>1</v>
      </c>
      <c r="D87" s="7" t="s">
        <v>1390</v>
      </c>
      <c r="E87" s="7" t="s">
        <v>1448</v>
      </c>
      <c r="F87" s="7" t="s">
        <v>2732</v>
      </c>
      <c r="G87" s="7" t="s">
        <v>206</v>
      </c>
      <c r="H87" s="7">
        <v>6.5</v>
      </c>
      <c r="I87" s="7" t="s">
        <v>719</v>
      </c>
      <c r="R87" s="1472" t="s">
        <v>1459</v>
      </c>
      <c r="S87" s="1472">
        <v>4</v>
      </c>
      <c r="T87" s="1472" t="s">
        <v>1345</v>
      </c>
      <c r="U87" s="1472" t="s">
        <v>1033</v>
      </c>
      <c r="W87" s="1488"/>
      <c r="X87" s="1488"/>
      <c r="Y87" s="1488"/>
      <c r="Z87" s="1488"/>
    </row>
    <row r="88" spans="1:26">
      <c r="A88" s="7" t="s">
        <v>690</v>
      </c>
      <c r="B88" s="7" t="s">
        <v>1458</v>
      </c>
      <c r="C88" s="7">
        <v>1</v>
      </c>
      <c r="D88" s="7" t="s">
        <v>1390</v>
      </c>
      <c r="E88" s="7" t="s">
        <v>1448</v>
      </c>
      <c r="F88" s="7" t="s">
        <v>210</v>
      </c>
      <c r="G88" s="7" t="s">
        <v>191</v>
      </c>
      <c r="H88" s="7">
        <v>6.6</v>
      </c>
      <c r="I88" s="7" t="s">
        <v>719</v>
      </c>
      <c r="R88" s="1472" t="s">
        <v>1459</v>
      </c>
      <c r="S88" s="1472">
        <v>4</v>
      </c>
      <c r="T88" s="1472" t="s">
        <v>1345</v>
      </c>
      <c r="U88" s="1472" t="s">
        <v>1020</v>
      </c>
      <c r="W88" s="1488"/>
      <c r="X88" s="1488"/>
      <c r="Y88" s="1488"/>
      <c r="Z88" s="1488"/>
    </row>
    <row r="89" spans="1:26">
      <c r="A89" s="7" t="s">
        <v>690</v>
      </c>
      <c r="B89" s="7" t="s">
        <v>1458</v>
      </c>
      <c r="C89" s="7">
        <v>1</v>
      </c>
      <c r="D89" s="7" t="s">
        <v>1390</v>
      </c>
      <c r="E89" s="7" t="s">
        <v>1448</v>
      </c>
      <c r="F89" s="7" t="s">
        <v>210</v>
      </c>
      <c r="G89" s="7" t="s">
        <v>2693</v>
      </c>
      <c r="H89" s="7">
        <v>6.6</v>
      </c>
      <c r="I89" s="7" t="s">
        <v>719</v>
      </c>
      <c r="R89" s="1472" t="s">
        <v>1459</v>
      </c>
      <c r="S89" s="1472">
        <v>4</v>
      </c>
      <c r="T89" s="1472" t="s">
        <v>1345</v>
      </c>
      <c r="U89" s="1472" t="s">
        <v>1021</v>
      </c>
      <c r="W89" s="1488"/>
      <c r="X89" s="1488"/>
      <c r="Y89" s="1488"/>
      <c r="Z89" s="1488"/>
    </row>
    <row r="90" spans="1:26">
      <c r="A90" s="7" t="s">
        <v>690</v>
      </c>
      <c r="B90" s="7" t="s">
        <v>1458</v>
      </c>
      <c r="C90" s="7">
        <v>1</v>
      </c>
      <c r="D90" s="7" t="s">
        <v>1390</v>
      </c>
      <c r="E90" s="7" t="s">
        <v>1448</v>
      </c>
      <c r="F90" s="7" t="s">
        <v>210</v>
      </c>
      <c r="G90" s="7" t="s">
        <v>206</v>
      </c>
      <c r="H90" s="7">
        <v>6.5</v>
      </c>
      <c r="I90" s="7" t="s">
        <v>719</v>
      </c>
      <c r="R90" s="1472" t="s">
        <v>1459</v>
      </c>
      <c r="S90" s="1472">
        <v>4</v>
      </c>
      <c r="T90" s="1472" t="s">
        <v>1345</v>
      </c>
      <c r="U90" s="1472" t="s">
        <v>1022</v>
      </c>
      <c r="W90" s="1488"/>
      <c r="X90" s="1488"/>
      <c r="Y90" s="1488"/>
      <c r="Z90" s="1488"/>
    </row>
    <row r="91" spans="1:26">
      <c r="A91" s="7" t="s">
        <v>690</v>
      </c>
      <c r="B91" s="7" t="s">
        <v>1458</v>
      </c>
      <c r="C91" s="7">
        <v>1</v>
      </c>
      <c r="D91" s="7" t="s">
        <v>1390</v>
      </c>
      <c r="E91" s="7" t="s">
        <v>1448</v>
      </c>
      <c r="F91" s="7" t="s">
        <v>190</v>
      </c>
      <c r="G91" s="7" t="s">
        <v>191</v>
      </c>
      <c r="H91" s="7">
        <v>6.2</v>
      </c>
      <c r="I91" s="7" t="s">
        <v>719</v>
      </c>
      <c r="R91" s="1472" t="s">
        <v>1459</v>
      </c>
      <c r="S91" s="1472">
        <v>4</v>
      </c>
      <c r="T91" s="1472" t="s">
        <v>1345</v>
      </c>
      <c r="U91" s="1472" t="s">
        <v>1023</v>
      </c>
      <c r="W91" s="1488"/>
      <c r="X91" s="1488"/>
      <c r="Y91" s="1488"/>
      <c r="Z91" s="1488"/>
    </row>
    <row r="92" spans="1:26">
      <c r="A92" s="7" t="s">
        <v>690</v>
      </c>
      <c r="B92" s="7" t="s">
        <v>1458</v>
      </c>
      <c r="C92" s="7">
        <v>1</v>
      </c>
      <c r="D92" s="7" t="s">
        <v>1390</v>
      </c>
      <c r="E92" s="7" t="s">
        <v>1448</v>
      </c>
      <c r="F92" s="7" t="s">
        <v>190</v>
      </c>
      <c r="G92" s="7" t="s">
        <v>2693</v>
      </c>
      <c r="H92" s="7">
        <v>6.2</v>
      </c>
      <c r="I92" s="7" t="s">
        <v>719</v>
      </c>
      <c r="R92" s="1472" t="s">
        <v>1459</v>
      </c>
      <c r="S92" s="1472">
        <v>4</v>
      </c>
      <c r="T92" s="1472" t="s">
        <v>1345</v>
      </c>
      <c r="U92" s="1472" t="s">
        <v>1463</v>
      </c>
      <c r="W92" s="1488"/>
      <c r="X92" s="1488"/>
      <c r="Y92" s="1488"/>
      <c r="Z92" s="1488"/>
    </row>
    <row r="93" spans="1:26">
      <c r="A93" s="7" t="s">
        <v>690</v>
      </c>
      <c r="B93" s="7" t="s">
        <v>1458</v>
      </c>
      <c r="C93" s="7">
        <v>1</v>
      </c>
      <c r="D93" s="7" t="s">
        <v>1390</v>
      </c>
      <c r="E93" s="7" t="s">
        <v>1448</v>
      </c>
      <c r="F93" s="7" t="s">
        <v>190</v>
      </c>
      <c r="G93" s="7" t="s">
        <v>206</v>
      </c>
      <c r="H93" s="7">
        <v>6.5</v>
      </c>
      <c r="I93" s="7" t="s">
        <v>719</v>
      </c>
      <c r="R93" s="1472" t="s">
        <v>1459</v>
      </c>
      <c r="S93" s="1472">
        <v>4</v>
      </c>
      <c r="T93" s="1472" t="s">
        <v>1345</v>
      </c>
      <c r="U93" s="1472" t="s">
        <v>1479</v>
      </c>
      <c r="W93" s="1488"/>
      <c r="X93" s="1488"/>
      <c r="Y93" s="1488"/>
      <c r="Z93" s="1488"/>
    </row>
    <row r="94" spans="1:26">
      <c r="A94" s="7" t="s">
        <v>690</v>
      </c>
      <c r="B94" s="7" t="s">
        <v>1458</v>
      </c>
      <c r="C94" s="7">
        <v>1</v>
      </c>
      <c r="D94" s="7" t="s">
        <v>1390</v>
      </c>
      <c r="E94" s="7" t="s">
        <v>2733</v>
      </c>
      <c r="F94" s="7" t="s">
        <v>2734</v>
      </c>
      <c r="G94" s="7" t="s">
        <v>191</v>
      </c>
      <c r="H94" s="7">
        <v>6.4</v>
      </c>
      <c r="I94" s="7" t="s">
        <v>719</v>
      </c>
      <c r="R94" s="1472" t="s">
        <v>1459</v>
      </c>
      <c r="S94" s="1472">
        <v>4</v>
      </c>
      <c r="T94" s="1472" t="s">
        <v>1455</v>
      </c>
      <c r="U94" s="1472" t="s">
        <v>1024</v>
      </c>
      <c r="W94" s="1488"/>
      <c r="X94" s="1488"/>
      <c r="Y94" s="1488"/>
      <c r="Z94" s="1488"/>
    </row>
    <row r="95" spans="1:26">
      <c r="A95" s="7" t="s">
        <v>690</v>
      </c>
      <c r="B95" s="7" t="s">
        <v>1458</v>
      </c>
      <c r="C95" s="7">
        <v>1</v>
      </c>
      <c r="D95" s="7" t="s">
        <v>1390</v>
      </c>
      <c r="E95" s="7" t="s">
        <v>2733</v>
      </c>
      <c r="F95" s="7" t="s">
        <v>2734</v>
      </c>
      <c r="G95" s="7" t="s">
        <v>2693</v>
      </c>
      <c r="H95" s="7">
        <v>6.4</v>
      </c>
      <c r="I95" s="7" t="s">
        <v>719</v>
      </c>
      <c r="R95" s="1472" t="s">
        <v>1459</v>
      </c>
      <c r="S95" s="1472">
        <v>4</v>
      </c>
      <c r="T95" s="1472" t="s">
        <v>3062</v>
      </c>
      <c r="U95" s="1472" t="s">
        <v>2804</v>
      </c>
      <c r="W95" s="1488"/>
      <c r="X95" s="1488"/>
      <c r="Y95" s="1488"/>
      <c r="Z95" s="1488"/>
    </row>
    <row r="96" spans="1:26">
      <c r="A96" s="7" t="s">
        <v>690</v>
      </c>
      <c r="B96" s="7" t="s">
        <v>1458</v>
      </c>
      <c r="C96" s="7">
        <v>1</v>
      </c>
      <c r="D96" s="7" t="s">
        <v>1390</v>
      </c>
      <c r="E96" s="7" t="s">
        <v>2733</v>
      </c>
      <c r="F96" s="7" t="s">
        <v>2734</v>
      </c>
      <c r="G96" s="7" t="s">
        <v>206</v>
      </c>
      <c r="H96" s="7">
        <v>6.5</v>
      </c>
      <c r="I96" s="7" t="s">
        <v>719</v>
      </c>
      <c r="R96" s="1472" t="s">
        <v>1459</v>
      </c>
      <c r="S96" s="1472">
        <v>4</v>
      </c>
      <c r="T96" s="1472" t="s">
        <v>3062</v>
      </c>
      <c r="U96" s="1472" t="s">
        <v>1026</v>
      </c>
      <c r="W96" s="1488"/>
      <c r="X96" s="1488"/>
      <c r="Y96" s="1488"/>
      <c r="Z96" s="1488"/>
    </row>
    <row r="97" spans="1:26">
      <c r="A97" s="7" t="s">
        <v>690</v>
      </c>
      <c r="B97" s="7" t="s">
        <v>1458</v>
      </c>
      <c r="C97" s="7">
        <v>1</v>
      </c>
      <c r="D97" s="7" t="s">
        <v>1390</v>
      </c>
      <c r="E97" s="7" t="s">
        <v>2733</v>
      </c>
      <c r="F97" s="7" t="s">
        <v>2735</v>
      </c>
      <c r="G97" s="7" t="s">
        <v>191</v>
      </c>
      <c r="H97" s="7">
        <v>6.4</v>
      </c>
      <c r="I97" s="7" t="s">
        <v>719</v>
      </c>
      <c r="R97" s="1472" t="s">
        <v>1037</v>
      </c>
      <c r="S97" s="1472">
        <v>1</v>
      </c>
      <c r="T97" s="1472" t="s">
        <v>436</v>
      </c>
      <c r="U97" s="1472" t="s">
        <v>105</v>
      </c>
      <c r="W97" s="1488"/>
      <c r="X97" s="1488"/>
      <c r="Y97" s="1488"/>
      <c r="Z97" s="1488"/>
    </row>
    <row r="98" spans="1:26">
      <c r="A98" s="7" t="s">
        <v>690</v>
      </c>
      <c r="B98" s="7" t="s">
        <v>1458</v>
      </c>
      <c r="C98" s="7">
        <v>1</v>
      </c>
      <c r="D98" s="7" t="s">
        <v>1390</v>
      </c>
      <c r="E98" s="7" t="s">
        <v>2733</v>
      </c>
      <c r="F98" s="7" t="s">
        <v>2735</v>
      </c>
      <c r="G98" s="7" t="s">
        <v>2693</v>
      </c>
      <c r="H98" s="7">
        <v>6.4</v>
      </c>
      <c r="I98" s="7" t="s">
        <v>719</v>
      </c>
      <c r="R98" s="1472" t="s">
        <v>1037</v>
      </c>
      <c r="S98" s="1472">
        <v>1</v>
      </c>
      <c r="T98" s="1472" t="s">
        <v>436</v>
      </c>
      <c r="U98" s="1472" t="s">
        <v>2813</v>
      </c>
      <c r="W98" s="1488"/>
      <c r="X98" s="1488"/>
      <c r="Y98" s="1488"/>
      <c r="Z98" s="1488"/>
    </row>
    <row r="99" spans="1:26">
      <c r="A99" s="7" t="s">
        <v>690</v>
      </c>
      <c r="B99" s="7" t="s">
        <v>1458</v>
      </c>
      <c r="C99" s="7">
        <v>1</v>
      </c>
      <c r="D99" s="7" t="s">
        <v>1390</v>
      </c>
      <c r="E99" s="7" t="s">
        <v>2733</v>
      </c>
      <c r="F99" s="7" t="s">
        <v>2735</v>
      </c>
      <c r="G99" s="7" t="s">
        <v>206</v>
      </c>
      <c r="H99" s="7">
        <v>6.5</v>
      </c>
      <c r="I99" s="7" t="s">
        <v>719</v>
      </c>
      <c r="R99" s="1472" t="s">
        <v>1037</v>
      </c>
      <c r="S99" s="1472">
        <v>1</v>
      </c>
      <c r="T99" s="1472" t="s">
        <v>436</v>
      </c>
      <c r="U99" s="1472" t="s">
        <v>106</v>
      </c>
      <c r="W99" s="1488"/>
      <c r="X99" s="1488"/>
      <c r="Y99" s="1488"/>
      <c r="Z99" s="1488"/>
    </row>
    <row r="100" spans="1:26">
      <c r="A100" s="7" t="s">
        <v>690</v>
      </c>
      <c r="B100" s="7" t="s">
        <v>1458</v>
      </c>
      <c r="C100" s="7">
        <v>1</v>
      </c>
      <c r="D100" s="7" t="s">
        <v>1390</v>
      </c>
      <c r="E100" s="7" t="s">
        <v>2733</v>
      </c>
      <c r="F100" s="7" t="s">
        <v>2736</v>
      </c>
      <c r="G100" s="7" t="s">
        <v>191</v>
      </c>
      <c r="H100" s="7">
        <v>6.4</v>
      </c>
      <c r="I100" s="7" t="s">
        <v>719</v>
      </c>
      <c r="R100" s="1472" t="s">
        <v>1037</v>
      </c>
      <c r="S100" s="1472">
        <v>1</v>
      </c>
      <c r="T100" s="1472" t="s">
        <v>436</v>
      </c>
      <c r="U100" s="1472" t="s">
        <v>107</v>
      </c>
      <c r="W100" s="1488"/>
      <c r="X100" s="1488"/>
      <c r="Y100" s="1488"/>
      <c r="Z100" s="1488"/>
    </row>
    <row r="101" spans="1:26">
      <c r="A101" s="7" t="s">
        <v>690</v>
      </c>
      <c r="B101" s="7" t="s">
        <v>1458</v>
      </c>
      <c r="C101" s="7">
        <v>1</v>
      </c>
      <c r="D101" s="7" t="s">
        <v>1390</v>
      </c>
      <c r="E101" s="7" t="s">
        <v>2733</v>
      </c>
      <c r="F101" s="7" t="s">
        <v>2736</v>
      </c>
      <c r="G101" s="7" t="s">
        <v>2693</v>
      </c>
      <c r="H101" s="7">
        <v>6.4</v>
      </c>
      <c r="I101" s="7" t="s">
        <v>719</v>
      </c>
      <c r="R101" s="1472" t="s">
        <v>1037</v>
      </c>
      <c r="S101" s="1472">
        <v>1</v>
      </c>
      <c r="T101" s="1472" t="s">
        <v>436</v>
      </c>
      <c r="U101" s="1472" t="s">
        <v>108</v>
      </c>
      <c r="W101" s="1488"/>
      <c r="X101" s="1488"/>
      <c r="Y101" s="1488"/>
      <c r="Z101" s="1488"/>
    </row>
    <row r="102" spans="1:26">
      <c r="A102" s="7" t="s">
        <v>690</v>
      </c>
      <c r="B102" s="7" t="s">
        <v>1458</v>
      </c>
      <c r="C102" s="7">
        <v>1</v>
      </c>
      <c r="D102" s="7" t="s">
        <v>1390</v>
      </c>
      <c r="E102" s="7" t="s">
        <v>2733</v>
      </c>
      <c r="F102" s="7" t="s">
        <v>2736</v>
      </c>
      <c r="G102" s="7" t="s">
        <v>206</v>
      </c>
      <c r="H102" s="7">
        <v>6.5</v>
      </c>
      <c r="I102" s="7" t="s">
        <v>719</v>
      </c>
      <c r="R102" s="1472" t="s">
        <v>1037</v>
      </c>
      <c r="S102" s="1472">
        <v>1</v>
      </c>
      <c r="T102" s="1472" t="s">
        <v>436</v>
      </c>
      <c r="U102" s="1472" t="s">
        <v>109</v>
      </c>
      <c r="W102" s="1488"/>
      <c r="X102" s="1488"/>
      <c r="Y102" s="1488"/>
      <c r="Z102" s="1488"/>
    </row>
    <row r="103" spans="1:26">
      <c r="A103" s="7" t="s">
        <v>690</v>
      </c>
      <c r="B103" s="7" t="s">
        <v>1458</v>
      </c>
      <c r="C103" s="7">
        <v>1</v>
      </c>
      <c r="D103" s="7" t="s">
        <v>1390</v>
      </c>
      <c r="E103" s="7" t="s">
        <v>2733</v>
      </c>
      <c r="F103" s="7" t="s">
        <v>2737</v>
      </c>
      <c r="G103" s="7" t="s">
        <v>191</v>
      </c>
      <c r="H103" s="7">
        <v>6.4</v>
      </c>
      <c r="I103" s="7" t="s">
        <v>719</v>
      </c>
      <c r="R103" s="1472" t="s">
        <v>1037</v>
      </c>
      <c r="S103" s="1472">
        <v>1</v>
      </c>
      <c r="T103" s="1472" t="s">
        <v>436</v>
      </c>
      <c r="U103" s="1472" t="s">
        <v>110</v>
      </c>
      <c r="W103" s="1488"/>
      <c r="X103" s="1488"/>
      <c r="Y103" s="1488"/>
      <c r="Z103" s="1488"/>
    </row>
    <row r="104" spans="1:26">
      <c r="A104" s="7" t="s">
        <v>690</v>
      </c>
      <c r="B104" s="7" t="s">
        <v>1458</v>
      </c>
      <c r="C104" s="7">
        <v>1</v>
      </c>
      <c r="D104" s="7" t="s">
        <v>1390</v>
      </c>
      <c r="E104" s="7" t="s">
        <v>2733</v>
      </c>
      <c r="F104" s="7" t="s">
        <v>2737</v>
      </c>
      <c r="G104" s="7" t="s">
        <v>2693</v>
      </c>
      <c r="H104" s="7">
        <v>6.4</v>
      </c>
      <c r="I104" s="7" t="s">
        <v>719</v>
      </c>
      <c r="R104" s="1472" t="s">
        <v>1037</v>
      </c>
      <c r="S104" s="1472">
        <v>1</v>
      </c>
      <c r="T104" s="1472" t="s">
        <v>436</v>
      </c>
      <c r="U104" s="1472" t="s">
        <v>1267</v>
      </c>
      <c r="W104" s="1488"/>
      <c r="X104" s="1488"/>
      <c r="Y104" s="1488"/>
      <c r="Z104" s="1488"/>
    </row>
    <row r="105" spans="1:26">
      <c r="A105" s="7" t="s">
        <v>690</v>
      </c>
      <c r="B105" s="7" t="s">
        <v>1458</v>
      </c>
      <c r="C105" s="7">
        <v>1</v>
      </c>
      <c r="D105" s="7" t="s">
        <v>1390</v>
      </c>
      <c r="E105" s="7" t="s">
        <v>2733</v>
      </c>
      <c r="F105" s="7" t="s">
        <v>2737</v>
      </c>
      <c r="G105" s="7" t="s">
        <v>206</v>
      </c>
      <c r="H105" s="7">
        <v>6.5</v>
      </c>
      <c r="I105" s="7" t="s">
        <v>719</v>
      </c>
      <c r="R105" s="1472" t="s">
        <v>1037</v>
      </c>
      <c r="S105" s="1472">
        <v>1</v>
      </c>
      <c r="T105" s="1472" t="s">
        <v>436</v>
      </c>
      <c r="U105" s="1472" t="s">
        <v>111</v>
      </c>
      <c r="W105" s="1488"/>
      <c r="X105" s="1488"/>
      <c r="Y105" s="1488"/>
      <c r="Z105" s="1488"/>
    </row>
    <row r="106" spans="1:26">
      <c r="A106" s="7" t="s">
        <v>690</v>
      </c>
      <c r="B106" s="7" t="s">
        <v>1458</v>
      </c>
      <c r="C106" s="7">
        <v>1</v>
      </c>
      <c r="D106" s="7" t="s">
        <v>1390</v>
      </c>
      <c r="E106" s="7" t="s">
        <v>2738</v>
      </c>
      <c r="F106" s="7" t="s">
        <v>2739</v>
      </c>
      <c r="G106" s="7" t="s">
        <v>191</v>
      </c>
      <c r="H106" s="7">
        <v>6.4</v>
      </c>
      <c r="I106" s="7" t="s">
        <v>719</v>
      </c>
      <c r="R106" s="1472" t="s">
        <v>1037</v>
      </c>
      <c r="S106" s="1472">
        <v>1</v>
      </c>
      <c r="T106" s="1472" t="s">
        <v>436</v>
      </c>
      <c r="U106" s="1472" t="s">
        <v>1270</v>
      </c>
      <c r="W106" s="1488"/>
      <c r="X106" s="1488"/>
      <c r="Y106" s="1488"/>
      <c r="Z106" s="1488"/>
    </row>
    <row r="107" spans="1:26">
      <c r="A107" s="7" t="s">
        <v>690</v>
      </c>
      <c r="B107" s="7" t="s">
        <v>1458</v>
      </c>
      <c r="C107" s="7">
        <v>1</v>
      </c>
      <c r="D107" s="7" t="s">
        <v>1390</v>
      </c>
      <c r="E107" s="7" t="s">
        <v>2738</v>
      </c>
      <c r="F107" s="7" t="s">
        <v>2739</v>
      </c>
      <c r="G107" s="7" t="s">
        <v>2693</v>
      </c>
      <c r="H107" s="7">
        <v>6.4</v>
      </c>
      <c r="I107" s="7" t="s">
        <v>719</v>
      </c>
      <c r="R107" s="1472" t="s">
        <v>1037</v>
      </c>
      <c r="S107" s="1472">
        <v>1</v>
      </c>
      <c r="T107" s="1472" t="s">
        <v>436</v>
      </c>
      <c r="U107" s="1472" t="s">
        <v>112</v>
      </c>
      <c r="W107" s="1488"/>
      <c r="X107" s="1488"/>
      <c r="Y107" s="1488"/>
      <c r="Z107" s="1488"/>
    </row>
    <row r="108" spans="1:26">
      <c r="A108" s="7" t="s">
        <v>690</v>
      </c>
      <c r="B108" s="7" t="s">
        <v>1458</v>
      </c>
      <c r="C108" s="7">
        <v>1</v>
      </c>
      <c r="D108" s="7" t="s">
        <v>1390</v>
      </c>
      <c r="E108" s="7" t="s">
        <v>2738</v>
      </c>
      <c r="F108" s="7" t="s">
        <v>2739</v>
      </c>
      <c r="G108" s="7" t="s">
        <v>206</v>
      </c>
      <c r="H108" s="7">
        <v>6.5</v>
      </c>
      <c r="I108" s="7" t="s">
        <v>719</v>
      </c>
      <c r="R108" s="1472" t="s">
        <v>1037</v>
      </c>
      <c r="S108" s="1472">
        <v>1</v>
      </c>
      <c r="T108" s="1472" t="s">
        <v>436</v>
      </c>
      <c r="U108" s="1472" t="s">
        <v>113</v>
      </c>
      <c r="W108" s="1488"/>
      <c r="X108" s="1488"/>
      <c r="Y108" s="1488"/>
      <c r="Z108" s="1488"/>
    </row>
    <row r="109" spans="1:26">
      <c r="A109" s="7" t="s">
        <v>690</v>
      </c>
      <c r="B109" s="7" t="s">
        <v>1458</v>
      </c>
      <c r="C109" s="7">
        <v>1</v>
      </c>
      <c r="D109" s="7" t="s">
        <v>1390</v>
      </c>
      <c r="E109" s="7" t="s">
        <v>2738</v>
      </c>
      <c r="F109" s="7" t="s">
        <v>2740</v>
      </c>
      <c r="G109" s="7" t="s">
        <v>191</v>
      </c>
      <c r="H109" s="7">
        <v>6.4</v>
      </c>
      <c r="I109" s="7" t="s">
        <v>719</v>
      </c>
      <c r="R109" s="1472" t="s">
        <v>1037</v>
      </c>
      <c r="S109" s="1472">
        <v>1</v>
      </c>
      <c r="T109" s="1472" t="s">
        <v>436</v>
      </c>
      <c r="U109" s="1472" t="s">
        <v>114</v>
      </c>
      <c r="W109" s="1488"/>
      <c r="X109" s="1488"/>
      <c r="Y109" s="1488"/>
      <c r="Z109" s="1488"/>
    </row>
    <row r="110" spans="1:26">
      <c r="A110" s="7" t="s">
        <v>690</v>
      </c>
      <c r="B110" s="7" t="s">
        <v>1458</v>
      </c>
      <c r="C110" s="7">
        <v>1</v>
      </c>
      <c r="D110" s="7" t="s">
        <v>1390</v>
      </c>
      <c r="E110" s="7" t="s">
        <v>2738</v>
      </c>
      <c r="F110" s="7" t="s">
        <v>2740</v>
      </c>
      <c r="G110" s="7" t="s">
        <v>2693</v>
      </c>
      <c r="H110" s="7">
        <v>6.4</v>
      </c>
      <c r="I110" s="7" t="s">
        <v>719</v>
      </c>
      <c r="R110" s="1472" t="s">
        <v>1037</v>
      </c>
      <c r="S110" s="1472">
        <v>1</v>
      </c>
      <c r="T110" s="1472" t="s">
        <v>436</v>
      </c>
      <c r="U110" s="1472" t="s">
        <v>115</v>
      </c>
      <c r="W110" s="1488"/>
      <c r="X110" s="1488"/>
      <c r="Y110" s="1488"/>
      <c r="Z110" s="1488"/>
    </row>
    <row r="111" spans="1:26">
      <c r="A111" s="7" t="s">
        <v>690</v>
      </c>
      <c r="B111" s="7" t="s">
        <v>1458</v>
      </c>
      <c r="C111" s="7">
        <v>1</v>
      </c>
      <c r="D111" s="7" t="s">
        <v>1390</v>
      </c>
      <c r="E111" s="7" t="s">
        <v>2738</v>
      </c>
      <c r="F111" s="7" t="s">
        <v>2740</v>
      </c>
      <c r="G111" s="7" t="s">
        <v>206</v>
      </c>
      <c r="H111" s="7">
        <v>6.5</v>
      </c>
      <c r="I111" s="7" t="s">
        <v>719</v>
      </c>
      <c r="R111" s="1472" t="s">
        <v>1037</v>
      </c>
      <c r="S111" s="1472">
        <v>1</v>
      </c>
      <c r="T111" s="1472" t="s">
        <v>436</v>
      </c>
      <c r="U111" s="1472" t="s">
        <v>116</v>
      </c>
      <c r="W111" s="1488"/>
      <c r="X111" s="1488"/>
      <c r="Y111" s="1488"/>
      <c r="Z111" s="1488"/>
    </row>
    <row r="112" spans="1:26">
      <c r="A112" s="7" t="s">
        <v>690</v>
      </c>
      <c r="B112" s="7" t="s">
        <v>1458</v>
      </c>
      <c r="C112" s="7">
        <v>1</v>
      </c>
      <c r="D112" s="7" t="s">
        <v>1390</v>
      </c>
      <c r="E112" s="7" t="s">
        <v>3058</v>
      </c>
      <c r="F112" s="7" t="s">
        <v>2741</v>
      </c>
      <c r="G112" s="7" t="s">
        <v>191</v>
      </c>
      <c r="H112" s="7">
        <v>6.6</v>
      </c>
      <c r="I112" s="7" t="s">
        <v>719</v>
      </c>
      <c r="R112" s="1472" t="s">
        <v>1037</v>
      </c>
      <c r="S112" s="1472">
        <v>1</v>
      </c>
      <c r="T112" s="1472" t="s">
        <v>436</v>
      </c>
      <c r="U112" s="1472" t="s">
        <v>117</v>
      </c>
      <c r="W112" s="1488"/>
      <c r="X112" s="1488"/>
      <c r="Y112" s="1488"/>
      <c r="Z112" s="1488"/>
    </row>
    <row r="113" spans="1:26">
      <c r="A113" s="7" t="s">
        <v>690</v>
      </c>
      <c r="B113" s="7" t="s">
        <v>1458</v>
      </c>
      <c r="C113" s="7">
        <v>1</v>
      </c>
      <c r="D113" s="7" t="s">
        <v>1390</v>
      </c>
      <c r="E113" s="7" t="s">
        <v>3058</v>
      </c>
      <c r="F113" s="7" t="s">
        <v>2741</v>
      </c>
      <c r="G113" s="7" t="s">
        <v>2693</v>
      </c>
      <c r="H113" s="7">
        <v>6.6</v>
      </c>
      <c r="I113" s="7" t="s">
        <v>719</v>
      </c>
      <c r="R113" s="1472" t="s">
        <v>1037</v>
      </c>
      <c r="S113" s="1472">
        <v>1</v>
      </c>
      <c r="T113" s="1472" t="s">
        <v>436</v>
      </c>
      <c r="U113" s="1472" t="s">
        <v>118</v>
      </c>
      <c r="W113" s="1488"/>
      <c r="X113" s="1488"/>
      <c r="Y113" s="1488"/>
      <c r="Z113" s="1488"/>
    </row>
    <row r="114" spans="1:26">
      <c r="A114" s="7" t="s">
        <v>690</v>
      </c>
      <c r="B114" s="7" t="s">
        <v>1458</v>
      </c>
      <c r="C114" s="7">
        <v>1</v>
      </c>
      <c r="D114" s="7" t="s">
        <v>1390</v>
      </c>
      <c r="E114" s="7" t="s">
        <v>3058</v>
      </c>
      <c r="F114" s="7" t="s">
        <v>2741</v>
      </c>
      <c r="G114" s="7" t="s">
        <v>206</v>
      </c>
      <c r="H114" s="7">
        <v>6.5</v>
      </c>
      <c r="I114" s="7" t="s">
        <v>719</v>
      </c>
      <c r="R114" s="1472" t="s">
        <v>1037</v>
      </c>
      <c r="S114" s="1472">
        <v>1</v>
      </c>
      <c r="T114" s="1472" t="s">
        <v>436</v>
      </c>
      <c r="U114" s="1472" t="s">
        <v>2826</v>
      </c>
      <c r="W114" s="1488"/>
      <c r="X114" s="1488"/>
      <c r="Y114" s="1488"/>
      <c r="Z114" s="1488"/>
    </row>
    <row r="115" spans="1:26">
      <c r="A115" s="7" t="s">
        <v>690</v>
      </c>
      <c r="B115" s="7" t="s">
        <v>1458</v>
      </c>
      <c r="C115" s="7">
        <v>1</v>
      </c>
      <c r="D115" s="7" t="s">
        <v>1390</v>
      </c>
      <c r="E115" s="7" t="s">
        <v>3058</v>
      </c>
      <c r="F115" s="7" t="s">
        <v>2742</v>
      </c>
      <c r="G115" s="7" t="s">
        <v>191</v>
      </c>
      <c r="H115" s="7">
        <v>6.6</v>
      </c>
      <c r="I115" s="7" t="s">
        <v>719</v>
      </c>
      <c r="R115" s="1472" t="s">
        <v>1037</v>
      </c>
      <c r="S115" s="1472">
        <v>1</v>
      </c>
      <c r="T115" s="1472" t="s">
        <v>436</v>
      </c>
      <c r="U115" s="1472" t="s">
        <v>119</v>
      </c>
      <c r="W115" s="1488"/>
      <c r="X115" s="1488"/>
      <c r="Y115" s="1488"/>
      <c r="Z115" s="1488"/>
    </row>
    <row r="116" spans="1:26">
      <c r="A116" s="7" t="s">
        <v>690</v>
      </c>
      <c r="B116" s="7" t="s">
        <v>1458</v>
      </c>
      <c r="C116" s="7">
        <v>1</v>
      </c>
      <c r="D116" s="7" t="s">
        <v>1390</v>
      </c>
      <c r="E116" s="7" t="s">
        <v>3058</v>
      </c>
      <c r="F116" s="7" t="s">
        <v>2742</v>
      </c>
      <c r="G116" s="7" t="s">
        <v>2693</v>
      </c>
      <c r="H116" s="7">
        <v>6.6</v>
      </c>
      <c r="I116" s="7" t="s">
        <v>719</v>
      </c>
      <c r="R116" s="1472" t="s">
        <v>1037</v>
      </c>
      <c r="S116" s="1472">
        <v>1</v>
      </c>
      <c r="T116" s="1472" t="s">
        <v>436</v>
      </c>
      <c r="U116" s="1472" t="s">
        <v>120</v>
      </c>
      <c r="W116" s="1488"/>
      <c r="X116" s="1488"/>
      <c r="Y116" s="1488"/>
      <c r="Z116" s="1488"/>
    </row>
    <row r="117" spans="1:26">
      <c r="A117" s="7" t="s">
        <v>690</v>
      </c>
      <c r="B117" s="7" t="s">
        <v>1458</v>
      </c>
      <c r="C117" s="7">
        <v>1</v>
      </c>
      <c r="D117" s="7" t="s">
        <v>1390</v>
      </c>
      <c r="E117" s="7" t="s">
        <v>3058</v>
      </c>
      <c r="F117" s="7" t="s">
        <v>2742</v>
      </c>
      <c r="G117" s="7" t="s">
        <v>206</v>
      </c>
      <c r="H117" s="7">
        <v>6.5</v>
      </c>
      <c r="I117" s="7" t="s">
        <v>719</v>
      </c>
      <c r="R117" s="1472" t="s">
        <v>1037</v>
      </c>
      <c r="S117" s="1472">
        <v>1</v>
      </c>
      <c r="T117" s="1472" t="s">
        <v>436</v>
      </c>
      <c r="U117" s="1472" t="s">
        <v>121</v>
      </c>
      <c r="W117" s="1488"/>
      <c r="X117" s="1488"/>
      <c r="Y117" s="1488"/>
      <c r="Z117" s="1488"/>
    </row>
    <row r="118" spans="1:26">
      <c r="A118" s="7" t="s">
        <v>690</v>
      </c>
      <c r="B118" s="7" t="s">
        <v>1459</v>
      </c>
      <c r="C118" s="7">
        <v>1</v>
      </c>
      <c r="D118" s="7" t="s">
        <v>693</v>
      </c>
      <c r="E118" s="7" t="s">
        <v>693</v>
      </c>
      <c r="F118" s="7" t="s">
        <v>193</v>
      </c>
      <c r="G118" s="7" t="s">
        <v>1320</v>
      </c>
      <c r="H118" s="7">
        <v>5.3</v>
      </c>
      <c r="I118" s="7" t="s">
        <v>2705</v>
      </c>
      <c r="R118" s="1472" t="s">
        <v>1037</v>
      </c>
      <c r="S118" s="1472">
        <v>1</v>
      </c>
      <c r="T118" s="1472" t="s">
        <v>436</v>
      </c>
      <c r="U118" s="1472" t="s">
        <v>122</v>
      </c>
      <c r="W118" s="1488"/>
      <c r="X118" s="1488"/>
      <c r="Y118" s="1488"/>
      <c r="Z118" s="1488"/>
    </row>
    <row r="119" spans="1:26">
      <c r="A119" s="7" t="s">
        <v>690</v>
      </c>
      <c r="B119" s="7" t="s">
        <v>1459</v>
      </c>
      <c r="C119" s="7">
        <v>1</v>
      </c>
      <c r="D119" s="7" t="s">
        <v>693</v>
      </c>
      <c r="E119" s="7" t="s">
        <v>693</v>
      </c>
      <c r="F119" s="7" t="s">
        <v>193</v>
      </c>
      <c r="G119" s="7" t="s">
        <v>1321</v>
      </c>
      <c r="H119" s="7">
        <v>5.3</v>
      </c>
      <c r="I119" s="7" t="s">
        <v>2705</v>
      </c>
      <c r="R119" s="1472" t="s">
        <v>1037</v>
      </c>
      <c r="S119" s="1472">
        <v>1</v>
      </c>
      <c r="T119" s="1472" t="s">
        <v>436</v>
      </c>
      <c r="U119" s="1472" t="s">
        <v>2832</v>
      </c>
      <c r="W119" s="1488"/>
      <c r="X119" s="1488"/>
      <c r="Y119" s="1488"/>
      <c r="Z119" s="1488"/>
    </row>
    <row r="120" spans="1:26">
      <c r="A120" s="7" t="s">
        <v>690</v>
      </c>
      <c r="B120" s="7" t="s">
        <v>1459</v>
      </c>
      <c r="C120" s="7">
        <v>1</v>
      </c>
      <c r="D120" s="7" t="s">
        <v>693</v>
      </c>
      <c r="E120" s="7" t="s">
        <v>693</v>
      </c>
      <c r="F120" s="7" t="s">
        <v>193</v>
      </c>
      <c r="G120" s="7" t="s">
        <v>1322</v>
      </c>
      <c r="H120" s="7">
        <v>5.3</v>
      </c>
      <c r="I120" s="7" t="s">
        <v>2705</v>
      </c>
      <c r="R120" s="1472" t="s">
        <v>1037</v>
      </c>
      <c r="S120" s="1472">
        <v>1</v>
      </c>
      <c r="T120" s="1472" t="s">
        <v>436</v>
      </c>
      <c r="U120" s="1472" t="s">
        <v>123</v>
      </c>
      <c r="W120" s="1488"/>
      <c r="X120" s="1488"/>
      <c r="Y120" s="1488"/>
      <c r="Z120" s="1488"/>
    </row>
    <row r="121" spans="1:26">
      <c r="A121" s="7" t="s">
        <v>690</v>
      </c>
      <c r="B121" s="7" t="s">
        <v>1459</v>
      </c>
      <c r="C121" s="7">
        <v>1</v>
      </c>
      <c r="D121" s="7" t="s">
        <v>693</v>
      </c>
      <c r="E121" s="7" t="s">
        <v>693</v>
      </c>
      <c r="F121" s="7" t="s">
        <v>193</v>
      </c>
      <c r="G121" s="7" t="s">
        <v>2700</v>
      </c>
      <c r="H121" s="7">
        <v>5.3</v>
      </c>
      <c r="I121" s="7" t="s">
        <v>2705</v>
      </c>
      <c r="R121" s="1472" t="s">
        <v>1037</v>
      </c>
      <c r="S121" s="1472">
        <v>1</v>
      </c>
      <c r="T121" s="1472" t="s">
        <v>436</v>
      </c>
      <c r="U121" s="1472" t="s">
        <v>124</v>
      </c>
      <c r="W121" s="1488"/>
      <c r="X121" s="1488"/>
      <c r="Y121" s="1488"/>
      <c r="Z121" s="1488"/>
    </row>
    <row r="122" spans="1:26">
      <c r="A122" s="7" t="s">
        <v>690</v>
      </c>
      <c r="B122" s="7" t="s">
        <v>1459</v>
      </c>
      <c r="C122" s="7">
        <v>1</v>
      </c>
      <c r="D122" s="7" t="s">
        <v>693</v>
      </c>
      <c r="E122" s="7" t="s">
        <v>693</v>
      </c>
      <c r="F122" s="7" t="s">
        <v>193</v>
      </c>
      <c r="G122" s="7" t="s">
        <v>1323</v>
      </c>
      <c r="H122" s="7">
        <v>5.3</v>
      </c>
      <c r="I122" s="7" t="s">
        <v>2705</v>
      </c>
      <c r="R122" s="1472" t="s">
        <v>1037</v>
      </c>
      <c r="S122" s="1472">
        <v>1</v>
      </c>
      <c r="T122" s="1472" t="s">
        <v>436</v>
      </c>
      <c r="U122" s="1472" t="s">
        <v>125</v>
      </c>
      <c r="W122" s="1488"/>
      <c r="X122" s="1488"/>
      <c r="Y122" s="1488"/>
      <c r="Z122" s="1488"/>
    </row>
    <row r="123" spans="1:26">
      <c r="A123" s="7" t="s">
        <v>690</v>
      </c>
      <c r="B123" s="7" t="s">
        <v>1459</v>
      </c>
      <c r="C123" s="7">
        <v>1</v>
      </c>
      <c r="D123" s="7" t="s">
        <v>693</v>
      </c>
      <c r="E123" s="7" t="s">
        <v>693</v>
      </c>
      <c r="F123" s="7" t="s">
        <v>197</v>
      </c>
      <c r="G123" s="7" t="s">
        <v>1306</v>
      </c>
      <c r="H123" s="7">
        <v>5.2</v>
      </c>
      <c r="I123" s="7" t="s">
        <v>718</v>
      </c>
      <c r="R123" s="1472" t="s">
        <v>1037</v>
      </c>
      <c r="S123" s="1472">
        <v>1</v>
      </c>
      <c r="T123" s="1472" t="s">
        <v>436</v>
      </c>
      <c r="U123" s="1472" t="s">
        <v>126</v>
      </c>
      <c r="W123" s="1488"/>
      <c r="X123" s="1488"/>
      <c r="Y123" s="1488"/>
      <c r="Z123" s="1488"/>
    </row>
    <row r="124" spans="1:26">
      <c r="A124" s="7" t="s">
        <v>690</v>
      </c>
      <c r="B124" s="7" t="s">
        <v>1459</v>
      </c>
      <c r="C124" s="7">
        <v>1</v>
      </c>
      <c r="D124" s="7" t="s">
        <v>693</v>
      </c>
      <c r="E124" s="7" t="s">
        <v>693</v>
      </c>
      <c r="F124" s="7" t="s">
        <v>197</v>
      </c>
      <c r="G124" s="7" t="s">
        <v>1307</v>
      </c>
      <c r="H124" s="7">
        <v>5.2</v>
      </c>
      <c r="I124" s="7" t="s">
        <v>718</v>
      </c>
      <c r="R124" s="1472" t="s">
        <v>1037</v>
      </c>
      <c r="S124" s="1472">
        <v>1</v>
      </c>
      <c r="T124" s="1472" t="s">
        <v>44</v>
      </c>
      <c r="U124" s="1472" t="s">
        <v>127</v>
      </c>
      <c r="W124" s="1488"/>
      <c r="X124" s="1488"/>
      <c r="Y124" s="1488"/>
      <c r="Z124" s="1488"/>
    </row>
    <row r="125" spans="1:26">
      <c r="A125" s="7" t="s">
        <v>690</v>
      </c>
      <c r="B125" s="7" t="s">
        <v>1459</v>
      </c>
      <c r="C125" s="7">
        <v>1</v>
      </c>
      <c r="D125" s="7" t="s">
        <v>693</v>
      </c>
      <c r="E125" s="7" t="s">
        <v>693</v>
      </c>
      <c r="F125" s="7" t="s">
        <v>197</v>
      </c>
      <c r="G125" s="7" t="s">
        <v>1308</v>
      </c>
      <c r="H125" s="7">
        <v>5.2</v>
      </c>
      <c r="I125" s="7" t="s">
        <v>718</v>
      </c>
      <c r="R125" s="1472" t="s">
        <v>1037</v>
      </c>
      <c r="S125" s="1472">
        <v>1</v>
      </c>
      <c r="T125" s="1472" t="s">
        <v>44</v>
      </c>
      <c r="U125" s="1472" t="s">
        <v>128</v>
      </c>
      <c r="W125" s="1488"/>
      <c r="X125" s="1488"/>
      <c r="Y125" s="1488"/>
      <c r="Z125" s="1488"/>
    </row>
    <row r="126" spans="1:26">
      <c r="A126" s="7" t="s">
        <v>690</v>
      </c>
      <c r="B126" s="7" t="s">
        <v>1459</v>
      </c>
      <c r="C126" s="7">
        <v>1</v>
      </c>
      <c r="D126" s="7" t="s">
        <v>693</v>
      </c>
      <c r="E126" s="7" t="s">
        <v>693</v>
      </c>
      <c r="F126" s="7" t="s">
        <v>197</v>
      </c>
      <c r="G126" s="7" t="s">
        <v>1309</v>
      </c>
      <c r="H126" s="7">
        <v>5.2</v>
      </c>
      <c r="I126" s="7" t="s">
        <v>718</v>
      </c>
      <c r="R126" s="1472" t="s">
        <v>1037</v>
      </c>
      <c r="S126" s="1472">
        <v>1</v>
      </c>
      <c r="T126" s="1472" t="s">
        <v>44</v>
      </c>
      <c r="U126" s="1472" t="s">
        <v>2833</v>
      </c>
      <c r="W126" s="1488"/>
      <c r="X126" s="1488"/>
      <c r="Y126" s="1488"/>
      <c r="Z126" s="1488"/>
    </row>
    <row r="127" spans="1:26">
      <c r="A127" s="7" t="s">
        <v>690</v>
      </c>
      <c r="B127" s="7" t="s">
        <v>1459</v>
      </c>
      <c r="C127" s="7">
        <v>1</v>
      </c>
      <c r="D127" s="7" t="s">
        <v>693</v>
      </c>
      <c r="E127" s="7" t="s">
        <v>693</v>
      </c>
      <c r="F127" s="7" t="s">
        <v>197</v>
      </c>
      <c r="G127" s="7" t="s">
        <v>1310</v>
      </c>
      <c r="H127" s="7">
        <v>5.2</v>
      </c>
      <c r="I127" s="7" t="s">
        <v>718</v>
      </c>
      <c r="R127" s="1472" t="s">
        <v>1037</v>
      </c>
      <c r="S127" s="1472">
        <v>2</v>
      </c>
      <c r="T127" s="1472" t="s">
        <v>2834</v>
      </c>
      <c r="U127" s="1472" t="s">
        <v>1055</v>
      </c>
      <c r="W127" s="1488"/>
      <c r="X127" s="1488"/>
      <c r="Y127" s="1488"/>
      <c r="Z127" s="1488"/>
    </row>
    <row r="128" spans="1:26">
      <c r="A128" s="7" t="s">
        <v>690</v>
      </c>
      <c r="B128" s="7" t="s">
        <v>1459</v>
      </c>
      <c r="C128" s="7">
        <v>1</v>
      </c>
      <c r="D128" s="7" t="s">
        <v>693</v>
      </c>
      <c r="E128" s="7" t="s">
        <v>693</v>
      </c>
      <c r="F128" s="7" t="s">
        <v>197</v>
      </c>
      <c r="G128" s="7" t="s">
        <v>1311</v>
      </c>
      <c r="H128" s="7">
        <v>5.2</v>
      </c>
      <c r="I128" s="7" t="s">
        <v>718</v>
      </c>
      <c r="R128" s="1472" t="s">
        <v>1037</v>
      </c>
      <c r="S128" s="1472">
        <v>2</v>
      </c>
      <c r="T128" s="1472" t="s">
        <v>2834</v>
      </c>
      <c r="U128" s="1472" t="s">
        <v>1442</v>
      </c>
      <c r="W128" s="1488"/>
      <c r="X128" s="1488"/>
      <c r="Y128" s="1488"/>
      <c r="Z128" s="1488"/>
    </row>
    <row r="129" spans="1:26">
      <c r="A129" s="7" t="s">
        <v>690</v>
      </c>
      <c r="B129" s="7" t="s">
        <v>1459</v>
      </c>
      <c r="C129" s="7">
        <v>1</v>
      </c>
      <c r="D129" s="7" t="s">
        <v>693</v>
      </c>
      <c r="E129" s="7" t="s">
        <v>693</v>
      </c>
      <c r="F129" s="7" t="s">
        <v>197</v>
      </c>
      <c r="G129" s="7" t="s">
        <v>1312</v>
      </c>
      <c r="H129" s="7">
        <v>5.2</v>
      </c>
      <c r="I129" s="7" t="s">
        <v>718</v>
      </c>
      <c r="R129" s="1472" t="s">
        <v>1037</v>
      </c>
      <c r="S129" s="1472">
        <v>2</v>
      </c>
      <c r="T129" s="1472" t="s">
        <v>2834</v>
      </c>
      <c r="U129" s="1472" t="s">
        <v>1056</v>
      </c>
      <c r="W129" s="1488"/>
      <c r="X129" s="1488"/>
      <c r="Y129" s="1488"/>
      <c r="Z129" s="1488"/>
    </row>
    <row r="130" spans="1:26">
      <c r="A130" s="7" t="s">
        <v>690</v>
      </c>
      <c r="B130" s="7" t="s">
        <v>1459</v>
      </c>
      <c r="C130" s="7">
        <v>1</v>
      </c>
      <c r="D130" s="7" t="s">
        <v>693</v>
      </c>
      <c r="E130" s="7" t="s">
        <v>693</v>
      </c>
      <c r="F130" s="7" t="s">
        <v>197</v>
      </c>
      <c r="G130" s="7" t="s">
        <v>1313</v>
      </c>
      <c r="H130" s="7">
        <v>5.2</v>
      </c>
      <c r="I130" s="7" t="s">
        <v>718</v>
      </c>
      <c r="R130" s="1472" t="s">
        <v>1037</v>
      </c>
      <c r="S130" s="1472">
        <v>2</v>
      </c>
      <c r="T130" s="1472" t="s">
        <v>2834</v>
      </c>
      <c r="U130" s="1472" t="s">
        <v>385</v>
      </c>
      <c r="W130" s="1488"/>
      <c r="X130" s="1488"/>
      <c r="Y130" s="1488"/>
      <c r="Z130" s="1488"/>
    </row>
    <row r="131" spans="1:26">
      <c r="A131" s="7" t="s">
        <v>690</v>
      </c>
      <c r="B131" s="7" t="s">
        <v>1459</v>
      </c>
      <c r="C131" s="7">
        <v>1</v>
      </c>
      <c r="D131" s="7" t="s">
        <v>693</v>
      </c>
      <c r="E131" s="7" t="s">
        <v>693</v>
      </c>
      <c r="F131" s="7" t="s">
        <v>197</v>
      </c>
      <c r="G131" s="7" t="s">
        <v>1314</v>
      </c>
      <c r="H131" s="7">
        <v>5.2</v>
      </c>
      <c r="I131" s="7" t="s">
        <v>718</v>
      </c>
      <c r="R131" s="1472" t="s">
        <v>1037</v>
      </c>
      <c r="S131" s="1472">
        <v>2</v>
      </c>
      <c r="T131" s="1472" t="s">
        <v>2834</v>
      </c>
      <c r="U131" s="1472" t="s">
        <v>2835</v>
      </c>
      <c r="W131" s="1488"/>
      <c r="X131" s="1488"/>
      <c r="Y131" s="1488"/>
      <c r="Z131" s="1488"/>
    </row>
    <row r="132" spans="1:26">
      <c r="A132" s="7" t="s">
        <v>690</v>
      </c>
      <c r="B132" s="7" t="s">
        <v>1459</v>
      </c>
      <c r="C132" s="7">
        <v>1</v>
      </c>
      <c r="D132" s="7" t="s">
        <v>693</v>
      </c>
      <c r="E132" s="7" t="s">
        <v>693</v>
      </c>
      <c r="F132" s="7" t="s">
        <v>197</v>
      </c>
      <c r="G132" s="7" t="s">
        <v>1315</v>
      </c>
      <c r="H132" s="7">
        <v>5.2</v>
      </c>
      <c r="I132" s="7" t="s">
        <v>718</v>
      </c>
      <c r="R132" s="1472" t="s">
        <v>1037</v>
      </c>
      <c r="S132" s="1472">
        <v>2</v>
      </c>
      <c r="T132" s="1472" t="s">
        <v>2834</v>
      </c>
      <c r="U132" s="1472" t="s">
        <v>2836</v>
      </c>
      <c r="W132" s="1488"/>
      <c r="X132" s="1488"/>
      <c r="Y132" s="1488"/>
      <c r="Z132" s="1488"/>
    </row>
    <row r="133" spans="1:26">
      <c r="A133" s="7" t="s">
        <v>690</v>
      </c>
      <c r="B133" s="7" t="s">
        <v>1459</v>
      </c>
      <c r="C133" s="7">
        <v>1</v>
      </c>
      <c r="D133" s="7" t="s">
        <v>693</v>
      </c>
      <c r="E133" s="7" t="s">
        <v>693</v>
      </c>
      <c r="F133" s="7" t="s">
        <v>197</v>
      </c>
      <c r="G133" s="7" t="s">
        <v>1316</v>
      </c>
      <c r="H133" s="7">
        <v>5.2</v>
      </c>
      <c r="I133" s="7" t="s">
        <v>718</v>
      </c>
      <c r="R133" s="1472" t="s">
        <v>1037</v>
      </c>
      <c r="S133" s="1472">
        <v>2</v>
      </c>
      <c r="T133" s="1472" t="s">
        <v>2834</v>
      </c>
      <c r="U133" s="1472" t="s">
        <v>1127</v>
      </c>
      <c r="W133" s="1488"/>
      <c r="X133" s="1488"/>
      <c r="Y133" s="1488"/>
      <c r="Z133" s="1488"/>
    </row>
    <row r="134" spans="1:26">
      <c r="A134" s="7" t="s">
        <v>690</v>
      </c>
      <c r="B134" s="7" t="s">
        <v>1459</v>
      </c>
      <c r="C134" s="7">
        <v>1</v>
      </c>
      <c r="D134" s="7" t="s">
        <v>693</v>
      </c>
      <c r="E134" s="7" t="s">
        <v>693</v>
      </c>
      <c r="F134" s="7" t="s">
        <v>197</v>
      </c>
      <c r="G134" s="7" t="s">
        <v>1317</v>
      </c>
      <c r="H134" s="7">
        <v>5.2</v>
      </c>
      <c r="I134" s="7" t="s">
        <v>718</v>
      </c>
      <c r="R134" s="1472" t="s">
        <v>1037</v>
      </c>
      <c r="S134" s="1472">
        <v>2</v>
      </c>
      <c r="T134" s="1472" t="s">
        <v>2834</v>
      </c>
      <c r="U134" s="1472" t="s">
        <v>1058</v>
      </c>
      <c r="W134" s="1488"/>
      <c r="X134" s="1488"/>
      <c r="Y134" s="1488"/>
      <c r="Z134" s="1488"/>
    </row>
    <row r="135" spans="1:26">
      <c r="A135" s="7" t="s">
        <v>690</v>
      </c>
      <c r="B135" s="7" t="s">
        <v>1459</v>
      </c>
      <c r="C135" s="7">
        <v>1</v>
      </c>
      <c r="D135" s="7" t="s">
        <v>693</v>
      </c>
      <c r="E135" s="7" t="s">
        <v>693</v>
      </c>
      <c r="F135" s="7" t="s">
        <v>197</v>
      </c>
      <c r="G135" s="7" t="s">
        <v>1318</v>
      </c>
      <c r="H135" s="7">
        <v>5.2</v>
      </c>
      <c r="I135" s="7" t="s">
        <v>718</v>
      </c>
      <c r="R135" s="1472" t="s">
        <v>1037</v>
      </c>
      <c r="S135" s="1472">
        <v>2</v>
      </c>
      <c r="T135" s="1472" t="s">
        <v>2834</v>
      </c>
      <c r="U135" s="1472" t="s">
        <v>1132</v>
      </c>
      <c r="W135" s="1488"/>
      <c r="X135" s="1488"/>
      <c r="Y135" s="1488"/>
      <c r="Z135" s="1488"/>
    </row>
    <row r="136" spans="1:26">
      <c r="A136" s="7" t="s">
        <v>690</v>
      </c>
      <c r="B136" s="7" t="s">
        <v>1459</v>
      </c>
      <c r="C136" s="7">
        <v>1</v>
      </c>
      <c r="D136" s="7" t="s">
        <v>693</v>
      </c>
      <c r="E136" s="7" t="s">
        <v>693</v>
      </c>
      <c r="F136" s="7" t="s">
        <v>197</v>
      </c>
      <c r="G136" s="7" t="s">
        <v>1319</v>
      </c>
      <c r="H136" s="7">
        <v>5.2</v>
      </c>
      <c r="I136" s="7" t="s">
        <v>718</v>
      </c>
      <c r="R136" s="1472" t="s">
        <v>1037</v>
      </c>
      <c r="S136" s="1472">
        <v>2</v>
      </c>
      <c r="T136" s="1472" t="s">
        <v>2834</v>
      </c>
      <c r="U136" s="1472" t="s">
        <v>2843</v>
      </c>
      <c r="W136" s="1488"/>
      <c r="X136" s="1488"/>
      <c r="Y136" s="1488"/>
      <c r="Z136" s="1488"/>
    </row>
    <row r="137" spans="1:26">
      <c r="A137" s="7" t="s">
        <v>690</v>
      </c>
      <c r="B137" s="7" t="s">
        <v>1459</v>
      </c>
      <c r="C137" s="7">
        <v>1</v>
      </c>
      <c r="D137" s="7" t="s">
        <v>693</v>
      </c>
      <c r="E137" s="7" t="s">
        <v>693</v>
      </c>
      <c r="F137" s="7" t="s">
        <v>197</v>
      </c>
      <c r="G137" s="7" t="s">
        <v>2700</v>
      </c>
      <c r="H137" s="7">
        <v>5.2</v>
      </c>
      <c r="I137" s="7" t="s">
        <v>718</v>
      </c>
      <c r="R137" s="1472" t="s">
        <v>1037</v>
      </c>
      <c r="S137" s="1472">
        <v>2</v>
      </c>
      <c r="T137" s="1472" t="s">
        <v>2834</v>
      </c>
      <c r="U137" s="1472" t="s">
        <v>1059</v>
      </c>
      <c r="W137" s="1488"/>
      <c r="X137" s="1488"/>
      <c r="Y137" s="1488"/>
      <c r="Z137" s="1488"/>
    </row>
    <row r="138" spans="1:26">
      <c r="A138" s="7" t="s">
        <v>690</v>
      </c>
      <c r="B138" s="7" t="s">
        <v>1459</v>
      </c>
      <c r="C138" s="7">
        <v>1</v>
      </c>
      <c r="D138" s="7" t="s">
        <v>217</v>
      </c>
      <c r="E138" s="7" t="s">
        <v>217</v>
      </c>
      <c r="F138" s="7" t="s">
        <v>196</v>
      </c>
      <c r="G138" s="7" t="s">
        <v>2700</v>
      </c>
      <c r="H138" s="7">
        <v>5.8</v>
      </c>
      <c r="I138" s="7" t="s">
        <v>718</v>
      </c>
      <c r="R138" s="1472" t="s">
        <v>1037</v>
      </c>
      <c r="S138" s="1472">
        <v>2</v>
      </c>
      <c r="T138" s="1472" t="s">
        <v>2834</v>
      </c>
      <c r="U138" s="1472" t="s">
        <v>1134</v>
      </c>
      <c r="W138" s="1488"/>
      <c r="X138" s="1488"/>
      <c r="Y138" s="1488"/>
      <c r="Z138" s="1488"/>
    </row>
    <row r="139" spans="1:26">
      <c r="A139" s="7" t="s">
        <v>690</v>
      </c>
      <c r="B139" s="7" t="s">
        <v>1459</v>
      </c>
      <c r="C139" s="7">
        <v>1</v>
      </c>
      <c r="D139" s="7" t="s">
        <v>217</v>
      </c>
      <c r="E139" s="7" t="s">
        <v>217</v>
      </c>
      <c r="F139" s="7" t="s">
        <v>196</v>
      </c>
      <c r="G139" s="7" t="s">
        <v>2743</v>
      </c>
      <c r="H139" s="7">
        <v>5.8</v>
      </c>
      <c r="I139" s="7" t="s">
        <v>718</v>
      </c>
      <c r="R139" s="1472" t="s">
        <v>1037</v>
      </c>
      <c r="S139" s="1472">
        <v>2</v>
      </c>
      <c r="T139" s="1472" t="s">
        <v>2834</v>
      </c>
      <c r="U139" s="1472" t="s">
        <v>2846</v>
      </c>
      <c r="W139" s="1488"/>
      <c r="X139" s="1488"/>
      <c r="Y139" s="1488"/>
      <c r="Z139" s="1488"/>
    </row>
    <row r="140" spans="1:26">
      <c r="A140" s="7" t="s">
        <v>690</v>
      </c>
      <c r="B140" s="7" t="s">
        <v>1459</v>
      </c>
      <c r="C140" s="7">
        <v>1</v>
      </c>
      <c r="D140" s="7" t="s">
        <v>217</v>
      </c>
      <c r="E140" s="7" t="s">
        <v>217</v>
      </c>
      <c r="F140" s="7" t="s">
        <v>196</v>
      </c>
      <c r="G140" s="7" t="s">
        <v>2745</v>
      </c>
      <c r="H140" s="7">
        <v>5.8</v>
      </c>
      <c r="I140" s="7" t="s">
        <v>718</v>
      </c>
      <c r="R140" s="1472" t="s">
        <v>1037</v>
      </c>
      <c r="S140" s="1472">
        <v>2</v>
      </c>
      <c r="T140" s="1472" t="s">
        <v>2834</v>
      </c>
      <c r="U140" s="1472" t="s">
        <v>1136</v>
      </c>
      <c r="W140" s="1488"/>
      <c r="X140" s="1488"/>
      <c r="Y140" s="1488"/>
      <c r="Z140" s="1488"/>
    </row>
    <row r="141" spans="1:26">
      <c r="A141" s="7" t="s">
        <v>690</v>
      </c>
      <c r="B141" s="7" t="s">
        <v>1459</v>
      </c>
      <c r="C141" s="7">
        <v>1</v>
      </c>
      <c r="D141" s="7" t="s">
        <v>217</v>
      </c>
      <c r="E141" s="7" t="s">
        <v>217</v>
      </c>
      <c r="F141" s="7" t="s">
        <v>196</v>
      </c>
      <c r="G141" s="7" t="s">
        <v>2744</v>
      </c>
      <c r="H141" s="7">
        <v>5.8</v>
      </c>
      <c r="I141" s="7" t="s">
        <v>718</v>
      </c>
      <c r="R141" s="1472" t="s">
        <v>1037</v>
      </c>
      <c r="S141" s="1472">
        <v>2</v>
      </c>
      <c r="T141" s="1472" t="s">
        <v>2834</v>
      </c>
      <c r="U141" s="1472" t="s">
        <v>1061</v>
      </c>
      <c r="W141" s="1488"/>
      <c r="X141" s="1488"/>
      <c r="Y141" s="1488"/>
      <c r="Z141" s="1488"/>
    </row>
    <row r="142" spans="1:26">
      <c r="A142" s="7" t="s">
        <v>690</v>
      </c>
      <c r="B142" s="7" t="s">
        <v>1459</v>
      </c>
      <c r="C142" s="7">
        <v>1</v>
      </c>
      <c r="D142" s="7" t="s">
        <v>217</v>
      </c>
      <c r="E142" s="7" t="s">
        <v>217</v>
      </c>
      <c r="F142" s="7" t="s">
        <v>196</v>
      </c>
      <c r="G142" s="7" t="s">
        <v>2746</v>
      </c>
      <c r="H142" s="7">
        <v>5.8</v>
      </c>
      <c r="I142" s="7" t="s">
        <v>718</v>
      </c>
      <c r="R142" s="1472" t="s">
        <v>1037</v>
      </c>
      <c r="S142" s="1472">
        <v>2</v>
      </c>
      <c r="T142" s="1472" t="s">
        <v>2834</v>
      </c>
      <c r="U142" s="1472" t="s">
        <v>2848</v>
      </c>
      <c r="W142" s="1488"/>
      <c r="X142" s="1488"/>
      <c r="Y142" s="1488"/>
      <c r="Z142" s="1488"/>
    </row>
    <row r="143" spans="1:26">
      <c r="A143" s="7" t="s">
        <v>690</v>
      </c>
      <c r="B143" s="7" t="s">
        <v>1459</v>
      </c>
      <c r="C143" s="7">
        <v>2</v>
      </c>
      <c r="D143" s="7" t="s">
        <v>441</v>
      </c>
      <c r="E143" s="7" t="s">
        <v>441</v>
      </c>
      <c r="F143" s="7" t="s">
        <v>194</v>
      </c>
      <c r="G143" s="7" t="s">
        <v>2767</v>
      </c>
      <c r="H143" s="7">
        <v>5.4</v>
      </c>
      <c r="I143" s="7" t="s">
        <v>718</v>
      </c>
      <c r="R143" s="1472" t="s">
        <v>1037</v>
      </c>
      <c r="S143" s="1472">
        <v>2</v>
      </c>
      <c r="T143" s="1472" t="s">
        <v>2834</v>
      </c>
      <c r="U143" s="1472" t="s">
        <v>1139</v>
      </c>
      <c r="W143" s="1488"/>
      <c r="X143" s="1488"/>
      <c r="Y143" s="1488"/>
      <c r="Z143" s="1488"/>
    </row>
    <row r="144" spans="1:26">
      <c r="A144" s="7" t="s">
        <v>690</v>
      </c>
      <c r="B144" s="7" t="s">
        <v>1459</v>
      </c>
      <c r="C144" s="7">
        <v>2</v>
      </c>
      <c r="D144" s="7" t="s">
        <v>441</v>
      </c>
      <c r="E144" s="7" t="s">
        <v>441</v>
      </c>
      <c r="F144" s="7" t="s">
        <v>194</v>
      </c>
      <c r="G144" s="7" t="s">
        <v>696</v>
      </c>
      <c r="H144" s="7">
        <v>5.4</v>
      </c>
      <c r="I144" s="7" t="s">
        <v>718</v>
      </c>
      <c r="R144" s="1472" t="s">
        <v>1037</v>
      </c>
      <c r="S144" s="1472">
        <v>2</v>
      </c>
      <c r="T144" s="1472" t="s">
        <v>2834</v>
      </c>
      <c r="U144" s="1472" t="s">
        <v>1062</v>
      </c>
      <c r="W144" s="1488"/>
      <c r="X144" s="1488"/>
      <c r="Y144" s="1488"/>
      <c r="Z144" s="1488"/>
    </row>
    <row r="145" spans="1:26">
      <c r="A145" s="7" t="s">
        <v>690</v>
      </c>
      <c r="B145" s="7" t="s">
        <v>1459</v>
      </c>
      <c r="C145" s="7">
        <v>2</v>
      </c>
      <c r="D145" s="7" t="s">
        <v>441</v>
      </c>
      <c r="E145" s="7" t="s">
        <v>441</v>
      </c>
      <c r="F145" s="7" t="s">
        <v>194</v>
      </c>
      <c r="G145" s="7" t="s">
        <v>2766</v>
      </c>
      <c r="H145" s="7">
        <v>5.4</v>
      </c>
      <c r="I145" s="7" t="s">
        <v>718</v>
      </c>
      <c r="R145" s="1472" t="s">
        <v>1037</v>
      </c>
      <c r="S145" s="1472">
        <v>2</v>
      </c>
      <c r="T145" s="1472" t="s">
        <v>2834</v>
      </c>
      <c r="U145" s="1472" t="s">
        <v>1063</v>
      </c>
      <c r="W145" s="1488"/>
      <c r="X145" s="1488"/>
      <c r="Y145" s="1488"/>
      <c r="Z145" s="1488"/>
    </row>
    <row r="146" spans="1:26">
      <c r="A146" s="7" t="s">
        <v>690</v>
      </c>
      <c r="B146" s="7" t="s">
        <v>1459</v>
      </c>
      <c r="C146" s="7">
        <v>2</v>
      </c>
      <c r="D146" s="7" t="s">
        <v>441</v>
      </c>
      <c r="E146" s="7" t="s">
        <v>441</v>
      </c>
      <c r="F146" s="7" t="s">
        <v>194</v>
      </c>
      <c r="G146" s="7" t="s">
        <v>2747</v>
      </c>
      <c r="H146" s="7">
        <v>5.4</v>
      </c>
      <c r="I146" s="7" t="s">
        <v>718</v>
      </c>
      <c r="R146" s="1472" t="s">
        <v>1037</v>
      </c>
      <c r="S146" s="1472">
        <v>2</v>
      </c>
      <c r="T146" s="1472" t="s">
        <v>2834</v>
      </c>
      <c r="U146" s="1472" t="s">
        <v>1070</v>
      </c>
      <c r="W146" s="1488"/>
      <c r="X146" s="1488"/>
      <c r="Y146" s="1488"/>
      <c r="Z146" s="1488"/>
    </row>
    <row r="147" spans="1:26">
      <c r="A147" s="7" t="s">
        <v>690</v>
      </c>
      <c r="B147" s="7" t="s">
        <v>1459</v>
      </c>
      <c r="C147" s="7">
        <v>2</v>
      </c>
      <c r="D147" s="7" t="s">
        <v>441</v>
      </c>
      <c r="E147" s="7" t="s">
        <v>441</v>
      </c>
      <c r="F147" s="7" t="s">
        <v>194</v>
      </c>
      <c r="G147" s="7" t="s">
        <v>2748</v>
      </c>
      <c r="H147" s="7">
        <v>5.4</v>
      </c>
      <c r="I147" s="7" t="s">
        <v>718</v>
      </c>
      <c r="R147" s="1472" t="s">
        <v>1037</v>
      </c>
      <c r="S147" s="1472">
        <v>2</v>
      </c>
      <c r="T147" s="1472" t="s">
        <v>2834</v>
      </c>
      <c r="U147" s="1472" t="s">
        <v>1071</v>
      </c>
      <c r="W147" s="1488"/>
      <c r="X147" s="1488"/>
      <c r="Y147" s="1488"/>
      <c r="Z147" s="1488"/>
    </row>
    <row r="148" spans="1:26">
      <c r="A148" s="7" t="s">
        <v>690</v>
      </c>
      <c r="B148" s="7" t="s">
        <v>1459</v>
      </c>
      <c r="C148" s="7">
        <v>2</v>
      </c>
      <c r="D148" s="7" t="s">
        <v>441</v>
      </c>
      <c r="E148" s="7" t="s">
        <v>441</v>
      </c>
      <c r="F148" s="7" t="s">
        <v>194</v>
      </c>
      <c r="G148" s="7" t="s">
        <v>2749</v>
      </c>
      <c r="H148" s="7">
        <v>5.4</v>
      </c>
      <c r="I148" s="7" t="s">
        <v>718</v>
      </c>
      <c r="R148" s="1472" t="s">
        <v>1037</v>
      </c>
      <c r="S148" s="1472">
        <v>2</v>
      </c>
      <c r="T148" s="1472" t="s">
        <v>2834</v>
      </c>
      <c r="U148" s="1472" t="s">
        <v>1072</v>
      </c>
      <c r="W148" s="1488"/>
      <c r="X148" s="1488"/>
      <c r="Y148" s="1488"/>
      <c r="Z148" s="1488"/>
    </row>
    <row r="149" spans="1:26">
      <c r="A149" s="7" t="s">
        <v>690</v>
      </c>
      <c r="B149" s="7" t="s">
        <v>1459</v>
      </c>
      <c r="C149" s="7">
        <v>2</v>
      </c>
      <c r="D149" s="7" t="s">
        <v>441</v>
      </c>
      <c r="E149" s="7" t="s">
        <v>441</v>
      </c>
      <c r="F149" s="7" t="s">
        <v>194</v>
      </c>
      <c r="G149" s="7" t="s">
        <v>1209</v>
      </c>
      <c r="H149" s="7">
        <v>5.4</v>
      </c>
      <c r="I149" s="7" t="s">
        <v>718</v>
      </c>
      <c r="R149" s="1472" t="s">
        <v>1037</v>
      </c>
      <c r="S149" s="1472">
        <v>2</v>
      </c>
      <c r="T149" s="1472" t="s">
        <v>2834</v>
      </c>
      <c r="U149" s="1472" t="s">
        <v>2695</v>
      </c>
      <c r="W149" s="1488"/>
      <c r="X149" s="1488"/>
      <c r="Y149" s="1488"/>
      <c r="Z149" s="1488"/>
    </row>
    <row r="150" spans="1:26">
      <c r="A150" s="7" t="s">
        <v>690</v>
      </c>
      <c r="B150" s="7" t="s">
        <v>1459</v>
      </c>
      <c r="C150" s="7">
        <v>2</v>
      </c>
      <c r="D150" s="7" t="s">
        <v>441</v>
      </c>
      <c r="E150" s="7" t="s">
        <v>441</v>
      </c>
      <c r="F150" s="7" t="s">
        <v>194</v>
      </c>
      <c r="G150" s="7" t="s">
        <v>2750</v>
      </c>
      <c r="H150" s="7">
        <v>5.4</v>
      </c>
      <c r="I150" s="7" t="s">
        <v>718</v>
      </c>
      <c r="R150" s="1472" t="s">
        <v>1037</v>
      </c>
      <c r="S150" s="1472">
        <v>2</v>
      </c>
      <c r="T150" s="1472" t="s">
        <v>2834</v>
      </c>
      <c r="U150" s="1472" t="s">
        <v>1443</v>
      </c>
      <c r="W150" s="1488"/>
      <c r="X150" s="1488"/>
      <c r="Y150" s="1488"/>
      <c r="Z150" s="1488"/>
    </row>
    <row r="151" spans="1:26">
      <c r="A151" s="7" t="s">
        <v>690</v>
      </c>
      <c r="B151" s="7" t="s">
        <v>1459</v>
      </c>
      <c r="C151" s="7">
        <v>2</v>
      </c>
      <c r="D151" s="7" t="s">
        <v>441</v>
      </c>
      <c r="E151" s="7" t="s">
        <v>441</v>
      </c>
      <c r="F151" s="7" t="s">
        <v>194</v>
      </c>
      <c r="G151" s="7" t="s">
        <v>2765</v>
      </c>
      <c r="H151" s="7">
        <v>5.4</v>
      </c>
      <c r="I151" s="7" t="s">
        <v>718</v>
      </c>
      <c r="R151" s="1472" t="s">
        <v>1037</v>
      </c>
      <c r="S151" s="1472">
        <v>2</v>
      </c>
      <c r="T151" s="1472" t="s">
        <v>2834</v>
      </c>
      <c r="U151" s="1472" t="s">
        <v>2850</v>
      </c>
      <c r="W151" s="1488"/>
      <c r="X151" s="1488"/>
      <c r="Y151" s="1488"/>
      <c r="Z151" s="1488"/>
    </row>
    <row r="152" spans="1:26">
      <c r="A152" s="7" t="s">
        <v>690</v>
      </c>
      <c r="B152" s="7" t="s">
        <v>1459</v>
      </c>
      <c r="C152" s="7">
        <v>2</v>
      </c>
      <c r="D152" s="7" t="s">
        <v>441</v>
      </c>
      <c r="E152" s="7" t="s">
        <v>441</v>
      </c>
      <c r="F152" s="7" t="s">
        <v>194</v>
      </c>
      <c r="G152" s="7" t="s">
        <v>1211</v>
      </c>
      <c r="H152" s="7">
        <v>5.4</v>
      </c>
      <c r="I152" s="7" t="s">
        <v>718</v>
      </c>
      <c r="R152" s="1472" t="s">
        <v>1037</v>
      </c>
      <c r="S152" s="1472">
        <v>2</v>
      </c>
      <c r="T152" s="1472" t="s">
        <v>2834</v>
      </c>
      <c r="U152" s="1472" t="s">
        <v>1444</v>
      </c>
      <c r="W152" s="1488"/>
      <c r="X152" s="1488"/>
      <c r="Y152" s="1488"/>
      <c r="Z152" s="1488"/>
    </row>
    <row r="153" spans="1:26">
      <c r="A153" s="7" t="s">
        <v>690</v>
      </c>
      <c r="B153" s="7" t="s">
        <v>1459</v>
      </c>
      <c r="C153" s="7">
        <v>2</v>
      </c>
      <c r="D153" s="7" t="s">
        <v>441</v>
      </c>
      <c r="E153" s="7" t="s">
        <v>441</v>
      </c>
      <c r="F153" s="7" t="s">
        <v>194</v>
      </c>
      <c r="G153" s="7" t="s">
        <v>1210</v>
      </c>
      <c r="H153" s="7">
        <v>5.4</v>
      </c>
      <c r="I153" s="7" t="s">
        <v>718</v>
      </c>
      <c r="R153" s="1472" t="s">
        <v>1037</v>
      </c>
      <c r="S153" s="1472">
        <v>2</v>
      </c>
      <c r="T153" s="1472" t="s">
        <v>2834</v>
      </c>
      <c r="U153" s="1472" t="s">
        <v>1445</v>
      </c>
      <c r="W153" s="1488"/>
      <c r="X153" s="1488"/>
      <c r="Y153" s="1488"/>
      <c r="Z153" s="1488"/>
    </row>
    <row r="154" spans="1:26">
      <c r="A154" s="7" t="s">
        <v>690</v>
      </c>
      <c r="B154" s="7" t="s">
        <v>1459</v>
      </c>
      <c r="C154" s="7">
        <v>2</v>
      </c>
      <c r="D154" s="7" t="s">
        <v>441</v>
      </c>
      <c r="E154" s="7" t="s">
        <v>441</v>
      </c>
      <c r="F154" s="7" t="s">
        <v>194</v>
      </c>
      <c r="G154" s="7" t="s">
        <v>2751</v>
      </c>
      <c r="H154" s="7">
        <v>5.4</v>
      </c>
      <c r="I154" s="7" t="s">
        <v>718</v>
      </c>
      <c r="R154" s="1472" t="s">
        <v>1037</v>
      </c>
      <c r="S154" s="1472">
        <v>2</v>
      </c>
      <c r="T154" s="1472" t="s">
        <v>2834</v>
      </c>
      <c r="U154" s="1472" t="s">
        <v>1077</v>
      </c>
      <c r="W154" s="1488"/>
      <c r="X154" s="1488"/>
      <c r="Y154" s="1488"/>
      <c r="Z154" s="1488"/>
    </row>
    <row r="155" spans="1:26">
      <c r="A155" s="7" t="s">
        <v>690</v>
      </c>
      <c r="B155" s="7" t="s">
        <v>1459</v>
      </c>
      <c r="C155" s="7">
        <v>2</v>
      </c>
      <c r="D155" s="7" t="s">
        <v>441</v>
      </c>
      <c r="E155" s="7" t="s">
        <v>441</v>
      </c>
      <c r="F155" s="7" t="s">
        <v>194</v>
      </c>
      <c r="G155" s="7" t="s">
        <v>2752</v>
      </c>
      <c r="H155" s="7">
        <v>5.4</v>
      </c>
      <c r="I155" s="7" t="s">
        <v>718</v>
      </c>
      <c r="R155" s="1472" t="s">
        <v>1037</v>
      </c>
      <c r="S155" s="1472">
        <v>2</v>
      </c>
      <c r="T155" s="1472" t="s">
        <v>2834</v>
      </c>
      <c r="U155" s="1472" t="s">
        <v>1079</v>
      </c>
      <c r="W155" s="1488"/>
      <c r="X155" s="1488"/>
      <c r="Y155" s="1488"/>
      <c r="Z155" s="1488"/>
    </row>
    <row r="156" spans="1:26">
      <c r="A156" s="7" t="s">
        <v>690</v>
      </c>
      <c r="B156" s="7" t="s">
        <v>1459</v>
      </c>
      <c r="C156" s="7">
        <v>2</v>
      </c>
      <c r="D156" s="7" t="s">
        <v>441</v>
      </c>
      <c r="E156" s="7" t="s">
        <v>441</v>
      </c>
      <c r="F156" s="7" t="s">
        <v>194</v>
      </c>
      <c r="G156" s="7" t="s">
        <v>3059</v>
      </c>
      <c r="H156" s="7">
        <v>5.4</v>
      </c>
      <c r="I156" s="7" t="s">
        <v>718</v>
      </c>
      <c r="R156" s="1472" t="s">
        <v>1037</v>
      </c>
      <c r="S156" s="1472">
        <v>2</v>
      </c>
      <c r="T156" s="1472" t="s">
        <v>2834</v>
      </c>
      <c r="U156" s="1472" t="s">
        <v>1446</v>
      </c>
      <c r="W156" s="1488"/>
      <c r="X156" s="1488"/>
      <c r="Y156" s="1488"/>
      <c r="Z156" s="1488"/>
    </row>
    <row r="157" spans="1:26">
      <c r="A157" s="7" t="s">
        <v>690</v>
      </c>
      <c r="B157" s="7" t="s">
        <v>1459</v>
      </c>
      <c r="C157" s="7">
        <v>2</v>
      </c>
      <c r="D157" s="7" t="s">
        <v>441</v>
      </c>
      <c r="E157" s="7" t="s">
        <v>441</v>
      </c>
      <c r="F157" s="7" t="s">
        <v>194</v>
      </c>
      <c r="G157" s="7" t="s">
        <v>697</v>
      </c>
      <c r="H157" s="7">
        <v>5.4</v>
      </c>
      <c r="I157" s="7" t="s">
        <v>718</v>
      </c>
      <c r="R157" s="1472" t="s">
        <v>1037</v>
      </c>
      <c r="S157" s="1472">
        <v>2</v>
      </c>
      <c r="T157" s="1472" t="s">
        <v>2834</v>
      </c>
      <c r="U157" s="1472" t="s">
        <v>1084</v>
      </c>
      <c r="W157" s="1488"/>
      <c r="X157" s="1488"/>
      <c r="Y157" s="1488"/>
      <c r="Z157" s="1488"/>
    </row>
    <row r="158" spans="1:26">
      <c r="A158" s="7" t="s">
        <v>690</v>
      </c>
      <c r="B158" s="7" t="s">
        <v>1459</v>
      </c>
      <c r="C158" s="7">
        <v>2</v>
      </c>
      <c r="D158" s="7" t="s">
        <v>441</v>
      </c>
      <c r="E158" s="7" t="s">
        <v>441</v>
      </c>
      <c r="F158" s="7" t="s">
        <v>194</v>
      </c>
      <c r="G158" s="7" t="s">
        <v>2753</v>
      </c>
      <c r="H158" s="7">
        <v>5.4</v>
      </c>
      <c r="I158" s="7" t="s">
        <v>718</v>
      </c>
      <c r="R158" s="1472" t="s">
        <v>1037</v>
      </c>
      <c r="S158" s="1472">
        <v>2</v>
      </c>
      <c r="T158" s="1472" t="s">
        <v>2834</v>
      </c>
      <c r="U158" s="1472" t="s">
        <v>1089</v>
      </c>
      <c r="W158" s="1488"/>
      <c r="X158" s="1488"/>
      <c r="Y158" s="1488"/>
      <c r="Z158" s="1488"/>
    </row>
    <row r="159" spans="1:26">
      <c r="A159" s="7" t="s">
        <v>690</v>
      </c>
      <c r="B159" s="7" t="s">
        <v>1459</v>
      </c>
      <c r="C159" s="7">
        <v>2</v>
      </c>
      <c r="D159" s="7" t="s">
        <v>441</v>
      </c>
      <c r="E159" s="7" t="s">
        <v>441</v>
      </c>
      <c r="F159" s="7" t="s">
        <v>194</v>
      </c>
      <c r="G159" s="7" t="s">
        <v>1212</v>
      </c>
      <c r="H159" s="7">
        <v>5.4</v>
      </c>
      <c r="I159" s="7" t="s">
        <v>718</v>
      </c>
      <c r="R159" s="1472" t="s">
        <v>1037</v>
      </c>
      <c r="S159" s="1472">
        <v>2</v>
      </c>
      <c r="T159" s="1472" t="s">
        <v>2834</v>
      </c>
      <c r="U159" s="1472" t="s">
        <v>1090</v>
      </c>
      <c r="W159" s="1488"/>
      <c r="X159" s="1488"/>
      <c r="Y159" s="1488"/>
      <c r="Z159" s="1488"/>
    </row>
    <row r="160" spans="1:26">
      <c r="A160" s="7" t="s">
        <v>690</v>
      </c>
      <c r="B160" s="7" t="s">
        <v>1459</v>
      </c>
      <c r="C160" s="7">
        <v>2</v>
      </c>
      <c r="D160" s="7" t="s">
        <v>441</v>
      </c>
      <c r="E160" s="7" t="s">
        <v>441</v>
      </c>
      <c r="F160" s="7" t="s">
        <v>194</v>
      </c>
      <c r="G160" s="7" t="s">
        <v>2754</v>
      </c>
      <c r="H160" s="7">
        <v>5.4</v>
      </c>
      <c r="I160" s="7" t="s">
        <v>718</v>
      </c>
      <c r="R160" s="1472" t="s">
        <v>1037</v>
      </c>
      <c r="S160" s="1472">
        <v>2</v>
      </c>
      <c r="T160" s="1472" t="s">
        <v>2834</v>
      </c>
      <c r="U160" s="1472" t="s">
        <v>2851</v>
      </c>
      <c r="W160" s="1488"/>
      <c r="X160" s="1488"/>
      <c r="Y160" s="1488"/>
      <c r="Z160" s="1488"/>
    </row>
    <row r="161" spans="1:26">
      <c r="A161" s="7" t="s">
        <v>690</v>
      </c>
      <c r="B161" s="7" t="s">
        <v>1459</v>
      </c>
      <c r="C161" s="7">
        <v>2</v>
      </c>
      <c r="D161" s="7" t="s">
        <v>441</v>
      </c>
      <c r="E161" s="7" t="s">
        <v>441</v>
      </c>
      <c r="F161" s="7" t="s">
        <v>194</v>
      </c>
      <c r="G161" s="7" t="s">
        <v>2755</v>
      </c>
      <c r="H161" s="7">
        <v>5.4</v>
      </c>
      <c r="I161" s="7" t="s">
        <v>718</v>
      </c>
      <c r="R161" s="1472" t="s">
        <v>1037</v>
      </c>
      <c r="S161" s="1472">
        <v>2</v>
      </c>
      <c r="T161" s="1472" t="s">
        <v>2834</v>
      </c>
      <c r="U161" s="1472" t="s">
        <v>1092</v>
      </c>
      <c r="W161" s="1488"/>
      <c r="X161" s="1488"/>
      <c r="Y161" s="1488"/>
      <c r="Z161" s="1488"/>
    </row>
    <row r="162" spans="1:26">
      <c r="A162" s="7" t="s">
        <v>690</v>
      </c>
      <c r="B162" s="7" t="s">
        <v>1459</v>
      </c>
      <c r="C162" s="7">
        <v>2</v>
      </c>
      <c r="D162" s="7" t="s">
        <v>441</v>
      </c>
      <c r="E162" s="7" t="s">
        <v>441</v>
      </c>
      <c r="F162" s="7" t="s">
        <v>194</v>
      </c>
      <c r="G162" s="7" t="s">
        <v>2756</v>
      </c>
      <c r="H162" s="7">
        <v>5.4</v>
      </c>
      <c r="I162" s="7" t="s">
        <v>718</v>
      </c>
      <c r="R162" s="1472" t="s">
        <v>1037</v>
      </c>
      <c r="S162" s="1472">
        <v>2</v>
      </c>
      <c r="T162" s="1472" t="s">
        <v>2834</v>
      </c>
      <c r="U162" s="1472" t="s">
        <v>1148</v>
      </c>
      <c r="W162" s="1488"/>
      <c r="X162" s="1488"/>
      <c r="Y162" s="1488"/>
      <c r="Z162" s="1488"/>
    </row>
    <row r="163" spans="1:26">
      <c r="A163" s="7" t="s">
        <v>690</v>
      </c>
      <c r="B163" s="7" t="s">
        <v>1459</v>
      </c>
      <c r="C163" s="7">
        <v>2</v>
      </c>
      <c r="D163" s="7" t="s">
        <v>441</v>
      </c>
      <c r="E163" s="7" t="s">
        <v>441</v>
      </c>
      <c r="F163" s="7" t="s">
        <v>194</v>
      </c>
      <c r="G163" s="7" t="s">
        <v>2757</v>
      </c>
      <c r="H163" s="7">
        <v>5.4</v>
      </c>
      <c r="I163" s="7" t="s">
        <v>718</v>
      </c>
      <c r="R163" s="1472" t="s">
        <v>1037</v>
      </c>
      <c r="S163" s="1472">
        <v>2</v>
      </c>
      <c r="T163" s="1472" t="s">
        <v>2834</v>
      </c>
      <c r="U163" s="1472" t="s">
        <v>2853</v>
      </c>
      <c r="W163" s="1488"/>
      <c r="X163" s="1488"/>
      <c r="Y163" s="1488"/>
      <c r="Z163" s="1488"/>
    </row>
    <row r="164" spans="1:26">
      <c r="A164" s="7" t="s">
        <v>690</v>
      </c>
      <c r="B164" s="7" t="s">
        <v>1459</v>
      </c>
      <c r="C164" s="7">
        <v>2</v>
      </c>
      <c r="D164" s="7" t="s">
        <v>441</v>
      </c>
      <c r="E164" s="7" t="s">
        <v>441</v>
      </c>
      <c r="F164" s="7" t="s">
        <v>194</v>
      </c>
      <c r="G164" s="7" t="s">
        <v>2758</v>
      </c>
      <c r="H164" s="7">
        <v>5.4</v>
      </c>
      <c r="I164" s="7" t="s">
        <v>718</v>
      </c>
      <c r="R164" s="1472" t="s">
        <v>1037</v>
      </c>
      <c r="S164" s="1472">
        <v>2</v>
      </c>
      <c r="T164" s="1472" t="s">
        <v>2834</v>
      </c>
      <c r="U164" s="1472" t="s">
        <v>1094</v>
      </c>
      <c r="W164" s="1488"/>
      <c r="X164" s="1488"/>
      <c r="Y164" s="1488"/>
      <c r="Z164" s="1488"/>
    </row>
    <row r="165" spans="1:26">
      <c r="A165" s="7" t="s">
        <v>690</v>
      </c>
      <c r="B165" s="7" t="s">
        <v>1459</v>
      </c>
      <c r="C165" s="7">
        <v>2</v>
      </c>
      <c r="D165" s="7" t="s">
        <v>441</v>
      </c>
      <c r="E165" s="7" t="s">
        <v>441</v>
      </c>
      <c r="F165" s="7" t="s">
        <v>194</v>
      </c>
      <c r="G165" s="7" t="s">
        <v>2759</v>
      </c>
      <c r="H165" s="7">
        <v>5.4</v>
      </c>
      <c r="I165" s="7" t="s">
        <v>718</v>
      </c>
      <c r="R165" s="1472" t="s">
        <v>1037</v>
      </c>
      <c r="S165" s="1472">
        <v>2</v>
      </c>
      <c r="T165" s="1472" t="s">
        <v>2834</v>
      </c>
      <c r="U165" s="1472" t="s">
        <v>1152</v>
      </c>
      <c r="W165" s="1488"/>
      <c r="X165" s="1488"/>
      <c r="Y165" s="1488"/>
      <c r="Z165" s="1488"/>
    </row>
    <row r="166" spans="1:26">
      <c r="A166" s="7" t="s">
        <v>690</v>
      </c>
      <c r="B166" s="7" t="s">
        <v>1459</v>
      </c>
      <c r="C166" s="7">
        <v>2</v>
      </c>
      <c r="D166" s="7" t="s">
        <v>441</v>
      </c>
      <c r="E166" s="7" t="s">
        <v>441</v>
      </c>
      <c r="F166" s="7" t="s">
        <v>194</v>
      </c>
      <c r="G166" s="7" t="s">
        <v>2760</v>
      </c>
      <c r="H166" s="7">
        <v>5.4</v>
      </c>
      <c r="I166" s="7" t="s">
        <v>718</v>
      </c>
      <c r="R166" s="1472" t="s">
        <v>1037</v>
      </c>
      <c r="S166" s="1472">
        <v>2</v>
      </c>
      <c r="T166" s="1472" t="s">
        <v>2834</v>
      </c>
      <c r="U166" s="1472" t="s">
        <v>1095</v>
      </c>
      <c r="W166" s="1488"/>
      <c r="X166" s="1488"/>
      <c r="Y166" s="1488"/>
      <c r="Z166" s="1488"/>
    </row>
    <row r="167" spans="1:26">
      <c r="A167" s="7" t="s">
        <v>690</v>
      </c>
      <c r="B167" s="7" t="s">
        <v>1459</v>
      </c>
      <c r="C167" s="7">
        <v>2</v>
      </c>
      <c r="D167" s="7" t="s">
        <v>441</v>
      </c>
      <c r="E167" s="7" t="s">
        <v>441</v>
      </c>
      <c r="F167" s="7" t="s">
        <v>194</v>
      </c>
      <c r="G167" s="7" t="s">
        <v>2761</v>
      </c>
      <c r="H167" s="7">
        <v>5.4</v>
      </c>
      <c r="I167" s="7" t="s">
        <v>718</v>
      </c>
      <c r="R167" s="1472" t="s">
        <v>1037</v>
      </c>
      <c r="S167" s="1472">
        <v>2</v>
      </c>
      <c r="T167" s="1472" t="s">
        <v>2834</v>
      </c>
      <c r="U167" s="1472" t="s">
        <v>2855</v>
      </c>
      <c r="W167" s="1488"/>
      <c r="X167" s="1488"/>
      <c r="Y167" s="1488"/>
      <c r="Z167" s="1488"/>
    </row>
    <row r="168" spans="1:26">
      <c r="A168" s="7" t="s">
        <v>690</v>
      </c>
      <c r="B168" s="7" t="s">
        <v>1459</v>
      </c>
      <c r="C168" s="7">
        <v>2</v>
      </c>
      <c r="D168" s="7" t="s">
        <v>441</v>
      </c>
      <c r="E168" s="7" t="s">
        <v>441</v>
      </c>
      <c r="F168" s="7" t="s">
        <v>194</v>
      </c>
      <c r="G168" s="7" t="s">
        <v>2762</v>
      </c>
      <c r="H168" s="7">
        <v>5.4</v>
      </c>
      <c r="I168" s="7" t="s">
        <v>718</v>
      </c>
      <c r="R168" s="1472" t="s">
        <v>1037</v>
      </c>
      <c r="S168" s="1472">
        <v>2</v>
      </c>
      <c r="T168" s="1472" t="s">
        <v>2834</v>
      </c>
      <c r="U168" s="1472" t="s">
        <v>2857</v>
      </c>
      <c r="W168" s="1488"/>
      <c r="X168" s="1488"/>
      <c r="Y168" s="1488"/>
      <c r="Z168" s="1488"/>
    </row>
    <row r="169" spans="1:26">
      <c r="A169" s="7" t="s">
        <v>690</v>
      </c>
      <c r="B169" s="7" t="s">
        <v>1459</v>
      </c>
      <c r="C169" s="7">
        <v>2</v>
      </c>
      <c r="D169" s="7" t="s">
        <v>441</v>
      </c>
      <c r="E169" s="7" t="s">
        <v>441</v>
      </c>
      <c r="F169" s="7" t="s">
        <v>194</v>
      </c>
      <c r="G169" s="7" t="s">
        <v>2763</v>
      </c>
      <c r="H169" s="7">
        <v>5.4</v>
      </c>
      <c r="I169" s="7" t="s">
        <v>718</v>
      </c>
      <c r="R169" s="1472" t="s">
        <v>1037</v>
      </c>
      <c r="S169" s="1472">
        <v>2</v>
      </c>
      <c r="T169" s="1472" t="s">
        <v>2834</v>
      </c>
      <c r="U169" s="1472" t="s">
        <v>2859</v>
      </c>
      <c r="W169" s="1488"/>
      <c r="X169" s="1488"/>
      <c r="Y169" s="1488"/>
      <c r="Z169" s="1488"/>
    </row>
    <row r="170" spans="1:26">
      <c r="A170" s="7" t="s">
        <v>690</v>
      </c>
      <c r="B170" s="7" t="s">
        <v>1459</v>
      </c>
      <c r="C170" s="7">
        <v>2</v>
      </c>
      <c r="D170" s="7" t="s">
        <v>441</v>
      </c>
      <c r="E170" s="7" t="s">
        <v>441</v>
      </c>
      <c r="F170" s="7" t="s">
        <v>194</v>
      </c>
      <c r="G170" s="7" t="s">
        <v>2764</v>
      </c>
      <c r="H170" s="7">
        <v>5.4</v>
      </c>
      <c r="I170" s="7" t="s">
        <v>718</v>
      </c>
      <c r="R170" s="1472" t="s">
        <v>1037</v>
      </c>
      <c r="S170" s="1472">
        <v>2</v>
      </c>
      <c r="T170" s="1472" t="s">
        <v>2834</v>
      </c>
      <c r="U170" s="1472" t="s">
        <v>1155</v>
      </c>
      <c r="W170" s="1488"/>
      <c r="X170" s="1488"/>
      <c r="Y170" s="1488"/>
      <c r="Z170" s="1488"/>
    </row>
    <row r="171" spans="1:26">
      <c r="A171" s="7" t="s">
        <v>690</v>
      </c>
      <c r="B171" s="7" t="s">
        <v>1459</v>
      </c>
      <c r="C171" s="7">
        <v>2</v>
      </c>
      <c r="D171" s="7" t="s">
        <v>441</v>
      </c>
      <c r="E171" s="7" t="s">
        <v>441</v>
      </c>
      <c r="F171" s="7" t="s">
        <v>194</v>
      </c>
      <c r="G171" s="7" t="s">
        <v>699</v>
      </c>
      <c r="H171" s="7">
        <v>5.4</v>
      </c>
      <c r="I171" s="7" t="s">
        <v>718</v>
      </c>
      <c r="R171" s="1472" t="s">
        <v>1037</v>
      </c>
      <c r="S171" s="1472">
        <v>2</v>
      </c>
      <c r="T171" s="1472" t="s">
        <v>2834</v>
      </c>
      <c r="U171" s="1472" t="s">
        <v>2861</v>
      </c>
      <c r="W171" s="1488"/>
      <c r="X171" s="1488"/>
      <c r="Y171" s="1488"/>
      <c r="Z171" s="1488"/>
    </row>
    <row r="172" spans="1:26">
      <c r="A172" s="7" t="s">
        <v>690</v>
      </c>
      <c r="B172" s="7" t="s">
        <v>1459</v>
      </c>
      <c r="C172" s="7">
        <v>2</v>
      </c>
      <c r="D172" s="7" t="s">
        <v>441</v>
      </c>
      <c r="E172" s="7" t="s">
        <v>441</v>
      </c>
      <c r="F172" s="7" t="s">
        <v>194</v>
      </c>
      <c r="G172" s="7" t="s">
        <v>2700</v>
      </c>
      <c r="H172" s="7">
        <v>5.4</v>
      </c>
      <c r="I172" s="7" t="s">
        <v>718</v>
      </c>
      <c r="R172" s="1472" t="s">
        <v>1037</v>
      </c>
      <c r="S172" s="1472">
        <v>2</v>
      </c>
      <c r="T172" s="1472" t="s">
        <v>2834</v>
      </c>
      <c r="U172" s="1472" t="s">
        <v>2863</v>
      </c>
      <c r="W172" s="1488"/>
      <c r="X172" s="1488"/>
      <c r="Y172" s="1488"/>
      <c r="Z172" s="1488"/>
    </row>
    <row r="173" spans="1:26">
      <c r="A173" s="7" t="s">
        <v>690</v>
      </c>
      <c r="B173" s="7" t="s">
        <v>1459</v>
      </c>
      <c r="C173" s="7">
        <v>2</v>
      </c>
      <c r="D173" s="7" t="s">
        <v>441</v>
      </c>
      <c r="E173" s="7" t="s">
        <v>441</v>
      </c>
      <c r="F173" s="7" t="s">
        <v>2768</v>
      </c>
      <c r="G173" s="7" t="s">
        <v>698</v>
      </c>
      <c r="H173" s="7">
        <v>5.4</v>
      </c>
      <c r="I173" s="7" t="s">
        <v>718</v>
      </c>
      <c r="R173" s="1472" t="s">
        <v>1037</v>
      </c>
      <c r="S173" s="1472">
        <v>2</v>
      </c>
      <c r="T173" s="1472" t="s">
        <v>2834</v>
      </c>
      <c r="U173" s="1472" t="s">
        <v>1096</v>
      </c>
      <c r="W173" s="1488"/>
      <c r="X173" s="1488"/>
      <c r="Y173" s="1488"/>
      <c r="Z173" s="1488"/>
    </row>
    <row r="174" spans="1:26">
      <c r="A174" s="7" t="s">
        <v>690</v>
      </c>
      <c r="B174" s="7" t="s">
        <v>1459</v>
      </c>
      <c r="C174" s="7">
        <v>2</v>
      </c>
      <c r="D174" s="7" t="s">
        <v>441</v>
      </c>
      <c r="E174" s="7" t="s">
        <v>441</v>
      </c>
      <c r="F174" s="7" t="s">
        <v>2768</v>
      </c>
      <c r="G174" s="7" t="s">
        <v>2769</v>
      </c>
      <c r="H174" s="7">
        <v>5.4</v>
      </c>
      <c r="I174" s="7" t="s">
        <v>718</v>
      </c>
      <c r="R174" s="1472" t="s">
        <v>1037</v>
      </c>
      <c r="S174" s="1472">
        <v>2</v>
      </c>
      <c r="T174" s="1472" t="s">
        <v>2834</v>
      </c>
      <c r="U174" s="1472" t="s">
        <v>2865</v>
      </c>
      <c r="W174" s="1488"/>
      <c r="X174" s="1488"/>
      <c r="Y174" s="1488"/>
      <c r="Z174" s="1488"/>
    </row>
    <row r="175" spans="1:26">
      <c r="A175" s="7" t="s">
        <v>690</v>
      </c>
      <c r="B175" s="7" t="s">
        <v>1459</v>
      </c>
      <c r="C175" s="7">
        <v>2</v>
      </c>
      <c r="D175" s="7" t="s">
        <v>1391</v>
      </c>
      <c r="E175" s="7" t="s">
        <v>442</v>
      </c>
      <c r="F175" s="7" t="s">
        <v>199</v>
      </c>
      <c r="G175" s="7" t="s">
        <v>2770</v>
      </c>
      <c r="H175" s="7">
        <v>5.4</v>
      </c>
      <c r="I175" s="7" t="s">
        <v>718</v>
      </c>
      <c r="R175" s="1472" t="s">
        <v>1037</v>
      </c>
      <c r="S175" s="1472">
        <v>2</v>
      </c>
      <c r="T175" s="1472" t="s">
        <v>2834</v>
      </c>
      <c r="U175" s="1472" t="s">
        <v>1161</v>
      </c>
      <c r="W175" s="1488"/>
      <c r="X175" s="1488"/>
      <c r="Y175" s="1488"/>
      <c r="Z175" s="1488"/>
    </row>
    <row r="176" spans="1:26">
      <c r="A176" s="7" t="s">
        <v>690</v>
      </c>
      <c r="B176" s="7" t="s">
        <v>1459</v>
      </c>
      <c r="C176" s="7">
        <v>2</v>
      </c>
      <c r="D176" s="7" t="s">
        <v>1391</v>
      </c>
      <c r="E176" s="7" t="s">
        <v>442</v>
      </c>
      <c r="F176" s="7" t="s">
        <v>199</v>
      </c>
      <c r="G176" s="7" t="s">
        <v>1327</v>
      </c>
      <c r="H176" s="7">
        <v>5.4</v>
      </c>
      <c r="I176" s="7" t="s">
        <v>718</v>
      </c>
      <c r="R176" s="1472" t="s">
        <v>1037</v>
      </c>
      <c r="S176" s="1472">
        <v>2</v>
      </c>
      <c r="T176" s="1472" t="s">
        <v>2834</v>
      </c>
      <c r="U176" s="1472" t="s">
        <v>2839</v>
      </c>
      <c r="W176" s="1488"/>
      <c r="X176" s="1488"/>
      <c r="Y176" s="1488"/>
      <c r="Z176" s="1488"/>
    </row>
    <row r="177" spans="1:26">
      <c r="A177" s="7" t="s">
        <v>690</v>
      </c>
      <c r="B177" s="7" t="s">
        <v>1459</v>
      </c>
      <c r="C177" s="7">
        <v>2</v>
      </c>
      <c r="D177" s="7" t="s">
        <v>1391</v>
      </c>
      <c r="E177" s="7" t="s">
        <v>442</v>
      </c>
      <c r="F177" s="7" t="s">
        <v>199</v>
      </c>
      <c r="G177" s="7" t="s">
        <v>1326</v>
      </c>
      <c r="H177" s="7">
        <v>5.4</v>
      </c>
      <c r="I177" s="7" t="s">
        <v>718</v>
      </c>
      <c r="R177" s="1472" t="s">
        <v>1037</v>
      </c>
      <c r="S177" s="1472">
        <v>2</v>
      </c>
      <c r="T177" s="1472" t="s">
        <v>2834</v>
      </c>
      <c r="U177" s="1472" t="s">
        <v>2837</v>
      </c>
      <c r="W177" s="1488"/>
      <c r="X177" s="1488"/>
      <c r="Y177" s="1488"/>
      <c r="Z177" s="1488"/>
    </row>
    <row r="178" spans="1:26">
      <c r="A178" s="7" t="s">
        <v>690</v>
      </c>
      <c r="B178" s="7" t="s">
        <v>1459</v>
      </c>
      <c r="C178" s="7">
        <v>2</v>
      </c>
      <c r="D178" s="7" t="s">
        <v>1391</v>
      </c>
      <c r="E178" s="7" t="s">
        <v>442</v>
      </c>
      <c r="F178" s="7" t="s">
        <v>200</v>
      </c>
      <c r="G178" s="7" t="s">
        <v>694</v>
      </c>
      <c r="H178" s="7">
        <v>5.4</v>
      </c>
      <c r="I178" s="7" t="s">
        <v>718</v>
      </c>
      <c r="R178" s="1472" t="s">
        <v>1037</v>
      </c>
      <c r="S178" s="1472">
        <v>2</v>
      </c>
      <c r="T178" s="1472" t="s">
        <v>2834</v>
      </c>
      <c r="U178" s="1472" t="s">
        <v>1097</v>
      </c>
      <c r="W178" s="1488"/>
      <c r="X178" s="1488"/>
      <c r="Y178" s="1488"/>
      <c r="Z178" s="1488"/>
    </row>
    <row r="179" spans="1:26">
      <c r="A179" s="7" t="s">
        <v>690</v>
      </c>
      <c r="B179" s="7" t="s">
        <v>1459</v>
      </c>
      <c r="C179" s="7">
        <v>2</v>
      </c>
      <c r="D179" s="7" t="s">
        <v>1391</v>
      </c>
      <c r="E179" s="7" t="s">
        <v>442</v>
      </c>
      <c r="F179" s="7" t="s">
        <v>200</v>
      </c>
      <c r="G179" s="7" t="s">
        <v>1325</v>
      </c>
      <c r="H179" s="7">
        <v>5.4</v>
      </c>
      <c r="I179" s="7" t="s">
        <v>718</v>
      </c>
      <c r="R179" s="1472" t="s">
        <v>1037</v>
      </c>
      <c r="S179" s="1472">
        <v>2</v>
      </c>
      <c r="T179" s="1472" t="s">
        <v>2834</v>
      </c>
      <c r="U179" s="1472" t="s">
        <v>1164</v>
      </c>
      <c r="W179" s="1488"/>
      <c r="X179" s="1488"/>
      <c r="Y179" s="1488"/>
      <c r="Z179" s="1488"/>
    </row>
    <row r="180" spans="1:26">
      <c r="A180" s="7" t="s">
        <v>690</v>
      </c>
      <c r="B180" s="7" t="s">
        <v>1459</v>
      </c>
      <c r="C180" s="7">
        <v>2</v>
      </c>
      <c r="D180" s="7" t="s">
        <v>1391</v>
      </c>
      <c r="E180" s="7" t="s">
        <v>442</v>
      </c>
      <c r="F180" s="7" t="s">
        <v>201</v>
      </c>
      <c r="G180" s="7" t="s">
        <v>695</v>
      </c>
      <c r="H180" s="7">
        <v>5.4</v>
      </c>
      <c r="I180" s="7" t="s">
        <v>718</v>
      </c>
      <c r="R180" s="1472" t="s">
        <v>1037</v>
      </c>
      <c r="S180" s="1472">
        <v>2</v>
      </c>
      <c r="T180" s="1472" t="s">
        <v>2834</v>
      </c>
      <c r="U180" s="1472" t="s">
        <v>1098</v>
      </c>
      <c r="W180" s="1488"/>
      <c r="X180" s="1488"/>
      <c r="Y180" s="1488"/>
      <c r="Z180" s="1488"/>
    </row>
    <row r="181" spans="1:26">
      <c r="A181" s="7" t="s">
        <v>690</v>
      </c>
      <c r="B181" s="7" t="s">
        <v>1459</v>
      </c>
      <c r="C181" s="7">
        <v>2</v>
      </c>
      <c r="D181" s="7" t="s">
        <v>1391</v>
      </c>
      <c r="E181" s="7" t="s">
        <v>442</v>
      </c>
      <c r="F181" s="7" t="s">
        <v>201</v>
      </c>
      <c r="G181" s="7" t="s">
        <v>2772</v>
      </c>
      <c r="H181" s="7">
        <v>5.4</v>
      </c>
      <c r="I181" s="7" t="s">
        <v>718</v>
      </c>
      <c r="R181" s="1472" t="s">
        <v>1037</v>
      </c>
      <c r="S181" s="1472">
        <v>2</v>
      </c>
      <c r="T181" s="1472" t="s">
        <v>2834</v>
      </c>
      <c r="U181" s="1472" t="s">
        <v>1167</v>
      </c>
      <c r="W181" s="1488"/>
      <c r="X181" s="1488"/>
      <c r="Y181" s="1488"/>
      <c r="Z181" s="1488"/>
    </row>
    <row r="182" spans="1:26">
      <c r="A182" s="7" t="s">
        <v>690</v>
      </c>
      <c r="B182" s="7" t="s">
        <v>1459</v>
      </c>
      <c r="C182" s="7">
        <v>2</v>
      </c>
      <c r="D182" s="7" t="s">
        <v>1391</v>
      </c>
      <c r="E182" s="7" t="s">
        <v>442</v>
      </c>
      <c r="F182" s="7" t="s">
        <v>201</v>
      </c>
      <c r="G182" s="7" t="s">
        <v>2771</v>
      </c>
      <c r="H182" s="7">
        <v>5.4</v>
      </c>
      <c r="I182" s="7" t="s">
        <v>718</v>
      </c>
      <c r="R182" s="1472" t="s">
        <v>1037</v>
      </c>
      <c r="S182" s="1472">
        <v>2</v>
      </c>
      <c r="T182" s="1472" t="s">
        <v>2834</v>
      </c>
      <c r="U182" s="1472" t="s">
        <v>1099</v>
      </c>
      <c r="W182" s="1488"/>
      <c r="X182" s="1488"/>
      <c r="Y182" s="1488"/>
      <c r="Z182" s="1488"/>
    </row>
    <row r="183" spans="1:26">
      <c r="A183" s="7" t="s">
        <v>690</v>
      </c>
      <c r="B183" s="7" t="s">
        <v>1459</v>
      </c>
      <c r="C183" s="7">
        <v>2</v>
      </c>
      <c r="D183" s="7" t="s">
        <v>1391</v>
      </c>
      <c r="E183" s="7" t="s">
        <v>442</v>
      </c>
      <c r="F183" s="7" t="s">
        <v>198</v>
      </c>
      <c r="G183" s="7" t="s">
        <v>700</v>
      </c>
      <c r="H183" s="7">
        <v>5.4</v>
      </c>
      <c r="I183" s="7" t="s">
        <v>718</v>
      </c>
      <c r="R183" s="1472" t="s">
        <v>1037</v>
      </c>
      <c r="S183" s="1472">
        <v>2</v>
      </c>
      <c r="T183" s="1472" t="s">
        <v>2834</v>
      </c>
      <c r="U183" s="1472" t="s">
        <v>2867</v>
      </c>
      <c r="W183" s="1488"/>
      <c r="X183" s="1488"/>
      <c r="Y183" s="1488"/>
      <c r="Z183" s="1488"/>
    </row>
    <row r="184" spans="1:26">
      <c r="A184" s="7" t="s">
        <v>690</v>
      </c>
      <c r="B184" s="7" t="s">
        <v>1459</v>
      </c>
      <c r="C184" s="7">
        <v>2</v>
      </c>
      <c r="D184" s="7" t="s">
        <v>1452</v>
      </c>
      <c r="E184" s="7" t="s">
        <v>1452</v>
      </c>
      <c r="F184" s="7" t="s">
        <v>448</v>
      </c>
      <c r="G184" s="7" t="s">
        <v>1324</v>
      </c>
      <c r="H184" s="7">
        <v>5.4</v>
      </c>
      <c r="I184" s="7" t="s">
        <v>718</v>
      </c>
      <c r="R184" s="1472" t="s">
        <v>1037</v>
      </c>
      <c r="S184" s="1472">
        <v>2</v>
      </c>
      <c r="T184" s="1472" t="s">
        <v>2834</v>
      </c>
      <c r="U184" s="1472" t="s">
        <v>2869</v>
      </c>
      <c r="W184" s="1488"/>
      <c r="X184" s="1488"/>
      <c r="Y184" s="1488"/>
      <c r="Z184" s="1488"/>
    </row>
    <row r="185" spans="1:26">
      <c r="A185" s="7" t="s">
        <v>690</v>
      </c>
      <c r="B185" s="7" t="s">
        <v>1459</v>
      </c>
      <c r="C185" s="7">
        <v>2</v>
      </c>
      <c r="D185" s="7" t="s">
        <v>1452</v>
      </c>
      <c r="E185" s="7" t="s">
        <v>1452</v>
      </c>
      <c r="F185" s="7" t="s">
        <v>448</v>
      </c>
      <c r="G185" s="7" t="s">
        <v>1351</v>
      </c>
      <c r="H185" s="7">
        <v>5.4</v>
      </c>
      <c r="I185" s="7" t="s">
        <v>718</v>
      </c>
      <c r="R185" s="1472" t="s">
        <v>1037</v>
      </c>
      <c r="S185" s="1472">
        <v>2</v>
      </c>
      <c r="T185" s="1472" t="s">
        <v>2834</v>
      </c>
      <c r="U185" s="1472" t="s">
        <v>2871</v>
      </c>
      <c r="W185" s="1488"/>
      <c r="X185" s="1488"/>
      <c r="Y185" s="1488"/>
      <c r="Z185" s="1488"/>
    </row>
    <row r="186" spans="1:26">
      <c r="A186" s="7" t="s">
        <v>690</v>
      </c>
      <c r="B186" s="7" t="s">
        <v>1459</v>
      </c>
      <c r="C186" s="7">
        <v>2</v>
      </c>
      <c r="D186" s="7" t="s">
        <v>1452</v>
      </c>
      <c r="E186" s="7" t="s">
        <v>1452</v>
      </c>
      <c r="F186" s="7" t="s">
        <v>448</v>
      </c>
      <c r="G186" s="7" t="s">
        <v>1352</v>
      </c>
      <c r="H186" s="7">
        <v>5.4</v>
      </c>
      <c r="I186" s="7" t="s">
        <v>718</v>
      </c>
      <c r="R186" s="1472" t="s">
        <v>1037</v>
      </c>
      <c r="S186" s="1472">
        <v>2</v>
      </c>
      <c r="T186" s="1472" t="s">
        <v>2834</v>
      </c>
      <c r="U186" s="1472" t="s">
        <v>2872</v>
      </c>
      <c r="W186" s="1488"/>
      <c r="X186" s="1488"/>
      <c r="Y186" s="1488"/>
      <c r="Z186" s="1488"/>
    </row>
    <row r="187" spans="1:26">
      <c r="A187" s="7" t="s">
        <v>690</v>
      </c>
      <c r="B187" s="7" t="s">
        <v>1459</v>
      </c>
      <c r="C187" s="7">
        <v>2</v>
      </c>
      <c r="D187" s="7" t="s">
        <v>1452</v>
      </c>
      <c r="E187" s="7" t="s">
        <v>1452</v>
      </c>
      <c r="F187" s="7" t="s">
        <v>448</v>
      </c>
      <c r="G187" s="7" t="s">
        <v>1353</v>
      </c>
      <c r="H187" s="7">
        <v>5.4</v>
      </c>
      <c r="I187" s="7" t="s">
        <v>718</v>
      </c>
      <c r="R187" s="1472" t="s">
        <v>1037</v>
      </c>
      <c r="S187" s="1472">
        <v>2</v>
      </c>
      <c r="T187" s="1472" t="s">
        <v>2834</v>
      </c>
      <c r="U187" s="1472" t="s">
        <v>1101</v>
      </c>
      <c r="W187" s="1488"/>
      <c r="X187" s="1488"/>
      <c r="Y187" s="1488"/>
      <c r="Z187" s="1488"/>
    </row>
    <row r="188" spans="1:26">
      <c r="A188" s="7" t="s">
        <v>690</v>
      </c>
      <c r="B188" s="7" t="s">
        <v>1459</v>
      </c>
      <c r="C188" s="7">
        <v>2</v>
      </c>
      <c r="D188" s="7" t="s">
        <v>1452</v>
      </c>
      <c r="E188" s="7" t="s">
        <v>1452</v>
      </c>
      <c r="F188" s="7" t="s">
        <v>1350</v>
      </c>
      <c r="G188" s="7" t="s">
        <v>1208</v>
      </c>
      <c r="H188" s="7">
        <v>5.4</v>
      </c>
      <c r="I188" s="7" t="s">
        <v>718</v>
      </c>
      <c r="R188" s="1472" t="s">
        <v>1037</v>
      </c>
      <c r="S188" s="1472">
        <v>2</v>
      </c>
      <c r="T188" s="1472" t="s">
        <v>2834</v>
      </c>
      <c r="U188" s="1472" t="s">
        <v>1104</v>
      </c>
      <c r="W188" s="1488"/>
      <c r="X188" s="1488"/>
      <c r="Y188" s="1488"/>
      <c r="Z188" s="1488"/>
    </row>
    <row r="189" spans="1:26">
      <c r="A189" s="7" t="s">
        <v>690</v>
      </c>
      <c r="B189" s="7" t="s">
        <v>1459</v>
      </c>
      <c r="C189" s="7">
        <v>2</v>
      </c>
      <c r="D189" s="7" t="s">
        <v>1452</v>
      </c>
      <c r="E189" s="7" t="s">
        <v>1452</v>
      </c>
      <c r="F189" s="7" t="s">
        <v>1350</v>
      </c>
      <c r="G189" s="7" t="s">
        <v>2700</v>
      </c>
      <c r="H189" s="7">
        <v>5.4</v>
      </c>
      <c r="I189" s="7" t="s">
        <v>718</v>
      </c>
      <c r="R189" s="1472" t="s">
        <v>1037</v>
      </c>
      <c r="S189" s="1472">
        <v>2</v>
      </c>
      <c r="T189" s="1472" t="s">
        <v>2834</v>
      </c>
      <c r="U189" s="1472" t="s">
        <v>2873</v>
      </c>
      <c r="W189" s="1488"/>
      <c r="X189" s="1488"/>
      <c r="Y189" s="1488"/>
      <c r="Z189" s="1488"/>
    </row>
    <row r="190" spans="1:26">
      <c r="A190" s="7" t="s">
        <v>690</v>
      </c>
      <c r="B190" s="7" t="s">
        <v>1459</v>
      </c>
      <c r="C190" s="7">
        <v>2</v>
      </c>
      <c r="D190" s="7" t="s">
        <v>1452</v>
      </c>
      <c r="E190" s="7" t="s">
        <v>1452</v>
      </c>
      <c r="F190" s="7" t="s">
        <v>2777</v>
      </c>
      <c r="G190" s="7" t="s">
        <v>2778</v>
      </c>
      <c r="H190" s="7">
        <v>5.4</v>
      </c>
      <c r="I190" s="7" t="s">
        <v>718</v>
      </c>
      <c r="R190" s="1472" t="s">
        <v>1037</v>
      </c>
      <c r="S190" s="1472">
        <v>2</v>
      </c>
      <c r="T190" s="1472" t="s">
        <v>2834</v>
      </c>
      <c r="U190" s="1472" t="s">
        <v>1168</v>
      </c>
      <c r="W190" s="1488"/>
      <c r="X190" s="1488"/>
      <c r="Y190" s="1488"/>
      <c r="Z190" s="1488"/>
    </row>
    <row r="191" spans="1:26">
      <c r="A191" s="7" t="s">
        <v>690</v>
      </c>
      <c r="B191" s="7" t="s">
        <v>1459</v>
      </c>
      <c r="C191" s="7">
        <v>2</v>
      </c>
      <c r="D191" s="7" t="s">
        <v>1452</v>
      </c>
      <c r="E191" s="7" t="s">
        <v>1452</v>
      </c>
      <c r="F191" s="7" t="s">
        <v>2777</v>
      </c>
      <c r="G191" s="7" t="s">
        <v>2779</v>
      </c>
      <c r="H191" s="7">
        <v>5.4</v>
      </c>
      <c r="I191" s="7" t="s">
        <v>718</v>
      </c>
      <c r="R191" s="1472" t="s">
        <v>1037</v>
      </c>
      <c r="S191" s="1472">
        <v>2</v>
      </c>
      <c r="T191" s="1472" t="s">
        <v>2834</v>
      </c>
      <c r="U191" s="1472" t="s">
        <v>1169</v>
      </c>
      <c r="W191" s="1488"/>
      <c r="X191" s="1488"/>
      <c r="Y191" s="1488"/>
      <c r="Z191" s="1488"/>
    </row>
    <row r="192" spans="1:26">
      <c r="A192" s="7" t="s">
        <v>690</v>
      </c>
      <c r="B192" s="7" t="s">
        <v>1459</v>
      </c>
      <c r="C192" s="7">
        <v>2</v>
      </c>
      <c r="D192" s="7" t="s">
        <v>1452</v>
      </c>
      <c r="E192" s="7" t="s">
        <v>1452</v>
      </c>
      <c r="F192" s="7" t="s">
        <v>2773</v>
      </c>
      <c r="G192" s="7" t="s">
        <v>2774</v>
      </c>
      <c r="H192" s="7">
        <v>5.4</v>
      </c>
      <c r="I192" s="7" t="s">
        <v>718</v>
      </c>
      <c r="R192" s="1472" t="s">
        <v>1037</v>
      </c>
      <c r="S192" s="1472">
        <v>2</v>
      </c>
      <c r="T192" s="1472" t="s">
        <v>2834</v>
      </c>
      <c r="U192" s="1472" t="s">
        <v>1109</v>
      </c>
      <c r="W192" s="1488"/>
      <c r="X192" s="1488"/>
      <c r="Y192" s="1488"/>
      <c r="Z192" s="1488"/>
    </row>
    <row r="193" spans="1:26">
      <c r="A193" s="7" t="s">
        <v>690</v>
      </c>
      <c r="B193" s="7" t="s">
        <v>1459</v>
      </c>
      <c r="C193" s="7">
        <v>2</v>
      </c>
      <c r="D193" s="7" t="s">
        <v>1452</v>
      </c>
      <c r="E193" s="7" t="s">
        <v>1452</v>
      </c>
      <c r="F193" s="7" t="s">
        <v>2773</v>
      </c>
      <c r="G193" s="7" t="s">
        <v>2775</v>
      </c>
      <c r="H193" s="7">
        <v>5.4</v>
      </c>
      <c r="I193" s="7" t="s">
        <v>718</v>
      </c>
      <c r="R193" s="1472" t="s">
        <v>1037</v>
      </c>
      <c r="S193" s="1472">
        <v>2</v>
      </c>
      <c r="T193" s="1472" t="s">
        <v>2834</v>
      </c>
      <c r="U193" s="1472" t="s">
        <v>1170</v>
      </c>
      <c r="W193" s="1488"/>
      <c r="X193" s="1488"/>
      <c r="Y193" s="1488"/>
      <c r="Z193" s="1488"/>
    </row>
    <row r="194" spans="1:26">
      <c r="A194" s="7" t="s">
        <v>690</v>
      </c>
      <c r="B194" s="7" t="s">
        <v>1459</v>
      </c>
      <c r="C194" s="7">
        <v>2</v>
      </c>
      <c r="D194" s="7" t="s">
        <v>1452</v>
      </c>
      <c r="E194" s="7" t="s">
        <v>1452</v>
      </c>
      <c r="F194" s="7" t="s">
        <v>2773</v>
      </c>
      <c r="G194" s="7" t="s">
        <v>2776</v>
      </c>
      <c r="H194" s="7">
        <v>5.4</v>
      </c>
      <c r="I194" s="7" t="s">
        <v>718</v>
      </c>
      <c r="R194" s="1472" t="s">
        <v>1037</v>
      </c>
      <c r="S194" s="1472">
        <v>2</v>
      </c>
      <c r="T194" s="1472" t="s">
        <v>2834</v>
      </c>
      <c r="U194" s="1472" t="s">
        <v>1250</v>
      </c>
      <c r="W194" s="1488"/>
      <c r="X194" s="1488"/>
      <c r="Y194" s="1488"/>
      <c r="Z194" s="1488"/>
    </row>
    <row r="195" spans="1:26">
      <c r="A195" s="7" t="s">
        <v>690</v>
      </c>
      <c r="B195" s="7" t="s">
        <v>1459</v>
      </c>
      <c r="C195" s="7">
        <v>3</v>
      </c>
      <c r="D195" s="7" t="s">
        <v>443</v>
      </c>
      <c r="E195" s="7" t="s">
        <v>3060</v>
      </c>
      <c r="F195" s="7" t="s">
        <v>202</v>
      </c>
      <c r="G195" s="7" t="s">
        <v>1328</v>
      </c>
      <c r="H195" s="7">
        <v>5.6</v>
      </c>
      <c r="I195" s="7" t="s">
        <v>718</v>
      </c>
      <c r="R195" s="1472" t="s">
        <v>1037</v>
      </c>
      <c r="S195" s="1472">
        <v>2</v>
      </c>
      <c r="T195" s="1472" t="s">
        <v>2834</v>
      </c>
      <c r="U195" s="1472" t="s">
        <v>1447</v>
      </c>
      <c r="W195" s="1488"/>
      <c r="X195" s="1488"/>
      <c r="Y195" s="1488"/>
      <c r="Z195" s="1488"/>
    </row>
    <row r="196" spans="1:26">
      <c r="A196" s="7" t="s">
        <v>690</v>
      </c>
      <c r="B196" s="7" t="s">
        <v>1459</v>
      </c>
      <c r="C196" s="7">
        <v>3</v>
      </c>
      <c r="D196" s="7" t="s">
        <v>443</v>
      </c>
      <c r="E196" s="7" t="s">
        <v>3060</v>
      </c>
      <c r="F196" s="7" t="s">
        <v>202</v>
      </c>
      <c r="G196" s="7" t="s">
        <v>1329</v>
      </c>
      <c r="H196" s="7">
        <v>5.6</v>
      </c>
      <c r="I196" s="7" t="s">
        <v>718</v>
      </c>
      <c r="R196" s="1472" t="s">
        <v>1037</v>
      </c>
      <c r="S196" s="1472">
        <v>2</v>
      </c>
      <c r="T196" s="1472" t="s">
        <v>2834</v>
      </c>
      <c r="U196" s="1472" t="s">
        <v>1111</v>
      </c>
      <c r="W196" s="1488"/>
      <c r="X196" s="1488"/>
      <c r="Y196" s="1488"/>
      <c r="Z196" s="1488"/>
    </row>
    <row r="197" spans="1:26">
      <c r="A197" s="7" t="s">
        <v>690</v>
      </c>
      <c r="B197" s="7" t="s">
        <v>1459</v>
      </c>
      <c r="C197" s="7">
        <v>3</v>
      </c>
      <c r="D197" s="7" t="s">
        <v>443</v>
      </c>
      <c r="E197" s="7" t="s">
        <v>3060</v>
      </c>
      <c r="F197" s="7" t="s">
        <v>202</v>
      </c>
      <c r="G197" s="7" t="s">
        <v>1330</v>
      </c>
      <c r="H197" s="7">
        <v>5.6</v>
      </c>
      <c r="I197" s="7" t="s">
        <v>718</v>
      </c>
      <c r="R197" s="1472" t="s">
        <v>1037</v>
      </c>
      <c r="S197" s="1472">
        <v>2</v>
      </c>
      <c r="T197" s="1472" t="s">
        <v>2834</v>
      </c>
      <c r="U197" s="1472" t="s">
        <v>1171</v>
      </c>
      <c r="W197" s="1488"/>
      <c r="X197" s="1488"/>
      <c r="Y197" s="1488"/>
      <c r="Z197" s="1488"/>
    </row>
    <row r="198" spans="1:26">
      <c r="A198" s="7" t="s">
        <v>690</v>
      </c>
      <c r="B198" s="7" t="s">
        <v>1459</v>
      </c>
      <c r="C198" s="7">
        <v>3</v>
      </c>
      <c r="D198" s="7" t="s">
        <v>443</v>
      </c>
      <c r="E198" s="7" t="s">
        <v>3060</v>
      </c>
      <c r="F198" s="7" t="s">
        <v>202</v>
      </c>
      <c r="G198" s="7" t="s">
        <v>1331</v>
      </c>
      <c r="H198" s="7">
        <v>5.6</v>
      </c>
      <c r="I198" s="7" t="s">
        <v>718</v>
      </c>
      <c r="R198" s="1472" t="s">
        <v>1037</v>
      </c>
      <c r="S198" s="1472">
        <v>2</v>
      </c>
      <c r="T198" s="1472" t="s">
        <v>2834</v>
      </c>
      <c r="U198" s="1472" t="s">
        <v>2838</v>
      </c>
      <c r="W198" s="1488"/>
      <c r="X198" s="1488"/>
      <c r="Y198" s="1488"/>
      <c r="Z198" s="1488"/>
    </row>
    <row r="199" spans="1:26">
      <c r="A199" s="7" t="s">
        <v>690</v>
      </c>
      <c r="B199" s="7" t="s">
        <v>1459</v>
      </c>
      <c r="C199" s="7">
        <v>3</v>
      </c>
      <c r="D199" s="7" t="s">
        <v>443</v>
      </c>
      <c r="E199" s="7" t="s">
        <v>3060</v>
      </c>
      <c r="F199" s="7" t="s">
        <v>202</v>
      </c>
      <c r="G199" s="7" t="s">
        <v>1332</v>
      </c>
      <c r="H199" s="7">
        <v>5.6</v>
      </c>
      <c r="I199" s="7" t="s">
        <v>718</v>
      </c>
      <c r="R199" s="1472" t="s">
        <v>1037</v>
      </c>
      <c r="S199" s="1472">
        <v>2</v>
      </c>
      <c r="T199" s="1472" t="s">
        <v>2834</v>
      </c>
      <c r="U199" s="1472" t="s">
        <v>705</v>
      </c>
      <c r="W199" s="1488"/>
      <c r="X199" s="1488"/>
      <c r="Y199" s="1488"/>
      <c r="Z199" s="1488"/>
    </row>
    <row r="200" spans="1:26">
      <c r="A200" s="7" t="s">
        <v>690</v>
      </c>
      <c r="B200" s="7" t="s">
        <v>1459</v>
      </c>
      <c r="C200" s="7">
        <v>3</v>
      </c>
      <c r="D200" s="7" t="s">
        <v>443</v>
      </c>
      <c r="E200" s="7" t="s">
        <v>3060</v>
      </c>
      <c r="F200" s="7" t="s">
        <v>202</v>
      </c>
      <c r="G200" s="7" t="s">
        <v>1333</v>
      </c>
      <c r="H200" s="7">
        <v>5.6</v>
      </c>
      <c r="I200" s="7" t="s">
        <v>718</v>
      </c>
      <c r="R200" s="1472" t="s">
        <v>1037</v>
      </c>
      <c r="S200" s="1472">
        <v>2</v>
      </c>
      <c r="T200" s="1472" t="s">
        <v>2834</v>
      </c>
      <c r="U200" s="1472" t="s">
        <v>1113</v>
      </c>
      <c r="W200" s="1488"/>
      <c r="X200" s="1488"/>
      <c r="Y200" s="1488"/>
      <c r="Z200" s="1488"/>
    </row>
    <row r="201" spans="1:26">
      <c r="A201" s="7" t="s">
        <v>690</v>
      </c>
      <c r="B201" s="7" t="s">
        <v>1459</v>
      </c>
      <c r="C201" s="7">
        <v>3</v>
      </c>
      <c r="D201" s="7" t="s">
        <v>443</v>
      </c>
      <c r="E201" s="7" t="s">
        <v>3060</v>
      </c>
      <c r="F201" s="7" t="s">
        <v>202</v>
      </c>
      <c r="G201" s="7" t="s">
        <v>2700</v>
      </c>
      <c r="H201" s="7">
        <v>5.6</v>
      </c>
      <c r="I201" s="7" t="s">
        <v>718</v>
      </c>
      <c r="R201" s="1472" t="s">
        <v>1037</v>
      </c>
      <c r="S201" s="1472">
        <v>2</v>
      </c>
      <c r="T201" s="1472" t="s">
        <v>2834</v>
      </c>
      <c r="U201" s="1472" t="s">
        <v>1116</v>
      </c>
      <c r="W201" s="1488"/>
      <c r="X201" s="1488"/>
      <c r="Y201" s="1488"/>
      <c r="Z201" s="1488"/>
    </row>
    <row r="202" spans="1:26">
      <c r="A202" s="7" t="s">
        <v>690</v>
      </c>
      <c r="B202" s="7" t="s">
        <v>1459</v>
      </c>
      <c r="C202" s="7">
        <v>3</v>
      </c>
      <c r="D202" s="7" t="s">
        <v>443</v>
      </c>
      <c r="E202" s="7" t="s">
        <v>3060</v>
      </c>
      <c r="F202" s="7" t="s">
        <v>202</v>
      </c>
      <c r="G202" s="7" t="s">
        <v>1334</v>
      </c>
      <c r="H202" s="7">
        <v>5.6</v>
      </c>
      <c r="I202" s="7" t="s">
        <v>718</v>
      </c>
      <c r="R202" s="1472" t="s">
        <v>1037</v>
      </c>
      <c r="S202" s="1472">
        <v>2</v>
      </c>
      <c r="T202" s="1472" t="s">
        <v>2834</v>
      </c>
      <c r="U202" s="1472" t="s">
        <v>1118</v>
      </c>
      <c r="W202" s="1488"/>
      <c r="X202" s="1488"/>
      <c r="Y202" s="1488"/>
      <c r="Z202" s="1488"/>
    </row>
    <row r="203" spans="1:26">
      <c r="A203" s="7" t="s">
        <v>690</v>
      </c>
      <c r="B203" s="7" t="s">
        <v>1459</v>
      </c>
      <c r="C203" s="7">
        <v>3</v>
      </c>
      <c r="D203" s="7" t="s">
        <v>443</v>
      </c>
      <c r="E203" s="7" t="s">
        <v>3060</v>
      </c>
      <c r="F203" s="7" t="s">
        <v>195</v>
      </c>
      <c r="G203" s="7" t="s">
        <v>1335</v>
      </c>
      <c r="H203" s="7">
        <v>5.6</v>
      </c>
      <c r="I203" s="7" t="s">
        <v>718</v>
      </c>
      <c r="R203" s="1472" t="s">
        <v>1037</v>
      </c>
      <c r="S203" s="1472">
        <v>2</v>
      </c>
      <c r="T203" s="1472" t="s">
        <v>2834</v>
      </c>
      <c r="U203" s="1472" t="s">
        <v>1120</v>
      </c>
      <c r="W203" s="1488"/>
      <c r="X203" s="1488"/>
      <c r="Y203" s="1488"/>
      <c r="Z203" s="1488"/>
    </row>
    <row r="204" spans="1:26">
      <c r="A204" s="7" t="s">
        <v>690</v>
      </c>
      <c r="B204" s="7" t="s">
        <v>1459</v>
      </c>
      <c r="C204" s="7">
        <v>3</v>
      </c>
      <c r="D204" s="7" t="s">
        <v>443</v>
      </c>
      <c r="E204" s="7" t="s">
        <v>3060</v>
      </c>
      <c r="F204" s="7" t="s">
        <v>195</v>
      </c>
      <c r="G204" s="7" t="s">
        <v>1336</v>
      </c>
      <c r="H204" s="7">
        <v>5.6</v>
      </c>
      <c r="I204" s="7" t="s">
        <v>718</v>
      </c>
      <c r="R204" s="1472" t="s">
        <v>1037</v>
      </c>
      <c r="S204" s="1472">
        <v>2</v>
      </c>
      <c r="T204" s="1472" t="s">
        <v>2834</v>
      </c>
      <c r="U204" s="1472" t="s">
        <v>405</v>
      </c>
      <c r="W204" s="1488"/>
      <c r="X204" s="1488"/>
      <c r="Y204" s="1488"/>
      <c r="Z204" s="1488"/>
    </row>
    <row r="205" spans="1:26">
      <c r="A205" s="7" t="s">
        <v>690</v>
      </c>
      <c r="B205" s="7" t="s">
        <v>1459</v>
      </c>
      <c r="C205" s="7">
        <v>3</v>
      </c>
      <c r="D205" s="7" t="s">
        <v>443</v>
      </c>
      <c r="E205" s="7" t="s">
        <v>3060</v>
      </c>
      <c r="F205" s="7" t="s">
        <v>195</v>
      </c>
      <c r="G205" s="7" t="s">
        <v>1337</v>
      </c>
      <c r="H205" s="7">
        <v>5.6</v>
      </c>
      <c r="I205" s="7" t="s">
        <v>718</v>
      </c>
      <c r="R205" s="1472" t="s">
        <v>1037</v>
      </c>
      <c r="S205" s="1472">
        <v>2</v>
      </c>
      <c r="T205" s="1472" t="s">
        <v>2834</v>
      </c>
      <c r="U205" s="1472" t="s">
        <v>2876</v>
      </c>
      <c r="W205" s="1488"/>
      <c r="X205" s="1488"/>
      <c r="Y205" s="1488"/>
      <c r="Z205" s="1488"/>
    </row>
    <row r="206" spans="1:26">
      <c r="A206" s="7" t="s">
        <v>690</v>
      </c>
      <c r="B206" s="7" t="s">
        <v>1459</v>
      </c>
      <c r="C206" s="7">
        <v>3</v>
      </c>
      <c r="D206" s="7" t="s">
        <v>443</v>
      </c>
      <c r="E206" s="7" t="s">
        <v>3060</v>
      </c>
      <c r="F206" s="7" t="s">
        <v>195</v>
      </c>
      <c r="G206" s="7" t="s">
        <v>1338</v>
      </c>
      <c r="H206" s="7">
        <v>5.6</v>
      </c>
      <c r="I206" s="7" t="s">
        <v>718</v>
      </c>
      <c r="R206" s="1472" t="s">
        <v>1037</v>
      </c>
      <c r="S206" s="1472">
        <v>2</v>
      </c>
      <c r="T206" s="1472" t="s">
        <v>2878</v>
      </c>
      <c r="U206" s="1472" t="s">
        <v>280</v>
      </c>
      <c r="W206" s="1488"/>
      <c r="X206" s="1488"/>
      <c r="Y206" s="1488"/>
      <c r="Z206" s="1488"/>
    </row>
    <row r="207" spans="1:26">
      <c r="A207" s="7" t="s">
        <v>690</v>
      </c>
      <c r="B207" s="7" t="s">
        <v>1459</v>
      </c>
      <c r="C207" s="7">
        <v>3</v>
      </c>
      <c r="D207" s="7" t="s">
        <v>443</v>
      </c>
      <c r="E207" s="7" t="s">
        <v>3060</v>
      </c>
      <c r="F207" s="7" t="s">
        <v>195</v>
      </c>
      <c r="G207" s="7" t="s">
        <v>1339</v>
      </c>
      <c r="H207" s="7">
        <v>5.6</v>
      </c>
      <c r="I207" s="7" t="s">
        <v>718</v>
      </c>
      <c r="R207" s="1472" t="s">
        <v>1037</v>
      </c>
      <c r="S207" s="1472">
        <v>2</v>
      </c>
      <c r="T207" s="1472" t="s">
        <v>2878</v>
      </c>
      <c r="U207" s="1472" t="s">
        <v>2883</v>
      </c>
      <c r="W207" s="1488"/>
      <c r="X207" s="1488"/>
      <c r="Y207" s="1488"/>
      <c r="Z207" s="1488"/>
    </row>
    <row r="208" spans="1:26">
      <c r="A208" s="7" t="s">
        <v>690</v>
      </c>
      <c r="B208" s="7" t="s">
        <v>1459</v>
      </c>
      <c r="C208" s="7">
        <v>3</v>
      </c>
      <c r="D208" s="7" t="s">
        <v>443</v>
      </c>
      <c r="E208" s="7" t="s">
        <v>3060</v>
      </c>
      <c r="F208" s="7" t="s">
        <v>195</v>
      </c>
      <c r="G208" s="7" t="s">
        <v>1340</v>
      </c>
      <c r="H208" s="7">
        <v>5.6</v>
      </c>
      <c r="I208" s="7" t="s">
        <v>718</v>
      </c>
      <c r="R208" s="1472" t="s">
        <v>1037</v>
      </c>
      <c r="S208" s="1472">
        <v>2</v>
      </c>
      <c r="T208" s="1472" t="s">
        <v>2878</v>
      </c>
      <c r="U208" s="1472" t="s">
        <v>279</v>
      </c>
      <c r="W208" s="1488"/>
      <c r="X208" s="1488"/>
      <c r="Y208" s="1488"/>
      <c r="Z208" s="1488"/>
    </row>
    <row r="209" spans="1:26">
      <c r="A209" s="7" t="s">
        <v>690</v>
      </c>
      <c r="B209" s="7" t="s">
        <v>1459</v>
      </c>
      <c r="C209" s="7">
        <v>3</v>
      </c>
      <c r="D209" s="7" t="s">
        <v>443</v>
      </c>
      <c r="E209" s="7" t="s">
        <v>3060</v>
      </c>
      <c r="F209" s="7" t="s">
        <v>195</v>
      </c>
      <c r="G209" s="7" t="s">
        <v>1341</v>
      </c>
      <c r="H209" s="7">
        <v>5.6</v>
      </c>
      <c r="I209" s="7" t="s">
        <v>718</v>
      </c>
      <c r="R209" s="1472" t="s">
        <v>1037</v>
      </c>
      <c r="S209" s="1472">
        <v>2</v>
      </c>
      <c r="T209" s="1472" t="s">
        <v>2878</v>
      </c>
      <c r="U209" s="1472" t="s">
        <v>396</v>
      </c>
      <c r="W209" s="1488"/>
      <c r="X209" s="1488"/>
      <c r="Y209" s="1488"/>
      <c r="Z209" s="1488"/>
    </row>
    <row r="210" spans="1:26">
      <c r="A210" s="7" t="s">
        <v>690</v>
      </c>
      <c r="B210" s="7" t="s">
        <v>1459</v>
      </c>
      <c r="C210" s="7">
        <v>3</v>
      </c>
      <c r="D210" s="7" t="s">
        <v>443</v>
      </c>
      <c r="E210" s="7" t="s">
        <v>3060</v>
      </c>
      <c r="F210" s="7" t="s">
        <v>195</v>
      </c>
      <c r="G210" s="7" t="s">
        <v>2700</v>
      </c>
      <c r="H210" s="7">
        <v>5.6</v>
      </c>
      <c r="I210" s="7" t="s">
        <v>718</v>
      </c>
      <c r="R210" s="1472" t="s">
        <v>1037</v>
      </c>
      <c r="S210" s="1472">
        <v>2</v>
      </c>
      <c r="T210" s="1472" t="s">
        <v>2878</v>
      </c>
      <c r="U210" s="1472" t="s">
        <v>2893</v>
      </c>
      <c r="W210" s="1488"/>
      <c r="X210" s="1488"/>
      <c r="Y210" s="1488"/>
      <c r="Z210" s="1488"/>
    </row>
    <row r="211" spans="1:26">
      <c r="A211" s="7" t="s">
        <v>690</v>
      </c>
      <c r="B211" s="7" t="s">
        <v>1459</v>
      </c>
      <c r="C211" s="7">
        <v>3</v>
      </c>
      <c r="D211" s="7" t="s">
        <v>443</v>
      </c>
      <c r="E211" s="7" t="s">
        <v>3060</v>
      </c>
      <c r="F211" s="7" t="s">
        <v>195</v>
      </c>
      <c r="G211" s="7" t="s">
        <v>1342</v>
      </c>
      <c r="H211" s="7">
        <v>5.6</v>
      </c>
      <c r="I211" s="7" t="s">
        <v>718</v>
      </c>
      <c r="R211" s="1472" t="s">
        <v>1037</v>
      </c>
      <c r="S211" s="1472">
        <v>2</v>
      </c>
      <c r="T211" s="1472" t="s">
        <v>2878</v>
      </c>
      <c r="U211" s="1472" t="s">
        <v>402</v>
      </c>
      <c r="W211" s="1488"/>
      <c r="X211" s="1488"/>
      <c r="Y211" s="1488"/>
      <c r="Z211" s="1488"/>
    </row>
    <row r="212" spans="1:26">
      <c r="A212" s="7" t="s">
        <v>690</v>
      </c>
      <c r="B212" s="7" t="s">
        <v>1459</v>
      </c>
      <c r="C212" s="7">
        <v>3</v>
      </c>
      <c r="D212" s="7" t="s">
        <v>443</v>
      </c>
      <c r="E212" s="7" t="s">
        <v>3060</v>
      </c>
      <c r="F212" s="7" t="s">
        <v>195</v>
      </c>
      <c r="G212" s="7" t="s">
        <v>1343</v>
      </c>
      <c r="H212" s="7">
        <v>5.6</v>
      </c>
      <c r="I212" s="7" t="s">
        <v>718</v>
      </c>
      <c r="R212" s="1472" t="s">
        <v>1037</v>
      </c>
      <c r="S212" s="1472">
        <v>2</v>
      </c>
      <c r="T212" s="1472" t="s">
        <v>2878</v>
      </c>
      <c r="U212" s="1472" t="s">
        <v>403</v>
      </c>
      <c r="W212" s="1488"/>
      <c r="X212" s="1488"/>
      <c r="Y212" s="1488"/>
      <c r="Z212" s="1488"/>
    </row>
    <row r="213" spans="1:26">
      <c r="A213" s="7" t="s">
        <v>690</v>
      </c>
      <c r="B213" s="7" t="s">
        <v>1459</v>
      </c>
      <c r="C213" s="7">
        <v>3</v>
      </c>
      <c r="D213" s="7" t="s">
        <v>443</v>
      </c>
      <c r="E213" s="7" t="s">
        <v>3060</v>
      </c>
      <c r="F213" s="7" t="s">
        <v>195</v>
      </c>
      <c r="G213" s="7" t="s">
        <v>1344</v>
      </c>
      <c r="H213" s="7">
        <v>5.6</v>
      </c>
      <c r="I213" s="7" t="s">
        <v>718</v>
      </c>
      <c r="R213" s="1472" t="s">
        <v>1037</v>
      </c>
      <c r="S213" s="1472">
        <v>2</v>
      </c>
      <c r="T213" s="1472" t="s">
        <v>2878</v>
      </c>
      <c r="U213" s="1472" t="s">
        <v>1049</v>
      </c>
      <c r="W213" s="1488"/>
      <c r="X213" s="1488"/>
      <c r="Y213" s="1488"/>
      <c r="Z213" s="1488"/>
    </row>
    <row r="214" spans="1:26">
      <c r="A214" s="7" t="s">
        <v>690</v>
      </c>
      <c r="B214" s="7" t="s">
        <v>1459</v>
      </c>
      <c r="C214" s="7">
        <v>4</v>
      </c>
      <c r="D214" s="7" t="s">
        <v>1392</v>
      </c>
      <c r="E214" s="7" t="s">
        <v>1453</v>
      </c>
      <c r="F214" s="7" t="s">
        <v>1461</v>
      </c>
      <c r="G214" s="7" t="s">
        <v>2700</v>
      </c>
      <c r="H214" s="7">
        <v>5.8</v>
      </c>
      <c r="I214" s="7" t="s">
        <v>718</v>
      </c>
      <c r="R214" s="1472" t="s">
        <v>1037</v>
      </c>
      <c r="S214" s="1472">
        <v>2</v>
      </c>
      <c r="T214" s="1472" t="s">
        <v>2878</v>
      </c>
      <c r="U214" s="1472" t="s">
        <v>2896</v>
      </c>
      <c r="W214" s="1488"/>
      <c r="X214" s="1488"/>
      <c r="Y214" s="1488"/>
      <c r="Z214" s="1488"/>
    </row>
    <row r="215" spans="1:26">
      <c r="A215" s="7" t="s">
        <v>690</v>
      </c>
      <c r="B215" s="7" t="s">
        <v>1459</v>
      </c>
      <c r="C215" s="7">
        <v>4</v>
      </c>
      <c r="D215" s="7" t="s">
        <v>1392</v>
      </c>
      <c r="E215" s="7" t="s">
        <v>1453</v>
      </c>
      <c r="F215" s="7" t="s">
        <v>1461</v>
      </c>
      <c r="G215" s="7" t="s">
        <v>2780</v>
      </c>
      <c r="H215" s="7">
        <v>5.8</v>
      </c>
      <c r="I215" s="7" t="s">
        <v>718</v>
      </c>
      <c r="R215" s="1472" t="s">
        <v>3053</v>
      </c>
      <c r="S215" s="1472">
        <v>1</v>
      </c>
      <c r="T215" s="1472" t="s">
        <v>1227</v>
      </c>
      <c r="U215" s="1472" t="s">
        <v>989</v>
      </c>
      <c r="W215" s="1488"/>
      <c r="X215" s="1488"/>
      <c r="Y215" s="1488"/>
      <c r="Z215" s="1488"/>
    </row>
    <row r="216" spans="1:26">
      <c r="A216" s="7" t="s">
        <v>690</v>
      </c>
      <c r="B216" s="7" t="s">
        <v>1459</v>
      </c>
      <c r="C216" s="7">
        <v>4</v>
      </c>
      <c r="D216" s="7" t="s">
        <v>1392</v>
      </c>
      <c r="E216" s="7" t="s">
        <v>1453</v>
      </c>
      <c r="F216" s="7" t="s">
        <v>1461</v>
      </c>
      <c r="G216" s="7" t="s">
        <v>2781</v>
      </c>
      <c r="H216" s="7">
        <v>5.8</v>
      </c>
      <c r="I216" s="7" t="s">
        <v>718</v>
      </c>
      <c r="R216" s="1472" t="s">
        <v>3053</v>
      </c>
      <c r="S216" s="1472">
        <v>1</v>
      </c>
      <c r="T216" s="1472" t="s">
        <v>1227</v>
      </c>
      <c r="U216" s="1472" t="s">
        <v>2904</v>
      </c>
      <c r="W216" s="1488"/>
      <c r="X216" s="1488"/>
      <c r="Y216" s="1488"/>
      <c r="Z216" s="1488"/>
    </row>
    <row r="217" spans="1:26">
      <c r="A217" s="7" t="s">
        <v>690</v>
      </c>
      <c r="B217" s="7" t="s">
        <v>1459</v>
      </c>
      <c r="C217" s="7">
        <v>4</v>
      </c>
      <c r="D217" s="7" t="s">
        <v>1392</v>
      </c>
      <c r="E217" s="7" t="s">
        <v>1453</v>
      </c>
      <c r="F217" s="7" t="s">
        <v>1461</v>
      </c>
      <c r="G217" s="7" t="s">
        <v>2782</v>
      </c>
      <c r="H217" s="7">
        <v>5.8</v>
      </c>
      <c r="I217" s="7" t="s">
        <v>718</v>
      </c>
      <c r="R217" s="1472" t="s">
        <v>3053</v>
      </c>
      <c r="S217" s="1472">
        <v>1</v>
      </c>
      <c r="T217" s="1472" t="s">
        <v>1227</v>
      </c>
      <c r="U217" s="1472" t="s">
        <v>988</v>
      </c>
      <c r="W217" s="1488"/>
      <c r="X217" s="1488"/>
      <c r="Y217" s="1488"/>
      <c r="Z217" s="1488"/>
    </row>
    <row r="218" spans="1:26">
      <c r="A218" s="7" t="s">
        <v>690</v>
      </c>
      <c r="B218" s="7" t="s">
        <v>1459</v>
      </c>
      <c r="C218" s="7">
        <v>4</v>
      </c>
      <c r="D218" s="7" t="s">
        <v>1392</v>
      </c>
      <c r="E218" s="7" t="s">
        <v>1453</v>
      </c>
      <c r="F218" s="7" t="s">
        <v>3050</v>
      </c>
      <c r="G218" s="7" t="s">
        <v>2702</v>
      </c>
      <c r="H218" s="7">
        <v>5.8</v>
      </c>
      <c r="I218" s="7" t="s">
        <v>718</v>
      </c>
      <c r="R218" s="1472" t="s">
        <v>3053</v>
      </c>
      <c r="S218" s="1472">
        <v>2</v>
      </c>
      <c r="T218" s="1472" t="s">
        <v>1030</v>
      </c>
      <c r="U218" s="1472" t="s">
        <v>992</v>
      </c>
      <c r="W218" s="1488"/>
      <c r="X218" s="1488"/>
      <c r="Y218" s="1488"/>
      <c r="Z218" s="1488"/>
    </row>
    <row r="219" spans="1:26">
      <c r="A219" s="7" t="s">
        <v>690</v>
      </c>
      <c r="B219" s="7" t="s">
        <v>1459</v>
      </c>
      <c r="C219" s="7">
        <v>4</v>
      </c>
      <c r="D219" s="7" t="s">
        <v>1392</v>
      </c>
      <c r="E219" s="7" t="s">
        <v>1453</v>
      </c>
      <c r="F219" s="7" t="s">
        <v>1475</v>
      </c>
      <c r="G219" s="7" t="s">
        <v>2783</v>
      </c>
      <c r="H219" s="7">
        <v>5.8</v>
      </c>
      <c r="I219" s="7" t="s">
        <v>718</v>
      </c>
      <c r="R219" s="1472" t="s">
        <v>3053</v>
      </c>
      <c r="S219" s="1472">
        <v>3</v>
      </c>
      <c r="T219" s="1472" t="s">
        <v>458</v>
      </c>
      <c r="U219" s="1472" t="s">
        <v>2911</v>
      </c>
      <c r="W219" s="1488"/>
      <c r="X219" s="1488"/>
      <c r="Y219" s="1488"/>
      <c r="Z219" s="1488"/>
    </row>
    <row r="220" spans="1:26">
      <c r="A220" s="7" t="s">
        <v>690</v>
      </c>
      <c r="B220" s="7" t="s">
        <v>1459</v>
      </c>
      <c r="C220" s="7">
        <v>4</v>
      </c>
      <c r="D220" s="7" t="s">
        <v>1392</v>
      </c>
      <c r="E220" s="7" t="s">
        <v>1453</v>
      </c>
      <c r="F220" s="7" t="s">
        <v>1475</v>
      </c>
      <c r="G220" s="7" t="s">
        <v>2785</v>
      </c>
      <c r="H220" s="7">
        <v>5.8</v>
      </c>
      <c r="I220" s="7" t="s">
        <v>718</v>
      </c>
      <c r="R220" s="1472" t="s">
        <v>3053</v>
      </c>
      <c r="S220" s="1472">
        <v>3</v>
      </c>
      <c r="T220" s="1472" t="s">
        <v>458</v>
      </c>
      <c r="U220" s="1472" t="s">
        <v>1004</v>
      </c>
      <c r="W220" s="1488"/>
      <c r="X220" s="1488"/>
      <c r="Y220" s="1488"/>
      <c r="Z220" s="1488"/>
    </row>
    <row r="221" spans="1:26">
      <c r="A221" s="7" t="s">
        <v>690</v>
      </c>
      <c r="B221" s="7" t="s">
        <v>1459</v>
      </c>
      <c r="C221" s="7">
        <v>4</v>
      </c>
      <c r="D221" s="7" t="s">
        <v>1392</v>
      </c>
      <c r="E221" s="7" t="s">
        <v>1453</v>
      </c>
      <c r="F221" s="7" t="s">
        <v>1475</v>
      </c>
      <c r="G221" s="7" t="s">
        <v>2786</v>
      </c>
      <c r="H221" s="7">
        <v>5.8</v>
      </c>
      <c r="I221" s="7" t="s">
        <v>718</v>
      </c>
      <c r="R221" s="1472" t="s">
        <v>3053</v>
      </c>
      <c r="S221" s="1472">
        <v>3</v>
      </c>
      <c r="T221" s="1472" t="s">
        <v>458</v>
      </c>
      <c r="U221" s="1472" t="s">
        <v>3051</v>
      </c>
      <c r="W221" s="1488"/>
      <c r="X221" s="1488"/>
      <c r="Y221" s="1488"/>
      <c r="Z221" s="1488"/>
    </row>
    <row r="222" spans="1:26">
      <c r="A222" s="7" t="s">
        <v>690</v>
      </c>
      <c r="B222" s="7" t="s">
        <v>1459</v>
      </c>
      <c r="C222" s="7">
        <v>4</v>
      </c>
      <c r="D222" s="7" t="s">
        <v>1392</v>
      </c>
      <c r="E222" s="7" t="s">
        <v>1453</v>
      </c>
      <c r="F222" s="7" t="s">
        <v>1475</v>
      </c>
      <c r="G222" s="7" t="s">
        <v>2784</v>
      </c>
      <c r="H222" s="7">
        <v>5.8</v>
      </c>
      <c r="I222" s="7" t="s">
        <v>718</v>
      </c>
      <c r="R222" s="1472" t="s">
        <v>3053</v>
      </c>
      <c r="S222" s="1472">
        <v>3</v>
      </c>
      <c r="T222" s="1472" t="s">
        <v>458</v>
      </c>
      <c r="U222" s="1472" t="s">
        <v>382</v>
      </c>
      <c r="W222" s="1488"/>
      <c r="X222" s="1488"/>
      <c r="Y222" s="1488"/>
      <c r="Z222" s="1488"/>
    </row>
    <row r="223" spans="1:26">
      <c r="A223" s="7" t="s">
        <v>690</v>
      </c>
      <c r="B223" s="7" t="s">
        <v>1459</v>
      </c>
      <c r="C223" s="7">
        <v>4</v>
      </c>
      <c r="D223" s="7" t="s">
        <v>1392</v>
      </c>
      <c r="E223" s="7" t="s">
        <v>1453</v>
      </c>
      <c r="F223" s="7" t="s">
        <v>1460</v>
      </c>
      <c r="G223" s="7" t="s">
        <v>2700</v>
      </c>
      <c r="H223" s="7">
        <v>5.8</v>
      </c>
      <c r="I223" s="7" t="s">
        <v>718</v>
      </c>
      <c r="R223" s="1472" t="s">
        <v>3053</v>
      </c>
      <c r="S223" s="1472">
        <v>3</v>
      </c>
      <c r="T223" s="1472" t="s">
        <v>1031</v>
      </c>
      <c r="U223" s="1472" t="s">
        <v>456</v>
      </c>
      <c r="W223" s="1488"/>
      <c r="X223" s="1488"/>
      <c r="Y223" s="1488"/>
      <c r="Z223" s="1488"/>
    </row>
    <row r="224" spans="1:26">
      <c r="A224" s="7" t="s">
        <v>690</v>
      </c>
      <c r="B224" s="7" t="s">
        <v>1459</v>
      </c>
      <c r="C224" s="7">
        <v>4</v>
      </c>
      <c r="D224" s="7" t="s">
        <v>1392</v>
      </c>
      <c r="E224" s="7" t="s">
        <v>1453</v>
      </c>
      <c r="F224" s="7" t="s">
        <v>1470</v>
      </c>
      <c r="G224" s="7" t="s">
        <v>2788</v>
      </c>
      <c r="H224" s="7">
        <v>5.8</v>
      </c>
      <c r="I224" s="7" t="s">
        <v>718</v>
      </c>
      <c r="R224" s="1472" t="s">
        <v>3053</v>
      </c>
      <c r="S224" s="1472">
        <v>3</v>
      </c>
      <c r="T224" s="1472" t="s">
        <v>1032</v>
      </c>
      <c r="U224" s="1472" t="s">
        <v>1032</v>
      </c>
      <c r="W224" s="1488"/>
      <c r="X224" s="1488"/>
      <c r="Y224" s="1488"/>
      <c r="Z224" s="1488"/>
    </row>
    <row r="225" spans="1:26">
      <c r="A225" s="7" t="s">
        <v>690</v>
      </c>
      <c r="B225" s="7" t="s">
        <v>1459</v>
      </c>
      <c r="C225" s="7">
        <v>4</v>
      </c>
      <c r="D225" s="7" t="s">
        <v>1392</v>
      </c>
      <c r="E225" s="7" t="s">
        <v>1453</v>
      </c>
      <c r="F225" s="7" t="s">
        <v>1470</v>
      </c>
      <c r="G225" s="7" t="s">
        <v>2787</v>
      </c>
      <c r="H225" s="7">
        <v>5.8</v>
      </c>
      <c r="I225" s="7" t="s">
        <v>718</v>
      </c>
      <c r="R225" s="1472" t="s">
        <v>3053</v>
      </c>
      <c r="S225" s="1472">
        <v>4</v>
      </c>
      <c r="T225" s="1472" t="s">
        <v>1233</v>
      </c>
      <c r="U225" s="1472" t="s">
        <v>3050</v>
      </c>
      <c r="W225" s="1488"/>
      <c r="X225" s="1488"/>
      <c r="Y225" s="1488"/>
      <c r="Z225" s="1488"/>
    </row>
    <row r="226" spans="1:26">
      <c r="A226" s="7" t="s">
        <v>690</v>
      </c>
      <c r="B226" s="7" t="s">
        <v>1459</v>
      </c>
      <c r="C226" s="7">
        <v>4</v>
      </c>
      <c r="D226" s="7" t="s">
        <v>1392</v>
      </c>
      <c r="E226" s="7" t="s">
        <v>1453</v>
      </c>
      <c r="F226" s="7" t="s">
        <v>2789</v>
      </c>
      <c r="G226" s="7" t="s">
        <v>2790</v>
      </c>
      <c r="H226" s="7">
        <v>5.8</v>
      </c>
      <c r="I226" s="7" t="s">
        <v>718</v>
      </c>
      <c r="R226" s="1472" t="s">
        <v>3053</v>
      </c>
      <c r="S226" s="1472">
        <v>4</v>
      </c>
      <c r="T226" s="1472" t="s">
        <v>1233</v>
      </c>
      <c r="U226" s="1472" t="s">
        <v>1014</v>
      </c>
      <c r="W226" s="1488"/>
      <c r="X226" s="1488"/>
      <c r="Y226" s="1488"/>
      <c r="Z226" s="1488"/>
    </row>
    <row r="227" spans="1:26">
      <c r="A227" s="7" t="s">
        <v>690</v>
      </c>
      <c r="B227" s="7" t="s">
        <v>1459</v>
      </c>
      <c r="C227" s="7">
        <v>4</v>
      </c>
      <c r="D227" s="7" t="s">
        <v>1392</v>
      </c>
      <c r="E227" s="7" t="s">
        <v>1453</v>
      </c>
      <c r="F227" s="7" t="s">
        <v>1014</v>
      </c>
      <c r="G227" s="7" t="s">
        <v>2700</v>
      </c>
      <c r="H227" s="7">
        <v>5.8</v>
      </c>
      <c r="I227" s="7" t="s">
        <v>718</v>
      </c>
      <c r="R227" s="1472" t="s">
        <v>3053</v>
      </c>
      <c r="S227" s="1472">
        <v>4</v>
      </c>
      <c r="T227" s="1472" t="s">
        <v>1233</v>
      </c>
      <c r="U227" s="1472" t="s">
        <v>1015</v>
      </c>
      <c r="W227" s="1488"/>
      <c r="X227" s="1488"/>
      <c r="Y227" s="1488"/>
      <c r="Z227" s="1488"/>
    </row>
    <row r="228" spans="1:26">
      <c r="A228" s="7" t="s">
        <v>690</v>
      </c>
      <c r="B228" s="7" t="s">
        <v>1459</v>
      </c>
      <c r="C228" s="7">
        <v>4</v>
      </c>
      <c r="D228" s="7" t="s">
        <v>1392</v>
      </c>
      <c r="E228" s="7" t="s">
        <v>1453</v>
      </c>
      <c r="F228" s="7" t="s">
        <v>1015</v>
      </c>
      <c r="G228" s="7" t="s">
        <v>2700</v>
      </c>
      <c r="H228" s="7">
        <v>5.8</v>
      </c>
      <c r="I228" s="7" t="s">
        <v>718</v>
      </c>
      <c r="R228" s="1472" t="s">
        <v>3053</v>
      </c>
      <c r="S228" s="1472">
        <v>4</v>
      </c>
      <c r="T228" s="1472" t="s">
        <v>1233</v>
      </c>
      <c r="U228" s="1472" t="s">
        <v>1016</v>
      </c>
      <c r="W228" s="1488"/>
      <c r="X228" s="1488"/>
      <c r="Y228" s="1488"/>
      <c r="Z228" s="1488"/>
    </row>
    <row r="229" spans="1:26">
      <c r="A229" s="7" t="s">
        <v>690</v>
      </c>
      <c r="B229" s="7" t="s">
        <v>1459</v>
      </c>
      <c r="C229" s="7">
        <v>4</v>
      </c>
      <c r="D229" s="7" t="s">
        <v>1392</v>
      </c>
      <c r="E229" s="7" t="s">
        <v>1453</v>
      </c>
      <c r="F229" s="7" t="s">
        <v>1016</v>
      </c>
      <c r="G229" s="7" t="s">
        <v>2700</v>
      </c>
      <c r="H229" s="7">
        <v>5.8</v>
      </c>
      <c r="I229" s="7" t="s">
        <v>718</v>
      </c>
      <c r="R229" s="1472" t="s">
        <v>3053</v>
      </c>
      <c r="S229" s="1472">
        <v>4</v>
      </c>
      <c r="T229" s="1472" t="s">
        <v>1233</v>
      </c>
      <c r="U229" s="1472" t="s">
        <v>2912</v>
      </c>
      <c r="W229" s="1488"/>
      <c r="X229" s="1488"/>
      <c r="Y229" s="1488"/>
      <c r="Z229" s="1488"/>
    </row>
    <row r="230" spans="1:26">
      <c r="A230" s="7" t="s">
        <v>690</v>
      </c>
      <c r="B230" s="7" t="s">
        <v>1459</v>
      </c>
      <c r="C230" s="7">
        <v>4</v>
      </c>
      <c r="D230" s="7" t="s">
        <v>1392</v>
      </c>
      <c r="E230" s="7" t="s">
        <v>1453</v>
      </c>
      <c r="F230" s="7" t="s">
        <v>1017</v>
      </c>
      <c r="G230" s="7" t="s">
        <v>2700</v>
      </c>
      <c r="H230" s="7">
        <v>5.8</v>
      </c>
      <c r="I230" s="7" t="s">
        <v>718</v>
      </c>
      <c r="R230" s="1472" t="s">
        <v>3053</v>
      </c>
      <c r="S230" s="1472">
        <v>4</v>
      </c>
      <c r="T230" s="1472" t="s">
        <v>1233</v>
      </c>
      <c r="U230" s="1472" t="s">
        <v>1019</v>
      </c>
      <c r="W230" s="1488"/>
      <c r="X230" s="1488"/>
      <c r="Y230" s="1488"/>
      <c r="Z230" s="1488"/>
    </row>
    <row r="231" spans="1:26">
      <c r="A231" s="7" t="s">
        <v>690</v>
      </c>
      <c r="B231" s="7" t="s">
        <v>1459</v>
      </c>
      <c r="C231" s="7">
        <v>4</v>
      </c>
      <c r="D231" s="7" t="s">
        <v>1392</v>
      </c>
      <c r="E231" s="7" t="s">
        <v>1453</v>
      </c>
      <c r="F231" s="7" t="s">
        <v>1018</v>
      </c>
      <c r="G231" s="7" t="s">
        <v>2700</v>
      </c>
      <c r="H231" s="7">
        <v>5.8</v>
      </c>
      <c r="I231" s="7" t="s">
        <v>718</v>
      </c>
      <c r="R231" s="1472" t="s">
        <v>3053</v>
      </c>
      <c r="S231" s="1472">
        <v>4</v>
      </c>
      <c r="T231" s="1472" t="s">
        <v>1233</v>
      </c>
      <c r="U231" s="1472" t="s">
        <v>2791</v>
      </c>
      <c r="W231" s="1488"/>
      <c r="X231" s="1488"/>
      <c r="Y231" s="1488"/>
      <c r="Z231" s="1488"/>
    </row>
    <row r="232" spans="1:26">
      <c r="A232" s="7" t="s">
        <v>690</v>
      </c>
      <c r="B232" s="7" t="s">
        <v>1459</v>
      </c>
      <c r="C232" s="7">
        <v>4</v>
      </c>
      <c r="D232" s="7" t="s">
        <v>1392</v>
      </c>
      <c r="E232" s="7" t="s">
        <v>1453</v>
      </c>
      <c r="F232" s="7" t="s">
        <v>1019</v>
      </c>
      <c r="G232" s="7" t="s">
        <v>2700</v>
      </c>
      <c r="H232" s="7">
        <v>5.8</v>
      </c>
      <c r="I232" s="7" t="s">
        <v>718</v>
      </c>
      <c r="R232" s="1472" t="s">
        <v>3053</v>
      </c>
      <c r="S232" s="1472">
        <v>4</v>
      </c>
      <c r="T232" s="1472" t="s">
        <v>1233</v>
      </c>
      <c r="U232" s="1472" t="s">
        <v>2703</v>
      </c>
      <c r="W232" s="1488"/>
      <c r="X232" s="1488"/>
      <c r="Y232" s="1488"/>
      <c r="Z232" s="1488"/>
    </row>
    <row r="233" spans="1:26">
      <c r="A233" s="7" t="s">
        <v>690</v>
      </c>
      <c r="B233" s="7" t="s">
        <v>1459</v>
      </c>
      <c r="C233" s="7">
        <v>4</v>
      </c>
      <c r="D233" s="7" t="s">
        <v>1392</v>
      </c>
      <c r="E233" s="7" t="s">
        <v>1453</v>
      </c>
      <c r="F233" s="7" t="s">
        <v>2791</v>
      </c>
      <c r="G233" s="7" t="s">
        <v>2700</v>
      </c>
      <c r="H233" s="7">
        <v>5.8</v>
      </c>
      <c r="I233" s="7" t="s">
        <v>718</v>
      </c>
      <c r="R233" s="1472" t="s">
        <v>3053</v>
      </c>
      <c r="S233" s="1472">
        <v>4</v>
      </c>
      <c r="T233" s="1472" t="s">
        <v>1233</v>
      </c>
      <c r="U233" s="1472" t="s">
        <v>2706</v>
      </c>
      <c r="W233" s="1488"/>
      <c r="X233" s="1488"/>
      <c r="Y233" s="1488"/>
      <c r="Z233" s="1488"/>
    </row>
    <row r="234" spans="1:26">
      <c r="A234" s="7" t="s">
        <v>690</v>
      </c>
      <c r="B234" s="7" t="s">
        <v>1459</v>
      </c>
      <c r="C234" s="7">
        <v>4</v>
      </c>
      <c r="D234" s="7" t="s">
        <v>1392</v>
      </c>
      <c r="E234" s="7" t="s">
        <v>1453</v>
      </c>
      <c r="F234" s="7" t="s">
        <v>2792</v>
      </c>
      <c r="G234" s="7" t="s">
        <v>3013</v>
      </c>
      <c r="H234" s="7">
        <v>5.8</v>
      </c>
      <c r="I234" s="7" t="s">
        <v>718</v>
      </c>
      <c r="R234" s="1472" t="s">
        <v>3053</v>
      </c>
      <c r="S234" s="1472">
        <v>4</v>
      </c>
      <c r="T234" s="1472" t="s">
        <v>1233</v>
      </c>
      <c r="U234" s="1472" t="s">
        <v>2710</v>
      </c>
      <c r="W234" s="1488"/>
      <c r="X234" s="1488"/>
      <c r="Y234" s="1488"/>
      <c r="Z234" s="1488"/>
    </row>
    <row r="235" spans="1:26">
      <c r="A235" s="7" t="s">
        <v>690</v>
      </c>
      <c r="B235" s="7" t="s">
        <v>1459</v>
      </c>
      <c r="C235" s="7">
        <v>4</v>
      </c>
      <c r="D235" s="7" t="s">
        <v>1392</v>
      </c>
      <c r="E235" s="7" t="s">
        <v>1453</v>
      </c>
      <c r="F235" s="7" t="s">
        <v>2703</v>
      </c>
      <c r="G235" s="7" t="s">
        <v>2704</v>
      </c>
      <c r="H235" s="7">
        <v>5.8</v>
      </c>
      <c r="I235" s="7" t="s">
        <v>2705</v>
      </c>
      <c r="R235" s="1472" t="s">
        <v>3053</v>
      </c>
      <c r="S235" s="1472">
        <v>4</v>
      </c>
      <c r="T235" s="1472" t="s">
        <v>1233</v>
      </c>
      <c r="U235" s="1472" t="s">
        <v>2712</v>
      </c>
      <c r="W235" s="1488"/>
      <c r="X235" s="1488"/>
      <c r="Y235" s="1488"/>
      <c r="Z235" s="1488"/>
    </row>
    <row r="236" spans="1:26">
      <c r="A236" s="7" t="s">
        <v>690</v>
      </c>
      <c r="B236" s="7" t="s">
        <v>1459</v>
      </c>
      <c r="C236" s="7">
        <v>4</v>
      </c>
      <c r="D236" s="7" t="s">
        <v>1392</v>
      </c>
      <c r="E236" s="7" t="s">
        <v>1453</v>
      </c>
      <c r="F236" s="7" t="s">
        <v>1196</v>
      </c>
      <c r="G236" s="7" t="s">
        <v>2700</v>
      </c>
      <c r="H236" s="7">
        <v>5.8</v>
      </c>
      <c r="I236" s="7" t="s">
        <v>718</v>
      </c>
      <c r="R236" s="1472" t="s">
        <v>3053</v>
      </c>
      <c r="S236" s="1472">
        <v>4</v>
      </c>
      <c r="T236" s="1472" t="s">
        <v>1233</v>
      </c>
      <c r="U236" s="1472" t="s">
        <v>2913</v>
      </c>
      <c r="W236" s="1488"/>
      <c r="X236" s="1488"/>
      <c r="Y236" s="1488"/>
      <c r="Z236" s="1488"/>
    </row>
    <row r="237" spans="1:26">
      <c r="A237" s="7" t="s">
        <v>690</v>
      </c>
      <c r="B237" s="7" t="s">
        <v>1459</v>
      </c>
      <c r="C237" s="7">
        <v>4</v>
      </c>
      <c r="D237" s="7" t="s">
        <v>1392</v>
      </c>
      <c r="E237" s="7" t="s">
        <v>1453</v>
      </c>
      <c r="F237" s="7" t="s">
        <v>2706</v>
      </c>
      <c r="G237" s="7" t="s">
        <v>2707</v>
      </c>
      <c r="H237" s="7">
        <v>5.8</v>
      </c>
      <c r="I237" s="7" t="s">
        <v>718</v>
      </c>
      <c r="R237" s="1472" t="s">
        <v>3053</v>
      </c>
      <c r="S237" s="1472">
        <v>4</v>
      </c>
      <c r="T237" s="1472" t="s">
        <v>1233</v>
      </c>
      <c r="U237" s="1472" t="s">
        <v>2718</v>
      </c>
      <c r="W237" s="1488"/>
      <c r="X237" s="1488"/>
      <c r="Y237" s="1488"/>
      <c r="Z237" s="1488"/>
    </row>
    <row r="238" spans="1:26">
      <c r="A238" s="7" t="s">
        <v>690</v>
      </c>
      <c r="B238" s="7" t="s">
        <v>1459</v>
      </c>
      <c r="C238" s="7">
        <v>4</v>
      </c>
      <c r="D238" s="7" t="s">
        <v>1392</v>
      </c>
      <c r="E238" s="7" t="s">
        <v>1453</v>
      </c>
      <c r="F238" s="7" t="s">
        <v>2706</v>
      </c>
      <c r="G238" s="7" t="s">
        <v>2708</v>
      </c>
      <c r="H238" s="7">
        <v>5.8</v>
      </c>
      <c r="I238" s="7" t="s">
        <v>718</v>
      </c>
      <c r="R238" s="1472" t="s">
        <v>3053</v>
      </c>
      <c r="S238" s="1472">
        <v>4</v>
      </c>
      <c r="T238" s="1472" t="s">
        <v>1233</v>
      </c>
      <c r="U238" s="1472" t="s">
        <v>1025</v>
      </c>
      <c r="W238" s="1488"/>
      <c r="X238" s="1488"/>
      <c r="Y238" s="1488"/>
      <c r="Z238" s="1488"/>
    </row>
    <row r="239" spans="1:26">
      <c r="A239" s="7" t="s">
        <v>690</v>
      </c>
      <c r="B239" s="7" t="s">
        <v>1459</v>
      </c>
      <c r="C239" s="7">
        <v>4</v>
      </c>
      <c r="D239" s="7" t="s">
        <v>1392</v>
      </c>
      <c r="E239" s="7" t="s">
        <v>1453</v>
      </c>
      <c r="F239" s="7" t="s">
        <v>2706</v>
      </c>
      <c r="G239" s="7" t="s">
        <v>2709</v>
      </c>
      <c r="H239" s="7">
        <v>5.8</v>
      </c>
      <c r="I239" s="7" t="s">
        <v>719</v>
      </c>
      <c r="R239" s="1472" t="s">
        <v>3053</v>
      </c>
      <c r="S239" s="1472">
        <v>4</v>
      </c>
      <c r="T239" s="1472" t="s">
        <v>1233</v>
      </c>
      <c r="U239" s="1472" t="s">
        <v>2920</v>
      </c>
      <c r="W239" s="1488"/>
      <c r="X239" s="1488"/>
      <c r="Y239" s="1488"/>
      <c r="Z239" s="1488"/>
    </row>
    <row r="240" spans="1:26">
      <c r="A240" s="7" t="s">
        <v>690</v>
      </c>
      <c r="B240" s="7" t="s">
        <v>1459</v>
      </c>
      <c r="C240" s="7">
        <v>4</v>
      </c>
      <c r="D240" s="7" t="s">
        <v>1392</v>
      </c>
      <c r="E240" s="7" t="s">
        <v>1453</v>
      </c>
      <c r="F240" s="7" t="s">
        <v>2710</v>
      </c>
      <c r="G240" s="7" t="s">
        <v>2711</v>
      </c>
      <c r="H240" s="7">
        <v>5.8</v>
      </c>
      <c r="I240" s="7" t="s">
        <v>2705</v>
      </c>
      <c r="R240" s="1472" t="s">
        <v>3053</v>
      </c>
      <c r="S240" s="1472">
        <v>4</v>
      </c>
      <c r="T240" s="1472" t="s">
        <v>1233</v>
      </c>
      <c r="U240" s="1472" t="s">
        <v>2722</v>
      </c>
      <c r="W240" s="1488"/>
      <c r="X240" s="1488"/>
      <c r="Y240" s="1488"/>
      <c r="Z240" s="1488"/>
    </row>
    <row r="241" spans="1:26">
      <c r="A241" s="7" t="s">
        <v>690</v>
      </c>
      <c r="B241" s="7" t="s">
        <v>1459</v>
      </c>
      <c r="C241" s="7">
        <v>4</v>
      </c>
      <c r="D241" s="7" t="s">
        <v>1392</v>
      </c>
      <c r="E241" s="7" t="s">
        <v>1453</v>
      </c>
      <c r="F241" s="7" t="s">
        <v>2712</v>
      </c>
      <c r="G241" s="7" t="s">
        <v>2717</v>
      </c>
      <c r="H241" s="7">
        <v>5.8</v>
      </c>
      <c r="I241" s="7" t="s">
        <v>2714</v>
      </c>
      <c r="R241" s="1472" t="s">
        <v>3053</v>
      </c>
      <c r="S241" s="1472">
        <v>4</v>
      </c>
      <c r="T241" s="1472" t="s">
        <v>1228</v>
      </c>
      <c r="U241" s="1472" t="s">
        <v>1013</v>
      </c>
      <c r="W241" s="1488"/>
      <c r="X241" s="1488"/>
      <c r="Y241" s="1488"/>
      <c r="Z241" s="1488"/>
    </row>
    <row r="242" spans="1:26">
      <c r="A242" s="7" t="s">
        <v>690</v>
      </c>
      <c r="B242" s="7" t="s">
        <v>1459</v>
      </c>
      <c r="C242" s="7">
        <v>4</v>
      </c>
      <c r="D242" s="7" t="s">
        <v>1392</v>
      </c>
      <c r="E242" s="7" t="s">
        <v>1453</v>
      </c>
      <c r="F242" s="7" t="s">
        <v>2712</v>
      </c>
      <c r="G242" s="7" t="s">
        <v>2713</v>
      </c>
      <c r="H242" s="7">
        <v>5.8</v>
      </c>
      <c r="I242" s="7" t="s">
        <v>2714</v>
      </c>
      <c r="R242" s="1472" t="s">
        <v>3053</v>
      </c>
      <c r="S242" s="1472">
        <v>4</v>
      </c>
      <c r="T242" s="1472" t="s">
        <v>1228</v>
      </c>
      <c r="U242" s="1472" t="s">
        <v>203</v>
      </c>
      <c r="W242" s="1488"/>
      <c r="X242" s="1488"/>
      <c r="Y242" s="1488"/>
      <c r="Z242" s="1488"/>
    </row>
    <row r="243" spans="1:26">
      <c r="A243" s="7" t="s">
        <v>690</v>
      </c>
      <c r="B243" s="7" t="s">
        <v>1459</v>
      </c>
      <c r="C243" s="7">
        <v>4</v>
      </c>
      <c r="D243" s="7" t="s">
        <v>1392</v>
      </c>
      <c r="E243" s="7" t="s">
        <v>1453</v>
      </c>
      <c r="F243" s="7" t="s">
        <v>2712</v>
      </c>
      <c r="G243" s="7" t="s">
        <v>2716</v>
      </c>
      <c r="H243" s="7">
        <v>5.8</v>
      </c>
      <c r="I243" s="7" t="s">
        <v>2714</v>
      </c>
      <c r="R243" s="1472" t="s">
        <v>3053</v>
      </c>
      <c r="S243" s="1472">
        <v>4</v>
      </c>
      <c r="T243" s="1472" t="s">
        <v>1228</v>
      </c>
      <c r="U243" s="1472" t="s">
        <v>204</v>
      </c>
      <c r="W243" s="1488"/>
      <c r="X243" s="1488"/>
      <c r="Y243" s="1488"/>
      <c r="Z243" s="1488"/>
    </row>
    <row r="244" spans="1:26">
      <c r="A244" s="7" t="s">
        <v>690</v>
      </c>
      <c r="B244" s="7" t="s">
        <v>1459</v>
      </c>
      <c r="C244" s="7">
        <v>4</v>
      </c>
      <c r="D244" s="7" t="s">
        <v>1392</v>
      </c>
      <c r="E244" s="7" t="s">
        <v>1453</v>
      </c>
      <c r="F244" s="7" t="s">
        <v>2712</v>
      </c>
      <c r="G244" s="7" t="s">
        <v>2715</v>
      </c>
      <c r="H244" s="7">
        <v>5.8</v>
      </c>
      <c r="I244" s="7" t="s">
        <v>2714</v>
      </c>
      <c r="R244" s="1472" t="s">
        <v>3053</v>
      </c>
      <c r="S244" s="1472">
        <v>4</v>
      </c>
      <c r="T244" s="1472" t="s">
        <v>1228</v>
      </c>
      <c r="U244" s="1472" t="s">
        <v>205</v>
      </c>
      <c r="W244" s="1488"/>
      <c r="X244" s="1488"/>
      <c r="Y244" s="1488"/>
      <c r="Z244" s="1488"/>
    </row>
    <row r="245" spans="1:26">
      <c r="A245" s="7" t="s">
        <v>690</v>
      </c>
      <c r="B245" s="7" t="s">
        <v>1459</v>
      </c>
      <c r="C245" s="7">
        <v>4</v>
      </c>
      <c r="D245" s="7" t="s">
        <v>1392</v>
      </c>
      <c r="E245" s="7" t="s">
        <v>1453</v>
      </c>
      <c r="F245" s="7" t="s">
        <v>2718</v>
      </c>
      <c r="G245" s="7" t="s">
        <v>2720</v>
      </c>
      <c r="H245" s="7">
        <v>5.8</v>
      </c>
      <c r="I245" s="7" t="s">
        <v>718</v>
      </c>
      <c r="R245" s="1472" t="s">
        <v>3053</v>
      </c>
      <c r="S245" s="1472">
        <v>4</v>
      </c>
      <c r="T245" s="1472" t="s">
        <v>1228</v>
      </c>
      <c r="U245" s="1472" t="s">
        <v>207</v>
      </c>
      <c r="W245" s="1488"/>
      <c r="X245" s="1488"/>
      <c r="Y245" s="1488"/>
      <c r="Z245" s="1488"/>
    </row>
    <row r="246" spans="1:26">
      <c r="A246" s="7" t="s">
        <v>690</v>
      </c>
      <c r="B246" s="7" t="s">
        <v>1459</v>
      </c>
      <c r="C246" s="7">
        <v>4</v>
      </c>
      <c r="D246" s="7" t="s">
        <v>1392</v>
      </c>
      <c r="E246" s="7" t="s">
        <v>1453</v>
      </c>
      <c r="F246" s="7" t="s">
        <v>2718</v>
      </c>
      <c r="G246" s="7" t="s">
        <v>2719</v>
      </c>
      <c r="H246" s="7">
        <v>5.8</v>
      </c>
      <c r="I246" s="7" t="s">
        <v>718</v>
      </c>
      <c r="R246" s="1472" t="s">
        <v>3053</v>
      </c>
      <c r="S246" s="1472">
        <v>4</v>
      </c>
      <c r="T246" s="1472" t="s">
        <v>1228</v>
      </c>
      <c r="U246" s="1472" t="s">
        <v>1034</v>
      </c>
      <c r="W246" s="1488"/>
      <c r="X246" s="1488"/>
      <c r="Y246" s="1488"/>
      <c r="Z246" s="1488"/>
    </row>
    <row r="247" spans="1:26">
      <c r="A247" s="7" t="s">
        <v>690</v>
      </c>
      <c r="B247" s="7" t="s">
        <v>1459</v>
      </c>
      <c r="C247" s="7">
        <v>4</v>
      </c>
      <c r="D247" s="7" t="s">
        <v>1392</v>
      </c>
      <c r="E247" s="7" t="s">
        <v>1453</v>
      </c>
      <c r="F247" s="7" t="s">
        <v>2722</v>
      </c>
      <c r="G247" s="7" t="s">
        <v>2793</v>
      </c>
      <c r="H247" s="7">
        <v>5.8</v>
      </c>
      <c r="I247" s="7" t="s">
        <v>719</v>
      </c>
      <c r="R247" s="1472" t="s">
        <v>3053</v>
      </c>
      <c r="S247" s="1472">
        <v>4</v>
      </c>
      <c r="T247" s="1472" t="s">
        <v>1228</v>
      </c>
      <c r="U247" s="1472" t="s">
        <v>1027</v>
      </c>
      <c r="W247" s="1488"/>
      <c r="X247" s="1488"/>
      <c r="Y247" s="1488"/>
      <c r="Z247" s="1488"/>
    </row>
    <row r="248" spans="1:26">
      <c r="A248" s="7" t="s">
        <v>690</v>
      </c>
      <c r="B248" s="7" t="s">
        <v>1459</v>
      </c>
      <c r="C248" s="7">
        <v>4</v>
      </c>
      <c r="D248" s="7" t="s">
        <v>1392</v>
      </c>
      <c r="E248" s="7" t="s">
        <v>1453</v>
      </c>
      <c r="F248" s="7" t="s">
        <v>2722</v>
      </c>
      <c r="G248" s="7" t="s">
        <v>2794</v>
      </c>
      <c r="H248" s="7">
        <v>5.8</v>
      </c>
      <c r="I248" s="7" t="s">
        <v>719</v>
      </c>
      <c r="R248" s="1472" t="s">
        <v>3053</v>
      </c>
      <c r="S248" s="1472">
        <v>4</v>
      </c>
      <c r="T248" s="1472" t="s">
        <v>1228</v>
      </c>
      <c r="U248" s="1472" t="s">
        <v>2728</v>
      </c>
      <c r="W248" s="1488"/>
      <c r="X248" s="1488"/>
      <c r="Y248" s="1488"/>
      <c r="Z248" s="1488"/>
    </row>
    <row r="249" spans="1:26">
      <c r="A249" s="7" t="s">
        <v>690</v>
      </c>
      <c r="B249" s="7" t="s">
        <v>1459</v>
      </c>
      <c r="C249" s="7">
        <v>4</v>
      </c>
      <c r="D249" s="7" t="s">
        <v>1392</v>
      </c>
      <c r="E249" s="7" t="s">
        <v>1453</v>
      </c>
      <c r="F249" s="7" t="s">
        <v>2722</v>
      </c>
      <c r="G249" s="7" t="s">
        <v>2723</v>
      </c>
      <c r="H249" s="7">
        <v>5.8</v>
      </c>
      <c r="I249" s="7" t="s">
        <v>718</v>
      </c>
      <c r="R249" s="1472" t="s">
        <v>3053</v>
      </c>
      <c r="S249" s="1472">
        <v>4</v>
      </c>
      <c r="T249" s="1472" t="s">
        <v>1228</v>
      </c>
      <c r="U249" s="1472" t="s">
        <v>2729</v>
      </c>
      <c r="W249" s="1488"/>
      <c r="X249" s="1488"/>
      <c r="Y249" s="1488"/>
      <c r="Z249" s="1488"/>
    </row>
    <row r="250" spans="1:26">
      <c r="A250" s="7" t="s">
        <v>690</v>
      </c>
      <c r="B250" s="7" t="s">
        <v>1459</v>
      </c>
      <c r="C250" s="7">
        <v>4</v>
      </c>
      <c r="D250" s="7" t="s">
        <v>1392</v>
      </c>
      <c r="E250" s="7" t="s">
        <v>1453</v>
      </c>
      <c r="F250" s="7" t="s">
        <v>2722</v>
      </c>
      <c r="G250" s="7" t="s">
        <v>2724</v>
      </c>
      <c r="H250" s="7">
        <v>5.8</v>
      </c>
      <c r="I250" s="7" t="s">
        <v>718</v>
      </c>
      <c r="R250" s="1472" t="s">
        <v>3053</v>
      </c>
      <c r="S250" s="1472">
        <v>4</v>
      </c>
      <c r="T250" s="1472" t="s">
        <v>1228</v>
      </c>
      <c r="U250" s="1472" t="s">
        <v>2730</v>
      </c>
      <c r="W250" s="1488"/>
      <c r="X250" s="1488"/>
      <c r="Y250" s="1488"/>
      <c r="Z250" s="1488"/>
    </row>
    <row r="251" spans="1:26">
      <c r="A251" s="7" t="s">
        <v>690</v>
      </c>
      <c r="B251" s="7" t="s">
        <v>1459</v>
      </c>
      <c r="C251" s="7">
        <v>4</v>
      </c>
      <c r="D251" s="7" t="s">
        <v>1392</v>
      </c>
      <c r="E251" s="7" t="s">
        <v>1453</v>
      </c>
      <c r="F251" s="7" t="s">
        <v>1456</v>
      </c>
      <c r="G251" s="7" t="s">
        <v>2700</v>
      </c>
      <c r="H251" s="7">
        <v>5.7</v>
      </c>
      <c r="I251" s="7" t="s">
        <v>718</v>
      </c>
      <c r="R251" s="1472" t="s">
        <v>3053</v>
      </c>
      <c r="S251" s="1472">
        <v>4</v>
      </c>
      <c r="T251" s="1472" t="s">
        <v>1228</v>
      </c>
      <c r="U251" s="1472" t="s">
        <v>209</v>
      </c>
      <c r="W251" s="1488"/>
      <c r="X251" s="1488"/>
      <c r="Y251" s="1488"/>
      <c r="Z251" s="1488"/>
    </row>
    <row r="252" spans="1:26">
      <c r="A252" s="7" t="s">
        <v>690</v>
      </c>
      <c r="B252" s="7" t="s">
        <v>1459</v>
      </c>
      <c r="C252" s="7">
        <v>4</v>
      </c>
      <c r="D252" s="7" t="s">
        <v>1392</v>
      </c>
      <c r="E252" s="7" t="s">
        <v>1453</v>
      </c>
      <c r="F252" s="7" t="s">
        <v>1462</v>
      </c>
      <c r="G252" s="7" t="s">
        <v>2700</v>
      </c>
      <c r="H252" s="7">
        <v>5.8</v>
      </c>
      <c r="I252" s="7" t="s">
        <v>718</v>
      </c>
      <c r="R252" s="1472" t="s">
        <v>3053</v>
      </c>
      <c r="S252" s="1472">
        <v>4</v>
      </c>
      <c r="T252" s="1472" t="s">
        <v>1228</v>
      </c>
      <c r="U252" s="1472" t="s">
        <v>2731</v>
      </c>
      <c r="W252" s="1488"/>
      <c r="X252" s="1488"/>
      <c r="Y252" s="1488"/>
      <c r="Z252" s="1488"/>
    </row>
    <row r="253" spans="1:26">
      <c r="A253" s="7" t="s">
        <v>690</v>
      </c>
      <c r="B253" s="7" t="s">
        <v>1459</v>
      </c>
      <c r="C253" s="7">
        <v>4</v>
      </c>
      <c r="D253" s="7" t="s">
        <v>1392</v>
      </c>
      <c r="E253" s="7" t="s">
        <v>1453</v>
      </c>
      <c r="F253" s="7" t="s">
        <v>1462</v>
      </c>
      <c r="G253" s="7" t="s">
        <v>3061</v>
      </c>
      <c r="H253" s="7">
        <v>5.8</v>
      </c>
      <c r="I253" s="7" t="s">
        <v>718</v>
      </c>
      <c r="R253" s="1472" t="s">
        <v>3053</v>
      </c>
      <c r="S253" s="1472">
        <v>4</v>
      </c>
      <c r="T253" s="1472" t="s">
        <v>1228</v>
      </c>
      <c r="U253" s="1472" t="s">
        <v>2732</v>
      </c>
      <c r="W253" s="1488"/>
      <c r="X253" s="1488"/>
      <c r="Y253" s="1488"/>
      <c r="Z253" s="1488"/>
    </row>
    <row r="254" spans="1:26">
      <c r="A254" s="7" t="s">
        <v>690</v>
      </c>
      <c r="B254" s="7" t="s">
        <v>1459</v>
      </c>
      <c r="C254" s="7">
        <v>4</v>
      </c>
      <c r="D254" s="7" t="s">
        <v>1392</v>
      </c>
      <c r="E254" s="7" t="s">
        <v>1453</v>
      </c>
      <c r="F254" s="7" t="s">
        <v>1462</v>
      </c>
      <c r="G254" s="7" t="s">
        <v>2799</v>
      </c>
      <c r="H254" s="7">
        <v>5.8</v>
      </c>
      <c r="I254" s="7" t="s">
        <v>718</v>
      </c>
      <c r="R254" s="1472" t="s">
        <v>3053</v>
      </c>
      <c r="S254" s="1472">
        <v>4</v>
      </c>
      <c r="T254" s="1472" t="s">
        <v>1228</v>
      </c>
      <c r="U254" s="1472" t="s">
        <v>210</v>
      </c>
      <c r="W254" s="1488"/>
      <c r="X254" s="1488"/>
      <c r="Y254" s="1488"/>
      <c r="Z254" s="1488"/>
    </row>
    <row r="255" spans="1:26">
      <c r="A255" s="7" t="s">
        <v>690</v>
      </c>
      <c r="B255" s="7" t="s">
        <v>1459</v>
      </c>
      <c r="C255" s="7">
        <v>4</v>
      </c>
      <c r="D255" s="7" t="s">
        <v>1392</v>
      </c>
      <c r="E255" s="7" t="s">
        <v>1453</v>
      </c>
      <c r="F255" s="7" t="s">
        <v>1462</v>
      </c>
      <c r="G255" s="7" t="s">
        <v>2798</v>
      </c>
      <c r="H255" s="7">
        <v>5.8</v>
      </c>
      <c r="I255" s="7" t="s">
        <v>718</v>
      </c>
      <c r="R255" s="1472" t="s">
        <v>3053</v>
      </c>
      <c r="S255" s="1472">
        <v>4</v>
      </c>
      <c r="T255" s="1472" t="s">
        <v>1234</v>
      </c>
      <c r="U255" s="1472" t="s">
        <v>2921</v>
      </c>
      <c r="W255" s="1488"/>
      <c r="X255" s="1488"/>
      <c r="Y255" s="1488"/>
      <c r="Z255" s="1488"/>
    </row>
    <row r="256" spans="1:26">
      <c r="A256" s="7" t="s">
        <v>690</v>
      </c>
      <c r="B256" s="7" t="s">
        <v>1459</v>
      </c>
      <c r="C256" s="7">
        <v>4</v>
      </c>
      <c r="D256" s="7" t="s">
        <v>1392</v>
      </c>
      <c r="E256" s="7" t="s">
        <v>1453</v>
      </c>
      <c r="F256" s="7" t="s">
        <v>1462</v>
      </c>
      <c r="G256" s="7" t="s">
        <v>2795</v>
      </c>
      <c r="H256" s="7">
        <v>5.8</v>
      </c>
      <c r="I256" s="7" t="s">
        <v>718</v>
      </c>
      <c r="R256" s="1472" t="s">
        <v>3053</v>
      </c>
      <c r="S256" s="1472">
        <v>4</v>
      </c>
      <c r="T256" s="1472" t="s">
        <v>1229</v>
      </c>
      <c r="U256" s="1472" t="s">
        <v>1005</v>
      </c>
      <c r="W256" s="1488"/>
      <c r="X256" s="1488"/>
      <c r="Y256" s="1488"/>
      <c r="Z256" s="1488"/>
    </row>
    <row r="257" spans="1:26">
      <c r="A257" s="7" t="s">
        <v>690</v>
      </c>
      <c r="B257" s="7" t="s">
        <v>1459</v>
      </c>
      <c r="C257" s="7">
        <v>4</v>
      </c>
      <c r="D257" s="7" t="s">
        <v>1392</v>
      </c>
      <c r="E257" s="7" t="s">
        <v>1453</v>
      </c>
      <c r="F257" s="7" t="s">
        <v>1462</v>
      </c>
      <c r="G257" s="7" t="s">
        <v>2800</v>
      </c>
      <c r="H257" s="7">
        <v>5.8</v>
      </c>
      <c r="I257" s="7" t="s">
        <v>718</v>
      </c>
      <c r="R257" s="1472" t="s">
        <v>3053</v>
      </c>
      <c r="S257" s="1472">
        <v>4</v>
      </c>
      <c r="T257" s="1472" t="s">
        <v>1895</v>
      </c>
      <c r="U257" s="1472" t="s">
        <v>2804</v>
      </c>
      <c r="W257" s="1488"/>
      <c r="X257" s="1488"/>
      <c r="Y257" s="1488"/>
      <c r="Z257" s="1488"/>
    </row>
    <row r="258" spans="1:26">
      <c r="A258" s="7" t="s">
        <v>690</v>
      </c>
      <c r="B258" s="7" t="s">
        <v>1459</v>
      </c>
      <c r="C258" s="7">
        <v>4</v>
      </c>
      <c r="D258" s="7" t="s">
        <v>1392</v>
      </c>
      <c r="E258" s="7" t="s">
        <v>1453</v>
      </c>
      <c r="F258" s="7" t="s">
        <v>1462</v>
      </c>
      <c r="G258" s="7" t="s">
        <v>2801</v>
      </c>
      <c r="H258" s="7">
        <v>5.8</v>
      </c>
      <c r="I258" s="7" t="s">
        <v>718</v>
      </c>
      <c r="R258" s="1472" t="s">
        <v>3053</v>
      </c>
      <c r="S258" s="1472">
        <v>4</v>
      </c>
      <c r="T258" s="1472" t="s">
        <v>1895</v>
      </c>
      <c r="U258" s="1472" t="s">
        <v>1026</v>
      </c>
      <c r="W258" s="1488"/>
      <c r="X258" s="1488"/>
      <c r="Y258" s="1488"/>
      <c r="Z258" s="1488"/>
    </row>
    <row r="259" spans="1:26">
      <c r="A259" s="7" t="s">
        <v>690</v>
      </c>
      <c r="B259" s="7" t="s">
        <v>1459</v>
      </c>
      <c r="C259" s="7">
        <v>4</v>
      </c>
      <c r="D259" s="7" t="s">
        <v>1392</v>
      </c>
      <c r="E259" s="7" t="s">
        <v>1453</v>
      </c>
      <c r="F259" s="7" t="s">
        <v>1462</v>
      </c>
      <c r="G259" s="7" t="s">
        <v>2796</v>
      </c>
      <c r="H259" s="7">
        <v>5.8</v>
      </c>
      <c r="I259" s="7" t="s">
        <v>718</v>
      </c>
      <c r="R259" s="1472" t="s">
        <v>3053</v>
      </c>
      <c r="S259" s="1472">
        <v>4</v>
      </c>
      <c r="T259" s="1472" t="s">
        <v>1895</v>
      </c>
      <c r="U259" s="1472" t="s">
        <v>2741</v>
      </c>
      <c r="W259" s="1488"/>
      <c r="X259" s="1488"/>
      <c r="Y259" s="1488"/>
      <c r="Z259" s="1488"/>
    </row>
    <row r="260" spans="1:26">
      <c r="A260" s="7" t="s">
        <v>690</v>
      </c>
      <c r="B260" s="7" t="s">
        <v>1459</v>
      </c>
      <c r="C260" s="7">
        <v>4</v>
      </c>
      <c r="D260" s="7" t="s">
        <v>1392</v>
      </c>
      <c r="E260" s="7" t="s">
        <v>1453</v>
      </c>
      <c r="F260" s="7" t="s">
        <v>1462</v>
      </c>
      <c r="G260" s="7" t="s">
        <v>2797</v>
      </c>
      <c r="H260" s="7">
        <v>5.8</v>
      </c>
      <c r="I260" s="7" t="s">
        <v>718</v>
      </c>
      <c r="R260" s="1472" t="s">
        <v>3053</v>
      </c>
      <c r="S260" s="1472">
        <v>4</v>
      </c>
      <c r="T260" s="1472" t="s">
        <v>1895</v>
      </c>
      <c r="U260" s="1472" t="s">
        <v>2742</v>
      </c>
      <c r="W260" s="1488"/>
      <c r="X260" s="1488"/>
      <c r="Y260" s="1488"/>
      <c r="Z260" s="1488"/>
    </row>
    <row r="261" spans="1:26">
      <c r="A261" s="7" t="s">
        <v>690</v>
      </c>
      <c r="B261" s="7" t="s">
        <v>1459</v>
      </c>
      <c r="C261" s="7">
        <v>4</v>
      </c>
      <c r="D261" s="7" t="s">
        <v>1392</v>
      </c>
      <c r="E261" s="7" t="s">
        <v>1453</v>
      </c>
      <c r="F261" s="7" t="s">
        <v>1462</v>
      </c>
      <c r="G261" s="7" t="s">
        <v>2802</v>
      </c>
      <c r="H261" s="7">
        <v>5.8</v>
      </c>
      <c r="I261" s="7" t="s">
        <v>718</v>
      </c>
      <c r="R261" s="1472" t="s">
        <v>687</v>
      </c>
      <c r="S261" s="1472">
        <v>1</v>
      </c>
      <c r="T261" s="1472" t="s">
        <v>451</v>
      </c>
      <c r="U261" s="1472" t="s">
        <v>370</v>
      </c>
      <c r="W261" s="1488"/>
      <c r="X261" s="1488"/>
      <c r="Y261" s="1488"/>
      <c r="Z261" s="1488"/>
    </row>
    <row r="262" spans="1:26">
      <c r="A262" s="7" t="s">
        <v>690</v>
      </c>
      <c r="B262" s="7" t="s">
        <v>1459</v>
      </c>
      <c r="C262" s="7">
        <v>4</v>
      </c>
      <c r="D262" s="7" t="s">
        <v>1392</v>
      </c>
      <c r="E262" s="7" t="s">
        <v>1453</v>
      </c>
      <c r="F262" s="7" t="s">
        <v>1462</v>
      </c>
      <c r="G262" s="7" t="s">
        <v>2803</v>
      </c>
      <c r="H262" s="7">
        <v>5.8</v>
      </c>
      <c r="I262" s="7" t="s">
        <v>718</v>
      </c>
      <c r="R262" s="1472" t="s">
        <v>687</v>
      </c>
      <c r="S262" s="1472">
        <v>1</v>
      </c>
      <c r="T262" s="1472" t="s">
        <v>451</v>
      </c>
      <c r="U262" s="1472" t="s">
        <v>957</v>
      </c>
      <c r="W262" s="1488"/>
      <c r="X262" s="1488"/>
      <c r="Y262" s="1488"/>
      <c r="Z262" s="1488"/>
    </row>
    <row r="263" spans="1:26">
      <c r="A263" s="7" t="s">
        <v>690</v>
      </c>
      <c r="B263" s="7" t="s">
        <v>1459</v>
      </c>
      <c r="C263" s="7">
        <v>4</v>
      </c>
      <c r="D263" s="7" t="s">
        <v>1392</v>
      </c>
      <c r="E263" s="7" t="s">
        <v>1453</v>
      </c>
      <c r="F263" s="7" t="s">
        <v>55</v>
      </c>
      <c r="G263" s="7" t="s">
        <v>2700</v>
      </c>
      <c r="H263" s="7">
        <v>5.8</v>
      </c>
      <c r="I263" s="7" t="s">
        <v>718</v>
      </c>
      <c r="R263" s="1472" t="s">
        <v>687</v>
      </c>
      <c r="S263" s="1472">
        <v>1</v>
      </c>
      <c r="T263" s="1472" t="s">
        <v>451</v>
      </c>
      <c r="U263" s="1472" t="s">
        <v>357</v>
      </c>
      <c r="W263" s="1488"/>
      <c r="X263" s="1488"/>
      <c r="Y263" s="1488"/>
      <c r="Z263" s="1488"/>
    </row>
    <row r="264" spans="1:26">
      <c r="A264" s="7" t="s">
        <v>690</v>
      </c>
      <c r="B264" s="7" t="s">
        <v>1459</v>
      </c>
      <c r="C264" s="7">
        <v>4</v>
      </c>
      <c r="D264" s="7" t="s">
        <v>1392</v>
      </c>
      <c r="E264" s="7" t="s">
        <v>1345</v>
      </c>
      <c r="F264" s="7" t="s">
        <v>1468</v>
      </c>
      <c r="G264" s="7" t="s">
        <v>1469</v>
      </c>
      <c r="H264" s="7">
        <v>5.6</v>
      </c>
      <c r="I264" s="7" t="s">
        <v>718</v>
      </c>
      <c r="R264" s="1472" t="s">
        <v>687</v>
      </c>
      <c r="S264" s="1472">
        <v>1</v>
      </c>
      <c r="T264" s="1472" t="s">
        <v>451</v>
      </c>
      <c r="U264" s="1472" t="s">
        <v>365</v>
      </c>
      <c r="W264" s="1488"/>
      <c r="X264" s="1488"/>
      <c r="Y264" s="1488"/>
      <c r="Z264" s="1488"/>
    </row>
    <row r="265" spans="1:26">
      <c r="A265" s="7" t="s">
        <v>690</v>
      </c>
      <c r="B265" s="7" t="s">
        <v>1459</v>
      </c>
      <c r="C265" s="7">
        <v>4</v>
      </c>
      <c r="D265" s="7" t="s">
        <v>1392</v>
      </c>
      <c r="E265" s="7" t="s">
        <v>1345</v>
      </c>
      <c r="F265" s="7" t="s">
        <v>1468</v>
      </c>
      <c r="G265" s="7" t="s">
        <v>2805</v>
      </c>
      <c r="H265" s="7">
        <v>5.6</v>
      </c>
      <c r="I265" s="7" t="s">
        <v>718</v>
      </c>
      <c r="R265" s="1472" t="s">
        <v>687</v>
      </c>
      <c r="S265" s="1472">
        <v>1</v>
      </c>
      <c r="T265" s="1472" t="s">
        <v>451</v>
      </c>
      <c r="U265" s="1472" t="s">
        <v>363</v>
      </c>
      <c r="W265" s="1488"/>
      <c r="X265" s="1488"/>
      <c r="Y265" s="1488"/>
      <c r="Z265" s="1488"/>
    </row>
    <row r="266" spans="1:26">
      <c r="A266" s="7" t="s">
        <v>690</v>
      </c>
      <c r="B266" s="7" t="s">
        <v>1459</v>
      </c>
      <c r="C266" s="7">
        <v>4</v>
      </c>
      <c r="D266" s="7" t="s">
        <v>1392</v>
      </c>
      <c r="E266" s="7" t="s">
        <v>1345</v>
      </c>
      <c r="F266" s="7" t="s">
        <v>1478</v>
      </c>
      <c r="G266" s="7" t="s">
        <v>2700</v>
      </c>
      <c r="H266" s="7">
        <v>5.6</v>
      </c>
      <c r="I266" s="7" t="s">
        <v>718</v>
      </c>
      <c r="R266" s="1472" t="s">
        <v>687</v>
      </c>
      <c r="S266" s="1472">
        <v>1</v>
      </c>
      <c r="T266" s="1472" t="s">
        <v>451</v>
      </c>
      <c r="U266" s="1472" t="s">
        <v>371</v>
      </c>
      <c r="W266" s="1488"/>
      <c r="X266" s="1488"/>
      <c r="Y266" s="1488"/>
      <c r="Z266" s="1488"/>
    </row>
    <row r="267" spans="1:26">
      <c r="A267" s="7" t="s">
        <v>690</v>
      </c>
      <c r="B267" s="7" t="s">
        <v>1459</v>
      </c>
      <c r="C267" s="7">
        <v>4</v>
      </c>
      <c r="D267" s="7" t="s">
        <v>1392</v>
      </c>
      <c r="E267" s="7" t="s">
        <v>1345</v>
      </c>
      <c r="F267" s="7" t="s">
        <v>1475</v>
      </c>
      <c r="G267" s="7" t="s">
        <v>2807</v>
      </c>
      <c r="H267" s="7">
        <v>5.6</v>
      </c>
      <c r="I267" s="7" t="s">
        <v>718</v>
      </c>
      <c r="R267" s="1472" t="s">
        <v>687</v>
      </c>
      <c r="S267" s="1472">
        <v>1</v>
      </c>
      <c r="T267" s="1472" t="s">
        <v>451</v>
      </c>
      <c r="U267" s="1472" t="s">
        <v>372</v>
      </c>
      <c r="W267" s="1488"/>
      <c r="X267" s="1488"/>
      <c r="Y267" s="1488"/>
      <c r="Z267" s="1488"/>
    </row>
    <row r="268" spans="1:26">
      <c r="A268" s="7" t="s">
        <v>690</v>
      </c>
      <c r="B268" s="7" t="s">
        <v>1459</v>
      </c>
      <c r="C268" s="7">
        <v>4</v>
      </c>
      <c r="D268" s="7" t="s">
        <v>1392</v>
      </c>
      <c r="E268" s="7" t="s">
        <v>1345</v>
      </c>
      <c r="F268" s="7" t="s">
        <v>1475</v>
      </c>
      <c r="G268" s="7" t="s">
        <v>1476</v>
      </c>
      <c r="H268" s="7">
        <v>5.6</v>
      </c>
      <c r="I268" s="7" t="s">
        <v>718</v>
      </c>
      <c r="R268" s="1472" t="s">
        <v>687</v>
      </c>
      <c r="S268" s="1472">
        <v>1</v>
      </c>
      <c r="T268" s="1472" t="s">
        <v>451</v>
      </c>
      <c r="U268" s="1472" t="s">
        <v>373</v>
      </c>
      <c r="W268" s="1488"/>
      <c r="X268" s="1488"/>
      <c r="Y268" s="1488"/>
      <c r="Z268" s="1488"/>
    </row>
    <row r="269" spans="1:26">
      <c r="A269" s="7" t="s">
        <v>690</v>
      </c>
      <c r="B269" s="7" t="s">
        <v>1459</v>
      </c>
      <c r="C269" s="7">
        <v>4</v>
      </c>
      <c r="D269" s="7" t="s">
        <v>1392</v>
      </c>
      <c r="E269" s="7" t="s">
        <v>1345</v>
      </c>
      <c r="F269" s="7" t="s">
        <v>1475</v>
      </c>
      <c r="G269" s="7" t="s">
        <v>2806</v>
      </c>
      <c r="H269" s="7">
        <v>5.6</v>
      </c>
      <c r="I269" s="7" t="s">
        <v>718</v>
      </c>
      <c r="R269" s="1472" t="s">
        <v>687</v>
      </c>
      <c r="S269" s="1472">
        <v>1</v>
      </c>
      <c r="T269" s="1472" t="s">
        <v>451</v>
      </c>
      <c r="U269" s="1472" t="s">
        <v>374</v>
      </c>
      <c r="W269" s="1488"/>
      <c r="X269" s="1488"/>
      <c r="Y269" s="1488"/>
      <c r="Z269" s="1488"/>
    </row>
    <row r="270" spans="1:26">
      <c r="A270" s="7" t="s">
        <v>690</v>
      </c>
      <c r="B270" s="7" t="s">
        <v>1459</v>
      </c>
      <c r="C270" s="7">
        <v>4</v>
      </c>
      <c r="D270" s="7" t="s">
        <v>1392</v>
      </c>
      <c r="E270" s="7" t="s">
        <v>1345</v>
      </c>
      <c r="F270" s="7" t="s">
        <v>1477</v>
      </c>
      <c r="G270" s="7" t="s">
        <v>2700</v>
      </c>
      <c r="H270" s="7">
        <v>5.6</v>
      </c>
      <c r="I270" s="7" t="s">
        <v>718</v>
      </c>
      <c r="R270" s="1472" t="s">
        <v>687</v>
      </c>
      <c r="S270" s="1472">
        <v>1</v>
      </c>
      <c r="T270" s="1472" t="s">
        <v>451</v>
      </c>
      <c r="U270" s="1472" t="s">
        <v>1062</v>
      </c>
      <c r="W270" s="1488"/>
      <c r="X270" s="1488"/>
      <c r="Y270" s="1488"/>
      <c r="Z270" s="1488"/>
    </row>
    <row r="271" spans="1:26">
      <c r="A271" s="7" t="s">
        <v>690</v>
      </c>
      <c r="B271" s="7" t="s">
        <v>1459</v>
      </c>
      <c r="C271" s="7">
        <v>4</v>
      </c>
      <c r="D271" s="7" t="s">
        <v>1392</v>
      </c>
      <c r="E271" s="7" t="s">
        <v>1345</v>
      </c>
      <c r="F271" s="7" t="s">
        <v>1470</v>
      </c>
      <c r="G271" s="7" t="s">
        <v>1471</v>
      </c>
      <c r="H271" s="7">
        <v>5.6</v>
      </c>
      <c r="I271" s="7" t="s">
        <v>718</v>
      </c>
      <c r="R271" s="1472" t="s">
        <v>687</v>
      </c>
      <c r="S271" s="1472">
        <v>1</v>
      </c>
      <c r="T271" s="1472" t="s">
        <v>451</v>
      </c>
      <c r="U271" s="1472" t="s">
        <v>2950</v>
      </c>
      <c r="W271" s="1488"/>
      <c r="X271" s="1488"/>
      <c r="Y271" s="1488"/>
      <c r="Z271" s="1488"/>
    </row>
    <row r="272" spans="1:26">
      <c r="A272" s="7" t="s">
        <v>690</v>
      </c>
      <c r="B272" s="7" t="s">
        <v>1459</v>
      </c>
      <c r="C272" s="7">
        <v>4</v>
      </c>
      <c r="D272" s="7" t="s">
        <v>1392</v>
      </c>
      <c r="E272" s="7" t="s">
        <v>1345</v>
      </c>
      <c r="F272" s="7" t="s">
        <v>1470</v>
      </c>
      <c r="G272" s="7" t="s">
        <v>1472</v>
      </c>
      <c r="H272" s="7">
        <v>5.6</v>
      </c>
      <c r="I272" s="7" t="s">
        <v>718</v>
      </c>
      <c r="R272" s="1472" t="s">
        <v>687</v>
      </c>
      <c r="S272" s="1472">
        <v>1</v>
      </c>
      <c r="T272" s="1472" t="s">
        <v>451</v>
      </c>
      <c r="U272" s="1472" t="s">
        <v>376</v>
      </c>
      <c r="W272" s="1488"/>
      <c r="X272" s="1488"/>
      <c r="Y272" s="1488"/>
      <c r="Z272" s="1488"/>
    </row>
    <row r="273" spans="1:26">
      <c r="A273" s="7" t="s">
        <v>690</v>
      </c>
      <c r="B273" s="7" t="s">
        <v>1459</v>
      </c>
      <c r="C273" s="7">
        <v>4</v>
      </c>
      <c r="D273" s="7" t="s">
        <v>1392</v>
      </c>
      <c r="E273" s="7" t="s">
        <v>1345</v>
      </c>
      <c r="F273" s="7" t="s">
        <v>2789</v>
      </c>
      <c r="G273" s="7" t="s">
        <v>2808</v>
      </c>
      <c r="H273" s="7">
        <v>5.6</v>
      </c>
      <c r="I273" s="7" t="s">
        <v>718</v>
      </c>
      <c r="R273" s="1472" t="s">
        <v>687</v>
      </c>
      <c r="S273" s="1472">
        <v>1</v>
      </c>
      <c r="T273" s="1472" t="s">
        <v>451</v>
      </c>
      <c r="U273" s="1472" t="s">
        <v>359</v>
      </c>
      <c r="W273" s="1488"/>
      <c r="X273" s="1488"/>
      <c r="Y273" s="1488"/>
      <c r="Z273" s="1488"/>
    </row>
    <row r="274" spans="1:26">
      <c r="A274" s="7" t="s">
        <v>690</v>
      </c>
      <c r="B274" s="7" t="s">
        <v>1459</v>
      </c>
      <c r="C274" s="7">
        <v>4</v>
      </c>
      <c r="D274" s="7" t="s">
        <v>1392</v>
      </c>
      <c r="E274" s="7" t="s">
        <v>1345</v>
      </c>
      <c r="F274" s="7" t="s">
        <v>1473</v>
      </c>
      <c r="G274" s="7" t="s">
        <v>1474</v>
      </c>
      <c r="H274" s="7">
        <v>5.6</v>
      </c>
      <c r="I274" s="7" t="s">
        <v>718</v>
      </c>
      <c r="R274" s="1472" t="s">
        <v>687</v>
      </c>
      <c r="S274" s="1472">
        <v>1</v>
      </c>
      <c r="T274" s="1472" t="s">
        <v>451</v>
      </c>
      <c r="U274" s="1472" t="s">
        <v>377</v>
      </c>
      <c r="W274" s="1488"/>
      <c r="X274" s="1488"/>
      <c r="Y274" s="1488"/>
      <c r="Z274" s="1488"/>
    </row>
    <row r="275" spans="1:26">
      <c r="A275" s="7" t="s">
        <v>690</v>
      </c>
      <c r="B275" s="7" t="s">
        <v>1459</v>
      </c>
      <c r="C275" s="7">
        <v>4</v>
      </c>
      <c r="D275" s="7" t="s">
        <v>1392</v>
      </c>
      <c r="E275" s="7" t="s">
        <v>1345</v>
      </c>
      <c r="F275" s="7" t="s">
        <v>1473</v>
      </c>
      <c r="G275" s="7" t="s">
        <v>2809</v>
      </c>
      <c r="H275" s="7">
        <v>5.6</v>
      </c>
      <c r="I275" s="7" t="s">
        <v>718</v>
      </c>
      <c r="R275" s="1472" t="s">
        <v>687</v>
      </c>
      <c r="S275" s="1472">
        <v>1</v>
      </c>
      <c r="T275" s="1472" t="s">
        <v>451</v>
      </c>
      <c r="U275" s="1472" t="s">
        <v>378</v>
      </c>
      <c r="W275" s="1488"/>
      <c r="X275" s="1488"/>
      <c r="Y275" s="1488"/>
      <c r="Z275" s="1488"/>
    </row>
    <row r="276" spans="1:26">
      <c r="A276" s="7" t="s">
        <v>690</v>
      </c>
      <c r="B276" s="7" t="s">
        <v>1459</v>
      </c>
      <c r="C276" s="7">
        <v>4</v>
      </c>
      <c r="D276" s="7" t="s">
        <v>1392</v>
      </c>
      <c r="E276" s="7" t="s">
        <v>1345</v>
      </c>
      <c r="F276" s="7" t="s">
        <v>1033</v>
      </c>
      <c r="G276" s="7" t="s">
        <v>2700</v>
      </c>
      <c r="H276" s="7">
        <v>5.6</v>
      </c>
      <c r="I276" s="7" t="s">
        <v>718</v>
      </c>
      <c r="R276" s="1472" t="s">
        <v>687</v>
      </c>
      <c r="S276" s="1472">
        <v>2</v>
      </c>
      <c r="T276" s="1472" t="s">
        <v>1029</v>
      </c>
      <c r="U276" s="1472" t="s">
        <v>370</v>
      </c>
      <c r="W276" s="1488"/>
      <c r="X276" s="1488"/>
      <c r="Y276" s="1488"/>
      <c r="Z276" s="1488"/>
    </row>
    <row r="277" spans="1:26">
      <c r="A277" s="7" t="s">
        <v>690</v>
      </c>
      <c r="B277" s="7" t="s">
        <v>1459</v>
      </c>
      <c r="C277" s="7">
        <v>4</v>
      </c>
      <c r="D277" s="7" t="s">
        <v>1392</v>
      </c>
      <c r="E277" s="7" t="s">
        <v>1345</v>
      </c>
      <c r="F277" s="7" t="s">
        <v>1020</v>
      </c>
      <c r="G277" s="7" t="s">
        <v>2700</v>
      </c>
      <c r="H277" s="7">
        <v>5.6</v>
      </c>
      <c r="I277" s="7" t="s">
        <v>718</v>
      </c>
      <c r="R277" s="1472" t="s">
        <v>687</v>
      </c>
      <c r="S277" s="1472">
        <v>2</v>
      </c>
      <c r="T277" s="1472" t="s">
        <v>1029</v>
      </c>
      <c r="U277" s="1472" t="s">
        <v>357</v>
      </c>
      <c r="W277" s="1488"/>
      <c r="X277" s="1488"/>
      <c r="Y277" s="1488"/>
      <c r="Z277" s="1488"/>
    </row>
    <row r="278" spans="1:26">
      <c r="A278" s="7" t="s">
        <v>690</v>
      </c>
      <c r="B278" s="7" t="s">
        <v>1459</v>
      </c>
      <c r="C278" s="7">
        <v>4</v>
      </c>
      <c r="D278" s="7" t="s">
        <v>1392</v>
      </c>
      <c r="E278" s="7" t="s">
        <v>1345</v>
      </c>
      <c r="F278" s="7" t="s">
        <v>1021</v>
      </c>
      <c r="G278" s="7" t="s">
        <v>2700</v>
      </c>
      <c r="H278" s="7">
        <v>5.6</v>
      </c>
      <c r="I278" s="7" t="s">
        <v>718</v>
      </c>
      <c r="R278" s="1472" t="s">
        <v>687</v>
      </c>
      <c r="S278" s="1472">
        <v>2</v>
      </c>
      <c r="T278" s="1472" t="s">
        <v>1029</v>
      </c>
      <c r="U278" s="1472" t="s">
        <v>363</v>
      </c>
      <c r="W278" s="1488"/>
      <c r="X278" s="1488"/>
      <c r="Y278" s="1488"/>
      <c r="Z278" s="1488"/>
    </row>
    <row r="279" spans="1:26">
      <c r="A279" s="7" t="s">
        <v>690</v>
      </c>
      <c r="B279" s="7" t="s">
        <v>1459</v>
      </c>
      <c r="C279" s="7">
        <v>4</v>
      </c>
      <c r="D279" s="7" t="s">
        <v>1392</v>
      </c>
      <c r="E279" s="7" t="s">
        <v>1345</v>
      </c>
      <c r="F279" s="7" t="s">
        <v>1022</v>
      </c>
      <c r="G279" s="7" t="s">
        <v>2700</v>
      </c>
      <c r="H279" s="7">
        <v>5.6</v>
      </c>
      <c r="I279" s="7" t="s">
        <v>718</v>
      </c>
      <c r="R279" s="1472" t="s">
        <v>687</v>
      </c>
      <c r="S279" s="1472">
        <v>2</v>
      </c>
      <c r="T279" s="1472" t="s">
        <v>1029</v>
      </c>
      <c r="U279" s="1472" t="s">
        <v>371</v>
      </c>
      <c r="W279" s="1488"/>
      <c r="X279" s="1488"/>
      <c r="Y279" s="1488"/>
      <c r="Z279" s="1488"/>
    </row>
    <row r="280" spans="1:26">
      <c r="A280" s="7" t="s">
        <v>690</v>
      </c>
      <c r="B280" s="7" t="s">
        <v>1459</v>
      </c>
      <c r="C280" s="7">
        <v>4</v>
      </c>
      <c r="D280" s="7" t="s">
        <v>1392</v>
      </c>
      <c r="E280" s="7" t="s">
        <v>1345</v>
      </c>
      <c r="F280" s="7" t="s">
        <v>1023</v>
      </c>
      <c r="G280" s="7" t="s">
        <v>2700</v>
      </c>
      <c r="H280" s="7">
        <v>5.6</v>
      </c>
      <c r="I280" s="7" t="s">
        <v>718</v>
      </c>
      <c r="R280" s="1472" t="s">
        <v>687</v>
      </c>
      <c r="S280" s="1472">
        <v>2</v>
      </c>
      <c r="T280" s="1472" t="s">
        <v>1029</v>
      </c>
      <c r="U280" s="1472" t="s">
        <v>373</v>
      </c>
      <c r="W280" s="1488"/>
      <c r="X280" s="1488"/>
      <c r="Y280" s="1488"/>
      <c r="Z280" s="1488"/>
    </row>
    <row r="281" spans="1:26">
      <c r="A281" s="7" t="s">
        <v>690</v>
      </c>
      <c r="B281" s="7" t="s">
        <v>1459</v>
      </c>
      <c r="C281" s="7">
        <v>4</v>
      </c>
      <c r="D281" s="7" t="s">
        <v>1392</v>
      </c>
      <c r="E281" s="7" t="s">
        <v>1345</v>
      </c>
      <c r="F281" s="7" t="s">
        <v>1463</v>
      </c>
      <c r="G281" s="7" t="s">
        <v>1465</v>
      </c>
      <c r="H281" s="7">
        <v>5.6</v>
      </c>
      <c r="I281" s="7" t="s">
        <v>718</v>
      </c>
      <c r="R281" s="1472" t="s">
        <v>687</v>
      </c>
      <c r="S281" s="1472">
        <v>2</v>
      </c>
      <c r="T281" s="1472" t="s">
        <v>1029</v>
      </c>
      <c r="U281" s="1472" t="s">
        <v>2961</v>
      </c>
      <c r="W281" s="1488"/>
      <c r="X281" s="1488"/>
      <c r="Y281" s="1488"/>
      <c r="Z281" s="1488"/>
    </row>
    <row r="282" spans="1:26">
      <c r="A282" s="7" t="s">
        <v>690</v>
      </c>
      <c r="B282" s="7" t="s">
        <v>1459</v>
      </c>
      <c r="C282" s="7">
        <v>4</v>
      </c>
      <c r="D282" s="7" t="s">
        <v>1392</v>
      </c>
      <c r="E282" s="7" t="s">
        <v>1345</v>
      </c>
      <c r="F282" s="7" t="s">
        <v>1463</v>
      </c>
      <c r="G282" s="7" t="s">
        <v>1464</v>
      </c>
      <c r="H282" s="7">
        <v>5.6</v>
      </c>
      <c r="I282" s="7" t="s">
        <v>718</v>
      </c>
      <c r="R282" s="1472" t="s">
        <v>687</v>
      </c>
      <c r="S282" s="1472">
        <v>2</v>
      </c>
      <c r="T282" s="1472" t="s">
        <v>1029</v>
      </c>
      <c r="U282" s="1472" t="s">
        <v>1062</v>
      </c>
      <c r="W282" s="1488"/>
      <c r="X282" s="1488"/>
      <c r="Y282" s="1488"/>
      <c r="Z282" s="1488"/>
    </row>
    <row r="283" spans="1:26">
      <c r="A283" s="7" t="s">
        <v>690</v>
      </c>
      <c r="B283" s="7" t="s">
        <v>1459</v>
      </c>
      <c r="C283" s="7">
        <v>4</v>
      </c>
      <c r="D283" s="7" t="s">
        <v>1392</v>
      </c>
      <c r="E283" s="7" t="s">
        <v>1345</v>
      </c>
      <c r="F283" s="7" t="s">
        <v>1463</v>
      </c>
      <c r="G283" s="7" t="s">
        <v>1467</v>
      </c>
      <c r="H283" s="7">
        <v>5.6</v>
      </c>
      <c r="I283" s="7" t="s">
        <v>718</v>
      </c>
      <c r="R283" s="1472" t="s">
        <v>687</v>
      </c>
      <c r="S283" s="1472">
        <v>2</v>
      </c>
      <c r="T283" s="1472" t="s">
        <v>1029</v>
      </c>
      <c r="U283" s="1472" t="s">
        <v>2963</v>
      </c>
      <c r="W283" s="1488"/>
      <c r="X283" s="1488"/>
      <c r="Y283" s="1488"/>
      <c r="Z283" s="1488"/>
    </row>
    <row r="284" spans="1:26">
      <c r="A284" s="7" t="s">
        <v>690</v>
      </c>
      <c r="B284" s="7" t="s">
        <v>1459</v>
      </c>
      <c r="C284" s="7">
        <v>4</v>
      </c>
      <c r="D284" s="7" t="s">
        <v>1392</v>
      </c>
      <c r="E284" s="7" t="s">
        <v>1345</v>
      </c>
      <c r="F284" s="7" t="s">
        <v>1463</v>
      </c>
      <c r="G284" s="7" t="s">
        <v>1466</v>
      </c>
      <c r="H284" s="7">
        <v>5.6</v>
      </c>
      <c r="I284" s="7" t="s">
        <v>718</v>
      </c>
      <c r="R284" s="1472" t="s">
        <v>687</v>
      </c>
      <c r="S284" s="1472">
        <v>2</v>
      </c>
      <c r="T284" s="1472" t="s">
        <v>1029</v>
      </c>
      <c r="U284" s="1472" t="s">
        <v>375</v>
      </c>
      <c r="W284" s="1488"/>
      <c r="X284" s="1488"/>
      <c r="Y284" s="1488"/>
      <c r="Z284" s="1488"/>
    </row>
    <row r="285" spans="1:26">
      <c r="A285" s="7" t="s">
        <v>690</v>
      </c>
      <c r="B285" s="7" t="s">
        <v>1459</v>
      </c>
      <c r="C285" s="7">
        <v>4</v>
      </c>
      <c r="D285" s="7" t="s">
        <v>1392</v>
      </c>
      <c r="E285" s="7" t="s">
        <v>1345</v>
      </c>
      <c r="F285" s="7" t="s">
        <v>1479</v>
      </c>
      <c r="G285" s="7" t="s">
        <v>2700</v>
      </c>
      <c r="H285" s="7">
        <v>5.6</v>
      </c>
      <c r="I285" s="7" t="s">
        <v>718</v>
      </c>
      <c r="R285" s="1472" t="s">
        <v>687</v>
      </c>
      <c r="S285" s="1472">
        <v>2</v>
      </c>
      <c r="T285" s="1472" t="s">
        <v>1029</v>
      </c>
      <c r="U285" s="1472" t="s">
        <v>2964</v>
      </c>
      <c r="W285" s="1488"/>
      <c r="X285" s="1488"/>
      <c r="Y285" s="1488"/>
      <c r="Z285" s="1488"/>
    </row>
    <row r="286" spans="1:26">
      <c r="A286" s="7" t="s">
        <v>690</v>
      </c>
      <c r="B286" s="7" t="s">
        <v>1459</v>
      </c>
      <c r="C286" s="7">
        <v>4</v>
      </c>
      <c r="D286" s="7" t="s">
        <v>1392</v>
      </c>
      <c r="E286" s="7" t="s">
        <v>1455</v>
      </c>
      <c r="F286" s="7" t="s">
        <v>1024</v>
      </c>
      <c r="G286" s="7" t="s">
        <v>2700</v>
      </c>
      <c r="H286" s="7">
        <v>5.6</v>
      </c>
      <c r="I286" s="7" t="s">
        <v>718</v>
      </c>
      <c r="R286" s="1472" t="s">
        <v>687</v>
      </c>
      <c r="S286" s="1472">
        <v>2</v>
      </c>
      <c r="T286" s="1472" t="s">
        <v>1029</v>
      </c>
      <c r="U286" s="1472" t="s">
        <v>172</v>
      </c>
      <c r="W286" s="1488"/>
      <c r="X286" s="1488"/>
      <c r="Y286" s="1488"/>
      <c r="Z286" s="1488"/>
    </row>
    <row r="287" spans="1:26">
      <c r="A287" s="7" t="s">
        <v>690</v>
      </c>
      <c r="B287" s="7" t="s">
        <v>1459</v>
      </c>
      <c r="C287" s="7">
        <v>4</v>
      </c>
      <c r="D287" s="7" t="s">
        <v>1392</v>
      </c>
      <c r="E287" s="7" t="s">
        <v>3062</v>
      </c>
      <c r="F287" s="7" t="s">
        <v>2804</v>
      </c>
      <c r="G287" s="7" t="s">
        <v>2700</v>
      </c>
      <c r="H287" s="7">
        <v>5.8</v>
      </c>
      <c r="I287" s="7" t="s">
        <v>718</v>
      </c>
      <c r="R287" s="1472" t="s">
        <v>687</v>
      </c>
      <c r="S287" s="1472">
        <v>2</v>
      </c>
      <c r="T287" s="1472" t="s">
        <v>1029</v>
      </c>
      <c r="U287" s="1472" t="s">
        <v>376</v>
      </c>
      <c r="W287" s="1488"/>
      <c r="X287" s="1488"/>
      <c r="Y287" s="1488"/>
      <c r="Z287" s="1488"/>
    </row>
    <row r="288" spans="1:26">
      <c r="A288" s="7" t="s">
        <v>690</v>
      </c>
      <c r="B288" s="7" t="s">
        <v>1459</v>
      </c>
      <c r="C288" s="7">
        <v>4</v>
      </c>
      <c r="D288" s="7" t="s">
        <v>1392</v>
      </c>
      <c r="E288" s="7" t="s">
        <v>3062</v>
      </c>
      <c r="F288" s="7" t="s">
        <v>2804</v>
      </c>
      <c r="G288" s="7" t="s">
        <v>2810</v>
      </c>
      <c r="H288" s="7">
        <v>5.8</v>
      </c>
      <c r="I288" s="7" t="s">
        <v>718</v>
      </c>
      <c r="R288" s="1472" t="s">
        <v>687</v>
      </c>
      <c r="S288" s="1472">
        <v>2</v>
      </c>
      <c r="T288" s="1472" t="s">
        <v>1029</v>
      </c>
      <c r="U288" s="1472" t="s">
        <v>377</v>
      </c>
      <c r="W288" s="1488"/>
      <c r="X288" s="1488"/>
      <c r="Y288" s="1488"/>
      <c r="Z288" s="1488"/>
    </row>
    <row r="289" spans="1:26">
      <c r="A289" s="7" t="s">
        <v>690</v>
      </c>
      <c r="B289" s="7" t="s">
        <v>1459</v>
      </c>
      <c r="C289" s="7">
        <v>4</v>
      </c>
      <c r="D289" s="7" t="s">
        <v>1392</v>
      </c>
      <c r="E289" s="7" t="s">
        <v>3062</v>
      </c>
      <c r="F289" s="7" t="s">
        <v>2804</v>
      </c>
      <c r="G289" s="7" t="s">
        <v>2811</v>
      </c>
      <c r="H289" s="7">
        <v>5.8</v>
      </c>
      <c r="I289" s="7" t="s">
        <v>719</v>
      </c>
      <c r="R289" s="1472" t="s">
        <v>687</v>
      </c>
      <c r="S289" s="1472">
        <v>2</v>
      </c>
      <c r="T289" s="1472" t="s">
        <v>1029</v>
      </c>
      <c r="U289" s="1472" t="s">
        <v>361</v>
      </c>
      <c r="W289" s="1488"/>
      <c r="X289" s="1488"/>
      <c r="Y289" s="1488"/>
      <c r="Z289" s="1488"/>
    </row>
    <row r="290" spans="1:26">
      <c r="A290" s="7" t="s">
        <v>690</v>
      </c>
      <c r="B290" s="7" t="s">
        <v>1459</v>
      </c>
      <c r="C290" s="7">
        <v>4</v>
      </c>
      <c r="D290" s="7" t="s">
        <v>1392</v>
      </c>
      <c r="E290" s="7" t="s">
        <v>3062</v>
      </c>
      <c r="F290" s="7" t="s">
        <v>2804</v>
      </c>
      <c r="G290" s="7" t="s">
        <v>2812</v>
      </c>
      <c r="H290" s="7">
        <v>5.8</v>
      </c>
      <c r="I290" s="7" t="s">
        <v>719</v>
      </c>
      <c r="R290" s="1472" t="s">
        <v>3052</v>
      </c>
      <c r="S290" s="1472">
        <v>1</v>
      </c>
      <c r="T290" s="1472" t="s">
        <v>1251</v>
      </c>
      <c r="U290" s="1472" t="s">
        <v>989</v>
      </c>
      <c r="W290" s="1488"/>
      <c r="X290" s="1488"/>
      <c r="Y290" s="1488"/>
      <c r="Z290" s="1488"/>
    </row>
    <row r="291" spans="1:26">
      <c r="A291" s="7" t="s">
        <v>690</v>
      </c>
      <c r="B291" s="7" t="s">
        <v>1459</v>
      </c>
      <c r="C291" s="7">
        <v>4</v>
      </c>
      <c r="D291" s="7" t="s">
        <v>1392</v>
      </c>
      <c r="E291" s="7" t="s">
        <v>3062</v>
      </c>
      <c r="F291" s="7" t="s">
        <v>1026</v>
      </c>
      <c r="G291" s="7" t="s">
        <v>2700</v>
      </c>
      <c r="H291" s="7">
        <v>5.6</v>
      </c>
      <c r="I291" s="7" t="s">
        <v>718</v>
      </c>
      <c r="R291" s="1472" t="s">
        <v>3052</v>
      </c>
      <c r="S291" s="1472">
        <v>1</v>
      </c>
      <c r="T291" s="1472" t="s">
        <v>1251</v>
      </c>
      <c r="U291" s="1472" t="s">
        <v>2979</v>
      </c>
      <c r="W291" s="1488"/>
      <c r="X291" s="1488"/>
      <c r="Y291" s="1488"/>
      <c r="Z291" s="1488"/>
    </row>
    <row r="292" spans="1:26">
      <c r="A292" s="7" t="s">
        <v>690</v>
      </c>
      <c r="B292" s="7" t="s">
        <v>1037</v>
      </c>
      <c r="C292" s="7">
        <v>1</v>
      </c>
      <c r="D292" s="7" t="s">
        <v>436</v>
      </c>
      <c r="E292" s="7" t="s">
        <v>436</v>
      </c>
      <c r="F292" s="7" t="s">
        <v>105</v>
      </c>
      <c r="G292" s="7" t="s">
        <v>1252</v>
      </c>
      <c r="H292" s="7">
        <v>4.0999999999999996</v>
      </c>
      <c r="I292" s="7" t="s">
        <v>718</v>
      </c>
      <c r="R292" s="1472" t="s">
        <v>3052</v>
      </c>
      <c r="S292" s="1472">
        <v>1</v>
      </c>
      <c r="T292" s="1472" t="s">
        <v>1251</v>
      </c>
      <c r="U292" s="1472" t="s">
        <v>1172</v>
      </c>
      <c r="W292" s="1488"/>
      <c r="X292" s="1488"/>
      <c r="Y292" s="1488"/>
      <c r="Z292" s="1488"/>
    </row>
    <row r="293" spans="1:26">
      <c r="A293" s="7" t="s">
        <v>690</v>
      </c>
      <c r="B293" s="7" t="s">
        <v>1037</v>
      </c>
      <c r="C293" s="7">
        <v>1</v>
      </c>
      <c r="D293" s="7" t="s">
        <v>436</v>
      </c>
      <c r="E293" s="7" t="s">
        <v>436</v>
      </c>
      <c r="F293" s="7" t="s">
        <v>105</v>
      </c>
      <c r="G293" s="7" t="s">
        <v>1253</v>
      </c>
      <c r="H293" s="7">
        <v>4.0999999999999996</v>
      </c>
      <c r="I293" s="7" t="s">
        <v>718</v>
      </c>
      <c r="R293" s="1472" t="s">
        <v>3052</v>
      </c>
      <c r="S293" s="1472">
        <v>1</v>
      </c>
      <c r="T293" s="1472" t="s">
        <v>1251</v>
      </c>
      <c r="U293" s="1472" t="s">
        <v>1173</v>
      </c>
      <c r="W293" s="1488"/>
      <c r="X293" s="1488"/>
      <c r="Y293" s="1488"/>
      <c r="Z293" s="1488"/>
    </row>
    <row r="294" spans="1:26">
      <c r="A294" s="7" t="s">
        <v>690</v>
      </c>
      <c r="B294" s="7" t="s">
        <v>1037</v>
      </c>
      <c r="C294" s="7">
        <v>1</v>
      </c>
      <c r="D294" s="7" t="s">
        <v>436</v>
      </c>
      <c r="E294" s="7" t="s">
        <v>436</v>
      </c>
      <c r="F294" s="7" t="s">
        <v>105</v>
      </c>
      <c r="G294" s="7" t="s">
        <v>1254</v>
      </c>
      <c r="H294" s="7">
        <v>4.0999999999999996</v>
      </c>
      <c r="I294" s="7" t="s">
        <v>718</v>
      </c>
      <c r="R294" s="1472" t="s">
        <v>3052</v>
      </c>
      <c r="S294" s="1472">
        <v>2</v>
      </c>
      <c r="T294" s="1472" t="s">
        <v>1349</v>
      </c>
      <c r="U294" s="1472" t="s">
        <v>448</v>
      </c>
      <c r="W294" s="1488"/>
      <c r="X294" s="1488"/>
      <c r="Y294" s="1488"/>
      <c r="Z294" s="1488"/>
    </row>
    <row r="295" spans="1:26">
      <c r="A295" s="7" t="s">
        <v>690</v>
      </c>
      <c r="B295" s="7" t="s">
        <v>1037</v>
      </c>
      <c r="C295" s="7">
        <v>1</v>
      </c>
      <c r="D295" s="7" t="s">
        <v>436</v>
      </c>
      <c r="E295" s="7" t="s">
        <v>436</v>
      </c>
      <c r="F295" s="7" t="s">
        <v>2813</v>
      </c>
      <c r="G295" s="7" t="s">
        <v>2814</v>
      </c>
      <c r="H295" s="7">
        <v>4.0999999999999996</v>
      </c>
      <c r="I295" s="7" t="s">
        <v>718</v>
      </c>
      <c r="R295" s="1472" t="s">
        <v>3052</v>
      </c>
      <c r="S295" s="1472">
        <v>2</v>
      </c>
      <c r="T295" s="1472" t="s">
        <v>1349</v>
      </c>
      <c r="U295" s="1472" t="s">
        <v>1176</v>
      </c>
      <c r="W295" s="1488"/>
      <c r="X295" s="1488"/>
      <c r="Y295" s="1488"/>
      <c r="Z295" s="1488"/>
    </row>
    <row r="296" spans="1:26">
      <c r="A296" s="7" t="s">
        <v>690</v>
      </c>
      <c r="B296" s="7" t="s">
        <v>1037</v>
      </c>
      <c r="C296" s="7">
        <v>1</v>
      </c>
      <c r="D296" s="7" t="s">
        <v>436</v>
      </c>
      <c r="E296" s="7" t="s">
        <v>436</v>
      </c>
      <c r="F296" s="7" t="s">
        <v>106</v>
      </c>
      <c r="G296" s="7" t="s">
        <v>2815</v>
      </c>
      <c r="H296" s="7">
        <v>4.0999999999999996</v>
      </c>
      <c r="I296" s="7" t="s">
        <v>718</v>
      </c>
      <c r="R296" s="1472" t="s">
        <v>3052</v>
      </c>
      <c r="S296" s="1472">
        <v>2</v>
      </c>
      <c r="T296" s="1472" t="s">
        <v>1348</v>
      </c>
      <c r="U296" s="1472" t="s">
        <v>1350</v>
      </c>
      <c r="W296" s="1488"/>
      <c r="X296" s="1488"/>
      <c r="Y296" s="1488"/>
      <c r="Z296" s="1488"/>
    </row>
    <row r="297" spans="1:26">
      <c r="A297" s="7" t="s">
        <v>690</v>
      </c>
      <c r="B297" s="7" t="s">
        <v>1037</v>
      </c>
      <c r="C297" s="7">
        <v>1</v>
      </c>
      <c r="D297" s="7" t="s">
        <v>436</v>
      </c>
      <c r="E297" s="7" t="s">
        <v>436</v>
      </c>
      <c r="F297" s="7" t="s">
        <v>106</v>
      </c>
      <c r="G297" s="7" t="s">
        <v>1255</v>
      </c>
      <c r="H297" s="7">
        <v>4.0999999999999996</v>
      </c>
      <c r="I297" s="7" t="s">
        <v>718</v>
      </c>
      <c r="R297" s="1472" t="s">
        <v>3052</v>
      </c>
      <c r="S297" s="1472">
        <v>2</v>
      </c>
      <c r="T297" s="1472" t="s">
        <v>1348</v>
      </c>
      <c r="U297" s="1472" t="s">
        <v>2777</v>
      </c>
      <c r="W297" s="1488"/>
      <c r="X297" s="1488"/>
      <c r="Y297" s="1488"/>
      <c r="Z297" s="1488"/>
    </row>
    <row r="298" spans="1:26">
      <c r="A298" s="7" t="s">
        <v>690</v>
      </c>
      <c r="B298" s="7" t="s">
        <v>1037</v>
      </c>
      <c r="C298" s="7">
        <v>1</v>
      </c>
      <c r="D298" s="7" t="s">
        <v>436</v>
      </c>
      <c r="E298" s="7" t="s">
        <v>436</v>
      </c>
      <c r="F298" s="7" t="s">
        <v>106</v>
      </c>
      <c r="G298" s="7" t="s">
        <v>1256</v>
      </c>
      <c r="H298" s="7">
        <v>4.0999999999999996</v>
      </c>
      <c r="I298" s="7" t="s">
        <v>718</v>
      </c>
      <c r="R298" s="1472" t="s">
        <v>3052</v>
      </c>
      <c r="S298" s="1472">
        <v>2</v>
      </c>
      <c r="T298" s="1472" t="s">
        <v>1348</v>
      </c>
      <c r="U298" s="1472" t="s">
        <v>2773</v>
      </c>
      <c r="W298" s="1488"/>
      <c r="X298" s="1488"/>
      <c r="Y298" s="1488"/>
      <c r="Z298" s="1488"/>
    </row>
    <row r="299" spans="1:26">
      <c r="A299" s="7" t="s">
        <v>690</v>
      </c>
      <c r="B299" s="7" t="s">
        <v>1037</v>
      </c>
      <c r="C299" s="7">
        <v>1</v>
      </c>
      <c r="D299" s="7" t="s">
        <v>436</v>
      </c>
      <c r="E299" s="7" t="s">
        <v>436</v>
      </c>
      <c r="F299" s="7" t="s">
        <v>107</v>
      </c>
      <c r="G299" s="7" t="s">
        <v>1257</v>
      </c>
      <c r="H299" s="7">
        <v>4.0999999999999996</v>
      </c>
      <c r="I299" s="7" t="s">
        <v>718</v>
      </c>
      <c r="R299" s="1472" t="s">
        <v>3052</v>
      </c>
      <c r="S299" s="1472">
        <v>2</v>
      </c>
      <c r="T299" s="1472" t="s">
        <v>2980</v>
      </c>
      <c r="U299" s="1472" t="s">
        <v>2734</v>
      </c>
      <c r="W299" s="1488"/>
      <c r="X299" s="1488"/>
      <c r="Y299" s="1488"/>
      <c r="Z299" s="1488"/>
    </row>
    <row r="300" spans="1:26">
      <c r="A300" s="7" t="s">
        <v>690</v>
      </c>
      <c r="B300" s="7" t="s">
        <v>1037</v>
      </c>
      <c r="C300" s="7">
        <v>1</v>
      </c>
      <c r="D300" s="7" t="s">
        <v>436</v>
      </c>
      <c r="E300" s="7" t="s">
        <v>436</v>
      </c>
      <c r="F300" s="7" t="s">
        <v>107</v>
      </c>
      <c r="G300" s="7" t="s">
        <v>1258</v>
      </c>
      <c r="H300" s="7">
        <v>4.0999999999999996</v>
      </c>
      <c r="I300" s="7" t="s">
        <v>718</v>
      </c>
      <c r="R300" s="1472" t="s">
        <v>3052</v>
      </c>
      <c r="S300" s="1472">
        <v>2</v>
      </c>
      <c r="T300" s="1472" t="s">
        <v>2980</v>
      </c>
      <c r="U300" s="1472" t="s">
        <v>2735</v>
      </c>
      <c r="W300" s="1488"/>
      <c r="X300" s="1488"/>
      <c r="Y300" s="1488"/>
      <c r="Z300" s="1488"/>
    </row>
    <row r="301" spans="1:26">
      <c r="A301" s="7" t="s">
        <v>690</v>
      </c>
      <c r="B301" s="7" t="s">
        <v>1037</v>
      </c>
      <c r="C301" s="7">
        <v>1</v>
      </c>
      <c r="D301" s="7" t="s">
        <v>436</v>
      </c>
      <c r="E301" s="7" t="s">
        <v>436</v>
      </c>
      <c r="F301" s="7" t="s">
        <v>108</v>
      </c>
      <c r="G301" s="7" t="s">
        <v>1259</v>
      </c>
      <c r="H301" s="7">
        <v>4.0999999999999996</v>
      </c>
      <c r="I301" s="7" t="s">
        <v>718</v>
      </c>
      <c r="R301" s="1472" t="s">
        <v>3052</v>
      </c>
      <c r="S301" s="1472">
        <v>2</v>
      </c>
      <c r="T301" s="1472" t="s">
        <v>2980</v>
      </c>
      <c r="U301" s="1472" t="s">
        <v>2736</v>
      </c>
      <c r="W301" s="1488"/>
      <c r="X301" s="1488"/>
      <c r="Y301" s="1488"/>
      <c r="Z301" s="1488"/>
    </row>
    <row r="302" spans="1:26">
      <c r="A302" s="7" t="s">
        <v>690</v>
      </c>
      <c r="B302" s="7" t="s">
        <v>1037</v>
      </c>
      <c r="C302" s="7">
        <v>1</v>
      </c>
      <c r="D302" s="7" t="s">
        <v>436</v>
      </c>
      <c r="E302" s="7" t="s">
        <v>436</v>
      </c>
      <c r="F302" s="7" t="s">
        <v>108</v>
      </c>
      <c r="G302" s="7" t="s">
        <v>1260</v>
      </c>
      <c r="H302" s="7">
        <v>4.0999999999999996</v>
      </c>
      <c r="I302" s="7" t="s">
        <v>718</v>
      </c>
      <c r="R302" s="1472" t="s">
        <v>3052</v>
      </c>
      <c r="S302" s="1472">
        <v>2</v>
      </c>
      <c r="T302" s="1472" t="s">
        <v>2980</v>
      </c>
      <c r="U302" s="1472" t="s">
        <v>2737</v>
      </c>
      <c r="W302" s="1488"/>
      <c r="X302" s="1488"/>
      <c r="Y302" s="1488"/>
      <c r="Z302" s="1488"/>
    </row>
    <row r="303" spans="1:26">
      <c r="A303" s="7" t="s">
        <v>690</v>
      </c>
      <c r="B303" s="7" t="s">
        <v>1037</v>
      </c>
      <c r="C303" s="7">
        <v>1</v>
      </c>
      <c r="D303" s="7" t="s">
        <v>436</v>
      </c>
      <c r="E303" s="7" t="s">
        <v>436</v>
      </c>
      <c r="F303" s="7" t="s">
        <v>108</v>
      </c>
      <c r="G303" s="7" t="s">
        <v>1261</v>
      </c>
      <c r="H303" s="7">
        <v>4.0999999999999996</v>
      </c>
      <c r="I303" s="7" t="s">
        <v>718</v>
      </c>
      <c r="R303" s="1472" t="s">
        <v>3052</v>
      </c>
      <c r="S303" s="1472">
        <v>2</v>
      </c>
      <c r="T303" s="1472" t="s">
        <v>2981</v>
      </c>
      <c r="U303" s="1472" t="s">
        <v>2739</v>
      </c>
      <c r="W303" s="1488"/>
      <c r="X303" s="1488"/>
      <c r="Y303" s="1488"/>
      <c r="Z303" s="1488"/>
    </row>
    <row r="304" spans="1:26">
      <c r="A304" s="7" t="s">
        <v>690</v>
      </c>
      <c r="B304" s="7" t="s">
        <v>1037</v>
      </c>
      <c r="C304" s="7">
        <v>1</v>
      </c>
      <c r="D304" s="7" t="s">
        <v>436</v>
      </c>
      <c r="E304" s="7" t="s">
        <v>436</v>
      </c>
      <c r="F304" s="7" t="s">
        <v>109</v>
      </c>
      <c r="G304" s="7" t="s">
        <v>1262</v>
      </c>
      <c r="H304" s="7">
        <v>4.0999999999999996</v>
      </c>
      <c r="I304" s="7" t="s">
        <v>718</v>
      </c>
      <c r="R304" s="1472" t="s">
        <v>3052</v>
      </c>
      <c r="S304" s="1472">
        <v>2</v>
      </c>
      <c r="T304" s="1472" t="s">
        <v>2981</v>
      </c>
      <c r="U304" s="1472" t="s">
        <v>2740</v>
      </c>
      <c r="W304" s="1488"/>
      <c r="X304" s="1488"/>
      <c r="Y304" s="1488"/>
      <c r="Z304" s="1488"/>
    </row>
    <row r="305" spans="1:26">
      <c r="A305" s="7" t="s">
        <v>690</v>
      </c>
      <c r="B305" s="7" t="s">
        <v>1037</v>
      </c>
      <c r="C305" s="7">
        <v>1</v>
      </c>
      <c r="D305" s="7" t="s">
        <v>436</v>
      </c>
      <c r="E305" s="7" t="s">
        <v>436</v>
      </c>
      <c r="F305" s="7" t="s">
        <v>110</v>
      </c>
      <c r="G305" s="7" t="s">
        <v>1263</v>
      </c>
      <c r="H305" s="7">
        <v>4.0999999999999996</v>
      </c>
      <c r="I305" s="7" t="s">
        <v>718</v>
      </c>
      <c r="R305" s="1472" t="s">
        <v>3052</v>
      </c>
      <c r="S305" s="1472">
        <v>3</v>
      </c>
      <c r="T305" s="1472" t="s">
        <v>1354</v>
      </c>
      <c r="U305" s="1472" t="s">
        <v>3002</v>
      </c>
      <c r="W305" s="1488"/>
      <c r="X305" s="1488"/>
      <c r="Y305" s="1488"/>
      <c r="Z305" s="1488"/>
    </row>
    <row r="306" spans="1:26">
      <c r="A306" s="7" t="s">
        <v>690</v>
      </c>
      <c r="B306" s="7" t="s">
        <v>1037</v>
      </c>
      <c r="C306" s="7">
        <v>1</v>
      </c>
      <c r="D306" s="7" t="s">
        <v>436</v>
      </c>
      <c r="E306" s="7" t="s">
        <v>436</v>
      </c>
      <c r="F306" s="7" t="s">
        <v>110</v>
      </c>
      <c r="G306" s="7" t="s">
        <v>1264</v>
      </c>
      <c r="H306" s="7">
        <v>4.0999999999999996</v>
      </c>
      <c r="I306" s="7" t="s">
        <v>718</v>
      </c>
      <c r="R306" s="1472" t="s">
        <v>3052</v>
      </c>
      <c r="S306" s="1472">
        <v>3</v>
      </c>
      <c r="T306" s="1472" t="s">
        <v>1354</v>
      </c>
      <c r="U306" s="1472" t="s">
        <v>3003</v>
      </c>
      <c r="W306" s="1488"/>
      <c r="X306" s="1488"/>
      <c r="Y306" s="1488"/>
      <c r="Z306" s="1488"/>
    </row>
    <row r="307" spans="1:26">
      <c r="A307" s="7" t="s">
        <v>690</v>
      </c>
      <c r="B307" s="7" t="s">
        <v>1037</v>
      </c>
      <c r="C307" s="7">
        <v>1</v>
      </c>
      <c r="D307" s="7" t="s">
        <v>436</v>
      </c>
      <c r="E307" s="7" t="s">
        <v>436</v>
      </c>
      <c r="F307" s="7" t="s">
        <v>110</v>
      </c>
      <c r="G307" s="7" t="s">
        <v>1265</v>
      </c>
      <c r="H307" s="7">
        <v>4.0999999999999996</v>
      </c>
      <c r="I307" s="7" t="s">
        <v>718</v>
      </c>
      <c r="R307" s="1472" t="s">
        <v>3052</v>
      </c>
      <c r="S307" s="1472">
        <v>3</v>
      </c>
      <c r="T307" s="1472" t="s">
        <v>1354</v>
      </c>
      <c r="U307" s="1472" t="s">
        <v>1183</v>
      </c>
      <c r="W307" s="1488"/>
      <c r="X307" s="1488"/>
      <c r="Y307" s="1488"/>
      <c r="Z307" s="1488"/>
    </row>
    <row r="308" spans="1:26">
      <c r="A308" s="7" t="s">
        <v>690</v>
      </c>
      <c r="B308" s="7" t="s">
        <v>1037</v>
      </c>
      <c r="C308" s="7">
        <v>1</v>
      </c>
      <c r="D308" s="7" t="s">
        <v>436</v>
      </c>
      <c r="E308" s="7" t="s">
        <v>436</v>
      </c>
      <c r="F308" s="7" t="s">
        <v>110</v>
      </c>
      <c r="G308" s="7" t="s">
        <v>1266</v>
      </c>
      <c r="H308" s="7">
        <v>4.0999999999999996</v>
      </c>
      <c r="I308" s="7" t="s">
        <v>718</v>
      </c>
      <c r="R308" s="1472" t="s">
        <v>3052</v>
      </c>
      <c r="S308" s="1472">
        <v>3</v>
      </c>
      <c r="T308" s="1472" t="s">
        <v>1354</v>
      </c>
      <c r="U308" s="1472" t="s">
        <v>2626</v>
      </c>
      <c r="W308" s="1488"/>
      <c r="X308" s="1488"/>
      <c r="Y308" s="1488"/>
      <c r="Z308" s="1488"/>
    </row>
    <row r="309" spans="1:26">
      <c r="A309" s="7" t="s">
        <v>690</v>
      </c>
      <c r="B309" s="7" t="s">
        <v>1037</v>
      </c>
      <c r="C309" s="7">
        <v>1</v>
      </c>
      <c r="D309" s="7" t="s">
        <v>436</v>
      </c>
      <c r="E309" s="7" t="s">
        <v>436</v>
      </c>
      <c r="F309" s="7" t="s">
        <v>1267</v>
      </c>
      <c r="G309" s="7" t="s">
        <v>1268</v>
      </c>
      <c r="H309" s="7">
        <v>4.0999999999999996</v>
      </c>
      <c r="I309" s="7" t="s">
        <v>718</v>
      </c>
      <c r="R309" s="1472" t="s">
        <v>3052</v>
      </c>
      <c r="S309" s="1472">
        <v>3</v>
      </c>
      <c r="T309" s="1472" t="s">
        <v>1354</v>
      </c>
      <c r="U309" s="1472" t="s">
        <v>1181</v>
      </c>
      <c r="W309" s="1488"/>
      <c r="X309" s="1488"/>
      <c r="Y309" s="1488"/>
      <c r="Z309" s="1488"/>
    </row>
    <row r="310" spans="1:26">
      <c r="A310" s="7" t="s">
        <v>690</v>
      </c>
      <c r="B310" s="7" t="s">
        <v>1037</v>
      </c>
      <c r="C310" s="7">
        <v>1</v>
      </c>
      <c r="D310" s="7" t="s">
        <v>436</v>
      </c>
      <c r="E310" s="7" t="s">
        <v>436</v>
      </c>
      <c r="F310" s="7" t="s">
        <v>111</v>
      </c>
      <c r="G310" s="7" t="s">
        <v>3069</v>
      </c>
      <c r="H310" s="7">
        <v>4.0999999999999996</v>
      </c>
      <c r="I310" s="7" t="s">
        <v>718</v>
      </c>
      <c r="R310" s="1472" t="s">
        <v>3052</v>
      </c>
      <c r="S310" s="1472">
        <v>3</v>
      </c>
      <c r="T310" s="1472" t="s">
        <v>1354</v>
      </c>
      <c r="U310" s="1472" t="s">
        <v>302</v>
      </c>
      <c r="W310" s="1488"/>
      <c r="X310" s="1488"/>
      <c r="Y310" s="1488"/>
      <c r="Z310" s="1488"/>
    </row>
    <row r="311" spans="1:26">
      <c r="A311" s="7" t="s">
        <v>690</v>
      </c>
      <c r="B311" s="7" t="s">
        <v>1037</v>
      </c>
      <c r="C311" s="7">
        <v>1</v>
      </c>
      <c r="D311" s="7" t="s">
        <v>436</v>
      </c>
      <c r="E311" s="7" t="s">
        <v>436</v>
      </c>
      <c r="F311" s="7" t="s">
        <v>111</v>
      </c>
      <c r="G311" s="7" t="s">
        <v>1269</v>
      </c>
      <c r="H311" s="7">
        <v>4.0999999999999996</v>
      </c>
      <c r="I311" s="7" t="s">
        <v>718</v>
      </c>
      <c r="R311" s="1472" t="s">
        <v>3052</v>
      </c>
      <c r="S311" s="1472">
        <v>3</v>
      </c>
      <c r="T311" s="1472" t="s">
        <v>1354</v>
      </c>
      <c r="U311" s="1472" t="s">
        <v>1184</v>
      </c>
      <c r="W311" s="1488"/>
      <c r="X311" s="1488"/>
      <c r="Y311" s="1488"/>
      <c r="Z311" s="1488"/>
    </row>
    <row r="312" spans="1:26">
      <c r="A312" s="7" t="s">
        <v>690</v>
      </c>
      <c r="B312" s="7" t="s">
        <v>1037</v>
      </c>
      <c r="C312" s="7">
        <v>1</v>
      </c>
      <c r="D312" s="7" t="s">
        <v>436</v>
      </c>
      <c r="E312" s="7" t="s">
        <v>436</v>
      </c>
      <c r="F312" s="7" t="s">
        <v>111</v>
      </c>
      <c r="G312" s="7" t="s">
        <v>2816</v>
      </c>
      <c r="H312" s="7">
        <v>4.0999999999999996</v>
      </c>
      <c r="I312" s="7" t="s">
        <v>718</v>
      </c>
      <c r="R312" s="1472" t="s">
        <v>3052</v>
      </c>
      <c r="S312" s="1472">
        <v>3</v>
      </c>
      <c r="T312" s="1472" t="s">
        <v>1354</v>
      </c>
      <c r="U312" s="1472" t="s">
        <v>2996</v>
      </c>
      <c r="W312" s="1488"/>
      <c r="X312" s="1488"/>
      <c r="Y312" s="1488"/>
      <c r="Z312" s="1488"/>
    </row>
    <row r="313" spans="1:26">
      <c r="A313" s="7" t="s">
        <v>690</v>
      </c>
      <c r="B313" s="7" t="s">
        <v>1037</v>
      </c>
      <c r="C313" s="7">
        <v>1</v>
      </c>
      <c r="D313" s="7" t="s">
        <v>436</v>
      </c>
      <c r="E313" s="7" t="s">
        <v>436</v>
      </c>
      <c r="F313" s="7" t="s">
        <v>1270</v>
      </c>
      <c r="G313" s="7" t="s">
        <v>2817</v>
      </c>
      <c r="H313" s="7">
        <v>4.0999999999999996</v>
      </c>
      <c r="I313" s="7" t="s">
        <v>718</v>
      </c>
      <c r="R313" s="1472" t="s">
        <v>3052</v>
      </c>
      <c r="S313" s="1472">
        <v>3</v>
      </c>
      <c r="T313" s="1472" t="s">
        <v>1354</v>
      </c>
      <c r="U313" s="1472" t="s">
        <v>3004</v>
      </c>
      <c r="W313" s="1488"/>
      <c r="X313" s="1488"/>
      <c r="Y313" s="1488"/>
      <c r="Z313" s="1488"/>
    </row>
    <row r="314" spans="1:26">
      <c r="A314" s="7" t="s">
        <v>690</v>
      </c>
      <c r="B314" s="7" t="s">
        <v>1037</v>
      </c>
      <c r="C314" s="7">
        <v>1</v>
      </c>
      <c r="D314" s="7" t="s">
        <v>436</v>
      </c>
      <c r="E314" s="7" t="s">
        <v>436</v>
      </c>
      <c r="F314" s="7" t="s">
        <v>1270</v>
      </c>
      <c r="G314" s="7" t="s">
        <v>1271</v>
      </c>
      <c r="H314" s="7">
        <v>4.0999999999999996</v>
      </c>
      <c r="I314" s="7" t="s">
        <v>718</v>
      </c>
      <c r="R314" s="1472" t="s">
        <v>3052</v>
      </c>
      <c r="S314" s="1472">
        <v>3</v>
      </c>
      <c r="T314" s="1472" t="s">
        <v>1354</v>
      </c>
      <c r="U314" s="1472" t="s">
        <v>1185</v>
      </c>
      <c r="W314" s="1488"/>
      <c r="X314" s="1488"/>
      <c r="Y314" s="1488"/>
      <c r="Z314" s="1488"/>
    </row>
    <row r="315" spans="1:26">
      <c r="A315" s="7" t="s">
        <v>690</v>
      </c>
      <c r="B315" s="7" t="s">
        <v>1037</v>
      </c>
      <c r="C315" s="7">
        <v>1</v>
      </c>
      <c r="D315" s="7" t="s">
        <v>436</v>
      </c>
      <c r="E315" s="7" t="s">
        <v>436</v>
      </c>
      <c r="F315" s="7" t="s">
        <v>1270</v>
      </c>
      <c r="G315" s="7" t="s">
        <v>2818</v>
      </c>
      <c r="H315" s="7">
        <v>4.0999999999999996</v>
      </c>
      <c r="I315" s="7" t="s">
        <v>718</v>
      </c>
      <c r="R315" s="1472" t="s">
        <v>3052</v>
      </c>
      <c r="S315" s="1472">
        <v>3</v>
      </c>
      <c r="T315" s="1472" t="s">
        <v>1354</v>
      </c>
      <c r="U315" s="1472" t="s">
        <v>1186</v>
      </c>
      <c r="W315" s="1488"/>
      <c r="X315" s="1488"/>
      <c r="Y315" s="1488"/>
      <c r="Z315" s="1488"/>
    </row>
    <row r="316" spans="1:26">
      <c r="A316" s="7" t="s">
        <v>690</v>
      </c>
      <c r="B316" s="7" t="s">
        <v>1037</v>
      </c>
      <c r="C316" s="7">
        <v>1</v>
      </c>
      <c r="D316" s="7" t="s">
        <v>436</v>
      </c>
      <c r="E316" s="7" t="s">
        <v>436</v>
      </c>
      <c r="F316" s="7" t="s">
        <v>1270</v>
      </c>
      <c r="G316" s="7" t="s">
        <v>1272</v>
      </c>
      <c r="H316" s="7">
        <v>4.0999999999999996</v>
      </c>
      <c r="I316" s="7" t="s">
        <v>718</v>
      </c>
      <c r="R316" s="1472" t="s">
        <v>3052</v>
      </c>
      <c r="S316" s="1472">
        <v>3</v>
      </c>
      <c r="T316" s="1472" t="s">
        <v>1354</v>
      </c>
      <c r="U316" s="1472" t="s">
        <v>2994</v>
      </c>
      <c r="W316" s="1488"/>
      <c r="X316" s="1488"/>
      <c r="Y316" s="1488"/>
      <c r="Z316" s="1488"/>
    </row>
    <row r="317" spans="1:26">
      <c r="A317" s="7" t="s">
        <v>690</v>
      </c>
      <c r="B317" s="7" t="s">
        <v>1037</v>
      </c>
      <c r="C317" s="7">
        <v>1</v>
      </c>
      <c r="D317" s="7" t="s">
        <v>436</v>
      </c>
      <c r="E317" s="7" t="s">
        <v>436</v>
      </c>
      <c r="F317" s="7" t="s">
        <v>112</v>
      </c>
      <c r="G317" s="7" t="s">
        <v>1273</v>
      </c>
      <c r="H317" s="7">
        <v>4.0999999999999996</v>
      </c>
      <c r="I317" s="7" t="s">
        <v>718</v>
      </c>
      <c r="R317" s="1472" t="s">
        <v>3052</v>
      </c>
      <c r="S317" s="1472">
        <v>3</v>
      </c>
      <c r="T317" s="1472" t="s">
        <v>1354</v>
      </c>
      <c r="U317" s="1472" t="s">
        <v>2995</v>
      </c>
      <c r="W317" s="1488"/>
      <c r="X317" s="1488"/>
      <c r="Y317" s="1488"/>
      <c r="Z317" s="1488"/>
    </row>
    <row r="318" spans="1:26">
      <c r="A318" s="7" t="s">
        <v>690</v>
      </c>
      <c r="B318" s="7" t="s">
        <v>1037</v>
      </c>
      <c r="C318" s="7">
        <v>1</v>
      </c>
      <c r="D318" s="7" t="s">
        <v>436</v>
      </c>
      <c r="E318" s="7" t="s">
        <v>436</v>
      </c>
      <c r="F318" s="7" t="s">
        <v>112</v>
      </c>
      <c r="G318" s="7" t="s">
        <v>1274</v>
      </c>
      <c r="H318" s="7">
        <v>4.0999999999999996</v>
      </c>
      <c r="I318" s="7" t="s">
        <v>718</v>
      </c>
      <c r="R318" s="1472" t="s">
        <v>3052</v>
      </c>
      <c r="S318" s="1472">
        <v>3</v>
      </c>
      <c r="T318" s="1472" t="s">
        <v>1354</v>
      </c>
      <c r="U318" s="1472" t="s">
        <v>2627</v>
      </c>
      <c r="W318" s="1488"/>
      <c r="X318" s="1488"/>
      <c r="Y318" s="1488"/>
      <c r="Z318" s="1488"/>
    </row>
    <row r="319" spans="1:26">
      <c r="A319" s="7" t="s">
        <v>690</v>
      </c>
      <c r="B319" s="7" t="s">
        <v>1037</v>
      </c>
      <c r="C319" s="7">
        <v>1</v>
      </c>
      <c r="D319" s="7" t="s">
        <v>436</v>
      </c>
      <c r="E319" s="7" t="s">
        <v>436</v>
      </c>
      <c r="F319" s="7" t="s">
        <v>112</v>
      </c>
      <c r="G319" s="7" t="s">
        <v>1275</v>
      </c>
      <c r="H319" s="7">
        <v>4.0999999999999996</v>
      </c>
      <c r="I319" s="7" t="s">
        <v>718</v>
      </c>
      <c r="R319" s="1472" t="s">
        <v>3052</v>
      </c>
      <c r="S319" s="1472">
        <v>3</v>
      </c>
      <c r="T319" s="1472" t="s">
        <v>1354</v>
      </c>
      <c r="U319" s="1472" t="s">
        <v>1182</v>
      </c>
      <c r="W319" s="1488"/>
      <c r="X319" s="1488"/>
      <c r="Y319" s="1488"/>
      <c r="Z319" s="1488"/>
    </row>
    <row r="320" spans="1:26">
      <c r="A320" s="7" t="s">
        <v>690</v>
      </c>
      <c r="B320" s="7" t="s">
        <v>1037</v>
      </c>
      <c r="C320" s="7">
        <v>1</v>
      </c>
      <c r="D320" s="7" t="s">
        <v>436</v>
      </c>
      <c r="E320" s="7" t="s">
        <v>436</v>
      </c>
      <c r="F320" s="7" t="s">
        <v>112</v>
      </c>
      <c r="G320" s="7" t="s">
        <v>1269</v>
      </c>
      <c r="H320" s="7">
        <v>4.0999999999999996</v>
      </c>
      <c r="I320" s="7" t="s">
        <v>718</v>
      </c>
      <c r="R320" s="1472" t="s">
        <v>3052</v>
      </c>
      <c r="S320" s="1472">
        <v>4</v>
      </c>
      <c r="T320" s="1472" t="s">
        <v>1356</v>
      </c>
      <c r="U320" s="1472" t="s">
        <v>3050</v>
      </c>
      <c r="W320" s="1488"/>
      <c r="X320" s="1488"/>
      <c r="Y320" s="1488"/>
      <c r="Z320" s="1488"/>
    </row>
    <row r="321" spans="1:26">
      <c r="A321" s="7" t="s">
        <v>690</v>
      </c>
      <c r="B321" s="7" t="s">
        <v>1037</v>
      </c>
      <c r="C321" s="7">
        <v>1</v>
      </c>
      <c r="D321" s="7" t="s">
        <v>436</v>
      </c>
      <c r="E321" s="7" t="s">
        <v>436</v>
      </c>
      <c r="F321" s="7" t="s">
        <v>112</v>
      </c>
      <c r="G321" s="7" t="s">
        <v>1276</v>
      </c>
      <c r="H321" s="7">
        <v>4.0999999999999996</v>
      </c>
      <c r="I321" s="7" t="s">
        <v>718</v>
      </c>
      <c r="R321" s="1472" t="s">
        <v>3052</v>
      </c>
      <c r="S321" s="1472">
        <v>4</v>
      </c>
      <c r="T321" s="1472" t="s">
        <v>1356</v>
      </c>
      <c r="U321" s="1472" t="s">
        <v>1014</v>
      </c>
      <c r="W321" s="1488"/>
      <c r="X321" s="1488"/>
      <c r="Y321" s="1488"/>
      <c r="Z321" s="1488"/>
    </row>
    <row r="322" spans="1:26">
      <c r="A322" s="7" t="s">
        <v>690</v>
      </c>
      <c r="B322" s="7" t="s">
        <v>1037</v>
      </c>
      <c r="C322" s="7">
        <v>1</v>
      </c>
      <c r="D322" s="7" t="s">
        <v>436</v>
      </c>
      <c r="E322" s="7" t="s">
        <v>436</v>
      </c>
      <c r="F322" s="7" t="s">
        <v>113</v>
      </c>
      <c r="G322" s="7" t="s">
        <v>1277</v>
      </c>
      <c r="H322" s="7">
        <v>4.0999999999999996</v>
      </c>
      <c r="I322" s="7" t="s">
        <v>718</v>
      </c>
      <c r="R322" s="1472" t="s">
        <v>3052</v>
      </c>
      <c r="S322" s="1472">
        <v>4</v>
      </c>
      <c r="T322" s="1472" t="s">
        <v>1356</v>
      </c>
      <c r="U322" s="1472" t="s">
        <v>1015</v>
      </c>
      <c r="W322" s="1488"/>
      <c r="X322" s="1488"/>
      <c r="Y322" s="1488"/>
      <c r="Z322" s="1488"/>
    </row>
    <row r="323" spans="1:26">
      <c r="A323" s="7" t="s">
        <v>690</v>
      </c>
      <c r="B323" s="7" t="s">
        <v>1037</v>
      </c>
      <c r="C323" s="7">
        <v>1</v>
      </c>
      <c r="D323" s="7" t="s">
        <v>436</v>
      </c>
      <c r="E323" s="7" t="s">
        <v>436</v>
      </c>
      <c r="F323" s="7" t="s">
        <v>113</v>
      </c>
      <c r="G323" s="7" t="s">
        <v>2819</v>
      </c>
      <c r="H323" s="7">
        <v>4.0999999999999996</v>
      </c>
      <c r="I323" s="7" t="s">
        <v>718</v>
      </c>
      <c r="R323" s="1472" t="s">
        <v>3052</v>
      </c>
      <c r="S323" s="1472">
        <v>4</v>
      </c>
      <c r="T323" s="1472" t="s">
        <v>1356</v>
      </c>
      <c r="U323" s="1472" t="s">
        <v>1016</v>
      </c>
      <c r="W323" s="1488"/>
      <c r="X323" s="1488"/>
      <c r="Y323" s="1488"/>
      <c r="Z323" s="1488"/>
    </row>
    <row r="324" spans="1:26">
      <c r="A324" s="7" t="s">
        <v>690</v>
      </c>
      <c r="B324" s="7" t="s">
        <v>1037</v>
      </c>
      <c r="C324" s="7">
        <v>1</v>
      </c>
      <c r="D324" s="7" t="s">
        <v>436</v>
      </c>
      <c r="E324" s="7" t="s">
        <v>436</v>
      </c>
      <c r="F324" s="7" t="s">
        <v>114</v>
      </c>
      <c r="G324" s="7" t="s">
        <v>2820</v>
      </c>
      <c r="H324" s="7">
        <v>4.0999999999999996</v>
      </c>
      <c r="I324" s="7" t="s">
        <v>718</v>
      </c>
      <c r="R324" s="1472" t="s">
        <v>3052</v>
      </c>
      <c r="S324" s="1472">
        <v>4</v>
      </c>
      <c r="T324" s="1472" t="s">
        <v>1356</v>
      </c>
      <c r="U324" s="1472" t="s">
        <v>2912</v>
      </c>
      <c r="W324" s="1488"/>
      <c r="X324" s="1488"/>
      <c r="Y324" s="1488"/>
      <c r="Z324" s="1488"/>
    </row>
    <row r="325" spans="1:26">
      <c r="A325" s="7" t="s">
        <v>690</v>
      </c>
      <c r="B325" s="7" t="s">
        <v>1037</v>
      </c>
      <c r="C325" s="7">
        <v>1</v>
      </c>
      <c r="D325" s="7" t="s">
        <v>436</v>
      </c>
      <c r="E325" s="7" t="s">
        <v>436</v>
      </c>
      <c r="F325" s="7" t="s">
        <v>114</v>
      </c>
      <c r="G325" s="7" t="s">
        <v>1278</v>
      </c>
      <c r="H325" s="7">
        <v>4.0999999999999996</v>
      </c>
      <c r="I325" s="7" t="s">
        <v>718</v>
      </c>
      <c r="R325" s="1472" t="s">
        <v>3052</v>
      </c>
      <c r="S325" s="1472">
        <v>4</v>
      </c>
      <c r="T325" s="1472" t="s">
        <v>1356</v>
      </c>
      <c r="U325" s="1472" t="s">
        <v>1019</v>
      </c>
      <c r="W325" s="1488"/>
      <c r="X325" s="1488"/>
      <c r="Y325" s="1488"/>
      <c r="Z325" s="1488"/>
    </row>
    <row r="326" spans="1:26">
      <c r="A326" s="7" t="s">
        <v>690</v>
      </c>
      <c r="B326" s="7" t="s">
        <v>1037</v>
      </c>
      <c r="C326" s="7">
        <v>1</v>
      </c>
      <c r="D326" s="7" t="s">
        <v>436</v>
      </c>
      <c r="E326" s="7" t="s">
        <v>436</v>
      </c>
      <c r="F326" s="7" t="s">
        <v>114</v>
      </c>
      <c r="G326" s="7" t="s">
        <v>2821</v>
      </c>
      <c r="H326" s="7">
        <v>4.0999999999999996</v>
      </c>
      <c r="I326" s="7" t="s">
        <v>718</v>
      </c>
      <c r="R326" s="1472" t="s">
        <v>3052</v>
      </c>
      <c r="S326" s="1472">
        <v>4</v>
      </c>
      <c r="T326" s="1472" t="s">
        <v>1356</v>
      </c>
      <c r="U326" s="1472" t="s">
        <v>2791</v>
      </c>
      <c r="W326" s="1488"/>
      <c r="X326" s="1488"/>
      <c r="Y326" s="1488"/>
      <c r="Z326" s="1488"/>
    </row>
    <row r="327" spans="1:26">
      <c r="A327" s="7" t="s">
        <v>690</v>
      </c>
      <c r="B327" s="7" t="s">
        <v>1037</v>
      </c>
      <c r="C327" s="7">
        <v>1</v>
      </c>
      <c r="D327" s="7" t="s">
        <v>436</v>
      </c>
      <c r="E327" s="7" t="s">
        <v>436</v>
      </c>
      <c r="F327" s="7" t="s">
        <v>114</v>
      </c>
      <c r="G327" s="7" t="s">
        <v>2822</v>
      </c>
      <c r="H327" s="7">
        <v>4.0999999999999996</v>
      </c>
      <c r="I327" s="7" t="s">
        <v>718</v>
      </c>
      <c r="R327" s="1472" t="s">
        <v>3052</v>
      </c>
      <c r="S327" s="1472">
        <v>4</v>
      </c>
      <c r="T327" s="1472" t="s">
        <v>1356</v>
      </c>
      <c r="U327" s="1472" t="s">
        <v>2792</v>
      </c>
      <c r="W327" s="1488"/>
      <c r="X327" s="1488"/>
      <c r="Y327" s="1488"/>
      <c r="Z327" s="1488"/>
    </row>
    <row r="328" spans="1:26">
      <c r="A328" s="7" t="s">
        <v>690</v>
      </c>
      <c r="B328" s="7" t="s">
        <v>1037</v>
      </c>
      <c r="C328" s="7">
        <v>1</v>
      </c>
      <c r="D328" s="7" t="s">
        <v>436</v>
      </c>
      <c r="E328" s="7" t="s">
        <v>436</v>
      </c>
      <c r="F328" s="7" t="s">
        <v>114</v>
      </c>
      <c r="G328" s="7" t="s">
        <v>2823</v>
      </c>
      <c r="H328" s="7">
        <v>4.0999999999999996</v>
      </c>
      <c r="I328" s="7" t="s">
        <v>718</v>
      </c>
      <c r="R328" s="1472" t="s">
        <v>3052</v>
      </c>
      <c r="S328" s="1472">
        <v>4</v>
      </c>
      <c r="T328" s="1472" t="s">
        <v>1356</v>
      </c>
      <c r="U328" s="1472" t="s">
        <v>1195</v>
      </c>
      <c r="W328" s="1488"/>
      <c r="X328" s="1488"/>
      <c r="Y328" s="1488"/>
      <c r="Z328" s="1488"/>
    </row>
    <row r="329" spans="1:26">
      <c r="A329" s="7" t="s">
        <v>690</v>
      </c>
      <c r="B329" s="7" t="s">
        <v>1037</v>
      </c>
      <c r="C329" s="7">
        <v>1</v>
      </c>
      <c r="D329" s="7" t="s">
        <v>436</v>
      </c>
      <c r="E329" s="7" t="s">
        <v>436</v>
      </c>
      <c r="F329" s="7" t="s">
        <v>114</v>
      </c>
      <c r="G329" s="7" t="s">
        <v>1279</v>
      </c>
      <c r="H329" s="7">
        <v>4.0999999999999996</v>
      </c>
      <c r="I329" s="7" t="s">
        <v>718</v>
      </c>
      <c r="R329" s="1472" t="s">
        <v>3052</v>
      </c>
      <c r="S329" s="1472">
        <v>4</v>
      </c>
      <c r="T329" s="1472" t="s">
        <v>1356</v>
      </c>
      <c r="U329" s="1472" t="s">
        <v>2703</v>
      </c>
      <c r="W329" s="1488"/>
      <c r="X329" s="1488"/>
      <c r="Y329" s="1488"/>
      <c r="Z329" s="1488"/>
    </row>
    <row r="330" spans="1:26">
      <c r="A330" s="7" t="s">
        <v>690</v>
      </c>
      <c r="B330" s="7" t="s">
        <v>1037</v>
      </c>
      <c r="C330" s="7">
        <v>1</v>
      </c>
      <c r="D330" s="7" t="s">
        <v>436</v>
      </c>
      <c r="E330" s="7" t="s">
        <v>436</v>
      </c>
      <c r="F330" s="7" t="s">
        <v>114</v>
      </c>
      <c r="G330" s="7" t="s">
        <v>2824</v>
      </c>
      <c r="H330" s="7">
        <v>4.0999999999999996</v>
      </c>
      <c r="I330" s="7" t="s">
        <v>718</v>
      </c>
      <c r="R330" s="1472" t="s">
        <v>3052</v>
      </c>
      <c r="S330" s="1472">
        <v>4</v>
      </c>
      <c r="T330" s="1472" t="s">
        <v>1356</v>
      </c>
      <c r="U330" s="1472" t="s">
        <v>1196</v>
      </c>
      <c r="W330" s="1488"/>
      <c r="X330" s="1488"/>
      <c r="Y330" s="1488"/>
      <c r="Z330" s="1488"/>
    </row>
    <row r="331" spans="1:26">
      <c r="A331" s="7" t="s">
        <v>690</v>
      </c>
      <c r="B331" s="7" t="s">
        <v>1037</v>
      </c>
      <c r="C331" s="7">
        <v>1</v>
      </c>
      <c r="D331" s="7" t="s">
        <v>436</v>
      </c>
      <c r="E331" s="7" t="s">
        <v>436</v>
      </c>
      <c r="F331" s="7" t="s">
        <v>114</v>
      </c>
      <c r="G331" s="7" t="s">
        <v>2825</v>
      </c>
      <c r="H331" s="7">
        <v>4.0999999999999996</v>
      </c>
      <c r="I331" s="7" t="s">
        <v>718</v>
      </c>
      <c r="R331" s="1472" t="s">
        <v>3052</v>
      </c>
      <c r="S331" s="1472">
        <v>4</v>
      </c>
      <c r="T331" s="1472" t="s">
        <v>1356</v>
      </c>
      <c r="U331" s="1472" t="s">
        <v>2706</v>
      </c>
      <c r="W331" s="1488"/>
      <c r="X331" s="1488"/>
      <c r="Y331" s="1488"/>
      <c r="Z331" s="1488"/>
    </row>
    <row r="332" spans="1:26">
      <c r="A332" s="7" t="s">
        <v>690</v>
      </c>
      <c r="B332" s="7" t="s">
        <v>1037</v>
      </c>
      <c r="C332" s="7">
        <v>1</v>
      </c>
      <c r="D332" s="7" t="s">
        <v>436</v>
      </c>
      <c r="E332" s="7" t="s">
        <v>436</v>
      </c>
      <c r="F332" s="7" t="s">
        <v>115</v>
      </c>
      <c r="G332" s="7" t="s">
        <v>129</v>
      </c>
      <c r="H332" s="7">
        <v>4.0999999999999996</v>
      </c>
      <c r="I332" s="7" t="s">
        <v>718</v>
      </c>
      <c r="R332" s="1472" t="s">
        <v>3052</v>
      </c>
      <c r="S332" s="1472">
        <v>4</v>
      </c>
      <c r="T332" s="1472" t="s">
        <v>1356</v>
      </c>
      <c r="U332" s="1472" t="s">
        <v>2710</v>
      </c>
      <c r="W332" s="1488"/>
      <c r="X332" s="1488"/>
      <c r="Y332" s="1488"/>
      <c r="Z332" s="1488"/>
    </row>
    <row r="333" spans="1:26">
      <c r="A333" s="7" t="s">
        <v>690</v>
      </c>
      <c r="B333" s="7" t="s">
        <v>1037</v>
      </c>
      <c r="C333" s="7">
        <v>1</v>
      </c>
      <c r="D333" s="7" t="s">
        <v>436</v>
      </c>
      <c r="E333" s="7" t="s">
        <v>436</v>
      </c>
      <c r="F333" s="7" t="s">
        <v>115</v>
      </c>
      <c r="G333" s="7" t="s">
        <v>130</v>
      </c>
      <c r="H333" s="7">
        <v>4.0999999999999996</v>
      </c>
      <c r="I333" s="7" t="s">
        <v>718</v>
      </c>
      <c r="R333" s="1472" t="s">
        <v>3052</v>
      </c>
      <c r="S333" s="1472">
        <v>4</v>
      </c>
      <c r="T333" s="1472" t="s">
        <v>1356</v>
      </c>
      <c r="U333" s="1472" t="s">
        <v>2712</v>
      </c>
      <c r="W333" s="1488"/>
      <c r="X333" s="1488"/>
      <c r="Y333" s="1488"/>
      <c r="Z333" s="1488"/>
    </row>
    <row r="334" spans="1:26">
      <c r="A334" s="7" t="s">
        <v>690</v>
      </c>
      <c r="B334" s="7" t="s">
        <v>1037</v>
      </c>
      <c r="C334" s="7">
        <v>1</v>
      </c>
      <c r="D334" s="7" t="s">
        <v>436</v>
      </c>
      <c r="E334" s="7" t="s">
        <v>436</v>
      </c>
      <c r="F334" s="7" t="s">
        <v>116</v>
      </c>
      <c r="G334" s="7" t="s">
        <v>1280</v>
      </c>
      <c r="H334" s="7">
        <v>4.0999999999999996</v>
      </c>
      <c r="I334" s="7" t="s">
        <v>718</v>
      </c>
      <c r="R334" s="1472" t="s">
        <v>3052</v>
      </c>
      <c r="S334" s="1472">
        <v>4</v>
      </c>
      <c r="T334" s="1472" t="s">
        <v>1356</v>
      </c>
      <c r="U334" s="1472" t="s">
        <v>2718</v>
      </c>
      <c r="W334" s="1488"/>
      <c r="X334" s="1488"/>
      <c r="Y334" s="1488"/>
      <c r="Z334" s="1488"/>
    </row>
    <row r="335" spans="1:26">
      <c r="A335" s="7" t="s">
        <v>690</v>
      </c>
      <c r="B335" s="7" t="s">
        <v>1037</v>
      </c>
      <c r="C335" s="7">
        <v>1</v>
      </c>
      <c r="D335" s="7" t="s">
        <v>436</v>
      </c>
      <c r="E335" s="7" t="s">
        <v>436</v>
      </c>
      <c r="F335" s="7" t="s">
        <v>117</v>
      </c>
      <c r="G335" s="7" t="s">
        <v>1281</v>
      </c>
      <c r="H335" s="7">
        <v>4.0999999999999996</v>
      </c>
      <c r="I335" s="7" t="s">
        <v>718</v>
      </c>
      <c r="R335" s="1472" t="s">
        <v>3052</v>
      </c>
      <c r="S335" s="1472">
        <v>4</v>
      </c>
      <c r="T335" s="1472" t="s">
        <v>1356</v>
      </c>
      <c r="U335" s="1472" t="s">
        <v>1197</v>
      </c>
      <c r="W335" s="1488"/>
      <c r="X335" s="1488"/>
      <c r="Y335" s="1488"/>
      <c r="Z335" s="1488"/>
    </row>
    <row r="336" spans="1:26">
      <c r="A336" s="7" t="s">
        <v>690</v>
      </c>
      <c r="B336" s="7" t="s">
        <v>1037</v>
      </c>
      <c r="C336" s="7">
        <v>1</v>
      </c>
      <c r="D336" s="7" t="s">
        <v>436</v>
      </c>
      <c r="E336" s="7" t="s">
        <v>436</v>
      </c>
      <c r="F336" s="7" t="s">
        <v>117</v>
      </c>
      <c r="G336" s="7" t="s">
        <v>1283</v>
      </c>
      <c r="H336" s="7">
        <v>4.0999999999999996</v>
      </c>
      <c r="I336" s="7" t="s">
        <v>718</v>
      </c>
      <c r="R336" s="1472" t="s">
        <v>3052</v>
      </c>
      <c r="S336" s="1472">
        <v>4</v>
      </c>
      <c r="T336" s="1472" t="s">
        <v>1356</v>
      </c>
      <c r="U336" s="1472" t="s">
        <v>3014</v>
      </c>
      <c r="W336" s="1488"/>
      <c r="X336" s="1488"/>
      <c r="Y336" s="1488"/>
      <c r="Z336" s="1488"/>
    </row>
    <row r="337" spans="1:26">
      <c r="A337" s="7" t="s">
        <v>690</v>
      </c>
      <c r="B337" s="7" t="s">
        <v>1037</v>
      </c>
      <c r="C337" s="7">
        <v>1</v>
      </c>
      <c r="D337" s="7" t="s">
        <v>436</v>
      </c>
      <c r="E337" s="7" t="s">
        <v>436</v>
      </c>
      <c r="F337" s="7" t="s">
        <v>117</v>
      </c>
      <c r="G337" s="7" t="s">
        <v>1282</v>
      </c>
      <c r="H337" s="7">
        <v>4.0999999999999996</v>
      </c>
      <c r="I337" s="7" t="s">
        <v>718</v>
      </c>
      <c r="R337" s="1472" t="s">
        <v>3052</v>
      </c>
      <c r="S337" s="1472">
        <v>4</v>
      </c>
      <c r="T337" s="1472" t="s">
        <v>1356</v>
      </c>
      <c r="U337" s="1472" t="s">
        <v>2722</v>
      </c>
      <c r="W337" s="1488"/>
      <c r="X337" s="1488"/>
      <c r="Y337" s="1488"/>
      <c r="Z337" s="1488"/>
    </row>
    <row r="338" spans="1:26">
      <c r="A338" s="7" t="s">
        <v>690</v>
      </c>
      <c r="B338" s="7" t="s">
        <v>1037</v>
      </c>
      <c r="C338" s="7">
        <v>1</v>
      </c>
      <c r="D338" s="7" t="s">
        <v>436</v>
      </c>
      <c r="E338" s="7" t="s">
        <v>436</v>
      </c>
      <c r="F338" s="7" t="s">
        <v>118</v>
      </c>
      <c r="G338" s="7" t="s">
        <v>1284</v>
      </c>
      <c r="H338" s="7">
        <v>4.0999999999999996</v>
      </c>
      <c r="I338" s="7" t="s">
        <v>718</v>
      </c>
      <c r="R338" s="1472" t="s">
        <v>3052</v>
      </c>
      <c r="S338" s="1472">
        <v>4</v>
      </c>
      <c r="T338" s="1472" t="s">
        <v>1357</v>
      </c>
      <c r="U338" s="1472" t="s">
        <v>1013</v>
      </c>
      <c r="W338" s="1488"/>
      <c r="X338" s="1488"/>
      <c r="Y338" s="1488"/>
      <c r="Z338" s="1488"/>
    </row>
    <row r="339" spans="1:26">
      <c r="A339" s="7" t="s">
        <v>690</v>
      </c>
      <c r="B339" s="7" t="s">
        <v>1037</v>
      </c>
      <c r="C339" s="7">
        <v>1</v>
      </c>
      <c r="D339" s="7" t="s">
        <v>436</v>
      </c>
      <c r="E339" s="7" t="s">
        <v>436</v>
      </c>
      <c r="F339" s="7" t="s">
        <v>118</v>
      </c>
      <c r="G339" s="7" t="s">
        <v>1285</v>
      </c>
      <c r="H339" s="7">
        <v>4.0999999999999996</v>
      </c>
      <c r="I339" s="7" t="s">
        <v>718</v>
      </c>
      <c r="R339" s="1472" t="s">
        <v>3052</v>
      </c>
      <c r="S339" s="1472">
        <v>4</v>
      </c>
      <c r="T339" s="1472" t="s">
        <v>1357</v>
      </c>
      <c r="U339" s="1472" t="s">
        <v>203</v>
      </c>
      <c r="W339" s="1488"/>
      <c r="X339" s="1488"/>
      <c r="Y339" s="1488"/>
      <c r="Z339" s="1488"/>
    </row>
    <row r="340" spans="1:26">
      <c r="A340" s="7" t="s">
        <v>690</v>
      </c>
      <c r="B340" s="7" t="s">
        <v>1037</v>
      </c>
      <c r="C340" s="7">
        <v>1</v>
      </c>
      <c r="D340" s="7" t="s">
        <v>436</v>
      </c>
      <c r="E340" s="7" t="s">
        <v>436</v>
      </c>
      <c r="F340" s="7" t="s">
        <v>118</v>
      </c>
      <c r="G340" s="7" t="s">
        <v>1286</v>
      </c>
      <c r="H340" s="7">
        <v>4.0999999999999996</v>
      </c>
      <c r="I340" s="7" t="s">
        <v>718</v>
      </c>
      <c r="R340" s="1472" t="s">
        <v>3052</v>
      </c>
      <c r="S340" s="1472">
        <v>4</v>
      </c>
      <c r="T340" s="1472" t="s">
        <v>1357</v>
      </c>
      <c r="U340" s="1472" t="s">
        <v>204</v>
      </c>
      <c r="W340" s="1488"/>
      <c r="X340" s="1488"/>
      <c r="Y340" s="1488"/>
      <c r="Z340" s="1488"/>
    </row>
    <row r="341" spans="1:26">
      <c r="A341" s="7" t="s">
        <v>690</v>
      </c>
      <c r="B341" s="7" t="s">
        <v>1037</v>
      </c>
      <c r="C341" s="7">
        <v>1</v>
      </c>
      <c r="D341" s="7" t="s">
        <v>436</v>
      </c>
      <c r="E341" s="7" t="s">
        <v>436</v>
      </c>
      <c r="F341" s="7" t="s">
        <v>2826</v>
      </c>
      <c r="G341" s="7" t="s">
        <v>2827</v>
      </c>
      <c r="H341" s="7">
        <v>4.0999999999999996</v>
      </c>
      <c r="I341" s="7" t="s">
        <v>718</v>
      </c>
      <c r="R341" s="1472" t="s">
        <v>3052</v>
      </c>
      <c r="S341" s="1472">
        <v>4</v>
      </c>
      <c r="T341" s="1472" t="s">
        <v>1357</v>
      </c>
      <c r="U341" s="1472" t="s">
        <v>205</v>
      </c>
      <c r="W341" s="1488"/>
      <c r="X341" s="1488"/>
      <c r="Y341" s="1488"/>
      <c r="Z341" s="1488"/>
    </row>
    <row r="342" spans="1:26">
      <c r="A342" s="7" t="s">
        <v>690</v>
      </c>
      <c r="B342" s="7" t="s">
        <v>1037</v>
      </c>
      <c r="C342" s="7">
        <v>1</v>
      </c>
      <c r="D342" s="7" t="s">
        <v>436</v>
      </c>
      <c r="E342" s="7" t="s">
        <v>436</v>
      </c>
      <c r="F342" s="7" t="s">
        <v>119</v>
      </c>
      <c r="G342" s="7" t="s">
        <v>1287</v>
      </c>
      <c r="H342" s="7">
        <v>4.0999999999999996</v>
      </c>
      <c r="I342" s="7" t="s">
        <v>718</v>
      </c>
      <c r="R342" s="1472" t="s">
        <v>3052</v>
      </c>
      <c r="S342" s="1472">
        <v>4</v>
      </c>
      <c r="T342" s="1472" t="s">
        <v>1357</v>
      </c>
      <c r="U342" s="1472" t="s">
        <v>207</v>
      </c>
      <c r="W342" s="1488"/>
      <c r="X342" s="1488"/>
      <c r="Y342" s="1488"/>
      <c r="Z342" s="1488"/>
    </row>
    <row r="343" spans="1:26">
      <c r="A343" s="7" t="s">
        <v>690</v>
      </c>
      <c r="B343" s="7" t="s">
        <v>1037</v>
      </c>
      <c r="C343" s="7">
        <v>1</v>
      </c>
      <c r="D343" s="7" t="s">
        <v>436</v>
      </c>
      <c r="E343" s="7" t="s">
        <v>436</v>
      </c>
      <c r="F343" s="7" t="s">
        <v>120</v>
      </c>
      <c r="G343" s="7" t="s">
        <v>1288</v>
      </c>
      <c r="H343" s="7">
        <v>4.0999999999999996</v>
      </c>
      <c r="I343" s="7" t="s">
        <v>718</v>
      </c>
      <c r="R343" s="1472" t="s">
        <v>3052</v>
      </c>
      <c r="S343" s="1472">
        <v>4</v>
      </c>
      <c r="T343" s="1472" t="s">
        <v>1357</v>
      </c>
      <c r="U343" s="1472" t="s">
        <v>1034</v>
      </c>
      <c r="W343" s="1488"/>
      <c r="X343" s="1488"/>
      <c r="Y343" s="1488"/>
      <c r="Z343" s="1488"/>
    </row>
    <row r="344" spans="1:26">
      <c r="A344" s="7" t="s">
        <v>690</v>
      </c>
      <c r="B344" s="7" t="s">
        <v>1037</v>
      </c>
      <c r="C344" s="7">
        <v>1</v>
      </c>
      <c r="D344" s="7" t="s">
        <v>436</v>
      </c>
      <c r="E344" s="7" t="s">
        <v>436</v>
      </c>
      <c r="F344" s="7" t="s">
        <v>120</v>
      </c>
      <c r="G344" s="7" t="s">
        <v>1289</v>
      </c>
      <c r="H344" s="7">
        <v>4.0999999999999996</v>
      </c>
      <c r="I344" s="7" t="s">
        <v>718</v>
      </c>
      <c r="R344" s="1472" t="s">
        <v>3052</v>
      </c>
      <c r="S344" s="1472">
        <v>4</v>
      </c>
      <c r="T344" s="1472" t="s">
        <v>1357</v>
      </c>
      <c r="U344" s="1472" t="s">
        <v>1027</v>
      </c>
      <c r="W344" s="1488"/>
      <c r="X344" s="1488"/>
      <c r="Y344" s="1488"/>
      <c r="Z344" s="1488"/>
    </row>
    <row r="345" spans="1:26">
      <c r="A345" s="7" t="s">
        <v>690</v>
      </c>
      <c r="B345" s="7" t="s">
        <v>1037</v>
      </c>
      <c r="C345" s="7">
        <v>1</v>
      </c>
      <c r="D345" s="7" t="s">
        <v>436</v>
      </c>
      <c r="E345" s="7" t="s">
        <v>436</v>
      </c>
      <c r="F345" s="7" t="s">
        <v>121</v>
      </c>
      <c r="G345" s="7" t="s">
        <v>1290</v>
      </c>
      <c r="H345" s="7">
        <v>4.0999999999999996</v>
      </c>
      <c r="I345" s="7" t="s">
        <v>718</v>
      </c>
      <c r="R345" s="1472" t="s">
        <v>3052</v>
      </c>
      <c r="S345" s="1472">
        <v>4</v>
      </c>
      <c r="T345" s="1472" t="s">
        <v>1357</v>
      </c>
      <c r="U345" s="1472" t="s">
        <v>2728</v>
      </c>
      <c r="W345" s="1488"/>
      <c r="X345" s="1488"/>
      <c r="Y345" s="1488"/>
      <c r="Z345" s="1488"/>
    </row>
    <row r="346" spans="1:26">
      <c r="A346" s="7" t="s">
        <v>690</v>
      </c>
      <c r="B346" s="7" t="s">
        <v>1037</v>
      </c>
      <c r="C346" s="7">
        <v>1</v>
      </c>
      <c r="D346" s="7" t="s">
        <v>436</v>
      </c>
      <c r="E346" s="7" t="s">
        <v>436</v>
      </c>
      <c r="F346" s="7" t="s">
        <v>121</v>
      </c>
      <c r="G346" s="7" t="s">
        <v>1291</v>
      </c>
      <c r="H346" s="7">
        <v>4.0999999999999996</v>
      </c>
      <c r="I346" s="7" t="s">
        <v>718</v>
      </c>
      <c r="R346" s="1472" t="s">
        <v>3052</v>
      </c>
      <c r="S346" s="1472">
        <v>4</v>
      </c>
      <c r="T346" s="1472" t="s">
        <v>1357</v>
      </c>
      <c r="U346" s="1472" t="s">
        <v>2729</v>
      </c>
      <c r="W346" s="1488"/>
      <c r="X346" s="1488"/>
      <c r="Y346" s="1488"/>
      <c r="Z346" s="1488"/>
    </row>
    <row r="347" spans="1:26">
      <c r="A347" s="7" t="s">
        <v>690</v>
      </c>
      <c r="B347" s="7" t="s">
        <v>1037</v>
      </c>
      <c r="C347" s="7">
        <v>1</v>
      </c>
      <c r="D347" s="7" t="s">
        <v>436</v>
      </c>
      <c r="E347" s="7" t="s">
        <v>436</v>
      </c>
      <c r="F347" s="7" t="s">
        <v>121</v>
      </c>
      <c r="G347" s="7" t="s">
        <v>1292</v>
      </c>
      <c r="H347" s="7">
        <v>4.0999999999999996</v>
      </c>
      <c r="I347" s="7" t="s">
        <v>718</v>
      </c>
      <c r="R347" s="1472" t="s">
        <v>3052</v>
      </c>
      <c r="S347" s="1472">
        <v>4</v>
      </c>
      <c r="T347" s="1472" t="s">
        <v>1357</v>
      </c>
      <c r="U347" s="1472" t="s">
        <v>2730</v>
      </c>
      <c r="W347" s="1488"/>
      <c r="X347" s="1488"/>
      <c r="Y347" s="1488"/>
      <c r="Z347" s="1488"/>
    </row>
    <row r="348" spans="1:26">
      <c r="A348" s="7" t="s">
        <v>690</v>
      </c>
      <c r="B348" s="7" t="s">
        <v>1037</v>
      </c>
      <c r="C348" s="7">
        <v>1</v>
      </c>
      <c r="D348" s="7" t="s">
        <v>436</v>
      </c>
      <c r="E348" s="7" t="s">
        <v>436</v>
      </c>
      <c r="F348" s="7" t="s">
        <v>121</v>
      </c>
      <c r="G348" s="7" t="s">
        <v>2828</v>
      </c>
      <c r="H348" s="7">
        <v>4.0999999999999996</v>
      </c>
      <c r="I348" s="7" t="s">
        <v>718</v>
      </c>
      <c r="R348" s="1472" t="s">
        <v>3052</v>
      </c>
      <c r="S348" s="1472">
        <v>4</v>
      </c>
      <c r="T348" s="1472" t="s">
        <v>1357</v>
      </c>
      <c r="U348" s="1472" t="s">
        <v>209</v>
      </c>
      <c r="W348" s="1488"/>
      <c r="X348" s="1488"/>
      <c r="Y348" s="1488"/>
      <c r="Z348" s="1488"/>
    </row>
    <row r="349" spans="1:26">
      <c r="A349" s="7" t="s">
        <v>690</v>
      </c>
      <c r="B349" s="7" t="s">
        <v>1037</v>
      </c>
      <c r="C349" s="7">
        <v>1</v>
      </c>
      <c r="D349" s="7" t="s">
        <v>436</v>
      </c>
      <c r="E349" s="7" t="s">
        <v>436</v>
      </c>
      <c r="F349" s="7" t="s">
        <v>121</v>
      </c>
      <c r="G349" s="7" t="s">
        <v>2829</v>
      </c>
      <c r="H349" s="7">
        <v>4.0999999999999996</v>
      </c>
      <c r="I349" s="7" t="s">
        <v>718</v>
      </c>
      <c r="R349" s="1472" t="s">
        <v>3052</v>
      </c>
      <c r="S349" s="1472">
        <v>4</v>
      </c>
      <c r="T349" s="1472" t="s">
        <v>1357</v>
      </c>
      <c r="U349" s="1472" t="s">
        <v>2731</v>
      </c>
      <c r="W349" s="1488"/>
      <c r="X349" s="1488"/>
      <c r="Y349" s="1488"/>
      <c r="Z349" s="1488"/>
    </row>
    <row r="350" spans="1:26">
      <c r="A350" s="7" t="s">
        <v>690</v>
      </c>
      <c r="B350" s="7" t="s">
        <v>1037</v>
      </c>
      <c r="C350" s="7">
        <v>1</v>
      </c>
      <c r="D350" s="7" t="s">
        <v>436</v>
      </c>
      <c r="E350" s="7" t="s">
        <v>436</v>
      </c>
      <c r="F350" s="7" t="s">
        <v>121</v>
      </c>
      <c r="G350" s="7" t="s">
        <v>1293</v>
      </c>
      <c r="H350" s="7">
        <v>4.0999999999999996</v>
      </c>
      <c r="I350" s="7" t="s">
        <v>718</v>
      </c>
      <c r="R350" s="1472" t="s">
        <v>3052</v>
      </c>
      <c r="S350" s="1472">
        <v>4</v>
      </c>
      <c r="T350" s="1472" t="s">
        <v>1357</v>
      </c>
      <c r="U350" s="1472" t="s">
        <v>2732</v>
      </c>
      <c r="W350" s="1488"/>
      <c r="X350" s="1488"/>
      <c r="Y350" s="1488"/>
      <c r="Z350" s="1488"/>
    </row>
    <row r="351" spans="1:26">
      <c r="A351" s="7" t="s">
        <v>690</v>
      </c>
      <c r="B351" s="7" t="s">
        <v>1037</v>
      </c>
      <c r="C351" s="7">
        <v>1</v>
      </c>
      <c r="D351" s="7" t="s">
        <v>436</v>
      </c>
      <c r="E351" s="7" t="s">
        <v>436</v>
      </c>
      <c r="F351" s="7" t="s">
        <v>122</v>
      </c>
      <c r="G351" s="7" t="s">
        <v>1294</v>
      </c>
      <c r="H351" s="7">
        <v>4.0999999999999996</v>
      </c>
      <c r="I351" s="7" t="s">
        <v>718</v>
      </c>
      <c r="R351" s="1472" t="s">
        <v>3052</v>
      </c>
      <c r="S351" s="1472">
        <v>4</v>
      </c>
      <c r="T351" s="1472" t="s">
        <v>1357</v>
      </c>
      <c r="U351" s="1472" t="s">
        <v>210</v>
      </c>
      <c r="W351" s="1488"/>
      <c r="X351" s="1488"/>
      <c r="Y351" s="1488"/>
      <c r="Z351" s="1488"/>
    </row>
    <row r="352" spans="1:26">
      <c r="A352" s="7" t="s">
        <v>690</v>
      </c>
      <c r="B352" s="7" t="s">
        <v>1037</v>
      </c>
      <c r="C352" s="7">
        <v>1</v>
      </c>
      <c r="D352" s="7" t="s">
        <v>436</v>
      </c>
      <c r="E352" s="7" t="s">
        <v>436</v>
      </c>
      <c r="F352" s="7" t="s">
        <v>122</v>
      </c>
      <c r="G352" s="7" t="s">
        <v>2830</v>
      </c>
      <c r="H352" s="7">
        <v>4.0999999999999996</v>
      </c>
      <c r="I352" s="7" t="s">
        <v>718</v>
      </c>
      <c r="R352" s="1472" t="s">
        <v>3052</v>
      </c>
      <c r="S352" s="1472">
        <v>4</v>
      </c>
      <c r="T352" s="1472" t="s">
        <v>1358</v>
      </c>
      <c r="U352" s="1472" t="s">
        <v>3015</v>
      </c>
      <c r="W352" s="1488"/>
      <c r="X352" s="1488"/>
      <c r="Y352" s="1488"/>
      <c r="Z352" s="1488"/>
    </row>
    <row r="353" spans="1:26">
      <c r="A353" s="7" t="s">
        <v>690</v>
      </c>
      <c r="B353" s="7" t="s">
        <v>1037</v>
      </c>
      <c r="C353" s="7">
        <v>1</v>
      </c>
      <c r="D353" s="7" t="s">
        <v>436</v>
      </c>
      <c r="E353" s="7" t="s">
        <v>436</v>
      </c>
      <c r="F353" s="7" t="s">
        <v>122</v>
      </c>
      <c r="G353" s="7" t="s">
        <v>2831</v>
      </c>
      <c r="H353" s="7">
        <v>4.0999999999999996</v>
      </c>
      <c r="I353" s="7" t="s">
        <v>718</v>
      </c>
      <c r="R353" s="1472" t="s">
        <v>3052</v>
      </c>
      <c r="S353" s="1472">
        <v>4</v>
      </c>
      <c r="T353" s="1472" t="s">
        <v>1358</v>
      </c>
      <c r="U353" s="1472" t="s">
        <v>1200</v>
      </c>
      <c r="W353" s="1488"/>
      <c r="X353" s="1488"/>
      <c r="Y353" s="1488"/>
      <c r="Z353" s="1488"/>
    </row>
    <row r="354" spans="1:26">
      <c r="A354" s="7" t="s">
        <v>690</v>
      </c>
      <c r="B354" s="7" t="s">
        <v>1037</v>
      </c>
      <c r="C354" s="7">
        <v>1</v>
      </c>
      <c r="D354" s="7" t="s">
        <v>436</v>
      </c>
      <c r="E354" s="7" t="s">
        <v>436</v>
      </c>
      <c r="F354" s="7" t="s">
        <v>2832</v>
      </c>
      <c r="G354" s="7" t="s">
        <v>2700</v>
      </c>
      <c r="H354" s="7">
        <v>4.0999999999999996</v>
      </c>
      <c r="I354" s="7" t="s">
        <v>718</v>
      </c>
      <c r="R354" s="1472" t="s">
        <v>3052</v>
      </c>
      <c r="S354" s="1472">
        <v>4</v>
      </c>
      <c r="T354" s="1472" t="s">
        <v>1360</v>
      </c>
      <c r="U354" s="1472" t="s">
        <v>1199</v>
      </c>
      <c r="W354" s="1488"/>
      <c r="X354" s="1488"/>
      <c r="Y354" s="1488"/>
      <c r="Z354" s="1488"/>
    </row>
    <row r="355" spans="1:26">
      <c r="A355" s="7" t="s">
        <v>690</v>
      </c>
      <c r="B355" s="7" t="s">
        <v>1037</v>
      </c>
      <c r="C355" s="7">
        <v>1</v>
      </c>
      <c r="D355" s="7" t="s">
        <v>436</v>
      </c>
      <c r="E355" s="7" t="s">
        <v>436</v>
      </c>
      <c r="F355" s="7" t="s">
        <v>123</v>
      </c>
      <c r="G355" s="7" t="s">
        <v>1295</v>
      </c>
      <c r="H355" s="7">
        <v>4.0999999999999996</v>
      </c>
      <c r="I355" s="7" t="s">
        <v>718</v>
      </c>
      <c r="R355" s="1472" t="s">
        <v>3052</v>
      </c>
      <c r="S355" s="1472">
        <v>4</v>
      </c>
      <c r="T355" s="1472" t="s">
        <v>1355</v>
      </c>
      <c r="U355" s="1472" t="s">
        <v>194</v>
      </c>
      <c r="W355" s="1488"/>
      <c r="X355" s="1488"/>
      <c r="Y355" s="1488"/>
      <c r="Z355" s="1488"/>
    </row>
    <row r="356" spans="1:26">
      <c r="A356" s="7" t="s">
        <v>690</v>
      </c>
      <c r="B356" s="7" t="s">
        <v>1037</v>
      </c>
      <c r="C356" s="7">
        <v>1</v>
      </c>
      <c r="D356" s="7" t="s">
        <v>436</v>
      </c>
      <c r="E356" s="7" t="s">
        <v>436</v>
      </c>
      <c r="F356" s="7" t="s">
        <v>123</v>
      </c>
      <c r="G356" s="7" t="s">
        <v>1296</v>
      </c>
      <c r="H356" s="7">
        <v>4.0999999999999996</v>
      </c>
      <c r="I356" s="7" t="s">
        <v>718</v>
      </c>
      <c r="R356" s="1472" t="s">
        <v>3052</v>
      </c>
      <c r="S356" s="1472">
        <v>4</v>
      </c>
      <c r="T356" s="1472" t="s">
        <v>1900</v>
      </c>
      <c r="U356" s="1472" t="s">
        <v>2804</v>
      </c>
      <c r="W356" s="1488"/>
      <c r="X356" s="1488"/>
      <c r="Y356" s="1488"/>
      <c r="Z356" s="1488"/>
    </row>
    <row r="357" spans="1:26">
      <c r="A357" s="7" t="s">
        <v>690</v>
      </c>
      <c r="B357" s="7" t="s">
        <v>1037</v>
      </c>
      <c r="C357" s="7">
        <v>1</v>
      </c>
      <c r="D357" s="7" t="s">
        <v>436</v>
      </c>
      <c r="E357" s="7" t="s">
        <v>436</v>
      </c>
      <c r="F357" s="7" t="s">
        <v>123</v>
      </c>
      <c r="G357" s="7" t="s">
        <v>1264</v>
      </c>
      <c r="H357" s="7">
        <v>4.0999999999999996</v>
      </c>
      <c r="I357" s="7" t="s">
        <v>718</v>
      </c>
      <c r="R357" s="1472" t="s">
        <v>3052</v>
      </c>
      <c r="S357" s="1472">
        <v>4</v>
      </c>
      <c r="T357" s="1472" t="s">
        <v>1900</v>
      </c>
      <c r="U357" s="1472" t="s">
        <v>1026</v>
      </c>
      <c r="W357" s="1488"/>
      <c r="X357" s="1488"/>
      <c r="Y357" s="1488"/>
      <c r="Z357" s="1488"/>
    </row>
    <row r="358" spans="1:26">
      <c r="A358" s="7" t="s">
        <v>690</v>
      </c>
      <c r="B358" s="7" t="s">
        <v>1037</v>
      </c>
      <c r="C358" s="7">
        <v>1</v>
      </c>
      <c r="D358" s="7" t="s">
        <v>436</v>
      </c>
      <c r="E358" s="7" t="s">
        <v>436</v>
      </c>
      <c r="F358" s="7" t="s">
        <v>124</v>
      </c>
      <c r="G358" s="7" t="s">
        <v>1297</v>
      </c>
      <c r="H358" s="7">
        <v>4.0999999999999996</v>
      </c>
      <c r="I358" s="7" t="s">
        <v>718</v>
      </c>
      <c r="R358" s="1472" t="s">
        <v>3052</v>
      </c>
      <c r="S358" s="1472">
        <v>4</v>
      </c>
      <c r="T358" s="1472" t="s">
        <v>1900</v>
      </c>
      <c r="U358" s="1472" t="s">
        <v>2741</v>
      </c>
      <c r="W358" s="1488"/>
      <c r="X358" s="1488"/>
      <c r="Y358" s="1488"/>
      <c r="Z358" s="1488"/>
    </row>
    <row r="359" spans="1:26">
      <c r="A359" s="7" t="s">
        <v>690</v>
      </c>
      <c r="B359" s="7" t="s">
        <v>1037</v>
      </c>
      <c r="C359" s="7">
        <v>1</v>
      </c>
      <c r="D359" s="7" t="s">
        <v>436</v>
      </c>
      <c r="E359" s="7" t="s">
        <v>436</v>
      </c>
      <c r="F359" s="7" t="s">
        <v>124</v>
      </c>
      <c r="G359" s="7" t="s">
        <v>1298</v>
      </c>
      <c r="H359" s="7">
        <v>4.0999999999999996</v>
      </c>
      <c r="I359" s="7" t="s">
        <v>718</v>
      </c>
      <c r="R359" s="1472" t="s">
        <v>3052</v>
      </c>
      <c r="S359" s="1472">
        <v>4</v>
      </c>
      <c r="T359" s="1472" t="s">
        <v>1900</v>
      </c>
      <c r="U359" s="1472" t="s">
        <v>2742</v>
      </c>
      <c r="W359" s="1488"/>
      <c r="X359" s="1488"/>
      <c r="Y359" s="1488"/>
      <c r="Z359" s="1488"/>
    </row>
    <row r="360" spans="1:26">
      <c r="A360" s="7" t="s">
        <v>690</v>
      </c>
      <c r="B360" s="7" t="s">
        <v>1037</v>
      </c>
      <c r="C360" s="7">
        <v>1</v>
      </c>
      <c r="D360" s="7" t="s">
        <v>436</v>
      </c>
      <c r="E360" s="7" t="s">
        <v>436</v>
      </c>
      <c r="F360" s="7" t="s">
        <v>124</v>
      </c>
      <c r="G360" s="7" t="s">
        <v>1299</v>
      </c>
      <c r="H360" s="7">
        <v>4.0999999999999996</v>
      </c>
      <c r="I360" s="7" t="s">
        <v>718</v>
      </c>
      <c r="R360" s="1472" t="s">
        <v>1038</v>
      </c>
      <c r="S360" s="1472">
        <v>1</v>
      </c>
      <c r="T360" s="1472" t="s">
        <v>3016</v>
      </c>
      <c r="U360" s="1472" t="s">
        <v>390</v>
      </c>
      <c r="W360" s="1488"/>
      <c r="X360" s="1488"/>
      <c r="Y360" s="1488"/>
      <c r="Z360" s="1488"/>
    </row>
    <row r="361" spans="1:26">
      <c r="A361" s="7" t="s">
        <v>690</v>
      </c>
      <c r="B361" s="7" t="s">
        <v>1037</v>
      </c>
      <c r="C361" s="7">
        <v>1</v>
      </c>
      <c r="D361" s="7" t="s">
        <v>436</v>
      </c>
      <c r="E361" s="7" t="s">
        <v>436</v>
      </c>
      <c r="F361" s="7" t="s">
        <v>125</v>
      </c>
      <c r="G361" s="7" t="s">
        <v>1300</v>
      </c>
      <c r="H361" s="7">
        <v>4.0999999999999996</v>
      </c>
      <c r="I361" s="7" t="s">
        <v>718</v>
      </c>
      <c r="R361" s="1472" t="s">
        <v>1038</v>
      </c>
      <c r="S361" s="1472">
        <v>1</v>
      </c>
      <c r="T361" s="1472" t="s">
        <v>3016</v>
      </c>
      <c r="U361" s="1472" t="s">
        <v>391</v>
      </c>
      <c r="W361" s="1488"/>
      <c r="X361" s="1488"/>
      <c r="Y361" s="1488"/>
      <c r="Z361" s="1488"/>
    </row>
    <row r="362" spans="1:26">
      <c r="A362" s="7" t="s">
        <v>690</v>
      </c>
      <c r="B362" s="7" t="s">
        <v>1037</v>
      </c>
      <c r="C362" s="7">
        <v>1</v>
      </c>
      <c r="D362" s="7" t="s">
        <v>436</v>
      </c>
      <c r="E362" s="7" t="s">
        <v>436</v>
      </c>
      <c r="F362" s="7" t="s">
        <v>126</v>
      </c>
      <c r="G362" s="7" t="s">
        <v>1253</v>
      </c>
      <c r="H362" s="7">
        <v>4.0999999999999996</v>
      </c>
      <c r="I362" s="7" t="s">
        <v>718</v>
      </c>
      <c r="R362" s="1472" t="s">
        <v>1038</v>
      </c>
      <c r="S362" s="1472">
        <v>1</v>
      </c>
      <c r="T362" s="1472" t="s">
        <v>3016</v>
      </c>
      <c r="U362" s="1472" t="s">
        <v>392</v>
      </c>
      <c r="W362" s="1488"/>
      <c r="X362" s="1488"/>
      <c r="Y362" s="1488"/>
      <c r="Z362" s="1488"/>
    </row>
    <row r="363" spans="1:26">
      <c r="A363" s="7" t="s">
        <v>690</v>
      </c>
      <c r="B363" s="7" t="s">
        <v>1037</v>
      </c>
      <c r="C363" s="7">
        <v>1</v>
      </c>
      <c r="D363" s="7" t="s">
        <v>436</v>
      </c>
      <c r="E363" s="7" t="s">
        <v>436</v>
      </c>
      <c r="F363" s="7" t="s">
        <v>126</v>
      </c>
      <c r="G363" s="7" t="s">
        <v>1301</v>
      </c>
      <c r="H363" s="7">
        <v>4.0999999999999996</v>
      </c>
      <c r="I363" s="7" t="s">
        <v>718</v>
      </c>
      <c r="R363" s="1472" t="s">
        <v>1038</v>
      </c>
      <c r="S363" s="1472">
        <v>1</v>
      </c>
      <c r="T363" s="1472" t="s">
        <v>3016</v>
      </c>
      <c r="U363" s="1472" t="s">
        <v>280</v>
      </c>
      <c r="W363" s="1488"/>
      <c r="X363" s="1488"/>
      <c r="Y363" s="1488"/>
      <c r="Z363" s="1488"/>
    </row>
    <row r="364" spans="1:26">
      <c r="A364" s="7" t="s">
        <v>690</v>
      </c>
      <c r="B364" s="7" t="s">
        <v>1037</v>
      </c>
      <c r="C364" s="7">
        <v>1</v>
      </c>
      <c r="D364" s="7" t="s">
        <v>436</v>
      </c>
      <c r="E364" s="7" t="s">
        <v>436</v>
      </c>
      <c r="F364" s="7" t="s">
        <v>126</v>
      </c>
      <c r="G364" s="7" t="s">
        <v>1302</v>
      </c>
      <c r="H364" s="7">
        <v>4.0999999999999996</v>
      </c>
      <c r="I364" s="7" t="s">
        <v>718</v>
      </c>
      <c r="R364" s="1472" t="s">
        <v>1038</v>
      </c>
      <c r="S364" s="1472">
        <v>1</v>
      </c>
      <c r="T364" s="1472" t="s">
        <v>3016</v>
      </c>
      <c r="U364" s="1472" t="s">
        <v>278</v>
      </c>
      <c r="W364" s="1488"/>
      <c r="X364" s="1488"/>
      <c r="Y364" s="1488"/>
      <c r="Z364" s="1488"/>
    </row>
    <row r="365" spans="1:26">
      <c r="A365" s="7" t="s">
        <v>690</v>
      </c>
      <c r="B365" s="7" t="s">
        <v>1037</v>
      </c>
      <c r="C365" s="7">
        <v>1</v>
      </c>
      <c r="D365" s="7" t="s">
        <v>44</v>
      </c>
      <c r="E365" s="7" t="s">
        <v>44</v>
      </c>
      <c r="F365" s="7" t="s">
        <v>127</v>
      </c>
      <c r="G365" s="7" t="s">
        <v>131</v>
      </c>
      <c r="H365" s="7">
        <v>4.4000000000000004</v>
      </c>
      <c r="I365" s="7" t="s">
        <v>718</v>
      </c>
      <c r="R365" s="1472" t="s">
        <v>1038</v>
      </c>
      <c r="S365" s="1472">
        <v>1</v>
      </c>
      <c r="T365" s="1472" t="s">
        <v>3016</v>
      </c>
      <c r="U365" s="1472" t="s">
        <v>279</v>
      </c>
      <c r="W365" s="1488"/>
      <c r="X365" s="1488"/>
      <c r="Y365" s="1488"/>
      <c r="Z365" s="1488"/>
    </row>
    <row r="366" spans="1:26">
      <c r="A366" s="7" t="s">
        <v>690</v>
      </c>
      <c r="B366" s="7" t="s">
        <v>1037</v>
      </c>
      <c r="C366" s="7">
        <v>1</v>
      </c>
      <c r="D366" s="7" t="s">
        <v>44</v>
      </c>
      <c r="E366" s="7" t="s">
        <v>44</v>
      </c>
      <c r="F366" s="7" t="s">
        <v>127</v>
      </c>
      <c r="G366" s="7" t="s">
        <v>132</v>
      </c>
      <c r="H366" s="7">
        <v>4.4000000000000004</v>
      </c>
      <c r="I366" s="7" t="s">
        <v>718</v>
      </c>
      <c r="R366" s="1472" t="s">
        <v>1038</v>
      </c>
      <c r="S366" s="1472">
        <v>1</v>
      </c>
      <c r="T366" s="1472" t="s">
        <v>3016</v>
      </c>
      <c r="U366" s="1472" t="s">
        <v>3026</v>
      </c>
      <c r="W366" s="1488"/>
      <c r="X366" s="1488"/>
      <c r="Y366" s="1488"/>
      <c r="Z366" s="1488"/>
    </row>
    <row r="367" spans="1:26">
      <c r="A367" s="7" t="s">
        <v>690</v>
      </c>
      <c r="B367" s="7" t="s">
        <v>1037</v>
      </c>
      <c r="C367" s="7">
        <v>1</v>
      </c>
      <c r="D367" s="7" t="s">
        <v>44</v>
      </c>
      <c r="E367" s="7" t="s">
        <v>44</v>
      </c>
      <c r="F367" s="7" t="s">
        <v>128</v>
      </c>
      <c r="G367" s="7" t="s">
        <v>133</v>
      </c>
      <c r="H367" s="7">
        <v>4.4000000000000004</v>
      </c>
      <c r="I367" s="7" t="s">
        <v>718</v>
      </c>
      <c r="R367" s="1472" t="s">
        <v>1038</v>
      </c>
      <c r="S367" s="1472">
        <v>1</v>
      </c>
      <c r="T367" s="1472" t="s">
        <v>3016</v>
      </c>
      <c r="U367" s="1472" t="s">
        <v>286</v>
      </c>
      <c r="W367" s="1488"/>
      <c r="X367" s="1488"/>
      <c r="Y367" s="1488"/>
      <c r="Z367" s="1488"/>
    </row>
    <row r="368" spans="1:26">
      <c r="A368" s="7" t="s">
        <v>690</v>
      </c>
      <c r="B368" s="7" t="s">
        <v>1037</v>
      </c>
      <c r="C368" s="7">
        <v>1</v>
      </c>
      <c r="D368" s="7" t="s">
        <v>44</v>
      </c>
      <c r="E368" s="7" t="s">
        <v>44</v>
      </c>
      <c r="F368" s="7" t="s">
        <v>128</v>
      </c>
      <c r="G368" s="7" t="s">
        <v>1303</v>
      </c>
      <c r="H368" s="7">
        <v>4.4000000000000004</v>
      </c>
      <c r="I368" s="7" t="s">
        <v>718</v>
      </c>
      <c r="R368" s="1472" t="s">
        <v>1038</v>
      </c>
      <c r="S368" s="1472">
        <v>1</v>
      </c>
      <c r="T368" s="1472" t="s">
        <v>3016</v>
      </c>
      <c r="U368" s="1472" t="s">
        <v>402</v>
      </c>
      <c r="W368" s="1488"/>
      <c r="X368" s="1488"/>
      <c r="Y368" s="1488"/>
      <c r="Z368" s="1488"/>
    </row>
    <row r="369" spans="1:26">
      <c r="A369" s="7" t="s">
        <v>690</v>
      </c>
      <c r="B369" s="7" t="s">
        <v>1037</v>
      </c>
      <c r="C369" s="7">
        <v>1</v>
      </c>
      <c r="D369" s="7" t="s">
        <v>44</v>
      </c>
      <c r="E369" s="7" t="s">
        <v>44</v>
      </c>
      <c r="F369" s="7" t="s">
        <v>128</v>
      </c>
      <c r="G369" s="7" t="s">
        <v>134</v>
      </c>
      <c r="H369" s="7">
        <v>4.4000000000000004</v>
      </c>
      <c r="I369" s="7" t="s">
        <v>718</v>
      </c>
      <c r="R369" s="1472" t="s">
        <v>1038</v>
      </c>
      <c r="S369" s="1472">
        <v>1</v>
      </c>
      <c r="T369" s="1472" t="s">
        <v>3016</v>
      </c>
      <c r="U369" s="1472" t="s">
        <v>403</v>
      </c>
      <c r="W369" s="1488"/>
      <c r="X369" s="1488"/>
      <c r="Y369" s="1488"/>
      <c r="Z369" s="1488"/>
    </row>
    <row r="370" spans="1:26">
      <c r="A370" s="7" t="s">
        <v>690</v>
      </c>
      <c r="B370" s="7" t="s">
        <v>1037</v>
      </c>
      <c r="C370" s="7">
        <v>1</v>
      </c>
      <c r="D370" s="7" t="s">
        <v>44</v>
      </c>
      <c r="E370" s="7" t="s">
        <v>44</v>
      </c>
      <c r="F370" s="7" t="s">
        <v>128</v>
      </c>
      <c r="G370" s="7" t="s">
        <v>135</v>
      </c>
      <c r="H370" s="7">
        <v>4.4000000000000004</v>
      </c>
      <c r="I370" s="7" t="s">
        <v>718</v>
      </c>
      <c r="R370" s="1472" t="s">
        <v>1038</v>
      </c>
      <c r="S370" s="1472">
        <v>1</v>
      </c>
      <c r="T370" s="1472" t="s">
        <v>3016</v>
      </c>
      <c r="U370" s="1472" t="s">
        <v>1049</v>
      </c>
      <c r="W370" s="1488"/>
      <c r="X370" s="1488"/>
      <c r="Y370" s="1488"/>
      <c r="Z370" s="1488"/>
    </row>
    <row r="371" spans="1:26">
      <c r="A371" s="7" t="s">
        <v>690</v>
      </c>
      <c r="B371" s="7" t="s">
        <v>1037</v>
      </c>
      <c r="C371" s="7">
        <v>1</v>
      </c>
      <c r="D371" s="7" t="s">
        <v>44</v>
      </c>
      <c r="E371" s="7" t="s">
        <v>44</v>
      </c>
      <c r="F371" s="7" t="s">
        <v>128</v>
      </c>
      <c r="G371" s="7" t="s">
        <v>1304</v>
      </c>
      <c r="H371" s="7">
        <v>4.4000000000000004</v>
      </c>
      <c r="I371" s="7" t="s">
        <v>718</v>
      </c>
      <c r="R371" s="1472" t="s">
        <v>1038</v>
      </c>
      <c r="S371" s="1472">
        <v>1</v>
      </c>
      <c r="T371" s="1472" t="s">
        <v>3016</v>
      </c>
      <c r="U371" s="1472" t="s">
        <v>2896</v>
      </c>
      <c r="W371" s="1488"/>
      <c r="X371" s="1488"/>
      <c r="Y371" s="1488"/>
      <c r="Z371" s="1488"/>
    </row>
    <row r="372" spans="1:26">
      <c r="A372" s="7" t="s">
        <v>690</v>
      </c>
      <c r="B372" s="7" t="s">
        <v>1037</v>
      </c>
      <c r="C372" s="7">
        <v>1</v>
      </c>
      <c r="D372" s="7" t="s">
        <v>44</v>
      </c>
      <c r="E372" s="7" t="s">
        <v>44</v>
      </c>
      <c r="F372" s="7" t="s">
        <v>2833</v>
      </c>
      <c r="G372" s="7" t="s">
        <v>2700</v>
      </c>
      <c r="H372" s="7">
        <v>4.4000000000000004</v>
      </c>
      <c r="I372" s="7" t="s">
        <v>718</v>
      </c>
      <c r="R372" s="1472" t="s">
        <v>1038</v>
      </c>
      <c r="S372" s="1472">
        <v>1</v>
      </c>
      <c r="T372" s="1472" t="s">
        <v>3016</v>
      </c>
      <c r="U372" s="1472" t="s">
        <v>277</v>
      </c>
      <c r="W372" s="1488"/>
      <c r="X372" s="1488"/>
      <c r="Y372" s="1488"/>
      <c r="Z372" s="1488"/>
    </row>
    <row r="373" spans="1:26">
      <c r="A373" s="7" t="s">
        <v>690</v>
      </c>
      <c r="B373" s="7" t="s">
        <v>1037</v>
      </c>
      <c r="C373" s="7">
        <v>2</v>
      </c>
      <c r="D373" s="7" t="s">
        <v>2834</v>
      </c>
      <c r="E373" s="7" t="s">
        <v>2834</v>
      </c>
      <c r="F373" s="7" t="s">
        <v>1055</v>
      </c>
      <c r="G373" s="7" t="s">
        <v>2840</v>
      </c>
      <c r="H373" s="7">
        <v>4.7</v>
      </c>
      <c r="I373" s="7" t="s">
        <v>718</v>
      </c>
      <c r="R373" s="1472" t="s">
        <v>1038</v>
      </c>
      <c r="S373" s="1472">
        <v>2</v>
      </c>
      <c r="T373" s="1472" t="s">
        <v>3028</v>
      </c>
      <c r="U373" s="1472" t="s">
        <v>284</v>
      </c>
      <c r="W373" s="1488"/>
      <c r="X373" s="1488"/>
      <c r="Y373" s="1488"/>
      <c r="Z373" s="1488"/>
    </row>
    <row r="374" spans="1:26">
      <c r="A374" s="7" t="s">
        <v>690</v>
      </c>
      <c r="B374" s="7" t="s">
        <v>1037</v>
      </c>
      <c r="C374" s="7">
        <v>2</v>
      </c>
      <c r="D374" s="7" t="s">
        <v>2834</v>
      </c>
      <c r="E374" s="7" t="s">
        <v>2834</v>
      </c>
      <c r="F374" s="7" t="s">
        <v>1055</v>
      </c>
      <c r="G374" s="7" t="s">
        <v>1123</v>
      </c>
      <c r="H374" s="7">
        <v>4.7</v>
      </c>
      <c r="I374" s="7" t="s">
        <v>718</v>
      </c>
      <c r="R374" s="1472" t="s">
        <v>1038</v>
      </c>
      <c r="S374" s="1472">
        <v>2</v>
      </c>
      <c r="T374" s="1472" t="s">
        <v>3028</v>
      </c>
      <c r="U374" s="1472" t="s">
        <v>385</v>
      </c>
      <c r="W374" s="1488"/>
      <c r="X374" s="1488"/>
      <c r="Y374" s="1488"/>
      <c r="Z374" s="1488"/>
    </row>
    <row r="375" spans="1:26">
      <c r="A375" s="7" t="s">
        <v>690</v>
      </c>
      <c r="B375" s="7" t="s">
        <v>1037</v>
      </c>
      <c r="C375" s="7">
        <v>2</v>
      </c>
      <c r="D375" s="7" t="s">
        <v>2834</v>
      </c>
      <c r="E375" s="7" t="s">
        <v>2834</v>
      </c>
      <c r="F375" s="7" t="s">
        <v>1442</v>
      </c>
      <c r="G375" s="7" t="s">
        <v>1346</v>
      </c>
      <c r="H375" s="7">
        <v>4.7</v>
      </c>
      <c r="I375" s="7" t="s">
        <v>718</v>
      </c>
      <c r="R375" s="1472" t="s">
        <v>1038</v>
      </c>
      <c r="S375" s="1472">
        <v>2</v>
      </c>
      <c r="T375" s="1472" t="s">
        <v>3028</v>
      </c>
      <c r="U375" s="1472" t="s">
        <v>283</v>
      </c>
      <c r="W375" s="1488"/>
      <c r="X375" s="1488"/>
      <c r="Y375" s="1488"/>
      <c r="Z375" s="1488"/>
    </row>
    <row r="376" spans="1:26">
      <c r="A376" s="7" t="s">
        <v>690</v>
      </c>
      <c r="B376" s="7" t="s">
        <v>1037</v>
      </c>
      <c r="C376" s="7">
        <v>2</v>
      </c>
      <c r="D376" s="7" t="s">
        <v>2834</v>
      </c>
      <c r="E376" s="7" t="s">
        <v>2834</v>
      </c>
      <c r="F376" s="7" t="s">
        <v>1056</v>
      </c>
      <c r="G376" s="7" t="s">
        <v>1124</v>
      </c>
      <c r="H376" s="7">
        <v>4.7</v>
      </c>
      <c r="I376" s="7" t="s">
        <v>718</v>
      </c>
      <c r="R376" s="1472" t="s">
        <v>1038</v>
      </c>
      <c r="S376" s="1472">
        <v>2</v>
      </c>
      <c r="T376" s="1472" t="s">
        <v>3028</v>
      </c>
      <c r="U376" s="1472" t="s">
        <v>387</v>
      </c>
      <c r="W376" s="1488"/>
      <c r="X376" s="1488"/>
      <c r="Y376" s="1488"/>
      <c r="Z376" s="1488"/>
    </row>
    <row r="377" spans="1:26">
      <c r="A377" s="7" t="s">
        <v>690</v>
      </c>
      <c r="B377" s="7" t="s">
        <v>1037</v>
      </c>
      <c r="C377" s="7">
        <v>2</v>
      </c>
      <c r="D377" s="7" t="s">
        <v>2834</v>
      </c>
      <c r="E377" s="7" t="s">
        <v>2834</v>
      </c>
      <c r="F377" s="7" t="s">
        <v>1056</v>
      </c>
      <c r="G377" s="7" t="s">
        <v>1125</v>
      </c>
      <c r="H377" s="7">
        <v>4.7</v>
      </c>
      <c r="I377" s="7" t="s">
        <v>718</v>
      </c>
      <c r="R377" s="1472" t="s">
        <v>1038</v>
      </c>
      <c r="S377" s="1472">
        <v>2</v>
      </c>
      <c r="T377" s="1472" t="s">
        <v>3028</v>
      </c>
      <c r="U377" s="1472" t="s">
        <v>388</v>
      </c>
      <c r="W377" s="1488"/>
      <c r="X377" s="1488"/>
      <c r="Y377" s="1488"/>
      <c r="Z377" s="1488"/>
    </row>
    <row r="378" spans="1:26">
      <c r="A378" s="7" t="s">
        <v>690</v>
      </c>
      <c r="B378" s="7" t="s">
        <v>1037</v>
      </c>
      <c r="C378" s="7">
        <v>2</v>
      </c>
      <c r="D378" s="7" t="s">
        <v>2834</v>
      </c>
      <c r="E378" s="7" t="s">
        <v>2834</v>
      </c>
      <c r="F378" s="7" t="s">
        <v>1056</v>
      </c>
      <c r="G378" s="7" t="s">
        <v>1126</v>
      </c>
      <c r="H378" s="7">
        <v>4.7</v>
      </c>
      <c r="I378" s="7" t="s">
        <v>718</v>
      </c>
      <c r="R378" s="1472" t="s">
        <v>1038</v>
      </c>
      <c r="S378" s="1472">
        <v>2</v>
      </c>
      <c r="T378" s="1472" t="s">
        <v>3028</v>
      </c>
      <c r="U378" s="1472" t="s">
        <v>389</v>
      </c>
      <c r="W378" s="1488"/>
      <c r="X378" s="1488"/>
      <c r="Y378" s="1488"/>
      <c r="Z378" s="1488"/>
    </row>
    <row r="379" spans="1:26">
      <c r="A379" s="7" t="s">
        <v>690</v>
      </c>
      <c r="B379" s="7" t="s">
        <v>1037</v>
      </c>
      <c r="C379" s="7">
        <v>2</v>
      </c>
      <c r="D379" s="7" t="s">
        <v>2834</v>
      </c>
      <c r="E379" s="7" t="s">
        <v>2834</v>
      </c>
      <c r="F379" s="7" t="s">
        <v>385</v>
      </c>
      <c r="G379" s="7" t="s">
        <v>2841</v>
      </c>
      <c r="H379" s="7">
        <v>4.7</v>
      </c>
      <c r="I379" s="7" t="s">
        <v>718</v>
      </c>
      <c r="R379" s="1472" t="s">
        <v>1038</v>
      </c>
      <c r="S379" s="1472">
        <v>2</v>
      </c>
      <c r="T379" s="1472" t="s">
        <v>3028</v>
      </c>
      <c r="U379" s="1472" t="s">
        <v>390</v>
      </c>
      <c r="W379" s="1488"/>
      <c r="X379" s="1488"/>
      <c r="Y379" s="1488"/>
      <c r="Z379" s="1488"/>
    </row>
    <row r="380" spans="1:26">
      <c r="A380" s="7" t="s">
        <v>690</v>
      </c>
      <c r="B380" s="7" t="s">
        <v>1037</v>
      </c>
      <c r="C380" s="7">
        <v>2</v>
      </c>
      <c r="D380" s="7" t="s">
        <v>2834</v>
      </c>
      <c r="E380" s="7" t="s">
        <v>2834</v>
      </c>
      <c r="F380" s="7" t="s">
        <v>385</v>
      </c>
      <c r="G380" s="7" t="s">
        <v>2842</v>
      </c>
      <c r="H380" s="7">
        <v>4.7</v>
      </c>
      <c r="I380" s="7" t="s">
        <v>718</v>
      </c>
      <c r="R380" s="1472" t="s">
        <v>1038</v>
      </c>
      <c r="S380" s="1472">
        <v>2</v>
      </c>
      <c r="T380" s="1472" t="s">
        <v>3028</v>
      </c>
      <c r="U380" s="1472" t="s">
        <v>393</v>
      </c>
      <c r="W380" s="1488"/>
      <c r="X380" s="1488"/>
      <c r="Y380" s="1488"/>
      <c r="Z380" s="1488"/>
    </row>
    <row r="381" spans="1:26">
      <c r="A381" s="7" t="s">
        <v>690</v>
      </c>
      <c r="B381" s="7" t="s">
        <v>1037</v>
      </c>
      <c r="C381" s="7">
        <v>2</v>
      </c>
      <c r="D381" s="7" t="s">
        <v>2834</v>
      </c>
      <c r="E381" s="7" t="s">
        <v>2834</v>
      </c>
      <c r="F381" s="7" t="s">
        <v>2835</v>
      </c>
      <c r="G381" s="7" t="s">
        <v>1057</v>
      </c>
      <c r="H381" s="7">
        <v>4.5</v>
      </c>
      <c r="I381" s="7" t="s">
        <v>718</v>
      </c>
      <c r="R381" s="1472" t="s">
        <v>1038</v>
      </c>
      <c r="S381" s="1472">
        <v>2</v>
      </c>
      <c r="T381" s="1472" t="s">
        <v>3028</v>
      </c>
      <c r="U381" s="1472" t="s">
        <v>395</v>
      </c>
      <c r="W381" s="1488"/>
      <c r="X381" s="1488"/>
      <c r="Y381" s="1488"/>
      <c r="Z381" s="1488"/>
    </row>
    <row r="382" spans="1:26">
      <c r="A382" s="7" t="s">
        <v>690</v>
      </c>
      <c r="B382" s="7" t="s">
        <v>1037</v>
      </c>
      <c r="C382" s="7">
        <v>2</v>
      </c>
      <c r="D382" s="7" t="s">
        <v>2834</v>
      </c>
      <c r="E382" s="7" t="s">
        <v>2834</v>
      </c>
      <c r="F382" s="7" t="s">
        <v>2836</v>
      </c>
      <c r="G382" s="7" t="s">
        <v>1057</v>
      </c>
      <c r="H382" s="7">
        <v>4.5</v>
      </c>
      <c r="I382" s="7" t="s">
        <v>718</v>
      </c>
      <c r="R382" s="1472" t="s">
        <v>1038</v>
      </c>
      <c r="S382" s="1472">
        <v>2</v>
      </c>
      <c r="T382" s="1472" t="s">
        <v>3028</v>
      </c>
      <c r="U382" s="1472" t="s">
        <v>280</v>
      </c>
      <c r="W382" s="1488"/>
      <c r="X382" s="1488"/>
      <c r="Y382" s="1488"/>
      <c r="Z382" s="1488"/>
    </row>
    <row r="383" spans="1:26">
      <c r="A383" s="7" t="s">
        <v>690</v>
      </c>
      <c r="B383" s="7" t="s">
        <v>1037</v>
      </c>
      <c r="C383" s="7">
        <v>2</v>
      </c>
      <c r="D383" s="7" t="s">
        <v>2834</v>
      </c>
      <c r="E383" s="7" t="s">
        <v>2834</v>
      </c>
      <c r="F383" s="7" t="s">
        <v>1127</v>
      </c>
      <c r="G383" s="7" t="s">
        <v>1128</v>
      </c>
      <c r="H383" s="7">
        <v>4.7</v>
      </c>
      <c r="I383" s="7" t="s">
        <v>718</v>
      </c>
      <c r="R383" s="1472" t="s">
        <v>1038</v>
      </c>
      <c r="S383" s="1472">
        <v>2</v>
      </c>
      <c r="T383" s="1472" t="s">
        <v>3028</v>
      </c>
      <c r="U383" s="1472" t="s">
        <v>396</v>
      </c>
      <c r="W383" s="1488"/>
      <c r="X383" s="1488"/>
      <c r="Y383" s="1488"/>
      <c r="Z383" s="1488"/>
    </row>
    <row r="384" spans="1:26">
      <c r="A384" s="7" t="s">
        <v>690</v>
      </c>
      <c r="B384" s="7" t="s">
        <v>1037</v>
      </c>
      <c r="C384" s="7">
        <v>2</v>
      </c>
      <c r="D384" s="7" t="s">
        <v>2834</v>
      </c>
      <c r="E384" s="7" t="s">
        <v>2834</v>
      </c>
      <c r="F384" s="7" t="s">
        <v>1058</v>
      </c>
      <c r="G384" s="7" t="s">
        <v>1129</v>
      </c>
      <c r="H384" s="7">
        <v>4.7</v>
      </c>
      <c r="I384" s="7" t="s">
        <v>718</v>
      </c>
      <c r="R384" s="1472" t="s">
        <v>1038</v>
      </c>
      <c r="S384" s="1472">
        <v>2</v>
      </c>
      <c r="T384" s="1472" t="s">
        <v>3028</v>
      </c>
      <c r="U384" s="1472" t="s">
        <v>285</v>
      </c>
      <c r="W384" s="1488"/>
      <c r="X384" s="1488"/>
      <c r="Y384" s="1488"/>
      <c r="Z384" s="1488"/>
    </row>
    <row r="385" spans="1:26">
      <c r="A385" s="7" t="s">
        <v>690</v>
      </c>
      <c r="B385" s="7" t="s">
        <v>1037</v>
      </c>
      <c r="C385" s="7">
        <v>2</v>
      </c>
      <c r="D385" s="7" t="s">
        <v>2834</v>
      </c>
      <c r="E385" s="7" t="s">
        <v>2834</v>
      </c>
      <c r="F385" s="7" t="s">
        <v>1058</v>
      </c>
      <c r="G385" s="7" t="s">
        <v>1130</v>
      </c>
      <c r="H385" s="7">
        <v>4.7</v>
      </c>
      <c r="I385" s="7" t="s">
        <v>718</v>
      </c>
      <c r="R385" s="1472" t="s">
        <v>1038</v>
      </c>
      <c r="S385" s="1472">
        <v>2</v>
      </c>
      <c r="T385" s="1472" t="s">
        <v>3028</v>
      </c>
      <c r="U385" s="1472" t="s">
        <v>398</v>
      </c>
      <c r="W385" s="1488"/>
      <c r="X385" s="1488"/>
      <c r="Y385" s="1488"/>
      <c r="Z385" s="1488"/>
    </row>
    <row r="386" spans="1:26">
      <c r="A386" s="7" t="s">
        <v>690</v>
      </c>
      <c r="B386" s="7" t="s">
        <v>1037</v>
      </c>
      <c r="C386" s="7">
        <v>2</v>
      </c>
      <c r="D386" s="7" t="s">
        <v>2834</v>
      </c>
      <c r="E386" s="7" t="s">
        <v>2834</v>
      </c>
      <c r="F386" s="7" t="s">
        <v>1058</v>
      </c>
      <c r="G386" s="7" t="s">
        <v>1131</v>
      </c>
      <c r="H386" s="7">
        <v>4.7</v>
      </c>
      <c r="I386" s="7" t="s">
        <v>718</v>
      </c>
      <c r="R386" s="1472" t="s">
        <v>1038</v>
      </c>
      <c r="S386" s="1472">
        <v>2</v>
      </c>
      <c r="T386" s="1472" t="s">
        <v>3028</v>
      </c>
      <c r="U386" s="1472" t="s">
        <v>399</v>
      </c>
      <c r="W386" s="1488"/>
      <c r="X386" s="1488"/>
      <c r="Y386" s="1488"/>
      <c r="Z386" s="1488"/>
    </row>
    <row r="387" spans="1:26">
      <c r="A387" s="7" t="s">
        <v>690</v>
      </c>
      <c r="B387" s="7" t="s">
        <v>1037</v>
      </c>
      <c r="C387" s="7">
        <v>2</v>
      </c>
      <c r="D387" s="7" t="s">
        <v>2834</v>
      </c>
      <c r="E387" s="7" t="s">
        <v>2834</v>
      </c>
      <c r="F387" s="7" t="s">
        <v>1132</v>
      </c>
      <c r="G387" s="7" t="s">
        <v>1133</v>
      </c>
      <c r="H387" s="7">
        <v>4.7</v>
      </c>
      <c r="I387" s="7" t="s">
        <v>718</v>
      </c>
      <c r="R387" s="1472" t="s">
        <v>1038</v>
      </c>
      <c r="S387" s="1472">
        <v>2</v>
      </c>
      <c r="T387" s="1472" t="s">
        <v>3028</v>
      </c>
      <c r="U387" s="1472" t="s">
        <v>3038</v>
      </c>
      <c r="W387" s="1488"/>
      <c r="X387" s="1488"/>
      <c r="Y387" s="1488"/>
      <c r="Z387" s="1488"/>
    </row>
    <row r="388" spans="1:26">
      <c r="A388" s="7" t="s">
        <v>690</v>
      </c>
      <c r="B388" s="7" t="s">
        <v>1037</v>
      </c>
      <c r="C388" s="7">
        <v>2</v>
      </c>
      <c r="D388" s="7" t="s">
        <v>2834</v>
      </c>
      <c r="E388" s="7" t="s">
        <v>2834</v>
      </c>
      <c r="F388" s="7" t="s">
        <v>2843</v>
      </c>
      <c r="G388" s="7" t="s">
        <v>2844</v>
      </c>
      <c r="H388" s="7">
        <v>4.7</v>
      </c>
      <c r="I388" s="7" t="s">
        <v>718</v>
      </c>
      <c r="R388" s="1472" t="s">
        <v>1038</v>
      </c>
      <c r="S388" s="1472">
        <v>2</v>
      </c>
      <c r="T388" s="1472" t="s">
        <v>3028</v>
      </c>
      <c r="U388" s="1472" t="s">
        <v>3039</v>
      </c>
      <c r="W388" s="1488"/>
      <c r="X388" s="1488"/>
      <c r="Y388" s="1488"/>
      <c r="Z388" s="1488"/>
    </row>
    <row r="389" spans="1:26">
      <c r="A389" s="7" t="s">
        <v>690</v>
      </c>
      <c r="B389" s="7" t="s">
        <v>1037</v>
      </c>
      <c r="C389" s="7">
        <v>2</v>
      </c>
      <c r="D389" s="7" t="s">
        <v>2834</v>
      </c>
      <c r="E389" s="7" t="s">
        <v>2834</v>
      </c>
      <c r="F389" s="7" t="s">
        <v>1059</v>
      </c>
      <c r="G389" s="7" t="s">
        <v>1060</v>
      </c>
      <c r="H389" s="7">
        <v>4.7</v>
      </c>
      <c r="I389" s="7" t="s">
        <v>718</v>
      </c>
      <c r="R389" s="1472" t="s">
        <v>1038</v>
      </c>
      <c r="S389" s="1472">
        <v>2</v>
      </c>
      <c r="T389" s="1472" t="s">
        <v>3028</v>
      </c>
      <c r="U389" s="1472" t="s">
        <v>400</v>
      </c>
      <c r="W389" s="1488"/>
      <c r="X389" s="1488"/>
      <c r="Y389" s="1488"/>
      <c r="Z389" s="1488"/>
    </row>
    <row r="390" spans="1:26">
      <c r="A390" s="7" t="s">
        <v>690</v>
      </c>
      <c r="B390" s="7" t="s">
        <v>1037</v>
      </c>
      <c r="C390" s="7">
        <v>2</v>
      </c>
      <c r="D390" s="7" t="s">
        <v>2834</v>
      </c>
      <c r="E390" s="7" t="s">
        <v>2834</v>
      </c>
      <c r="F390" s="7" t="s">
        <v>1134</v>
      </c>
      <c r="G390" s="7" t="s">
        <v>1135</v>
      </c>
      <c r="H390" s="7">
        <v>4.7</v>
      </c>
      <c r="I390" s="7" t="s">
        <v>718</v>
      </c>
      <c r="R390" s="1472" t="s">
        <v>1038</v>
      </c>
      <c r="S390" s="1472">
        <v>2</v>
      </c>
      <c r="T390" s="1472" t="s">
        <v>3028</v>
      </c>
      <c r="U390" s="1472" t="s">
        <v>1048</v>
      </c>
      <c r="W390" s="1488"/>
      <c r="X390" s="1488"/>
      <c r="Y390" s="1488"/>
      <c r="Z390" s="1488"/>
    </row>
    <row r="391" spans="1:26">
      <c r="A391" s="7" t="s">
        <v>690</v>
      </c>
      <c r="B391" s="7" t="s">
        <v>1037</v>
      </c>
      <c r="C391" s="7">
        <v>2</v>
      </c>
      <c r="D391" s="7" t="s">
        <v>2834</v>
      </c>
      <c r="E391" s="7" t="s">
        <v>2834</v>
      </c>
      <c r="F391" s="7" t="s">
        <v>1134</v>
      </c>
      <c r="G391" s="7" t="s">
        <v>2845</v>
      </c>
      <c r="H391" s="7">
        <v>4.7</v>
      </c>
      <c r="I391" s="7" t="s">
        <v>718</v>
      </c>
      <c r="R391" s="1472" t="s">
        <v>1038</v>
      </c>
      <c r="S391" s="1472">
        <v>2</v>
      </c>
      <c r="T391" s="1472" t="s">
        <v>3028</v>
      </c>
      <c r="U391" s="1472" t="s">
        <v>401</v>
      </c>
      <c r="W391" s="1488"/>
      <c r="X391" s="1488"/>
      <c r="Y391" s="1488"/>
      <c r="Z391" s="1488"/>
    </row>
    <row r="392" spans="1:26">
      <c r="A392" s="7" t="s">
        <v>690</v>
      </c>
      <c r="B392" s="7" t="s">
        <v>1037</v>
      </c>
      <c r="C392" s="7">
        <v>2</v>
      </c>
      <c r="D392" s="7" t="s">
        <v>2834</v>
      </c>
      <c r="E392" s="7" t="s">
        <v>2834</v>
      </c>
      <c r="F392" s="7" t="s">
        <v>2846</v>
      </c>
      <c r="G392" s="7" t="s">
        <v>2847</v>
      </c>
      <c r="H392" s="7">
        <v>4.7</v>
      </c>
      <c r="I392" s="7" t="s">
        <v>718</v>
      </c>
      <c r="R392" s="1472" t="s">
        <v>1038</v>
      </c>
      <c r="S392" s="1472">
        <v>2</v>
      </c>
      <c r="T392" s="1472" t="s">
        <v>3028</v>
      </c>
      <c r="U392" s="1472" t="s">
        <v>286</v>
      </c>
      <c r="W392" s="1488"/>
      <c r="X392" s="1488"/>
      <c r="Y392" s="1488"/>
      <c r="Z392" s="1488"/>
    </row>
    <row r="393" spans="1:26">
      <c r="A393" s="7" t="s">
        <v>690</v>
      </c>
      <c r="B393" s="7" t="s">
        <v>1037</v>
      </c>
      <c r="C393" s="7">
        <v>2</v>
      </c>
      <c r="D393" s="7" t="s">
        <v>2834</v>
      </c>
      <c r="E393" s="7" t="s">
        <v>2834</v>
      </c>
      <c r="F393" s="7" t="s">
        <v>1136</v>
      </c>
      <c r="G393" s="7" t="s">
        <v>1137</v>
      </c>
      <c r="H393" s="7">
        <v>4.7</v>
      </c>
      <c r="I393" s="7" t="s">
        <v>718</v>
      </c>
      <c r="R393" s="1472" t="s">
        <v>1038</v>
      </c>
      <c r="S393" s="1472">
        <v>2</v>
      </c>
      <c r="T393" s="1472" t="s">
        <v>3028</v>
      </c>
      <c r="U393" s="1472" t="s">
        <v>404</v>
      </c>
      <c r="W393" s="1488"/>
      <c r="X393" s="1488"/>
      <c r="Y393" s="1488"/>
      <c r="Z393" s="1488"/>
    </row>
    <row r="394" spans="1:26">
      <c r="A394" s="7" t="s">
        <v>690</v>
      </c>
      <c r="B394" s="7" t="s">
        <v>1037</v>
      </c>
      <c r="C394" s="7">
        <v>2</v>
      </c>
      <c r="D394" s="7" t="s">
        <v>2834</v>
      </c>
      <c r="E394" s="7" t="s">
        <v>2834</v>
      </c>
      <c r="F394" s="7" t="s">
        <v>1061</v>
      </c>
      <c r="G394" s="7" t="s">
        <v>1138</v>
      </c>
      <c r="H394" s="7">
        <v>4.7</v>
      </c>
      <c r="I394" s="7" t="s">
        <v>718</v>
      </c>
      <c r="R394" s="1472" t="s">
        <v>1038</v>
      </c>
      <c r="S394" s="1472">
        <v>2</v>
      </c>
      <c r="T394" s="1472" t="s">
        <v>3028</v>
      </c>
      <c r="U394" s="1472" t="s">
        <v>803</v>
      </c>
      <c r="W394" s="1488"/>
      <c r="X394" s="1488"/>
      <c r="Y394" s="1488"/>
      <c r="Z394" s="1488"/>
    </row>
    <row r="395" spans="1:26">
      <c r="A395" s="7" t="s">
        <v>690</v>
      </c>
      <c r="B395" s="7" t="s">
        <v>1037</v>
      </c>
      <c r="C395" s="7">
        <v>2</v>
      </c>
      <c r="D395" s="7" t="s">
        <v>2834</v>
      </c>
      <c r="E395" s="7" t="s">
        <v>2834</v>
      </c>
      <c r="F395" s="7" t="s">
        <v>1061</v>
      </c>
      <c r="G395" s="7" t="s">
        <v>1889</v>
      </c>
      <c r="H395" s="7">
        <v>4.7</v>
      </c>
      <c r="I395" s="7" t="s">
        <v>718</v>
      </c>
      <c r="R395" s="1472" t="s">
        <v>1038</v>
      </c>
      <c r="S395" s="1472">
        <v>2</v>
      </c>
      <c r="T395" s="1472" t="s">
        <v>3028</v>
      </c>
      <c r="U395" s="1472" t="s">
        <v>3041</v>
      </c>
      <c r="W395" s="1488"/>
      <c r="X395" s="1488"/>
      <c r="Y395" s="1488"/>
      <c r="Z395" s="1488"/>
    </row>
    <row r="396" spans="1:26">
      <c r="A396" s="7" t="s">
        <v>690</v>
      </c>
      <c r="B396" s="7" t="s">
        <v>1037</v>
      </c>
      <c r="C396" s="7">
        <v>2</v>
      </c>
      <c r="D396" s="7" t="s">
        <v>2834</v>
      </c>
      <c r="E396" s="7" t="s">
        <v>2834</v>
      </c>
      <c r="F396" s="7" t="s">
        <v>2848</v>
      </c>
      <c r="G396" s="7" t="s">
        <v>2849</v>
      </c>
      <c r="H396" s="7">
        <v>4.7</v>
      </c>
      <c r="I396" s="7" t="s">
        <v>718</v>
      </c>
      <c r="R396" s="1472" t="s">
        <v>1038</v>
      </c>
      <c r="S396" s="1472">
        <v>2</v>
      </c>
      <c r="T396" s="1472" t="s">
        <v>3028</v>
      </c>
      <c r="U396" s="1472" t="s">
        <v>1249</v>
      </c>
      <c r="W396" s="1488"/>
      <c r="X396" s="1488"/>
      <c r="Y396" s="1488"/>
      <c r="Z396" s="1488"/>
    </row>
    <row r="397" spans="1:26">
      <c r="A397" s="7" t="s">
        <v>690</v>
      </c>
      <c r="B397" s="7" t="s">
        <v>1037</v>
      </c>
      <c r="C397" s="7">
        <v>2</v>
      </c>
      <c r="D397" s="7" t="s">
        <v>2834</v>
      </c>
      <c r="E397" s="7" t="s">
        <v>2834</v>
      </c>
      <c r="F397" s="7" t="s">
        <v>1139</v>
      </c>
      <c r="G397" s="7" t="s">
        <v>1140</v>
      </c>
      <c r="H397" s="7">
        <v>4.7</v>
      </c>
      <c r="I397" s="7" t="s">
        <v>718</v>
      </c>
      <c r="R397" s="1472" t="s">
        <v>1038</v>
      </c>
      <c r="S397" s="1472">
        <v>2</v>
      </c>
      <c r="T397" s="1472" t="s">
        <v>3028</v>
      </c>
      <c r="U397" s="1472" t="s">
        <v>405</v>
      </c>
      <c r="W397" s="1488"/>
      <c r="X397" s="1488"/>
      <c r="Y397" s="1488"/>
      <c r="Z397" s="1488"/>
    </row>
    <row r="398" spans="1:26">
      <c r="A398" s="7" t="s">
        <v>690</v>
      </c>
      <c r="B398" s="7" t="s">
        <v>1037</v>
      </c>
      <c r="C398" s="7">
        <v>2</v>
      </c>
      <c r="D398" s="7" t="s">
        <v>2834</v>
      </c>
      <c r="E398" s="7" t="s">
        <v>2834</v>
      </c>
      <c r="F398" s="7" t="s">
        <v>1062</v>
      </c>
      <c r="G398" s="7" t="s">
        <v>1044</v>
      </c>
      <c r="H398" s="7">
        <v>4.7</v>
      </c>
      <c r="I398" s="7" t="s">
        <v>718</v>
      </c>
      <c r="R398" s="1472" t="s">
        <v>1038</v>
      </c>
      <c r="S398" s="1472">
        <v>3</v>
      </c>
      <c r="T398" s="1472" t="s">
        <v>3043</v>
      </c>
      <c r="U398" s="1472" t="s">
        <v>280</v>
      </c>
      <c r="W398" s="1488"/>
      <c r="X398" s="1488"/>
      <c r="Y398" s="1488"/>
      <c r="Z398" s="1488"/>
    </row>
    <row r="399" spans="1:26">
      <c r="A399" s="7" t="s">
        <v>690</v>
      </c>
      <c r="B399" s="7" t="s">
        <v>1037</v>
      </c>
      <c r="C399" s="7">
        <v>2</v>
      </c>
      <c r="D399" s="7" t="s">
        <v>2834</v>
      </c>
      <c r="E399" s="7" t="s">
        <v>2834</v>
      </c>
      <c r="F399" s="7" t="s">
        <v>1062</v>
      </c>
      <c r="G399" s="7" t="s">
        <v>1141</v>
      </c>
      <c r="H399" s="7">
        <v>4.7</v>
      </c>
      <c r="I399" s="7" t="s">
        <v>718</v>
      </c>
      <c r="R399" s="1472" t="s">
        <v>1038</v>
      </c>
      <c r="S399" s="1472">
        <v>3</v>
      </c>
      <c r="T399" s="1472" t="s">
        <v>3043</v>
      </c>
      <c r="U399" s="1472" t="s">
        <v>2883</v>
      </c>
      <c r="W399" s="1488"/>
      <c r="X399" s="1488"/>
      <c r="Y399" s="1488"/>
      <c r="Z399" s="1488"/>
    </row>
    <row r="400" spans="1:26">
      <c r="A400" s="7" t="s">
        <v>690</v>
      </c>
      <c r="B400" s="7" t="s">
        <v>1037</v>
      </c>
      <c r="C400" s="7">
        <v>2</v>
      </c>
      <c r="D400" s="7" t="s">
        <v>2834</v>
      </c>
      <c r="E400" s="7" t="s">
        <v>2834</v>
      </c>
      <c r="F400" s="7" t="s">
        <v>1063</v>
      </c>
      <c r="G400" s="7" t="s">
        <v>1143</v>
      </c>
      <c r="H400" s="7">
        <v>4.7</v>
      </c>
      <c r="I400" s="7" t="s">
        <v>718</v>
      </c>
      <c r="R400" s="1472" t="s">
        <v>1038</v>
      </c>
      <c r="S400" s="1472">
        <v>3</v>
      </c>
      <c r="T400" s="1472" t="s">
        <v>3043</v>
      </c>
      <c r="U400" s="1472" t="s">
        <v>279</v>
      </c>
      <c r="W400" s="1488"/>
      <c r="X400" s="1488"/>
      <c r="Y400" s="1488"/>
      <c r="Z400" s="1488"/>
    </row>
    <row r="401" spans="1:26">
      <c r="A401" s="7" t="s">
        <v>690</v>
      </c>
      <c r="B401" s="7" t="s">
        <v>1037</v>
      </c>
      <c r="C401" s="7">
        <v>2</v>
      </c>
      <c r="D401" s="7" t="s">
        <v>2834</v>
      </c>
      <c r="E401" s="7" t="s">
        <v>2834</v>
      </c>
      <c r="F401" s="7" t="s">
        <v>1063</v>
      </c>
      <c r="G401" s="7" t="s">
        <v>1142</v>
      </c>
      <c r="H401" s="7">
        <v>4.7</v>
      </c>
      <c r="I401" s="7" t="s">
        <v>718</v>
      </c>
      <c r="R401" s="1472" t="s">
        <v>1038</v>
      </c>
      <c r="S401" s="1472">
        <v>3</v>
      </c>
      <c r="T401" s="1472" t="s">
        <v>3043</v>
      </c>
      <c r="U401" s="1472" t="s">
        <v>396</v>
      </c>
      <c r="W401" s="1488"/>
      <c r="X401" s="1488"/>
      <c r="Y401" s="1488"/>
      <c r="Z401" s="1488"/>
    </row>
    <row r="402" spans="1:26">
      <c r="A402" s="7" t="s">
        <v>690</v>
      </c>
      <c r="B402" s="7" t="s">
        <v>1037</v>
      </c>
      <c r="C402" s="7">
        <v>2</v>
      </c>
      <c r="D402" s="7" t="s">
        <v>2834</v>
      </c>
      <c r="E402" s="7" t="s">
        <v>2834</v>
      </c>
      <c r="F402" s="7" t="s">
        <v>1070</v>
      </c>
      <c r="G402" s="7" t="s">
        <v>1144</v>
      </c>
      <c r="H402" s="7">
        <v>4.7</v>
      </c>
      <c r="I402" s="7" t="s">
        <v>718</v>
      </c>
      <c r="R402" s="1472" t="s">
        <v>1038</v>
      </c>
      <c r="S402" s="1472">
        <v>3</v>
      </c>
      <c r="T402" s="1472" t="s">
        <v>3043</v>
      </c>
      <c r="U402" s="1472" t="s">
        <v>2893</v>
      </c>
      <c r="W402" s="1488"/>
      <c r="X402" s="1488"/>
      <c r="Y402" s="1488"/>
      <c r="Z402" s="1488"/>
    </row>
    <row r="403" spans="1:26">
      <c r="A403" s="7" t="s">
        <v>690</v>
      </c>
      <c r="B403" s="7" t="s">
        <v>1037</v>
      </c>
      <c r="C403" s="7">
        <v>2</v>
      </c>
      <c r="D403" s="7" t="s">
        <v>2834</v>
      </c>
      <c r="E403" s="7" t="s">
        <v>2834</v>
      </c>
      <c r="F403" s="7" t="s">
        <v>1071</v>
      </c>
      <c r="G403" s="7" t="s">
        <v>1145</v>
      </c>
      <c r="H403" s="7">
        <v>4.7</v>
      </c>
      <c r="I403" s="7" t="s">
        <v>718</v>
      </c>
      <c r="R403" s="1472" t="s">
        <v>1038</v>
      </c>
      <c r="S403" s="1472">
        <v>3</v>
      </c>
      <c r="T403" s="1472" t="s">
        <v>3043</v>
      </c>
      <c r="U403" s="1472" t="s">
        <v>402</v>
      </c>
      <c r="W403" s="1488"/>
      <c r="X403" s="1488"/>
      <c r="Y403" s="1488"/>
      <c r="Z403" s="1488"/>
    </row>
    <row r="404" spans="1:26">
      <c r="A404" s="7" t="s">
        <v>690</v>
      </c>
      <c r="B404" s="7" t="s">
        <v>1037</v>
      </c>
      <c r="C404" s="7">
        <v>2</v>
      </c>
      <c r="D404" s="7" t="s">
        <v>2834</v>
      </c>
      <c r="E404" s="7" t="s">
        <v>2834</v>
      </c>
      <c r="F404" s="7" t="s">
        <v>1071</v>
      </c>
      <c r="G404" s="7" t="s">
        <v>1146</v>
      </c>
      <c r="H404" s="7">
        <v>4.7</v>
      </c>
      <c r="I404" s="7" t="s">
        <v>718</v>
      </c>
      <c r="R404" s="1472" t="s">
        <v>1038</v>
      </c>
      <c r="S404" s="1472">
        <v>3</v>
      </c>
      <c r="T404" s="1472" t="s">
        <v>3043</v>
      </c>
      <c r="U404" s="1472" t="s">
        <v>403</v>
      </c>
      <c r="W404" s="1488"/>
      <c r="X404" s="1488"/>
      <c r="Y404" s="1488"/>
      <c r="Z404" s="1488"/>
    </row>
    <row r="405" spans="1:26">
      <c r="A405" s="7" t="s">
        <v>690</v>
      </c>
      <c r="B405" s="7" t="s">
        <v>1037</v>
      </c>
      <c r="C405" s="7">
        <v>2</v>
      </c>
      <c r="D405" s="7" t="s">
        <v>2834</v>
      </c>
      <c r="E405" s="7" t="s">
        <v>2834</v>
      </c>
      <c r="F405" s="7" t="s">
        <v>1072</v>
      </c>
      <c r="G405" s="7" t="s">
        <v>1147</v>
      </c>
      <c r="H405" s="7">
        <v>4.7</v>
      </c>
      <c r="I405" s="7" t="s">
        <v>718</v>
      </c>
      <c r="R405" s="1472" t="s">
        <v>1038</v>
      </c>
      <c r="S405" s="1472">
        <v>3</v>
      </c>
      <c r="T405" s="1472" t="s">
        <v>3043</v>
      </c>
      <c r="U405" s="1472" t="s">
        <v>1049</v>
      </c>
      <c r="W405" s="1488"/>
      <c r="X405" s="1488"/>
      <c r="Y405" s="1488"/>
      <c r="Z405" s="1488"/>
    </row>
    <row r="406" spans="1:26">
      <c r="A406" s="7" t="s">
        <v>690</v>
      </c>
      <c r="B406" s="7" t="s">
        <v>1037</v>
      </c>
      <c r="C406" s="7">
        <v>2</v>
      </c>
      <c r="D406" s="7" t="s">
        <v>2834</v>
      </c>
      <c r="E406" s="7" t="s">
        <v>2834</v>
      </c>
      <c r="F406" s="7" t="s">
        <v>2695</v>
      </c>
      <c r="G406" s="7" t="s">
        <v>2698</v>
      </c>
      <c r="H406" s="7">
        <v>4.7</v>
      </c>
      <c r="I406" s="7" t="s">
        <v>718</v>
      </c>
      <c r="R406" s="1472" t="s">
        <v>1038</v>
      </c>
      <c r="S406" s="1472">
        <v>3</v>
      </c>
      <c r="T406" s="1472" t="s">
        <v>3043</v>
      </c>
      <c r="U406" s="1472" t="s">
        <v>2896</v>
      </c>
      <c r="W406" s="1488"/>
      <c r="X406" s="1488"/>
      <c r="Y406" s="1488"/>
      <c r="Z406" s="1488"/>
    </row>
    <row r="407" spans="1:26">
      <c r="A407" s="7" t="s">
        <v>690</v>
      </c>
      <c r="B407" s="7" t="s">
        <v>1037</v>
      </c>
      <c r="C407" s="7">
        <v>2</v>
      </c>
      <c r="D407" s="7" t="s">
        <v>2834</v>
      </c>
      <c r="E407" s="7" t="s">
        <v>2834</v>
      </c>
      <c r="F407" s="7" t="s">
        <v>2695</v>
      </c>
      <c r="G407" s="7" t="s">
        <v>2697</v>
      </c>
      <c r="H407" s="7">
        <v>4.7</v>
      </c>
      <c r="I407" s="7" t="s">
        <v>718</v>
      </c>
      <c r="R407" s="1472" t="s">
        <v>1038</v>
      </c>
      <c r="S407" s="1472">
        <v>4</v>
      </c>
      <c r="T407" s="1472" t="s">
        <v>3045</v>
      </c>
      <c r="U407" s="1472" t="s">
        <v>1055</v>
      </c>
      <c r="W407" s="1488"/>
      <c r="X407" s="1488"/>
      <c r="Y407" s="1488"/>
      <c r="Z407" s="1488"/>
    </row>
    <row r="408" spans="1:26">
      <c r="A408" s="7" t="s">
        <v>690</v>
      </c>
      <c r="B408" s="7" t="s">
        <v>1037</v>
      </c>
      <c r="C408" s="7">
        <v>2</v>
      </c>
      <c r="D408" s="7" t="s">
        <v>2834</v>
      </c>
      <c r="E408" s="7" t="s">
        <v>2834</v>
      </c>
      <c r="F408" s="7" t="s">
        <v>2695</v>
      </c>
      <c r="G408" s="7" t="s">
        <v>2696</v>
      </c>
      <c r="H408" s="7">
        <v>4.7</v>
      </c>
      <c r="I408" s="7" t="s">
        <v>718</v>
      </c>
      <c r="R408" s="1472" t="s">
        <v>1038</v>
      </c>
      <c r="S408" s="1472">
        <v>4</v>
      </c>
      <c r="T408" s="1472" t="s">
        <v>3045</v>
      </c>
      <c r="U408" s="1472" t="s">
        <v>1442</v>
      </c>
      <c r="W408" s="1488"/>
      <c r="X408" s="1488"/>
      <c r="Y408" s="1488"/>
      <c r="Z408" s="1488"/>
    </row>
    <row r="409" spans="1:26">
      <c r="A409" s="7" t="s">
        <v>690</v>
      </c>
      <c r="B409" s="7" t="s">
        <v>1037</v>
      </c>
      <c r="C409" s="7">
        <v>2</v>
      </c>
      <c r="D409" s="7" t="s">
        <v>2834</v>
      </c>
      <c r="E409" s="7" t="s">
        <v>2834</v>
      </c>
      <c r="F409" s="7" t="s">
        <v>2695</v>
      </c>
      <c r="G409" s="7" t="s">
        <v>2699</v>
      </c>
      <c r="H409" s="7">
        <v>4.7</v>
      </c>
      <c r="I409" s="7" t="s">
        <v>718</v>
      </c>
      <c r="R409" s="1472" t="s">
        <v>1038</v>
      </c>
      <c r="S409" s="1472">
        <v>4</v>
      </c>
      <c r="T409" s="1472" t="s">
        <v>3045</v>
      </c>
      <c r="U409" s="1472" t="s">
        <v>1056</v>
      </c>
      <c r="W409" s="1488"/>
      <c r="X409" s="1488"/>
      <c r="Y409" s="1488"/>
      <c r="Z409" s="1488"/>
    </row>
    <row r="410" spans="1:26">
      <c r="A410" s="7" t="s">
        <v>690</v>
      </c>
      <c r="B410" s="7" t="s">
        <v>1037</v>
      </c>
      <c r="C410" s="7">
        <v>2</v>
      </c>
      <c r="D410" s="7" t="s">
        <v>2834</v>
      </c>
      <c r="E410" s="7" t="s">
        <v>2834</v>
      </c>
      <c r="F410" s="7" t="s">
        <v>1443</v>
      </c>
      <c r="G410" s="7" t="s">
        <v>1074</v>
      </c>
      <c r="H410" s="7">
        <v>4.7</v>
      </c>
      <c r="I410" s="7" t="s">
        <v>718</v>
      </c>
      <c r="R410" s="1472" t="s">
        <v>1038</v>
      </c>
      <c r="S410" s="1472">
        <v>4</v>
      </c>
      <c r="T410" s="1472" t="s">
        <v>3045</v>
      </c>
      <c r="U410" s="1472" t="s">
        <v>385</v>
      </c>
      <c r="W410" s="1488"/>
      <c r="X410" s="1488"/>
      <c r="Y410" s="1488"/>
      <c r="Z410" s="1488"/>
    </row>
    <row r="411" spans="1:26">
      <c r="A411" s="7" t="s">
        <v>690</v>
      </c>
      <c r="B411" s="7" t="s">
        <v>1037</v>
      </c>
      <c r="C411" s="7">
        <v>2</v>
      </c>
      <c r="D411" s="7" t="s">
        <v>2834</v>
      </c>
      <c r="E411" s="7" t="s">
        <v>2834</v>
      </c>
      <c r="F411" s="7" t="s">
        <v>1443</v>
      </c>
      <c r="G411" s="7" t="s">
        <v>1073</v>
      </c>
      <c r="H411" s="7">
        <v>4.7</v>
      </c>
      <c r="I411" s="7" t="s">
        <v>718</v>
      </c>
      <c r="R411" s="1472" t="s">
        <v>1038</v>
      </c>
      <c r="S411" s="1472">
        <v>4</v>
      </c>
      <c r="T411" s="1472" t="s">
        <v>3045</v>
      </c>
      <c r="U411" s="1472" t="s">
        <v>2835</v>
      </c>
      <c r="W411" s="1488"/>
      <c r="X411" s="1488"/>
      <c r="Y411" s="1488"/>
      <c r="Z411" s="1488"/>
    </row>
    <row r="412" spans="1:26">
      <c r="A412" s="7" t="s">
        <v>690</v>
      </c>
      <c r="B412" s="7" t="s">
        <v>1037</v>
      </c>
      <c r="C412" s="7">
        <v>2</v>
      </c>
      <c r="D412" s="7" t="s">
        <v>2834</v>
      </c>
      <c r="E412" s="7" t="s">
        <v>2834</v>
      </c>
      <c r="F412" s="7" t="s">
        <v>2850</v>
      </c>
      <c r="G412" s="7" t="s">
        <v>1053</v>
      </c>
      <c r="H412" s="7">
        <v>4.7</v>
      </c>
      <c r="I412" s="7" t="s">
        <v>718</v>
      </c>
      <c r="R412" s="1472" t="s">
        <v>1038</v>
      </c>
      <c r="S412" s="1472">
        <v>4</v>
      </c>
      <c r="T412" s="1472" t="s">
        <v>3045</v>
      </c>
      <c r="U412" s="1472" t="s">
        <v>1127</v>
      </c>
      <c r="W412" s="1488"/>
      <c r="X412" s="1488"/>
      <c r="Y412" s="1488"/>
      <c r="Z412" s="1488"/>
    </row>
    <row r="413" spans="1:26">
      <c r="A413" s="7" t="s">
        <v>690</v>
      </c>
      <c r="B413" s="7" t="s">
        <v>1037</v>
      </c>
      <c r="C413" s="7">
        <v>2</v>
      </c>
      <c r="D413" s="7" t="s">
        <v>2834</v>
      </c>
      <c r="E413" s="7" t="s">
        <v>2834</v>
      </c>
      <c r="F413" s="7" t="s">
        <v>1444</v>
      </c>
      <c r="G413" s="7" t="s">
        <v>1075</v>
      </c>
      <c r="H413" s="7">
        <v>4.7</v>
      </c>
      <c r="I413" s="7" t="s">
        <v>718</v>
      </c>
      <c r="R413" s="1472" t="s">
        <v>1038</v>
      </c>
      <c r="S413" s="1472">
        <v>4</v>
      </c>
      <c r="T413" s="1472" t="s">
        <v>3045</v>
      </c>
      <c r="U413" s="1472" t="s">
        <v>1058</v>
      </c>
      <c r="W413" s="1488"/>
      <c r="X413" s="1488"/>
      <c r="Y413" s="1488"/>
      <c r="Z413" s="1488"/>
    </row>
    <row r="414" spans="1:26">
      <c r="A414" s="7" t="s">
        <v>690</v>
      </c>
      <c r="B414" s="7" t="s">
        <v>1037</v>
      </c>
      <c r="C414" s="7">
        <v>2</v>
      </c>
      <c r="D414" s="7" t="s">
        <v>2834</v>
      </c>
      <c r="E414" s="7" t="s">
        <v>2834</v>
      </c>
      <c r="F414" s="7" t="s">
        <v>1444</v>
      </c>
      <c r="G414" s="7" t="s">
        <v>1076</v>
      </c>
      <c r="H414" s="7">
        <v>4.7</v>
      </c>
      <c r="I414" s="7" t="s">
        <v>718</v>
      </c>
      <c r="R414" s="1472" t="s">
        <v>1038</v>
      </c>
      <c r="S414" s="1472">
        <v>4</v>
      </c>
      <c r="T414" s="1472" t="s">
        <v>3045</v>
      </c>
      <c r="U414" s="1472" t="s">
        <v>1132</v>
      </c>
      <c r="W414" s="1488"/>
      <c r="X414" s="1488"/>
      <c r="Y414" s="1488"/>
      <c r="Z414" s="1488"/>
    </row>
    <row r="415" spans="1:26">
      <c r="A415" s="7" t="s">
        <v>690</v>
      </c>
      <c r="B415" s="7" t="s">
        <v>1037</v>
      </c>
      <c r="C415" s="7">
        <v>2</v>
      </c>
      <c r="D415" s="7" t="s">
        <v>2834</v>
      </c>
      <c r="E415" s="7" t="s">
        <v>2834</v>
      </c>
      <c r="F415" s="7" t="s">
        <v>1445</v>
      </c>
      <c r="G415" s="7" t="s">
        <v>1885</v>
      </c>
      <c r="H415" s="7">
        <v>4.7</v>
      </c>
      <c r="I415" s="7" t="s">
        <v>718</v>
      </c>
      <c r="R415" s="1472" t="s">
        <v>1038</v>
      </c>
      <c r="S415" s="1472">
        <v>4</v>
      </c>
      <c r="T415" s="1472" t="s">
        <v>3045</v>
      </c>
      <c r="U415" s="1472" t="s">
        <v>2843</v>
      </c>
      <c r="W415" s="1488"/>
      <c r="X415" s="1488"/>
      <c r="Y415" s="1488"/>
      <c r="Z415" s="1488"/>
    </row>
    <row r="416" spans="1:26">
      <c r="A416" s="7" t="s">
        <v>690</v>
      </c>
      <c r="B416" s="7" t="s">
        <v>1037</v>
      </c>
      <c r="C416" s="7">
        <v>2</v>
      </c>
      <c r="D416" s="7" t="s">
        <v>2834</v>
      </c>
      <c r="E416" s="7" t="s">
        <v>2834</v>
      </c>
      <c r="F416" s="7" t="s">
        <v>1077</v>
      </c>
      <c r="G416" s="7" t="s">
        <v>1886</v>
      </c>
      <c r="H416" s="7">
        <v>4.7</v>
      </c>
      <c r="I416" s="7" t="s">
        <v>718</v>
      </c>
      <c r="R416" s="1472" t="s">
        <v>1038</v>
      </c>
      <c r="S416" s="1472">
        <v>4</v>
      </c>
      <c r="T416" s="1472" t="s">
        <v>3045</v>
      </c>
      <c r="U416" s="1472" t="s">
        <v>1059</v>
      </c>
      <c r="W416" s="1488"/>
      <c r="X416" s="1488"/>
      <c r="Y416" s="1488"/>
      <c r="Z416" s="1488"/>
    </row>
    <row r="417" spans="1:26">
      <c r="A417" s="7" t="s">
        <v>690</v>
      </c>
      <c r="B417" s="7" t="s">
        <v>1037</v>
      </c>
      <c r="C417" s="7">
        <v>2</v>
      </c>
      <c r="D417" s="7" t="s">
        <v>2834</v>
      </c>
      <c r="E417" s="7" t="s">
        <v>2834</v>
      </c>
      <c r="F417" s="7" t="s">
        <v>1077</v>
      </c>
      <c r="G417" s="7" t="s">
        <v>1887</v>
      </c>
      <c r="H417" s="7">
        <v>4.7</v>
      </c>
      <c r="I417" s="7" t="s">
        <v>718</v>
      </c>
      <c r="R417" s="1472" t="s">
        <v>1038</v>
      </c>
      <c r="S417" s="1472">
        <v>4</v>
      </c>
      <c r="T417" s="1472" t="s">
        <v>3045</v>
      </c>
      <c r="U417" s="1472" t="s">
        <v>1134</v>
      </c>
      <c r="W417" s="1488"/>
      <c r="X417" s="1488"/>
      <c r="Y417" s="1488"/>
      <c r="Z417" s="1488"/>
    </row>
    <row r="418" spans="1:26">
      <c r="A418" s="7" t="s">
        <v>690</v>
      </c>
      <c r="B418" s="7" t="s">
        <v>1037</v>
      </c>
      <c r="C418" s="7">
        <v>2</v>
      </c>
      <c r="D418" s="7" t="s">
        <v>2834</v>
      </c>
      <c r="E418" s="7" t="s">
        <v>2834</v>
      </c>
      <c r="F418" s="7" t="s">
        <v>1077</v>
      </c>
      <c r="G418" s="7" t="s">
        <v>1888</v>
      </c>
      <c r="H418" s="7">
        <v>4.7</v>
      </c>
      <c r="I418" s="7" t="s">
        <v>718</v>
      </c>
      <c r="R418" s="1472" t="s">
        <v>1038</v>
      </c>
      <c r="S418" s="1472">
        <v>4</v>
      </c>
      <c r="T418" s="1472" t="s">
        <v>3045</v>
      </c>
      <c r="U418" s="1472" t="s">
        <v>2846</v>
      </c>
      <c r="W418" s="1488"/>
      <c r="X418" s="1488"/>
      <c r="Y418" s="1488"/>
      <c r="Z418" s="1488"/>
    </row>
    <row r="419" spans="1:26">
      <c r="A419" s="7" t="s">
        <v>690</v>
      </c>
      <c r="B419" s="7" t="s">
        <v>1037</v>
      </c>
      <c r="C419" s="7">
        <v>2</v>
      </c>
      <c r="D419" s="7" t="s">
        <v>2834</v>
      </c>
      <c r="E419" s="7" t="s">
        <v>2834</v>
      </c>
      <c r="F419" s="7" t="s">
        <v>1077</v>
      </c>
      <c r="G419" s="7" t="s">
        <v>1078</v>
      </c>
      <c r="H419" s="7">
        <v>4.7</v>
      </c>
      <c r="I419" s="7" t="s">
        <v>718</v>
      </c>
      <c r="R419" s="1472" t="s">
        <v>1038</v>
      </c>
      <c r="S419" s="1472">
        <v>4</v>
      </c>
      <c r="T419" s="1472" t="s">
        <v>3045</v>
      </c>
      <c r="U419" s="1472" t="s">
        <v>1136</v>
      </c>
      <c r="W419" s="1488"/>
      <c r="X419" s="1488"/>
      <c r="Y419" s="1488"/>
      <c r="Z419" s="1488"/>
    </row>
    <row r="420" spans="1:26">
      <c r="A420" s="7" t="s">
        <v>690</v>
      </c>
      <c r="B420" s="7" t="s">
        <v>1037</v>
      </c>
      <c r="C420" s="7">
        <v>2</v>
      </c>
      <c r="D420" s="7" t="s">
        <v>2834</v>
      </c>
      <c r="E420" s="7" t="s">
        <v>2834</v>
      </c>
      <c r="F420" s="7" t="s">
        <v>1079</v>
      </c>
      <c r="G420" s="7" t="s">
        <v>1080</v>
      </c>
      <c r="H420" s="7">
        <v>4.7</v>
      </c>
      <c r="I420" s="7" t="s">
        <v>718</v>
      </c>
      <c r="R420" s="1472" t="s">
        <v>1038</v>
      </c>
      <c r="S420" s="1472">
        <v>4</v>
      </c>
      <c r="T420" s="1472" t="s">
        <v>3045</v>
      </c>
      <c r="U420" s="1472" t="s">
        <v>1061</v>
      </c>
      <c r="W420" s="1488"/>
      <c r="X420" s="1488"/>
      <c r="Y420" s="1488"/>
      <c r="Z420" s="1488"/>
    </row>
    <row r="421" spans="1:26">
      <c r="A421" s="7" t="s">
        <v>690</v>
      </c>
      <c r="B421" s="7" t="s">
        <v>1037</v>
      </c>
      <c r="C421" s="7">
        <v>2</v>
      </c>
      <c r="D421" s="7" t="s">
        <v>2834</v>
      </c>
      <c r="E421" s="7" t="s">
        <v>2834</v>
      </c>
      <c r="F421" s="7" t="s">
        <v>1446</v>
      </c>
      <c r="G421" s="7" t="s">
        <v>1081</v>
      </c>
      <c r="H421" s="7">
        <v>4.7</v>
      </c>
      <c r="I421" s="7" t="s">
        <v>718</v>
      </c>
      <c r="R421" s="1472" t="s">
        <v>1038</v>
      </c>
      <c r="S421" s="1472">
        <v>4</v>
      </c>
      <c r="T421" s="1472" t="s">
        <v>3045</v>
      </c>
      <c r="U421" s="1472" t="s">
        <v>2848</v>
      </c>
      <c r="W421" s="1488"/>
      <c r="X421" s="1488"/>
      <c r="Y421" s="1488"/>
      <c r="Z421" s="1488"/>
    </row>
    <row r="422" spans="1:26">
      <c r="A422" s="7" t="s">
        <v>690</v>
      </c>
      <c r="B422" s="7" t="s">
        <v>1037</v>
      </c>
      <c r="C422" s="7">
        <v>2</v>
      </c>
      <c r="D422" s="7" t="s">
        <v>2834</v>
      </c>
      <c r="E422" s="7" t="s">
        <v>2834</v>
      </c>
      <c r="F422" s="7" t="s">
        <v>1446</v>
      </c>
      <c r="G422" s="7" t="s">
        <v>1082</v>
      </c>
      <c r="H422" s="7">
        <v>4.7</v>
      </c>
      <c r="I422" s="7" t="s">
        <v>718</v>
      </c>
      <c r="R422" s="1472" t="s">
        <v>1038</v>
      </c>
      <c r="S422" s="1472">
        <v>4</v>
      </c>
      <c r="T422" s="1472" t="s">
        <v>3045</v>
      </c>
      <c r="U422" s="1472" t="s">
        <v>1139</v>
      </c>
      <c r="W422" s="1488"/>
      <c r="X422" s="1488"/>
      <c r="Y422" s="1488"/>
      <c r="Z422" s="1488"/>
    </row>
    <row r="423" spans="1:26">
      <c r="A423" s="7" t="s">
        <v>690</v>
      </c>
      <c r="B423" s="7" t="s">
        <v>1037</v>
      </c>
      <c r="C423" s="7">
        <v>2</v>
      </c>
      <c r="D423" s="7" t="s">
        <v>2834</v>
      </c>
      <c r="E423" s="7" t="s">
        <v>2834</v>
      </c>
      <c r="F423" s="7" t="s">
        <v>1446</v>
      </c>
      <c r="G423" s="7" t="s">
        <v>1083</v>
      </c>
      <c r="H423" s="7">
        <v>4.7</v>
      </c>
      <c r="I423" s="7" t="s">
        <v>718</v>
      </c>
      <c r="R423" s="1472" t="s">
        <v>1038</v>
      </c>
      <c r="S423" s="1472">
        <v>4</v>
      </c>
      <c r="T423" s="1472" t="s">
        <v>3045</v>
      </c>
      <c r="U423" s="1472" t="s">
        <v>1062</v>
      </c>
      <c r="W423" s="1488"/>
      <c r="X423" s="1488"/>
      <c r="Y423" s="1488"/>
      <c r="Z423" s="1488"/>
    </row>
    <row r="424" spans="1:26">
      <c r="A424" s="7" t="s">
        <v>690</v>
      </c>
      <c r="B424" s="7" t="s">
        <v>1037</v>
      </c>
      <c r="C424" s="7">
        <v>2</v>
      </c>
      <c r="D424" s="7" t="s">
        <v>2834</v>
      </c>
      <c r="E424" s="7" t="s">
        <v>2834</v>
      </c>
      <c r="F424" s="7" t="s">
        <v>1084</v>
      </c>
      <c r="G424" s="7" t="s">
        <v>1085</v>
      </c>
      <c r="H424" s="7">
        <v>4.5</v>
      </c>
      <c r="I424" s="7" t="s">
        <v>718</v>
      </c>
      <c r="R424" s="1472" t="s">
        <v>1038</v>
      </c>
      <c r="S424" s="1472">
        <v>4</v>
      </c>
      <c r="T424" s="1472" t="s">
        <v>3045</v>
      </c>
      <c r="U424" s="1472" t="s">
        <v>1063</v>
      </c>
      <c r="W424" s="1488"/>
      <c r="X424" s="1488"/>
      <c r="Y424" s="1488"/>
      <c r="Z424" s="1488"/>
    </row>
    <row r="425" spans="1:26">
      <c r="A425" s="7" t="s">
        <v>690</v>
      </c>
      <c r="B425" s="7" t="s">
        <v>1037</v>
      </c>
      <c r="C425" s="7">
        <v>2</v>
      </c>
      <c r="D425" s="7" t="s">
        <v>2834</v>
      </c>
      <c r="E425" s="7" t="s">
        <v>2834</v>
      </c>
      <c r="F425" s="7" t="s">
        <v>1084</v>
      </c>
      <c r="G425" s="7" t="s">
        <v>1086</v>
      </c>
      <c r="H425" s="7">
        <v>4.5</v>
      </c>
      <c r="I425" s="7" t="s">
        <v>718</v>
      </c>
      <c r="R425" s="1472" t="s">
        <v>1038</v>
      </c>
      <c r="S425" s="1472">
        <v>4</v>
      </c>
      <c r="T425" s="1472" t="s">
        <v>3045</v>
      </c>
      <c r="U425" s="1472" t="s">
        <v>1070</v>
      </c>
      <c r="W425" s="1488"/>
      <c r="X425" s="1488"/>
      <c r="Y425" s="1488"/>
      <c r="Z425" s="1488"/>
    </row>
    <row r="426" spans="1:26">
      <c r="A426" s="7" t="s">
        <v>690</v>
      </c>
      <c r="B426" s="7" t="s">
        <v>1037</v>
      </c>
      <c r="C426" s="7">
        <v>2</v>
      </c>
      <c r="D426" s="7" t="s">
        <v>2834</v>
      </c>
      <c r="E426" s="7" t="s">
        <v>2834</v>
      </c>
      <c r="F426" s="7" t="s">
        <v>1084</v>
      </c>
      <c r="G426" s="7" t="s">
        <v>1087</v>
      </c>
      <c r="H426" s="7">
        <v>4.5</v>
      </c>
      <c r="I426" s="7" t="s">
        <v>718</v>
      </c>
      <c r="R426" s="1472" t="s">
        <v>1038</v>
      </c>
      <c r="S426" s="1472">
        <v>4</v>
      </c>
      <c r="T426" s="1472" t="s">
        <v>3045</v>
      </c>
      <c r="U426" s="1472" t="s">
        <v>1071</v>
      </c>
      <c r="W426" s="1488"/>
      <c r="X426" s="1488"/>
      <c r="Y426" s="1488"/>
      <c r="Z426" s="1488"/>
    </row>
    <row r="427" spans="1:26">
      <c r="A427" s="7" t="s">
        <v>690</v>
      </c>
      <c r="B427" s="7" t="s">
        <v>1037</v>
      </c>
      <c r="C427" s="7">
        <v>2</v>
      </c>
      <c r="D427" s="7" t="s">
        <v>2834</v>
      </c>
      <c r="E427" s="7" t="s">
        <v>2834</v>
      </c>
      <c r="F427" s="7" t="s">
        <v>1084</v>
      </c>
      <c r="G427" s="7" t="s">
        <v>1088</v>
      </c>
      <c r="H427" s="7">
        <v>4.5</v>
      </c>
      <c r="I427" s="7" t="s">
        <v>718</v>
      </c>
      <c r="R427" s="1472" t="s">
        <v>1038</v>
      </c>
      <c r="S427" s="1472">
        <v>4</v>
      </c>
      <c r="T427" s="1472" t="s">
        <v>3045</v>
      </c>
      <c r="U427" s="1472" t="s">
        <v>1072</v>
      </c>
      <c r="W427" s="1488"/>
      <c r="X427" s="1488"/>
      <c r="Y427" s="1488"/>
      <c r="Z427" s="1488"/>
    </row>
    <row r="428" spans="1:26">
      <c r="A428" s="7" t="s">
        <v>690</v>
      </c>
      <c r="B428" s="7" t="s">
        <v>1037</v>
      </c>
      <c r="C428" s="7">
        <v>2</v>
      </c>
      <c r="D428" s="7" t="s">
        <v>2834</v>
      </c>
      <c r="E428" s="7" t="s">
        <v>2834</v>
      </c>
      <c r="F428" s="7" t="s">
        <v>1089</v>
      </c>
      <c r="G428" s="7" t="s">
        <v>1140</v>
      </c>
      <c r="H428" s="7">
        <v>4.5</v>
      </c>
      <c r="I428" s="7" t="s">
        <v>718</v>
      </c>
      <c r="R428" s="1472" t="s">
        <v>1038</v>
      </c>
      <c r="S428" s="1472">
        <v>4</v>
      </c>
      <c r="T428" s="1472" t="s">
        <v>3045</v>
      </c>
      <c r="U428" s="1472" t="s">
        <v>2695</v>
      </c>
      <c r="W428" s="1488"/>
      <c r="X428" s="1488"/>
      <c r="Y428" s="1488"/>
      <c r="Z428" s="1488"/>
    </row>
    <row r="429" spans="1:26">
      <c r="A429" s="7" t="s">
        <v>690</v>
      </c>
      <c r="B429" s="7" t="s">
        <v>1037</v>
      </c>
      <c r="C429" s="7">
        <v>2</v>
      </c>
      <c r="D429" s="7" t="s">
        <v>2834</v>
      </c>
      <c r="E429" s="7" t="s">
        <v>2834</v>
      </c>
      <c r="F429" s="7" t="s">
        <v>1090</v>
      </c>
      <c r="G429" s="7" t="s">
        <v>1091</v>
      </c>
      <c r="H429" s="7">
        <v>4.5</v>
      </c>
      <c r="I429" s="7" t="s">
        <v>718</v>
      </c>
      <c r="R429" s="1472" t="s">
        <v>1038</v>
      </c>
      <c r="S429" s="1472">
        <v>4</v>
      </c>
      <c r="T429" s="1472" t="s">
        <v>3045</v>
      </c>
      <c r="U429" s="1472" t="s">
        <v>1443</v>
      </c>
      <c r="W429" s="1488"/>
      <c r="X429" s="1488"/>
      <c r="Y429" s="1488"/>
      <c r="Z429" s="1488"/>
    </row>
    <row r="430" spans="1:26">
      <c r="A430" s="7" t="s">
        <v>690</v>
      </c>
      <c r="B430" s="7" t="s">
        <v>1037</v>
      </c>
      <c r="C430" s="7">
        <v>2</v>
      </c>
      <c r="D430" s="7" t="s">
        <v>2834</v>
      </c>
      <c r="E430" s="7" t="s">
        <v>2834</v>
      </c>
      <c r="F430" s="7" t="s">
        <v>2851</v>
      </c>
      <c r="G430" s="7" t="s">
        <v>2852</v>
      </c>
      <c r="H430" s="7">
        <v>4.7</v>
      </c>
      <c r="I430" s="7" t="s">
        <v>718</v>
      </c>
      <c r="R430" s="1472" t="s">
        <v>1038</v>
      </c>
      <c r="S430" s="1472">
        <v>4</v>
      </c>
      <c r="T430" s="1472" t="s">
        <v>3045</v>
      </c>
      <c r="U430" s="1472" t="s">
        <v>2850</v>
      </c>
      <c r="W430" s="1488"/>
      <c r="X430" s="1488"/>
      <c r="Y430" s="1488"/>
      <c r="Z430" s="1488"/>
    </row>
    <row r="431" spans="1:26">
      <c r="A431" s="7" t="s">
        <v>690</v>
      </c>
      <c r="B431" s="7" t="s">
        <v>1037</v>
      </c>
      <c r="C431" s="7">
        <v>2</v>
      </c>
      <c r="D431" s="7" t="s">
        <v>2834</v>
      </c>
      <c r="E431" s="7" t="s">
        <v>2834</v>
      </c>
      <c r="F431" s="7" t="s">
        <v>1092</v>
      </c>
      <c r="G431" s="7" t="s">
        <v>1093</v>
      </c>
      <c r="H431" s="7">
        <v>4.7</v>
      </c>
      <c r="I431" s="7" t="s">
        <v>718</v>
      </c>
      <c r="R431" s="1472" t="s">
        <v>1038</v>
      </c>
      <c r="S431" s="1472">
        <v>4</v>
      </c>
      <c r="T431" s="1472" t="s">
        <v>3045</v>
      </c>
      <c r="U431" s="1472" t="s">
        <v>1444</v>
      </c>
      <c r="W431" s="1488"/>
      <c r="X431" s="1488"/>
      <c r="Y431" s="1488"/>
      <c r="Z431" s="1488"/>
    </row>
    <row r="432" spans="1:26">
      <c r="A432" s="7" t="s">
        <v>690</v>
      </c>
      <c r="B432" s="7" t="s">
        <v>1037</v>
      </c>
      <c r="C432" s="7">
        <v>2</v>
      </c>
      <c r="D432" s="7" t="s">
        <v>2834</v>
      </c>
      <c r="E432" s="7" t="s">
        <v>2834</v>
      </c>
      <c r="F432" s="7" t="s">
        <v>1148</v>
      </c>
      <c r="G432" s="7" t="s">
        <v>1149</v>
      </c>
      <c r="H432" s="7">
        <v>4.7</v>
      </c>
      <c r="I432" s="7" t="s">
        <v>718</v>
      </c>
      <c r="R432" s="1472" t="s">
        <v>1038</v>
      </c>
      <c r="S432" s="1472">
        <v>4</v>
      </c>
      <c r="T432" s="1472" t="s">
        <v>3045</v>
      </c>
      <c r="U432" s="1472" t="s">
        <v>1445</v>
      </c>
      <c r="W432" s="1488"/>
      <c r="X432" s="1488"/>
      <c r="Y432" s="1488"/>
      <c r="Z432" s="1488"/>
    </row>
    <row r="433" spans="1:26">
      <c r="A433" s="7" t="s">
        <v>690</v>
      </c>
      <c r="B433" s="7" t="s">
        <v>1037</v>
      </c>
      <c r="C433" s="7">
        <v>2</v>
      </c>
      <c r="D433" s="7" t="s">
        <v>2834</v>
      </c>
      <c r="E433" s="7" t="s">
        <v>2834</v>
      </c>
      <c r="F433" s="7" t="s">
        <v>2853</v>
      </c>
      <c r="G433" s="7" t="s">
        <v>2854</v>
      </c>
      <c r="H433" s="7">
        <v>4.7</v>
      </c>
      <c r="I433" s="7" t="s">
        <v>718</v>
      </c>
      <c r="R433" s="1472" t="s">
        <v>1038</v>
      </c>
      <c r="S433" s="1472">
        <v>4</v>
      </c>
      <c r="T433" s="1472" t="s">
        <v>3045</v>
      </c>
      <c r="U433" s="1472" t="s">
        <v>1077</v>
      </c>
      <c r="W433" s="1488"/>
      <c r="X433" s="1488"/>
      <c r="Y433" s="1488"/>
      <c r="Z433" s="1488"/>
    </row>
    <row r="434" spans="1:26">
      <c r="A434" s="7" t="s">
        <v>690</v>
      </c>
      <c r="B434" s="7" t="s">
        <v>1037</v>
      </c>
      <c r="C434" s="7">
        <v>2</v>
      </c>
      <c r="D434" s="7" t="s">
        <v>2834</v>
      </c>
      <c r="E434" s="7" t="s">
        <v>2834</v>
      </c>
      <c r="F434" s="7" t="s">
        <v>1094</v>
      </c>
      <c r="G434" s="7" t="s">
        <v>1150</v>
      </c>
      <c r="H434" s="7">
        <v>4.7</v>
      </c>
      <c r="I434" s="7" t="s">
        <v>718</v>
      </c>
      <c r="R434" s="1472" t="s">
        <v>1038</v>
      </c>
      <c r="S434" s="1472">
        <v>4</v>
      </c>
      <c r="T434" s="1472" t="s">
        <v>3045</v>
      </c>
      <c r="U434" s="1472" t="s">
        <v>1079</v>
      </c>
      <c r="W434" s="1488"/>
      <c r="X434" s="1488"/>
      <c r="Y434" s="1488"/>
      <c r="Z434" s="1488"/>
    </row>
    <row r="435" spans="1:26">
      <c r="A435" s="7" t="s">
        <v>690</v>
      </c>
      <c r="B435" s="7" t="s">
        <v>1037</v>
      </c>
      <c r="C435" s="7">
        <v>2</v>
      </c>
      <c r="D435" s="7" t="s">
        <v>2834</v>
      </c>
      <c r="E435" s="7" t="s">
        <v>2834</v>
      </c>
      <c r="F435" s="7" t="s">
        <v>1094</v>
      </c>
      <c r="G435" s="7" t="s">
        <v>1151</v>
      </c>
      <c r="H435" s="7">
        <v>4.7</v>
      </c>
      <c r="I435" s="7" t="s">
        <v>718</v>
      </c>
      <c r="R435" s="1472" t="s">
        <v>1038</v>
      </c>
      <c r="S435" s="1472">
        <v>4</v>
      </c>
      <c r="T435" s="1472" t="s">
        <v>3045</v>
      </c>
      <c r="U435" s="1472" t="s">
        <v>1446</v>
      </c>
      <c r="W435" s="1488"/>
      <c r="X435" s="1488"/>
      <c r="Y435" s="1488"/>
      <c r="Z435" s="1488"/>
    </row>
    <row r="436" spans="1:26">
      <c r="A436" s="7" t="s">
        <v>690</v>
      </c>
      <c r="B436" s="7" t="s">
        <v>1037</v>
      </c>
      <c r="C436" s="7">
        <v>2</v>
      </c>
      <c r="D436" s="7" t="s">
        <v>2834</v>
      </c>
      <c r="E436" s="7" t="s">
        <v>2834</v>
      </c>
      <c r="F436" s="7" t="s">
        <v>1152</v>
      </c>
      <c r="G436" s="7" t="s">
        <v>1153</v>
      </c>
      <c r="H436" s="7">
        <v>4.7</v>
      </c>
      <c r="I436" s="7" t="s">
        <v>718</v>
      </c>
      <c r="R436" s="1472" t="s">
        <v>1038</v>
      </c>
      <c r="S436" s="1472">
        <v>4</v>
      </c>
      <c r="T436" s="1472" t="s">
        <v>3045</v>
      </c>
      <c r="U436" s="1472" t="s">
        <v>1084</v>
      </c>
      <c r="W436" s="1488"/>
      <c r="X436" s="1488"/>
      <c r="Y436" s="1488"/>
      <c r="Z436" s="1488"/>
    </row>
    <row r="437" spans="1:26">
      <c r="A437" s="7" t="s">
        <v>690</v>
      </c>
      <c r="B437" s="7" t="s">
        <v>1037</v>
      </c>
      <c r="C437" s="7">
        <v>2</v>
      </c>
      <c r="D437" s="7" t="s">
        <v>2834</v>
      </c>
      <c r="E437" s="7" t="s">
        <v>2834</v>
      </c>
      <c r="F437" s="7" t="s">
        <v>1095</v>
      </c>
      <c r="G437" s="7" t="s">
        <v>1154</v>
      </c>
      <c r="H437" s="7">
        <v>4.7</v>
      </c>
      <c r="I437" s="7" t="s">
        <v>718</v>
      </c>
      <c r="R437" s="1472" t="s">
        <v>1038</v>
      </c>
      <c r="S437" s="1472">
        <v>4</v>
      </c>
      <c r="T437" s="1472" t="s">
        <v>3045</v>
      </c>
      <c r="U437" s="1472" t="s">
        <v>1089</v>
      </c>
      <c r="W437" s="1488"/>
      <c r="X437" s="1488"/>
      <c r="Y437" s="1488"/>
      <c r="Z437" s="1488"/>
    </row>
    <row r="438" spans="1:26">
      <c r="A438" s="7" t="s">
        <v>690</v>
      </c>
      <c r="B438" s="7" t="s">
        <v>1037</v>
      </c>
      <c r="C438" s="7">
        <v>2</v>
      </c>
      <c r="D438" s="7" t="s">
        <v>2834</v>
      </c>
      <c r="E438" s="7" t="s">
        <v>2834</v>
      </c>
      <c r="F438" s="7" t="s">
        <v>2855</v>
      </c>
      <c r="G438" s="7" t="s">
        <v>2856</v>
      </c>
      <c r="H438" s="7">
        <v>4.7</v>
      </c>
      <c r="I438" s="7" t="s">
        <v>718</v>
      </c>
      <c r="R438" s="1472" t="s">
        <v>1038</v>
      </c>
      <c r="S438" s="1472">
        <v>4</v>
      </c>
      <c r="T438" s="1472" t="s">
        <v>3045</v>
      </c>
      <c r="U438" s="1472" t="s">
        <v>1090</v>
      </c>
      <c r="W438" s="1488"/>
      <c r="X438" s="1488"/>
      <c r="Y438" s="1488"/>
      <c r="Z438" s="1488"/>
    </row>
    <row r="439" spans="1:26">
      <c r="A439" s="7" t="s">
        <v>690</v>
      </c>
      <c r="B439" s="7" t="s">
        <v>1037</v>
      </c>
      <c r="C439" s="7">
        <v>2</v>
      </c>
      <c r="D439" s="7" t="s">
        <v>2834</v>
      </c>
      <c r="E439" s="7" t="s">
        <v>2834</v>
      </c>
      <c r="F439" s="7" t="s">
        <v>2857</v>
      </c>
      <c r="G439" s="7" t="s">
        <v>2858</v>
      </c>
      <c r="H439" s="7">
        <v>4.7</v>
      </c>
      <c r="I439" s="7" t="s">
        <v>718</v>
      </c>
      <c r="R439" s="1472" t="s">
        <v>1038</v>
      </c>
      <c r="S439" s="1472">
        <v>4</v>
      </c>
      <c r="T439" s="1472" t="s">
        <v>3045</v>
      </c>
      <c r="U439" s="1472" t="s">
        <v>2851</v>
      </c>
      <c r="W439" s="1488"/>
      <c r="X439" s="1488"/>
      <c r="Y439" s="1488"/>
      <c r="Z439" s="1488"/>
    </row>
    <row r="440" spans="1:26">
      <c r="A440" s="7" t="s">
        <v>690</v>
      </c>
      <c r="B440" s="7" t="s">
        <v>1037</v>
      </c>
      <c r="C440" s="7">
        <v>2</v>
      </c>
      <c r="D440" s="7" t="s">
        <v>2834</v>
      </c>
      <c r="E440" s="7" t="s">
        <v>2834</v>
      </c>
      <c r="F440" s="7" t="s">
        <v>2859</v>
      </c>
      <c r="G440" s="7" t="s">
        <v>2860</v>
      </c>
      <c r="H440" s="7">
        <v>4.7</v>
      </c>
      <c r="I440" s="7" t="s">
        <v>718</v>
      </c>
      <c r="R440" s="1472" t="s">
        <v>1038</v>
      </c>
      <c r="S440" s="1472">
        <v>4</v>
      </c>
      <c r="T440" s="1472" t="s">
        <v>3045</v>
      </c>
      <c r="U440" s="1472" t="s">
        <v>1092</v>
      </c>
      <c r="W440" s="1488"/>
      <c r="X440" s="1488"/>
      <c r="Y440" s="1488"/>
      <c r="Z440" s="1488"/>
    </row>
    <row r="441" spans="1:26">
      <c r="A441" s="7" t="s">
        <v>690</v>
      </c>
      <c r="B441" s="7" t="s">
        <v>1037</v>
      </c>
      <c r="C441" s="7">
        <v>2</v>
      </c>
      <c r="D441" s="7" t="s">
        <v>2834</v>
      </c>
      <c r="E441" s="7" t="s">
        <v>2834</v>
      </c>
      <c r="F441" s="7" t="s">
        <v>1155</v>
      </c>
      <c r="G441" s="7" t="s">
        <v>1156</v>
      </c>
      <c r="H441" s="7">
        <v>4.7</v>
      </c>
      <c r="I441" s="7" t="s">
        <v>718</v>
      </c>
      <c r="R441" s="1472" t="s">
        <v>1038</v>
      </c>
      <c r="S441" s="1472">
        <v>4</v>
      </c>
      <c r="T441" s="1472" t="s">
        <v>3045</v>
      </c>
      <c r="U441" s="1472" t="s">
        <v>1148</v>
      </c>
      <c r="W441" s="1488"/>
      <c r="X441" s="1488"/>
      <c r="Y441" s="1488"/>
      <c r="Z441" s="1488"/>
    </row>
    <row r="442" spans="1:26">
      <c r="A442" s="7" t="s">
        <v>690</v>
      </c>
      <c r="B442" s="7" t="s">
        <v>1037</v>
      </c>
      <c r="C442" s="7">
        <v>2</v>
      </c>
      <c r="D442" s="7" t="s">
        <v>2834</v>
      </c>
      <c r="E442" s="7" t="s">
        <v>2834</v>
      </c>
      <c r="F442" s="7" t="s">
        <v>1155</v>
      </c>
      <c r="G442" s="7" t="s">
        <v>1157</v>
      </c>
      <c r="H442" s="7">
        <v>4.7</v>
      </c>
      <c r="I442" s="7" t="s">
        <v>718</v>
      </c>
      <c r="R442" s="1472" t="s">
        <v>1038</v>
      </c>
      <c r="S442" s="1472">
        <v>4</v>
      </c>
      <c r="T442" s="1472" t="s">
        <v>3045</v>
      </c>
      <c r="U442" s="1472" t="s">
        <v>2853</v>
      </c>
      <c r="W442" s="1488"/>
      <c r="X442" s="1488"/>
      <c r="Y442" s="1488"/>
      <c r="Z442" s="1488"/>
    </row>
    <row r="443" spans="1:26">
      <c r="A443" s="7" t="s">
        <v>690</v>
      </c>
      <c r="B443" s="7" t="s">
        <v>1037</v>
      </c>
      <c r="C443" s="7">
        <v>2</v>
      </c>
      <c r="D443" s="7" t="s">
        <v>2834</v>
      </c>
      <c r="E443" s="7" t="s">
        <v>2834</v>
      </c>
      <c r="F443" s="7" t="s">
        <v>1155</v>
      </c>
      <c r="G443" s="7" t="s">
        <v>1158</v>
      </c>
      <c r="H443" s="7">
        <v>4.7</v>
      </c>
      <c r="I443" s="7" t="s">
        <v>718</v>
      </c>
      <c r="R443" s="1472" t="s">
        <v>1038</v>
      </c>
      <c r="S443" s="1472">
        <v>4</v>
      </c>
      <c r="T443" s="1472" t="s">
        <v>3045</v>
      </c>
      <c r="U443" s="1472" t="s">
        <v>1094</v>
      </c>
      <c r="W443" s="1488"/>
      <c r="X443" s="1488"/>
      <c r="Y443" s="1488"/>
      <c r="Z443" s="1488"/>
    </row>
    <row r="444" spans="1:26">
      <c r="A444" s="7" t="s">
        <v>690</v>
      </c>
      <c r="B444" s="7" t="s">
        <v>1037</v>
      </c>
      <c r="C444" s="7">
        <v>2</v>
      </c>
      <c r="D444" s="7" t="s">
        <v>2834</v>
      </c>
      <c r="E444" s="7" t="s">
        <v>2834</v>
      </c>
      <c r="F444" s="7" t="s">
        <v>2861</v>
      </c>
      <c r="G444" s="7" t="s">
        <v>2862</v>
      </c>
      <c r="H444" s="7">
        <v>4.7</v>
      </c>
      <c r="I444" s="7" t="s">
        <v>718</v>
      </c>
      <c r="R444" s="1472" t="s">
        <v>1038</v>
      </c>
      <c r="S444" s="1472">
        <v>4</v>
      </c>
      <c r="T444" s="1472" t="s">
        <v>3045</v>
      </c>
      <c r="U444" s="1472" t="s">
        <v>1152</v>
      </c>
      <c r="W444" s="1488"/>
      <c r="X444" s="1488"/>
      <c r="Y444" s="1488"/>
      <c r="Z444" s="1488"/>
    </row>
    <row r="445" spans="1:26">
      <c r="A445" s="7" t="s">
        <v>690</v>
      </c>
      <c r="B445" s="7" t="s">
        <v>1037</v>
      </c>
      <c r="C445" s="7">
        <v>2</v>
      </c>
      <c r="D445" s="7" t="s">
        <v>2834</v>
      </c>
      <c r="E445" s="7" t="s">
        <v>2834</v>
      </c>
      <c r="F445" s="7" t="s">
        <v>2863</v>
      </c>
      <c r="G445" s="7" t="s">
        <v>2864</v>
      </c>
      <c r="H445" s="7">
        <v>4.7</v>
      </c>
      <c r="I445" s="7" t="s">
        <v>718</v>
      </c>
      <c r="R445" s="1472" t="s">
        <v>1038</v>
      </c>
      <c r="S445" s="1472">
        <v>4</v>
      </c>
      <c r="T445" s="1472" t="s">
        <v>3045</v>
      </c>
      <c r="U445" s="1472" t="s">
        <v>1095</v>
      </c>
      <c r="W445" s="1488"/>
      <c r="X445" s="1488"/>
      <c r="Y445" s="1488"/>
      <c r="Z445" s="1488"/>
    </row>
    <row r="446" spans="1:26">
      <c r="A446" s="7" t="s">
        <v>690</v>
      </c>
      <c r="B446" s="7" t="s">
        <v>1037</v>
      </c>
      <c r="C446" s="7">
        <v>2</v>
      </c>
      <c r="D446" s="7" t="s">
        <v>2834</v>
      </c>
      <c r="E446" s="7" t="s">
        <v>2834</v>
      </c>
      <c r="F446" s="7" t="s">
        <v>1096</v>
      </c>
      <c r="G446" s="7" t="s">
        <v>1159</v>
      </c>
      <c r="H446" s="7">
        <v>4.7</v>
      </c>
      <c r="I446" s="7" t="s">
        <v>718</v>
      </c>
      <c r="R446" s="1472" t="s">
        <v>1038</v>
      </c>
      <c r="S446" s="1472">
        <v>4</v>
      </c>
      <c r="T446" s="1472" t="s">
        <v>3045</v>
      </c>
      <c r="U446" s="1472" t="s">
        <v>2855</v>
      </c>
      <c r="W446" s="1488"/>
      <c r="X446" s="1488"/>
      <c r="Y446" s="1488"/>
      <c r="Z446" s="1488"/>
    </row>
    <row r="447" spans="1:26">
      <c r="A447" s="7" t="s">
        <v>690</v>
      </c>
      <c r="B447" s="7" t="s">
        <v>1037</v>
      </c>
      <c r="C447" s="7">
        <v>2</v>
      </c>
      <c r="D447" s="7" t="s">
        <v>2834</v>
      </c>
      <c r="E447" s="7" t="s">
        <v>2834</v>
      </c>
      <c r="F447" s="7" t="s">
        <v>1096</v>
      </c>
      <c r="G447" s="7" t="s">
        <v>1160</v>
      </c>
      <c r="H447" s="7">
        <v>4.7</v>
      </c>
      <c r="I447" s="7" t="s">
        <v>718</v>
      </c>
      <c r="R447" s="1472" t="s">
        <v>1038</v>
      </c>
      <c r="S447" s="1472">
        <v>4</v>
      </c>
      <c r="T447" s="1472" t="s">
        <v>3045</v>
      </c>
      <c r="U447" s="1472" t="s">
        <v>2857</v>
      </c>
      <c r="W447" s="1488"/>
      <c r="X447" s="1488"/>
      <c r="Y447" s="1488"/>
      <c r="Z447" s="1488"/>
    </row>
    <row r="448" spans="1:26">
      <c r="A448" s="7" t="s">
        <v>690</v>
      </c>
      <c r="B448" s="7" t="s">
        <v>1037</v>
      </c>
      <c r="C448" s="7">
        <v>2</v>
      </c>
      <c r="D448" s="7" t="s">
        <v>2834</v>
      </c>
      <c r="E448" s="7" t="s">
        <v>2834</v>
      </c>
      <c r="F448" s="7" t="s">
        <v>2865</v>
      </c>
      <c r="G448" s="7" t="s">
        <v>2866</v>
      </c>
      <c r="H448" s="7">
        <v>4.7</v>
      </c>
      <c r="I448" s="7" t="s">
        <v>718</v>
      </c>
      <c r="R448" s="1472" t="s">
        <v>1038</v>
      </c>
      <c r="S448" s="1472">
        <v>4</v>
      </c>
      <c r="T448" s="1472" t="s">
        <v>3045</v>
      </c>
      <c r="U448" s="1472" t="s">
        <v>2859</v>
      </c>
      <c r="W448" s="1488"/>
      <c r="X448" s="1488"/>
      <c r="Y448" s="1488"/>
      <c r="Z448" s="1488"/>
    </row>
    <row r="449" spans="1:26">
      <c r="A449" s="7" t="s">
        <v>690</v>
      </c>
      <c r="B449" s="7" t="s">
        <v>1037</v>
      </c>
      <c r="C449" s="7">
        <v>2</v>
      </c>
      <c r="D449" s="7" t="s">
        <v>2834</v>
      </c>
      <c r="E449" s="7" t="s">
        <v>2834</v>
      </c>
      <c r="F449" s="7" t="s">
        <v>1161</v>
      </c>
      <c r="G449" s="7" t="s">
        <v>1162</v>
      </c>
      <c r="H449" s="7">
        <v>4.7</v>
      </c>
      <c r="I449" s="7" t="s">
        <v>718</v>
      </c>
      <c r="R449" s="1472" t="s">
        <v>1038</v>
      </c>
      <c r="S449" s="1472">
        <v>4</v>
      </c>
      <c r="T449" s="1472" t="s">
        <v>3045</v>
      </c>
      <c r="U449" s="1472" t="s">
        <v>1155</v>
      </c>
      <c r="W449" s="1488"/>
      <c r="X449" s="1488"/>
      <c r="Y449" s="1488"/>
      <c r="Z449" s="1488"/>
    </row>
    <row r="450" spans="1:26">
      <c r="A450" s="7" t="s">
        <v>690</v>
      </c>
      <c r="B450" s="7" t="s">
        <v>1037</v>
      </c>
      <c r="C450" s="7">
        <v>2</v>
      </c>
      <c r="D450" s="7" t="s">
        <v>2834</v>
      </c>
      <c r="E450" s="7" t="s">
        <v>2834</v>
      </c>
      <c r="F450" s="7" t="s">
        <v>2839</v>
      </c>
      <c r="G450" s="7" t="s">
        <v>2700</v>
      </c>
      <c r="H450" s="7">
        <v>4.7</v>
      </c>
      <c r="I450" s="7" t="s">
        <v>718</v>
      </c>
      <c r="R450" s="1472" t="s">
        <v>1038</v>
      </c>
      <c r="S450" s="1472">
        <v>4</v>
      </c>
      <c r="T450" s="1472" t="s">
        <v>3045</v>
      </c>
      <c r="U450" s="1472" t="s">
        <v>2861</v>
      </c>
      <c r="W450" s="1488"/>
      <c r="X450" s="1488"/>
      <c r="Y450" s="1488"/>
      <c r="Z450" s="1488"/>
    </row>
    <row r="451" spans="1:26">
      <c r="A451" s="7" t="s">
        <v>690</v>
      </c>
      <c r="B451" s="7" t="s">
        <v>1037</v>
      </c>
      <c r="C451" s="7">
        <v>2</v>
      </c>
      <c r="D451" s="7" t="s">
        <v>2834</v>
      </c>
      <c r="E451" s="7" t="s">
        <v>2834</v>
      </c>
      <c r="F451" s="7" t="s">
        <v>2837</v>
      </c>
      <c r="G451" s="7" t="s">
        <v>2700</v>
      </c>
      <c r="H451" s="7">
        <v>4.5</v>
      </c>
      <c r="I451" s="7" t="s">
        <v>718</v>
      </c>
      <c r="R451" s="1472" t="s">
        <v>1038</v>
      </c>
      <c r="S451" s="1472">
        <v>4</v>
      </c>
      <c r="T451" s="1472" t="s">
        <v>3045</v>
      </c>
      <c r="U451" s="1472" t="s">
        <v>2863</v>
      </c>
      <c r="W451" s="1488"/>
      <c r="X451" s="1488"/>
      <c r="Y451" s="1488"/>
      <c r="Z451" s="1488"/>
    </row>
    <row r="452" spans="1:26">
      <c r="A452" s="7" t="s">
        <v>690</v>
      </c>
      <c r="B452" s="7" t="s">
        <v>1037</v>
      </c>
      <c r="C452" s="7">
        <v>2</v>
      </c>
      <c r="D452" s="7" t="s">
        <v>2834</v>
      </c>
      <c r="E452" s="7" t="s">
        <v>2834</v>
      </c>
      <c r="F452" s="7" t="s">
        <v>1097</v>
      </c>
      <c r="G452" s="7" t="s">
        <v>1163</v>
      </c>
      <c r="H452" s="7">
        <v>4.7</v>
      </c>
      <c r="I452" s="7" t="s">
        <v>718</v>
      </c>
      <c r="R452" s="1472" t="s">
        <v>1038</v>
      </c>
      <c r="S452" s="1472">
        <v>4</v>
      </c>
      <c r="T452" s="1472" t="s">
        <v>3045</v>
      </c>
      <c r="U452" s="1472" t="s">
        <v>1096</v>
      </c>
      <c r="W452" s="1488"/>
      <c r="X452" s="1488"/>
      <c r="Y452" s="1488"/>
      <c r="Z452" s="1488"/>
    </row>
    <row r="453" spans="1:26">
      <c r="A453" s="7" t="s">
        <v>690</v>
      </c>
      <c r="B453" s="7" t="s">
        <v>1037</v>
      </c>
      <c r="C453" s="7">
        <v>2</v>
      </c>
      <c r="D453" s="7" t="s">
        <v>2834</v>
      </c>
      <c r="E453" s="7" t="s">
        <v>2834</v>
      </c>
      <c r="F453" s="7" t="s">
        <v>1164</v>
      </c>
      <c r="G453" s="7" t="s">
        <v>1165</v>
      </c>
      <c r="H453" s="7">
        <v>4.7</v>
      </c>
      <c r="I453" s="7" t="s">
        <v>718</v>
      </c>
      <c r="R453" s="1472" t="s">
        <v>1038</v>
      </c>
      <c r="S453" s="1472">
        <v>4</v>
      </c>
      <c r="T453" s="1472" t="s">
        <v>3045</v>
      </c>
      <c r="U453" s="1472" t="s">
        <v>2865</v>
      </c>
      <c r="W453" s="1488"/>
      <c r="X453" s="1488"/>
      <c r="Y453" s="1488"/>
      <c r="Z453" s="1488"/>
    </row>
    <row r="454" spans="1:26">
      <c r="A454" s="7" t="s">
        <v>690</v>
      </c>
      <c r="B454" s="7" t="s">
        <v>1037</v>
      </c>
      <c r="C454" s="7">
        <v>2</v>
      </c>
      <c r="D454" s="7" t="s">
        <v>2834</v>
      </c>
      <c r="E454" s="7" t="s">
        <v>2834</v>
      </c>
      <c r="F454" s="7" t="s">
        <v>1164</v>
      </c>
      <c r="G454" s="7" t="s">
        <v>1126</v>
      </c>
      <c r="H454" s="7">
        <v>4.7</v>
      </c>
      <c r="I454" s="7" t="s">
        <v>718</v>
      </c>
      <c r="R454" s="1472" t="s">
        <v>1038</v>
      </c>
      <c r="S454" s="1472">
        <v>4</v>
      </c>
      <c r="T454" s="1472" t="s">
        <v>3045</v>
      </c>
      <c r="U454" s="1472" t="s">
        <v>1161</v>
      </c>
      <c r="W454" s="1488"/>
      <c r="X454" s="1488"/>
      <c r="Y454" s="1488"/>
      <c r="Z454" s="1488"/>
    </row>
    <row r="455" spans="1:26">
      <c r="A455" s="7" t="s">
        <v>690</v>
      </c>
      <c r="B455" s="7" t="s">
        <v>1037</v>
      </c>
      <c r="C455" s="7">
        <v>2</v>
      </c>
      <c r="D455" s="7" t="s">
        <v>2834</v>
      </c>
      <c r="E455" s="7" t="s">
        <v>2834</v>
      </c>
      <c r="F455" s="7" t="s">
        <v>1098</v>
      </c>
      <c r="G455" s="7" t="s">
        <v>1166</v>
      </c>
      <c r="H455" s="7">
        <v>4.5</v>
      </c>
      <c r="I455" s="7" t="s">
        <v>718</v>
      </c>
      <c r="R455" s="1472" t="s">
        <v>1038</v>
      </c>
      <c r="S455" s="1472">
        <v>4</v>
      </c>
      <c r="T455" s="1472" t="s">
        <v>3045</v>
      </c>
      <c r="U455" s="1472" t="s">
        <v>2839</v>
      </c>
      <c r="W455" s="1488"/>
      <c r="X455" s="1488"/>
      <c r="Y455" s="1488"/>
      <c r="Z455" s="1488"/>
    </row>
    <row r="456" spans="1:26">
      <c r="A456" s="7" t="s">
        <v>690</v>
      </c>
      <c r="B456" s="7" t="s">
        <v>1037</v>
      </c>
      <c r="C456" s="7">
        <v>2</v>
      </c>
      <c r="D456" s="7" t="s">
        <v>2834</v>
      </c>
      <c r="E456" s="7" t="s">
        <v>2834</v>
      </c>
      <c r="F456" s="7" t="s">
        <v>1098</v>
      </c>
      <c r="G456" s="7" t="s">
        <v>2675</v>
      </c>
      <c r="H456" s="7">
        <v>4.5</v>
      </c>
      <c r="I456" s="7" t="s">
        <v>718</v>
      </c>
      <c r="R456" s="1472" t="s">
        <v>1038</v>
      </c>
      <c r="S456" s="1472">
        <v>4</v>
      </c>
      <c r="T456" s="1472" t="s">
        <v>3045</v>
      </c>
      <c r="U456" s="1472" t="s">
        <v>2837</v>
      </c>
      <c r="W456" s="1488"/>
      <c r="X456" s="1488"/>
      <c r="Y456" s="1488"/>
      <c r="Z456" s="1488"/>
    </row>
    <row r="457" spans="1:26">
      <c r="A457" s="7" t="s">
        <v>690</v>
      </c>
      <c r="B457" s="7" t="s">
        <v>1037</v>
      </c>
      <c r="C457" s="7">
        <v>2</v>
      </c>
      <c r="D457" s="7" t="s">
        <v>2834</v>
      </c>
      <c r="E457" s="7" t="s">
        <v>2834</v>
      </c>
      <c r="F457" s="7" t="s">
        <v>1167</v>
      </c>
      <c r="G457" s="7" t="s">
        <v>1083</v>
      </c>
      <c r="H457" s="7">
        <v>4.7</v>
      </c>
      <c r="I457" s="7" t="s">
        <v>718</v>
      </c>
      <c r="R457" s="1472" t="s">
        <v>1038</v>
      </c>
      <c r="S457" s="1472">
        <v>4</v>
      </c>
      <c r="T457" s="1472" t="s">
        <v>3045</v>
      </c>
      <c r="U457" s="1472" t="s">
        <v>1097</v>
      </c>
      <c r="W457" s="1488"/>
      <c r="X457" s="1488"/>
      <c r="Y457" s="1488"/>
      <c r="Z457" s="1488"/>
    </row>
    <row r="458" spans="1:26">
      <c r="A458" s="7" t="s">
        <v>690</v>
      </c>
      <c r="B458" s="7" t="s">
        <v>1037</v>
      </c>
      <c r="C458" s="7">
        <v>2</v>
      </c>
      <c r="D458" s="7" t="s">
        <v>2834</v>
      </c>
      <c r="E458" s="7" t="s">
        <v>2834</v>
      </c>
      <c r="F458" s="7" t="s">
        <v>1099</v>
      </c>
      <c r="G458" s="7" t="s">
        <v>1100</v>
      </c>
      <c r="H458" s="7">
        <v>4.7</v>
      </c>
      <c r="I458" s="7" t="s">
        <v>718</v>
      </c>
      <c r="R458" s="1472" t="s">
        <v>1038</v>
      </c>
      <c r="S458" s="1472">
        <v>4</v>
      </c>
      <c r="T458" s="1472" t="s">
        <v>3045</v>
      </c>
      <c r="U458" s="1472" t="s">
        <v>1164</v>
      </c>
      <c r="W458" s="1488"/>
      <c r="X458" s="1488"/>
      <c r="Y458" s="1488"/>
      <c r="Z458" s="1488"/>
    </row>
    <row r="459" spans="1:26">
      <c r="A459" s="7" t="s">
        <v>690</v>
      </c>
      <c r="B459" s="7" t="s">
        <v>1037</v>
      </c>
      <c r="C459" s="7">
        <v>2</v>
      </c>
      <c r="D459" s="7" t="s">
        <v>2834</v>
      </c>
      <c r="E459" s="7" t="s">
        <v>2834</v>
      </c>
      <c r="F459" s="7" t="s">
        <v>2867</v>
      </c>
      <c r="G459" s="7" t="s">
        <v>2868</v>
      </c>
      <c r="H459" s="7">
        <v>4.7</v>
      </c>
      <c r="I459" s="7" t="s">
        <v>718</v>
      </c>
      <c r="R459" s="1472" t="s">
        <v>1038</v>
      </c>
      <c r="S459" s="1472">
        <v>4</v>
      </c>
      <c r="T459" s="1472" t="s">
        <v>3045</v>
      </c>
      <c r="U459" s="1472" t="s">
        <v>1098</v>
      </c>
      <c r="W459" s="1488"/>
      <c r="X459" s="1488"/>
      <c r="Y459" s="1488"/>
      <c r="Z459" s="1488"/>
    </row>
    <row r="460" spans="1:26">
      <c r="A460" s="7" t="s">
        <v>690</v>
      </c>
      <c r="B460" s="7" t="s">
        <v>1037</v>
      </c>
      <c r="C460" s="7">
        <v>2</v>
      </c>
      <c r="D460" s="7" t="s">
        <v>2834</v>
      </c>
      <c r="E460" s="7" t="s">
        <v>2834</v>
      </c>
      <c r="F460" s="7" t="s">
        <v>2869</v>
      </c>
      <c r="G460" s="7" t="s">
        <v>2870</v>
      </c>
      <c r="H460" s="7">
        <v>4.7</v>
      </c>
      <c r="I460" s="7" t="s">
        <v>718</v>
      </c>
      <c r="R460" s="1472" t="s">
        <v>1038</v>
      </c>
      <c r="S460" s="1472">
        <v>4</v>
      </c>
      <c r="T460" s="1472" t="s">
        <v>3045</v>
      </c>
      <c r="U460" s="1472" t="s">
        <v>1167</v>
      </c>
      <c r="W460" s="1488"/>
      <c r="X460" s="1488"/>
      <c r="Y460" s="1488"/>
      <c r="Z460" s="1488"/>
    </row>
    <row r="461" spans="1:26">
      <c r="A461" s="7" t="s">
        <v>690</v>
      </c>
      <c r="B461" s="7" t="s">
        <v>1037</v>
      </c>
      <c r="C461" s="7">
        <v>2</v>
      </c>
      <c r="D461" s="7" t="s">
        <v>2834</v>
      </c>
      <c r="E461" s="7" t="s">
        <v>2834</v>
      </c>
      <c r="F461" s="7" t="s">
        <v>2871</v>
      </c>
      <c r="G461" s="7" t="s">
        <v>2870</v>
      </c>
      <c r="H461" s="7">
        <v>4.7</v>
      </c>
      <c r="I461" s="7" t="s">
        <v>718</v>
      </c>
      <c r="R461" s="1472" t="s">
        <v>1038</v>
      </c>
      <c r="S461" s="1472">
        <v>4</v>
      </c>
      <c r="T461" s="1472" t="s">
        <v>3045</v>
      </c>
      <c r="U461" s="1472" t="s">
        <v>1099</v>
      </c>
      <c r="W461" s="1488"/>
      <c r="X461" s="1488"/>
      <c r="Y461" s="1488"/>
      <c r="Z461" s="1488"/>
    </row>
    <row r="462" spans="1:26">
      <c r="A462" s="7" t="s">
        <v>690</v>
      </c>
      <c r="B462" s="7" t="s">
        <v>1037</v>
      </c>
      <c r="C462" s="7">
        <v>2</v>
      </c>
      <c r="D462" s="7" t="s">
        <v>2834</v>
      </c>
      <c r="E462" s="7" t="s">
        <v>2834</v>
      </c>
      <c r="F462" s="7" t="s">
        <v>2872</v>
      </c>
      <c r="G462" s="7" t="s">
        <v>1894</v>
      </c>
      <c r="H462" s="7">
        <v>4.7</v>
      </c>
      <c r="I462" s="7" t="s">
        <v>718</v>
      </c>
      <c r="R462" s="1472" t="s">
        <v>1038</v>
      </c>
      <c r="S462" s="1472">
        <v>4</v>
      </c>
      <c r="T462" s="1472" t="s">
        <v>3045</v>
      </c>
      <c r="U462" s="1472" t="s">
        <v>2867</v>
      </c>
      <c r="W462" s="1488"/>
      <c r="X462" s="1488"/>
      <c r="Y462" s="1488"/>
      <c r="Z462" s="1488"/>
    </row>
    <row r="463" spans="1:26">
      <c r="A463" s="7" t="s">
        <v>690</v>
      </c>
      <c r="B463" s="7" t="s">
        <v>1037</v>
      </c>
      <c r="C463" s="7">
        <v>2</v>
      </c>
      <c r="D463" s="7" t="s">
        <v>2834</v>
      </c>
      <c r="E463" s="7" t="s">
        <v>2834</v>
      </c>
      <c r="F463" s="7" t="s">
        <v>1101</v>
      </c>
      <c r="G463" s="7" t="s">
        <v>1102</v>
      </c>
      <c r="H463" s="7">
        <v>4.7</v>
      </c>
      <c r="I463" s="7" t="s">
        <v>718</v>
      </c>
      <c r="R463" s="1472" t="s">
        <v>1038</v>
      </c>
      <c r="S463" s="1472">
        <v>4</v>
      </c>
      <c r="T463" s="1472" t="s">
        <v>3045</v>
      </c>
      <c r="U463" s="1472" t="s">
        <v>2869</v>
      </c>
      <c r="W463" s="1488"/>
      <c r="X463" s="1488"/>
      <c r="Y463" s="1488"/>
      <c r="Z463" s="1488"/>
    </row>
    <row r="464" spans="1:26">
      <c r="A464" s="7" t="s">
        <v>690</v>
      </c>
      <c r="B464" s="7" t="s">
        <v>1037</v>
      </c>
      <c r="C464" s="7">
        <v>2</v>
      </c>
      <c r="D464" s="7" t="s">
        <v>2834</v>
      </c>
      <c r="E464" s="7" t="s">
        <v>2834</v>
      </c>
      <c r="F464" s="7" t="s">
        <v>1101</v>
      </c>
      <c r="G464" s="7" t="s">
        <v>1103</v>
      </c>
      <c r="H464" s="7">
        <v>4.7</v>
      </c>
      <c r="I464" s="7" t="s">
        <v>718</v>
      </c>
      <c r="R464" s="1472" t="s">
        <v>1038</v>
      </c>
      <c r="S464" s="1472">
        <v>4</v>
      </c>
      <c r="T464" s="1472" t="s">
        <v>3045</v>
      </c>
      <c r="U464" s="1472" t="s">
        <v>2871</v>
      </c>
      <c r="W464" s="1488"/>
      <c r="X464" s="1488"/>
      <c r="Y464" s="1488"/>
      <c r="Z464" s="1488"/>
    </row>
    <row r="465" spans="1:26">
      <c r="A465" s="7" t="s">
        <v>690</v>
      </c>
      <c r="B465" s="7" t="s">
        <v>1037</v>
      </c>
      <c r="C465" s="7">
        <v>2</v>
      </c>
      <c r="D465" s="7" t="s">
        <v>2834</v>
      </c>
      <c r="E465" s="7" t="s">
        <v>2834</v>
      </c>
      <c r="F465" s="7" t="s">
        <v>1104</v>
      </c>
      <c r="G465" s="7" t="s">
        <v>1105</v>
      </c>
      <c r="H465" s="7">
        <v>4.7</v>
      </c>
      <c r="I465" s="7" t="s">
        <v>718</v>
      </c>
      <c r="R465" s="1472" t="s">
        <v>1038</v>
      </c>
      <c r="S465" s="1472">
        <v>4</v>
      </c>
      <c r="T465" s="1472" t="s">
        <v>3045</v>
      </c>
      <c r="U465" s="1472" t="s">
        <v>2872</v>
      </c>
      <c r="W465" s="1488"/>
      <c r="X465" s="1488"/>
      <c r="Y465" s="1488"/>
      <c r="Z465" s="1488"/>
    </row>
    <row r="466" spans="1:26">
      <c r="A466" s="7" t="s">
        <v>690</v>
      </c>
      <c r="B466" s="7" t="s">
        <v>1037</v>
      </c>
      <c r="C466" s="7">
        <v>2</v>
      </c>
      <c r="D466" s="7" t="s">
        <v>2834</v>
      </c>
      <c r="E466" s="7" t="s">
        <v>2834</v>
      </c>
      <c r="F466" s="7" t="s">
        <v>1104</v>
      </c>
      <c r="G466" s="7" t="s">
        <v>1106</v>
      </c>
      <c r="H466" s="7">
        <v>4.7</v>
      </c>
      <c r="I466" s="7" t="s">
        <v>718</v>
      </c>
      <c r="R466" s="1472" t="s">
        <v>1038</v>
      </c>
      <c r="S466" s="1472">
        <v>4</v>
      </c>
      <c r="T466" s="1472" t="s">
        <v>3045</v>
      </c>
      <c r="U466" s="1472" t="s">
        <v>1101</v>
      </c>
      <c r="W466" s="1488"/>
      <c r="X466" s="1488"/>
      <c r="Y466" s="1488"/>
      <c r="Z466" s="1488"/>
    </row>
    <row r="467" spans="1:26">
      <c r="A467" s="7" t="s">
        <v>690</v>
      </c>
      <c r="B467" s="7" t="s">
        <v>1037</v>
      </c>
      <c r="C467" s="7">
        <v>2</v>
      </c>
      <c r="D467" s="7" t="s">
        <v>2834</v>
      </c>
      <c r="E467" s="7" t="s">
        <v>2834</v>
      </c>
      <c r="F467" s="7" t="s">
        <v>2873</v>
      </c>
      <c r="G467" s="7" t="s">
        <v>1286</v>
      </c>
      <c r="H467" s="7">
        <v>4.7</v>
      </c>
      <c r="I467" s="7" t="s">
        <v>718</v>
      </c>
      <c r="R467" s="1472" t="s">
        <v>1038</v>
      </c>
      <c r="S467" s="1472">
        <v>4</v>
      </c>
      <c r="T467" s="1472" t="s">
        <v>3045</v>
      </c>
      <c r="U467" s="1472" t="s">
        <v>1104</v>
      </c>
      <c r="W467" s="1488"/>
      <c r="X467" s="1488"/>
      <c r="Y467" s="1488"/>
      <c r="Z467" s="1488"/>
    </row>
    <row r="468" spans="1:26">
      <c r="A468" s="7" t="s">
        <v>690</v>
      </c>
      <c r="B468" s="7" t="s">
        <v>1037</v>
      </c>
      <c r="C468" s="7">
        <v>2</v>
      </c>
      <c r="D468" s="7" t="s">
        <v>2834</v>
      </c>
      <c r="E468" s="7" t="s">
        <v>2834</v>
      </c>
      <c r="F468" s="7" t="s">
        <v>1168</v>
      </c>
      <c r="G468" s="7" t="s">
        <v>1107</v>
      </c>
      <c r="H468" s="7">
        <v>4.7</v>
      </c>
      <c r="I468" s="7" t="s">
        <v>718</v>
      </c>
      <c r="R468" s="1472" t="s">
        <v>1038</v>
      </c>
      <c r="S468" s="1472">
        <v>4</v>
      </c>
      <c r="T468" s="1472" t="s">
        <v>3045</v>
      </c>
      <c r="U468" s="1472" t="s">
        <v>2873</v>
      </c>
      <c r="W468" s="1488"/>
      <c r="X468" s="1488"/>
      <c r="Y468" s="1488"/>
      <c r="Z468" s="1488"/>
    </row>
    <row r="469" spans="1:26">
      <c r="A469" s="7" t="s">
        <v>690</v>
      </c>
      <c r="B469" s="7" t="s">
        <v>1037</v>
      </c>
      <c r="C469" s="7">
        <v>2</v>
      </c>
      <c r="D469" s="7" t="s">
        <v>2834</v>
      </c>
      <c r="E469" s="7" t="s">
        <v>2834</v>
      </c>
      <c r="F469" s="7" t="s">
        <v>1169</v>
      </c>
      <c r="G469" s="7" t="s">
        <v>1108</v>
      </c>
      <c r="H469" s="7">
        <v>4.7</v>
      </c>
      <c r="I469" s="7" t="s">
        <v>718</v>
      </c>
      <c r="R469" s="1472" t="s">
        <v>1038</v>
      </c>
      <c r="S469" s="1472">
        <v>4</v>
      </c>
      <c r="T469" s="1472" t="s">
        <v>3045</v>
      </c>
      <c r="U469" s="1472" t="s">
        <v>1168</v>
      </c>
      <c r="W469" s="1488"/>
      <c r="X469" s="1488"/>
      <c r="Y469" s="1488"/>
      <c r="Z469" s="1488"/>
    </row>
    <row r="470" spans="1:26">
      <c r="A470" s="7" t="s">
        <v>690</v>
      </c>
      <c r="B470" s="7" t="s">
        <v>1037</v>
      </c>
      <c r="C470" s="7">
        <v>2</v>
      </c>
      <c r="D470" s="7" t="s">
        <v>2834</v>
      </c>
      <c r="E470" s="7" t="s">
        <v>2834</v>
      </c>
      <c r="F470" s="7" t="s">
        <v>1109</v>
      </c>
      <c r="G470" s="7" t="s">
        <v>1110</v>
      </c>
      <c r="H470" s="7">
        <v>4.7</v>
      </c>
      <c r="I470" s="7" t="s">
        <v>718</v>
      </c>
      <c r="R470" s="1472" t="s">
        <v>1038</v>
      </c>
      <c r="S470" s="1472">
        <v>4</v>
      </c>
      <c r="T470" s="1472" t="s">
        <v>3045</v>
      </c>
      <c r="U470" s="1472" t="s">
        <v>1169</v>
      </c>
      <c r="W470" s="1488"/>
      <c r="X470" s="1488"/>
      <c r="Y470" s="1488"/>
      <c r="Z470" s="1488"/>
    </row>
    <row r="471" spans="1:26">
      <c r="A471" s="7" t="s">
        <v>690</v>
      </c>
      <c r="B471" s="7" t="s">
        <v>1037</v>
      </c>
      <c r="C471" s="7">
        <v>2</v>
      </c>
      <c r="D471" s="7" t="s">
        <v>2834</v>
      </c>
      <c r="E471" s="7" t="s">
        <v>2834</v>
      </c>
      <c r="F471" s="7" t="s">
        <v>1170</v>
      </c>
      <c r="G471" s="7" t="s">
        <v>1890</v>
      </c>
      <c r="H471" s="7">
        <v>4.7</v>
      </c>
      <c r="I471" s="7" t="s">
        <v>718</v>
      </c>
      <c r="R471" s="1472" t="s">
        <v>1038</v>
      </c>
      <c r="S471" s="1472">
        <v>4</v>
      </c>
      <c r="T471" s="1472" t="s">
        <v>3045</v>
      </c>
      <c r="U471" s="1472" t="s">
        <v>1109</v>
      </c>
      <c r="W471" s="1488"/>
      <c r="X471" s="1488"/>
      <c r="Y471" s="1488"/>
      <c r="Z471" s="1488"/>
    </row>
    <row r="472" spans="1:26">
      <c r="A472" s="7" t="s">
        <v>690</v>
      </c>
      <c r="B472" s="7" t="s">
        <v>1037</v>
      </c>
      <c r="C472" s="7">
        <v>2</v>
      </c>
      <c r="D472" s="7" t="s">
        <v>2834</v>
      </c>
      <c r="E472" s="7" t="s">
        <v>2834</v>
      </c>
      <c r="F472" s="7" t="s">
        <v>1250</v>
      </c>
      <c r="G472" s="7" t="s">
        <v>1891</v>
      </c>
      <c r="H472" s="7">
        <v>4.7</v>
      </c>
      <c r="I472" s="7" t="s">
        <v>718</v>
      </c>
      <c r="R472" s="1472" t="s">
        <v>1038</v>
      </c>
      <c r="S472" s="1472">
        <v>4</v>
      </c>
      <c r="T472" s="1472" t="s">
        <v>3045</v>
      </c>
      <c r="U472" s="1472" t="s">
        <v>1170</v>
      </c>
      <c r="W472" s="1488"/>
      <c r="X472" s="1488"/>
      <c r="Y472" s="1488"/>
      <c r="Z472" s="1488"/>
    </row>
    <row r="473" spans="1:26">
      <c r="A473" s="7" t="s">
        <v>690</v>
      </c>
      <c r="B473" s="7" t="s">
        <v>1037</v>
      </c>
      <c r="C473" s="7">
        <v>2</v>
      </c>
      <c r="D473" s="7" t="s">
        <v>2834</v>
      </c>
      <c r="E473" s="7" t="s">
        <v>2834</v>
      </c>
      <c r="F473" s="7" t="s">
        <v>1447</v>
      </c>
      <c r="G473" s="7" t="s">
        <v>1892</v>
      </c>
      <c r="H473" s="7">
        <v>4.7</v>
      </c>
      <c r="I473" s="7" t="s">
        <v>718</v>
      </c>
      <c r="R473" s="1472" t="s">
        <v>1038</v>
      </c>
      <c r="S473" s="1472">
        <v>4</v>
      </c>
      <c r="T473" s="1472" t="s">
        <v>3045</v>
      </c>
      <c r="U473" s="1472" t="s">
        <v>1250</v>
      </c>
      <c r="W473" s="1488"/>
      <c r="X473" s="1488"/>
      <c r="Y473" s="1488"/>
      <c r="Z473" s="1488"/>
    </row>
    <row r="474" spans="1:26">
      <c r="A474" s="7" t="s">
        <v>690</v>
      </c>
      <c r="B474" s="7" t="s">
        <v>1037</v>
      </c>
      <c r="C474" s="7">
        <v>2</v>
      </c>
      <c r="D474" s="7" t="s">
        <v>2834</v>
      </c>
      <c r="E474" s="7" t="s">
        <v>2834</v>
      </c>
      <c r="F474" s="7" t="s">
        <v>1111</v>
      </c>
      <c r="G474" s="7" t="s">
        <v>1893</v>
      </c>
      <c r="H474" s="7">
        <v>4.7</v>
      </c>
      <c r="I474" s="7" t="s">
        <v>718</v>
      </c>
      <c r="R474" s="1472" t="s">
        <v>1038</v>
      </c>
      <c r="S474" s="1472">
        <v>4</v>
      </c>
      <c r="T474" s="1472" t="s">
        <v>3045</v>
      </c>
      <c r="U474" s="1472" t="s">
        <v>1447</v>
      </c>
      <c r="W474" s="1488"/>
      <c r="X474" s="1488"/>
      <c r="Y474" s="1488"/>
      <c r="Z474" s="1488"/>
    </row>
    <row r="475" spans="1:26">
      <c r="A475" s="7" t="s">
        <v>690</v>
      </c>
      <c r="B475" s="7" t="s">
        <v>1037</v>
      </c>
      <c r="C475" s="7">
        <v>2</v>
      </c>
      <c r="D475" s="7" t="s">
        <v>2834</v>
      </c>
      <c r="E475" s="7" t="s">
        <v>2834</v>
      </c>
      <c r="F475" s="7" t="s">
        <v>1171</v>
      </c>
      <c r="G475" s="7" t="s">
        <v>1112</v>
      </c>
      <c r="H475" s="7">
        <v>4.7</v>
      </c>
      <c r="I475" s="7" t="s">
        <v>718</v>
      </c>
      <c r="R475" s="1472" t="s">
        <v>1038</v>
      </c>
      <c r="S475" s="1472">
        <v>4</v>
      </c>
      <c r="T475" s="1472" t="s">
        <v>3045</v>
      </c>
      <c r="U475" s="1472" t="s">
        <v>1111</v>
      </c>
      <c r="W475" s="1488"/>
      <c r="X475" s="1488"/>
      <c r="Y475" s="1488"/>
      <c r="Z475" s="1488"/>
    </row>
    <row r="476" spans="1:26">
      <c r="A476" s="7" t="s">
        <v>690</v>
      </c>
      <c r="B476" s="7" t="s">
        <v>1037</v>
      </c>
      <c r="C476" s="7">
        <v>2</v>
      </c>
      <c r="D476" s="7" t="s">
        <v>2834</v>
      </c>
      <c r="E476" s="7" t="s">
        <v>2834</v>
      </c>
      <c r="F476" s="7" t="s">
        <v>2838</v>
      </c>
      <c r="G476" s="7" t="s">
        <v>1064</v>
      </c>
      <c r="H476" s="7">
        <v>4.5</v>
      </c>
      <c r="I476" s="7" t="s">
        <v>718</v>
      </c>
      <c r="R476" s="1472" t="s">
        <v>1038</v>
      </c>
      <c r="S476" s="1472">
        <v>4</v>
      </c>
      <c r="T476" s="1472" t="s">
        <v>3045</v>
      </c>
      <c r="U476" s="1472" t="s">
        <v>1171</v>
      </c>
      <c r="W476" s="1488"/>
      <c r="X476" s="1488"/>
      <c r="Y476" s="1488"/>
      <c r="Z476" s="1488"/>
    </row>
    <row r="477" spans="1:26">
      <c r="A477" s="7" t="s">
        <v>690</v>
      </c>
      <c r="B477" s="7" t="s">
        <v>1037</v>
      </c>
      <c r="C477" s="7">
        <v>2</v>
      </c>
      <c r="D477" s="7" t="s">
        <v>2834</v>
      </c>
      <c r="E477" s="7" t="s">
        <v>2834</v>
      </c>
      <c r="F477" s="7" t="s">
        <v>2838</v>
      </c>
      <c r="G477" s="7" t="s">
        <v>1065</v>
      </c>
      <c r="H477" s="7">
        <v>4.5</v>
      </c>
      <c r="I477" s="7" t="s">
        <v>718</v>
      </c>
      <c r="R477" s="1472" t="s">
        <v>1038</v>
      </c>
      <c r="S477" s="1472">
        <v>4</v>
      </c>
      <c r="T477" s="1472" t="s">
        <v>3045</v>
      </c>
      <c r="U477" s="1472" t="s">
        <v>705</v>
      </c>
      <c r="W477" s="1488"/>
      <c r="X477" s="1488"/>
      <c r="Y477" s="1488"/>
      <c r="Z477" s="1488"/>
    </row>
    <row r="478" spans="1:26">
      <c r="A478" s="7" t="s">
        <v>690</v>
      </c>
      <c r="B478" s="7" t="s">
        <v>1037</v>
      </c>
      <c r="C478" s="7">
        <v>2</v>
      </c>
      <c r="D478" s="7" t="s">
        <v>2834</v>
      </c>
      <c r="E478" s="7" t="s">
        <v>2834</v>
      </c>
      <c r="F478" s="7" t="s">
        <v>2838</v>
      </c>
      <c r="G478" s="7" t="s">
        <v>1066</v>
      </c>
      <c r="H478" s="7">
        <v>4.5</v>
      </c>
      <c r="I478" s="7" t="s">
        <v>718</v>
      </c>
      <c r="R478" s="1472" t="s">
        <v>1038</v>
      </c>
      <c r="S478" s="1472">
        <v>4</v>
      </c>
      <c r="T478" s="1472" t="s">
        <v>3045</v>
      </c>
      <c r="U478" s="1472" t="s">
        <v>1113</v>
      </c>
      <c r="W478" s="1488"/>
      <c r="X478" s="1488"/>
      <c r="Y478" s="1488"/>
      <c r="Z478" s="1488"/>
    </row>
    <row r="479" spans="1:26">
      <c r="A479" s="7" t="s">
        <v>690</v>
      </c>
      <c r="B479" s="7" t="s">
        <v>1037</v>
      </c>
      <c r="C479" s="7">
        <v>2</v>
      </c>
      <c r="D479" s="7" t="s">
        <v>2834</v>
      </c>
      <c r="E479" s="7" t="s">
        <v>2834</v>
      </c>
      <c r="F479" s="7" t="s">
        <v>2838</v>
      </c>
      <c r="G479" s="7" t="s">
        <v>1067</v>
      </c>
      <c r="H479" s="7">
        <v>4.5</v>
      </c>
      <c r="I479" s="7" t="s">
        <v>718</v>
      </c>
      <c r="R479" s="1472" t="s">
        <v>1038</v>
      </c>
      <c r="S479" s="1472">
        <v>4</v>
      </c>
      <c r="T479" s="1472" t="s">
        <v>3045</v>
      </c>
      <c r="U479" s="1472" t="s">
        <v>1116</v>
      </c>
      <c r="W479" s="1488"/>
      <c r="X479" s="1488"/>
      <c r="Y479" s="1488"/>
      <c r="Z479" s="1488"/>
    </row>
    <row r="480" spans="1:26">
      <c r="A480" s="7" t="s">
        <v>690</v>
      </c>
      <c r="B480" s="7" t="s">
        <v>1037</v>
      </c>
      <c r="C480" s="7">
        <v>2</v>
      </c>
      <c r="D480" s="7" t="s">
        <v>2834</v>
      </c>
      <c r="E480" s="7" t="s">
        <v>2834</v>
      </c>
      <c r="F480" s="7" t="s">
        <v>2838</v>
      </c>
      <c r="G480" s="7" t="s">
        <v>1068</v>
      </c>
      <c r="H480" s="7">
        <v>4.5</v>
      </c>
      <c r="I480" s="7" t="s">
        <v>718</v>
      </c>
      <c r="R480" s="1472" t="s">
        <v>1038</v>
      </c>
      <c r="S480" s="1472">
        <v>4</v>
      </c>
      <c r="T480" s="1472" t="s">
        <v>3045</v>
      </c>
      <c r="U480" s="1472" t="s">
        <v>1118</v>
      </c>
      <c r="W480" s="1488"/>
      <c r="X480" s="1488"/>
      <c r="Y480" s="1488"/>
      <c r="Z480" s="1488"/>
    </row>
    <row r="481" spans="1:26">
      <c r="A481" s="7" t="s">
        <v>690</v>
      </c>
      <c r="B481" s="7" t="s">
        <v>1037</v>
      </c>
      <c r="C481" s="7">
        <v>2</v>
      </c>
      <c r="D481" s="7" t="s">
        <v>2834</v>
      </c>
      <c r="E481" s="7" t="s">
        <v>2834</v>
      </c>
      <c r="F481" s="7" t="s">
        <v>2838</v>
      </c>
      <c r="G481" s="7" t="s">
        <v>1069</v>
      </c>
      <c r="H481" s="7">
        <v>4.5</v>
      </c>
      <c r="I481" s="7" t="s">
        <v>718</v>
      </c>
      <c r="R481" s="1472" t="s">
        <v>1038</v>
      </c>
      <c r="S481" s="1472">
        <v>4</v>
      </c>
      <c r="T481" s="1472" t="s">
        <v>3045</v>
      </c>
      <c r="U481" s="1472" t="s">
        <v>1120</v>
      </c>
      <c r="W481" s="1488"/>
      <c r="X481" s="1488"/>
      <c r="Y481" s="1488"/>
      <c r="Z481" s="1488"/>
    </row>
    <row r="482" spans="1:26">
      <c r="A482" s="7" t="s">
        <v>690</v>
      </c>
      <c r="B482" s="7" t="s">
        <v>1037</v>
      </c>
      <c r="C482" s="7">
        <v>2</v>
      </c>
      <c r="D482" s="7" t="s">
        <v>2834</v>
      </c>
      <c r="E482" s="7" t="s">
        <v>2834</v>
      </c>
      <c r="F482" s="7" t="s">
        <v>705</v>
      </c>
      <c r="G482" s="7" t="s">
        <v>2700</v>
      </c>
      <c r="H482" s="7">
        <v>4.7</v>
      </c>
      <c r="I482" s="7" t="s">
        <v>718</v>
      </c>
      <c r="R482" s="1472" t="s">
        <v>1038</v>
      </c>
      <c r="S482" s="1472">
        <v>4</v>
      </c>
      <c r="T482" s="1472" t="s">
        <v>3045</v>
      </c>
      <c r="U482" s="1472" t="s">
        <v>405</v>
      </c>
      <c r="W482" s="1488"/>
      <c r="X482" s="1488"/>
      <c r="Y482" s="1488"/>
      <c r="Z482" s="1488"/>
    </row>
    <row r="483" spans="1:26">
      <c r="A483" s="7" t="s">
        <v>690</v>
      </c>
      <c r="B483" s="7" t="s">
        <v>1037</v>
      </c>
      <c r="C483" s="7">
        <v>2</v>
      </c>
      <c r="D483" s="7" t="s">
        <v>2834</v>
      </c>
      <c r="E483" s="7" t="s">
        <v>2834</v>
      </c>
      <c r="F483" s="7" t="s">
        <v>1113</v>
      </c>
      <c r="G483" s="7" t="s">
        <v>1114</v>
      </c>
      <c r="H483" s="7">
        <v>4.7</v>
      </c>
      <c r="I483" s="7" t="s">
        <v>718</v>
      </c>
      <c r="R483" s="1472" t="s">
        <v>1038</v>
      </c>
      <c r="S483" s="1472">
        <v>4</v>
      </c>
      <c r="T483" s="1472" t="s">
        <v>3045</v>
      </c>
      <c r="U483" s="1472" t="s">
        <v>2876</v>
      </c>
      <c r="W483" s="1488"/>
      <c r="X483" s="1488"/>
      <c r="Y483" s="1488"/>
      <c r="Z483" s="1488"/>
    </row>
    <row r="484" spans="1:26">
      <c r="A484" s="7" t="s">
        <v>690</v>
      </c>
      <c r="B484" s="7" t="s">
        <v>1037</v>
      </c>
      <c r="C484" s="7">
        <v>2</v>
      </c>
      <c r="D484" s="7" t="s">
        <v>2834</v>
      </c>
      <c r="E484" s="7" t="s">
        <v>2834</v>
      </c>
      <c r="F484" s="7" t="s">
        <v>1113</v>
      </c>
      <c r="G484" s="7" t="s">
        <v>1115</v>
      </c>
      <c r="H484" s="7">
        <v>4.7</v>
      </c>
      <c r="I484" s="7" t="s">
        <v>718</v>
      </c>
      <c r="T484" s="1472"/>
      <c r="U484" s="1472"/>
      <c r="W484" s="1488"/>
      <c r="X484" s="1488"/>
      <c r="Y484" s="1488"/>
      <c r="Z484" s="1488"/>
    </row>
    <row r="485" spans="1:26" ht="14.5">
      <c r="A485" s="7" t="s">
        <v>690</v>
      </c>
      <c r="B485" s="7" t="s">
        <v>1037</v>
      </c>
      <c r="C485" s="7">
        <v>2</v>
      </c>
      <c r="D485" s="7" t="s">
        <v>2834</v>
      </c>
      <c r="E485" s="7" t="s">
        <v>2834</v>
      </c>
      <c r="F485" s="7" t="s">
        <v>1116</v>
      </c>
      <c r="G485" s="7" t="s">
        <v>1117</v>
      </c>
      <c r="H485" s="7">
        <v>4.5</v>
      </c>
      <c r="I485" s="7" t="s">
        <v>718</v>
      </c>
      <c r="R485"/>
      <c r="S485"/>
      <c r="T485"/>
      <c r="U485"/>
      <c r="W485" s="1488"/>
      <c r="X485" s="1488"/>
      <c r="Y485" s="1488"/>
      <c r="Z485" s="1488"/>
    </row>
    <row r="486" spans="1:26" ht="14.5">
      <c r="A486" s="7" t="s">
        <v>690</v>
      </c>
      <c r="B486" s="7" t="s">
        <v>1037</v>
      </c>
      <c r="C486" s="7">
        <v>2</v>
      </c>
      <c r="D486" s="7" t="s">
        <v>2834</v>
      </c>
      <c r="E486" s="7" t="s">
        <v>2834</v>
      </c>
      <c r="F486" s="7" t="s">
        <v>1118</v>
      </c>
      <c r="G486" s="7" t="s">
        <v>1119</v>
      </c>
      <c r="H486" s="7">
        <v>4.7</v>
      </c>
      <c r="I486" s="7" t="s">
        <v>718</v>
      </c>
      <c r="R486"/>
      <c r="S486"/>
      <c r="T486"/>
      <c r="U486"/>
      <c r="W486" s="1488"/>
      <c r="X486" s="1488"/>
      <c r="Y486" s="1488"/>
      <c r="Z486" s="1488"/>
    </row>
    <row r="487" spans="1:26" ht="14.5">
      <c r="A487" s="7" t="s">
        <v>690</v>
      </c>
      <c r="B487" s="7" t="s">
        <v>1037</v>
      </c>
      <c r="C487" s="7">
        <v>2</v>
      </c>
      <c r="D487" s="7" t="s">
        <v>2834</v>
      </c>
      <c r="E487" s="7" t="s">
        <v>2834</v>
      </c>
      <c r="F487" s="7" t="s">
        <v>1120</v>
      </c>
      <c r="G487" s="7" t="s">
        <v>1121</v>
      </c>
      <c r="H487" s="7">
        <v>4.7</v>
      </c>
      <c r="I487" s="7" t="s">
        <v>718</v>
      </c>
      <c r="R487"/>
      <c r="S487"/>
      <c r="T487"/>
      <c r="U487"/>
      <c r="W487" s="1488"/>
      <c r="X487" s="1488"/>
      <c r="Y487" s="1488"/>
      <c r="Z487" s="1488"/>
    </row>
    <row r="488" spans="1:26" ht="14.5">
      <c r="A488" s="7" t="s">
        <v>690</v>
      </c>
      <c r="B488" s="7" t="s">
        <v>1037</v>
      </c>
      <c r="C488" s="7">
        <v>2</v>
      </c>
      <c r="D488" s="7" t="s">
        <v>2834</v>
      </c>
      <c r="E488" s="7" t="s">
        <v>2834</v>
      </c>
      <c r="F488" s="7" t="s">
        <v>1120</v>
      </c>
      <c r="G488" s="7" t="s">
        <v>2875</v>
      </c>
      <c r="H488" s="7">
        <v>4.7</v>
      </c>
      <c r="I488" s="7" t="s">
        <v>718</v>
      </c>
      <c r="R488"/>
      <c r="S488"/>
      <c r="T488"/>
      <c r="U488"/>
      <c r="W488" s="1488"/>
      <c r="X488" s="1488"/>
      <c r="Y488" s="1488"/>
      <c r="Z488" s="1488"/>
    </row>
    <row r="489" spans="1:26" ht="14.5">
      <c r="A489" s="7" t="s">
        <v>690</v>
      </c>
      <c r="B489" s="7" t="s">
        <v>1037</v>
      </c>
      <c r="C489" s="7">
        <v>2</v>
      </c>
      <c r="D489" s="7" t="s">
        <v>2834</v>
      </c>
      <c r="E489" s="7" t="s">
        <v>2834</v>
      </c>
      <c r="F489" s="7" t="s">
        <v>1120</v>
      </c>
      <c r="G489" s="7" t="s">
        <v>2874</v>
      </c>
      <c r="H489" s="7">
        <v>4.7</v>
      </c>
      <c r="I489" s="7" t="s">
        <v>718</v>
      </c>
      <c r="R489"/>
      <c r="S489"/>
      <c r="T489"/>
      <c r="U489"/>
      <c r="W489" s="1488"/>
      <c r="X489" s="1488"/>
      <c r="Y489" s="1488"/>
      <c r="Z489" s="1488"/>
    </row>
    <row r="490" spans="1:26" ht="14.5">
      <c r="A490" s="7" t="s">
        <v>690</v>
      </c>
      <c r="B490" s="7" t="s">
        <v>1037</v>
      </c>
      <c r="C490" s="7">
        <v>2</v>
      </c>
      <c r="D490" s="7" t="s">
        <v>2834</v>
      </c>
      <c r="E490" s="7" t="s">
        <v>2834</v>
      </c>
      <c r="F490" s="7" t="s">
        <v>405</v>
      </c>
      <c r="G490" s="7" t="s">
        <v>1122</v>
      </c>
      <c r="H490" s="7">
        <v>4.7</v>
      </c>
      <c r="I490" s="7" t="s">
        <v>718</v>
      </c>
      <c r="R490"/>
      <c r="S490"/>
      <c r="T490"/>
      <c r="U490"/>
      <c r="W490" s="1488"/>
      <c r="X490" s="1488"/>
      <c r="Y490" s="1488"/>
      <c r="Z490" s="1488"/>
    </row>
    <row r="491" spans="1:26" ht="14.5">
      <c r="A491" s="7" t="s">
        <v>690</v>
      </c>
      <c r="B491" s="7" t="s">
        <v>1037</v>
      </c>
      <c r="C491" s="7">
        <v>2</v>
      </c>
      <c r="D491" s="7" t="s">
        <v>2834</v>
      </c>
      <c r="E491" s="7" t="s">
        <v>2834</v>
      </c>
      <c r="F491" s="7" t="s">
        <v>405</v>
      </c>
      <c r="G491" s="7" t="s">
        <v>413</v>
      </c>
      <c r="H491" s="7">
        <v>4.7</v>
      </c>
      <c r="I491" s="7" t="s">
        <v>718</v>
      </c>
      <c r="R491"/>
      <c r="S491"/>
      <c r="T491"/>
      <c r="U491"/>
      <c r="W491" s="1488"/>
      <c r="X491" s="1488"/>
      <c r="Y491" s="1488"/>
      <c r="Z491" s="1488"/>
    </row>
    <row r="492" spans="1:26" ht="14.5">
      <c r="A492" s="7" t="s">
        <v>690</v>
      </c>
      <c r="B492" s="7" t="s">
        <v>1037</v>
      </c>
      <c r="C492" s="7">
        <v>2</v>
      </c>
      <c r="D492" s="7" t="s">
        <v>2834</v>
      </c>
      <c r="E492" s="7" t="s">
        <v>2834</v>
      </c>
      <c r="F492" s="7" t="s">
        <v>405</v>
      </c>
      <c r="G492" s="7" t="s">
        <v>412</v>
      </c>
      <c r="H492" s="7">
        <v>4.7</v>
      </c>
      <c r="I492" s="7" t="s">
        <v>718</v>
      </c>
      <c r="R492"/>
      <c r="S492"/>
      <c r="T492"/>
      <c r="U492"/>
      <c r="W492" s="1488"/>
      <c r="X492" s="1488"/>
      <c r="Y492" s="1488"/>
      <c r="Z492" s="1488"/>
    </row>
    <row r="493" spans="1:26" ht="14.5">
      <c r="A493" s="7" t="s">
        <v>690</v>
      </c>
      <c r="B493" s="7" t="s">
        <v>1037</v>
      </c>
      <c r="C493" s="7">
        <v>2</v>
      </c>
      <c r="D493" s="7" t="s">
        <v>2834</v>
      </c>
      <c r="E493" s="7" t="s">
        <v>2834</v>
      </c>
      <c r="F493" s="7" t="s">
        <v>405</v>
      </c>
      <c r="G493" s="7" t="s">
        <v>414</v>
      </c>
      <c r="H493" s="7">
        <v>4.7</v>
      </c>
      <c r="I493" s="7" t="s">
        <v>718</v>
      </c>
      <c r="R493"/>
      <c r="S493"/>
      <c r="T493"/>
      <c r="U493"/>
      <c r="W493" s="1488"/>
      <c r="X493" s="1488"/>
      <c r="Y493" s="1488"/>
      <c r="Z493" s="1488"/>
    </row>
    <row r="494" spans="1:26" ht="14.5">
      <c r="A494" s="7" t="s">
        <v>690</v>
      </c>
      <c r="B494" s="7" t="s">
        <v>1037</v>
      </c>
      <c r="C494" s="7">
        <v>2</v>
      </c>
      <c r="D494" s="7" t="s">
        <v>2834</v>
      </c>
      <c r="E494" s="7" t="s">
        <v>2834</v>
      </c>
      <c r="F494" s="7" t="s">
        <v>405</v>
      </c>
      <c r="G494" s="7" t="s">
        <v>415</v>
      </c>
      <c r="H494" s="7">
        <v>4.7</v>
      </c>
      <c r="I494" s="7" t="s">
        <v>718</v>
      </c>
      <c r="R494"/>
      <c r="S494"/>
      <c r="T494"/>
      <c r="U494"/>
      <c r="W494" s="1488"/>
      <c r="X494" s="1488"/>
      <c r="Y494" s="1488"/>
      <c r="Z494" s="1488"/>
    </row>
    <row r="495" spans="1:26" ht="14.5">
      <c r="A495" s="7" t="s">
        <v>690</v>
      </c>
      <c r="B495" s="7" t="s">
        <v>1037</v>
      </c>
      <c r="C495" s="7">
        <v>2</v>
      </c>
      <c r="D495" s="7" t="s">
        <v>2834</v>
      </c>
      <c r="E495" s="7" t="s">
        <v>2834</v>
      </c>
      <c r="F495" s="7" t="s">
        <v>2876</v>
      </c>
      <c r="G495" s="7" t="s">
        <v>2877</v>
      </c>
      <c r="H495" s="7">
        <v>4.7</v>
      </c>
      <c r="I495" s="7" t="s">
        <v>718</v>
      </c>
      <c r="R495"/>
      <c r="S495"/>
      <c r="T495"/>
      <c r="U495"/>
      <c r="W495" s="1488"/>
      <c r="X495" s="1488"/>
      <c r="Y495" s="1488"/>
      <c r="Z495" s="1488"/>
    </row>
    <row r="496" spans="1:26" ht="14.5">
      <c r="A496" s="7" t="s">
        <v>690</v>
      </c>
      <c r="B496" s="7" t="s">
        <v>1037</v>
      </c>
      <c r="C496" s="7">
        <v>2</v>
      </c>
      <c r="D496" s="7" t="s">
        <v>2834</v>
      </c>
      <c r="E496" s="7" t="s">
        <v>2878</v>
      </c>
      <c r="F496" s="7" t="s">
        <v>280</v>
      </c>
      <c r="G496" s="7" t="s">
        <v>2879</v>
      </c>
      <c r="H496" s="7">
        <v>4.2</v>
      </c>
      <c r="I496" s="7" t="s">
        <v>718</v>
      </c>
      <c r="R496"/>
      <c r="S496"/>
      <c r="T496"/>
      <c r="U496"/>
      <c r="W496" s="1488"/>
      <c r="X496" s="1488"/>
      <c r="Y496" s="1488"/>
      <c r="Z496" s="1488"/>
    </row>
    <row r="497" spans="1:26" ht="14.5">
      <c r="A497" s="7" t="s">
        <v>690</v>
      </c>
      <c r="B497" s="7" t="s">
        <v>1037</v>
      </c>
      <c r="C497" s="7">
        <v>2</v>
      </c>
      <c r="D497" s="7" t="s">
        <v>2834</v>
      </c>
      <c r="E497" s="7" t="s">
        <v>2878</v>
      </c>
      <c r="F497" s="7" t="s">
        <v>280</v>
      </c>
      <c r="G497" s="7" t="s">
        <v>2880</v>
      </c>
      <c r="H497" s="7">
        <v>4.2</v>
      </c>
      <c r="I497" s="7" t="s">
        <v>718</v>
      </c>
      <c r="R497"/>
      <c r="S497"/>
      <c r="T497"/>
      <c r="U497"/>
      <c r="W497" s="1488"/>
      <c r="X497" s="1488"/>
      <c r="Y497" s="1488"/>
      <c r="Z497" s="1488"/>
    </row>
    <row r="498" spans="1:26" ht="14.5">
      <c r="A498" s="7" t="s">
        <v>690</v>
      </c>
      <c r="B498" s="7" t="s">
        <v>1037</v>
      </c>
      <c r="C498" s="7">
        <v>2</v>
      </c>
      <c r="D498" s="7" t="s">
        <v>2834</v>
      </c>
      <c r="E498" s="7" t="s">
        <v>2878</v>
      </c>
      <c r="F498" s="7" t="s">
        <v>280</v>
      </c>
      <c r="G498" s="7" t="s">
        <v>2881</v>
      </c>
      <c r="H498" s="7">
        <v>4.2</v>
      </c>
      <c r="I498" s="7" t="s">
        <v>718</v>
      </c>
      <c r="R498"/>
      <c r="S498"/>
      <c r="T498"/>
      <c r="U498"/>
      <c r="W498" s="1488"/>
      <c r="X498" s="1488"/>
      <c r="Y498" s="1488"/>
      <c r="Z498" s="1488"/>
    </row>
    <row r="499" spans="1:26" ht="14.5">
      <c r="A499" s="7" t="s">
        <v>690</v>
      </c>
      <c r="B499" s="7" t="s">
        <v>1037</v>
      </c>
      <c r="C499" s="7">
        <v>2</v>
      </c>
      <c r="D499" s="7" t="s">
        <v>2834</v>
      </c>
      <c r="E499" s="7" t="s">
        <v>2878</v>
      </c>
      <c r="F499" s="7" t="s">
        <v>280</v>
      </c>
      <c r="G499" s="7" t="s">
        <v>2882</v>
      </c>
      <c r="H499" s="7">
        <v>4.2</v>
      </c>
      <c r="I499" s="7" t="s">
        <v>718</v>
      </c>
      <c r="R499"/>
      <c r="S499"/>
      <c r="T499"/>
      <c r="U499"/>
      <c r="W499" s="1488"/>
      <c r="X499" s="1488"/>
      <c r="Y499" s="1488"/>
      <c r="Z499" s="1488"/>
    </row>
    <row r="500" spans="1:26" ht="14.5">
      <c r="A500" s="7" t="s">
        <v>690</v>
      </c>
      <c r="B500" s="7" t="s">
        <v>1037</v>
      </c>
      <c r="C500" s="7">
        <v>2</v>
      </c>
      <c r="D500" s="7" t="s">
        <v>2834</v>
      </c>
      <c r="E500" s="7" t="s">
        <v>2878</v>
      </c>
      <c r="F500" s="7" t="s">
        <v>280</v>
      </c>
      <c r="G500" s="7" t="s">
        <v>1300</v>
      </c>
      <c r="H500" s="7">
        <v>4.2</v>
      </c>
      <c r="I500" s="7" t="s">
        <v>718</v>
      </c>
      <c r="R500"/>
      <c r="S500"/>
      <c r="T500"/>
      <c r="U500"/>
      <c r="W500" s="1488"/>
      <c r="X500" s="1488"/>
      <c r="Y500" s="1488"/>
      <c r="Z500" s="1488"/>
    </row>
    <row r="501" spans="1:26" ht="14.5">
      <c r="A501" s="7" t="s">
        <v>690</v>
      </c>
      <c r="B501" s="7" t="s">
        <v>1037</v>
      </c>
      <c r="C501" s="7">
        <v>2</v>
      </c>
      <c r="D501" s="7" t="s">
        <v>2834</v>
      </c>
      <c r="E501" s="7" t="s">
        <v>2878</v>
      </c>
      <c r="F501" s="7" t="s">
        <v>2883</v>
      </c>
      <c r="G501" s="7" t="s">
        <v>2884</v>
      </c>
      <c r="H501" s="7">
        <v>4.2</v>
      </c>
      <c r="I501" s="7" t="s">
        <v>718</v>
      </c>
      <c r="R501"/>
      <c r="S501"/>
      <c r="T501"/>
      <c r="U501"/>
      <c r="W501" s="1488"/>
      <c r="X501" s="1488"/>
      <c r="Y501" s="1488"/>
      <c r="Z501" s="1488"/>
    </row>
    <row r="502" spans="1:26" ht="14.5">
      <c r="A502" s="7" t="s">
        <v>690</v>
      </c>
      <c r="B502" s="7" t="s">
        <v>1037</v>
      </c>
      <c r="C502" s="7">
        <v>2</v>
      </c>
      <c r="D502" s="7" t="s">
        <v>2834</v>
      </c>
      <c r="E502" s="7" t="s">
        <v>2878</v>
      </c>
      <c r="F502" s="7" t="s">
        <v>279</v>
      </c>
      <c r="G502" s="7" t="s">
        <v>2885</v>
      </c>
      <c r="H502" s="7">
        <v>4.2</v>
      </c>
      <c r="I502" s="7" t="s">
        <v>718</v>
      </c>
      <c r="R502"/>
      <c r="S502"/>
      <c r="T502"/>
      <c r="U502"/>
      <c r="W502" s="1488"/>
      <c r="X502" s="1488"/>
      <c r="Y502" s="1488"/>
      <c r="Z502" s="1488"/>
    </row>
    <row r="503" spans="1:26" ht="14.5">
      <c r="A503" s="7" t="s">
        <v>690</v>
      </c>
      <c r="B503" s="7" t="s">
        <v>1037</v>
      </c>
      <c r="C503" s="7">
        <v>2</v>
      </c>
      <c r="D503" s="7" t="s">
        <v>2834</v>
      </c>
      <c r="E503" s="7" t="s">
        <v>2878</v>
      </c>
      <c r="F503" s="7" t="s">
        <v>279</v>
      </c>
      <c r="G503" s="7" t="s">
        <v>2886</v>
      </c>
      <c r="H503" s="7">
        <v>4.2</v>
      </c>
      <c r="I503" s="7" t="s">
        <v>718</v>
      </c>
      <c r="R503"/>
      <c r="S503"/>
      <c r="T503"/>
      <c r="U503"/>
      <c r="W503" s="1488"/>
      <c r="X503" s="1488"/>
      <c r="Y503" s="1488"/>
      <c r="Z503" s="1488"/>
    </row>
    <row r="504" spans="1:26" ht="14.5">
      <c r="A504" s="7" t="s">
        <v>690</v>
      </c>
      <c r="B504" s="7" t="s">
        <v>1037</v>
      </c>
      <c r="C504" s="7">
        <v>2</v>
      </c>
      <c r="D504" s="7" t="s">
        <v>2834</v>
      </c>
      <c r="E504" s="7" t="s">
        <v>2878</v>
      </c>
      <c r="F504" s="7" t="s">
        <v>279</v>
      </c>
      <c r="G504" s="7" t="s">
        <v>2887</v>
      </c>
      <c r="H504" s="7">
        <v>4.2</v>
      </c>
      <c r="I504" s="7" t="s">
        <v>718</v>
      </c>
      <c r="R504"/>
      <c r="S504"/>
      <c r="T504"/>
      <c r="U504"/>
      <c r="W504" s="1488"/>
      <c r="X504" s="1488"/>
      <c r="Y504" s="1488"/>
      <c r="Z504" s="1488"/>
    </row>
    <row r="505" spans="1:26" ht="14.5">
      <c r="A505" s="7" t="s">
        <v>690</v>
      </c>
      <c r="B505" s="7" t="s">
        <v>1037</v>
      </c>
      <c r="C505" s="7">
        <v>2</v>
      </c>
      <c r="D505" s="7" t="s">
        <v>2834</v>
      </c>
      <c r="E505" s="7" t="s">
        <v>2878</v>
      </c>
      <c r="F505" s="7" t="s">
        <v>279</v>
      </c>
      <c r="G505" s="7" t="s">
        <v>2888</v>
      </c>
      <c r="H505" s="7">
        <v>4.2</v>
      </c>
      <c r="I505" s="7" t="s">
        <v>718</v>
      </c>
      <c r="R505"/>
      <c r="S505"/>
      <c r="T505"/>
      <c r="U505"/>
      <c r="W505" s="1488"/>
      <c r="X505" s="1488"/>
      <c r="Y505" s="1488"/>
      <c r="Z505" s="1488"/>
    </row>
    <row r="506" spans="1:26" ht="14.5">
      <c r="A506" s="7" t="s">
        <v>690</v>
      </c>
      <c r="B506" s="7" t="s">
        <v>1037</v>
      </c>
      <c r="C506" s="7">
        <v>2</v>
      </c>
      <c r="D506" s="7" t="s">
        <v>2834</v>
      </c>
      <c r="E506" s="7" t="s">
        <v>2878</v>
      </c>
      <c r="F506" s="7" t="s">
        <v>279</v>
      </c>
      <c r="G506" s="7" t="s">
        <v>2889</v>
      </c>
      <c r="H506" s="7">
        <v>4.2</v>
      </c>
      <c r="I506" s="7" t="s">
        <v>718</v>
      </c>
      <c r="R506"/>
      <c r="S506"/>
      <c r="T506"/>
      <c r="U506"/>
      <c r="W506" s="1488"/>
      <c r="X506" s="1488"/>
      <c r="Y506" s="1488"/>
      <c r="Z506" s="1488"/>
    </row>
    <row r="507" spans="1:26" ht="14.5">
      <c r="A507" s="7" t="s">
        <v>690</v>
      </c>
      <c r="B507" s="7" t="s">
        <v>1037</v>
      </c>
      <c r="C507" s="7">
        <v>2</v>
      </c>
      <c r="D507" s="7" t="s">
        <v>2834</v>
      </c>
      <c r="E507" s="7" t="s">
        <v>2878</v>
      </c>
      <c r="F507" s="7" t="s">
        <v>396</v>
      </c>
      <c r="G507" s="7" t="s">
        <v>2880</v>
      </c>
      <c r="H507" s="7">
        <v>4.2</v>
      </c>
      <c r="I507" s="7" t="s">
        <v>718</v>
      </c>
      <c r="R507"/>
      <c r="S507"/>
      <c r="T507"/>
      <c r="U507"/>
      <c r="W507" s="1488"/>
      <c r="X507" s="1488"/>
      <c r="Y507" s="1488"/>
      <c r="Z507" s="1488"/>
    </row>
    <row r="508" spans="1:26" ht="14.5">
      <c r="A508" s="7" t="s">
        <v>690</v>
      </c>
      <c r="B508" s="7" t="s">
        <v>1037</v>
      </c>
      <c r="C508" s="7">
        <v>2</v>
      </c>
      <c r="D508" s="7" t="s">
        <v>2834</v>
      </c>
      <c r="E508" s="7" t="s">
        <v>2878</v>
      </c>
      <c r="F508" s="7" t="s">
        <v>396</v>
      </c>
      <c r="G508" s="7" t="s">
        <v>2880</v>
      </c>
      <c r="H508" s="7">
        <v>4.2</v>
      </c>
      <c r="I508" s="7" t="s">
        <v>718</v>
      </c>
      <c r="R508"/>
      <c r="S508"/>
      <c r="T508"/>
      <c r="U508"/>
      <c r="W508" s="1488"/>
      <c r="X508" s="1488"/>
      <c r="Y508" s="1488"/>
      <c r="Z508" s="1488"/>
    </row>
    <row r="509" spans="1:26" ht="14.5">
      <c r="A509" s="7" t="s">
        <v>690</v>
      </c>
      <c r="B509" s="7" t="s">
        <v>1037</v>
      </c>
      <c r="C509" s="7">
        <v>2</v>
      </c>
      <c r="D509" s="7" t="s">
        <v>2834</v>
      </c>
      <c r="E509" s="7" t="s">
        <v>2878</v>
      </c>
      <c r="F509" s="7" t="s">
        <v>396</v>
      </c>
      <c r="G509" s="7" t="s">
        <v>2890</v>
      </c>
      <c r="H509" s="7">
        <v>4.2</v>
      </c>
      <c r="I509" s="7" t="s">
        <v>718</v>
      </c>
      <c r="R509"/>
      <c r="S509"/>
      <c r="T509"/>
      <c r="U509"/>
      <c r="W509" s="1488"/>
      <c r="X509" s="1488"/>
      <c r="Y509" s="1488"/>
      <c r="Z509" s="1488"/>
    </row>
    <row r="510" spans="1:26" ht="14.5">
      <c r="A510" s="7" t="s">
        <v>690</v>
      </c>
      <c r="B510" s="7" t="s">
        <v>1037</v>
      </c>
      <c r="C510" s="7">
        <v>2</v>
      </c>
      <c r="D510" s="7" t="s">
        <v>2834</v>
      </c>
      <c r="E510" s="7" t="s">
        <v>2878</v>
      </c>
      <c r="F510" s="7" t="s">
        <v>396</v>
      </c>
      <c r="G510" s="7" t="s">
        <v>2890</v>
      </c>
      <c r="H510" s="7">
        <v>4.2</v>
      </c>
      <c r="I510" s="7" t="s">
        <v>718</v>
      </c>
      <c r="R510"/>
      <c r="S510"/>
      <c r="T510"/>
      <c r="U510"/>
      <c r="W510" s="1488"/>
      <c r="X510" s="1488"/>
      <c r="Y510" s="1488"/>
      <c r="Z510" s="1488"/>
    </row>
    <row r="511" spans="1:26" ht="14.5">
      <c r="A511" s="7" t="s">
        <v>690</v>
      </c>
      <c r="B511" s="7" t="s">
        <v>1037</v>
      </c>
      <c r="C511" s="7">
        <v>2</v>
      </c>
      <c r="D511" s="7" t="s">
        <v>2834</v>
      </c>
      <c r="E511" s="7" t="s">
        <v>2878</v>
      </c>
      <c r="F511" s="7" t="s">
        <v>396</v>
      </c>
      <c r="G511" s="7" t="s">
        <v>2891</v>
      </c>
      <c r="H511" s="7">
        <v>4.2</v>
      </c>
      <c r="I511" s="7" t="s">
        <v>718</v>
      </c>
      <c r="R511"/>
      <c r="S511"/>
      <c r="T511"/>
      <c r="U511"/>
      <c r="W511" s="1488"/>
      <c r="X511" s="1488"/>
      <c r="Y511" s="1488"/>
      <c r="Z511" s="1488"/>
    </row>
    <row r="512" spans="1:26" ht="14.5">
      <c r="A512" s="7" t="s">
        <v>690</v>
      </c>
      <c r="B512" s="7" t="s">
        <v>1037</v>
      </c>
      <c r="C512" s="7">
        <v>2</v>
      </c>
      <c r="D512" s="7" t="s">
        <v>2834</v>
      </c>
      <c r="E512" s="7" t="s">
        <v>2878</v>
      </c>
      <c r="F512" s="7" t="s">
        <v>396</v>
      </c>
      <c r="G512" s="7" t="s">
        <v>2891</v>
      </c>
      <c r="H512" s="7">
        <v>4.2</v>
      </c>
      <c r="I512" s="7" t="s">
        <v>718</v>
      </c>
      <c r="R512"/>
      <c r="S512"/>
      <c r="T512"/>
      <c r="U512"/>
      <c r="W512" s="1488"/>
      <c r="X512" s="1488"/>
      <c r="Y512" s="1488"/>
      <c r="Z512" s="1488"/>
    </row>
    <row r="513" spans="1:26" ht="14.5">
      <c r="A513" s="7" t="s">
        <v>690</v>
      </c>
      <c r="B513" s="7" t="s">
        <v>1037</v>
      </c>
      <c r="C513" s="7">
        <v>2</v>
      </c>
      <c r="D513" s="7" t="s">
        <v>2834</v>
      </c>
      <c r="E513" s="7" t="s">
        <v>2878</v>
      </c>
      <c r="F513" s="7" t="s">
        <v>396</v>
      </c>
      <c r="G513" s="7" t="s">
        <v>2892</v>
      </c>
      <c r="H513" s="7">
        <v>4.2</v>
      </c>
      <c r="I513" s="7" t="s">
        <v>718</v>
      </c>
      <c r="R513"/>
      <c r="S513"/>
      <c r="T513"/>
      <c r="U513"/>
      <c r="W513" s="1488"/>
      <c r="X513" s="1488"/>
      <c r="Y513" s="1488"/>
      <c r="Z513" s="1488"/>
    </row>
    <row r="514" spans="1:26" ht="14.5">
      <c r="A514" s="7" t="s">
        <v>690</v>
      </c>
      <c r="B514" s="7" t="s">
        <v>1037</v>
      </c>
      <c r="C514" s="7">
        <v>2</v>
      </c>
      <c r="D514" s="7" t="s">
        <v>2834</v>
      </c>
      <c r="E514" s="7" t="s">
        <v>2878</v>
      </c>
      <c r="F514" s="7" t="s">
        <v>396</v>
      </c>
      <c r="G514" s="7" t="s">
        <v>2892</v>
      </c>
      <c r="H514" s="7">
        <v>4.2</v>
      </c>
      <c r="I514" s="7" t="s">
        <v>718</v>
      </c>
      <c r="R514"/>
      <c r="S514"/>
      <c r="T514"/>
      <c r="U514"/>
      <c r="W514" s="1488"/>
      <c r="X514" s="1488"/>
      <c r="Y514" s="1488"/>
      <c r="Z514" s="1488"/>
    </row>
    <row r="515" spans="1:26" ht="14.5">
      <c r="A515" s="7" t="s">
        <v>690</v>
      </c>
      <c r="B515" s="7" t="s">
        <v>1037</v>
      </c>
      <c r="C515" s="7">
        <v>2</v>
      </c>
      <c r="D515" s="7" t="s">
        <v>2834</v>
      </c>
      <c r="E515" s="7" t="s">
        <v>2878</v>
      </c>
      <c r="F515" s="7" t="s">
        <v>2893</v>
      </c>
      <c r="G515" s="7" t="s">
        <v>2700</v>
      </c>
      <c r="H515" s="7">
        <v>4.2</v>
      </c>
      <c r="I515" s="7" t="s">
        <v>718</v>
      </c>
      <c r="R515"/>
      <c r="S515"/>
      <c r="T515"/>
      <c r="U515"/>
      <c r="W515" s="1488"/>
      <c r="X515" s="1488"/>
      <c r="Y515" s="1488"/>
      <c r="Z515" s="1488"/>
    </row>
    <row r="516" spans="1:26" ht="14.5">
      <c r="A516" s="7" t="s">
        <v>690</v>
      </c>
      <c r="B516" s="7" t="s">
        <v>1037</v>
      </c>
      <c r="C516" s="7">
        <v>2</v>
      </c>
      <c r="D516" s="7" t="s">
        <v>2834</v>
      </c>
      <c r="E516" s="7" t="s">
        <v>2878</v>
      </c>
      <c r="F516" s="7" t="s">
        <v>402</v>
      </c>
      <c r="G516" s="7" t="s">
        <v>1044</v>
      </c>
      <c r="H516" s="7">
        <v>4.2</v>
      </c>
      <c r="I516" s="7" t="s">
        <v>718</v>
      </c>
      <c r="R516"/>
      <c r="S516"/>
      <c r="T516"/>
      <c r="U516"/>
      <c r="W516" s="1488"/>
      <c r="X516" s="1488"/>
      <c r="Y516" s="1488"/>
      <c r="Z516" s="1488"/>
    </row>
    <row r="517" spans="1:26" ht="14.5">
      <c r="A517" s="7" t="s">
        <v>690</v>
      </c>
      <c r="B517" s="7" t="s">
        <v>1037</v>
      </c>
      <c r="C517" s="7">
        <v>2</v>
      </c>
      <c r="D517" s="7" t="s">
        <v>2834</v>
      </c>
      <c r="E517" s="7" t="s">
        <v>2878</v>
      </c>
      <c r="F517" s="7" t="s">
        <v>402</v>
      </c>
      <c r="G517" s="7" t="s">
        <v>1044</v>
      </c>
      <c r="H517" s="7">
        <v>4.2</v>
      </c>
      <c r="I517" s="7" t="s">
        <v>718</v>
      </c>
      <c r="R517"/>
      <c r="S517"/>
      <c r="T517"/>
      <c r="U517"/>
      <c r="W517" s="1488"/>
      <c r="X517" s="1488"/>
      <c r="Y517" s="1488"/>
      <c r="Z517" s="1488"/>
    </row>
    <row r="518" spans="1:26" ht="14.5">
      <c r="A518" s="7" t="s">
        <v>690</v>
      </c>
      <c r="B518" s="7" t="s">
        <v>1037</v>
      </c>
      <c r="C518" s="7">
        <v>2</v>
      </c>
      <c r="D518" s="7" t="s">
        <v>2834</v>
      </c>
      <c r="E518" s="7" t="s">
        <v>2878</v>
      </c>
      <c r="F518" s="7" t="s">
        <v>403</v>
      </c>
      <c r="G518" s="7" t="s">
        <v>2894</v>
      </c>
      <c r="H518" s="7">
        <v>4.2</v>
      </c>
      <c r="I518" s="7" t="s">
        <v>718</v>
      </c>
      <c r="R518"/>
      <c r="S518"/>
      <c r="T518"/>
      <c r="U518"/>
      <c r="W518" s="1488"/>
      <c r="X518" s="1488"/>
      <c r="Y518" s="1488"/>
      <c r="Z518" s="1488"/>
    </row>
    <row r="519" spans="1:26" ht="14.5">
      <c r="A519" s="7" t="s">
        <v>690</v>
      </c>
      <c r="B519" s="7" t="s">
        <v>1037</v>
      </c>
      <c r="C519" s="7">
        <v>2</v>
      </c>
      <c r="D519" s="7" t="s">
        <v>2834</v>
      </c>
      <c r="E519" s="7" t="s">
        <v>2878</v>
      </c>
      <c r="F519" s="7" t="s">
        <v>403</v>
      </c>
      <c r="G519" s="7" t="s">
        <v>2881</v>
      </c>
      <c r="H519" s="7">
        <v>4.2</v>
      </c>
      <c r="I519" s="7" t="s">
        <v>718</v>
      </c>
      <c r="R519"/>
      <c r="S519"/>
      <c r="T519"/>
      <c r="U519"/>
      <c r="W519" s="1488"/>
      <c r="X519" s="1488"/>
      <c r="Y519" s="1488"/>
      <c r="Z519" s="1488"/>
    </row>
    <row r="520" spans="1:26" ht="14.5">
      <c r="A520" s="7" t="s">
        <v>690</v>
      </c>
      <c r="B520" s="7" t="s">
        <v>1037</v>
      </c>
      <c r="C520" s="7">
        <v>2</v>
      </c>
      <c r="D520" s="7" t="s">
        <v>2834</v>
      </c>
      <c r="E520" s="7" t="s">
        <v>2878</v>
      </c>
      <c r="F520" s="7" t="s">
        <v>403</v>
      </c>
      <c r="G520" s="7" t="s">
        <v>2881</v>
      </c>
      <c r="H520" s="7">
        <v>4.2</v>
      </c>
      <c r="I520" s="7" t="s">
        <v>718</v>
      </c>
      <c r="R520"/>
      <c r="S520"/>
      <c r="T520"/>
      <c r="U520"/>
      <c r="W520" s="1488"/>
      <c r="X520" s="1488"/>
      <c r="Y520" s="1488"/>
      <c r="Z520" s="1488"/>
    </row>
    <row r="521" spans="1:26" ht="14.5">
      <c r="A521" s="7" t="s">
        <v>690</v>
      </c>
      <c r="B521" s="7" t="s">
        <v>1037</v>
      </c>
      <c r="C521" s="7">
        <v>2</v>
      </c>
      <c r="D521" s="7" t="s">
        <v>2834</v>
      </c>
      <c r="E521" s="7" t="s">
        <v>2878</v>
      </c>
      <c r="F521" s="7" t="s">
        <v>1049</v>
      </c>
      <c r="G521" s="7" t="s">
        <v>2895</v>
      </c>
      <c r="H521" s="7">
        <v>4.2</v>
      </c>
      <c r="I521" s="7" t="s">
        <v>718</v>
      </c>
      <c r="R521"/>
      <c r="S521"/>
      <c r="T521"/>
      <c r="U521"/>
      <c r="W521" s="1488"/>
      <c r="X521" s="1488"/>
      <c r="Y521" s="1488"/>
      <c r="Z521" s="1488"/>
    </row>
    <row r="522" spans="1:26" ht="14.5">
      <c r="A522" s="7" t="s">
        <v>690</v>
      </c>
      <c r="B522" s="7" t="s">
        <v>1037</v>
      </c>
      <c r="C522" s="7">
        <v>2</v>
      </c>
      <c r="D522" s="7" t="s">
        <v>2834</v>
      </c>
      <c r="E522" s="7" t="s">
        <v>2878</v>
      </c>
      <c r="F522" s="7" t="s">
        <v>1049</v>
      </c>
      <c r="G522" s="7" t="s">
        <v>2895</v>
      </c>
      <c r="H522" s="7">
        <v>4.2</v>
      </c>
      <c r="I522" s="7" t="s">
        <v>718</v>
      </c>
      <c r="R522"/>
      <c r="S522"/>
      <c r="T522"/>
      <c r="U522"/>
      <c r="W522" s="1488"/>
      <c r="X522" s="1488"/>
      <c r="Y522" s="1488"/>
      <c r="Z522" s="1488"/>
    </row>
    <row r="523" spans="1:26" ht="14.5">
      <c r="A523" s="7" t="s">
        <v>690</v>
      </c>
      <c r="B523" s="7" t="s">
        <v>1037</v>
      </c>
      <c r="C523" s="7">
        <v>2</v>
      </c>
      <c r="D523" s="7" t="s">
        <v>2834</v>
      </c>
      <c r="E523" s="7" t="s">
        <v>2878</v>
      </c>
      <c r="F523" s="7" t="s">
        <v>2896</v>
      </c>
      <c r="G523" s="7" t="s">
        <v>2897</v>
      </c>
      <c r="H523" s="7">
        <v>4.2</v>
      </c>
      <c r="I523" s="7" t="s">
        <v>718</v>
      </c>
      <c r="R523"/>
      <c r="S523"/>
      <c r="T523"/>
      <c r="U523"/>
      <c r="W523" s="1488"/>
      <c r="X523" s="1488"/>
      <c r="Y523" s="1488"/>
      <c r="Z523" s="1488"/>
    </row>
    <row r="524" spans="1:26" ht="14.5">
      <c r="A524" s="7" t="s">
        <v>19</v>
      </c>
      <c r="B524" s="7" t="s">
        <v>3053</v>
      </c>
      <c r="C524" s="7">
        <v>1</v>
      </c>
      <c r="D524" s="7" t="s">
        <v>1227</v>
      </c>
      <c r="E524" s="7" t="s">
        <v>1227</v>
      </c>
      <c r="F524" s="7" t="s">
        <v>989</v>
      </c>
      <c r="G524" s="7" t="s">
        <v>990</v>
      </c>
      <c r="H524" s="7">
        <v>6.3</v>
      </c>
      <c r="I524" s="7" t="s">
        <v>719</v>
      </c>
      <c r="R524"/>
      <c r="S524"/>
      <c r="T524"/>
      <c r="U524"/>
      <c r="W524" s="1488"/>
      <c r="X524" s="1488"/>
      <c r="Y524" s="1488"/>
      <c r="Z524" s="1488"/>
    </row>
    <row r="525" spans="1:26" ht="14.5">
      <c r="A525" s="7" t="s">
        <v>19</v>
      </c>
      <c r="B525" s="7" t="s">
        <v>3053</v>
      </c>
      <c r="C525" s="7">
        <v>1</v>
      </c>
      <c r="D525" s="7" t="s">
        <v>1227</v>
      </c>
      <c r="E525" s="7" t="s">
        <v>1227</v>
      </c>
      <c r="F525" s="7" t="s">
        <v>989</v>
      </c>
      <c r="G525" s="7" t="s">
        <v>991</v>
      </c>
      <c r="H525" s="7">
        <v>6.3</v>
      </c>
      <c r="I525" s="7" t="s">
        <v>719</v>
      </c>
      <c r="R525"/>
      <c r="S525"/>
      <c r="T525"/>
      <c r="U525"/>
      <c r="W525" s="1488"/>
      <c r="X525" s="1488"/>
      <c r="Y525" s="1488"/>
      <c r="Z525" s="1488"/>
    </row>
    <row r="526" spans="1:26" ht="14.5">
      <c r="A526" s="7" t="s">
        <v>19</v>
      </c>
      <c r="B526" s="7" t="s">
        <v>3053</v>
      </c>
      <c r="C526" s="7">
        <v>1</v>
      </c>
      <c r="D526" s="7" t="s">
        <v>1227</v>
      </c>
      <c r="E526" s="7" t="s">
        <v>1227</v>
      </c>
      <c r="F526" s="7" t="s">
        <v>989</v>
      </c>
      <c r="G526" s="7" t="s">
        <v>2903</v>
      </c>
      <c r="H526" s="7">
        <v>6.3</v>
      </c>
      <c r="I526" s="7" t="s">
        <v>719</v>
      </c>
      <c r="R526"/>
      <c r="S526"/>
      <c r="T526"/>
      <c r="U526"/>
      <c r="W526" s="1488"/>
      <c r="X526" s="1488"/>
      <c r="Y526" s="1488"/>
      <c r="Z526" s="1488"/>
    </row>
    <row r="527" spans="1:26" ht="14.5">
      <c r="A527" s="7" t="s">
        <v>19</v>
      </c>
      <c r="B527" s="7" t="s">
        <v>3053</v>
      </c>
      <c r="C527" s="7">
        <v>1</v>
      </c>
      <c r="D527" s="7" t="s">
        <v>1227</v>
      </c>
      <c r="E527" s="7" t="s">
        <v>1227</v>
      </c>
      <c r="F527" s="7" t="s">
        <v>989</v>
      </c>
      <c r="G527" s="7" t="s">
        <v>2693</v>
      </c>
      <c r="H527" s="7">
        <v>6.3</v>
      </c>
      <c r="I527" s="7" t="s">
        <v>719</v>
      </c>
      <c r="R527"/>
      <c r="S527"/>
      <c r="T527"/>
      <c r="U527"/>
      <c r="W527" s="1488"/>
      <c r="X527" s="1488"/>
      <c r="Y527" s="1488"/>
      <c r="Z527" s="1488"/>
    </row>
    <row r="528" spans="1:26" ht="14.5">
      <c r="A528" s="7" t="s">
        <v>19</v>
      </c>
      <c r="B528" s="7" t="s">
        <v>3053</v>
      </c>
      <c r="C528" s="7">
        <v>1</v>
      </c>
      <c r="D528" s="7" t="s">
        <v>1227</v>
      </c>
      <c r="E528" s="7" t="s">
        <v>1227</v>
      </c>
      <c r="F528" s="7" t="s">
        <v>989</v>
      </c>
      <c r="G528" s="7" t="s">
        <v>206</v>
      </c>
      <c r="H528" s="7">
        <v>6.5</v>
      </c>
      <c r="I528" s="7" t="s">
        <v>719</v>
      </c>
      <c r="R528"/>
      <c r="S528"/>
      <c r="T528"/>
      <c r="U528"/>
      <c r="W528" s="1488"/>
      <c r="X528" s="1488"/>
      <c r="Y528" s="1488"/>
      <c r="Z528" s="1488"/>
    </row>
    <row r="529" spans="1:26" ht="14.5">
      <c r="A529" s="7" t="s">
        <v>19</v>
      </c>
      <c r="B529" s="7" t="s">
        <v>3053</v>
      </c>
      <c r="C529" s="7">
        <v>1</v>
      </c>
      <c r="D529" s="7" t="s">
        <v>1227</v>
      </c>
      <c r="E529" s="7" t="s">
        <v>1227</v>
      </c>
      <c r="F529" s="7" t="s">
        <v>2904</v>
      </c>
      <c r="G529" s="7" t="s">
        <v>2700</v>
      </c>
      <c r="H529" s="7">
        <v>5.6</v>
      </c>
      <c r="I529" s="7" t="s">
        <v>718</v>
      </c>
      <c r="R529"/>
      <c r="S529"/>
      <c r="T529"/>
      <c r="U529"/>
      <c r="W529" s="1488"/>
      <c r="X529" s="1488"/>
      <c r="Y529" s="1488"/>
      <c r="Z529" s="1488"/>
    </row>
    <row r="530" spans="1:26" ht="14.5">
      <c r="A530" s="7" t="s">
        <v>19</v>
      </c>
      <c r="B530" s="7" t="s">
        <v>3053</v>
      </c>
      <c r="C530" s="7">
        <v>1</v>
      </c>
      <c r="D530" s="7" t="s">
        <v>1227</v>
      </c>
      <c r="E530" s="7" t="s">
        <v>1227</v>
      </c>
      <c r="F530" s="7" t="s">
        <v>988</v>
      </c>
      <c r="G530" s="7" t="s">
        <v>2901</v>
      </c>
      <c r="H530" s="7">
        <v>5.6</v>
      </c>
      <c r="I530" s="7" t="s">
        <v>718</v>
      </c>
      <c r="R530"/>
      <c r="S530"/>
      <c r="T530"/>
      <c r="U530"/>
      <c r="W530" s="1488"/>
      <c r="X530" s="1488"/>
      <c r="Y530" s="1488"/>
      <c r="Z530" s="1488"/>
    </row>
    <row r="531" spans="1:26" ht="14.5">
      <c r="A531" s="7" t="s">
        <v>19</v>
      </c>
      <c r="B531" s="7" t="s">
        <v>3053</v>
      </c>
      <c r="C531" s="7">
        <v>1</v>
      </c>
      <c r="D531" s="7" t="s">
        <v>1227</v>
      </c>
      <c r="E531" s="7" t="s">
        <v>1227</v>
      </c>
      <c r="F531" s="7" t="s">
        <v>988</v>
      </c>
      <c r="G531" s="7" t="s">
        <v>2902</v>
      </c>
      <c r="H531" s="7">
        <v>5.6</v>
      </c>
      <c r="I531" s="7" t="s">
        <v>718</v>
      </c>
      <c r="R531"/>
      <c r="S531"/>
      <c r="T531"/>
      <c r="U531"/>
      <c r="W531" s="1488"/>
      <c r="X531" s="1488"/>
      <c r="Y531" s="1488"/>
      <c r="Z531" s="1488"/>
    </row>
    <row r="532" spans="1:26" ht="14.5">
      <c r="A532" s="7" t="s">
        <v>19</v>
      </c>
      <c r="B532" s="7" t="s">
        <v>3053</v>
      </c>
      <c r="C532" s="7">
        <v>1</v>
      </c>
      <c r="D532" s="7" t="s">
        <v>1227</v>
      </c>
      <c r="E532" s="7" t="s">
        <v>1227</v>
      </c>
      <c r="F532" s="7" t="s">
        <v>988</v>
      </c>
      <c r="G532" s="7" t="s">
        <v>2898</v>
      </c>
      <c r="H532" s="7">
        <v>5.6</v>
      </c>
      <c r="I532" s="7" t="s">
        <v>718</v>
      </c>
      <c r="R532"/>
      <c r="S532"/>
      <c r="T532"/>
      <c r="U532"/>
      <c r="W532" s="1488"/>
      <c r="X532" s="1488"/>
      <c r="Y532" s="1488"/>
      <c r="Z532" s="1488"/>
    </row>
    <row r="533" spans="1:26" ht="14.5">
      <c r="A533" s="7" t="s">
        <v>19</v>
      </c>
      <c r="B533" s="7" t="s">
        <v>3053</v>
      </c>
      <c r="C533" s="7">
        <v>1</v>
      </c>
      <c r="D533" s="7" t="s">
        <v>1227</v>
      </c>
      <c r="E533" s="7" t="s">
        <v>1227</v>
      </c>
      <c r="F533" s="7" t="s">
        <v>988</v>
      </c>
      <c r="G533" s="7" t="s">
        <v>2900</v>
      </c>
      <c r="H533" s="7">
        <v>5.6</v>
      </c>
      <c r="I533" s="7" t="s">
        <v>718</v>
      </c>
      <c r="R533"/>
      <c r="S533"/>
      <c r="T533"/>
      <c r="U533"/>
      <c r="W533" s="1488"/>
      <c r="X533" s="1488"/>
      <c r="Y533" s="1488"/>
      <c r="Z533" s="1488"/>
    </row>
    <row r="534" spans="1:26" ht="14.5">
      <c r="A534" s="7" t="s">
        <v>19</v>
      </c>
      <c r="B534" s="7" t="s">
        <v>3053</v>
      </c>
      <c r="C534" s="7">
        <v>1</v>
      </c>
      <c r="D534" s="7" t="s">
        <v>1227</v>
      </c>
      <c r="E534" s="7" t="s">
        <v>1227</v>
      </c>
      <c r="F534" s="7" t="s">
        <v>988</v>
      </c>
      <c r="G534" s="7" t="s">
        <v>2899</v>
      </c>
      <c r="H534" s="7">
        <v>5.6</v>
      </c>
      <c r="I534" s="7" t="s">
        <v>718</v>
      </c>
      <c r="R534"/>
      <c r="S534"/>
      <c r="T534"/>
      <c r="U534"/>
      <c r="W534" s="1488"/>
      <c r="X534" s="1488"/>
      <c r="Y534" s="1488"/>
      <c r="Z534" s="1488"/>
    </row>
    <row r="535" spans="1:26" ht="14.5">
      <c r="A535" s="7" t="s">
        <v>19</v>
      </c>
      <c r="B535" s="7" t="s">
        <v>3053</v>
      </c>
      <c r="C535" s="7">
        <v>2</v>
      </c>
      <c r="D535" s="7" t="s">
        <v>1030</v>
      </c>
      <c r="E535" s="7" t="s">
        <v>1030</v>
      </c>
      <c r="F535" s="7" t="s">
        <v>992</v>
      </c>
      <c r="G535" s="7" t="s">
        <v>993</v>
      </c>
      <c r="H535" s="7">
        <v>5.4</v>
      </c>
      <c r="I535" s="7" t="s">
        <v>718</v>
      </c>
      <c r="R535"/>
      <c r="S535"/>
      <c r="T535"/>
      <c r="U535"/>
      <c r="W535" s="1488"/>
      <c r="X535" s="1488"/>
      <c r="Y535" s="1488"/>
      <c r="Z535" s="1488"/>
    </row>
    <row r="536" spans="1:26" ht="14.5">
      <c r="A536" s="7" t="s">
        <v>19</v>
      </c>
      <c r="B536" s="7" t="s">
        <v>3053</v>
      </c>
      <c r="C536" s="7">
        <v>2</v>
      </c>
      <c r="D536" s="7" t="s">
        <v>1030</v>
      </c>
      <c r="E536" s="7" t="s">
        <v>1030</v>
      </c>
      <c r="F536" s="7" t="s">
        <v>992</v>
      </c>
      <c r="G536" s="7" t="s">
        <v>994</v>
      </c>
      <c r="H536" s="7">
        <v>5.4</v>
      </c>
      <c r="I536" s="7" t="s">
        <v>718</v>
      </c>
      <c r="R536"/>
      <c r="S536"/>
      <c r="T536"/>
      <c r="U536"/>
      <c r="W536" s="1488"/>
      <c r="X536" s="1488"/>
      <c r="Y536" s="1488"/>
      <c r="Z536" s="1488"/>
    </row>
    <row r="537" spans="1:26" ht="14.5">
      <c r="A537" s="7" t="s">
        <v>19</v>
      </c>
      <c r="B537" s="7" t="s">
        <v>3053</v>
      </c>
      <c r="C537" s="7">
        <v>2</v>
      </c>
      <c r="D537" s="7" t="s">
        <v>1030</v>
      </c>
      <c r="E537" s="7" t="s">
        <v>1030</v>
      </c>
      <c r="F537" s="7" t="s">
        <v>992</v>
      </c>
      <c r="G537" s="7" t="s">
        <v>2905</v>
      </c>
      <c r="H537" s="7">
        <v>5.4</v>
      </c>
      <c r="I537" s="7" t="s">
        <v>718</v>
      </c>
      <c r="R537"/>
      <c r="S537"/>
      <c r="T537"/>
      <c r="U537"/>
      <c r="W537" s="1488"/>
      <c r="X537" s="1488"/>
      <c r="Y537" s="1488"/>
      <c r="Z537" s="1488"/>
    </row>
    <row r="538" spans="1:26" ht="14.5">
      <c r="A538" s="7" t="s">
        <v>19</v>
      </c>
      <c r="B538" s="7" t="s">
        <v>3053</v>
      </c>
      <c r="C538" s="7">
        <v>2</v>
      </c>
      <c r="D538" s="7" t="s">
        <v>1030</v>
      </c>
      <c r="E538" s="7" t="s">
        <v>1030</v>
      </c>
      <c r="F538" s="7" t="s">
        <v>992</v>
      </c>
      <c r="G538" s="7" t="s">
        <v>995</v>
      </c>
      <c r="H538" s="7">
        <v>5.4</v>
      </c>
      <c r="I538" s="7" t="s">
        <v>718</v>
      </c>
      <c r="R538"/>
      <c r="S538"/>
      <c r="T538"/>
      <c r="U538"/>
      <c r="W538" s="1488"/>
      <c r="X538" s="1488"/>
      <c r="Y538" s="1488"/>
      <c r="Z538" s="1488"/>
    </row>
    <row r="539" spans="1:26" ht="14.5">
      <c r="A539" s="7" t="s">
        <v>19</v>
      </c>
      <c r="B539" s="7" t="s">
        <v>3053</v>
      </c>
      <c r="C539" s="7">
        <v>2</v>
      </c>
      <c r="D539" s="7" t="s">
        <v>1030</v>
      </c>
      <c r="E539" s="7" t="s">
        <v>1030</v>
      </c>
      <c r="F539" s="7" t="s">
        <v>992</v>
      </c>
      <c r="G539" s="7" t="s">
        <v>383</v>
      </c>
      <c r="H539" s="7">
        <v>5.4</v>
      </c>
      <c r="I539" s="7" t="s">
        <v>718</v>
      </c>
      <c r="R539"/>
      <c r="S539"/>
      <c r="T539"/>
      <c r="U539"/>
      <c r="W539" s="1488"/>
      <c r="X539" s="1488"/>
      <c r="Y539" s="1488"/>
      <c r="Z539" s="1488"/>
    </row>
    <row r="540" spans="1:26" ht="14.5">
      <c r="A540" s="7" t="s">
        <v>19</v>
      </c>
      <c r="B540" s="7" t="s">
        <v>3053</v>
      </c>
      <c r="C540" s="7">
        <v>2</v>
      </c>
      <c r="D540" s="7" t="s">
        <v>1030</v>
      </c>
      <c r="E540" s="7" t="s">
        <v>1030</v>
      </c>
      <c r="F540" s="7" t="s">
        <v>992</v>
      </c>
      <c r="G540" s="7" t="s">
        <v>384</v>
      </c>
      <c r="H540" s="7">
        <v>5.4</v>
      </c>
      <c r="I540" s="7" t="s">
        <v>718</v>
      </c>
      <c r="R540"/>
      <c r="S540"/>
      <c r="T540"/>
      <c r="U540"/>
      <c r="W540" s="1488"/>
      <c r="X540" s="1488"/>
      <c r="Y540" s="1488"/>
      <c r="Z540" s="1488"/>
    </row>
    <row r="541" spans="1:26" ht="14.5">
      <c r="A541" s="7" t="s">
        <v>19</v>
      </c>
      <c r="B541" s="7" t="s">
        <v>3053</v>
      </c>
      <c r="C541" s="7">
        <v>2</v>
      </c>
      <c r="D541" s="7" t="s">
        <v>1030</v>
      </c>
      <c r="E541" s="7" t="s">
        <v>1030</v>
      </c>
      <c r="F541" s="7" t="s">
        <v>992</v>
      </c>
      <c r="G541" s="7" t="s">
        <v>2700</v>
      </c>
      <c r="H541" s="7">
        <v>5.4</v>
      </c>
      <c r="I541" s="7" t="s">
        <v>718</v>
      </c>
      <c r="R541"/>
      <c r="S541"/>
      <c r="T541"/>
      <c r="U541"/>
      <c r="W541" s="1488"/>
      <c r="X541" s="1488"/>
      <c r="Y541" s="1488"/>
      <c r="Z541" s="1488"/>
    </row>
    <row r="542" spans="1:26" ht="14.5">
      <c r="A542" s="7" t="s">
        <v>19</v>
      </c>
      <c r="B542" s="7" t="s">
        <v>3053</v>
      </c>
      <c r="C542" s="7">
        <v>3</v>
      </c>
      <c r="D542" s="7" t="s">
        <v>458</v>
      </c>
      <c r="E542" s="7" t="s">
        <v>458</v>
      </c>
      <c r="F542" s="7" t="s">
        <v>2911</v>
      </c>
      <c r="G542" s="7" t="s">
        <v>191</v>
      </c>
      <c r="H542" s="7">
        <v>6.6</v>
      </c>
      <c r="I542" s="7" t="s">
        <v>719</v>
      </c>
      <c r="R542"/>
      <c r="S542"/>
      <c r="T542"/>
      <c r="U542"/>
      <c r="W542" s="1488"/>
      <c r="X542" s="1488"/>
      <c r="Y542" s="1488"/>
      <c r="Z542" s="1488"/>
    </row>
    <row r="543" spans="1:26" ht="14.5">
      <c r="A543" s="7" t="s">
        <v>19</v>
      </c>
      <c r="B543" s="7" t="s">
        <v>3053</v>
      </c>
      <c r="C543" s="7">
        <v>3</v>
      </c>
      <c r="D543" s="7" t="s">
        <v>458</v>
      </c>
      <c r="E543" s="7" t="s">
        <v>458</v>
      </c>
      <c r="F543" s="7" t="s">
        <v>2911</v>
      </c>
      <c r="G543" s="7" t="s">
        <v>2693</v>
      </c>
      <c r="H543" s="7">
        <v>6.6</v>
      </c>
      <c r="I543" s="7" t="s">
        <v>719</v>
      </c>
      <c r="R543"/>
      <c r="S543"/>
      <c r="T543"/>
      <c r="U543"/>
      <c r="W543" s="1488"/>
      <c r="X543" s="1488"/>
      <c r="Y543" s="1488"/>
      <c r="Z543" s="1488"/>
    </row>
    <row r="544" spans="1:26" ht="14.5">
      <c r="A544" s="7" t="s">
        <v>19</v>
      </c>
      <c r="B544" s="7" t="s">
        <v>3053</v>
      </c>
      <c r="C544" s="7">
        <v>3</v>
      </c>
      <c r="D544" s="7" t="s">
        <v>458</v>
      </c>
      <c r="E544" s="7" t="s">
        <v>458</v>
      </c>
      <c r="F544" s="7" t="s">
        <v>2911</v>
      </c>
      <c r="G544" s="7" t="s">
        <v>206</v>
      </c>
      <c r="H544" s="7">
        <v>6.5</v>
      </c>
      <c r="I544" s="7" t="s">
        <v>719</v>
      </c>
      <c r="R544"/>
      <c r="S544"/>
      <c r="T544"/>
      <c r="U544"/>
      <c r="W544" s="1488"/>
      <c r="X544" s="1488"/>
      <c r="Y544" s="1488"/>
      <c r="Z544" s="1488"/>
    </row>
    <row r="545" spans="1:26" ht="14.5">
      <c r="A545" s="7" t="s">
        <v>19</v>
      </c>
      <c r="B545" s="7" t="s">
        <v>3053</v>
      </c>
      <c r="C545" s="7">
        <v>3</v>
      </c>
      <c r="D545" s="7" t="s">
        <v>458</v>
      </c>
      <c r="E545" s="7" t="s">
        <v>458</v>
      </c>
      <c r="F545" s="7" t="s">
        <v>1004</v>
      </c>
      <c r="G545" s="7" t="s">
        <v>2700</v>
      </c>
      <c r="H545" s="7">
        <v>5.5</v>
      </c>
      <c r="I545" s="7" t="s">
        <v>718</v>
      </c>
      <c r="R545"/>
      <c r="S545"/>
      <c r="T545"/>
      <c r="U545"/>
      <c r="W545" s="1488"/>
      <c r="X545" s="1488"/>
      <c r="Y545" s="1488"/>
      <c r="Z545" s="1488"/>
    </row>
    <row r="546" spans="1:26" ht="14.5">
      <c r="A546" s="7" t="s">
        <v>19</v>
      </c>
      <c r="B546" s="7" t="s">
        <v>3053</v>
      </c>
      <c r="C546" s="7">
        <v>3</v>
      </c>
      <c r="D546" s="7" t="s">
        <v>458</v>
      </c>
      <c r="E546" s="7" t="s">
        <v>458</v>
      </c>
      <c r="F546" s="7" t="s">
        <v>3051</v>
      </c>
      <c r="G546" s="7" t="s">
        <v>191</v>
      </c>
      <c r="H546" s="7">
        <v>6.6</v>
      </c>
      <c r="I546" s="7" t="s">
        <v>719</v>
      </c>
      <c r="R546"/>
      <c r="S546"/>
      <c r="T546"/>
      <c r="U546"/>
      <c r="W546" s="1488"/>
      <c r="X546" s="1488"/>
      <c r="Y546" s="1488"/>
      <c r="Z546" s="1488"/>
    </row>
    <row r="547" spans="1:26">
      <c r="A547" s="7" t="s">
        <v>19</v>
      </c>
      <c r="B547" s="7" t="s">
        <v>3053</v>
      </c>
      <c r="C547" s="7">
        <v>3</v>
      </c>
      <c r="D547" s="7" t="s">
        <v>458</v>
      </c>
      <c r="E547" s="7" t="s">
        <v>458</v>
      </c>
      <c r="F547" s="7" t="s">
        <v>3051</v>
      </c>
      <c r="G547" s="7" t="s">
        <v>2693</v>
      </c>
      <c r="H547" s="7">
        <v>6.6</v>
      </c>
      <c r="I547" s="7" t="s">
        <v>719</v>
      </c>
      <c r="W547" s="1488"/>
      <c r="X547" s="1488"/>
      <c r="Y547" s="1488"/>
      <c r="Z547" s="1488"/>
    </row>
    <row r="548" spans="1:26">
      <c r="A548" s="7" t="s">
        <v>19</v>
      </c>
      <c r="B548" s="7" t="s">
        <v>3053</v>
      </c>
      <c r="C548" s="7">
        <v>3</v>
      </c>
      <c r="D548" s="7" t="s">
        <v>458</v>
      </c>
      <c r="E548" s="7" t="s">
        <v>458</v>
      </c>
      <c r="F548" s="7" t="s">
        <v>3051</v>
      </c>
      <c r="G548" s="7" t="s">
        <v>206</v>
      </c>
      <c r="H548" s="7">
        <v>6.5</v>
      </c>
      <c r="I548" s="7" t="s">
        <v>719</v>
      </c>
      <c r="W548" s="1488"/>
      <c r="X548" s="1488"/>
      <c r="Y548" s="1488"/>
      <c r="Z548" s="1488"/>
    </row>
    <row r="549" spans="1:26">
      <c r="A549" s="7" t="s">
        <v>19</v>
      </c>
      <c r="B549" s="7" t="s">
        <v>3053</v>
      </c>
      <c r="C549" s="7">
        <v>3</v>
      </c>
      <c r="D549" s="7" t="s">
        <v>458</v>
      </c>
      <c r="E549" s="7" t="s">
        <v>458</v>
      </c>
      <c r="F549" s="7" t="s">
        <v>382</v>
      </c>
      <c r="G549" s="7" t="s">
        <v>2906</v>
      </c>
      <c r="H549" s="7">
        <v>5.5</v>
      </c>
      <c r="I549" s="7" t="s">
        <v>718</v>
      </c>
      <c r="W549" s="1488"/>
      <c r="X549" s="1488"/>
      <c r="Y549" s="1488"/>
      <c r="Z549" s="1488"/>
    </row>
    <row r="550" spans="1:26">
      <c r="A550" s="7" t="s">
        <v>19</v>
      </c>
      <c r="B550" s="7" t="s">
        <v>3053</v>
      </c>
      <c r="C550" s="7">
        <v>3</v>
      </c>
      <c r="D550" s="7" t="s">
        <v>458</v>
      </c>
      <c r="E550" s="7" t="s">
        <v>458</v>
      </c>
      <c r="F550" s="7" t="s">
        <v>382</v>
      </c>
      <c r="G550" s="7" t="s">
        <v>1006</v>
      </c>
      <c r="H550" s="7">
        <v>5.5</v>
      </c>
      <c r="I550" s="7" t="s">
        <v>718</v>
      </c>
      <c r="W550" s="1488"/>
      <c r="X550" s="1488"/>
      <c r="Y550" s="1488"/>
      <c r="Z550" s="1488"/>
    </row>
    <row r="551" spans="1:26">
      <c r="A551" s="7" t="s">
        <v>19</v>
      </c>
      <c r="B551" s="7" t="s">
        <v>3053</v>
      </c>
      <c r="C551" s="7">
        <v>3</v>
      </c>
      <c r="D551" s="7" t="s">
        <v>458</v>
      </c>
      <c r="E551" s="7" t="s">
        <v>458</v>
      </c>
      <c r="F551" s="7" t="s">
        <v>382</v>
      </c>
      <c r="G551" s="7" t="s">
        <v>1007</v>
      </c>
      <c r="H551" s="7">
        <v>5.5</v>
      </c>
      <c r="I551" s="7" t="s">
        <v>718</v>
      </c>
      <c r="W551" s="1488"/>
      <c r="X551" s="1488"/>
      <c r="Y551" s="1488"/>
      <c r="Z551" s="1488"/>
    </row>
    <row r="552" spans="1:26">
      <c r="A552" s="7" t="s">
        <v>19</v>
      </c>
      <c r="B552" s="7" t="s">
        <v>3053</v>
      </c>
      <c r="C552" s="7">
        <v>3</v>
      </c>
      <c r="D552" s="7" t="s">
        <v>458</v>
      </c>
      <c r="E552" s="7" t="s">
        <v>458</v>
      </c>
      <c r="F552" s="7" t="s">
        <v>382</v>
      </c>
      <c r="G552" s="7" t="s">
        <v>2910</v>
      </c>
      <c r="H552" s="7">
        <v>5.5</v>
      </c>
      <c r="I552" s="7" t="s">
        <v>718</v>
      </c>
      <c r="W552" s="1488"/>
      <c r="X552" s="1488"/>
      <c r="Y552" s="1488"/>
      <c r="Z552" s="1488"/>
    </row>
    <row r="553" spans="1:26">
      <c r="A553" s="7" t="s">
        <v>19</v>
      </c>
      <c r="B553" s="7" t="s">
        <v>3053</v>
      </c>
      <c r="C553" s="7">
        <v>3</v>
      </c>
      <c r="D553" s="7" t="s">
        <v>458</v>
      </c>
      <c r="E553" s="7" t="s">
        <v>458</v>
      </c>
      <c r="F553" s="7" t="s">
        <v>382</v>
      </c>
      <c r="G553" s="7" t="s">
        <v>2909</v>
      </c>
      <c r="H553" s="7">
        <v>5.5</v>
      </c>
      <c r="I553" s="7" t="s">
        <v>718</v>
      </c>
      <c r="W553" s="1488"/>
      <c r="X553" s="1488"/>
      <c r="Y553" s="1488"/>
      <c r="Z553" s="1488"/>
    </row>
    <row r="554" spans="1:26">
      <c r="A554" s="7" t="s">
        <v>19</v>
      </c>
      <c r="B554" s="7" t="s">
        <v>3053</v>
      </c>
      <c r="C554" s="7">
        <v>3</v>
      </c>
      <c r="D554" s="7" t="s">
        <v>458</v>
      </c>
      <c r="E554" s="7" t="s">
        <v>458</v>
      </c>
      <c r="F554" s="7" t="s">
        <v>382</v>
      </c>
      <c r="G554" s="7" t="s">
        <v>1008</v>
      </c>
      <c r="H554" s="7">
        <v>5.5</v>
      </c>
      <c r="I554" s="7" t="s">
        <v>718</v>
      </c>
      <c r="W554" s="1488"/>
      <c r="X554" s="1488"/>
      <c r="Y554" s="1488"/>
      <c r="Z554" s="1488"/>
    </row>
    <row r="555" spans="1:26">
      <c r="A555" s="7" t="s">
        <v>19</v>
      </c>
      <c r="B555" s="7" t="s">
        <v>3053</v>
      </c>
      <c r="C555" s="7">
        <v>3</v>
      </c>
      <c r="D555" s="7" t="s">
        <v>458</v>
      </c>
      <c r="E555" s="7" t="s">
        <v>458</v>
      </c>
      <c r="F555" s="7" t="s">
        <v>382</v>
      </c>
      <c r="G555" s="7" t="s">
        <v>2907</v>
      </c>
      <c r="H555" s="7">
        <v>5.5</v>
      </c>
      <c r="I555" s="7" t="s">
        <v>718</v>
      </c>
      <c r="W555" s="1488"/>
      <c r="X555" s="1488"/>
      <c r="Y555" s="1488"/>
      <c r="Z555" s="1488"/>
    </row>
    <row r="556" spans="1:26">
      <c r="A556" s="7" t="s">
        <v>19</v>
      </c>
      <c r="B556" s="7" t="s">
        <v>3053</v>
      </c>
      <c r="C556" s="7">
        <v>3</v>
      </c>
      <c r="D556" s="7" t="s">
        <v>458</v>
      </c>
      <c r="E556" s="7" t="s">
        <v>458</v>
      </c>
      <c r="F556" s="7" t="s">
        <v>382</v>
      </c>
      <c r="G556" s="7" t="s">
        <v>1009</v>
      </c>
      <c r="H556" s="7">
        <v>5.5</v>
      </c>
      <c r="I556" s="7" t="s">
        <v>718</v>
      </c>
      <c r="W556" s="1488"/>
      <c r="X556" s="1488"/>
      <c r="Y556" s="1488"/>
      <c r="Z556" s="1488"/>
    </row>
    <row r="557" spans="1:26">
      <c r="A557" s="7" t="s">
        <v>19</v>
      </c>
      <c r="B557" s="7" t="s">
        <v>3053</v>
      </c>
      <c r="C557" s="7">
        <v>3</v>
      </c>
      <c r="D557" s="7" t="s">
        <v>458</v>
      </c>
      <c r="E557" s="7" t="s">
        <v>458</v>
      </c>
      <c r="F557" s="7" t="s">
        <v>382</v>
      </c>
      <c r="G557" s="7" t="s">
        <v>1010</v>
      </c>
      <c r="H557" s="7">
        <v>5.5</v>
      </c>
      <c r="I557" s="7" t="s">
        <v>718</v>
      </c>
      <c r="W557" s="1488"/>
      <c r="X557" s="1488"/>
      <c r="Y557" s="1488"/>
      <c r="Z557" s="1488"/>
    </row>
    <row r="558" spans="1:26">
      <c r="A558" s="7" t="s">
        <v>19</v>
      </c>
      <c r="B558" s="7" t="s">
        <v>3053</v>
      </c>
      <c r="C558" s="7">
        <v>3</v>
      </c>
      <c r="D558" s="7" t="s">
        <v>458</v>
      </c>
      <c r="E558" s="7" t="s">
        <v>458</v>
      </c>
      <c r="F558" s="7" t="s">
        <v>382</v>
      </c>
      <c r="G558" s="7" t="s">
        <v>2700</v>
      </c>
      <c r="H558" s="7">
        <v>5.5</v>
      </c>
      <c r="I558" s="7" t="s">
        <v>718</v>
      </c>
      <c r="W558" s="1488"/>
      <c r="X558" s="1488"/>
      <c r="Y558" s="1488"/>
      <c r="Z558" s="1488"/>
    </row>
    <row r="559" spans="1:26">
      <c r="A559" s="7" t="s">
        <v>19</v>
      </c>
      <c r="B559" s="7" t="s">
        <v>3053</v>
      </c>
      <c r="C559" s="7">
        <v>3</v>
      </c>
      <c r="D559" s="7" t="s">
        <v>458</v>
      </c>
      <c r="E559" s="7" t="s">
        <v>458</v>
      </c>
      <c r="F559" s="7" t="s">
        <v>382</v>
      </c>
      <c r="G559" s="7" t="s">
        <v>1011</v>
      </c>
      <c r="H559" s="7">
        <v>5.5</v>
      </c>
      <c r="I559" s="7" t="s">
        <v>718</v>
      </c>
      <c r="W559" s="1488"/>
      <c r="X559" s="1488"/>
      <c r="Y559" s="1488"/>
      <c r="Z559" s="1488"/>
    </row>
    <row r="560" spans="1:26">
      <c r="A560" s="7" t="s">
        <v>19</v>
      </c>
      <c r="B560" s="7" t="s">
        <v>3053</v>
      </c>
      <c r="C560" s="7">
        <v>3</v>
      </c>
      <c r="D560" s="7" t="s">
        <v>458</v>
      </c>
      <c r="E560" s="7" t="s">
        <v>458</v>
      </c>
      <c r="F560" s="7" t="s">
        <v>382</v>
      </c>
      <c r="G560" s="7" t="s">
        <v>2908</v>
      </c>
      <c r="H560" s="7">
        <v>5.5</v>
      </c>
      <c r="I560" s="7" t="s">
        <v>718</v>
      </c>
      <c r="W560" s="1488"/>
      <c r="X560" s="1488"/>
      <c r="Y560" s="1488"/>
      <c r="Z560" s="1488"/>
    </row>
    <row r="561" spans="1:26">
      <c r="A561" s="7" t="s">
        <v>19</v>
      </c>
      <c r="B561" s="7" t="s">
        <v>3053</v>
      </c>
      <c r="C561" s="7">
        <v>3</v>
      </c>
      <c r="D561" s="7" t="s">
        <v>458</v>
      </c>
      <c r="E561" s="7" t="s">
        <v>458</v>
      </c>
      <c r="F561" s="7" t="s">
        <v>382</v>
      </c>
      <c r="G561" s="7" t="s">
        <v>1012</v>
      </c>
      <c r="H561" s="7">
        <v>5.5</v>
      </c>
      <c r="I561" s="7" t="s">
        <v>718</v>
      </c>
      <c r="W561" s="1488"/>
      <c r="X561" s="1488"/>
      <c r="Y561" s="1488"/>
      <c r="Z561" s="1488"/>
    </row>
    <row r="562" spans="1:26">
      <c r="A562" s="7" t="s">
        <v>19</v>
      </c>
      <c r="B562" s="7" t="s">
        <v>3053</v>
      </c>
      <c r="C562" s="7">
        <v>3</v>
      </c>
      <c r="D562" s="7" t="s">
        <v>456</v>
      </c>
      <c r="E562" s="7" t="s">
        <v>1031</v>
      </c>
      <c r="F562" s="7" t="s">
        <v>456</v>
      </c>
      <c r="G562" s="7" t="s">
        <v>706</v>
      </c>
      <c r="H562" s="7">
        <v>5.0999999999999996</v>
      </c>
      <c r="I562" s="7" t="s">
        <v>2705</v>
      </c>
      <c r="W562" s="1488"/>
      <c r="X562" s="1488"/>
      <c r="Y562" s="1488"/>
      <c r="Z562" s="1488"/>
    </row>
    <row r="563" spans="1:26">
      <c r="A563" s="7" t="s">
        <v>19</v>
      </c>
      <c r="B563" s="7" t="s">
        <v>3053</v>
      </c>
      <c r="C563" s="7">
        <v>3</v>
      </c>
      <c r="D563" s="7" t="s">
        <v>456</v>
      </c>
      <c r="E563" s="7" t="s">
        <v>1031</v>
      </c>
      <c r="F563" s="7" t="s">
        <v>456</v>
      </c>
      <c r="G563" s="7" t="s">
        <v>996</v>
      </c>
      <c r="H563" s="7">
        <v>5.0999999999999996</v>
      </c>
      <c r="I563" s="7" t="s">
        <v>2705</v>
      </c>
      <c r="W563" s="1488"/>
      <c r="X563" s="1488"/>
      <c r="Y563" s="1488"/>
      <c r="Z563" s="1488"/>
    </row>
    <row r="564" spans="1:26">
      <c r="A564" s="7" t="s">
        <v>19</v>
      </c>
      <c r="B564" s="7" t="s">
        <v>3053</v>
      </c>
      <c r="C564" s="7">
        <v>3</v>
      </c>
      <c r="D564" s="7" t="s">
        <v>456</v>
      </c>
      <c r="E564" s="7" t="s">
        <v>1031</v>
      </c>
      <c r="F564" s="7" t="s">
        <v>456</v>
      </c>
      <c r="G564" s="7" t="s">
        <v>707</v>
      </c>
      <c r="H564" s="7">
        <v>5.0999999999999996</v>
      </c>
      <c r="I564" s="7" t="s">
        <v>2705</v>
      </c>
      <c r="W564" s="1488"/>
      <c r="X564" s="1488"/>
      <c r="Y564" s="1488"/>
      <c r="Z564" s="1488"/>
    </row>
    <row r="565" spans="1:26">
      <c r="A565" s="7" t="s">
        <v>19</v>
      </c>
      <c r="B565" s="7" t="s">
        <v>3053</v>
      </c>
      <c r="C565" s="7">
        <v>3</v>
      </c>
      <c r="D565" s="7" t="s">
        <v>456</v>
      </c>
      <c r="E565" s="7" t="s">
        <v>1031</v>
      </c>
      <c r="F565" s="7" t="s">
        <v>456</v>
      </c>
      <c r="G565" s="7" t="s">
        <v>997</v>
      </c>
      <c r="H565" s="7">
        <v>5.0999999999999996</v>
      </c>
      <c r="I565" s="7" t="s">
        <v>2705</v>
      </c>
      <c r="W565" s="1488"/>
      <c r="X565" s="1488"/>
      <c r="Y565" s="1488"/>
      <c r="Z565" s="1488"/>
    </row>
    <row r="566" spans="1:26">
      <c r="A566" s="7" t="s">
        <v>19</v>
      </c>
      <c r="B566" s="7" t="s">
        <v>3053</v>
      </c>
      <c r="C566" s="7">
        <v>3</v>
      </c>
      <c r="D566" s="7" t="s">
        <v>456</v>
      </c>
      <c r="E566" s="7" t="s">
        <v>1031</v>
      </c>
      <c r="F566" s="7" t="s">
        <v>456</v>
      </c>
      <c r="G566" s="7" t="s">
        <v>708</v>
      </c>
      <c r="H566" s="7">
        <v>5.0999999999999996</v>
      </c>
      <c r="I566" s="7" t="s">
        <v>2705</v>
      </c>
      <c r="W566" s="1488"/>
      <c r="X566" s="1488"/>
      <c r="Y566" s="1488"/>
      <c r="Z566" s="1488"/>
    </row>
    <row r="567" spans="1:26">
      <c r="A567" s="7" t="s">
        <v>19</v>
      </c>
      <c r="B567" s="7" t="s">
        <v>3053</v>
      </c>
      <c r="C567" s="7">
        <v>3</v>
      </c>
      <c r="D567" s="7" t="s">
        <v>456</v>
      </c>
      <c r="E567" s="7" t="s">
        <v>1031</v>
      </c>
      <c r="F567" s="7" t="s">
        <v>456</v>
      </c>
      <c r="G567" s="7" t="s">
        <v>998</v>
      </c>
      <c r="H567" s="7">
        <v>5.0999999999999996</v>
      </c>
      <c r="I567" s="7" t="s">
        <v>2705</v>
      </c>
      <c r="W567" s="1488"/>
      <c r="X567" s="1488"/>
      <c r="Y567" s="1488"/>
      <c r="Z567" s="1488"/>
    </row>
    <row r="568" spans="1:26">
      <c r="A568" s="7" t="s">
        <v>19</v>
      </c>
      <c r="B568" s="7" t="s">
        <v>3053</v>
      </c>
      <c r="C568" s="7">
        <v>3</v>
      </c>
      <c r="D568" s="7" t="s">
        <v>456</v>
      </c>
      <c r="E568" s="7" t="s">
        <v>1031</v>
      </c>
      <c r="F568" s="7" t="s">
        <v>456</v>
      </c>
      <c r="G568" s="7" t="s">
        <v>709</v>
      </c>
      <c r="H568" s="7">
        <v>5.0999999999999996</v>
      </c>
      <c r="I568" s="7" t="s">
        <v>2705</v>
      </c>
      <c r="W568" s="1488"/>
      <c r="X568" s="1488"/>
      <c r="Y568" s="1488"/>
      <c r="Z568" s="1488"/>
    </row>
    <row r="569" spans="1:26">
      <c r="A569" s="7" t="s">
        <v>19</v>
      </c>
      <c r="B569" s="7" t="s">
        <v>3053</v>
      </c>
      <c r="C569" s="7">
        <v>3</v>
      </c>
      <c r="D569" s="7" t="s">
        <v>456</v>
      </c>
      <c r="E569" s="7" t="s">
        <v>1031</v>
      </c>
      <c r="F569" s="7" t="s">
        <v>456</v>
      </c>
      <c r="G569" s="7" t="s">
        <v>999</v>
      </c>
      <c r="H569" s="7">
        <v>5.0999999999999996</v>
      </c>
      <c r="I569" s="7" t="s">
        <v>2705</v>
      </c>
      <c r="W569" s="1488"/>
      <c r="X569" s="1488"/>
      <c r="Y569" s="1488"/>
      <c r="Z569" s="1488"/>
    </row>
    <row r="570" spans="1:26">
      <c r="A570" s="7" t="s">
        <v>19</v>
      </c>
      <c r="B570" s="7" t="s">
        <v>3053</v>
      </c>
      <c r="C570" s="7">
        <v>3</v>
      </c>
      <c r="D570" s="7" t="s">
        <v>456</v>
      </c>
      <c r="E570" s="7" t="s">
        <v>1031</v>
      </c>
      <c r="F570" s="7" t="s">
        <v>456</v>
      </c>
      <c r="G570" s="7" t="s">
        <v>710</v>
      </c>
      <c r="H570" s="7">
        <v>5.0999999999999996</v>
      </c>
      <c r="I570" s="7" t="s">
        <v>2705</v>
      </c>
      <c r="W570" s="1488"/>
      <c r="X570" s="1488"/>
      <c r="Y570" s="1488"/>
      <c r="Z570" s="1488"/>
    </row>
    <row r="571" spans="1:26">
      <c r="A571" s="7" t="s">
        <v>19</v>
      </c>
      <c r="B571" s="7" t="s">
        <v>3053</v>
      </c>
      <c r="C571" s="7">
        <v>3</v>
      </c>
      <c r="D571" s="7" t="s">
        <v>456</v>
      </c>
      <c r="E571" s="7" t="s">
        <v>1031</v>
      </c>
      <c r="F571" s="7" t="s">
        <v>456</v>
      </c>
      <c r="G571" s="7" t="s">
        <v>1000</v>
      </c>
      <c r="H571" s="7">
        <v>5.0999999999999996</v>
      </c>
      <c r="I571" s="7" t="s">
        <v>2705</v>
      </c>
      <c r="W571" s="1488"/>
      <c r="X571" s="1488"/>
      <c r="Y571" s="1488"/>
      <c r="Z571" s="1488"/>
    </row>
    <row r="572" spans="1:26">
      <c r="A572" s="7" t="s">
        <v>19</v>
      </c>
      <c r="B572" s="7" t="s">
        <v>3053</v>
      </c>
      <c r="C572" s="7">
        <v>3</v>
      </c>
      <c r="D572" s="7" t="s">
        <v>456</v>
      </c>
      <c r="E572" s="7" t="s">
        <v>1031</v>
      </c>
      <c r="F572" s="7" t="s">
        <v>456</v>
      </c>
      <c r="G572" s="7" t="s">
        <v>711</v>
      </c>
      <c r="H572" s="7">
        <v>5.0999999999999996</v>
      </c>
      <c r="I572" s="7" t="s">
        <v>2705</v>
      </c>
      <c r="W572" s="1488"/>
      <c r="X572" s="1488"/>
      <c r="Y572" s="1488"/>
      <c r="Z572" s="1488"/>
    </row>
    <row r="573" spans="1:26">
      <c r="A573" s="7" t="s">
        <v>19</v>
      </c>
      <c r="B573" s="7" t="s">
        <v>3053</v>
      </c>
      <c r="C573" s="7">
        <v>3</v>
      </c>
      <c r="D573" s="7" t="s">
        <v>456</v>
      </c>
      <c r="E573" s="7" t="s">
        <v>1031</v>
      </c>
      <c r="F573" s="7" t="s">
        <v>456</v>
      </c>
      <c r="G573" s="7" t="s">
        <v>1001</v>
      </c>
      <c r="H573" s="7">
        <v>5.0999999999999996</v>
      </c>
      <c r="I573" s="7" t="s">
        <v>2705</v>
      </c>
      <c r="W573" s="1488"/>
      <c r="X573" s="1488"/>
      <c r="Y573" s="1488"/>
      <c r="Z573" s="1488"/>
    </row>
    <row r="574" spans="1:26">
      <c r="A574" s="7" t="s">
        <v>19</v>
      </c>
      <c r="B574" s="7" t="s">
        <v>3053</v>
      </c>
      <c r="C574" s="7">
        <v>3</v>
      </c>
      <c r="D574" s="7" t="s">
        <v>456</v>
      </c>
      <c r="E574" s="7" t="s">
        <v>1031</v>
      </c>
      <c r="F574" s="7" t="s">
        <v>456</v>
      </c>
      <c r="G574" s="7" t="s">
        <v>712</v>
      </c>
      <c r="H574" s="7">
        <v>5.0999999999999996</v>
      </c>
      <c r="I574" s="7" t="s">
        <v>2705</v>
      </c>
      <c r="W574" s="1488"/>
      <c r="X574" s="1488"/>
      <c r="Y574" s="1488"/>
      <c r="Z574" s="1488"/>
    </row>
    <row r="575" spans="1:26">
      <c r="A575" s="7" t="s">
        <v>19</v>
      </c>
      <c r="B575" s="7" t="s">
        <v>3053</v>
      </c>
      <c r="C575" s="7">
        <v>3</v>
      </c>
      <c r="D575" s="7" t="s">
        <v>456</v>
      </c>
      <c r="E575" s="7" t="s">
        <v>1031</v>
      </c>
      <c r="F575" s="7" t="s">
        <v>456</v>
      </c>
      <c r="G575" s="7" t="s">
        <v>1002</v>
      </c>
      <c r="H575" s="7">
        <v>5.0999999999999996</v>
      </c>
      <c r="I575" s="7" t="s">
        <v>2705</v>
      </c>
      <c r="W575" s="1488"/>
      <c r="X575" s="1488"/>
      <c r="Y575" s="1488"/>
      <c r="Z575" s="1488"/>
    </row>
    <row r="576" spans="1:26">
      <c r="A576" s="7" t="s">
        <v>19</v>
      </c>
      <c r="B576" s="7" t="s">
        <v>3053</v>
      </c>
      <c r="C576" s="7">
        <v>3</v>
      </c>
      <c r="D576" s="7" t="s">
        <v>456</v>
      </c>
      <c r="E576" s="7" t="s">
        <v>1031</v>
      </c>
      <c r="F576" s="7" t="s">
        <v>456</v>
      </c>
      <c r="G576" s="7" t="s">
        <v>713</v>
      </c>
      <c r="H576" s="7">
        <v>5.0999999999999996</v>
      </c>
      <c r="I576" s="7" t="s">
        <v>2705</v>
      </c>
      <c r="W576" s="1488"/>
      <c r="X576" s="1488"/>
      <c r="Y576" s="1488"/>
      <c r="Z576" s="1488"/>
    </row>
    <row r="577" spans="1:26">
      <c r="A577" s="7" t="s">
        <v>19</v>
      </c>
      <c r="B577" s="7" t="s">
        <v>3053</v>
      </c>
      <c r="C577" s="7">
        <v>3</v>
      </c>
      <c r="D577" s="7" t="s">
        <v>456</v>
      </c>
      <c r="E577" s="7" t="s">
        <v>1031</v>
      </c>
      <c r="F577" s="7" t="s">
        <v>456</v>
      </c>
      <c r="G577" s="7" t="s">
        <v>1003</v>
      </c>
      <c r="H577" s="7">
        <v>5.0999999999999996</v>
      </c>
      <c r="I577" s="7" t="s">
        <v>2705</v>
      </c>
      <c r="W577" s="1488"/>
      <c r="X577" s="1488"/>
      <c r="Y577" s="1488"/>
      <c r="Z577" s="1488"/>
    </row>
    <row r="578" spans="1:26">
      <c r="A578" s="7" t="s">
        <v>19</v>
      </c>
      <c r="B578" s="7" t="s">
        <v>3053</v>
      </c>
      <c r="C578" s="7">
        <v>3</v>
      </c>
      <c r="D578" s="7" t="s">
        <v>456</v>
      </c>
      <c r="E578" s="7" t="s">
        <v>1031</v>
      </c>
      <c r="F578" s="7" t="s">
        <v>456</v>
      </c>
      <c r="G578" s="7" t="s">
        <v>2700</v>
      </c>
      <c r="H578" s="7">
        <v>5.0999999999999996</v>
      </c>
      <c r="I578" s="7" t="s">
        <v>2705</v>
      </c>
      <c r="W578" s="1488"/>
      <c r="X578" s="1488"/>
      <c r="Y578" s="1488"/>
      <c r="Z578" s="1488"/>
    </row>
    <row r="579" spans="1:26">
      <c r="A579" s="7" t="s">
        <v>19</v>
      </c>
      <c r="B579" s="7" t="s">
        <v>3053</v>
      </c>
      <c r="C579" s="7">
        <v>3</v>
      </c>
      <c r="D579" s="7" t="s">
        <v>457</v>
      </c>
      <c r="E579" s="7" t="s">
        <v>1032</v>
      </c>
      <c r="F579" s="7" t="s">
        <v>1032</v>
      </c>
      <c r="G579" s="7" t="s">
        <v>706</v>
      </c>
      <c r="H579" s="7">
        <v>5.0999999999999996</v>
      </c>
      <c r="I579" s="7" t="s">
        <v>2705</v>
      </c>
      <c r="W579" s="1488"/>
      <c r="X579" s="1488"/>
      <c r="Y579" s="1488"/>
      <c r="Z579" s="1488"/>
    </row>
    <row r="580" spans="1:26">
      <c r="A580" s="7" t="s">
        <v>19</v>
      </c>
      <c r="B580" s="7" t="s">
        <v>3053</v>
      </c>
      <c r="C580" s="7">
        <v>3</v>
      </c>
      <c r="D580" s="7" t="s">
        <v>457</v>
      </c>
      <c r="E580" s="7" t="s">
        <v>1032</v>
      </c>
      <c r="F580" s="7" t="s">
        <v>1032</v>
      </c>
      <c r="G580" s="7" t="s">
        <v>996</v>
      </c>
      <c r="H580" s="7">
        <v>5.0999999999999996</v>
      </c>
      <c r="I580" s="7" t="s">
        <v>2705</v>
      </c>
      <c r="W580" s="1488"/>
      <c r="X580" s="1488"/>
      <c r="Y580" s="1488"/>
      <c r="Z580" s="1488"/>
    </row>
    <row r="581" spans="1:26">
      <c r="A581" s="7" t="s">
        <v>19</v>
      </c>
      <c r="B581" s="7" t="s">
        <v>3053</v>
      </c>
      <c r="C581" s="7">
        <v>3</v>
      </c>
      <c r="D581" s="7" t="s">
        <v>457</v>
      </c>
      <c r="E581" s="7" t="s">
        <v>1032</v>
      </c>
      <c r="F581" s="7" t="s">
        <v>1032</v>
      </c>
      <c r="G581" s="7" t="s">
        <v>707</v>
      </c>
      <c r="H581" s="7">
        <v>5.0999999999999996</v>
      </c>
      <c r="I581" s="7" t="s">
        <v>2705</v>
      </c>
      <c r="W581" s="1488"/>
      <c r="X581" s="1488"/>
      <c r="Y581" s="1488"/>
      <c r="Z581" s="1488"/>
    </row>
    <row r="582" spans="1:26">
      <c r="A582" s="7" t="s">
        <v>19</v>
      </c>
      <c r="B582" s="7" t="s">
        <v>3053</v>
      </c>
      <c r="C582" s="7">
        <v>3</v>
      </c>
      <c r="D582" s="7" t="s">
        <v>457</v>
      </c>
      <c r="E582" s="7" t="s">
        <v>1032</v>
      </c>
      <c r="F582" s="7" t="s">
        <v>1032</v>
      </c>
      <c r="G582" s="7" t="s">
        <v>997</v>
      </c>
      <c r="H582" s="7">
        <v>5.0999999999999996</v>
      </c>
      <c r="I582" s="7" t="s">
        <v>2705</v>
      </c>
      <c r="W582" s="1488"/>
      <c r="X582" s="1488"/>
      <c r="Y582" s="1488"/>
      <c r="Z582" s="1488"/>
    </row>
    <row r="583" spans="1:26">
      <c r="A583" s="7" t="s">
        <v>19</v>
      </c>
      <c r="B583" s="7" t="s">
        <v>3053</v>
      </c>
      <c r="C583" s="7">
        <v>3</v>
      </c>
      <c r="D583" s="7" t="s">
        <v>457</v>
      </c>
      <c r="E583" s="7" t="s">
        <v>1032</v>
      </c>
      <c r="F583" s="7" t="s">
        <v>1032</v>
      </c>
      <c r="G583" s="7" t="s">
        <v>708</v>
      </c>
      <c r="H583" s="7">
        <v>5.0999999999999996</v>
      </c>
      <c r="I583" s="7" t="s">
        <v>2705</v>
      </c>
      <c r="W583" s="1488"/>
      <c r="X583" s="1488"/>
      <c r="Y583" s="1488"/>
      <c r="Z583" s="1488"/>
    </row>
    <row r="584" spans="1:26">
      <c r="A584" s="7" t="s">
        <v>19</v>
      </c>
      <c r="B584" s="7" t="s">
        <v>3053</v>
      </c>
      <c r="C584" s="7">
        <v>3</v>
      </c>
      <c r="D584" s="7" t="s">
        <v>457</v>
      </c>
      <c r="E584" s="7" t="s">
        <v>1032</v>
      </c>
      <c r="F584" s="7" t="s">
        <v>1032</v>
      </c>
      <c r="G584" s="7" t="s">
        <v>998</v>
      </c>
      <c r="H584" s="7">
        <v>5.0999999999999996</v>
      </c>
      <c r="I584" s="7" t="s">
        <v>2705</v>
      </c>
      <c r="W584" s="1488"/>
      <c r="X584" s="1488"/>
      <c r="Y584" s="1488"/>
      <c r="Z584" s="1488"/>
    </row>
    <row r="585" spans="1:26">
      <c r="A585" s="7" t="s">
        <v>19</v>
      </c>
      <c r="B585" s="7" t="s">
        <v>3053</v>
      </c>
      <c r="C585" s="7">
        <v>3</v>
      </c>
      <c r="D585" s="7" t="s">
        <v>457</v>
      </c>
      <c r="E585" s="7" t="s">
        <v>1032</v>
      </c>
      <c r="F585" s="7" t="s">
        <v>1032</v>
      </c>
      <c r="G585" s="7" t="s">
        <v>709</v>
      </c>
      <c r="H585" s="7">
        <v>5.0999999999999996</v>
      </c>
      <c r="I585" s="7" t="s">
        <v>2705</v>
      </c>
      <c r="W585" s="1488"/>
      <c r="X585" s="1488"/>
      <c r="Y585" s="1488"/>
      <c r="Z585" s="1488"/>
    </row>
    <row r="586" spans="1:26">
      <c r="A586" s="7" t="s">
        <v>19</v>
      </c>
      <c r="B586" s="7" t="s">
        <v>3053</v>
      </c>
      <c r="C586" s="7">
        <v>3</v>
      </c>
      <c r="D586" s="7" t="s">
        <v>457</v>
      </c>
      <c r="E586" s="7" t="s">
        <v>1032</v>
      </c>
      <c r="F586" s="7" t="s">
        <v>1032</v>
      </c>
      <c r="G586" s="7" t="s">
        <v>999</v>
      </c>
      <c r="H586" s="7">
        <v>5.0999999999999996</v>
      </c>
      <c r="I586" s="7" t="s">
        <v>2705</v>
      </c>
      <c r="W586" s="1488"/>
      <c r="X586" s="1488"/>
      <c r="Y586" s="1488"/>
      <c r="Z586" s="1488"/>
    </row>
    <row r="587" spans="1:26">
      <c r="A587" s="7" t="s">
        <v>19</v>
      </c>
      <c r="B587" s="7" t="s">
        <v>3053</v>
      </c>
      <c r="C587" s="7">
        <v>3</v>
      </c>
      <c r="D587" s="7" t="s">
        <v>457</v>
      </c>
      <c r="E587" s="7" t="s">
        <v>1032</v>
      </c>
      <c r="F587" s="7" t="s">
        <v>1032</v>
      </c>
      <c r="G587" s="7" t="s">
        <v>710</v>
      </c>
      <c r="H587" s="7">
        <v>5.0999999999999996</v>
      </c>
      <c r="I587" s="7" t="s">
        <v>2705</v>
      </c>
      <c r="W587" s="1488"/>
      <c r="X587" s="1488"/>
      <c r="Y587" s="1488"/>
      <c r="Z587" s="1488"/>
    </row>
    <row r="588" spans="1:26">
      <c r="A588" s="7" t="s">
        <v>19</v>
      </c>
      <c r="B588" s="7" t="s">
        <v>3053</v>
      </c>
      <c r="C588" s="7">
        <v>3</v>
      </c>
      <c r="D588" s="7" t="s">
        <v>457</v>
      </c>
      <c r="E588" s="7" t="s">
        <v>1032</v>
      </c>
      <c r="F588" s="7" t="s">
        <v>1032</v>
      </c>
      <c r="G588" s="7" t="s">
        <v>1000</v>
      </c>
      <c r="H588" s="7">
        <v>5.0999999999999996</v>
      </c>
      <c r="I588" s="7" t="s">
        <v>2705</v>
      </c>
      <c r="W588" s="1488"/>
      <c r="X588" s="1488"/>
      <c r="Y588" s="1488"/>
      <c r="Z588" s="1488"/>
    </row>
    <row r="589" spans="1:26">
      <c r="A589" s="7" t="s">
        <v>19</v>
      </c>
      <c r="B589" s="7" t="s">
        <v>3053</v>
      </c>
      <c r="C589" s="7">
        <v>3</v>
      </c>
      <c r="D589" s="7" t="s">
        <v>457</v>
      </c>
      <c r="E589" s="7" t="s">
        <v>1032</v>
      </c>
      <c r="F589" s="7" t="s">
        <v>1032</v>
      </c>
      <c r="G589" s="7" t="s">
        <v>711</v>
      </c>
      <c r="H589" s="7">
        <v>5.0999999999999996</v>
      </c>
      <c r="I589" s="7" t="s">
        <v>2705</v>
      </c>
      <c r="W589" s="1488"/>
      <c r="X589" s="1488"/>
      <c r="Y589" s="1488"/>
      <c r="Z589" s="1488"/>
    </row>
    <row r="590" spans="1:26">
      <c r="A590" s="7" t="s">
        <v>19</v>
      </c>
      <c r="B590" s="7" t="s">
        <v>3053</v>
      </c>
      <c r="C590" s="7">
        <v>3</v>
      </c>
      <c r="D590" s="7" t="s">
        <v>457</v>
      </c>
      <c r="E590" s="7" t="s">
        <v>1032</v>
      </c>
      <c r="F590" s="7" t="s">
        <v>1032</v>
      </c>
      <c r="G590" s="7" t="s">
        <v>1001</v>
      </c>
      <c r="H590" s="7">
        <v>5.0999999999999996</v>
      </c>
      <c r="I590" s="7" t="s">
        <v>2705</v>
      </c>
      <c r="W590" s="1488"/>
      <c r="X590" s="1488"/>
      <c r="Y590" s="1488"/>
      <c r="Z590" s="1488"/>
    </row>
    <row r="591" spans="1:26">
      <c r="A591" s="7" t="s">
        <v>19</v>
      </c>
      <c r="B591" s="7" t="s">
        <v>3053</v>
      </c>
      <c r="C591" s="7">
        <v>3</v>
      </c>
      <c r="D591" s="7" t="s">
        <v>457</v>
      </c>
      <c r="E591" s="7" t="s">
        <v>1032</v>
      </c>
      <c r="F591" s="7" t="s">
        <v>1032</v>
      </c>
      <c r="G591" s="7" t="s">
        <v>712</v>
      </c>
      <c r="H591" s="7">
        <v>5.0999999999999996</v>
      </c>
      <c r="I591" s="7" t="s">
        <v>2705</v>
      </c>
      <c r="W591" s="1488"/>
      <c r="X591" s="1488"/>
      <c r="Y591" s="1488"/>
      <c r="Z591" s="1488"/>
    </row>
    <row r="592" spans="1:26">
      <c r="A592" s="7" t="s">
        <v>19</v>
      </c>
      <c r="B592" s="7" t="s">
        <v>3053</v>
      </c>
      <c r="C592" s="7">
        <v>3</v>
      </c>
      <c r="D592" s="7" t="s">
        <v>457</v>
      </c>
      <c r="E592" s="7" t="s">
        <v>1032</v>
      </c>
      <c r="F592" s="7" t="s">
        <v>1032</v>
      </c>
      <c r="G592" s="7" t="s">
        <v>1002</v>
      </c>
      <c r="H592" s="7">
        <v>5.0999999999999996</v>
      </c>
      <c r="I592" s="7" t="s">
        <v>2705</v>
      </c>
      <c r="W592" s="1488"/>
      <c r="X592" s="1488"/>
      <c r="Y592" s="1488"/>
      <c r="Z592" s="1488"/>
    </row>
    <row r="593" spans="1:26">
      <c r="A593" s="7" t="s">
        <v>19</v>
      </c>
      <c r="B593" s="7" t="s">
        <v>3053</v>
      </c>
      <c r="C593" s="7">
        <v>3</v>
      </c>
      <c r="D593" s="7" t="s">
        <v>457</v>
      </c>
      <c r="E593" s="7" t="s">
        <v>1032</v>
      </c>
      <c r="F593" s="7" t="s">
        <v>1032</v>
      </c>
      <c r="G593" s="7" t="s">
        <v>713</v>
      </c>
      <c r="H593" s="7">
        <v>5.0999999999999996</v>
      </c>
      <c r="I593" s="7" t="s">
        <v>2705</v>
      </c>
      <c r="W593" s="1488"/>
      <c r="X593" s="1488"/>
      <c r="Y593" s="1488"/>
      <c r="Z593" s="1488"/>
    </row>
    <row r="594" spans="1:26">
      <c r="A594" s="7" t="s">
        <v>19</v>
      </c>
      <c r="B594" s="7" t="s">
        <v>3053</v>
      </c>
      <c r="C594" s="7">
        <v>3</v>
      </c>
      <c r="D594" s="7" t="s">
        <v>457</v>
      </c>
      <c r="E594" s="7" t="s">
        <v>1032</v>
      </c>
      <c r="F594" s="7" t="s">
        <v>1032</v>
      </c>
      <c r="G594" s="7" t="s">
        <v>1003</v>
      </c>
      <c r="H594" s="7">
        <v>5.0999999999999996</v>
      </c>
      <c r="I594" s="7" t="s">
        <v>2705</v>
      </c>
      <c r="W594" s="1488"/>
      <c r="X594" s="1488"/>
      <c r="Y594" s="1488"/>
      <c r="Z594" s="1488"/>
    </row>
    <row r="595" spans="1:26">
      <c r="A595" s="7" t="s">
        <v>19</v>
      </c>
      <c r="B595" s="7" t="s">
        <v>3053</v>
      </c>
      <c r="C595" s="7">
        <v>3</v>
      </c>
      <c r="D595" s="7" t="s">
        <v>457</v>
      </c>
      <c r="E595" s="7" t="s">
        <v>1032</v>
      </c>
      <c r="F595" s="7" t="s">
        <v>1032</v>
      </c>
      <c r="G595" s="7" t="s">
        <v>2700</v>
      </c>
      <c r="H595" s="7">
        <v>5.0999999999999996</v>
      </c>
      <c r="I595" s="7" t="s">
        <v>2705</v>
      </c>
      <c r="W595" s="1488"/>
      <c r="X595" s="1488"/>
      <c r="Y595" s="1488"/>
      <c r="Z595" s="1488"/>
    </row>
    <row r="596" spans="1:26">
      <c r="A596" s="7" t="s">
        <v>19</v>
      </c>
      <c r="B596" s="7" t="s">
        <v>3053</v>
      </c>
      <c r="C596" s="1709">
        <v>4</v>
      </c>
      <c r="D596" s="1709" t="s">
        <v>459</v>
      </c>
      <c r="E596" s="1709" t="s">
        <v>1229</v>
      </c>
      <c r="F596" s="1709" t="s">
        <v>1005</v>
      </c>
      <c r="G596" s="1709" t="s">
        <v>191</v>
      </c>
      <c r="H596" s="1709">
        <v>6.6</v>
      </c>
      <c r="I596" s="7" t="s">
        <v>719</v>
      </c>
      <c r="W596" s="1488"/>
      <c r="X596" s="1488"/>
      <c r="Y596" s="1488"/>
      <c r="Z596" s="1488"/>
    </row>
    <row r="597" spans="1:26">
      <c r="A597" s="7" t="s">
        <v>19</v>
      </c>
      <c r="B597" s="7" t="s">
        <v>3053</v>
      </c>
      <c r="C597" s="1709">
        <v>4</v>
      </c>
      <c r="D597" s="1709" t="s">
        <v>459</v>
      </c>
      <c r="E597" s="1709" t="s">
        <v>1229</v>
      </c>
      <c r="F597" s="1709" t="s">
        <v>1005</v>
      </c>
      <c r="G597" s="1709" t="s">
        <v>2693</v>
      </c>
      <c r="H597" s="1709">
        <v>6.6</v>
      </c>
      <c r="I597" s="7" t="s">
        <v>719</v>
      </c>
      <c r="W597" s="1488"/>
      <c r="X597" s="1488"/>
      <c r="Y597" s="1488"/>
      <c r="Z597" s="1488"/>
    </row>
    <row r="598" spans="1:26">
      <c r="A598" s="7" t="s">
        <v>19</v>
      </c>
      <c r="B598" s="7" t="s">
        <v>3053</v>
      </c>
      <c r="C598" s="1709">
        <v>4</v>
      </c>
      <c r="D598" s="7" t="s">
        <v>459</v>
      </c>
      <c r="E598" s="1590" t="s">
        <v>1229</v>
      </c>
      <c r="F598" s="7" t="s">
        <v>1005</v>
      </c>
      <c r="G598" s="7" t="s">
        <v>206</v>
      </c>
      <c r="H598" s="7">
        <v>6.5</v>
      </c>
      <c r="I598" s="7" t="s">
        <v>719</v>
      </c>
      <c r="W598" s="1488"/>
      <c r="X598" s="1488"/>
      <c r="Y598" s="1488"/>
      <c r="Z598" s="1488"/>
    </row>
    <row r="599" spans="1:26">
      <c r="A599" s="7" t="s">
        <v>19</v>
      </c>
      <c r="B599" s="7" t="s">
        <v>3053</v>
      </c>
      <c r="C599" s="7">
        <v>4</v>
      </c>
      <c r="D599" s="7" t="s">
        <v>429</v>
      </c>
      <c r="E599" s="7" t="s">
        <v>1233</v>
      </c>
      <c r="F599" s="7" t="s">
        <v>3050</v>
      </c>
      <c r="G599" s="7" t="s">
        <v>2702</v>
      </c>
      <c r="H599" s="7">
        <v>5.8</v>
      </c>
      <c r="I599" s="7" t="s">
        <v>718</v>
      </c>
      <c r="W599" s="1488"/>
      <c r="X599" s="1488"/>
      <c r="Y599" s="1488"/>
      <c r="Z599" s="1488"/>
    </row>
    <row r="600" spans="1:26">
      <c r="A600" s="7" t="s">
        <v>19</v>
      </c>
      <c r="B600" s="7" t="s">
        <v>3053</v>
      </c>
      <c r="C600" s="7">
        <v>4</v>
      </c>
      <c r="D600" s="7" t="s">
        <v>429</v>
      </c>
      <c r="E600" s="7" t="s">
        <v>1233</v>
      </c>
      <c r="F600" s="7" t="s">
        <v>1014</v>
      </c>
      <c r="G600" s="7" t="s">
        <v>2700</v>
      </c>
      <c r="H600" s="7">
        <v>5.8</v>
      </c>
      <c r="I600" s="7" t="s">
        <v>718</v>
      </c>
      <c r="W600" s="1488"/>
      <c r="X600" s="1488"/>
      <c r="Y600" s="1488"/>
      <c r="Z600" s="1488"/>
    </row>
    <row r="601" spans="1:26">
      <c r="A601" s="7" t="s">
        <v>19</v>
      </c>
      <c r="B601" s="7" t="s">
        <v>3053</v>
      </c>
      <c r="C601" s="7">
        <v>4</v>
      </c>
      <c r="D601" s="7" t="s">
        <v>429</v>
      </c>
      <c r="E601" s="7" t="s">
        <v>1233</v>
      </c>
      <c r="F601" s="7" t="s">
        <v>1015</v>
      </c>
      <c r="G601" s="7" t="s">
        <v>2700</v>
      </c>
      <c r="H601" s="7">
        <v>5.8</v>
      </c>
      <c r="I601" s="7" t="s">
        <v>718</v>
      </c>
      <c r="W601" s="1488"/>
      <c r="X601" s="1488"/>
      <c r="Y601" s="1488"/>
      <c r="Z601" s="1488"/>
    </row>
    <row r="602" spans="1:26">
      <c r="A602" s="7" t="s">
        <v>19</v>
      </c>
      <c r="B602" s="7" t="s">
        <v>3053</v>
      </c>
      <c r="C602" s="7">
        <v>4</v>
      </c>
      <c r="D602" s="7" t="s">
        <v>429</v>
      </c>
      <c r="E602" s="7" t="s">
        <v>1233</v>
      </c>
      <c r="F602" s="7" t="s">
        <v>1016</v>
      </c>
      <c r="G602" s="7" t="s">
        <v>2700</v>
      </c>
      <c r="H602" s="7">
        <v>5.8</v>
      </c>
      <c r="I602" s="7" t="s">
        <v>718</v>
      </c>
      <c r="W602" s="1488"/>
      <c r="X602" s="1488"/>
      <c r="Y602" s="1488"/>
      <c r="Z602" s="1488"/>
    </row>
    <row r="603" spans="1:26">
      <c r="A603" s="7" t="s">
        <v>19</v>
      </c>
      <c r="B603" s="7" t="s">
        <v>3053</v>
      </c>
      <c r="C603" s="7">
        <v>4</v>
      </c>
      <c r="D603" s="7" t="s">
        <v>429</v>
      </c>
      <c r="E603" s="7" t="s">
        <v>1233</v>
      </c>
      <c r="F603" s="7" t="s">
        <v>2912</v>
      </c>
      <c r="G603" s="7" t="s">
        <v>2700</v>
      </c>
      <c r="H603" s="7">
        <v>5.8</v>
      </c>
      <c r="I603" s="7" t="s">
        <v>718</v>
      </c>
      <c r="W603" s="1488"/>
      <c r="X603" s="1488"/>
      <c r="Y603" s="1488"/>
      <c r="Z603" s="1488"/>
    </row>
    <row r="604" spans="1:26">
      <c r="A604" s="7" t="s">
        <v>19</v>
      </c>
      <c r="B604" s="7" t="s">
        <v>3053</v>
      </c>
      <c r="C604" s="7">
        <v>4</v>
      </c>
      <c r="D604" s="7" t="s">
        <v>429</v>
      </c>
      <c r="E604" s="7" t="s">
        <v>1233</v>
      </c>
      <c r="F604" s="7" t="s">
        <v>1019</v>
      </c>
      <c r="G604" s="7" t="s">
        <v>2700</v>
      </c>
      <c r="H604" s="7">
        <v>5.8</v>
      </c>
      <c r="I604" s="7" t="s">
        <v>718</v>
      </c>
      <c r="W604" s="1488"/>
      <c r="X604" s="1488"/>
      <c r="Y604" s="1488"/>
      <c r="Z604" s="1488"/>
    </row>
    <row r="605" spans="1:26">
      <c r="A605" s="7" t="s">
        <v>19</v>
      </c>
      <c r="B605" s="7" t="s">
        <v>3053</v>
      </c>
      <c r="C605" s="7">
        <v>4</v>
      </c>
      <c r="D605" s="7" t="s">
        <v>429</v>
      </c>
      <c r="E605" s="7" t="s">
        <v>1233</v>
      </c>
      <c r="F605" s="7" t="s">
        <v>2791</v>
      </c>
      <c r="G605" s="7" t="s">
        <v>2700</v>
      </c>
      <c r="H605" s="7">
        <v>5.8</v>
      </c>
      <c r="I605" s="7" t="s">
        <v>718</v>
      </c>
      <c r="W605" s="1488"/>
      <c r="X605" s="1488"/>
      <c r="Y605" s="1488"/>
      <c r="Z605" s="1488"/>
    </row>
    <row r="606" spans="1:26">
      <c r="A606" s="7" t="s">
        <v>19</v>
      </c>
      <c r="B606" s="7" t="s">
        <v>3053</v>
      </c>
      <c r="C606" s="7">
        <v>4</v>
      </c>
      <c r="D606" s="7" t="s">
        <v>429</v>
      </c>
      <c r="E606" s="7" t="s">
        <v>1233</v>
      </c>
      <c r="F606" s="7" t="s">
        <v>2703</v>
      </c>
      <c r="G606" s="7" t="s">
        <v>2704</v>
      </c>
      <c r="H606" s="7">
        <v>5.8</v>
      </c>
      <c r="I606" s="7" t="s">
        <v>2705</v>
      </c>
      <c r="W606" s="1488"/>
      <c r="X606" s="1488"/>
      <c r="Y606" s="1488"/>
      <c r="Z606" s="1488"/>
    </row>
    <row r="607" spans="1:26">
      <c r="A607" s="7" t="s">
        <v>19</v>
      </c>
      <c r="B607" s="7" t="s">
        <v>3053</v>
      </c>
      <c r="C607" s="7">
        <v>4</v>
      </c>
      <c r="D607" s="7" t="s">
        <v>429</v>
      </c>
      <c r="E607" s="7" t="s">
        <v>1233</v>
      </c>
      <c r="F607" s="7" t="s">
        <v>2706</v>
      </c>
      <c r="G607" s="7" t="s">
        <v>2707</v>
      </c>
      <c r="H607" s="7">
        <v>5.8</v>
      </c>
      <c r="I607" s="7" t="s">
        <v>718</v>
      </c>
      <c r="W607" s="1488"/>
      <c r="X607" s="1488"/>
      <c r="Y607" s="1488"/>
      <c r="Z607" s="1488"/>
    </row>
    <row r="608" spans="1:26">
      <c r="A608" s="7" t="s">
        <v>19</v>
      </c>
      <c r="B608" s="7" t="s">
        <v>3053</v>
      </c>
      <c r="C608" s="7">
        <v>4</v>
      </c>
      <c r="D608" s="7" t="s">
        <v>429</v>
      </c>
      <c r="E608" s="7" t="s">
        <v>1233</v>
      </c>
      <c r="F608" s="7" t="s">
        <v>2706</v>
      </c>
      <c r="G608" s="7" t="s">
        <v>2708</v>
      </c>
      <c r="H608" s="7">
        <v>5.8</v>
      </c>
      <c r="I608" s="7" t="s">
        <v>718</v>
      </c>
      <c r="W608" s="1488"/>
      <c r="X608" s="1488"/>
      <c r="Y608" s="1488"/>
      <c r="Z608" s="1488"/>
    </row>
    <row r="609" spans="1:26">
      <c r="A609" s="7" t="s">
        <v>19</v>
      </c>
      <c r="B609" s="7" t="s">
        <v>3053</v>
      </c>
      <c r="C609" s="7">
        <v>4</v>
      </c>
      <c r="D609" s="7" t="s">
        <v>429</v>
      </c>
      <c r="E609" s="7" t="s">
        <v>1233</v>
      </c>
      <c r="F609" s="7" t="s">
        <v>2706</v>
      </c>
      <c r="G609" s="7" t="s">
        <v>2709</v>
      </c>
      <c r="H609" s="7">
        <v>5.8</v>
      </c>
      <c r="I609" s="7" t="s">
        <v>719</v>
      </c>
      <c r="W609" s="1488"/>
      <c r="X609" s="1488"/>
      <c r="Y609" s="1488"/>
      <c r="Z609" s="1488"/>
    </row>
    <row r="610" spans="1:26">
      <c r="A610" s="7" t="s">
        <v>19</v>
      </c>
      <c r="B610" s="7" t="s">
        <v>3053</v>
      </c>
      <c r="C610" s="7">
        <v>4</v>
      </c>
      <c r="D610" s="7" t="s">
        <v>429</v>
      </c>
      <c r="E610" s="7" t="s">
        <v>1233</v>
      </c>
      <c r="F610" s="7" t="s">
        <v>2710</v>
      </c>
      <c r="G610" s="7" t="s">
        <v>2711</v>
      </c>
      <c r="H610" s="7">
        <v>5.8</v>
      </c>
      <c r="I610" s="7" t="s">
        <v>2705</v>
      </c>
      <c r="W610" s="1488"/>
      <c r="X610" s="1488"/>
      <c r="Y610" s="1488"/>
      <c r="Z610" s="1488"/>
    </row>
    <row r="611" spans="1:26">
      <c r="A611" s="7" t="s">
        <v>19</v>
      </c>
      <c r="B611" s="7" t="s">
        <v>3053</v>
      </c>
      <c r="C611" s="7">
        <v>4</v>
      </c>
      <c r="D611" s="7" t="s">
        <v>429</v>
      </c>
      <c r="E611" s="7" t="s">
        <v>1233</v>
      </c>
      <c r="F611" s="7" t="s">
        <v>2712</v>
      </c>
      <c r="G611" s="7" t="s">
        <v>2717</v>
      </c>
      <c r="H611" s="7">
        <v>5.8</v>
      </c>
      <c r="I611" s="7" t="s">
        <v>2714</v>
      </c>
      <c r="W611" s="1488"/>
      <c r="X611" s="1488"/>
      <c r="Y611" s="1488"/>
      <c r="Z611" s="1488"/>
    </row>
    <row r="612" spans="1:26">
      <c r="A612" s="7" t="s">
        <v>19</v>
      </c>
      <c r="B612" s="7" t="s">
        <v>3053</v>
      </c>
      <c r="C612" s="7">
        <v>4</v>
      </c>
      <c r="D612" s="7" t="s">
        <v>429</v>
      </c>
      <c r="E612" s="7" t="s">
        <v>1233</v>
      </c>
      <c r="F612" s="7" t="s">
        <v>2712</v>
      </c>
      <c r="G612" s="7" t="s">
        <v>2713</v>
      </c>
      <c r="H612" s="7">
        <v>5.8</v>
      </c>
      <c r="I612" s="7" t="s">
        <v>2714</v>
      </c>
      <c r="W612" s="1488"/>
      <c r="X612" s="1488"/>
      <c r="Y612" s="1488"/>
      <c r="Z612" s="1488"/>
    </row>
    <row r="613" spans="1:26">
      <c r="A613" s="7" t="s">
        <v>19</v>
      </c>
      <c r="B613" s="7" t="s">
        <v>3053</v>
      </c>
      <c r="C613" s="7">
        <v>4</v>
      </c>
      <c r="D613" s="7" t="s">
        <v>429</v>
      </c>
      <c r="E613" s="7" t="s">
        <v>1233</v>
      </c>
      <c r="F613" s="7" t="s">
        <v>2712</v>
      </c>
      <c r="G613" s="7" t="s">
        <v>2716</v>
      </c>
      <c r="H613" s="7">
        <v>5.8</v>
      </c>
      <c r="I613" s="7" t="s">
        <v>2714</v>
      </c>
      <c r="W613" s="1488"/>
      <c r="X613" s="1488"/>
      <c r="Y613" s="1488"/>
      <c r="Z613" s="1488"/>
    </row>
    <row r="614" spans="1:26">
      <c r="A614" s="7" t="s">
        <v>19</v>
      </c>
      <c r="B614" s="7" t="s">
        <v>3053</v>
      </c>
      <c r="C614" s="7">
        <v>4</v>
      </c>
      <c r="D614" s="7" t="s">
        <v>429</v>
      </c>
      <c r="E614" s="7" t="s">
        <v>1233</v>
      </c>
      <c r="F614" s="7" t="s">
        <v>2712</v>
      </c>
      <c r="G614" s="7" t="s">
        <v>2715</v>
      </c>
      <c r="H614" s="7">
        <v>5.8</v>
      </c>
      <c r="I614" s="7" t="s">
        <v>2714</v>
      </c>
      <c r="W614" s="1488"/>
      <c r="X614" s="1488"/>
      <c r="Y614" s="1488"/>
      <c r="Z614" s="1488"/>
    </row>
    <row r="615" spans="1:26">
      <c r="A615" s="7" t="s">
        <v>19</v>
      </c>
      <c r="B615" s="7" t="s">
        <v>3053</v>
      </c>
      <c r="C615" s="7">
        <v>4</v>
      </c>
      <c r="D615" s="7" t="s">
        <v>429</v>
      </c>
      <c r="E615" s="7" t="s">
        <v>1233</v>
      </c>
      <c r="F615" s="7" t="s">
        <v>2913</v>
      </c>
      <c r="G615" s="7" t="s">
        <v>2918</v>
      </c>
      <c r="H615" s="7">
        <v>5.8</v>
      </c>
      <c r="I615" s="7" t="s">
        <v>2705</v>
      </c>
      <c r="W615" s="1488"/>
      <c r="X615" s="1488"/>
      <c r="Y615" s="1488"/>
      <c r="Z615" s="1488"/>
    </row>
    <row r="616" spans="1:26">
      <c r="A616" s="7" t="s">
        <v>19</v>
      </c>
      <c r="B616" s="7" t="s">
        <v>3053</v>
      </c>
      <c r="C616" s="7">
        <v>4</v>
      </c>
      <c r="D616" s="7" t="s">
        <v>429</v>
      </c>
      <c r="E616" s="7" t="s">
        <v>1233</v>
      </c>
      <c r="F616" s="7" t="s">
        <v>2913</v>
      </c>
      <c r="G616" s="7" t="s">
        <v>2915</v>
      </c>
      <c r="H616" s="7">
        <v>5.8</v>
      </c>
      <c r="I616" s="7" t="s">
        <v>2705</v>
      </c>
      <c r="W616" s="1488"/>
      <c r="X616" s="1488"/>
      <c r="Y616" s="1488"/>
      <c r="Z616" s="1488"/>
    </row>
    <row r="617" spans="1:26">
      <c r="A617" s="7" t="s">
        <v>19</v>
      </c>
      <c r="B617" s="7" t="s">
        <v>3053</v>
      </c>
      <c r="C617" s="7">
        <v>4</v>
      </c>
      <c r="D617" s="7" t="s">
        <v>429</v>
      </c>
      <c r="E617" s="7" t="s">
        <v>1233</v>
      </c>
      <c r="F617" s="7" t="s">
        <v>2913</v>
      </c>
      <c r="G617" s="7" t="s">
        <v>2916</v>
      </c>
      <c r="H617" s="7">
        <v>5.8</v>
      </c>
      <c r="I617" s="7" t="s">
        <v>2705</v>
      </c>
      <c r="W617" s="1488"/>
      <c r="X617" s="1488"/>
      <c r="Y617" s="1488"/>
      <c r="Z617" s="1488"/>
    </row>
    <row r="618" spans="1:26">
      <c r="A618" s="7" t="s">
        <v>19</v>
      </c>
      <c r="B618" s="7" t="s">
        <v>3053</v>
      </c>
      <c r="C618" s="7">
        <v>4</v>
      </c>
      <c r="D618" s="7" t="s">
        <v>429</v>
      </c>
      <c r="E618" s="7" t="s">
        <v>1233</v>
      </c>
      <c r="F618" s="7" t="s">
        <v>2913</v>
      </c>
      <c r="G618" s="7" t="s">
        <v>3063</v>
      </c>
      <c r="H618" s="7">
        <v>5.8</v>
      </c>
      <c r="I618" s="7" t="s">
        <v>2705</v>
      </c>
      <c r="W618" s="1488"/>
      <c r="X618" s="1488"/>
      <c r="Y618" s="1488"/>
      <c r="Z618" s="1488"/>
    </row>
    <row r="619" spans="1:26">
      <c r="A619" s="7" t="s">
        <v>19</v>
      </c>
      <c r="B619" s="7" t="s">
        <v>3053</v>
      </c>
      <c r="C619" s="7">
        <v>4</v>
      </c>
      <c r="D619" s="7" t="s">
        <v>429</v>
      </c>
      <c r="E619" s="7" t="s">
        <v>1233</v>
      </c>
      <c r="F619" s="7" t="s">
        <v>2913</v>
      </c>
      <c r="G619" s="7" t="s">
        <v>2700</v>
      </c>
      <c r="H619" s="7">
        <v>5.8</v>
      </c>
      <c r="I619" s="7" t="s">
        <v>2705</v>
      </c>
      <c r="W619" s="1488"/>
      <c r="X619" s="1488"/>
      <c r="Y619" s="1488"/>
      <c r="Z619" s="1488"/>
    </row>
    <row r="620" spans="1:26">
      <c r="A620" s="7" t="s">
        <v>19</v>
      </c>
      <c r="B620" s="7" t="s">
        <v>3053</v>
      </c>
      <c r="C620" s="7">
        <v>4</v>
      </c>
      <c r="D620" s="7" t="s">
        <v>429</v>
      </c>
      <c r="E620" s="7" t="s">
        <v>1233</v>
      </c>
      <c r="F620" s="7" t="s">
        <v>2913</v>
      </c>
      <c r="G620" s="7" t="s">
        <v>2914</v>
      </c>
      <c r="H620" s="7">
        <v>5.8</v>
      </c>
      <c r="I620" s="7" t="s">
        <v>2705</v>
      </c>
      <c r="W620" s="1488"/>
      <c r="X620" s="1488"/>
      <c r="Y620" s="1488"/>
      <c r="Z620" s="1488"/>
    </row>
    <row r="621" spans="1:26">
      <c r="A621" s="7" t="s">
        <v>19</v>
      </c>
      <c r="B621" s="7" t="s">
        <v>3053</v>
      </c>
      <c r="C621" s="7">
        <v>4</v>
      </c>
      <c r="D621" s="7" t="s">
        <v>429</v>
      </c>
      <c r="E621" s="7" t="s">
        <v>1233</v>
      </c>
      <c r="F621" s="7" t="s">
        <v>2913</v>
      </c>
      <c r="G621" s="7" t="s">
        <v>2917</v>
      </c>
      <c r="H621" s="7">
        <v>5.8</v>
      </c>
      <c r="I621" s="7" t="s">
        <v>2705</v>
      </c>
      <c r="W621" s="1488"/>
      <c r="X621" s="1488"/>
      <c r="Y621" s="1488"/>
      <c r="Z621" s="1488"/>
    </row>
    <row r="622" spans="1:26">
      <c r="A622" s="7" t="s">
        <v>19</v>
      </c>
      <c r="B622" s="7" t="s">
        <v>3053</v>
      </c>
      <c r="C622" s="7">
        <v>4</v>
      </c>
      <c r="D622" s="7" t="s">
        <v>429</v>
      </c>
      <c r="E622" s="7" t="s">
        <v>1233</v>
      </c>
      <c r="F622" s="7" t="s">
        <v>2718</v>
      </c>
      <c r="G622" s="7" t="s">
        <v>2720</v>
      </c>
      <c r="H622" s="7">
        <v>5.8</v>
      </c>
      <c r="I622" s="7" t="s">
        <v>718</v>
      </c>
      <c r="W622" s="1488"/>
      <c r="X622" s="1488"/>
      <c r="Y622" s="1488"/>
      <c r="Z622" s="1488"/>
    </row>
    <row r="623" spans="1:26">
      <c r="A623" s="7" t="s">
        <v>19</v>
      </c>
      <c r="B623" s="7" t="s">
        <v>3053</v>
      </c>
      <c r="C623" s="7">
        <v>4</v>
      </c>
      <c r="D623" s="7" t="s">
        <v>429</v>
      </c>
      <c r="E623" s="7" t="s">
        <v>1233</v>
      </c>
      <c r="F623" s="7" t="s">
        <v>2718</v>
      </c>
      <c r="G623" s="7" t="s">
        <v>2719</v>
      </c>
      <c r="H623" s="7">
        <v>5.8</v>
      </c>
      <c r="I623" s="7" t="s">
        <v>718</v>
      </c>
      <c r="W623" s="1488"/>
      <c r="X623" s="1488"/>
      <c r="Y623" s="1488"/>
      <c r="Z623" s="1488"/>
    </row>
    <row r="624" spans="1:26">
      <c r="A624" s="7" t="s">
        <v>19</v>
      </c>
      <c r="B624" s="7" t="s">
        <v>3053</v>
      </c>
      <c r="C624" s="7">
        <v>4</v>
      </c>
      <c r="D624" s="7" t="s">
        <v>429</v>
      </c>
      <c r="E624" s="7" t="s">
        <v>1233</v>
      </c>
      <c r="F624" s="7" t="s">
        <v>1025</v>
      </c>
      <c r="G624" s="7" t="s">
        <v>2919</v>
      </c>
      <c r="H624" s="7">
        <v>5.8</v>
      </c>
      <c r="I624" s="7" t="s">
        <v>718</v>
      </c>
      <c r="W624" s="1488"/>
      <c r="X624" s="1488"/>
      <c r="Y624" s="1488"/>
      <c r="Z624" s="1488"/>
    </row>
    <row r="625" spans="1:26">
      <c r="A625" s="7" t="s">
        <v>19</v>
      </c>
      <c r="B625" s="7" t="s">
        <v>3053</v>
      </c>
      <c r="C625" s="7">
        <v>4</v>
      </c>
      <c r="D625" s="7" t="s">
        <v>429</v>
      </c>
      <c r="E625" s="7" t="s">
        <v>1233</v>
      </c>
      <c r="F625" s="7" t="s">
        <v>2920</v>
      </c>
      <c r="G625" s="7" t="s">
        <v>2700</v>
      </c>
      <c r="H625" s="7">
        <v>5.8</v>
      </c>
      <c r="I625" s="7" t="s">
        <v>718</v>
      </c>
      <c r="W625" s="1488"/>
      <c r="X625" s="1488"/>
      <c r="Y625" s="1488"/>
      <c r="Z625" s="1488"/>
    </row>
    <row r="626" spans="1:26">
      <c r="A626" s="7" t="s">
        <v>19</v>
      </c>
      <c r="B626" s="7" t="s">
        <v>3053</v>
      </c>
      <c r="C626" s="7">
        <v>4</v>
      </c>
      <c r="D626" s="7" t="s">
        <v>429</v>
      </c>
      <c r="E626" s="7" t="s">
        <v>1233</v>
      </c>
      <c r="F626" s="7" t="s">
        <v>2722</v>
      </c>
      <c r="G626" s="7" t="s">
        <v>2793</v>
      </c>
      <c r="H626" s="7">
        <v>5.8</v>
      </c>
      <c r="I626" s="7" t="s">
        <v>719</v>
      </c>
      <c r="W626" s="1488"/>
      <c r="X626" s="1488"/>
      <c r="Y626" s="1488"/>
      <c r="Z626" s="1488"/>
    </row>
    <row r="627" spans="1:26">
      <c r="A627" s="7" t="s">
        <v>19</v>
      </c>
      <c r="B627" s="7" t="s">
        <v>3053</v>
      </c>
      <c r="C627" s="7">
        <v>4</v>
      </c>
      <c r="D627" s="7" t="s">
        <v>429</v>
      </c>
      <c r="E627" s="7" t="s">
        <v>1233</v>
      </c>
      <c r="F627" s="7" t="s">
        <v>2722</v>
      </c>
      <c r="G627" s="7" t="s">
        <v>2794</v>
      </c>
      <c r="H627" s="7">
        <v>5.8</v>
      </c>
      <c r="I627" s="7" t="s">
        <v>719</v>
      </c>
      <c r="W627" s="1488"/>
      <c r="X627" s="1488"/>
      <c r="Y627" s="1488"/>
      <c r="Z627" s="1488"/>
    </row>
    <row r="628" spans="1:26">
      <c r="A628" s="7" t="s">
        <v>19</v>
      </c>
      <c r="B628" s="7" t="s">
        <v>3053</v>
      </c>
      <c r="C628" s="7">
        <v>4</v>
      </c>
      <c r="D628" s="7" t="s">
        <v>429</v>
      </c>
      <c r="E628" s="7" t="s">
        <v>1233</v>
      </c>
      <c r="F628" s="7" t="s">
        <v>2722</v>
      </c>
      <c r="G628" s="7" t="s">
        <v>2723</v>
      </c>
      <c r="H628" s="7">
        <v>5.8</v>
      </c>
      <c r="I628" s="7" t="s">
        <v>718</v>
      </c>
      <c r="W628" s="1488"/>
      <c r="X628" s="1488"/>
      <c r="Y628" s="1488"/>
      <c r="Z628" s="1488"/>
    </row>
    <row r="629" spans="1:26">
      <c r="A629" s="7" t="s">
        <v>19</v>
      </c>
      <c r="B629" s="7" t="s">
        <v>3053</v>
      </c>
      <c r="C629" s="7">
        <v>4</v>
      </c>
      <c r="D629" s="7" t="s">
        <v>429</v>
      </c>
      <c r="E629" s="7" t="s">
        <v>1233</v>
      </c>
      <c r="F629" s="7" t="s">
        <v>2722</v>
      </c>
      <c r="G629" s="7" t="s">
        <v>2724</v>
      </c>
      <c r="H629" s="7">
        <v>5.8</v>
      </c>
      <c r="I629" s="7" t="s">
        <v>718</v>
      </c>
      <c r="W629" s="1488"/>
      <c r="X629" s="1488"/>
      <c r="Y629" s="1488"/>
      <c r="Z629" s="1488"/>
    </row>
    <row r="630" spans="1:26">
      <c r="A630" s="7" t="s">
        <v>19</v>
      </c>
      <c r="B630" s="7" t="s">
        <v>3053</v>
      </c>
      <c r="C630" s="7">
        <v>4</v>
      </c>
      <c r="D630" s="7" t="s">
        <v>459</v>
      </c>
      <c r="E630" s="7" t="s">
        <v>1228</v>
      </c>
      <c r="F630" s="7" t="s">
        <v>1013</v>
      </c>
      <c r="G630" s="7" t="s">
        <v>191</v>
      </c>
      <c r="H630" s="7">
        <v>6.6</v>
      </c>
      <c r="I630" s="7" t="s">
        <v>719</v>
      </c>
      <c r="W630" s="1488"/>
      <c r="X630" s="1488"/>
      <c r="Y630" s="1488"/>
      <c r="Z630" s="1488"/>
    </row>
    <row r="631" spans="1:26">
      <c r="A631" s="7" t="s">
        <v>19</v>
      </c>
      <c r="B631" s="7" t="s">
        <v>3053</v>
      </c>
      <c r="C631" s="7">
        <v>4</v>
      </c>
      <c r="D631" s="7" t="s">
        <v>459</v>
      </c>
      <c r="E631" s="7" t="s">
        <v>1228</v>
      </c>
      <c r="F631" s="7" t="s">
        <v>1013</v>
      </c>
      <c r="G631" s="7" t="s">
        <v>2693</v>
      </c>
      <c r="H631" s="7">
        <v>6.6</v>
      </c>
      <c r="I631" s="7" t="s">
        <v>719</v>
      </c>
      <c r="W631" s="1488"/>
      <c r="X631" s="1488"/>
      <c r="Y631" s="1488"/>
      <c r="Z631" s="1488"/>
    </row>
    <row r="632" spans="1:26">
      <c r="A632" s="7" t="s">
        <v>19</v>
      </c>
      <c r="B632" s="7" t="s">
        <v>3053</v>
      </c>
      <c r="C632" s="7">
        <v>4</v>
      </c>
      <c r="D632" s="7" t="s">
        <v>459</v>
      </c>
      <c r="E632" s="7" t="s">
        <v>1228</v>
      </c>
      <c r="F632" s="7" t="s">
        <v>1013</v>
      </c>
      <c r="G632" s="7" t="s">
        <v>206</v>
      </c>
      <c r="H632" s="7">
        <v>6.5</v>
      </c>
      <c r="I632" s="7" t="s">
        <v>719</v>
      </c>
      <c r="W632" s="1488"/>
      <c r="X632" s="1488"/>
      <c r="Y632" s="1488"/>
      <c r="Z632" s="1488"/>
    </row>
    <row r="633" spans="1:26">
      <c r="A633" s="7" t="s">
        <v>19</v>
      </c>
      <c r="B633" s="7" t="s">
        <v>3053</v>
      </c>
      <c r="C633" s="7">
        <v>4</v>
      </c>
      <c r="D633" s="7" t="s">
        <v>459</v>
      </c>
      <c r="E633" s="7" t="s">
        <v>1228</v>
      </c>
      <c r="F633" s="7" t="s">
        <v>203</v>
      </c>
      <c r="G633" s="7" t="s">
        <v>191</v>
      </c>
      <c r="H633" s="7">
        <v>6.6</v>
      </c>
      <c r="I633" s="7" t="s">
        <v>719</v>
      </c>
      <c r="W633" s="1488"/>
      <c r="X633" s="1488"/>
      <c r="Y633" s="1488"/>
      <c r="Z633" s="1488"/>
    </row>
    <row r="634" spans="1:26">
      <c r="A634" s="7" t="s">
        <v>19</v>
      </c>
      <c r="B634" s="7" t="s">
        <v>3053</v>
      </c>
      <c r="C634" s="7">
        <v>4</v>
      </c>
      <c r="D634" s="7" t="s">
        <v>459</v>
      </c>
      <c r="E634" s="7" t="s">
        <v>1228</v>
      </c>
      <c r="F634" s="7" t="s">
        <v>203</v>
      </c>
      <c r="G634" s="7" t="s">
        <v>2693</v>
      </c>
      <c r="H634" s="7">
        <v>6.6</v>
      </c>
      <c r="I634" s="7" t="s">
        <v>719</v>
      </c>
      <c r="W634" s="1488"/>
      <c r="X634" s="1488"/>
      <c r="Y634" s="1488"/>
      <c r="Z634" s="1488"/>
    </row>
    <row r="635" spans="1:26">
      <c r="A635" s="7" t="s">
        <v>19</v>
      </c>
      <c r="B635" s="7" t="s">
        <v>3053</v>
      </c>
      <c r="C635" s="7">
        <v>4</v>
      </c>
      <c r="D635" s="7" t="s">
        <v>459</v>
      </c>
      <c r="E635" s="7" t="s">
        <v>1228</v>
      </c>
      <c r="F635" s="7" t="s">
        <v>203</v>
      </c>
      <c r="G635" s="7" t="s">
        <v>206</v>
      </c>
      <c r="H635" s="7">
        <v>6.5</v>
      </c>
      <c r="I635" s="7" t="s">
        <v>719</v>
      </c>
      <c r="W635" s="1488"/>
      <c r="X635" s="1488"/>
      <c r="Y635" s="1488"/>
      <c r="Z635" s="1488"/>
    </row>
    <row r="636" spans="1:26">
      <c r="A636" s="7" t="s">
        <v>19</v>
      </c>
      <c r="B636" s="7" t="s">
        <v>3053</v>
      </c>
      <c r="C636" s="7">
        <v>4</v>
      </c>
      <c r="D636" s="7" t="s">
        <v>459</v>
      </c>
      <c r="E636" s="7" t="s">
        <v>1228</v>
      </c>
      <c r="F636" s="7" t="s">
        <v>204</v>
      </c>
      <c r="G636" s="7" t="s">
        <v>191</v>
      </c>
      <c r="H636" s="7">
        <v>6.6</v>
      </c>
      <c r="I636" s="7" t="s">
        <v>719</v>
      </c>
      <c r="W636" s="1488"/>
      <c r="X636" s="1488"/>
      <c r="Y636" s="1488"/>
      <c r="Z636" s="1488"/>
    </row>
    <row r="637" spans="1:26">
      <c r="A637" s="7" t="s">
        <v>19</v>
      </c>
      <c r="B637" s="7" t="s">
        <v>3053</v>
      </c>
      <c r="C637" s="7">
        <v>4</v>
      </c>
      <c r="D637" s="7" t="s">
        <v>459</v>
      </c>
      <c r="E637" s="7" t="s">
        <v>1228</v>
      </c>
      <c r="F637" s="7" t="s">
        <v>204</v>
      </c>
      <c r="G637" s="7" t="s">
        <v>2693</v>
      </c>
      <c r="H637" s="7">
        <v>6.6</v>
      </c>
      <c r="I637" s="7" t="s">
        <v>719</v>
      </c>
      <c r="W637" s="1488"/>
      <c r="X637" s="1488"/>
      <c r="Y637" s="1488"/>
      <c r="Z637" s="1488"/>
    </row>
    <row r="638" spans="1:26">
      <c r="A638" s="7" t="s">
        <v>19</v>
      </c>
      <c r="B638" s="7" t="s">
        <v>3053</v>
      </c>
      <c r="C638" s="7">
        <v>4</v>
      </c>
      <c r="D638" s="7" t="s">
        <v>459</v>
      </c>
      <c r="E638" s="7" t="s">
        <v>1228</v>
      </c>
      <c r="F638" s="7" t="s">
        <v>204</v>
      </c>
      <c r="G638" s="7" t="s">
        <v>206</v>
      </c>
      <c r="H638" s="7">
        <v>6.5</v>
      </c>
      <c r="I638" s="7" t="s">
        <v>719</v>
      </c>
      <c r="W638" s="1488"/>
      <c r="X638" s="1488"/>
      <c r="Y638" s="1488"/>
      <c r="Z638" s="1488"/>
    </row>
    <row r="639" spans="1:26">
      <c r="A639" s="7" t="s">
        <v>19</v>
      </c>
      <c r="B639" s="7" t="s">
        <v>3053</v>
      </c>
      <c r="C639" s="7">
        <v>4</v>
      </c>
      <c r="D639" s="7" t="s">
        <v>459</v>
      </c>
      <c r="E639" s="7" t="s">
        <v>1228</v>
      </c>
      <c r="F639" s="7" t="s">
        <v>205</v>
      </c>
      <c r="G639" s="7" t="s">
        <v>191</v>
      </c>
      <c r="H639" s="7">
        <v>6.6</v>
      </c>
      <c r="I639" s="7" t="s">
        <v>719</v>
      </c>
      <c r="W639" s="1488"/>
      <c r="X639" s="1488"/>
      <c r="Y639" s="1488"/>
      <c r="Z639" s="1488"/>
    </row>
    <row r="640" spans="1:26">
      <c r="A640" s="7" t="s">
        <v>19</v>
      </c>
      <c r="B640" s="7" t="s">
        <v>3053</v>
      </c>
      <c r="C640" s="7">
        <v>4</v>
      </c>
      <c r="D640" s="7" t="s">
        <v>459</v>
      </c>
      <c r="E640" s="7" t="s">
        <v>1228</v>
      </c>
      <c r="F640" s="7" t="s">
        <v>205</v>
      </c>
      <c r="G640" s="7" t="s">
        <v>2693</v>
      </c>
      <c r="H640" s="7">
        <v>6.6</v>
      </c>
      <c r="I640" s="7" t="s">
        <v>719</v>
      </c>
      <c r="W640" s="1488"/>
      <c r="X640" s="1488"/>
      <c r="Y640" s="1488"/>
      <c r="Z640" s="1488"/>
    </row>
    <row r="641" spans="1:26">
      <c r="A641" s="7" t="s">
        <v>19</v>
      </c>
      <c r="B641" s="7" t="s">
        <v>3053</v>
      </c>
      <c r="C641" s="7">
        <v>4</v>
      </c>
      <c r="D641" s="7" t="s">
        <v>459</v>
      </c>
      <c r="E641" s="7" t="s">
        <v>1228</v>
      </c>
      <c r="F641" s="7" t="s">
        <v>205</v>
      </c>
      <c r="G641" s="7" t="s">
        <v>206</v>
      </c>
      <c r="H641" s="7">
        <v>6.5</v>
      </c>
      <c r="I641" s="7" t="s">
        <v>719</v>
      </c>
      <c r="W641" s="1488"/>
      <c r="X641" s="1488"/>
      <c r="Y641" s="1488"/>
      <c r="Z641" s="1488"/>
    </row>
    <row r="642" spans="1:26">
      <c r="A642" s="7" t="s">
        <v>19</v>
      </c>
      <c r="B642" s="7" t="s">
        <v>3053</v>
      </c>
      <c r="C642" s="7">
        <v>4</v>
      </c>
      <c r="D642" s="7" t="s">
        <v>459</v>
      </c>
      <c r="E642" s="7" t="s">
        <v>1228</v>
      </c>
      <c r="F642" s="7" t="s">
        <v>207</v>
      </c>
      <c r="G642" s="7" t="s">
        <v>191</v>
      </c>
      <c r="H642" s="7">
        <v>6.6</v>
      </c>
      <c r="I642" s="7" t="s">
        <v>719</v>
      </c>
      <c r="W642" s="1488"/>
      <c r="X642" s="1488"/>
      <c r="Y642" s="1488"/>
      <c r="Z642" s="1488"/>
    </row>
    <row r="643" spans="1:26">
      <c r="A643" s="7" t="s">
        <v>19</v>
      </c>
      <c r="B643" s="7" t="s">
        <v>3053</v>
      </c>
      <c r="C643" s="7">
        <v>4</v>
      </c>
      <c r="D643" s="7" t="s">
        <v>459</v>
      </c>
      <c r="E643" s="7" t="s">
        <v>1228</v>
      </c>
      <c r="F643" s="7" t="s">
        <v>207</v>
      </c>
      <c r="G643" s="7" t="s">
        <v>2693</v>
      </c>
      <c r="H643" s="7">
        <v>6.6</v>
      </c>
      <c r="I643" s="7" t="s">
        <v>719</v>
      </c>
      <c r="W643" s="1488"/>
      <c r="X643" s="1488"/>
      <c r="Y643" s="1488"/>
      <c r="Z643" s="1488"/>
    </row>
    <row r="644" spans="1:26">
      <c r="A644" s="7" t="s">
        <v>19</v>
      </c>
      <c r="B644" s="7" t="s">
        <v>3053</v>
      </c>
      <c r="C644" s="7">
        <v>4</v>
      </c>
      <c r="D644" s="7" t="s">
        <v>459</v>
      </c>
      <c r="E644" s="7" t="s">
        <v>1228</v>
      </c>
      <c r="F644" s="7" t="s">
        <v>207</v>
      </c>
      <c r="G644" s="7" t="s">
        <v>206</v>
      </c>
      <c r="H644" s="7">
        <v>6.5</v>
      </c>
      <c r="I644" s="7" t="s">
        <v>719</v>
      </c>
      <c r="W644" s="1488"/>
      <c r="X644" s="1488"/>
      <c r="Y644" s="1488"/>
      <c r="Z644" s="1488"/>
    </row>
    <row r="645" spans="1:26">
      <c r="A645" s="7" t="s">
        <v>19</v>
      </c>
      <c r="B645" s="7" t="s">
        <v>3053</v>
      </c>
      <c r="C645" s="7">
        <v>4</v>
      </c>
      <c r="D645" s="7" t="s">
        <v>459</v>
      </c>
      <c r="E645" s="7" t="s">
        <v>1228</v>
      </c>
      <c r="F645" s="7" t="s">
        <v>1034</v>
      </c>
      <c r="G645" s="7" t="s">
        <v>191</v>
      </c>
      <c r="H645" s="7">
        <v>6.6</v>
      </c>
      <c r="I645" s="7" t="s">
        <v>719</v>
      </c>
      <c r="W645" s="1488"/>
      <c r="X645" s="1488"/>
      <c r="Y645" s="1488"/>
      <c r="Z645" s="1488"/>
    </row>
    <row r="646" spans="1:26">
      <c r="A646" s="7" t="s">
        <v>19</v>
      </c>
      <c r="B646" s="7" t="s">
        <v>3053</v>
      </c>
      <c r="C646" s="7">
        <v>4</v>
      </c>
      <c r="D646" s="7" t="s">
        <v>459</v>
      </c>
      <c r="E646" s="7" t="s">
        <v>1228</v>
      </c>
      <c r="F646" s="7" t="s">
        <v>1034</v>
      </c>
      <c r="G646" s="7" t="s">
        <v>2693</v>
      </c>
      <c r="H646" s="7">
        <v>6.6</v>
      </c>
      <c r="I646" s="7" t="s">
        <v>719</v>
      </c>
      <c r="W646" s="1488"/>
      <c r="X646" s="1488"/>
      <c r="Y646" s="1488"/>
      <c r="Z646" s="1488"/>
    </row>
    <row r="647" spans="1:26">
      <c r="A647" s="7" t="s">
        <v>19</v>
      </c>
      <c r="B647" s="7" t="s">
        <v>3053</v>
      </c>
      <c r="C647" s="7">
        <v>4</v>
      </c>
      <c r="D647" s="7" t="s">
        <v>459</v>
      </c>
      <c r="E647" s="7" t="s">
        <v>1228</v>
      </c>
      <c r="F647" s="7" t="s">
        <v>1034</v>
      </c>
      <c r="G647" s="7" t="s">
        <v>206</v>
      </c>
      <c r="H647" s="7">
        <v>6.5</v>
      </c>
      <c r="I647" s="7" t="s">
        <v>719</v>
      </c>
      <c r="W647" s="1488"/>
      <c r="X647" s="1488"/>
      <c r="Y647" s="1488"/>
      <c r="Z647" s="1488"/>
    </row>
    <row r="648" spans="1:26">
      <c r="A648" s="7" t="s">
        <v>19</v>
      </c>
      <c r="B648" s="7" t="s">
        <v>3053</v>
      </c>
      <c r="C648" s="7">
        <v>4</v>
      </c>
      <c r="D648" s="7" t="s">
        <v>459</v>
      </c>
      <c r="E648" s="7" t="s">
        <v>1228</v>
      </c>
      <c r="F648" s="7" t="s">
        <v>1027</v>
      </c>
      <c r="G648" s="7" t="s">
        <v>191</v>
      </c>
      <c r="H648" s="7">
        <v>6.6</v>
      </c>
      <c r="I648" s="7" t="s">
        <v>719</v>
      </c>
      <c r="W648" s="1488"/>
      <c r="X648" s="1488"/>
      <c r="Y648" s="1488"/>
      <c r="Z648" s="1488"/>
    </row>
    <row r="649" spans="1:26">
      <c r="A649" s="7" t="s">
        <v>19</v>
      </c>
      <c r="B649" s="7" t="s">
        <v>3053</v>
      </c>
      <c r="C649" s="7">
        <v>4</v>
      </c>
      <c r="D649" s="7" t="s">
        <v>459</v>
      </c>
      <c r="E649" s="7" t="s">
        <v>1228</v>
      </c>
      <c r="F649" s="7" t="s">
        <v>1027</v>
      </c>
      <c r="G649" s="7" t="s">
        <v>2693</v>
      </c>
      <c r="H649" s="7">
        <v>6.6</v>
      </c>
      <c r="I649" s="7" t="s">
        <v>719</v>
      </c>
      <c r="W649" s="1488"/>
      <c r="X649" s="1488"/>
      <c r="Y649" s="1488"/>
      <c r="Z649" s="1488"/>
    </row>
    <row r="650" spans="1:26">
      <c r="A650" s="7" t="s">
        <v>19</v>
      </c>
      <c r="B650" s="7" t="s">
        <v>3053</v>
      </c>
      <c r="C650" s="7">
        <v>4</v>
      </c>
      <c r="D650" s="7" t="s">
        <v>459</v>
      </c>
      <c r="E650" s="7" t="s">
        <v>1228</v>
      </c>
      <c r="F650" s="7" t="s">
        <v>1027</v>
      </c>
      <c r="G650" s="7" t="s">
        <v>206</v>
      </c>
      <c r="H650" s="7">
        <v>6.5</v>
      </c>
      <c r="I650" s="7" t="s">
        <v>719</v>
      </c>
      <c r="W650" s="1488"/>
      <c r="X650" s="1488"/>
      <c r="Y650" s="1488"/>
      <c r="Z650" s="1488"/>
    </row>
    <row r="651" spans="1:26">
      <c r="A651" s="7" t="s">
        <v>19</v>
      </c>
      <c r="B651" s="7" t="s">
        <v>3053</v>
      </c>
      <c r="C651" s="7">
        <v>4</v>
      </c>
      <c r="D651" s="7" t="s">
        <v>459</v>
      </c>
      <c r="E651" s="7" t="s">
        <v>1228</v>
      </c>
      <c r="F651" s="7" t="s">
        <v>2728</v>
      </c>
      <c r="G651" s="7" t="s">
        <v>191</v>
      </c>
      <c r="H651" s="7">
        <v>6.6</v>
      </c>
      <c r="I651" s="7" t="s">
        <v>719</v>
      </c>
      <c r="W651" s="1488"/>
      <c r="X651" s="1488"/>
      <c r="Y651" s="1488"/>
      <c r="Z651" s="1488"/>
    </row>
    <row r="652" spans="1:26">
      <c r="A652" s="7" t="s">
        <v>19</v>
      </c>
      <c r="B652" s="7" t="s">
        <v>3053</v>
      </c>
      <c r="C652" s="7">
        <v>4</v>
      </c>
      <c r="D652" s="7" t="s">
        <v>459</v>
      </c>
      <c r="E652" s="7" t="s">
        <v>1228</v>
      </c>
      <c r="F652" s="7" t="s">
        <v>2728</v>
      </c>
      <c r="G652" s="7" t="s">
        <v>2693</v>
      </c>
      <c r="H652" s="7">
        <v>6.6</v>
      </c>
      <c r="I652" s="7" t="s">
        <v>719</v>
      </c>
      <c r="W652" s="1488"/>
      <c r="X652" s="1488"/>
      <c r="Y652" s="1488"/>
      <c r="Z652" s="1488"/>
    </row>
    <row r="653" spans="1:26">
      <c r="A653" s="7" t="s">
        <v>19</v>
      </c>
      <c r="B653" s="7" t="s">
        <v>3053</v>
      </c>
      <c r="C653" s="7">
        <v>4</v>
      </c>
      <c r="D653" s="7" t="s">
        <v>459</v>
      </c>
      <c r="E653" s="7" t="s">
        <v>1228</v>
      </c>
      <c r="F653" s="7" t="s">
        <v>2728</v>
      </c>
      <c r="G653" s="7" t="s">
        <v>206</v>
      </c>
      <c r="H653" s="7">
        <v>6.5</v>
      </c>
      <c r="I653" s="7" t="s">
        <v>719</v>
      </c>
      <c r="W653" s="1488"/>
      <c r="X653" s="1488"/>
      <c r="Y653" s="1488"/>
      <c r="Z653" s="1488"/>
    </row>
    <row r="654" spans="1:26">
      <c r="A654" s="7" t="s">
        <v>19</v>
      </c>
      <c r="B654" s="7" t="s">
        <v>3053</v>
      </c>
      <c r="C654" s="7">
        <v>4</v>
      </c>
      <c r="D654" s="7" t="s">
        <v>459</v>
      </c>
      <c r="E654" s="7" t="s">
        <v>1228</v>
      </c>
      <c r="F654" s="7" t="s">
        <v>2729</v>
      </c>
      <c r="G654" s="7" t="s">
        <v>191</v>
      </c>
      <c r="H654" s="7">
        <v>6.6</v>
      </c>
      <c r="I654" s="7" t="s">
        <v>719</v>
      </c>
      <c r="W654" s="1488"/>
      <c r="X654" s="1488"/>
      <c r="Y654" s="1488"/>
      <c r="Z654" s="1488"/>
    </row>
    <row r="655" spans="1:26">
      <c r="A655" s="7" t="s">
        <v>19</v>
      </c>
      <c r="B655" s="7" t="s">
        <v>3053</v>
      </c>
      <c r="C655" s="7">
        <v>4</v>
      </c>
      <c r="D655" s="7" t="s">
        <v>459</v>
      </c>
      <c r="E655" s="7" t="s">
        <v>1228</v>
      </c>
      <c r="F655" s="7" t="s">
        <v>2729</v>
      </c>
      <c r="G655" s="7" t="s">
        <v>2693</v>
      </c>
      <c r="H655" s="7">
        <v>6.6</v>
      </c>
      <c r="I655" s="7" t="s">
        <v>719</v>
      </c>
      <c r="W655" s="1488"/>
      <c r="X655" s="1488"/>
      <c r="Y655" s="1488"/>
      <c r="Z655" s="1488"/>
    </row>
    <row r="656" spans="1:26">
      <c r="A656" s="7" t="s">
        <v>19</v>
      </c>
      <c r="B656" s="7" t="s">
        <v>3053</v>
      </c>
      <c r="C656" s="7">
        <v>4</v>
      </c>
      <c r="D656" s="7" t="s">
        <v>459</v>
      </c>
      <c r="E656" s="7" t="s">
        <v>1228</v>
      </c>
      <c r="F656" s="7" t="s">
        <v>2729</v>
      </c>
      <c r="G656" s="7" t="s">
        <v>206</v>
      </c>
      <c r="H656" s="7">
        <v>6.5</v>
      </c>
      <c r="I656" s="7" t="s">
        <v>719</v>
      </c>
      <c r="W656" s="1488"/>
      <c r="X656" s="1488"/>
      <c r="Y656" s="1488"/>
      <c r="Z656" s="1488"/>
    </row>
    <row r="657" spans="1:26">
      <c r="A657" s="7" t="s">
        <v>19</v>
      </c>
      <c r="B657" s="7" t="s">
        <v>3053</v>
      </c>
      <c r="C657" s="7">
        <v>4</v>
      </c>
      <c r="D657" s="7" t="s">
        <v>459</v>
      </c>
      <c r="E657" s="7" t="s">
        <v>1228</v>
      </c>
      <c r="F657" s="7" t="s">
        <v>2730</v>
      </c>
      <c r="G657" s="7" t="s">
        <v>191</v>
      </c>
      <c r="H657" s="7">
        <v>6.6</v>
      </c>
      <c r="I657" s="7" t="s">
        <v>719</v>
      </c>
      <c r="W657" s="1488"/>
      <c r="X657" s="1488"/>
      <c r="Y657" s="1488"/>
      <c r="Z657" s="1488"/>
    </row>
    <row r="658" spans="1:26">
      <c r="A658" s="7" t="s">
        <v>19</v>
      </c>
      <c r="B658" s="7" t="s">
        <v>3053</v>
      </c>
      <c r="C658" s="7">
        <v>4</v>
      </c>
      <c r="D658" s="7" t="s">
        <v>459</v>
      </c>
      <c r="E658" s="7" t="s">
        <v>1228</v>
      </c>
      <c r="F658" s="7" t="s">
        <v>2730</v>
      </c>
      <c r="G658" s="7" t="s">
        <v>2693</v>
      </c>
      <c r="H658" s="7">
        <v>6.6</v>
      </c>
      <c r="I658" s="7" t="s">
        <v>719</v>
      </c>
      <c r="W658" s="1488"/>
      <c r="X658" s="1488"/>
      <c r="Y658" s="1488"/>
      <c r="Z658" s="1488"/>
    </row>
    <row r="659" spans="1:26">
      <c r="A659" s="7" t="s">
        <v>19</v>
      </c>
      <c r="B659" s="7" t="s">
        <v>3053</v>
      </c>
      <c r="C659" s="7">
        <v>4</v>
      </c>
      <c r="D659" s="7" t="s">
        <v>459</v>
      </c>
      <c r="E659" s="7" t="s">
        <v>1228</v>
      </c>
      <c r="F659" s="7" t="s">
        <v>2730</v>
      </c>
      <c r="G659" s="7" t="s">
        <v>206</v>
      </c>
      <c r="H659" s="7">
        <v>6.5</v>
      </c>
      <c r="I659" s="7" t="s">
        <v>719</v>
      </c>
      <c r="W659" s="1488"/>
      <c r="X659" s="1488"/>
      <c r="Y659" s="1488"/>
      <c r="Z659" s="1488"/>
    </row>
    <row r="660" spans="1:26">
      <c r="A660" s="7" t="s">
        <v>19</v>
      </c>
      <c r="B660" s="7" t="s">
        <v>3053</v>
      </c>
      <c r="C660" s="7">
        <v>4</v>
      </c>
      <c r="D660" s="7" t="s">
        <v>459</v>
      </c>
      <c r="E660" s="7" t="s">
        <v>1228</v>
      </c>
      <c r="F660" s="7" t="s">
        <v>209</v>
      </c>
      <c r="G660" s="7" t="s">
        <v>191</v>
      </c>
      <c r="H660" s="7">
        <v>6.6</v>
      </c>
      <c r="I660" s="7" t="s">
        <v>719</v>
      </c>
      <c r="W660" s="1488"/>
      <c r="X660" s="1488"/>
      <c r="Y660" s="1488"/>
      <c r="Z660" s="1488"/>
    </row>
    <row r="661" spans="1:26">
      <c r="A661" s="7" t="s">
        <v>19</v>
      </c>
      <c r="B661" s="7" t="s">
        <v>3053</v>
      </c>
      <c r="C661" s="7">
        <v>4</v>
      </c>
      <c r="D661" s="7" t="s">
        <v>459</v>
      </c>
      <c r="E661" s="7" t="s">
        <v>1228</v>
      </c>
      <c r="F661" s="7" t="s">
        <v>209</v>
      </c>
      <c r="G661" s="7" t="s">
        <v>2693</v>
      </c>
      <c r="H661" s="7">
        <v>6.6</v>
      </c>
      <c r="I661" s="7" t="s">
        <v>719</v>
      </c>
      <c r="W661" s="1488"/>
      <c r="X661" s="1488"/>
      <c r="Y661" s="1488"/>
      <c r="Z661" s="1488"/>
    </row>
    <row r="662" spans="1:26">
      <c r="A662" s="7" t="s">
        <v>19</v>
      </c>
      <c r="B662" s="7" t="s">
        <v>3053</v>
      </c>
      <c r="C662" s="7">
        <v>4</v>
      </c>
      <c r="D662" s="7" t="s">
        <v>459</v>
      </c>
      <c r="E662" s="7" t="s">
        <v>1228</v>
      </c>
      <c r="F662" s="7" t="s">
        <v>209</v>
      </c>
      <c r="G662" s="7" t="s">
        <v>206</v>
      </c>
      <c r="H662" s="7">
        <v>6.5</v>
      </c>
      <c r="I662" s="7" t="s">
        <v>719</v>
      </c>
      <c r="W662" s="1488"/>
      <c r="X662" s="1488"/>
      <c r="Y662" s="1488"/>
      <c r="Z662" s="1488"/>
    </row>
    <row r="663" spans="1:26">
      <c r="A663" s="7" t="s">
        <v>19</v>
      </c>
      <c r="B663" s="7" t="s">
        <v>3053</v>
      </c>
      <c r="C663" s="7">
        <v>4</v>
      </c>
      <c r="D663" s="7" t="s">
        <v>459</v>
      </c>
      <c r="E663" s="7" t="s">
        <v>1228</v>
      </c>
      <c r="F663" s="7" t="s">
        <v>2731</v>
      </c>
      <c r="G663" s="7" t="s">
        <v>191</v>
      </c>
      <c r="H663" s="7">
        <v>6.6</v>
      </c>
      <c r="I663" s="7" t="s">
        <v>719</v>
      </c>
      <c r="W663" s="1488"/>
      <c r="X663" s="1488"/>
      <c r="Y663" s="1488"/>
      <c r="Z663" s="1488"/>
    </row>
    <row r="664" spans="1:26">
      <c r="A664" s="7" t="s">
        <v>19</v>
      </c>
      <c r="B664" s="7" t="s">
        <v>3053</v>
      </c>
      <c r="C664" s="7">
        <v>4</v>
      </c>
      <c r="D664" s="7" t="s">
        <v>459</v>
      </c>
      <c r="E664" s="7" t="s">
        <v>1228</v>
      </c>
      <c r="F664" s="7" t="s">
        <v>2731</v>
      </c>
      <c r="G664" s="7" t="s">
        <v>2693</v>
      </c>
      <c r="H664" s="7">
        <v>6.6</v>
      </c>
      <c r="I664" s="7" t="s">
        <v>719</v>
      </c>
      <c r="W664" s="1488"/>
      <c r="X664" s="1488"/>
      <c r="Y664" s="1488"/>
      <c r="Z664" s="1488"/>
    </row>
    <row r="665" spans="1:26">
      <c r="A665" s="7" t="s">
        <v>19</v>
      </c>
      <c r="B665" s="7" t="s">
        <v>3053</v>
      </c>
      <c r="C665" s="7">
        <v>4</v>
      </c>
      <c r="D665" s="7" t="s">
        <v>459</v>
      </c>
      <c r="E665" s="7" t="s">
        <v>1228</v>
      </c>
      <c r="F665" s="7" t="s">
        <v>2731</v>
      </c>
      <c r="G665" s="7" t="s">
        <v>206</v>
      </c>
      <c r="H665" s="7">
        <v>6.5</v>
      </c>
      <c r="I665" s="7" t="s">
        <v>719</v>
      </c>
      <c r="W665" s="1488"/>
      <c r="X665" s="1488"/>
      <c r="Y665" s="1488"/>
      <c r="Z665" s="1488"/>
    </row>
    <row r="666" spans="1:26">
      <c r="A666" s="7" t="s">
        <v>19</v>
      </c>
      <c r="B666" s="7" t="s">
        <v>3053</v>
      </c>
      <c r="C666" s="7">
        <v>4</v>
      </c>
      <c r="D666" s="7" t="s">
        <v>459</v>
      </c>
      <c r="E666" s="7" t="s">
        <v>1228</v>
      </c>
      <c r="F666" s="7" t="s">
        <v>2732</v>
      </c>
      <c r="G666" s="7" t="s">
        <v>191</v>
      </c>
      <c r="H666" s="7">
        <v>6.6</v>
      </c>
      <c r="I666" s="7" t="s">
        <v>719</v>
      </c>
      <c r="W666" s="1488"/>
      <c r="X666" s="1488"/>
      <c r="Y666" s="1488"/>
      <c r="Z666" s="1488"/>
    </row>
    <row r="667" spans="1:26">
      <c r="A667" s="7" t="s">
        <v>19</v>
      </c>
      <c r="B667" s="7" t="s">
        <v>3053</v>
      </c>
      <c r="C667" s="7">
        <v>4</v>
      </c>
      <c r="D667" s="7" t="s">
        <v>459</v>
      </c>
      <c r="E667" s="7" t="s">
        <v>1228</v>
      </c>
      <c r="F667" s="7" t="s">
        <v>2732</v>
      </c>
      <c r="G667" s="7" t="s">
        <v>2693</v>
      </c>
      <c r="H667" s="7">
        <v>6.6</v>
      </c>
      <c r="I667" s="7" t="s">
        <v>719</v>
      </c>
      <c r="W667" s="1488"/>
      <c r="X667" s="1488"/>
      <c r="Y667" s="1488"/>
      <c r="Z667" s="1488"/>
    </row>
    <row r="668" spans="1:26">
      <c r="A668" s="7" t="s">
        <v>19</v>
      </c>
      <c r="B668" s="7" t="s">
        <v>3053</v>
      </c>
      <c r="C668" s="7">
        <v>4</v>
      </c>
      <c r="D668" s="7" t="s">
        <v>459</v>
      </c>
      <c r="E668" s="7" t="s">
        <v>1228</v>
      </c>
      <c r="F668" s="7" t="s">
        <v>2732</v>
      </c>
      <c r="G668" s="7" t="s">
        <v>206</v>
      </c>
      <c r="H668" s="7">
        <v>6.5</v>
      </c>
      <c r="I668" s="7" t="s">
        <v>719</v>
      </c>
      <c r="W668" s="1488"/>
      <c r="X668" s="1488"/>
      <c r="Y668" s="1488"/>
      <c r="Z668" s="1488"/>
    </row>
    <row r="669" spans="1:26">
      <c r="A669" s="7" t="s">
        <v>19</v>
      </c>
      <c r="B669" s="7" t="s">
        <v>3053</v>
      </c>
      <c r="C669" s="7">
        <v>4</v>
      </c>
      <c r="D669" s="7" t="s">
        <v>459</v>
      </c>
      <c r="E669" s="7" t="s">
        <v>1228</v>
      </c>
      <c r="F669" s="7" t="s">
        <v>210</v>
      </c>
      <c r="G669" s="7" t="s">
        <v>191</v>
      </c>
      <c r="H669" s="7">
        <v>6.6</v>
      </c>
      <c r="I669" s="7" t="s">
        <v>719</v>
      </c>
      <c r="W669" s="1488"/>
      <c r="X669" s="1488"/>
      <c r="Y669" s="1488"/>
      <c r="Z669" s="1488"/>
    </row>
    <row r="670" spans="1:26">
      <c r="A670" s="7" t="s">
        <v>19</v>
      </c>
      <c r="B670" s="7" t="s">
        <v>3053</v>
      </c>
      <c r="C670" s="7">
        <v>4</v>
      </c>
      <c r="D670" s="7" t="s">
        <v>459</v>
      </c>
      <c r="E670" s="7" t="s">
        <v>1228</v>
      </c>
      <c r="F670" s="7" t="s">
        <v>210</v>
      </c>
      <c r="G670" s="7" t="s">
        <v>2693</v>
      </c>
      <c r="H670" s="7">
        <v>6.6</v>
      </c>
      <c r="I670" s="7" t="s">
        <v>719</v>
      </c>
      <c r="W670" s="1488"/>
      <c r="X670" s="1488"/>
      <c r="Y670" s="1488"/>
      <c r="Z670" s="1488"/>
    </row>
    <row r="671" spans="1:26">
      <c r="A671" s="7" t="s">
        <v>19</v>
      </c>
      <c r="B671" s="7" t="s">
        <v>3053</v>
      </c>
      <c r="C671" s="7">
        <v>4</v>
      </c>
      <c r="D671" s="7" t="s">
        <v>459</v>
      </c>
      <c r="E671" s="7" t="s">
        <v>1228</v>
      </c>
      <c r="F671" s="7" t="s">
        <v>210</v>
      </c>
      <c r="G671" s="7" t="s">
        <v>206</v>
      </c>
      <c r="H671" s="7">
        <v>6.5</v>
      </c>
      <c r="I671" s="7" t="s">
        <v>719</v>
      </c>
      <c r="W671" s="1488"/>
      <c r="X671" s="1488"/>
      <c r="Y671" s="1488"/>
      <c r="Z671" s="1488"/>
    </row>
    <row r="672" spans="1:26">
      <c r="A672" s="7" t="s">
        <v>19</v>
      </c>
      <c r="B672" s="7" t="s">
        <v>3053</v>
      </c>
      <c r="C672" s="7">
        <v>4</v>
      </c>
      <c r="D672" s="7" t="s">
        <v>459</v>
      </c>
      <c r="E672" s="7" t="s">
        <v>1234</v>
      </c>
      <c r="F672" s="7" t="s">
        <v>2921</v>
      </c>
      <c r="G672" s="7" t="s">
        <v>2924</v>
      </c>
      <c r="H672" s="7">
        <v>5.6</v>
      </c>
      <c r="I672" s="7" t="s">
        <v>718</v>
      </c>
      <c r="W672" s="1488"/>
      <c r="X672" s="1488"/>
      <c r="Y672" s="1488"/>
      <c r="Z672" s="1488"/>
    </row>
    <row r="673" spans="1:26">
      <c r="A673" s="7" t="s">
        <v>19</v>
      </c>
      <c r="B673" s="7" t="s">
        <v>3053</v>
      </c>
      <c r="C673" s="7">
        <v>4</v>
      </c>
      <c r="D673" s="7" t="s">
        <v>459</v>
      </c>
      <c r="E673" s="7" t="s">
        <v>1234</v>
      </c>
      <c r="F673" s="7" t="s">
        <v>2921</v>
      </c>
      <c r="G673" s="7" t="s">
        <v>2923</v>
      </c>
      <c r="H673" s="7">
        <v>5.6</v>
      </c>
      <c r="I673" s="7" t="s">
        <v>718</v>
      </c>
      <c r="W673" s="1488"/>
      <c r="X673" s="1488"/>
      <c r="Y673" s="1488"/>
      <c r="Z673" s="1488"/>
    </row>
    <row r="674" spans="1:26">
      <c r="A674" s="7" t="s">
        <v>19</v>
      </c>
      <c r="B674" s="7" t="s">
        <v>3053</v>
      </c>
      <c r="C674" s="7">
        <v>4</v>
      </c>
      <c r="D674" s="7" t="s">
        <v>459</v>
      </c>
      <c r="E674" s="7" t="s">
        <v>1234</v>
      </c>
      <c r="F674" s="7" t="s">
        <v>2921</v>
      </c>
      <c r="G674" s="7" t="s">
        <v>2922</v>
      </c>
      <c r="H674" s="7">
        <v>5.6</v>
      </c>
      <c r="I674" s="7" t="s">
        <v>718</v>
      </c>
      <c r="W674" s="1488"/>
      <c r="X674" s="1488"/>
      <c r="Y674" s="1488"/>
      <c r="Z674" s="1488"/>
    </row>
    <row r="675" spans="1:26">
      <c r="A675" s="7" t="s">
        <v>19</v>
      </c>
      <c r="B675" s="7" t="s">
        <v>3053</v>
      </c>
      <c r="C675" s="7">
        <v>4</v>
      </c>
      <c r="D675" s="7" t="s">
        <v>459</v>
      </c>
      <c r="E675" s="7" t="s">
        <v>1895</v>
      </c>
      <c r="F675" s="7" t="s">
        <v>2804</v>
      </c>
      <c r="G675" s="7" t="s">
        <v>2700</v>
      </c>
      <c r="H675" s="7">
        <v>5.8</v>
      </c>
      <c r="I675" s="7" t="s">
        <v>718</v>
      </c>
      <c r="W675" s="1488"/>
      <c r="X675" s="1488"/>
      <c r="Y675" s="1488"/>
      <c r="Z675" s="1488"/>
    </row>
    <row r="676" spans="1:26">
      <c r="A676" s="7" t="s">
        <v>19</v>
      </c>
      <c r="B676" s="7" t="s">
        <v>3053</v>
      </c>
      <c r="C676" s="7">
        <v>4</v>
      </c>
      <c r="D676" s="7" t="s">
        <v>459</v>
      </c>
      <c r="E676" s="7" t="s">
        <v>1895</v>
      </c>
      <c r="F676" s="7" t="s">
        <v>2804</v>
      </c>
      <c r="G676" s="7" t="s">
        <v>2810</v>
      </c>
      <c r="H676" s="7">
        <v>5.8</v>
      </c>
      <c r="I676" s="7" t="s">
        <v>718</v>
      </c>
      <c r="W676" s="1488"/>
      <c r="X676" s="1488"/>
      <c r="Y676" s="1488"/>
      <c r="Z676" s="1488"/>
    </row>
    <row r="677" spans="1:26">
      <c r="A677" s="7" t="s">
        <v>19</v>
      </c>
      <c r="B677" s="7" t="s">
        <v>3053</v>
      </c>
      <c r="C677" s="7">
        <v>4</v>
      </c>
      <c r="D677" s="7" t="s">
        <v>459</v>
      </c>
      <c r="E677" s="7" t="s">
        <v>1895</v>
      </c>
      <c r="F677" s="7" t="s">
        <v>2804</v>
      </c>
      <c r="G677" s="7" t="s">
        <v>2811</v>
      </c>
      <c r="H677" s="7">
        <v>5.8</v>
      </c>
      <c r="I677" s="7" t="s">
        <v>719</v>
      </c>
      <c r="W677" s="1488"/>
      <c r="X677" s="1488"/>
      <c r="Y677" s="1488"/>
      <c r="Z677" s="1488"/>
    </row>
    <row r="678" spans="1:26">
      <c r="A678" s="7" t="s">
        <v>19</v>
      </c>
      <c r="B678" s="7" t="s">
        <v>3053</v>
      </c>
      <c r="C678" s="7">
        <v>4</v>
      </c>
      <c r="D678" s="7" t="s">
        <v>459</v>
      </c>
      <c r="E678" s="7" t="s">
        <v>1895</v>
      </c>
      <c r="F678" s="7" t="s">
        <v>2804</v>
      </c>
      <c r="G678" s="7" t="s">
        <v>2812</v>
      </c>
      <c r="H678" s="7">
        <v>5.8</v>
      </c>
      <c r="I678" s="7" t="s">
        <v>719</v>
      </c>
      <c r="W678" s="1488"/>
      <c r="X678" s="1488"/>
      <c r="Y678" s="1488"/>
      <c r="Z678" s="1488"/>
    </row>
    <row r="679" spans="1:26">
      <c r="A679" s="7" t="s">
        <v>19</v>
      </c>
      <c r="B679" s="7" t="s">
        <v>3053</v>
      </c>
      <c r="C679" s="7">
        <v>4</v>
      </c>
      <c r="D679" s="7" t="s">
        <v>459</v>
      </c>
      <c r="E679" s="7" t="s">
        <v>1895</v>
      </c>
      <c r="F679" s="7" t="s">
        <v>1026</v>
      </c>
      <c r="G679" s="7" t="s">
        <v>2700</v>
      </c>
      <c r="H679" s="7">
        <v>5.6</v>
      </c>
      <c r="I679" s="7" t="s">
        <v>718</v>
      </c>
      <c r="W679" s="1488"/>
      <c r="X679" s="1488"/>
      <c r="Y679" s="1488"/>
      <c r="Z679" s="1488"/>
    </row>
    <row r="680" spans="1:26">
      <c r="A680" s="7" t="s">
        <v>19</v>
      </c>
      <c r="B680" s="7" t="s">
        <v>3053</v>
      </c>
      <c r="C680" s="7">
        <v>4</v>
      </c>
      <c r="D680" s="7" t="s">
        <v>459</v>
      </c>
      <c r="E680" s="7" t="s">
        <v>1895</v>
      </c>
      <c r="F680" s="7" t="s">
        <v>2741</v>
      </c>
      <c r="G680" s="7" t="s">
        <v>191</v>
      </c>
      <c r="H680" s="7">
        <v>6.6</v>
      </c>
      <c r="I680" s="7" t="s">
        <v>719</v>
      </c>
      <c r="W680" s="1488"/>
      <c r="X680" s="1488"/>
      <c r="Y680" s="1488"/>
      <c r="Z680" s="1488"/>
    </row>
    <row r="681" spans="1:26">
      <c r="A681" s="7" t="s">
        <v>19</v>
      </c>
      <c r="B681" s="7" t="s">
        <v>3053</v>
      </c>
      <c r="C681" s="7">
        <v>4</v>
      </c>
      <c r="D681" s="7" t="s">
        <v>459</v>
      </c>
      <c r="E681" s="7" t="s">
        <v>1895</v>
      </c>
      <c r="F681" s="7" t="s">
        <v>2741</v>
      </c>
      <c r="G681" s="7" t="s">
        <v>2693</v>
      </c>
      <c r="H681" s="7">
        <v>6.6</v>
      </c>
      <c r="I681" s="7" t="s">
        <v>719</v>
      </c>
      <c r="W681" s="1488"/>
      <c r="X681" s="1488"/>
      <c r="Y681" s="1488"/>
      <c r="Z681" s="1488"/>
    </row>
    <row r="682" spans="1:26">
      <c r="A682" s="7" t="s">
        <v>19</v>
      </c>
      <c r="B682" s="7" t="s">
        <v>3053</v>
      </c>
      <c r="C682" s="7">
        <v>4</v>
      </c>
      <c r="D682" s="7" t="s">
        <v>459</v>
      </c>
      <c r="E682" s="7" t="s">
        <v>1895</v>
      </c>
      <c r="F682" s="7" t="s">
        <v>2741</v>
      </c>
      <c r="G682" s="7" t="s">
        <v>206</v>
      </c>
      <c r="H682" s="7">
        <v>6.5</v>
      </c>
      <c r="I682" s="7" t="s">
        <v>719</v>
      </c>
      <c r="W682" s="1488"/>
      <c r="X682" s="1488"/>
      <c r="Y682" s="1488"/>
      <c r="Z682" s="1488"/>
    </row>
    <row r="683" spans="1:26">
      <c r="A683" s="7" t="s">
        <v>19</v>
      </c>
      <c r="B683" s="7" t="s">
        <v>3053</v>
      </c>
      <c r="C683" s="7">
        <v>4</v>
      </c>
      <c r="D683" s="7" t="s">
        <v>459</v>
      </c>
      <c r="E683" s="7" t="s">
        <v>1895</v>
      </c>
      <c r="F683" s="7" t="s">
        <v>2742</v>
      </c>
      <c r="G683" s="7" t="s">
        <v>191</v>
      </c>
      <c r="H683" s="7">
        <v>6.6</v>
      </c>
      <c r="I683" s="7" t="s">
        <v>719</v>
      </c>
      <c r="W683" s="1488"/>
      <c r="X683" s="1488"/>
      <c r="Y683" s="1488"/>
      <c r="Z683" s="1488"/>
    </row>
    <row r="684" spans="1:26">
      <c r="A684" s="7" t="s">
        <v>19</v>
      </c>
      <c r="B684" s="7" t="s">
        <v>3053</v>
      </c>
      <c r="C684" s="7">
        <v>4</v>
      </c>
      <c r="D684" s="7" t="s">
        <v>459</v>
      </c>
      <c r="E684" s="7" t="s">
        <v>1895</v>
      </c>
      <c r="F684" s="7" t="s">
        <v>2742</v>
      </c>
      <c r="G684" s="7" t="s">
        <v>2693</v>
      </c>
      <c r="H684" s="7">
        <v>6.6</v>
      </c>
      <c r="I684" s="7" t="s">
        <v>719</v>
      </c>
      <c r="W684" s="1488"/>
      <c r="X684" s="1488"/>
      <c r="Y684" s="1488"/>
      <c r="Z684" s="1488"/>
    </row>
    <row r="685" spans="1:26">
      <c r="A685" s="7" t="s">
        <v>19</v>
      </c>
      <c r="B685" s="7" t="s">
        <v>3053</v>
      </c>
      <c r="C685" s="7">
        <v>4</v>
      </c>
      <c r="D685" s="7" t="s">
        <v>459</v>
      </c>
      <c r="E685" s="7" t="s">
        <v>1895</v>
      </c>
      <c r="F685" s="7" t="s">
        <v>2742</v>
      </c>
      <c r="G685" s="7" t="s">
        <v>206</v>
      </c>
      <c r="H685" s="7">
        <v>6.5</v>
      </c>
      <c r="I685" s="7" t="s">
        <v>719</v>
      </c>
      <c r="W685" s="1488"/>
      <c r="X685" s="1488"/>
      <c r="Y685" s="1488"/>
      <c r="Z685" s="1488"/>
    </row>
    <row r="686" spans="1:26">
      <c r="A686" s="7" t="s">
        <v>19</v>
      </c>
      <c r="B686" s="7" t="s">
        <v>687</v>
      </c>
      <c r="C686" s="7">
        <v>1</v>
      </c>
      <c r="D686" s="7" t="s">
        <v>451</v>
      </c>
      <c r="E686" s="7" t="s">
        <v>451</v>
      </c>
      <c r="F686" s="7" t="s">
        <v>370</v>
      </c>
      <c r="G686" s="7" t="s">
        <v>959</v>
      </c>
      <c r="H686" s="7">
        <v>4.3</v>
      </c>
      <c r="I686" s="7" t="s">
        <v>718</v>
      </c>
      <c r="W686" s="1488"/>
      <c r="X686" s="1488"/>
      <c r="Y686" s="1488"/>
      <c r="Z686" s="1488"/>
    </row>
    <row r="687" spans="1:26">
      <c r="A687" s="7" t="s">
        <v>19</v>
      </c>
      <c r="B687" s="7" t="s">
        <v>687</v>
      </c>
      <c r="C687" s="7">
        <v>1</v>
      </c>
      <c r="D687" s="7" t="s">
        <v>451</v>
      </c>
      <c r="E687" s="7" t="s">
        <v>451</v>
      </c>
      <c r="F687" s="7" t="s">
        <v>370</v>
      </c>
      <c r="G687" s="7" t="s">
        <v>960</v>
      </c>
      <c r="H687" s="7">
        <v>4.3</v>
      </c>
      <c r="I687" s="7" t="s">
        <v>718</v>
      </c>
      <c r="W687" s="1488"/>
      <c r="X687" s="1488"/>
      <c r="Y687" s="1488"/>
      <c r="Z687" s="1488"/>
    </row>
    <row r="688" spans="1:26">
      <c r="A688" s="7" t="s">
        <v>19</v>
      </c>
      <c r="B688" s="7" t="s">
        <v>687</v>
      </c>
      <c r="C688" s="7">
        <v>1</v>
      </c>
      <c r="D688" s="7" t="s">
        <v>451</v>
      </c>
      <c r="E688" s="7" t="s">
        <v>451</v>
      </c>
      <c r="F688" s="7" t="s">
        <v>957</v>
      </c>
      <c r="G688" s="7" t="s">
        <v>958</v>
      </c>
      <c r="H688" s="7">
        <v>4.3</v>
      </c>
      <c r="I688" s="7" t="s">
        <v>718</v>
      </c>
      <c r="W688" s="1488"/>
      <c r="X688" s="1488"/>
      <c r="Y688" s="1488"/>
      <c r="Z688" s="1488"/>
    </row>
    <row r="689" spans="1:26">
      <c r="A689" s="7" t="s">
        <v>19</v>
      </c>
      <c r="B689" s="7" t="s">
        <v>687</v>
      </c>
      <c r="C689" s="7">
        <v>1</v>
      </c>
      <c r="D689" s="7" t="s">
        <v>451</v>
      </c>
      <c r="E689" s="7" t="s">
        <v>451</v>
      </c>
      <c r="F689" s="7" t="s">
        <v>357</v>
      </c>
      <c r="G689" s="7" t="s">
        <v>961</v>
      </c>
      <c r="H689" s="7">
        <v>4.3</v>
      </c>
      <c r="I689" s="7" t="s">
        <v>718</v>
      </c>
      <c r="W689" s="1488"/>
      <c r="X689" s="1488"/>
      <c r="Y689" s="1488"/>
      <c r="Z689" s="1488"/>
    </row>
    <row r="690" spans="1:26">
      <c r="A690" s="7" t="s">
        <v>19</v>
      </c>
      <c r="B690" s="7" t="s">
        <v>687</v>
      </c>
      <c r="C690" s="7">
        <v>1</v>
      </c>
      <c r="D690" s="7" t="s">
        <v>451</v>
      </c>
      <c r="E690" s="7" t="s">
        <v>451</v>
      </c>
      <c r="F690" s="7" t="s">
        <v>357</v>
      </c>
      <c r="G690" s="7" t="s">
        <v>2926</v>
      </c>
      <c r="H690" s="7">
        <v>4.3</v>
      </c>
      <c r="I690" s="7" t="s">
        <v>718</v>
      </c>
      <c r="W690" s="1488"/>
      <c r="X690" s="1488"/>
      <c r="Y690" s="1488"/>
      <c r="Z690" s="1488"/>
    </row>
    <row r="691" spans="1:26">
      <c r="A691" s="7" t="s">
        <v>19</v>
      </c>
      <c r="B691" s="7" t="s">
        <v>687</v>
      </c>
      <c r="C691" s="7">
        <v>1</v>
      </c>
      <c r="D691" s="7" t="s">
        <v>451</v>
      </c>
      <c r="E691" s="7" t="s">
        <v>451</v>
      </c>
      <c r="F691" s="7" t="s">
        <v>357</v>
      </c>
      <c r="G691" s="7" t="s">
        <v>2927</v>
      </c>
      <c r="H691" s="7">
        <v>4.3</v>
      </c>
      <c r="I691" s="7" t="s">
        <v>718</v>
      </c>
      <c r="W691" s="1488"/>
      <c r="X691" s="1488"/>
      <c r="Y691" s="1488"/>
      <c r="Z691" s="1488"/>
    </row>
    <row r="692" spans="1:26">
      <c r="A692" s="7" t="s">
        <v>19</v>
      </c>
      <c r="B692" s="7" t="s">
        <v>687</v>
      </c>
      <c r="C692" s="7">
        <v>1</v>
      </c>
      <c r="D692" s="7" t="s">
        <v>451</v>
      </c>
      <c r="E692" s="7" t="s">
        <v>451</v>
      </c>
      <c r="F692" s="7" t="s">
        <v>357</v>
      </c>
      <c r="G692" s="7" t="s">
        <v>2925</v>
      </c>
      <c r="H692" s="7">
        <v>4.3</v>
      </c>
      <c r="I692" s="7" t="s">
        <v>718</v>
      </c>
      <c r="W692" s="1488"/>
      <c r="X692" s="1488"/>
      <c r="Y692" s="1488"/>
      <c r="Z692" s="1488"/>
    </row>
    <row r="693" spans="1:26">
      <c r="A693" s="7" t="s">
        <v>19</v>
      </c>
      <c r="B693" s="7" t="s">
        <v>687</v>
      </c>
      <c r="C693" s="7">
        <v>1</v>
      </c>
      <c r="D693" s="7" t="s">
        <v>451</v>
      </c>
      <c r="E693" s="7" t="s">
        <v>451</v>
      </c>
      <c r="F693" s="7" t="s">
        <v>357</v>
      </c>
      <c r="G693" s="7" t="s">
        <v>962</v>
      </c>
      <c r="H693" s="7">
        <v>4.3</v>
      </c>
      <c r="I693" s="7" t="s">
        <v>718</v>
      </c>
      <c r="W693" s="1488"/>
      <c r="X693" s="1488"/>
      <c r="Y693" s="1488"/>
      <c r="Z693" s="1488"/>
    </row>
    <row r="694" spans="1:26">
      <c r="A694" s="7" t="s">
        <v>19</v>
      </c>
      <c r="B694" s="7" t="s">
        <v>687</v>
      </c>
      <c r="C694" s="7">
        <v>1</v>
      </c>
      <c r="D694" s="7" t="s">
        <v>451</v>
      </c>
      <c r="E694" s="7" t="s">
        <v>451</v>
      </c>
      <c r="F694" s="7" t="s">
        <v>357</v>
      </c>
      <c r="G694" s="7" t="s">
        <v>2928</v>
      </c>
      <c r="H694" s="7">
        <v>4.3</v>
      </c>
      <c r="I694" s="7" t="s">
        <v>718</v>
      </c>
      <c r="W694" s="1488"/>
      <c r="X694" s="1488"/>
      <c r="Y694" s="1488"/>
      <c r="Z694" s="1488"/>
    </row>
    <row r="695" spans="1:26">
      <c r="A695" s="7" t="s">
        <v>19</v>
      </c>
      <c r="B695" s="7" t="s">
        <v>687</v>
      </c>
      <c r="C695" s="7">
        <v>1</v>
      </c>
      <c r="D695" s="7" t="s">
        <v>451</v>
      </c>
      <c r="E695" s="7" t="s">
        <v>451</v>
      </c>
      <c r="F695" s="7" t="s">
        <v>357</v>
      </c>
      <c r="G695" s="7" t="s">
        <v>963</v>
      </c>
      <c r="H695" s="7">
        <v>4.3</v>
      </c>
      <c r="I695" s="7" t="s">
        <v>718</v>
      </c>
      <c r="W695" s="1488"/>
      <c r="X695" s="1488"/>
      <c r="Y695" s="1488"/>
      <c r="Z695" s="1488"/>
    </row>
    <row r="696" spans="1:26">
      <c r="A696" s="7" t="s">
        <v>19</v>
      </c>
      <c r="B696" s="7" t="s">
        <v>687</v>
      </c>
      <c r="C696" s="7">
        <v>1</v>
      </c>
      <c r="D696" s="7" t="s">
        <v>451</v>
      </c>
      <c r="E696" s="7" t="s">
        <v>451</v>
      </c>
      <c r="F696" s="7" t="s">
        <v>357</v>
      </c>
      <c r="G696" s="7" t="s">
        <v>2929</v>
      </c>
      <c r="H696" s="7">
        <v>4.3</v>
      </c>
      <c r="I696" s="7" t="s">
        <v>718</v>
      </c>
      <c r="W696" s="1488"/>
      <c r="X696" s="1488"/>
      <c r="Y696" s="1488"/>
      <c r="Z696" s="1488"/>
    </row>
    <row r="697" spans="1:26">
      <c r="A697" s="7" t="s">
        <v>19</v>
      </c>
      <c r="B697" s="7" t="s">
        <v>687</v>
      </c>
      <c r="C697" s="7">
        <v>1</v>
      </c>
      <c r="D697" s="7" t="s">
        <v>451</v>
      </c>
      <c r="E697" s="7" t="s">
        <v>451</v>
      </c>
      <c r="F697" s="7" t="s">
        <v>357</v>
      </c>
      <c r="G697" s="7" t="s">
        <v>964</v>
      </c>
      <c r="H697" s="7">
        <v>4.3</v>
      </c>
      <c r="I697" s="7" t="s">
        <v>718</v>
      </c>
      <c r="W697" s="1488"/>
      <c r="X697" s="1488"/>
      <c r="Y697" s="1488"/>
      <c r="Z697" s="1488"/>
    </row>
    <row r="698" spans="1:26">
      <c r="A698" s="7" t="s">
        <v>19</v>
      </c>
      <c r="B698" s="7" t="s">
        <v>687</v>
      </c>
      <c r="C698" s="7">
        <v>1</v>
      </c>
      <c r="D698" s="7" t="s">
        <v>451</v>
      </c>
      <c r="E698" s="7" t="s">
        <v>451</v>
      </c>
      <c r="F698" s="7" t="s">
        <v>357</v>
      </c>
      <c r="G698" s="7" t="s">
        <v>2930</v>
      </c>
      <c r="H698" s="7">
        <v>4.3</v>
      </c>
      <c r="I698" s="7" t="s">
        <v>718</v>
      </c>
      <c r="W698" s="1488"/>
      <c r="X698" s="1488"/>
      <c r="Y698" s="1488"/>
      <c r="Z698" s="1488"/>
    </row>
    <row r="699" spans="1:26">
      <c r="A699" s="7" t="s">
        <v>19</v>
      </c>
      <c r="B699" s="7" t="s">
        <v>687</v>
      </c>
      <c r="C699" s="7">
        <v>1</v>
      </c>
      <c r="D699" s="7" t="s">
        <v>451</v>
      </c>
      <c r="E699" s="7" t="s">
        <v>451</v>
      </c>
      <c r="F699" s="7" t="s">
        <v>357</v>
      </c>
      <c r="G699" s="7" t="s">
        <v>965</v>
      </c>
      <c r="H699" s="7">
        <v>4.3</v>
      </c>
      <c r="I699" s="7" t="s">
        <v>718</v>
      </c>
      <c r="W699" s="1488"/>
      <c r="X699" s="1488"/>
      <c r="Y699" s="1488"/>
      <c r="Z699" s="1488"/>
    </row>
    <row r="700" spans="1:26">
      <c r="A700" s="7" t="s">
        <v>19</v>
      </c>
      <c r="B700" s="7" t="s">
        <v>687</v>
      </c>
      <c r="C700" s="7">
        <v>1</v>
      </c>
      <c r="D700" s="7" t="s">
        <v>451</v>
      </c>
      <c r="E700" s="7" t="s">
        <v>451</v>
      </c>
      <c r="F700" s="7" t="s">
        <v>357</v>
      </c>
      <c r="G700" s="7" t="s">
        <v>2931</v>
      </c>
      <c r="H700" s="7">
        <v>4.3</v>
      </c>
      <c r="I700" s="7" t="s">
        <v>718</v>
      </c>
      <c r="W700" s="1488"/>
      <c r="X700" s="1488"/>
      <c r="Y700" s="1488"/>
      <c r="Z700" s="1488"/>
    </row>
    <row r="701" spans="1:26">
      <c r="A701" s="7" t="s">
        <v>19</v>
      </c>
      <c r="B701" s="7" t="s">
        <v>687</v>
      </c>
      <c r="C701" s="7">
        <v>1</v>
      </c>
      <c r="D701" s="7" t="s">
        <v>451</v>
      </c>
      <c r="E701" s="7" t="s">
        <v>451</v>
      </c>
      <c r="F701" s="7" t="s">
        <v>357</v>
      </c>
      <c r="G701" s="7" t="s">
        <v>966</v>
      </c>
      <c r="H701" s="7">
        <v>4.3</v>
      </c>
      <c r="I701" s="7" t="s">
        <v>718</v>
      </c>
      <c r="W701" s="1488"/>
      <c r="X701" s="1488"/>
      <c r="Y701" s="1488"/>
      <c r="Z701" s="1488"/>
    </row>
    <row r="702" spans="1:26">
      <c r="A702" s="7" t="s">
        <v>19</v>
      </c>
      <c r="B702" s="7" t="s">
        <v>687</v>
      </c>
      <c r="C702" s="7">
        <v>1</v>
      </c>
      <c r="D702" s="7" t="s">
        <v>451</v>
      </c>
      <c r="E702" s="7" t="s">
        <v>451</v>
      </c>
      <c r="F702" s="7" t="s">
        <v>365</v>
      </c>
      <c r="G702" s="7" t="s">
        <v>2932</v>
      </c>
      <c r="H702" s="7">
        <v>4.3</v>
      </c>
      <c r="I702" s="7" t="s">
        <v>718</v>
      </c>
      <c r="W702" s="1488"/>
      <c r="X702" s="1488"/>
      <c r="Y702" s="1488"/>
      <c r="Z702" s="1488"/>
    </row>
    <row r="703" spans="1:26">
      <c r="A703" s="7" t="s">
        <v>19</v>
      </c>
      <c r="B703" s="7" t="s">
        <v>687</v>
      </c>
      <c r="C703" s="7">
        <v>1</v>
      </c>
      <c r="D703" s="7" t="s">
        <v>451</v>
      </c>
      <c r="E703" s="7" t="s">
        <v>451</v>
      </c>
      <c r="F703" s="7" t="s">
        <v>365</v>
      </c>
      <c r="G703" s="7" t="s">
        <v>967</v>
      </c>
      <c r="H703" s="7">
        <v>4.3</v>
      </c>
      <c r="I703" s="7" t="s">
        <v>718</v>
      </c>
      <c r="W703" s="1488"/>
      <c r="X703" s="1488"/>
      <c r="Y703" s="1488"/>
      <c r="Z703" s="1488"/>
    </row>
    <row r="704" spans="1:26">
      <c r="A704" s="7" t="s">
        <v>19</v>
      </c>
      <c r="B704" s="7" t="s">
        <v>687</v>
      </c>
      <c r="C704" s="7">
        <v>1</v>
      </c>
      <c r="D704" s="7" t="s">
        <v>451</v>
      </c>
      <c r="E704" s="7" t="s">
        <v>451</v>
      </c>
      <c r="F704" s="7" t="s">
        <v>365</v>
      </c>
      <c r="G704" s="7" t="s">
        <v>968</v>
      </c>
      <c r="H704" s="7">
        <v>4.3</v>
      </c>
      <c r="I704" s="7" t="s">
        <v>718</v>
      </c>
      <c r="W704" s="1488"/>
      <c r="X704" s="1488"/>
      <c r="Y704" s="1488"/>
      <c r="Z704" s="1488"/>
    </row>
    <row r="705" spans="1:26">
      <c r="A705" s="7" t="s">
        <v>19</v>
      </c>
      <c r="B705" s="7" t="s">
        <v>687</v>
      </c>
      <c r="C705" s="7">
        <v>1</v>
      </c>
      <c r="D705" s="7" t="s">
        <v>451</v>
      </c>
      <c r="E705" s="7" t="s">
        <v>451</v>
      </c>
      <c r="F705" s="7" t="s">
        <v>365</v>
      </c>
      <c r="G705" s="7" t="s">
        <v>969</v>
      </c>
      <c r="H705" s="7">
        <v>4.3</v>
      </c>
      <c r="I705" s="7" t="s">
        <v>718</v>
      </c>
      <c r="W705" s="1488"/>
      <c r="X705" s="1488"/>
      <c r="Y705" s="1488"/>
      <c r="Z705" s="1488"/>
    </row>
    <row r="706" spans="1:26">
      <c r="A706" s="7" t="s">
        <v>19</v>
      </c>
      <c r="B706" s="7" t="s">
        <v>687</v>
      </c>
      <c r="C706" s="7">
        <v>1</v>
      </c>
      <c r="D706" s="7" t="s">
        <v>451</v>
      </c>
      <c r="E706" s="7" t="s">
        <v>451</v>
      </c>
      <c r="F706" s="7" t="s">
        <v>363</v>
      </c>
      <c r="G706" s="7" t="s">
        <v>2933</v>
      </c>
      <c r="H706" s="7">
        <v>4.3</v>
      </c>
      <c r="I706" s="7" t="s">
        <v>718</v>
      </c>
      <c r="W706" s="1488"/>
      <c r="X706" s="1488"/>
      <c r="Y706" s="1488"/>
      <c r="Z706" s="1488"/>
    </row>
    <row r="707" spans="1:26">
      <c r="A707" s="7" t="s">
        <v>19</v>
      </c>
      <c r="B707" s="7" t="s">
        <v>687</v>
      </c>
      <c r="C707" s="7">
        <v>1</v>
      </c>
      <c r="D707" s="7" t="s">
        <v>451</v>
      </c>
      <c r="E707" s="7" t="s">
        <v>451</v>
      </c>
      <c r="F707" s="7" t="s">
        <v>363</v>
      </c>
      <c r="G707" s="7" t="s">
        <v>2934</v>
      </c>
      <c r="H707" s="7">
        <v>4.3</v>
      </c>
      <c r="I707" s="7" t="s">
        <v>718</v>
      </c>
      <c r="W707" s="1488"/>
      <c r="X707" s="1488"/>
      <c r="Y707" s="1488"/>
      <c r="Z707" s="1488"/>
    </row>
    <row r="708" spans="1:26">
      <c r="A708" s="7" t="s">
        <v>19</v>
      </c>
      <c r="B708" s="7" t="s">
        <v>687</v>
      </c>
      <c r="C708" s="7">
        <v>1</v>
      </c>
      <c r="D708" s="7" t="s">
        <v>451</v>
      </c>
      <c r="E708" s="7" t="s">
        <v>451</v>
      </c>
      <c r="F708" s="7" t="s">
        <v>363</v>
      </c>
      <c r="G708" s="7" t="s">
        <v>970</v>
      </c>
      <c r="H708" s="7">
        <v>4.3</v>
      </c>
      <c r="I708" s="7" t="s">
        <v>718</v>
      </c>
      <c r="W708" s="1488"/>
      <c r="X708" s="1488"/>
      <c r="Y708" s="1488"/>
      <c r="Z708" s="1488"/>
    </row>
    <row r="709" spans="1:26">
      <c r="A709" s="7" t="s">
        <v>19</v>
      </c>
      <c r="B709" s="7" t="s">
        <v>687</v>
      </c>
      <c r="C709" s="7">
        <v>1</v>
      </c>
      <c r="D709" s="7" t="s">
        <v>451</v>
      </c>
      <c r="E709" s="7" t="s">
        <v>451</v>
      </c>
      <c r="F709" s="7" t="s">
        <v>363</v>
      </c>
      <c r="G709" s="7" t="s">
        <v>971</v>
      </c>
      <c r="H709" s="7">
        <v>4.3</v>
      </c>
      <c r="I709" s="7" t="s">
        <v>718</v>
      </c>
      <c r="W709" s="1488"/>
      <c r="X709" s="1488"/>
      <c r="Y709" s="1488"/>
      <c r="Z709" s="1488"/>
    </row>
    <row r="710" spans="1:26">
      <c r="A710" s="7" t="s">
        <v>19</v>
      </c>
      <c r="B710" s="7" t="s">
        <v>687</v>
      </c>
      <c r="C710" s="7">
        <v>1</v>
      </c>
      <c r="D710" s="7" t="s">
        <v>451</v>
      </c>
      <c r="E710" s="7" t="s">
        <v>451</v>
      </c>
      <c r="F710" s="7" t="s">
        <v>371</v>
      </c>
      <c r="G710" s="7" t="s">
        <v>2935</v>
      </c>
      <c r="H710" s="7">
        <v>4.3</v>
      </c>
      <c r="I710" s="7" t="s">
        <v>718</v>
      </c>
      <c r="W710" s="1488"/>
      <c r="X710" s="1488"/>
      <c r="Y710" s="1488"/>
      <c r="Z710" s="1488"/>
    </row>
    <row r="711" spans="1:26">
      <c r="A711" s="7" t="s">
        <v>19</v>
      </c>
      <c r="B711" s="7" t="s">
        <v>687</v>
      </c>
      <c r="C711" s="7">
        <v>1</v>
      </c>
      <c r="D711" s="7" t="s">
        <v>451</v>
      </c>
      <c r="E711" s="7" t="s">
        <v>451</v>
      </c>
      <c r="F711" s="7" t="s">
        <v>371</v>
      </c>
      <c r="G711" s="7" t="s">
        <v>2936</v>
      </c>
      <c r="H711" s="7">
        <v>4.3</v>
      </c>
      <c r="I711" s="7" t="s">
        <v>718</v>
      </c>
      <c r="W711" s="1488"/>
      <c r="X711" s="1488"/>
      <c r="Y711" s="1488"/>
      <c r="Z711" s="1488"/>
    </row>
    <row r="712" spans="1:26">
      <c r="A712" s="7" t="s">
        <v>19</v>
      </c>
      <c r="B712" s="7" t="s">
        <v>687</v>
      </c>
      <c r="C712" s="7">
        <v>1</v>
      </c>
      <c r="D712" s="7" t="s">
        <v>451</v>
      </c>
      <c r="E712" s="7" t="s">
        <v>451</v>
      </c>
      <c r="F712" s="7" t="s">
        <v>371</v>
      </c>
      <c r="G712" s="7" t="s">
        <v>2937</v>
      </c>
      <c r="H712" s="7">
        <v>4.3</v>
      </c>
      <c r="I712" s="7" t="s">
        <v>718</v>
      </c>
      <c r="W712" s="1488"/>
      <c r="X712" s="1488"/>
      <c r="Y712" s="1488"/>
      <c r="Z712" s="1488"/>
    </row>
    <row r="713" spans="1:26">
      <c r="A713" s="7" t="s">
        <v>19</v>
      </c>
      <c r="B713" s="7" t="s">
        <v>687</v>
      </c>
      <c r="C713" s="7">
        <v>1</v>
      </c>
      <c r="D713" s="7" t="s">
        <v>451</v>
      </c>
      <c r="E713" s="7" t="s">
        <v>451</v>
      </c>
      <c r="F713" s="7" t="s">
        <v>371</v>
      </c>
      <c r="G713" s="7" t="s">
        <v>2938</v>
      </c>
      <c r="H713" s="7">
        <v>4.3</v>
      </c>
      <c r="I713" s="7" t="s">
        <v>718</v>
      </c>
      <c r="W713" s="1488"/>
      <c r="X713" s="1488"/>
      <c r="Y713" s="1488"/>
      <c r="Z713" s="1488"/>
    </row>
    <row r="714" spans="1:26">
      <c r="A714" s="7" t="s">
        <v>19</v>
      </c>
      <c r="B714" s="7" t="s">
        <v>687</v>
      </c>
      <c r="C714" s="7">
        <v>1</v>
      </c>
      <c r="D714" s="7" t="s">
        <v>451</v>
      </c>
      <c r="E714" s="7" t="s">
        <v>451</v>
      </c>
      <c r="F714" s="7" t="s">
        <v>372</v>
      </c>
      <c r="G714" s="7" t="s">
        <v>2939</v>
      </c>
      <c r="H714" s="7">
        <v>4.3</v>
      </c>
      <c r="I714" s="7" t="s">
        <v>718</v>
      </c>
      <c r="W714" s="1488"/>
      <c r="X714" s="1488"/>
      <c r="Y714" s="1488"/>
      <c r="Z714" s="1488"/>
    </row>
    <row r="715" spans="1:26">
      <c r="A715" s="7" t="s">
        <v>19</v>
      </c>
      <c r="B715" s="7" t="s">
        <v>687</v>
      </c>
      <c r="C715" s="7">
        <v>1</v>
      </c>
      <c r="D715" s="7" t="s">
        <v>451</v>
      </c>
      <c r="E715" s="7" t="s">
        <v>451</v>
      </c>
      <c r="F715" s="7" t="s">
        <v>372</v>
      </c>
      <c r="G715" s="7" t="s">
        <v>2940</v>
      </c>
      <c r="H715" s="7">
        <v>4.3</v>
      </c>
      <c r="I715" s="7" t="s">
        <v>718</v>
      </c>
      <c r="W715" s="1488"/>
      <c r="X715" s="1488"/>
      <c r="Y715" s="1488"/>
      <c r="Z715" s="1488"/>
    </row>
    <row r="716" spans="1:26">
      <c r="A716" s="7" t="s">
        <v>19</v>
      </c>
      <c r="B716" s="7" t="s">
        <v>687</v>
      </c>
      <c r="C716" s="7">
        <v>1</v>
      </c>
      <c r="D716" s="7" t="s">
        <v>451</v>
      </c>
      <c r="E716" s="7" t="s">
        <v>451</v>
      </c>
      <c r="F716" s="7" t="s">
        <v>372</v>
      </c>
      <c r="G716" s="7" t="s">
        <v>2941</v>
      </c>
      <c r="H716" s="7">
        <v>4.3</v>
      </c>
      <c r="I716" s="7" t="s">
        <v>718</v>
      </c>
      <c r="W716" s="1488"/>
      <c r="X716" s="1488"/>
      <c r="Y716" s="1488"/>
      <c r="Z716" s="1488"/>
    </row>
    <row r="717" spans="1:26">
      <c r="A717" s="7" t="s">
        <v>19</v>
      </c>
      <c r="B717" s="7" t="s">
        <v>687</v>
      </c>
      <c r="C717" s="7">
        <v>1</v>
      </c>
      <c r="D717" s="7" t="s">
        <v>451</v>
      </c>
      <c r="E717" s="7" t="s">
        <v>451</v>
      </c>
      <c r="F717" s="7" t="s">
        <v>372</v>
      </c>
      <c r="G717" s="7" t="s">
        <v>972</v>
      </c>
      <c r="H717" s="7">
        <v>4.3</v>
      </c>
      <c r="I717" s="7" t="s">
        <v>718</v>
      </c>
      <c r="W717" s="1488"/>
      <c r="X717" s="1488"/>
      <c r="Y717" s="1488"/>
      <c r="Z717" s="1488"/>
    </row>
    <row r="718" spans="1:26">
      <c r="A718" s="7" t="s">
        <v>19</v>
      </c>
      <c r="B718" s="7" t="s">
        <v>687</v>
      </c>
      <c r="C718" s="7">
        <v>1</v>
      </c>
      <c r="D718" s="7" t="s">
        <v>451</v>
      </c>
      <c r="E718" s="7" t="s">
        <v>451</v>
      </c>
      <c r="F718" s="7" t="s">
        <v>372</v>
      </c>
      <c r="G718" s="7" t="s">
        <v>2942</v>
      </c>
      <c r="H718" s="7">
        <v>4.3</v>
      </c>
      <c r="I718" s="7" t="s">
        <v>718</v>
      </c>
      <c r="W718" s="1488"/>
      <c r="X718" s="1488"/>
      <c r="Y718" s="1488"/>
      <c r="Z718" s="1488"/>
    </row>
    <row r="719" spans="1:26">
      <c r="A719" s="7" t="s">
        <v>19</v>
      </c>
      <c r="B719" s="7" t="s">
        <v>687</v>
      </c>
      <c r="C719" s="7">
        <v>1</v>
      </c>
      <c r="D719" s="7" t="s">
        <v>451</v>
      </c>
      <c r="E719" s="7" t="s">
        <v>451</v>
      </c>
      <c r="F719" s="7" t="s">
        <v>372</v>
      </c>
      <c r="G719" s="7" t="s">
        <v>2943</v>
      </c>
      <c r="H719" s="7">
        <v>4.3</v>
      </c>
      <c r="I719" s="7" t="s">
        <v>718</v>
      </c>
      <c r="W719" s="1488"/>
      <c r="X719" s="1488"/>
      <c r="Y719" s="1488"/>
      <c r="Z719" s="1488"/>
    </row>
    <row r="720" spans="1:26">
      <c r="A720" s="7" t="s">
        <v>19</v>
      </c>
      <c r="B720" s="7" t="s">
        <v>687</v>
      </c>
      <c r="C720" s="7">
        <v>1</v>
      </c>
      <c r="D720" s="7" t="s">
        <v>451</v>
      </c>
      <c r="E720" s="7" t="s">
        <v>451</v>
      </c>
      <c r="F720" s="7" t="s">
        <v>372</v>
      </c>
      <c r="G720" s="7" t="s">
        <v>2944</v>
      </c>
      <c r="H720" s="7">
        <v>4.3</v>
      </c>
      <c r="I720" s="7" t="s">
        <v>718</v>
      </c>
      <c r="W720" s="1488"/>
      <c r="X720" s="1488"/>
      <c r="Y720" s="1488"/>
      <c r="Z720" s="1488"/>
    </row>
    <row r="721" spans="1:26">
      <c r="A721" s="7" t="s">
        <v>19</v>
      </c>
      <c r="B721" s="7" t="s">
        <v>687</v>
      </c>
      <c r="C721" s="7">
        <v>1</v>
      </c>
      <c r="D721" s="7" t="s">
        <v>451</v>
      </c>
      <c r="E721" s="7" t="s">
        <v>451</v>
      </c>
      <c r="F721" s="7" t="s">
        <v>372</v>
      </c>
      <c r="G721" s="7" t="s">
        <v>2945</v>
      </c>
      <c r="H721" s="7">
        <v>4.3</v>
      </c>
      <c r="I721" s="7" t="s">
        <v>718</v>
      </c>
      <c r="W721" s="1488"/>
      <c r="X721" s="1488"/>
      <c r="Y721" s="1488"/>
      <c r="Z721" s="1488"/>
    </row>
    <row r="722" spans="1:26">
      <c r="A722" s="7" t="s">
        <v>19</v>
      </c>
      <c r="B722" s="7" t="s">
        <v>687</v>
      </c>
      <c r="C722" s="7">
        <v>1</v>
      </c>
      <c r="D722" s="7" t="s">
        <v>451</v>
      </c>
      <c r="E722" s="7" t="s">
        <v>451</v>
      </c>
      <c r="F722" s="7" t="s">
        <v>372</v>
      </c>
      <c r="G722" s="7" t="s">
        <v>973</v>
      </c>
      <c r="H722" s="7">
        <v>4.3</v>
      </c>
      <c r="I722" s="7" t="s">
        <v>718</v>
      </c>
      <c r="W722" s="1488"/>
      <c r="X722" s="1488"/>
      <c r="Y722" s="1488"/>
      <c r="Z722" s="1488"/>
    </row>
    <row r="723" spans="1:26">
      <c r="A723" s="7" t="s">
        <v>19</v>
      </c>
      <c r="B723" s="7" t="s">
        <v>687</v>
      </c>
      <c r="C723" s="7">
        <v>1</v>
      </c>
      <c r="D723" s="7" t="s">
        <v>451</v>
      </c>
      <c r="E723" s="7" t="s">
        <v>451</v>
      </c>
      <c r="F723" s="7" t="s">
        <v>373</v>
      </c>
      <c r="G723" s="7" t="s">
        <v>2947</v>
      </c>
      <c r="H723" s="7">
        <v>4.3</v>
      </c>
      <c r="I723" s="7" t="s">
        <v>718</v>
      </c>
      <c r="W723" s="1488"/>
      <c r="X723" s="1488"/>
      <c r="Y723" s="1488"/>
      <c r="Z723" s="1488"/>
    </row>
    <row r="724" spans="1:26">
      <c r="A724" s="7" t="s">
        <v>19</v>
      </c>
      <c r="B724" s="7" t="s">
        <v>687</v>
      </c>
      <c r="C724" s="7">
        <v>1</v>
      </c>
      <c r="D724" s="7" t="s">
        <v>451</v>
      </c>
      <c r="E724" s="7" t="s">
        <v>451</v>
      </c>
      <c r="F724" s="7" t="s">
        <v>373</v>
      </c>
      <c r="G724" s="7" t="s">
        <v>2946</v>
      </c>
      <c r="H724" s="7">
        <v>4.3</v>
      </c>
      <c r="I724" s="7" t="s">
        <v>718</v>
      </c>
      <c r="W724" s="1488"/>
      <c r="X724" s="1488"/>
      <c r="Y724" s="1488"/>
      <c r="Z724" s="1488"/>
    </row>
    <row r="725" spans="1:26">
      <c r="A725" s="7" t="s">
        <v>19</v>
      </c>
      <c r="B725" s="7" t="s">
        <v>687</v>
      </c>
      <c r="C725" s="7">
        <v>1</v>
      </c>
      <c r="D725" s="7" t="s">
        <v>451</v>
      </c>
      <c r="E725" s="7" t="s">
        <v>451</v>
      </c>
      <c r="F725" s="7" t="s">
        <v>374</v>
      </c>
      <c r="G725" s="7" t="s">
        <v>2948</v>
      </c>
      <c r="H725" s="7">
        <v>4.3</v>
      </c>
      <c r="I725" s="7" t="s">
        <v>718</v>
      </c>
      <c r="W725" s="1488"/>
      <c r="X725" s="1488"/>
      <c r="Y725" s="1488"/>
      <c r="Z725" s="1488"/>
    </row>
    <row r="726" spans="1:26">
      <c r="A726" s="7" t="s">
        <v>19</v>
      </c>
      <c r="B726" s="7" t="s">
        <v>687</v>
      </c>
      <c r="C726" s="7">
        <v>1</v>
      </c>
      <c r="D726" s="7" t="s">
        <v>451</v>
      </c>
      <c r="E726" s="7" t="s">
        <v>451</v>
      </c>
      <c r="F726" s="7" t="s">
        <v>374</v>
      </c>
      <c r="G726" s="7" t="s">
        <v>2949</v>
      </c>
      <c r="H726" s="7">
        <v>4.3</v>
      </c>
      <c r="I726" s="7" t="s">
        <v>718</v>
      </c>
      <c r="W726" s="1488"/>
      <c r="X726" s="1488"/>
      <c r="Y726" s="1488"/>
      <c r="Z726" s="1488"/>
    </row>
    <row r="727" spans="1:26">
      <c r="A727" s="7" t="s">
        <v>19</v>
      </c>
      <c r="B727" s="7" t="s">
        <v>687</v>
      </c>
      <c r="C727" s="7">
        <v>1</v>
      </c>
      <c r="D727" s="7" t="s">
        <v>451</v>
      </c>
      <c r="E727" s="7" t="s">
        <v>451</v>
      </c>
      <c r="F727" s="7" t="s">
        <v>374</v>
      </c>
      <c r="G727" s="7" t="s">
        <v>974</v>
      </c>
      <c r="H727" s="7">
        <v>4.3</v>
      </c>
      <c r="I727" s="7" t="s">
        <v>718</v>
      </c>
      <c r="W727" s="1488"/>
      <c r="X727" s="1488"/>
      <c r="Y727" s="1488"/>
      <c r="Z727" s="1488"/>
    </row>
    <row r="728" spans="1:26">
      <c r="A728" s="7" t="s">
        <v>19</v>
      </c>
      <c r="B728" s="7" t="s">
        <v>687</v>
      </c>
      <c r="C728" s="7">
        <v>1</v>
      </c>
      <c r="D728" s="7" t="s">
        <v>451</v>
      </c>
      <c r="E728" s="7" t="s">
        <v>451</v>
      </c>
      <c r="F728" s="7" t="s">
        <v>374</v>
      </c>
      <c r="G728" s="7" t="s">
        <v>975</v>
      </c>
      <c r="H728" s="7">
        <v>4.3</v>
      </c>
      <c r="I728" s="7" t="s">
        <v>718</v>
      </c>
      <c r="W728" s="1488"/>
      <c r="X728" s="1488"/>
      <c r="Y728" s="1488"/>
      <c r="Z728" s="1488"/>
    </row>
    <row r="729" spans="1:26">
      <c r="A729" s="7" t="s">
        <v>19</v>
      </c>
      <c r="B729" s="7" t="s">
        <v>687</v>
      </c>
      <c r="C729" s="7">
        <v>1</v>
      </c>
      <c r="D729" s="7" t="s">
        <v>451</v>
      </c>
      <c r="E729" s="7" t="s">
        <v>451</v>
      </c>
      <c r="F729" s="7" t="s">
        <v>374</v>
      </c>
      <c r="G729" s="7" t="s">
        <v>976</v>
      </c>
      <c r="H729" s="7">
        <v>4.3</v>
      </c>
      <c r="I729" s="7" t="s">
        <v>718</v>
      </c>
      <c r="W729" s="1488"/>
      <c r="X729" s="1488"/>
      <c r="Y729" s="1488"/>
      <c r="Z729" s="1488"/>
    </row>
    <row r="730" spans="1:26">
      <c r="A730" s="7" t="s">
        <v>19</v>
      </c>
      <c r="B730" s="7" t="s">
        <v>687</v>
      </c>
      <c r="C730" s="7">
        <v>1</v>
      </c>
      <c r="D730" s="7" t="s">
        <v>451</v>
      </c>
      <c r="E730" s="7" t="s">
        <v>451</v>
      </c>
      <c r="F730" s="7" t="s">
        <v>374</v>
      </c>
      <c r="G730" s="7" t="s">
        <v>977</v>
      </c>
      <c r="H730" s="7">
        <v>4.3</v>
      </c>
      <c r="I730" s="7" t="s">
        <v>718</v>
      </c>
      <c r="W730" s="1488"/>
      <c r="X730" s="1488"/>
      <c r="Y730" s="1488"/>
      <c r="Z730" s="1488"/>
    </row>
    <row r="731" spans="1:26">
      <c r="A731" s="7" t="s">
        <v>19</v>
      </c>
      <c r="B731" s="7" t="s">
        <v>687</v>
      </c>
      <c r="C731" s="7">
        <v>1</v>
      </c>
      <c r="D731" s="7" t="s">
        <v>451</v>
      </c>
      <c r="E731" s="7" t="s">
        <v>451</v>
      </c>
      <c r="F731" s="7" t="s">
        <v>374</v>
      </c>
      <c r="G731" s="7" t="s">
        <v>978</v>
      </c>
      <c r="H731" s="7">
        <v>4.3</v>
      </c>
      <c r="I731" s="7" t="s">
        <v>718</v>
      </c>
      <c r="W731" s="1488"/>
      <c r="X731" s="1488"/>
      <c r="Y731" s="1488"/>
      <c r="Z731" s="1488"/>
    </row>
    <row r="732" spans="1:26">
      <c r="A732" s="7" t="s">
        <v>19</v>
      </c>
      <c r="B732" s="7" t="s">
        <v>687</v>
      </c>
      <c r="C732" s="7">
        <v>1</v>
      </c>
      <c r="D732" s="7" t="s">
        <v>451</v>
      </c>
      <c r="E732" s="7" t="s">
        <v>451</v>
      </c>
      <c r="F732" s="7" t="s">
        <v>1062</v>
      </c>
      <c r="G732" s="7" t="s">
        <v>1044</v>
      </c>
      <c r="H732" s="7">
        <v>4.3</v>
      </c>
      <c r="I732" s="7" t="s">
        <v>718</v>
      </c>
      <c r="W732" s="1488"/>
      <c r="X732" s="1488"/>
      <c r="Y732" s="1488"/>
      <c r="Z732" s="1488"/>
    </row>
    <row r="733" spans="1:26">
      <c r="A733" s="7" t="s">
        <v>19</v>
      </c>
      <c r="B733" s="7" t="s">
        <v>687</v>
      </c>
      <c r="C733" s="7">
        <v>1</v>
      </c>
      <c r="D733" s="7" t="s">
        <v>451</v>
      </c>
      <c r="E733" s="7" t="s">
        <v>451</v>
      </c>
      <c r="F733" s="7" t="s">
        <v>1062</v>
      </c>
      <c r="G733" s="7" t="s">
        <v>3064</v>
      </c>
      <c r="H733" s="7">
        <v>4.3</v>
      </c>
      <c r="I733" s="7" t="s">
        <v>718</v>
      </c>
      <c r="W733" s="1488"/>
      <c r="X733" s="1488"/>
      <c r="Y733" s="1488"/>
      <c r="Z733" s="1488"/>
    </row>
    <row r="734" spans="1:26">
      <c r="A734" s="7" t="s">
        <v>19</v>
      </c>
      <c r="B734" s="7" t="s">
        <v>687</v>
      </c>
      <c r="C734" s="7">
        <v>1</v>
      </c>
      <c r="D734" s="7" t="s">
        <v>451</v>
      </c>
      <c r="E734" s="7" t="s">
        <v>451</v>
      </c>
      <c r="F734" s="7" t="s">
        <v>2950</v>
      </c>
      <c r="G734" s="7" t="s">
        <v>2700</v>
      </c>
      <c r="H734" s="7">
        <v>4.3</v>
      </c>
      <c r="I734" s="7" t="s">
        <v>718</v>
      </c>
      <c r="W734" s="1488"/>
      <c r="X734" s="1488"/>
      <c r="Y734" s="1488"/>
      <c r="Z734" s="1488"/>
    </row>
    <row r="735" spans="1:26">
      <c r="A735" s="7" t="s">
        <v>19</v>
      </c>
      <c r="B735" s="7" t="s">
        <v>687</v>
      </c>
      <c r="C735" s="7">
        <v>1</v>
      </c>
      <c r="D735" s="7" t="s">
        <v>451</v>
      </c>
      <c r="E735" s="7" t="s">
        <v>451</v>
      </c>
      <c r="F735" s="7" t="s">
        <v>376</v>
      </c>
      <c r="G735" s="7" t="s">
        <v>3070</v>
      </c>
      <c r="H735" s="7">
        <v>4.3</v>
      </c>
      <c r="I735" s="7" t="s">
        <v>718</v>
      </c>
      <c r="W735" s="1488"/>
      <c r="X735" s="1488"/>
      <c r="Y735" s="1488"/>
      <c r="Z735" s="1488"/>
    </row>
    <row r="736" spans="1:26">
      <c r="A736" s="7" t="s">
        <v>19</v>
      </c>
      <c r="B736" s="7" t="s">
        <v>687</v>
      </c>
      <c r="C736" s="7">
        <v>1</v>
      </c>
      <c r="D736" s="7" t="s">
        <v>451</v>
      </c>
      <c r="E736" s="7" t="s">
        <v>451</v>
      </c>
      <c r="F736" s="7" t="s">
        <v>376</v>
      </c>
      <c r="G736" s="7" t="s">
        <v>3070</v>
      </c>
      <c r="H736" s="7">
        <v>4.3</v>
      </c>
      <c r="I736" s="7" t="s">
        <v>718</v>
      </c>
      <c r="W736" s="1488"/>
      <c r="X736" s="1488"/>
      <c r="Y736" s="1488"/>
      <c r="Z736" s="1488"/>
    </row>
    <row r="737" spans="1:26">
      <c r="A737" s="7" t="s">
        <v>19</v>
      </c>
      <c r="B737" s="7" t="s">
        <v>687</v>
      </c>
      <c r="C737" s="7">
        <v>1</v>
      </c>
      <c r="D737" s="7" t="s">
        <v>451</v>
      </c>
      <c r="E737" s="7" t="s">
        <v>451</v>
      </c>
      <c r="F737" s="7" t="s">
        <v>376</v>
      </c>
      <c r="G737" s="7" t="s">
        <v>2951</v>
      </c>
      <c r="H737" s="7">
        <v>4.3</v>
      </c>
      <c r="I737" s="7" t="s">
        <v>718</v>
      </c>
      <c r="W737" s="1488"/>
      <c r="X737" s="1488"/>
      <c r="Y737" s="1488"/>
      <c r="Z737" s="1488"/>
    </row>
    <row r="738" spans="1:26">
      <c r="A738" s="7" t="s">
        <v>19</v>
      </c>
      <c r="B738" s="7" t="s">
        <v>687</v>
      </c>
      <c r="C738" s="7">
        <v>1</v>
      </c>
      <c r="D738" s="7" t="s">
        <v>451</v>
      </c>
      <c r="E738" s="7" t="s">
        <v>451</v>
      </c>
      <c r="F738" s="7" t="s">
        <v>376</v>
      </c>
      <c r="G738" s="7" t="s">
        <v>2956</v>
      </c>
      <c r="H738" s="7">
        <v>4.3</v>
      </c>
      <c r="I738" s="7" t="s">
        <v>718</v>
      </c>
      <c r="W738" s="1488"/>
      <c r="X738" s="1488"/>
      <c r="Y738" s="1488"/>
      <c r="Z738" s="1488"/>
    </row>
    <row r="739" spans="1:26">
      <c r="A739" s="7" t="s">
        <v>19</v>
      </c>
      <c r="B739" s="7" t="s">
        <v>687</v>
      </c>
      <c r="C739" s="7">
        <v>1</v>
      </c>
      <c r="D739" s="7" t="s">
        <v>451</v>
      </c>
      <c r="E739" s="7" t="s">
        <v>451</v>
      </c>
      <c r="F739" s="7" t="s">
        <v>376</v>
      </c>
      <c r="G739" s="7" t="s">
        <v>2952</v>
      </c>
      <c r="H739" s="7">
        <v>4.3</v>
      </c>
      <c r="I739" s="7" t="s">
        <v>718</v>
      </c>
      <c r="W739" s="1488"/>
      <c r="X739" s="1488"/>
      <c r="Y739" s="1488"/>
      <c r="Z739" s="1488"/>
    </row>
    <row r="740" spans="1:26">
      <c r="A740" s="7" t="s">
        <v>19</v>
      </c>
      <c r="B740" s="7" t="s">
        <v>687</v>
      </c>
      <c r="C740" s="7">
        <v>1</v>
      </c>
      <c r="D740" s="7" t="s">
        <v>451</v>
      </c>
      <c r="E740" s="7" t="s">
        <v>451</v>
      </c>
      <c r="F740" s="7" t="s">
        <v>376</v>
      </c>
      <c r="G740" s="7" t="s">
        <v>3071</v>
      </c>
      <c r="H740" s="7">
        <v>4.3</v>
      </c>
      <c r="I740" s="7" t="s">
        <v>718</v>
      </c>
      <c r="W740" s="1488"/>
      <c r="X740" s="1488"/>
      <c r="Y740" s="1488"/>
      <c r="Z740" s="1488"/>
    </row>
    <row r="741" spans="1:26">
      <c r="A741" s="7" t="s">
        <v>19</v>
      </c>
      <c r="B741" s="7" t="s">
        <v>687</v>
      </c>
      <c r="C741" s="7">
        <v>1</v>
      </c>
      <c r="D741" s="7" t="s">
        <v>451</v>
      </c>
      <c r="E741" s="7" t="s">
        <v>451</v>
      </c>
      <c r="F741" s="7" t="s">
        <v>376</v>
      </c>
      <c r="G741" s="7" t="s">
        <v>3071</v>
      </c>
      <c r="H741" s="7">
        <v>4.3</v>
      </c>
      <c r="I741" s="7" t="s">
        <v>718</v>
      </c>
      <c r="W741" s="1488"/>
      <c r="X741" s="1488"/>
      <c r="Y741" s="1488"/>
      <c r="Z741" s="1488"/>
    </row>
    <row r="742" spans="1:26">
      <c r="A742" s="7" t="s">
        <v>19</v>
      </c>
      <c r="B742" s="7" t="s">
        <v>687</v>
      </c>
      <c r="C742" s="7">
        <v>1</v>
      </c>
      <c r="D742" s="7" t="s">
        <v>451</v>
      </c>
      <c r="E742" s="7" t="s">
        <v>451</v>
      </c>
      <c r="F742" s="7" t="s">
        <v>376</v>
      </c>
      <c r="G742" s="7" t="s">
        <v>2953</v>
      </c>
      <c r="H742" s="7">
        <v>4.3</v>
      </c>
      <c r="I742" s="7" t="s">
        <v>718</v>
      </c>
      <c r="W742" s="1488"/>
      <c r="X742" s="1488"/>
      <c r="Y742" s="1488"/>
      <c r="Z742" s="1488"/>
    </row>
    <row r="743" spans="1:26">
      <c r="A743" s="7" t="s">
        <v>19</v>
      </c>
      <c r="B743" s="7" t="s">
        <v>687</v>
      </c>
      <c r="C743" s="7">
        <v>1</v>
      </c>
      <c r="D743" s="7" t="s">
        <v>451</v>
      </c>
      <c r="E743" s="7" t="s">
        <v>451</v>
      </c>
      <c r="F743" s="7" t="s">
        <v>376</v>
      </c>
      <c r="G743" s="7" t="s">
        <v>2957</v>
      </c>
      <c r="H743" s="7">
        <v>4.3</v>
      </c>
      <c r="I743" s="7" t="s">
        <v>718</v>
      </c>
      <c r="W743" s="1488"/>
      <c r="X743" s="1488"/>
      <c r="Y743" s="1488"/>
      <c r="Z743" s="1488"/>
    </row>
    <row r="744" spans="1:26">
      <c r="A744" s="7" t="s">
        <v>19</v>
      </c>
      <c r="B744" s="7" t="s">
        <v>687</v>
      </c>
      <c r="C744" s="7">
        <v>1</v>
      </c>
      <c r="D744" s="7" t="s">
        <v>451</v>
      </c>
      <c r="E744" s="7" t="s">
        <v>451</v>
      </c>
      <c r="F744" s="7" t="s">
        <v>376</v>
      </c>
      <c r="G744" s="7" t="s">
        <v>2954</v>
      </c>
      <c r="H744" s="7">
        <v>4.3</v>
      </c>
      <c r="I744" s="7" t="s">
        <v>718</v>
      </c>
      <c r="W744" s="1488"/>
      <c r="X744" s="1488"/>
      <c r="Y744" s="1488"/>
      <c r="Z744" s="1488"/>
    </row>
    <row r="745" spans="1:26">
      <c r="A745" s="7" t="s">
        <v>19</v>
      </c>
      <c r="B745" s="7" t="s">
        <v>687</v>
      </c>
      <c r="C745" s="7">
        <v>1</v>
      </c>
      <c r="D745" s="7" t="s">
        <v>451</v>
      </c>
      <c r="E745" s="7" t="s">
        <v>451</v>
      </c>
      <c r="F745" s="7" t="s">
        <v>376</v>
      </c>
      <c r="G745" s="7" t="s">
        <v>2958</v>
      </c>
      <c r="H745" s="7">
        <v>4.3</v>
      </c>
      <c r="I745" s="7" t="s">
        <v>718</v>
      </c>
      <c r="W745" s="1488"/>
      <c r="X745" s="1488"/>
      <c r="Y745" s="1488"/>
      <c r="Z745" s="1488"/>
    </row>
    <row r="746" spans="1:26">
      <c r="A746" s="7" t="s">
        <v>19</v>
      </c>
      <c r="B746" s="7" t="s">
        <v>687</v>
      </c>
      <c r="C746" s="7">
        <v>1</v>
      </c>
      <c r="D746" s="7" t="s">
        <v>451</v>
      </c>
      <c r="E746" s="7" t="s">
        <v>451</v>
      </c>
      <c r="F746" s="7" t="s">
        <v>376</v>
      </c>
      <c r="G746" s="7" t="s">
        <v>2955</v>
      </c>
      <c r="H746" s="7">
        <v>4.3</v>
      </c>
      <c r="I746" s="7" t="s">
        <v>718</v>
      </c>
      <c r="W746" s="1488"/>
      <c r="X746" s="1488"/>
      <c r="Y746" s="1488"/>
      <c r="Z746" s="1488"/>
    </row>
    <row r="747" spans="1:26">
      <c r="A747" s="7" t="s">
        <v>19</v>
      </c>
      <c r="B747" s="7" t="s">
        <v>687</v>
      </c>
      <c r="C747" s="7">
        <v>1</v>
      </c>
      <c r="D747" s="7" t="s">
        <v>451</v>
      </c>
      <c r="E747" s="7" t="s">
        <v>451</v>
      </c>
      <c r="F747" s="7" t="s">
        <v>359</v>
      </c>
      <c r="G747" s="7" t="s">
        <v>979</v>
      </c>
      <c r="H747" s="7">
        <v>4.3</v>
      </c>
      <c r="I747" s="7" t="s">
        <v>718</v>
      </c>
      <c r="W747" s="1488"/>
      <c r="X747" s="1488"/>
      <c r="Y747" s="1488"/>
      <c r="Z747" s="1488"/>
    </row>
    <row r="748" spans="1:26">
      <c r="A748" s="7" t="s">
        <v>19</v>
      </c>
      <c r="B748" s="7" t="s">
        <v>687</v>
      </c>
      <c r="C748" s="7">
        <v>1</v>
      </c>
      <c r="D748" s="7" t="s">
        <v>451</v>
      </c>
      <c r="E748" s="7" t="s">
        <v>451</v>
      </c>
      <c r="F748" s="7" t="s">
        <v>359</v>
      </c>
      <c r="G748" s="7" t="s">
        <v>2959</v>
      </c>
      <c r="H748" s="7">
        <v>4.3</v>
      </c>
      <c r="I748" s="7" t="s">
        <v>718</v>
      </c>
      <c r="W748" s="1488"/>
      <c r="X748" s="1488"/>
      <c r="Y748" s="1488"/>
      <c r="Z748" s="1488"/>
    </row>
    <row r="749" spans="1:26">
      <c r="A749" s="7" t="s">
        <v>19</v>
      </c>
      <c r="B749" s="7" t="s">
        <v>687</v>
      </c>
      <c r="C749" s="7">
        <v>1</v>
      </c>
      <c r="D749" s="7" t="s">
        <v>451</v>
      </c>
      <c r="E749" s="7" t="s">
        <v>451</v>
      </c>
      <c r="F749" s="7" t="s">
        <v>359</v>
      </c>
      <c r="G749" s="7" t="s">
        <v>2960</v>
      </c>
      <c r="H749" s="7">
        <v>4.3</v>
      </c>
      <c r="I749" s="7" t="s">
        <v>718</v>
      </c>
      <c r="W749" s="1488"/>
      <c r="X749" s="1488"/>
      <c r="Y749" s="1488"/>
      <c r="Z749" s="1488"/>
    </row>
    <row r="750" spans="1:26">
      <c r="A750" s="7" t="s">
        <v>19</v>
      </c>
      <c r="B750" s="7" t="s">
        <v>687</v>
      </c>
      <c r="C750" s="7">
        <v>1</v>
      </c>
      <c r="D750" s="7" t="s">
        <v>451</v>
      </c>
      <c r="E750" s="7" t="s">
        <v>451</v>
      </c>
      <c r="F750" s="7" t="s">
        <v>359</v>
      </c>
      <c r="G750" s="7" t="s">
        <v>980</v>
      </c>
      <c r="H750" s="7">
        <v>4.3</v>
      </c>
      <c r="I750" s="7" t="s">
        <v>718</v>
      </c>
      <c r="W750" s="1488"/>
      <c r="X750" s="1488"/>
      <c r="Y750" s="1488"/>
      <c r="Z750" s="1488"/>
    </row>
    <row r="751" spans="1:26">
      <c r="A751" s="7" t="s">
        <v>19</v>
      </c>
      <c r="B751" s="7" t="s">
        <v>687</v>
      </c>
      <c r="C751" s="7">
        <v>1</v>
      </c>
      <c r="D751" s="7" t="s">
        <v>451</v>
      </c>
      <c r="E751" s="7" t="s">
        <v>451</v>
      </c>
      <c r="F751" s="7" t="s">
        <v>359</v>
      </c>
      <c r="G751" s="7" t="s">
        <v>981</v>
      </c>
      <c r="H751" s="7">
        <v>4.3</v>
      </c>
      <c r="I751" s="7" t="s">
        <v>718</v>
      </c>
      <c r="W751" s="1488"/>
      <c r="X751" s="1488"/>
      <c r="Y751" s="1488"/>
      <c r="Z751" s="1488"/>
    </row>
    <row r="752" spans="1:26">
      <c r="A752" s="7" t="s">
        <v>19</v>
      </c>
      <c r="B752" s="7" t="s">
        <v>687</v>
      </c>
      <c r="C752" s="7">
        <v>1</v>
      </c>
      <c r="D752" s="7" t="s">
        <v>451</v>
      </c>
      <c r="E752" s="7" t="s">
        <v>451</v>
      </c>
      <c r="F752" s="7" t="s">
        <v>377</v>
      </c>
      <c r="G752" s="7" t="s">
        <v>379</v>
      </c>
      <c r="H752" s="7">
        <v>4.3</v>
      </c>
      <c r="I752" s="7" t="s">
        <v>718</v>
      </c>
      <c r="W752" s="1488"/>
      <c r="X752" s="1488"/>
      <c r="Y752" s="1488"/>
      <c r="Z752" s="1488"/>
    </row>
    <row r="753" spans="1:26">
      <c r="A753" s="7" t="s">
        <v>19</v>
      </c>
      <c r="B753" s="7" t="s">
        <v>687</v>
      </c>
      <c r="C753" s="7">
        <v>1</v>
      </c>
      <c r="D753" s="7" t="s">
        <v>451</v>
      </c>
      <c r="E753" s="7" t="s">
        <v>451</v>
      </c>
      <c r="F753" s="7" t="s">
        <v>378</v>
      </c>
      <c r="G753" s="7" t="s">
        <v>380</v>
      </c>
      <c r="H753" s="7">
        <v>4.3</v>
      </c>
      <c r="I753" s="7" t="s">
        <v>718</v>
      </c>
      <c r="W753" s="1488"/>
      <c r="X753" s="1488"/>
      <c r="Y753" s="1488"/>
      <c r="Z753" s="1488"/>
    </row>
    <row r="754" spans="1:26">
      <c r="A754" s="7" t="s">
        <v>19</v>
      </c>
      <c r="B754" s="7" t="s">
        <v>687</v>
      </c>
      <c r="C754" s="7">
        <v>1</v>
      </c>
      <c r="D754" s="7" t="s">
        <v>451</v>
      </c>
      <c r="E754" s="7" t="s">
        <v>451</v>
      </c>
      <c r="F754" s="7" t="s">
        <v>378</v>
      </c>
      <c r="G754" s="7" t="s">
        <v>381</v>
      </c>
      <c r="H754" s="7">
        <v>4.3</v>
      </c>
      <c r="I754" s="7" t="s">
        <v>718</v>
      </c>
      <c r="W754" s="1488"/>
      <c r="X754" s="1488"/>
      <c r="Y754" s="1488"/>
      <c r="Z754" s="1488"/>
    </row>
    <row r="755" spans="1:26">
      <c r="A755" s="7" t="s">
        <v>19</v>
      </c>
      <c r="B755" s="7" t="s">
        <v>687</v>
      </c>
      <c r="C755" s="7">
        <v>1</v>
      </c>
      <c r="D755" s="7" t="s">
        <v>451</v>
      </c>
      <c r="E755" s="7" t="s">
        <v>451</v>
      </c>
      <c r="F755" s="7" t="s">
        <v>378</v>
      </c>
      <c r="G755" s="7" t="s">
        <v>982</v>
      </c>
      <c r="H755" s="7">
        <v>4.3</v>
      </c>
      <c r="I755" s="7" t="s">
        <v>718</v>
      </c>
      <c r="W755" s="1488"/>
      <c r="X755" s="1488"/>
      <c r="Y755" s="1488"/>
      <c r="Z755" s="1488"/>
    </row>
    <row r="756" spans="1:26">
      <c r="A756" s="7" t="s">
        <v>19</v>
      </c>
      <c r="B756" s="7" t="s">
        <v>687</v>
      </c>
      <c r="C756" s="7">
        <v>1</v>
      </c>
      <c r="D756" s="7" t="s">
        <v>451</v>
      </c>
      <c r="E756" s="7" t="s">
        <v>451</v>
      </c>
      <c r="F756" s="7" t="s">
        <v>378</v>
      </c>
      <c r="G756" s="7" t="s">
        <v>983</v>
      </c>
      <c r="H756" s="7">
        <v>4.3</v>
      </c>
      <c r="I756" s="7" t="s">
        <v>718</v>
      </c>
      <c r="W756" s="1488"/>
      <c r="X756" s="1488"/>
      <c r="Y756" s="1488"/>
      <c r="Z756" s="1488"/>
    </row>
    <row r="757" spans="1:26">
      <c r="A757" s="7" t="s">
        <v>19</v>
      </c>
      <c r="B757" s="7" t="s">
        <v>687</v>
      </c>
      <c r="C757" s="7">
        <v>2</v>
      </c>
      <c r="D757" s="7" t="s">
        <v>1029</v>
      </c>
      <c r="E757" s="7" t="s">
        <v>1029</v>
      </c>
      <c r="F757" s="7" t="s">
        <v>370</v>
      </c>
      <c r="G757" s="7" t="s">
        <v>959</v>
      </c>
      <c r="H757" s="7">
        <v>4.3</v>
      </c>
      <c r="I757" s="7" t="s">
        <v>718</v>
      </c>
      <c r="W757" s="1488"/>
      <c r="X757" s="1488"/>
      <c r="Y757" s="1488"/>
      <c r="Z757" s="1488"/>
    </row>
    <row r="758" spans="1:26">
      <c r="A758" s="7" t="s">
        <v>19</v>
      </c>
      <c r="B758" s="7" t="s">
        <v>687</v>
      </c>
      <c r="C758" s="7">
        <v>2</v>
      </c>
      <c r="D758" s="7" t="s">
        <v>1029</v>
      </c>
      <c r="E758" s="7" t="s">
        <v>1029</v>
      </c>
      <c r="F758" s="7" t="s">
        <v>370</v>
      </c>
      <c r="G758" s="7" t="s">
        <v>960</v>
      </c>
      <c r="H758" s="7">
        <v>4.3</v>
      </c>
      <c r="I758" s="7" t="s">
        <v>718</v>
      </c>
      <c r="W758" s="1488"/>
      <c r="X758" s="1488"/>
      <c r="Y758" s="1488"/>
      <c r="Z758" s="1488"/>
    </row>
    <row r="759" spans="1:26">
      <c r="A759" s="7" t="s">
        <v>19</v>
      </c>
      <c r="B759" s="7" t="s">
        <v>687</v>
      </c>
      <c r="C759" s="7">
        <v>2</v>
      </c>
      <c r="D759" s="7" t="s">
        <v>1029</v>
      </c>
      <c r="E759" s="7" t="s">
        <v>1029</v>
      </c>
      <c r="F759" s="7" t="s">
        <v>357</v>
      </c>
      <c r="G759" s="7" t="s">
        <v>961</v>
      </c>
      <c r="H759" s="7">
        <v>4.3</v>
      </c>
      <c r="I759" s="7" t="s">
        <v>718</v>
      </c>
      <c r="W759" s="1488"/>
      <c r="X759" s="1488"/>
      <c r="Y759" s="1488"/>
      <c r="Z759" s="1488"/>
    </row>
    <row r="760" spans="1:26">
      <c r="A760" s="7" t="s">
        <v>19</v>
      </c>
      <c r="B760" s="7" t="s">
        <v>687</v>
      </c>
      <c r="C760" s="7">
        <v>2</v>
      </c>
      <c r="D760" s="7" t="s">
        <v>1029</v>
      </c>
      <c r="E760" s="7" t="s">
        <v>1029</v>
      </c>
      <c r="F760" s="7" t="s">
        <v>357</v>
      </c>
      <c r="G760" s="7" t="s">
        <v>2926</v>
      </c>
      <c r="H760" s="7">
        <v>4.3</v>
      </c>
      <c r="I760" s="7" t="s">
        <v>718</v>
      </c>
      <c r="W760" s="1488"/>
      <c r="X760" s="1488"/>
      <c r="Y760" s="1488"/>
      <c r="Z760" s="1488"/>
    </row>
    <row r="761" spans="1:26">
      <c r="A761" s="7" t="s">
        <v>19</v>
      </c>
      <c r="B761" s="7" t="s">
        <v>687</v>
      </c>
      <c r="C761" s="7">
        <v>2</v>
      </c>
      <c r="D761" s="7" t="s">
        <v>1029</v>
      </c>
      <c r="E761" s="7" t="s">
        <v>1029</v>
      </c>
      <c r="F761" s="7" t="s">
        <v>357</v>
      </c>
      <c r="G761" s="7" t="s">
        <v>2927</v>
      </c>
      <c r="H761" s="7">
        <v>4.3</v>
      </c>
      <c r="I761" s="7" t="s">
        <v>718</v>
      </c>
      <c r="W761" s="1488"/>
      <c r="X761" s="1488"/>
      <c r="Y761" s="1488"/>
      <c r="Z761" s="1488"/>
    </row>
    <row r="762" spans="1:26">
      <c r="A762" s="7" t="s">
        <v>19</v>
      </c>
      <c r="B762" s="7" t="s">
        <v>687</v>
      </c>
      <c r="C762" s="7">
        <v>2</v>
      </c>
      <c r="D762" s="7" t="s">
        <v>1029</v>
      </c>
      <c r="E762" s="7" t="s">
        <v>1029</v>
      </c>
      <c r="F762" s="7" t="s">
        <v>357</v>
      </c>
      <c r="G762" s="7" t="s">
        <v>2925</v>
      </c>
      <c r="H762" s="7">
        <v>4.3</v>
      </c>
      <c r="I762" s="7" t="s">
        <v>718</v>
      </c>
      <c r="W762" s="1488"/>
      <c r="X762" s="1488"/>
      <c r="Y762" s="1488"/>
      <c r="Z762" s="1488"/>
    </row>
    <row r="763" spans="1:26">
      <c r="A763" s="7" t="s">
        <v>19</v>
      </c>
      <c r="B763" s="7" t="s">
        <v>687</v>
      </c>
      <c r="C763" s="7">
        <v>2</v>
      </c>
      <c r="D763" s="7" t="s">
        <v>1029</v>
      </c>
      <c r="E763" s="7" t="s">
        <v>1029</v>
      </c>
      <c r="F763" s="7" t="s">
        <v>357</v>
      </c>
      <c r="G763" s="7" t="s">
        <v>962</v>
      </c>
      <c r="H763" s="7">
        <v>4.3</v>
      </c>
      <c r="I763" s="7" t="s">
        <v>718</v>
      </c>
      <c r="W763" s="1488"/>
      <c r="X763" s="1488"/>
      <c r="Y763" s="1488"/>
      <c r="Z763" s="1488"/>
    </row>
    <row r="764" spans="1:26">
      <c r="A764" s="7" t="s">
        <v>19</v>
      </c>
      <c r="B764" s="7" t="s">
        <v>687</v>
      </c>
      <c r="C764" s="7">
        <v>2</v>
      </c>
      <c r="D764" s="7" t="s">
        <v>1029</v>
      </c>
      <c r="E764" s="7" t="s">
        <v>1029</v>
      </c>
      <c r="F764" s="7" t="s">
        <v>357</v>
      </c>
      <c r="G764" s="7" t="s">
        <v>2928</v>
      </c>
      <c r="H764" s="7">
        <v>4.3</v>
      </c>
      <c r="I764" s="7" t="s">
        <v>718</v>
      </c>
      <c r="W764" s="1488"/>
      <c r="X764" s="1488"/>
      <c r="Y764" s="1488"/>
      <c r="Z764" s="1488"/>
    </row>
    <row r="765" spans="1:26">
      <c r="A765" s="7" t="s">
        <v>19</v>
      </c>
      <c r="B765" s="7" t="s">
        <v>687</v>
      </c>
      <c r="C765" s="7">
        <v>2</v>
      </c>
      <c r="D765" s="7" t="s">
        <v>1029</v>
      </c>
      <c r="E765" s="7" t="s">
        <v>1029</v>
      </c>
      <c r="F765" s="7" t="s">
        <v>357</v>
      </c>
      <c r="G765" s="7" t="s">
        <v>963</v>
      </c>
      <c r="H765" s="7">
        <v>4.3</v>
      </c>
      <c r="I765" s="7" t="s">
        <v>718</v>
      </c>
      <c r="W765" s="1488"/>
      <c r="X765" s="1488"/>
      <c r="Y765" s="1488"/>
      <c r="Z765" s="1488"/>
    </row>
    <row r="766" spans="1:26">
      <c r="A766" s="7" t="s">
        <v>19</v>
      </c>
      <c r="B766" s="7" t="s">
        <v>687</v>
      </c>
      <c r="C766" s="7">
        <v>2</v>
      </c>
      <c r="D766" s="7" t="s">
        <v>1029</v>
      </c>
      <c r="E766" s="7" t="s">
        <v>1029</v>
      </c>
      <c r="F766" s="7" t="s">
        <v>357</v>
      </c>
      <c r="G766" s="7" t="s">
        <v>2929</v>
      </c>
      <c r="H766" s="7">
        <v>4.3</v>
      </c>
      <c r="I766" s="7" t="s">
        <v>718</v>
      </c>
      <c r="W766" s="1488"/>
      <c r="X766" s="1488"/>
      <c r="Y766" s="1488"/>
      <c r="Z766" s="1488"/>
    </row>
    <row r="767" spans="1:26">
      <c r="A767" s="7" t="s">
        <v>19</v>
      </c>
      <c r="B767" s="7" t="s">
        <v>687</v>
      </c>
      <c r="C767" s="7">
        <v>2</v>
      </c>
      <c r="D767" s="7" t="s">
        <v>1029</v>
      </c>
      <c r="E767" s="7" t="s">
        <v>1029</v>
      </c>
      <c r="F767" s="7" t="s">
        <v>357</v>
      </c>
      <c r="G767" s="7" t="s">
        <v>964</v>
      </c>
      <c r="H767" s="7">
        <v>4.3</v>
      </c>
      <c r="I767" s="7" t="s">
        <v>718</v>
      </c>
      <c r="W767" s="1488"/>
      <c r="X767" s="1488"/>
      <c r="Y767" s="1488"/>
      <c r="Z767" s="1488"/>
    </row>
    <row r="768" spans="1:26">
      <c r="A768" s="7" t="s">
        <v>19</v>
      </c>
      <c r="B768" s="7" t="s">
        <v>687</v>
      </c>
      <c r="C768" s="7">
        <v>2</v>
      </c>
      <c r="D768" s="7" t="s">
        <v>1029</v>
      </c>
      <c r="E768" s="7" t="s">
        <v>1029</v>
      </c>
      <c r="F768" s="7" t="s">
        <v>357</v>
      </c>
      <c r="G768" s="7" t="s">
        <v>2930</v>
      </c>
      <c r="H768" s="7">
        <v>4.3</v>
      </c>
      <c r="I768" s="7" t="s">
        <v>718</v>
      </c>
      <c r="W768" s="1488"/>
      <c r="X768" s="1488"/>
      <c r="Y768" s="1488"/>
      <c r="Z768" s="1488"/>
    </row>
    <row r="769" spans="1:26">
      <c r="A769" s="7" t="s">
        <v>19</v>
      </c>
      <c r="B769" s="7" t="s">
        <v>687</v>
      </c>
      <c r="C769" s="7">
        <v>2</v>
      </c>
      <c r="D769" s="7" t="s">
        <v>1029</v>
      </c>
      <c r="E769" s="7" t="s">
        <v>1029</v>
      </c>
      <c r="F769" s="7" t="s">
        <v>357</v>
      </c>
      <c r="G769" s="7" t="s">
        <v>965</v>
      </c>
      <c r="H769" s="7">
        <v>4.3</v>
      </c>
      <c r="I769" s="7" t="s">
        <v>718</v>
      </c>
      <c r="W769" s="1488"/>
      <c r="X769" s="1488"/>
      <c r="Y769" s="1488"/>
      <c r="Z769" s="1488"/>
    </row>
    <row r="770" spans="1:26">
      <c r="A770" s="7" t="s">
        <v>19</v>
      </c>
      <c r="B770" s="7" t="s">
        <v>687</v>
      </c>
      <c r="C770" s="7">
        <v>2</v>
      </c>
      <c r="D770" s="7" t="s">
        <v>1029</v>
      </c>
      <c r="E770" s="7" t="s">
        <v>1029</v>
      </c>
      <c r="F770" s="7" t="s">
        <v>357</v>
      </c>
      <c r="G770" s="7" t="s">
        <v>2931</v>
      </c>
      <c r="H770" s="7">
        <v>4.3</v>
      </c>
      <c r="I770" s="7" t="s">
        <v>718</v>
      </c>
      <c r="W770" s="1488"/>
      <c r="X770" s="1488"/>
      <c r="Y770" s="1488"/>
      <c r="Z770" s="1488"/>
    </row>
    <row r="771" spans="1:26">
      <c r="A771" s="7" t="s">
        <v>19</v>
      </c>
      <c r="B771" s="7" t="s">
        <v>687</v>
      </c>
      <c r="C771" s="7">
        <v>2</v>
      </c>
      <c r="D771" s="7" t="s">
        <v>1029</v>
      </c>
      <c r="E771" s="7" t="s">
        <v>1029</v>
      </c>
      <c r="F771" s="7" t="s">
        <v>357</v>
      </c>
      <c r="G771" s="7" t="s">
        <v>966</v>
      </c>
      <c r="H771" s="7">
        <v>4.3</v>
      </c>
      <c r="I771" s="7" t="s">
        <v>718</v>
      </c>
      <c r="W771" s="1488"/>
      <c r="X771" s="1488"/>
      <c r="Y771" s="1488"/>
      <c r="Z771" s="1488"/>
    </row>
    <row r="772" spans="1:26">
      <c r="A772" s="7" t="s">
        <v>19</v>
      </c>
      <c r="B772" s="7" t="s">
        <v>687</v>
      </c>
      <c r="C772" s="7">
        <v>2</v>
      </c>
      <c r="D772" s="7" t="s">
        <v>1029</v>
      </c>
      <c r="E772" s="7" t="s">
        <v>1029</v>
      </c>
      <c r="F772" s="7" t="s">
        <v>363</v>
      </c>
      <c r="G772" s="7" t="s">
        <v>2933</v>
      </c>
      <c r="H772" s="7">
        <v>4.3</v>
      </c>
      <c r="I772" s="7" t="s">
        <v>718</v>
      </c>
      <c r="W772" s="1488"/>
      <c r="X772" s="1488"/>
      <c r="Y772" s="1488"/>
      <c r="Z772" s="1488"/>
    </row>
    <row r="773" spans="1:26">
      <c r="A773" s="7" t="s">
        <v>19</v>
      </c>
      <c r="B773" s="7" t="s">
        <v>687</v>
      </c>
      <c r="C773" s="7">
        <v>2</v>
      </c>
      <c r="D773" s="7" t="s">
        <v>1029</v>
      </c>
      <c r="E773" s="7" t="s">
        <v>1029</v>
      </c>
      <c r="F773" s="7" t="s">
        <v>363</v>
      </c>
      <c r="G773" s="7" t="s">
        <v>2934</v>
      </c>
      <c r="H773" s="7">
        <v>4.3</v>
      </c>
      <c r="I773" s="7" t="s">
        <v>718</v>
      </c>
      <c r="W773" s="1488"/>
      <c r="X773" s="1488"/>
      <c r="Y773" s="1488"/>
      <c r="Z773" s="1488"/>
    </row>
    <row r="774" spans="1:26">
      <c r="A774" s="7" t="s">
        <v>19</v>
      </c>
      <c r="B774" s="7" t="s">
        <v>687</v>
      </c>
      <c r="C774" s="7">
        <v>2</v>
      </c>
      <c r="D774" s="7" t="s">
        <v>1029</v>
      </c>
      <c r="E774" s="7" t="s">
        <v>1029</v>
      </c>
      <c r="F774" s="7" t="s">
        <v>363</v>
      </c>
      <c r="G774" s="7" t="s">
        <v>970</v>
      </c>
      <c r="H774" s="7">
        <v>4.3</v>
      </c>
      <c r="I774" s="7" t="s">
        <v>718</v>
      </c>
      <c r="W774" s="1488"/>
      <c r="X774" s="1488"/>
      <c r="Y774" s="1488"/>
      <c r="Z774" s="1488"/>
    </row>
    <row r="775" spans="1:26">
      <c r="A775" s="7" t="s">
        <v>19</v>
      </c>
      <c r="B775" s="7" t="s">
        <v>687</v>
      </c>
      <c r="C775" s="7">
        <v>2</v>
      </c>
      <c r="D775" s="7" t="s">
        <v>1029</v>
      </c>
      <c r="E775" s="7" t="s">
        <v>1029</v>
      </c>
      <c r="F775" s="7" t="s">
        <v>363</v>
      </c>
      <c r="G775" s="7" t="s">
        <v>971</v>
      </c>
      <c r="H775" s="7">
        <v>4.3</v>
      </c>
      <c r="I775" s="7" t="s">
        <v>718</v>
      </c>
      <c r="W775" s="1488"/>
      <c r="X775" s="1488"/>
      <c r="Y775" s="1488"/>
      <c r="Z775" s="1488"/>
    </row>
    <row r="776" spans="1:26">
      <c r="A776" s="7" t="s">
        <v>19</v>
      </c>
      <c r="B776" s="7" t="s">
        <v>687</v>
      </c>
      <c r="C776" s="7">
        <v>2</v>
      </c>
      <c r="D776" s="7" t="s">
        <v>1029</v>
      </c>
      <c r="E776" s="7" t="s">
        <v>1029</v>
      </c>
      <c r="F776" s="7" t="s">
        <v>371</v>
      </c>
      <c r="G776" s="7" t="s">
        <v>2935</v>
      </c>
      <c r="H776" s="7">
        <v>4.3</v>
      </c>
      <c r="I776" s="7" t="s">
        <v>718</v>
      </c>
      <c r="W776" s="1488"/>
      <c r="X776" s="1488"/>
      <c r="Y776" s="1488"/>
      <c r="Z776" s="1488"/>
    </row>
    <row r="777" spans="1:26">
      <c r="A777" s="7" t="s">
        <v>19</v>
      </c>
      <c r="B777" s="7" t="s">
        <v>687</v>
      </c>
      <c r="C777" s="7">
        <v>2</v>
      </c>
      <c r="D777" s="7" t="s">
        <v>1029</v>
      </c>
      <c r="E777" s="7" t="s">
        <v>1029</v>
      </c>
      <c r="F777" s="7" t="s">
        <v>371</v>
      </c>
      <c r="G777" s="7" t="s">
        <v>2936</v>
      </c>
      <c r="H777" s="7">
        <v>4.3</v>
      </c>
      <c r="I777" s="7" t="s">
        <v>718</v>
      </c>
      <c r="W777" s="1488"/>
      <c r="X777" s="1488"/>
      <c r="Y777" s="1488"/>
      <c r="Z777" s="1488"/>
    </row>
    <row r="778" spans="1:26">
      <c r="A778" s="7" t="s">
        <v>19</v>
      </c>
      <c r="B778" s="7" t="s">
        <v>687</v>
      </c>
      <c r="C778" s="7">
        <v>2</v>
      </c>
      <c r="D778" s="7" t="s">
        <v>1029</v>
      </c>
      <c r="E778" s="7" t="s">
        <v>1029</v>
      </c>
      <c r="F778" s="7" t="s">
        <v>371</v>
      </c>
      <c r="G778" s="7" t="s">
        <v>2937</v>
      </c>
      <c r="H778" s="7">
        <v>4.3</v>
      </c>
      <c r="I778" s="7" t="s">
        <v>718</v>
      </c>
      <c r="W778" s="1488"/>
      <c r="X778" s="1488"/>
      <c r="Y778" s="1488"/>
      <c r="Z778" s="1488"/>
    </row>
    <row r="779" spans="1:26">
      <c r="A779" s="7" t="s">
        <v>19</v>
      </c>
      <c r="B779" s="7" t="s">
        <v>687</v>
      </c>
      <c r="C779" s="7">
        <v>2</v>
      </c>
      <c r="D779" s="7" t="s">
        <v>1029</v>
      </c>
      <c r="E779" s="7" t="s">
        <v>1029</v>
      </c>
      <c r="F779" s="7" t="s">
        <v>371</v>
      </c>
      <c r="G779" s="7" t="s">
        <v>2938</v>
      </c>
      <c r="H779" s="7">
        <v>4.3</v>
      </c>
      <c r="I779" s="7" t="s">
        <v>718</v>
      </c>
      <c r="W779" s="1488"/>
      <c r="X779" s="1488"/>
      <c r="Y779" s="1488"/>
      <c r="Z779" s="1488"/>
    </row>
    <row r="780" spans="1:26">
      <c r="A780" s="7" t="s">
        <v>19</v>
      </c>
      <c r="B780" s="7" t="s">
        <v>687</v>
      </c>
      <c r="C780" s="7">
        <v>2</v>
      </c>
      <c r="D780" s="7" t="s">
        <v>1029</v>
      </c>
      <c r="E780" s="7" t="s">
        <v>1029</v>
      </c>
      <c r="F780" s="7" t="s">
        <v>373</v>
      </c>
      <c r="G780" s="7" t="s">
        <v>2947</v>
      </c>
      <c r="H780" s="7">
        <v>4.3</v>
      </c>
      <c r="I780" s="7" t="s">
        <v>718</v>
      </c>
      <c r="W780" s="1488"/>
      <c r="X780" s="1488"/>
      <c r="Y780" s="1488"/>
      <c r="Z780" s="1488"/>
    </row>
    <row r="781" spans="1:26">
      <c r="A781" s="7" t="s">
        <v>19</v>
      </c>
      <c r="B781" s="7" t="s">
        <v>687</v>
      </c>
      <c r="C781" s="7">
        <v>2</v>
      </c>
      <c r="D781" s="7" t="s">
        <v>1029</v>
      </c>
      <c r="E781" s="7" t="s">
        <v>1029</v>
      </c>
      <c r="F781" s="7" t="s">
        <v>373</v>
      </c>
      <c r="G781" s="7" t="s">
        <v>2946</v>
      </c>
      <c r="H781" s="7">
        <v>4.3</v>
      </c>
      <c r="I781" s="7" t="s">
        <v>718</v>
      </c>
      <c r="W781" s="1488"/>
      <c r="X781" s="1488"/>
      <c r="Y781" s="1488"/>
      <c r="Z781" s="1488"/>
    </row>
    <row r="782" spans="1:26">
      <c r="A782" s="7" t="s">
        <v>19</v>
      </c>
      <c r="B782" s="7" t="s">
        <v>687</v>
      </c>
      <c r="C782" s="7">
        <v>2</v>
      </c>
      <c r="D782" s="7" t="s">
        <v>1029</v>
      </c>
      <c r="E782" s="7" t="s">
        <v>1029</v>
      </c>
      <c r="F782" s="7" t="s">
        <v>2961</v>
      </c>
      <c r="G782" s="7" t="s">
        <v>2962</v>
      </c>
      <c r="H782" s="7">
        <v>4.3</v>
      </c>
      <c r="I782" s="7" t="s">
        <v>718</v>
      </c>
      <c r="W782" s="1488"/>
      <c r="X782" s="1488"/>
      <c r="Y782" s="1488"/>
      <c r="Z782" s="1488"/>
    </row>
    <row r="783" spans="1:26">
      <c r="A783" s="7" t="s">
        <v>19</v>
      </c>
      <c r="B783" s="7" t="s">
        <v>687</v>
      </c>
      <c r="C783" s="7">
        <v>2</v>
      </c>
      <c r="D783" s="7" t="s">
        <v>1029</v>
      </c>
      <c r="E783" s="7" t="s">
        <v>1029</v>
      </c>
      <c r="F783" s="7" t="s">
        <v>1062</v>
      </c>
      <c r="G783" s="7" t="s">
        <v>1044</v>
      </c>
      <c r="H783" s="7">
        <v>4.3</v>
      </c>
      <c r="I783" s="7" t="s">
        <v>718</v>
      </c>
      <c r="W783" s="1488"/>
      <c r="X783" s="1488"/>
      <c r="Y783" s="1488"/>
      <c r="Z783" s="1488"/>
    </row>
    <row r="784" spans="1:26">
      <c r="A784" s="7" t="s">
        <v>19</v>
      </c>
      <c r="B784" s="7" t="s">
        <v>687</v>
      </c>
      <c r="C784" s="7">
        <v>2</v>
      </c>
      <c r="D784" s="7" t="s">
        <v>1029</v>
      </c>
      <c r="E784" s="7" t="s">
        <v>1029</v>
      </c>
      <c r="F784" s="7" t="s">
        <v>1062</v>
      </c>
      <c r="G784" s="7" t="s">
        <v>3064</v>
      </c>
      <c r="H784" s="7">
        <v>4.3</v>
      </c>
      <c r="I784" s="7" t="s">
        <v>718</v>
      </c>
      <c r="W784" s="1488"/>
      <c r="X784" s="1488"/>
      <c r="Y784" s="1488"/>
      <c r="Z784" s="1488"/>
    </row>
    <row r="785" spans="1:26">
      <c r="A785" s="7" t="s">
        <v>19</v>
      </c>
      <c r="B785" s="7" t="s">
        <v>687</v>
      </c>
      <c r="C785" s="7">
        <v>2</v>
      </c>
      <c r="D785" s="7" t="s">
        <v>1029</v>
      </c>
      <c r="E785" s="7" t="s">
        <v>1029</v>
      </c>
      <c r="F785" s="7" t="s">
        <v>2963</v>
      </c>
      <c r="G785" s="7" t="s">
        <v>2879</v>
      </c>
      <c r="H785" s="7">
        <v>4.3</v>
      </c>
      <c r="I785" s="7" t="s">
        <v>718</v>
      </c>
      <c r="W785" s="1488"/>
      <c r="X785" s="1488"/>
      <c r="Y785" s="1488"/>
      <c r="Z785" s="1488"/>
    </row>
    <row r="786" spans="1:26">
      <c r="A786" s="7" t="s">
        <v>19</v>
      </c>
      <c r="B786" s="7" t="s">
        <v>687</v>
      </c>
      <c r="C786" s="7">
        <v>2</v>
      </c>
      <c r="D786" s="7" t="s">
        <v>1029</v>
      </c>
      <c r="E786" s="7" t="s">
        <v>1029</v>
      </c>
      <c r="F786" s="7" t="s">
        <v>2963</v>
      </c>
      <c r="G786" s="7" t="s">
        <v>1885</v>
      </c>
      <c r="H786" s="7">
        <v>4.3</v>
      </c>
      <c r="I786" s="7" t="s">
        <v>718</v>
      </c>
      <c r="W786" s="1488"/>
      <c r="X786" s="1488"/>
      <c r="Y786" s="1488"/>
      <c r="Z786" s="1488"/>
    </row>
    <row r="787" spans="1:26">
      <c r="A787" s="7" t="s">
        <v>19</v>
      </c>
      <c r="B787" s="7" t="s">
        <v>687</v>
      </c>
      <c r="C787" s="7">
        <v>2</v>
      </c>
      <c r="D787" s="7" t="s">
        <v>1029</v>
      </c>
      <c r="E787" s="7" t="s">
        <v>1029</v>
      </c>
      <c r="F787" s="7" t="s">
        <v>375</v>
      </c>
      <c r="G787" s="7" t="s">
        <v>2890</v>
      </c>
      <c r="H787" s="7">
        <v>4.3</v>
      </c>
      <c r="I787" s="7" t="s">
        <v>718</v>
      </c>
      <c r="W787" s="1488"/>
      <c r="X787" s="1488"/>
      <c r="Y787" s="1488"/>
      <c r="Z787" s="1488"/>
    </row>
    <row r="788" spans="1:26">
      <c r="A788" s="7" t="s">
        <v>19</v>
      </c>
      <c r="B788" s="7" t="s">
        <v>687</v>
      </c>
      <c r="C788" s="7">
        <v>2</v>
      </c>
      <c r="D788" s="7" t="s">
        <v>1029</v>
      </c>
      <c r="E788" s="7" t="s">
        <v>1029</v>
      </c>
      <c r="F788" s="7" t="s">
        <v>2964</v>
      </c>
      <c r="G788" s="7" t="s">
        <v>2700</v>
      </c>
      <c r="H788" s="7">
        <v>4.3</v>
      </c>
      <c r="I788" s="7" t="s">
        <v>718</v>
      </c>
      <c r="W788" s="1488"/>
      <c r="X788" s="1488"/>
      <c r="Y788" s="1488"/>
      <c r="Z788" s="1488"/>
    </row>
    <row r="789" spans="1:26">
      <c r="A789" s="7" t="s">
        <v>19</v>
      </c>
      <c r="B789" s="7" t="s">
        <v>687</v>
      </c>
      <c r="C789" s="7">
        <v>2</v>
      </c>
      <c r="D789" s="7" t="s">
        <v>1029</v>
      </c>
      <c r="E789" s="7" t="s">
        <v>1029</v>
      </c>
      <c r="F789" s="7" t="s">
        <v>172</v>
      </c>
      <c r="G789" s="7" t="s">
        <v>2700</v>
      </c>
      <c r="H789" s="7">
        <v>4.3</v>
      </c>
      <c r="I789" s="7" t="s">
        <v>718</v>
      </c>
      <c r="W789" s="1488"/>
      <c r="X789" s="1488"/>
      <c r="Y789" s="1488"/>
      <c r="Z789" s="1488"/>
    </row>
    <row r="790" spans="1:26">
      <c r="A790" s="7" t="s">
        <v>19</v>
      </c>
      <c r="B790" s="7" t="s">
        <v>687</v>
      </c>
      <c r="C790" s="7">
        <v>2</v>
      </c>
      <c r="D790" s="7" t="s">
        <v>1029</v>
      </c>
      <c r="E790" s="7" t="s">
        <v>1029</v>
      </c>
      <c r="F790" s="7" t="s">
        <v>376</v>
      </c>
      <c r="G790" s="7" t="s">
        <v>2951</v>
      </c>
      <c r="H790" s="7">
        <v>4.3</v>
      </c>
      <c r="I790" s="7" t="s">
        <v>718</v>
      </c>
      <c r="W790" s="1488"/>
      <c r="X790" s="1488"/>
      <c r="Y790" s="1488"/>
      <c r="Z790" s="1488"/>
    </row>
    <row r="791" spans="1:26">
      <c r="A791" s="7" t="s">
        <v>19</v>
      </c>
      <c r="B791" s="7" t="s">
        <v>687</v>
      </c>
      <c r="C791" s="7">
        <v>2</v>
      </c>
      <c r="D791" s="7" t="s">
        <v>1029</v>
      </c>
      <c r="E791" s="7" t="s">
        <v>1029</v>
      </c>
      <c r="F791" s="7" t="s">
        <v>376</v>
      </c>
      <c r="G791" s="7" t="s">
        <v>2956</v>
      </c>
      <c r="H791" s="7">
        <v>4.3</v>
      </c>
      <c r="I791" s="7" t="s">
        <v>718</v>
      </c>
      <c r="W791" s="1488"/>
      <c r="X791" s="1488"/>
      <c r="Y791" s="1488"/>
      <c r="Z791" s="1488"/>
    </row>
    <row r="792" spans="1:26">
      <c r="A792" s="7" t="s">
        <v>19</v>
      </c>
      <c r="B792" s="7" t="s">
        <v>687</v>
      </c>
      <c r="C792" s="7">
        <v>2</v>
      </c>
      <c r="D792" s="7" t="s">
        <v>1029</v>
      </c>
      <c r="E792" s="7" t="s">
        <v>1029</v>
      </c>
      <c r="F792" s="7" t="s">
        <v>376</v>
      </c>
      <c r="G792" s="7" t="s">
        <v>2952</v>
      </c>
      <c r="H792" s="7">
        <v>4.3</v>
      </c>
      <c r="I792" s="7" t="s">
        <v>718</v>
      </c>
      <c r="W792" s="1488"/>
      <c r="X792" s="1488"/>
      <c r="Y792" s="1488"/>
      <c r="Z792" s="1488"/>
    </row>
    <row r="793" spans="1:26">
      <c r="A793" s="7" t="s">
        <v>19</v>
      </c>
      <c r="B793" s="7" t="s">
        <v>687</v>
      </c>
      <c r="C793" s="7">
        <v>2</v>
      </c>
      <c r="D793" s="7" t="s">
        <v>1029</v>
      </c>
      <c r="E793" s="7" t="s">
        <v>1029</v>
      </c>
      <c r="F793" s="7" t="s">
        <v>376</v>
      </c>
      <c r="G793" s="7" t="s">
        <v>2953</v>
      </c>
      <c r="H793" s="7">
        <v>4.3</v>
      </c>
      <c r="I793" s="7" t="s">
        <v>718</v>
      </c>
      <c r="W793" s="1488"/>
      <c r="X793" s="1488"/>
      <c r="Y793" s="1488"/>
      <c r="Z793" s="1488"/>
    </row>
    <row r="794" spans="1:26">
      <c r="A794" s="7" t="s">
        <v>19</v>
      </c>
      <c r="B794" s="7" t="s">
        <v>687</v>
      </c>
      <c r="C794" s="7">
        <v>2</v>
      </c>
      <c r="D794" s="7" t="s">
        <v>1029</v>
      </c>
      <c r="E794" s="7" t="s">
        <v>1029</v>
      </c>
      <c r="F794" s="7" t="s">
        <v>376</v>
      </c>
      <c r="G794" s="7" t="s">
        <v>2957</v>
      </c>
      <c r="H794" s="7">
        <v>4.3</v>
      </c>
      <c r="I794" s="7" t="s">
        <v>718</v>
      </c>
      <c r="W794" s="1488"/>
      <c r="X794" s="1488"/>
      <c r="Y794" s="1488"/>
      <c r="Z794" s="1488"/>
    </row>
    <row r="795" spans="1:26">
      <c r="A795" s="7" t="s">
        <v>19</v>
      </c>
      <c r="B795" s="7" t="s">
        <v>687</v>
      </c>
      <c r="C795" s="7">
        <v>2</v>
      </c>
      <c r="D795" s="7" t="s">
        <v>1029</v>
      </c>
      <c r="E795" s="7" t="s">
        <v>1029</v>
      </c>
      <c r="F795" s="7" t="s">
        <v>376</v>
      </c>
      <c r="G795" s="7" t="s">
        <v>2954</v>
      </c>
      <c r="H795" s="7">
        <v>4.3</v>
      </c>
      <c r="I795" s="7" t="s">
        <v>718</v>
      </c>
      <c r="W795" s="1488"/>
      <c r="X795" s="1488"/>
      <c r="Y795" s="1488"/>
      <c r="Z795" s="1488"/>
    </row>
    <row r="796" spans="1:26">
      <c r="A796" s="7" t="s">
        <v>19</v>
      </c>
      <c r="B796" s="7" t="s">
        <v>687</v>
      </c>
      <c r="C796" s="7">
        <v>2</v>
      </c>
      <c r="D796" s="7" t="s">
        <v>1029</v>
      </c>
      <c r="E796" s="7" t="s">
        <v>1029</v>
      </c>
      <c r="F796" s="7" t="s">
        <v>376</v>
      </c>
      <c r="G796" s="7" t="s">
        <v>2958</v>
      </c>
      <c r="H796" s="7">
        <v>4.3</v>
      </c>
      <c r="I796" s="7" t="s">
        <v>718</v>
      </c>
      <c r="W796" s="1488"/>
      <c r="X796" s="1488"/>
      <c r="Y796" s="1488"/>
      <c r="Z796" s="1488"/>
    </row>
    <row r="797" spans="1:26">
      <c r="A797" s="7" t="s">
        <v>19</v>
      </c>
      <c r="B797" s="7" t="s">
        <v>687</v>
      </c>
      <c r="C797" s="7">
        <v>2</v>
      </c>
      <c r="D797" s="7" t="s">
        <v>1029</v>
      </c>
      <c r="E797" s="7" t="s">
        <v>1029</v>
      </c>
      <c r="F797" s="7" t="s">
        <v>376</v>
      </c>
      <c r="G797" s="7" t="s">
        <v>2955</v>
      </c>
      <c r="H797" s="7">
        <v>4.3</v>
      </c>
      <c r="I797" s="7" t="s">
        <v>718</v>
      </c>
      <c r="W797" s="1488"/>
      <c r="X797" s="1488"/>
      <c r="Y797" s="1488"/>
      <c r="Z797" s="1488"/>
    </row>
    <row r="798" spans="1:26">
      <c r="A798" s="7" t="s">
        <v>19</v>
      </c>
      <c r="B798" s="7" t="s">
        <v>687</v>
      </c>
      <c r="C798" s="7">
        <v>2</v>
      </c>
      <c r="D798" s="7" t="s">
        <v>1029</v>
      </c>
      <c r="E798" s="7" t="s">
        <v>1029</v>
      </c>
      <c r="F798" s="7" t="s">
        <v>377</v>
      </c>
      <c r="G798" s="7" t="s">
        <v>379</v>
      </c>
      <c r="H798" s="7">
        <v>4.3</v>
      </c>
      <c r="I798" s="7" t="s">
        <v>718</v>
      </c>
      <c r="W798" s="1488"/>
      <c r="X798" s="1488"/>
      <c r="Y798" s="1488"/>
      <c r="Z798" s="1488"/>
    </row>
    <row r="799" spans="1:26">
      <c r="A799" s="7" t="s">
        <v>19</v>
      </c>
      <c r="B799" s="7" t="s">
        <v>687</v>
      </c>
      <c r="C799" s="7">
        <v>2</v>
      </c>
      <c r="D799" s="7" t="s">
        <v>1029</v>
      </c>
      <c r="E799" s="7" t="s">
        <v>1029</v>
      </c>
      <c r="F799" s="7" t="s">
        <v>361</v>
      </c>
      <c r="G799" s="7" t="s">
        <v>984</v>
      </c>
      <c r="H799" s="7">
        <v>4.3</v>
      </c>
      <c r="I799" s="7" t="s">
        <v>718</v>
      </c>
      <c r="W799" s="1488"/>
      <c r="X799" s="1488"/>
      <c r="Y799" s="1488"/>
      <c r="Z799" s="1488"/>
    </row>
    <row r="800" spans="1:26">
      <c r="A800" s="7" t="s">
        <v>19</v>
      </c>
      <c r="B800" s="7" t="s">
        <v>687</v>
      </c>
      <c r="C800" s="7">
        <v>2</v>
      </c>
      <c r="D800" s="7" t="s">
        <v>1029</v>
      </c>
      <c r="E800" s="7" t="s">
        <v>1029</v>
      </c>
      <c r="F800" s="7" t="s">
        <v>361</v>
      </c>
      <c r="G800" s="7" t="s">
        <v>2965</v>
      </c>
      <c r="H800" s="7">
        <v>4.3</v>
      </c>
      <c r="I800" s="7" t="s">
        <v>718</v>
      </c>
      <c r="W800" s="1488"/>
      <c r="X800" s="1488"/>
      <c r="Y800" s="1488"/>
      <c r="Z800" s="1488"/>
    </row>
    <row r="801" spans="1:26">
      <c r="A801" s="7" t="s">
        <v>19</v>
      </c>
      <c r="B801" s="7" t="s">
        <v>687</v>
      </c>
      <c r="C801" s="7">
        <v>2</v>
      </c>
      <c r="D801" s="7" t="s">
        <v>1029</v>
      </c>
      <c r="E801" s="7" t="s">
        <v>1029</v>
      </c>
      <c r="F801" s="7" t="s">
        <v>361</v>
      </c>
      <c r="G801" s="7" t="s">
        <v>985</v>
      </c>
      <c r="H801" s="7">
        <v>4.3</v>
      </c>
      <c r="I801" s="7" t="s">
        <v>718</v>
      </c>
      <c r="W801" s="1488"/>
      <c r="X801" s="1488"/>
      <c r="Y801" s="1488"/>
      <c r="Z801" s="1488"/>
    </row>
    <row r="802" spans="1:26">
      <c r="A802" s="7" t="s">
        <v>19</v>
      </c>
      <c r="B802" s="7" t="s">
        <v>687</v>
      </c>
      <c r="C802" s="7">
        <v>2</v>
      </c>
      <c r="D802" s="7" t="s">
        <v>1029</v>
      </c>
      <c r="E802" s="7" t="s">
        <v>1029</v>
      </c>
      <c r="F802" s="7" t="s">
        <v>361</v>
      </c>
      <c r="G802" s="7" t="s">
        <v>986</v>
      </c>
      <c r="H802" s="7">
        <v>4.3</v>
      </c>
      <c r="I802" s="7" t="s">
        <v>718</v>
      </c>
      <c r="W802" s="1488"/>
      <c r="X802" s="1488"/>
      <c r="Y802" s="1488"/>
      <c r="Z802" s="1488"/>
    </row>
    <row r="803" spans="1:26">
      <c r="A803" s="7" t="s">
        <v>19</v>
      </c>
      <c r="B803" s="7" t="s">
        <v>687</v>
      </c>
      <c r="C803" s="7">
        <v>2</v>
      </c>
      <c r="D803" s="7" t="s">
        <v>1029</v>
      </c>
      <c r="E803" s="7" t="s">
        <v>1029</v>
      </c>
      <c r="F803" s="7" t="s">
        <v>361</v>
      </c>
      <c r="G803" s="7" t="s">
        <v>987</v>
      </c>
      <c r="H803" s="7">
        <v>4.3</v>
      </c>
      <c r="I803" s="7" t="s">
        <v>718</v>
      </c>
      <c r="W803" s="1488"/>
      <c r="X803" s="1488"/>
      <c r="Y803" s="1488"/>
      <c r="Z803" s="1488"/>
    </row>
    <row r="804" spans="1:26">
      <c r="A804" s="7" t="s">
        <v>688</v>
      </c>
      <c r="B804" s="7" t="s">
        <v>3052</v>
      </c>
      <c r="C804" s="7">
        <v>1</v>
      </c>
      <c r="D804" s="7" t="s">
        <v>1251</v>
      </c>
      <c r="E804" s="7" t="s">
        <v>1251</v>
      </c>
      <c r="F804" s="7" t="s">
        <v>989</v>
      </c>
      <c r="G804" s="7" t="s">
        <v>990</v>
      </c>
      <c r="H804" s="7">
        <v>6.3</v>
      </c>
      <c r="I804" s="7" t="s">
        <v>719</v>
      </c>
      <c r="W804" s="1488"/>
      <c r="X804" s="1488"/>
      <c r="Y804" s="1488"/>
      <c r="Z804" s="1488"/>
    </row>
    <row r="805" spans="1:26">
      <c r="A805" s="7" t="s">
        <v>688</v>
      </c>
      <c r="B805" s="7" t="s">
        <v>3052</v>
      </c>
      <c r="C805" s="7">
        <v>1</v>
      </c>
      <c r="D805" s="7" t="s">
        <v>1251</v>
      </c>
      <c r="E805" s="7" t="s">
        <v>1251</v>
      </c>
      <c r="F805" s="7" t="s">
        <v>989</v>
      </c>
      <c r="G805" s="7" t="s">
        <v>991</v>
      </c>
      <c r="H805" s="7">
        <v>6.3</v>
      </c>
      <c r="I805" s="7" t="s">
        <v>719</v>
      </c>
      <c r="W805" s="1488"/>
      <c r="X805" s="1488"/>
      <c r="Y805" s="1488"/>
      <c r="Z805" s="1488"/>
    </row>
    <row r="806" spans="1:26">
      <c r="A806" s="7" t="s">
        <v>688</v>
      </c>
      <c r="B806" s="7" t="s">
        <v>3052</v>
      </c>
      <c r="C806" s="7">
        <v>1</v>
      </c>
      <c r="D806" s="7" t="s">
        <v>1251</v>
      </c>
      <c r="E806" s="7" t="s">
        <v>1251</v>
      </c>
      <c r="F806" s="7" t="s">
        <v>989</v>
      </c>
      <c r="G806" s="7" t="s">
        <v>2903</v>
      </c>
      <c r="H806" s="7">
        <v>6.3</v>
      </c>
      <c r="I806" s="7" t="s">
        <v>719</v>
      </c>
      <c r="W806" s="1488"/>
      <c r="X806" s="1488"/>
      <c r="Y806" s="1488"/>
      <c r="Z806" s="1488"/>
    </row>
    <row r="807" spans="1:26">
      <c r="A807" s="7" t="s">
        <v>688</v>
      </c>
      <c r="B807" s="7" t="s">
        <v>3052</v>
      </c>
      <c r="C807" s="7">
        <v>1</v>
      </c>
      <c r="D807" s="7" t="s">
        <v>1251</v>
      </c>
      <c r="E807" s="7" t="s">
        <v>1251</v>
      </c>
      <c r="F807" s="7" t="s">
        <v>989</v>
      </c>
      <c r="G807" s="7" t="s">
        <v>2693</v>
      </c>
      <c r="H807" s="7">
        <v>6.3</v>
      </c>
      <c r="I807" s="7" t="s">
        <v>719</v>
      </c>
      <c r="W807" s="1488"/>
      <c r="X807" s="1488"/>
      <c r="Y807" s="1488"/>
      <c r="Z807" s="1488"/>
    </row>
    <row r="808" spans="1:26">
      <c r="A808" s="7" t="s">
        <v>688</v>
      </c>
      <c r="B808" s="7" t="s">
        <v>3052</v>
      </c>
      <c r="C808" s="7">
        <v>1</v>
      </c>
      <c r="D808" s="7" t="s">
        <v>1251</v>
      </c>
      <c r="E808" s="7" t="s">
        <v>1251</v>
      </c>
      <c r="F808" s="7" t="s">
        <v>989</v>
      </c>
      <c r="G808" s="7" t="s">
        <v>206</v>
      </c>
      <c r="H808" s="7">
        <v>6.5</v>
      </c>
      <c r="I808" s="7" t="s">
        <v>719</v>
      </c>
      <c r="W808" s="1488"/>
      <c r="X808" s="1488"/>
      <c r="Y808" s="1488"/>
      <c r="Z808" s="1488"/>
    </row>
    <row r="809" spans="1:26">
      <c r="A809" s="7" t="s">
        <v>688</v>
      </c>
      <c r="B809" s="7" t="s">
        <v>3052</v>
      </c>
      <c r="C809" s="7">
        <v>1</v>
      </c>
      <c r="D809" s="7" t="s">
        <v>1251</v>
      </c>
      <c r="E809" s="7" t="s">
        <v>1251</v>
      </c>
      <c r="F809" s="7" t="s">
        <v>2979</v>
      </c>
      <c r="G809" s="7" t="s">
        <v>2700</v>
      </c>
      <c r="H809" s="7">
        <v>5.6</v>
      </c>
      <c r="I809" s="7" t="s">
        <v>718</v>
      </c>
      <c r="W809" s="1488"/>
      <c r="X809" s="1488"/>
      <c r="Y809" s="1488"/>
      <c r="Z809" s="1488"/>
    </row>
    <row r="810" spans="1:26">
      <c r="A810" s="7" t="s">
        <v>688</v>
      </c>
      <c r="B810" s="7" t="s">
        <v>3052</v>
      </c>
      <c r="C810" s="7">
        <v>1</v>
      </c>
      <c r="D810" s="7" t="s">
        <v>1251</v>
      </c>
      <c r="E810" s="7" t="s">
        <v>1251</v>
      </c>
      <c r="F810" s="7" t="s">
        <v>1172</v>
      </c>
      <c r="G810" s="7" t="s">
        <v>1174</v>
      </c>
      <c r="H810" s="7">
        <v>5.6</v>
      </c>
      <c r="I810" s="7" t="s">
        <v>718</v>
      </c>
      <c r="W810" s="1488"/>
      <c r="X810" s="1488"/>
      <c r="Y810" s="1488"/>
      <c r="Z810" s="1488"/>
    </row>
    <row r="811" spans="1:26">
      <c r="A811" s="7" t="s">
        <v>688</v>
      </c>
      <c r="B811" s="7" t="s">
        <v>3052</v>
      </c>
      <c r="C811" s="7">
        <v>1</v>
      </c>
      <c r="D811" s="7" t="s">
        <v>1251</v>
      </c>
      <c r="E811" s="7" t="s">
        <v>1251</v>
      </c>
      <c r="F811" s="7" t="s">
        <v>1172</v>
      </c>
      <c r="G811" s="7" t="s">
        <v>1175</v>
      </c>
      <c r="H811" s="7">
        <v>5.6</v>
      </c>
      <c r="I811" s="7" t="s">
        <v>718</v>
      </c>
      <c r="W811" s="1488"/>
      <c r="X811" s="1488"/>
      <c r="Y811" s="1488"/>
      <c r="Z811" s="1488"/>
    </row>
    <row r="812" spans="1:26">
      <c r="A812" s="7" t="s">
        <v>688</v>
      </c>
      <c r="B812" s="7" t="s">
        <v>3052</v>
      </c>
      <c r="C812" s="7">
        <v>1</v>
      </c>
      <c r="D812" s="7" t="s">
        <v>1251</v>
      </c>
      <c r="E812" s="7" t="s">
        <v>1251</v>
      </c>
      <c r="F812" s="7" t="s">
        <v>1173</v>
      </c>
      <c r="G812" s="7" t="s">
        <v>2977</v>
      </c>
      <c r="H812" s="7">
        <v>5.6</v>
      </c>
      <c r="I812" s="7" t="s">
        <v>718</v>
      </c>
      <c r="W812" s="1488"/>
      <c r="X812" s="1488"/>
      <c r="Y812" s="1488"/>
      <c r="Z812" s="1488"/>
    </row>
    <row r="813" spans="1:26">
      <c r="A813" s="7" t="s">
        <v>688</v>
      </c>
      <c r="B813" s="7" t="s">
        <v>3052</v>
      </c>
      <c r="C813" s="7">
        <v>1</v>
      </c>
      <c r="D813" s="7" t="s">
        <v>1251</v>
      </c>
      <c r="E813" s="7" t="s">
        <v>1251</v>
      </c>
      <c r="F813" s="7" t="s">
        <v>1173</v>
      </c>
      <c r="G813" s="7" t="s">
        <v>2976</v>
      </c>
      <c r="H813" s="7">
        <v>5.6</v>
      </c>
      <c r="I813" s="7" t="s">
        <v>718</v>
      </c>
      <c r="W813" s="1488"/>
      <c r="X813" s="1488"/>
      <c r="Y813" s="1488"/>
      <c r="Z813" s="1488"/>
    </row>
    <row r="814" spans="1:26">
      <c r="A814" s="7" t="s">
        <v>688</v>
      </c>
      <c r="B814" s="7" t="s">
        <v>3052</v>
      </c>
      <c r="C814" s="7">
        <v>1</v>
      </c>
      <c r="D814" s="7" t="s">
        <v>1251</v>
      </c>
      <c r="E814" s="7" t="s">
        <v>1251</v>
      </c>
      <c r="F814" s="7" t="s">
        <v>1173</v>
      </c>
      <c r="G814" s="7" t="s">
        <v>2966</v>
      </c>
      <c r="H814" s="7">
        <v>5.6</v>
      </c>
      <c r="I814" s="7" t="s">
        <v>718</v>
      </c>
      <c r="W814" s="1488"/>
      <c r="X814" s="1488"/>
      <c r="Y814" s="1488"/>
      <c r="Z814" s="1488"/>
    </row>
    <row r="815" spans="1:26">
      <c r="A815" s="7" t="s">
        <v>688</v>
      </c>
      <c r="B815" s="7" t="s">
        <v>3052</v>
      </c>
      <c r="C815" s="7">
        <v>1</v>
      </c>
      <c r="D815" s="7" t="s">
        <v>1251</v>
      </c>
      <c r="E815" s="7" t="s">
        <v>1251</v>
      </c>
      <c r="F815" s="7" t="s">
        <v>1173</v>
      </c>
      <c r="G815" s="7" t="s">
        <v>2975</v>
      </c>
      <c r="H815" s="7">
        <v>5.6</v>
      </c>
      <c r="I815" s="7" t="s">
        <v>718</v>
      </c>
      <c r="W815" s="1488"/>
      <c r="X815" s="1488"/>
      <c r="Y815" s="1488"/>
      <c r="Z815" s="1488"/>
    </row>
    <row r="816" spans="1:26">
      <c r="A816" s="7" t="s">
        <v>688</v>
      </c>
      <c r="B816" s="7" t="s">
        <v>3052</v>
      </c>
      <c r="C816" s="7">
        <v>1</v>
      </c>
      <c r="D816" s="7" t="s">
        <v>1251</v>
      </c>
      <c r="E816" s="7" t="s">
        <v>1251</v>
      </c>
      <c r="F816" s="7" t="s">
        <v>1173</v>
      </c>
      <c r="G816" s="7" t="s">
        <v>2968</v>
      </c>
      <c r="H816" s="7">
        <v>5.6</v>
      </c>
      <c r="I816" s="7" t="s">
        <v>718</v>
      </c>
      <c r="W816" s="1488"/>
      <c r="X816" s="1488"/>
      <c r="Y816" s="1488"/>
      <c r="Z816" s="1488"/>
    </row>
    <row r="817" spans="1:26">
      <c r="A817" s="7" t="s">
        <v>688</v>
      </c>
      <c r="B817" s="7" t="s">
        <v>3052</v>
      </c>
      <c r="C817" s="7">
        <v>1</v>
      </c>
      <c r="D817" s="7" t="s">
        <v>1251</v>
      </c>
      <c r="E817" s="7" t="s">
        <v>1251</v>
      </c>
      <c r="F817" s="7" t="s">
        <v>1173</v>
      </c>
      <c r="G817" s="7" t="s">
        <v>2967</v>
      </c>
      <c r="H817" s="7">
        <v>5.6</v>
      </c>
      <c r="I817" s="7" t="s">
        <v>718</v>
      </c>
      <c r="W817" s="1488"/>
      <c r="X817" s="1488"/>
      <c r="Y817" s="1488"/>
      <c r="Z817" s="1488"/>
    </row>
    <row r="818" spans="1:26">
      <c r="A818" s="7" t="s">
        <v>688</v>
      </c>
      <c r="B818" s="7" t="s">
        <v>3052</v>
      </c>
      <c r="C818" s="7">
        <v>1</v>
      </c>
      <c r="D818" s="7" t="s">
        <v>1251</v>
      </c>
      <c r="E818" s="7" t="s">
        <v>1251</v>
      </c>
      <c r="F818" s="7" t="s">
        <v>1173</v>
      </c>
      <c r="G818" s="7" t="s">
        <v>2970</v>
      </c>
      <c r="H818" s="7">
        <v>5.6</v>
      </c>
      <c r="I818" s="7" t="s">
        <v>718</v>
      </c>
      <c r="W818" s="1488"/>
      <c r="X818" s="1488"/>
      <c r="Y818" s="1488"/>
      <c r="Z818" s="1488"/>
    </row>
    <row r="819" spans="1:26">
      <c r="A819" s="7" t="s">
        <v>688</v>
      </c>
      <c r="B819" s="7" t="s">
        <v>3052</v>
      </c>
      <c r="C819" s="7">
        <v>1</v>
      </c>
      <c r="D819" s="7" t="s">
        <v>1251</v>
      </c>
      <c r="E819" s="7" t="s">
        <v>1251</v>
      </c>
      <c r="F819" s="7" t="s">
        <v>1173</v>
      </c>
      <c r="G819" s="7" t="s">
        <v>2978</v>
      </c>
      <c r="H819" s="7">
        <v>5.6</v>
      </c>
      <c r="I819" s="7" t="s">
        <v>718</v>
      </c>
      <c r="W819" s="1488"/>
      <c r="X819" s="1488"/>
      <c r="Y819" s="1488"/>
      <c r="Z819" s="1488"/>
    </row>
    <row r="820" spans="1:26">
      <c r="A820" s="7" t="s">
        <v>688</v>
      </c>
      <c r="B820" s="7" t="s">
        <v>3052</v>
      </c>
      <c r="C820" s="7">
        <v>1</v>
      </c>
      <c r="D820" s="7" t="s">
        <v>1251</v>
      </c>
      <c r="E820" s="7" t="s">
        <v>1251</v>
      </c>
      <c r="F820" s="7" t="s">
        <v>1173</v>
      </c>
      <c r="G820" s="7" t="s">
        <v>2969</v>
      </c>
      <c r="H820" s="7">
        <v>5.6</v>
      </c>
      <c r="I820" s="7" t="s">
        <v>718</v>
      </c>
      <c r="W820" s="1488"/>
      <c r="X820" s="1488"/>
      <c r="Y820" s="1488"/>
      <c r="Z820" s="1488"/>
    </row>
    <row r="821" spans="1:26">
      <c r="A821" s="7" t="s">
        <v>688</v>
      </c>
      <c r="B821" s="7" t="s">
        <v>3052</v>
      </c>
      <c r="C821" s="7">
        <v>1</v>
      </c>
      <c r="D821" s="7" t="s">
        <v>1251</v>
      </c>
      <c r="E821" s="7" t="s">
        <v>1251</v>
      </c>
      <c r="F821" s="7" t="s">
        <v>1173</v>
      </c>
      <c r="G821" s="7" t="s">
        <v>3065</v>
      </c>
      <c r="H821" s="7">
        <v>5.6</v>
      </c>
      <c r="I821" s="7" t="s">
        <v>718</v>
      </c>
      <c r="W821" s="1488"/>
      <c r="X821" s="1488"/>
      <c r="Y821" s="1488"/>
      <c r="Z821" s="1488"/>
    </row>
    <row r="822" spans="1:26">
      <c r="A822" s="7" t="s">
        <v>688</v>
      </c>
      <c r="B822" s="7" t="s">
        <v>3052</v>
      </c>
      <c r="C822" s="7">
        <v>1</v>
      </c>
      <c r="D822" s="7" t="s">
        <v>1251</v>
      </c>
      <c r="E822" s="7" t="s">
        <v>1251</v>
      </c>
      <c r="F822" s="7" t="s">
        <v>1173</v>
      </c>
      <c r="G822" s="7" t="s">
        <v>2971</v>
      </c>
      <c r="H822" s="7">
        <v>5.6</v>
      </c>
      <c r="I822" s="7" t="s">
        <v>718</v>
      </c>
      <c r="W822" s="1488"/>
      <c r="X822" s="1488"/>
      <c r="Y822" s="1488"/>
      <c r="Z822" s="1488"/>
    </row>
    <row r="823" spans="1:26">
      <c r="A823" s="7" t="s">
        <v>688</v>
      </c>
      <c r="B823" s="7" t="s">
        <v>3052</v>
      </c>
      <c r="C823" s="7">
        <v>1</v>
      </c>
      <c r="D823" s="7" t="s">
        <v>1251</v>
      </c>
      <c r="E823" s="7" t="s">
        <v>1251</v>
      </c>
      <c r="F823" s="7" t="s">
        <v>1173</v>
      </c>
      <c r="G823" s="7" t="s">
        <v>2974</v>
      </c>
      <c r="H823" s="7">
        <v>5.6</v>
      </c>
      <c r="I823" s="7" t="s">
        <v>718</v>
      </c>
      <c r="W823" s="1488"/>
      <c r="X823" s="1488"/>
      <c r="Y823" s="1488"/>
      <c r="Z823" s="1488"/>
    </row>
    <row r="824" spans="1:26">
      <c r="A824" s="7" t="s">
        <v>688</v>
      </c>
      <c r="B824" s="7" t="s">
        <v>3052</v>
      </c>
      <c r="C824" s="7">
        <v>1</v>
      </c>
      <c r="D824" s="7" t="s">
        <v>1251</v>
      </c>
      <c r="E824" s="7" t="s">
        <v>1251</v>
      </c>
      <c r="F824" s="7" t="s">
        <v>1173</v>
      </c>
      <c r="G824" s="7" t="s">
        <v>2973</v>
      </c>
      <c r="H824" s="7">
        <v>5.6</v>
      </c>
      <c r="I824" s="7" t="s">
        <v>718</v>
      </c>
      <c r="W824" s="1488"/>
      <c r="X824" s="1488"/>
      <c r="Y824" s="1488"/>
      <c r="Z824" s="1488"/>
    </row>
    <row r="825" spans="1:26">
      <c r="A825" s="7" t="s">
        <v>688</v>
      </c>
      <c r="B825" s="7" t="s">
        <v>3052</v>
      </c>
      <c r="C825" s="7">
        <v>1</v>
      </c>
      <c r="D825" s="7" t="s">
        <v>1251</v>
      </c>
      <c r="E825" s="7" t="s">
        <v>1251</v>
      </c>
      <c r="F825" s="7" t="s">
        <v>1173</v>
      </c>
      <c r="G825" s="7" t="s">
        <v>2972</v>
      </c>
      <c r="H825" s="7">
        <v>5.6</v>
      </c>
      <c r="I825" s="7" t="s">
        <v>718</v>
      </c>
      <c r="W825" s="1488"/>
      <c r="X825" s="1488"/>
      <c r="Y825" s="1488"/>
      <c r="Z825" s="1488"/>
    </row>
    <row r="826" spans="1:26">
      <c r="A826" s="7" t="s">
        <v>688</v>
      </c>
      <c r="B826" s="7" t="s">
        <v>3052</v>
      </c>
      <c r="C826" s="7">
        <v>2</v>
      </c>
      <c r="D826" s="7" t="s">
        <v>1348</v>
      </c>
      <c r="E826" s="7" t="s">
        <v>1349</v>
      </c>
      <c r="F826" s="7" t="s">
        <v>448</v>
      </c>
      <c r="G826" s="7" t="s">
        <v>1324</v>
      </c>
      <c r="H826" s="7">
        <v>5.4</v>
      </c>
      <c r="I826" s="7" t="s">
        <v>718</v>
      </c>
      <c r="W826" s="1488"/>
      <c r="X826" s="1488"/>
      <c r="Y826" s="1488"/>
      <c r="Z826" s="1488"/>
    </row>
    <row r="827" spans="1:26">
      <c r="A827" s="7" t="s">
        <v>688</v>
      </c>
      <c r="B827" s="7" t="s">
        <v>3052</v>
      </c>
      <c r="C827" s="7">
        <v>2</v>
      </c>
      <c r="D827" s="7" t="s">
        <v>1348</v>
      </c>
      <c r="E827" s="7" t="s">
        <v>1349</v>
      </c>
      <c r="F827" s="7" t="s">
        <v>448</v>
      </c>
      <c r="G827" s="7" t="s">
        <v>1351</v>
      </c>
      <c r="H827" s="7">
        <v>5.4</v>
      </c>
      <c r="I827" s="7" t="s">
        <v>718</v>
      </c>
      <c r="W827" s="1488"/>
      <c r="X827" s="1488"/>
      <c r="Y827" s="1488"/>
      <c r="Z827" s="1488"/>
    </row>
    <row r="828" spans="1:26">
      <c r="A828" s="7" t="s">
        <v>688</v>
      </c>
      <c r="B828" s="7" t="s">
        <v>3052</v>
      </c>
      <c r="C828" s="7">
        <v>2</v>
      </c>
      <c r="D828" s="7" t="s">
        <v>1348</v>
      </c>
      <c r="E828" s="7" t="s">
        <v>1349</v>
      </c>
      <c r="F828" s="7" t="s">
        <v>448</v>
      </c>
      <c r="G828" s="7" t="s">
        <v>1352</v>
      </c>
      <c r="H828" s="7">
        <v>5.4</v>
      </c>
      <c r="I828" s="7" t="s">
        <v>718</v>
      </c>
      <c r="W828" s="1488"/>
      <c r="X828" s="1488"/>
      <c r="Y828" s="1488"/>
      <c r="Z828" s="1488"/>
    </row>
    <row r="829" spans="1:26">
      <c r="A829" s="7" t="s">
        <v>688</v>
      </c>
      <c r="B829" s="7" t="s">
        <v>3052</v>
      </c>
      <c r="C829" s="7">
        <v>2</v>
      </c>
      <c r="D829" s="7" t="s">
        <v>1348</v>
      </c>
      <c r="E829" s="7" t="s">
        <v>1349</v>
      </c>
      <c r="F829" s="7" t="s">
        <v>448</v>
      </c>
      <c r="G829" s="7" t="s">
        <v>1353</v>
      </c>
      <c r="H829" s="7">
        <v>5.4</v>
      </c>
      <c r="I829" s="7" t="s">
        <v>718</v>
      </c>
      <c r="W829" s="1488"/>
      <c r="X829" s="1488"/>
      <c r="Y829" s="1488"/>
      <c r="Z829" s="1488"/>
    </row>
    <row r="830" spans="1:26">
      <c r="A830" s="7" t="s">
        <v>688</v>
      </c>
      <c r="B830" s="7" t="s">
        <v>3052</v>
      </c>
      <c r="C830" s="7">
        <v>2</v>
      </c>
      <c r="D830" s="7" t="s">
        <v>1348</v>
      </c>
      <c r="E830" s="7" t="s">
        <v>1349</v>
      </c>
      <c r="F830" s="7" t="s">
        <v>1176</v>
      </c>
      <c r="G830" s="7" t="s">
        <v>1178</v>
      </c>
      <c r="H830" s="7">
        <v>6.4</v>
      </c>
      <c r="I830" s="7" t="s">
        <v>719</v>
      </c>
      <c r="W830" s="1488"/>
      <c r="X830" s="1488"/>
      <c r="Y830" s="1488"/>
      <c r="Z830" s="1488"/>
    </row>
    <row r="831" spans="1:26">
      <c r="A831" s="7" t="s">
        <v>688</v>
      </c>
      <c r="B831" s="7" t="s">
        <v>3052</v>
      </c>
      <c r="C831" s="7">
        <v>2</v>
      </c>
      <c r="D831" s="7" t="s">
        <v>1348</v>
      </c>
      <c r="E831" s="7" t="s">
        <v>1349</v>
      </c>
      <c r="F831" s="7" t="s">
        <v>1176</v>
      </c>
      <c r="G831" s="7" t="s">
        <v>1179</v>
      </c>
      <c r="H831" s="7">
        <v>6.4</v>
      </c>
      <c r="I831" s="7" t="s">
        <v>719</v>
      </c>
      <c r="W831" s="1488"/>
      <c r="X831" s="1488"/>
      <c r="Y831" s="1488"/>
      <c r="Z831" s="1488"/>
    </row>
    <row r="832" spans="1:26">
      <c r="A832" s="7" t="s">
        <v>688</v>
      </c>
      <c r="B832" s="7" t="s">
        <v>3052</v>
      </c>
      <c r="C832" s="7">
        <v>2</v>
      </c>
      <c r="D832" s="7" t="s">
        <v>1348</v>
      </c>
      <c r="E832" s="7" t="s">
        <v>1349</v>
      </c>
      <c r="F832" s="7" t="s">
        <v>1176</v>
      </c>
      <c r="G832" s="7" t="s">
        <v>2726</v>
      </c>
      <c r="H832" s="7">
        <v>6.4</v>
      </c>
      <c r="I832" s="7" t="s">
        <v>719</v>
      </c>
      <c r="W832" s="1488"/>
      <c r="X832" s="1488"/>
      <c r="Y832" s="1488"/>
      <c r="Z832" s="1488"/>
    </row>
    <row r="833" spans="1:26">
      <c r="A833" s="7" t="s">
        <v>688</v>
      </c>
      <c r="B833" s="7" t="s">
        <v>3052</v>
      </c>
      <c r="C833" s="7">
        <v>2</v>
      </c>
      <c r="D833" s="7" t="s">
        <v>1348</v>
      </c>
      <c r="E833" s="7" t="s">
        <v>1349</v>
      </c>
      <c r="F833" s="7" t="s">
        <v>1176</v>
      </c>
      <c r="G833" s="7" t="s">
        <v>1177</v>
      </c>
      <c r="H833" s="7">
        <v>6.4</v>
      </c>
      <c r="I833" s="7" t="s">
        <v>719</v>
      </c>
      <c r="W833" s="1488"/>
      <c r="X833" s="1488"/>
      <c r="Y833" s="1488"/>
      <c r="Z833" s="1488"/>
    </row>
    <row r="834" spans="1:26">
      <c r="A834" s="7" t="s">
        <v>688</v>
      </c>
      <c r="B834" s="7" t="s">
        <v>3052</v>
      </c>
      <c r="C834" s="7">
        <v>2</v>
      </c>
      <c r="D834" s="7" t="s">
        <v>1348</v>
      </c>
      <c r="E834" s="7" t="s">
        <v>1349</v>
      </c>
      <c r="F834" s="7" t="s">
        <v>1176</v>
      </c>
      <c r="G834" s="7" t="s">
        <v>2725</v>
      </c>
      <c r="H834" s="7">
        <v>6.4</v>
      </c>
      <c r="I834" s="7" t="s">
        <v>719</v>
      </c>
      <c r="W834" s="1488"/>
      <c r="X834" s="1488"/>
      <c r="Y834" s="1488"/>
      <c r="Z834" s="1488"/>
    </row>
    <row r="835" spans="1:26">
      <c r="A835" s="7" t="s">
        <v>688</v>
      </c>
      <c r="B835" s="7" t="s">
        <v>3052</v>
      </c>
      <c r="C835" s="7">
        <v>2</v>
      </c>
      <c r="D835" s="7" t="s">
        <v>1348</v>
      </c>
      <c r="E835" s="7" t="s">
        <v>1349</v>
      </c>
      <c r="F835" s="7" t="s">
        <v>1176</v>
      </c>
      <c r="G835" s="7" t="s">
        <v>1180</v>
      </c>
      <c r="H835" s="7">
        <v>6.4</v>
      </c>
      <c r="I835" s="7" t="s">
        <v>719</v>
      </c>
      <c r="W835" s="1488"/>
      <c r="X835" s="1488"/>
      <c r="Y835" s="1488"/>
      <c r="Z835" s="1488"/>
    </row>
    <row r="836" spans="1:26">
      <c r="A836" s="7" t="s">
        <v>688</v>
      </c>
      <c r="B836" s="7" t="s">
        <v>3052</v>
      </c>
      <c r="C836" s="7">
        <v>2</v>
      </c>
      <c r="D836" s="7" t="s">
        <v>1348</v>
      </c>
      <c r="E836" s="7" t="s">
        <v>1349</v>
      </c>
      <c r="F836" s="7" t="s">
        <v>1176</v>
      </c>
      <c r="G836" s="7" t="s">
        <v>2727</v>
      </c>
      <c r="H836" s="7">
        <v>6.4</v>
      </c>
      <c r="I836" s="7" t="s">
        <v>719</v>
      </c>
      <c r="W836" s="1488"/>
      <c r="X836" s="1488"/>
      <c r="Y836" s="1488"/>
      <c r="Z836" s="1488"/>
    </row>
    <row r="837" spans="1:26">
      <c r="A837" s="7" t="s">
        <v>688</v>
      </c>
      <c r="B837" s="7" t="s">
        <v>3052</v>
      </c>
      <c r="C837" s="7">
        <v>2</v>
      </c>
      <c r="D837" s="7" t="s">
        <v>1348</v>
      </c>
      <c r="E837" s="7" t="s">
        <v>1349</v>
      </c>
      <c r="F837" s="7" t="s">
        <v>1176</v>
      </c>
      <c r="G837" s="7" t="s">
        <v>2700</v>
      </c>
      <c r="H837" s="7">
        <v>6.4</v>
      </c>
      <c r="I837" s="7" t="s">
        <v>719</v>
      </c>
      <c r="W837" s="1488"/>
      <c r="X837" s="1488"/>
      <c r="Y837" s="1488"/>
      <c r="Z837" s="1488"/>
    </row>
    <row r="838" spans="1:26">
      <c r="A838" s="7" t="s">
        <v>688</v>
      </c>
      <c r="B838" s="7" t="s">
        <v>3052</v>
      </c>
      <c r="C838" s="7">
        <v>2</v>
      </c>
      <c r="D838" s="7" t="s">
        <v>1348</v>
      </c>
      <c r="E838" s="7" t="s">
        <v>1349</v>
      </c>
      <c r="F838" s="7" t="s">
        <v>1176</v>
      </c>
      <c r="G838" s="7" t="s">
        <v>2693</v>
      </c>
      <c r="H838" s="7">
        <v>6.4</v>
      </c>
      <c r="I838" s="7" t="s">
        <v>719</v>
      </c>
      <c r="W838" s="1488"/>
      <c r="X838" s="1488"/>
      <c r="Y838" s="1488"/>
      <c r="Z838" s="1488"/>
    </row>
    <row r="839" spans="1:26">
      <c r="A839" s="7" t="s">
        <v>688</v>
      </c>
      <c r="B839" s="7" t="s">
        <v>3052</v>
      </c>
      <c r="C839" s="7">
        <v>2</v>
      </c>
      <c r="D839" s="7" t="s">
        <v>1348</v>
      </c>
      <c r="E839" s="7" t="s">
        <v>1349</v>
      </c>
      <c r="F839" s="7" t="s">
        <v>1176</v>
      </c>
      <c r="G839" s="7" t="s">
        <v>206</v>
      </c>
      <c r="H839" s="7">
        <v>6.5</v>
      </c>
      <c r="I839" s="7" t="s">
        <v>719</v>
      </c>
      <c r="W839" s="1488"/>
      <c r="X839" s="1488"/>
      <c r="Y839" s="1488"/>
      <c r="Z839" s="1488"/>
    </row>
    <row r="840" spans="1:26">
      <c r="A840" s="7" t="s">
        <v>688</v>
      </c>
      <c r="B840" s="7" t="s">
        <v>3052</v>
      </c>
      <c r="C840" s="7">
        <v>2</v>
      </c>
      <c r="D840" s="7" t="s">
        <v>1348</v>
      </c>
      <c r="E840" s="7" t="s">
        <v>1348</v>
      </c>
      <c r="F840" s="7" t="s">
        <v>1350</v>
      </c>
      <c r="G840" s="7" t="s">
        <v>1208</v>
      </c>
      <c r="H840" s="7">
        <v>5.4</v>
      </c>
      <c r="I840" s="7" t="s">
        <v>718</v>
      </c>
      <c r="W840" s="1488"/>
      <c r="X840" s="1488"/>
      <c r="Y840" s="1488"/>
      <c r="Z840" s="1488"/>
    </row>
    <row r="841" spans="1:26">
      <c r="A841" s="7" t="s">
        <v>688</v>
      </c>
      <c r="B841" s="7" t="s">
        <v>3052</v>
      </c>
      <c r="C841" s="7">
        <v>2</v>
      </c>
      <c r="D841" s="7" t="s">
        <v>1348</v>
      </c>
      <c r="E841" s="7" t="s">
        <v>1348</v>
      </c>
      <c r="F841" s="7" t="s">
        <v>1350</v>
      </c>
      <c r="G841" s="7" t="s">
        <v>2700</v>
      </c>
      <c r="H841" s="7">
        <v>5.4</v>
      </c>
      <c r="I841" s="7" t="s">
        <v>718</v>
      </c>
      <c r="W841" s="1488"/>
      <c r="X841" s="1488"/>
      <c r="Y841" s="1488"/>
      <c r="Z841" s="1488"/>
    </row>
    <row r="842" spans="1:26">
      <c r="A842" s="7" t="s">
        <v>688</v>
      </c>
      <c r="B842" s="7" t="s">
        <v>3052</v>
      </c>
      <c r="C842" s="7">
        <v>2</v>
      </c>
      <c r="D842" s="7" t="s">
        <v>1348</v>
      </c>
      <c r="E842" s="7" t="s">
        <v>1348</v>
      </c>
      <c r="F842" s="7" t="s">
        <v>2777</v>
      </c>
      <c r="G842" s="7" t="s">
        <v>2778</v>
      </c>
      <c r="H842" s="7">
        <v>5.4</v>
      </c>
      <c r="I842" s="7" t="s">
        <v>718</v>
      </c>
      <c r="W842" s="1488"/>
      <c r="X842" s="1488"/>
      <c r="Y842" s="1488"/>
      <c r="Z842" s="1488"/>
    </row>
    <row r="843" spans="1:26">
      <c r="A843" s="7" t="s">
        <v>688</v>
      </c>
      <c r="B843" s="7" t="s">
        <v>3052</v>
      </c>
      <c r="C843" s="7">
        <v>2</v>
      </c>
      <c r="D843" s="7" t="s">
        <v>1348</v>
      </c>
      <c r="E843" s="7" t="s">
        <v>1348</v>
      </c>
      <c r="F843" s="7" t="s">
        <v>2777</v>
      </c>
      <c r="G843" s="7" t="s">
        <v>2779</v>
      </c>
      <c r="H843" s="7">
        <v>5.4</v>
      </c>
      <c r="I843" s="7" t="s">
        <v>718</v>
      </c>
      <c r="W843" s="1488"/>
      <c r="X843" s="1488"/>
      <c r="Y843" s="1488"/>
      <c r="Z843" s="1488"/>
    </row>
    <row r="844" spans="1:26">
      <c r="A844" s="7" t="s">
        <v>688</v>
      </c>
      <c r="B844" s="7" t="s">
        <v>3052</v>
      </c>
      <c r="C844" s="7">
        <v>2</v>
      </c>
      <c r="D844" s="7" t="s">
        <v>1348</v>
      </c>
      <c r="E844" s="7" t="s">
        <v>1348</v>
      </c>
      <c r="F844" s="7" t="s">
        <v>2773</v>
      </c>
      <c r="G844" s="7" t="s">
        <v>2774</v>
      </c>
      <c r="H844" s="7">
        <v>5.4</v>
      </c>
      <c r="I844" s="7" t="s">
        <v>718</v>
      </c>
      <c r="W844" s="1488"/>
      <c r="X844" s="1488"/>
      <c r="Y844" s="1488"/>
      <c r="Z844" s="1488"/>
    </row>
    <row r="845" spans="1:26">
      <c r="A845" s="7" t="s">
        <v>688</v>
      </c>
      <c r="B845" s="7" t="s">
        <v>3052</v>
      </c>
      <c r="C845" s="7">
        <v>2</v>
      </c>
      <c r="D845" s="7" t="s">
        <v>1348</v>
      </c>
      <c r="E845" s="7" t="s">
        <v>1348</v>
      </c>
      <c r="F845" s="7" t="s">
        <v>2773</v>
      </c>
      <c r="G845" s="7" t="s">
        <v>2775</v>
      </c>
      <c r="H845" s="7">
        <v>5.4</v>
      </c>
      <c r="I845" s="7" t="s">
        <v>718</v>
      </c>
      <c r="W845" s="1488"/>
      <c r="X845" s="1488"/>
      <c r="Y845" s="1488"/>
      <c r="Z845" s="1488"/>
    </row>
    <row r="846" spans="1:26">
      <c r="A846" s="7" t="s">
        <v>688</v>
      </c>
      <c r="B846" s="7" t="s">
        <v>3052</v>
      </c>
      <c r="C846" s="7">
        <v>2</v>
      </c>
      <c r="D846" s="7" t="s">
        <v>1348</v>
      </c>
      <c r="E846" s="7" t="s">
        <v>1348</v>
      </c>
      <c r="F846" s="7" t="s">
        <v>2773</v>
      </c>
      <c r="G846" s="7" t="s">
        <v>2776</v>
      </c>
      <c r="H846" s="7">
        <v>5.4</v>
      </c>
      <c r="I846" s="7" t="s">
        <v>718</v>
      </c>
      <c r="W846" s="1488"/>
      <c r="X846" s="1488"/>
      <c r="Y846" s="1488"/>
      <c r="Z846" s="1488"/>
    </row>
    <row r="847" spans="1:26">
      <c r="A847" s="7" t="s">
        <v>688</v>
      </c>
      <c r="B847" s="7" t="s">
        <v>3052</v>
      </c>
      <c r="C847" s="7">
        <v>2</v>
      </c>
      <c r="D847" s="7" t="s">
        <v>1348</v>
      </c>
      <c r="E847" s="7" t="s">
        <v>2980</v>
      </c>
      <c r="F847" s="7" t="s">
        <v>2734</v>
      </c>
      <c r="G847" s="7" t="s">
        <v>191</v>
      </c>
      <c r="H847" s="7">
        <v>6.4</v>
      </c>
      <c r="I847" s="7" t="s">
        <v>719</v>
      </c>
      <c r="W847" s="1488"/>
      <c r="X847" s="1488"/>
      <c r="Y847" s="1488"/>
      <c r="Z847" s="1488"/>
    </row>
    <row r="848" spans="1:26">
      <c r="A848" s="7" t="s">
        <v>688</v>
      </c>
      <c r="B848" s="7" t="s">
        <v>3052</v>
      </c>
      <c r="C848" s="7">
        <v>2</v>
      </c>
      <c r="D848" s="7" t="s">
        <v>1348</v>
      </c>
      <c r="E848" s="7" t="s">
        <v>2980</v>
      </c>
      <c r="F848" s="7" t="s">
        <v>2734</v>
      </c>
      <c r="G848" s="7" t="s">
        <v>2693</v>
      </c>
      <c r="H848" s="7">
        <v>6.4</v>
      </c>
      <c r="I848" s="7" t="s">
        <v>719</v>
      </c>
      <c r="W848" s="1488"/>
      <c r="X848" s="1488"/>
      <c r="Y848" s="1488"/>
      <c r="Z848" s="1488"/>
    </row>
    <row r="849" spans="1:26">
      <c r="A849" s="7" t="s">
        <v>688</v>
      </c>
      <c r="B849" s="7" t="s">
        <v>3052</v>
      </c>
      <c r="C849" s="7">
        <v>2</v>
      </c>
      <c r="D849" s="7" t="s">
        <v>1348</v>
      </c>
      <c r="E849" s="7" t="s">
        <v>2980</v>
      </c>
      <c r="F849" s="7" t="s">
        <v>2734</v>
      </c>
      <c r="G849" s="7" t="s">
        <v>206</v>
      </c>
      <c r="H849" s="7">
        <v>6.5</v>
      </c>
      <c r="I849" s="7" t="s">
        <v>719</v>
      </c>
      <c r="W849" s="1488"/>
      <c r="X849" s="1488"/>
      <c r="Y849" s="1488"/>
      <c r="Z849" s="1488"/>
    </row>
    <row r="850" spans="1:26">
      <c r="A850" s="7" t="s">
        <v>688</v>
      </c>
      <c r="B850" s="7" t="s">
        <v>3052</v>
      </c>
      <c r="C850" s="7">
        <v>2</v>
      </c>
      <c r="D850" s="7" t="s">
        <v>1348</v>
      </c>
      <c r="E850" s="7" t="s">
        <v>2980</v>
      </c>
      <c r="F850" s="7" t="s">
        <v>2735</v>
      </c>
      <c r="G850" s="7" t="s">
        <v>191</v>
      </c>
      <c r="H850" s="7">
        <v>6.4</v>
      </c>
      <c r="I850" s="7" t="s">
        <v>719</v>
      </c>
      <c r="W850" s="1488"/>
      <c r="X850" s="1488"/>
      <c r="Y850" s="1488"/>
      <c r="Z850" s="1488"/>
    </row>
    <row r="851" spans="1:26">
      <c r="A851" s="7" t="s">
        <v>688</v>
      </c>
      <c r="B851" s="7" t="s">
        <v>3052</v>
      </c>
      <c r="C851" s="7">
        <v>2</v>
      </c>
      <c r="D851" s="7" t="s">
        <v>1348</v>
      </c>
      <c r="E851" s="7" t="s">
        <v>2980</v>
      </c>
      <c r="F851" s="7" t="s">
        <v>2735</v>
      </c>
      <c r="G851" s="7" t="s">
        <v>2693</v>
      </c>
      <c r="H851" s="7">
        <v>6.4</v>
      </c>
      <c r="I851" s="7" t="s">
        <v>719</v>
      </c>
      <c r="W851" s="1488"/>
      <c r="X851" s="1488"/>
      <c r="Y851" s="1488"/>
      <c r="Z851" s="1488"/>
    </row>
    <row r="852" spans="1:26">
      <c r="A852" s="7" t="s">
        <v>688</v>
      </c>
      <c r="B852" s="7" t="s">
        <v>3052</v>
      </c>
      <c r="C852" s="7">
        <v>2</v>
      </c>
      <c r="D852" s="7" t="s">
        <v>1348</v>
      </c>
      <c r="E852" s="7" t="s">
        <v>2980</v>
      </c>
      <c r="F852" s="7" t="s">
        <v>2735</v>
      </c>
      <c r="G852" s="7" t="s">
        <v>206</v>
      </c>
      <c r="H852" s="7">
        <v>6.5</v>
      </c>
      <c r="I852" s="7" t="s">
        <v>719</v>
      </c>
      <c r="W852" s="1488"/>
      <c r="X852" s="1488"/>
      <c r="Y852" s="1488"/>
      <c r="Z852" s="1488"/>
    </row>
    <row r="853" spans="1:26">
      <c r="A853" s="7" t="s">
        <v>688</v>
      </c>
      <c r="B853" s="7" t="s">
        <v>3052</v>
      </c>
      <c r="C853" s="7">
        <v>2</v>
      </c>
      <c r="D853" s="7" t="s">
        <v>1348</v>
      </c>
      <c r="E853" s="7" t="s">
        <v>2980</v>
      </c>
      <c r="F853" s="7" t="s">
        <v>2736</v>
      </c>
      <c r="G853" s="7" t="s">
        <v>191</v>
      </c>
      <c r="H853" s="7">
        <v>6.4</v>
      </c>
      <c r="I853" s="7" t="s">
        <v>719</v>
      </c>
      <c r="W853" s="1488"/>
      <c r="X853" s="1488"/>
      <c r="Y853" s="1488"/>
      <c r="Z853" s="1488"/>
    </row>
    <row r="854" spans="1:26">
      <c r="A854" s="7" t="s">
        <v>688</v>
      </c>
      <c r="B854" s="7" t="s">
        <v>3052</v>
      </c>
      <c r="C854" s="7">
        <v>2</v>
      </c>
      <c r="D854" s="7" t="s">
        <v>1348</v>
      </c>
      <c r="E854" s="7" t="s">
        <v>2980</v>
      </c>
      <c r="F854" s="7" t="s">
        <v>2736</v>
      </c>
      <c r="G854" s="7" t="s">
        <v>2693</v>
      </c>
      <c r="H854" s="7">
        <v>6.4</v>
      </c>
      <c r="I854" s="7" t="s">
        <v>719</v>
      </c>
      <c r="W854" s="1488"/>
      <c r="X854" s="1488"/>
      <c r="Y854" s="1488"/>
      <c r="Z854" s="1488"/>
    </row>
    <row r="855" spans="1:26">
      <c r="A855" s="7" t="s">
        <v>688</v>
      </c>
      <c r="B855" s="7" t="s">
        <v>3052</v>
      </c>
      <c r="C855" s="7">
        <v>2</v>
      </c>
      <c r="D855" s="7" t="s">
        <v>1348</v>
      </c>
      <c r="E855" s="7" t="s">
        <v>2980</v>
      </c>
      <c r="F855" s="7" t="s">
        <v>2736</v>
      </c>
      <c r="G855" s="7" t="s">
        <v>206</v>
      </c>
      <c r="H855" s="7">
        <v>6.5</v>
      </c>
      <c r="I855" s="7" t="s">
        <v>719</v>
      </c>
      <c r="W855" s="1488"/>
      <c r="X855" s="1488"/>
      <c r="Y855" s="1488"/>
      <c r="Z855" s="1488"/>
    </row>
    <row r="856" spans="1:26">
      <c r="A856" s="7" t="s">
        <v>688</v>
      </c>
      <c r="B856" s="7" t="s">
        <v>3052</v>
      </c>
      <c r="C856" s="7">
        <v>2</v>
      </c>
      <c r="D856" s="7" t="s">
        <v>1348</v>
      </c>
      <c r="E856" s="7" t="s">
        <v>2980</v>
      </c>
      <c r="F856" s="7" t="s">
        <v>2737</v>
      </c>
      <c r="G856" s="7" t="s">
        <v>191</v>
      </c>
      <c r="H856" s="7">
        <v>6.4</v>
      </c>
      <c r="I856" s="7" t="s">
        <v>719</v>
      </c>
      <c r="W856" s="1488"/>
      <c r="X856" s="1488"/>
      <c r="Y856" s="1488"/>
      <c r="Z856" s="1488"/>
    </row>
    <row r="857" spans="1:26">
      <c r="A857" s="7" t="s">
        <v>688</v>
      </c>
      <c r="B857" s="7" t="s">
        <v>3052</v>
      </c>
      <c r="C857" s="7">
        <v>2</v>
      </c>
      <c r="D857" s="7" t="s">
        <v>1348</v>
      </c>
      <c r="E857" s="7" t="s">
        <v>2980</v>
      </c>
      <c r="F857" s="7" t="s">
        <v>2737</v>
      </c>
      <c r="G857" s="7" t="s">
        <v>2693</v>
      </c>
      <c r="H857" s="7">
        <v>6.4</v>
      </c>
      <c r="I857" s="7" t="s">
        <v>719</v>
      </c>
      <c r="W857" s="1488"/>
      <c r="X857" s="1488"/>
      <c r="Y857" s="1488"/>
      <c r="Z857" s="1488"/>
    </row>
    <row r="858" spans="1:26">
      <c r="A858" s="7" t="s">
        <v>688</v>
      </c>
      <c r="B858" s="7" t="s">
        <v>3052</v>
      </c>
      <c r="C858" s="7">
        <v>2</v>
      </c>
      <c r="D858" s="7" t="s">
        <v>1348</v>
      </c>
      <c r="E858" s="7" t="s">
        <v>2980</v>
      </c>
      <c r="F858" s="7" t="s">
        <v>2737</v>
      </c>
      <c r="G858" s="7" t="s">
        <v>206</v>
      </c>
      <c r="H858" s="7">
        <v>6.5</v>
      </c>
      <c r="I858" s="7" t="s">
        <v>719</v>
      </c>
      <c r="W858" s="1488"/>
      <c r="X858" s="1488"/>
      <c r="Y858" s="1488"/>
      <c r="Z858" s="1488"/>
    </row>
    <row r="859" spans="1:26">
      <c r="A859" s="7" t="s">
        <v>688</v>
      </c>
      <c r="B859" s="7" t="s">
        <v>3052</v>
      </c>
      <c r="C859" s="7">
        <v>2</v>
      </c>
      <c r="D859" s="7" t="s">
        <v>1348</v>
      </c>
      <c r="E859" s="7" t="s">
        <v>2981</v>
      </c>
      <c r="F859" s="7" t="s">
        <v>2739</v>
      </c>
      <c r="G859" s="7" t="s">
        <v>191</v>
      </c>
      <c r="H859" s="7">
        <v>6.4</v>
      </c>
      <c r="I859" s="7" t="s">
        <v>719</v>
      </c>
      <c r="W859" s="1488"/>
      <c r="X859" s="1488"/>
      <c r="Y859" s="1488"/>
      <c r="Z859" s="1488"/>
    </row>
    <row r="860" spans="1:26">
      <c r="A860" s="7" t="s">
        <v>688</v>
      </c>
      <c r="B860" s="7" t="s">
        <v>3052</v>
      </c>
      <c r="C860" s="7">
        <v>2</v>
      </c>
      <c r="D860" s="7" t="s">
        <v>1348</v>
      </c>
      <c r="E860" s="7" t="s">
        <v>2981</v>
      </c>
      <c r="F860" s="7" t="s">
        <v>2739</v>
      </c>
      <c r="G860" s="7" t="s">
        <v>2693</v>
      </c>
      <c r="H860" s="7">
        <v>6.4</v>
      </c>
      <c r="I860" s="7" t="s">
        <v>719</v>
      </c>
      <c r="W860" s="1488"/>
      <c r="X860" s="1488"/>
      <c r="Y860" s="1488"/>
      <c r="Z860" s="1488"/>
    </row>
    <row r="861" spans="1:26">
      <c r="A861" s="7" t="s">
        <v>688</v>
      </c>
      <c r="B861" s="7" t="s">
        <v>3052</v>
      </c>
      <c r="C861" s="7">
        <v>2</v>
      </c>
      <c r="D861" s="7" t="s">
        <v>1348</v>
      </c>
      <c r="E861" s="7" t="s">
        <v>2981</v>
      </c>
      <c r="F861" s="7" t="s">
        <v>2739</v>
      </c>
      <c r="G861" s="7" t="s">
        <v>206</v>
      </c>
      <c r="H861" s="7">
        <v>6.5</v>
      </c>
      <c r="I861" s="7" t="s">
        <v>719</v>
      </c>
      <c r="W861" s="1488"/>
      <c r="X861" s="1488"/>
      <c r="Y861" s="1488"/>
      <c r="Z861" s="1488"/>
    </row>
    <row r="862" spans="1:26">
      <c r="A862" s="7" t="s">
        <v>688</v>
      </c>
      <c r="B862" s="7" t="s">
        <v>3052</v>
      </c>
      <c r="C862" s="7">
        <v>2</v>
      </c>
      <c r="D862" s="7" t="s">
        <v>1348</v>
      </c>
      <c r="E862" s="7" t="s">
        <v>2981</v>
      </c>
      <c r="F862" s="7" t="s">
        <v>2740</v>
      </c>
      <c r="G862" s="7" t="s">
        <v>191</v>
      </c>
      <c r="H862" s="7">
        <v>6.4</v>
      </c>
      <c r="I862" s="7" t="s">
        <v>719</v>
      </c>
      <c r="W862" s="1488"/>
      <c r="X862" s="1488"/>
      <c r="Y862" s="1488"/>
      <c r="Z862" s="1488"/>
    </row>
    <row r="863" spans="1:26">
      <c r="A863" s="7" t="s">
        <v>688</v>
      </c>
      <c r="B863" s="7" t="s">
        <v>3052</v>
      </c>
      <c r="C863" s="7">
        <v>2</v>
      </c>
      <c r="D863" s="7" t="s">
        <v>1348</v>
      </c>
      <c r="E863" s="7" t="s">
        <v>2981</v>
      </c>
      <c r="F863" s="7" t="s">
        <v>2740</v>
      </c>
      <c r="G863" s="7" t="s">
        <v>2693</v>
      </c>
      <c r="H863" s="7">
        <v>6.4</v>
      </c>
      <c r="I863" s="7" t="s">
        <v>719</v>
      </c>
      <c r="W863" s="1488"/>
      <c r="X863" s="1488"/>
      <c r="Y863" s="1488"/>
      <c r="Z863" s="1488"/>
    </row>
    <row r="864" spans="1:26">
      <c r="A864" s="7" t="s">
        <v>688</v>
      </c>
      <c r="B864" s="7" t="s">
        <v>3052</v>
      </c>
      <c r="C864" s="7">
        <v>2</v>
      </c>
      <c r="D864" s="7" t="s">
        <v>1348</v>
      </c>
      <c r="E864" s="7" t="s">
        <v>2981</v>
      </c>
      <c r="F864" s="7" t="s">
        <v>2740</v>
      </c>
      <c r="G864" s="7" t="s">
        <v>206</v>
      </c>
      <c r="H864" s="7">
        <v>6.5</v>
      </c>
      <c r="I864" s="7" t="s">
        <v>719</v>
      </c>
      <c r="W864" s="1488"/>
      <c r="X864" s="1488"/>
      <c r="Y864" s="1488"/>
      <c r="Z864" s="1488"/>
    </row>
    <row r="865" spans="1:26">
      <c r="A865" s="7" t="s">
        <v>688</v>
      </c>
      <c r="B865" s="7" t="s">
        <v>3052</v>
      </c>
      <c r="C865" s="7">
        <v>3</v>
      </c>
      <c r="D865" s="7" t="s">
        <v>1354</v>
      </c>
      <c r="E865" s="7" t="s">
        <v>1354</v>
      </c>
      <c r="F865" s="7" t="s">
        <v>3002</v>
      </c>
      <c r="G865" s="7" t="s">
        <v>2693</v>
      </c>
      <c r="H865" s="7">
        <v>6.6</v>
      </c>
      <c r="I865" s="7" t="s">
        <v>719</v>
      </c>
      <c r="W865" s="1488"/>
      <c r="X865" s="1488"/>
      <c r="Y865" s="1488"/>
      <c r="Z865" s="1488"/>
    </row>
    <row r="866" spans="1:26">
      <c r="A866" s="7" t="s">
        <v>688</v>
      </c>
      <c r="B866" s="7" t="s">
        <v>3052</v>
      </c>
      <c r="C866" s="7">
        <v>3</v>
      </c>
      <c r="D866" s="7" t="s">
        <v>1354</v>
      </c>
      <c r="E866" s="7" t="s">
        <v>1354</v>
      </c>
      <c r="F866" s="7" t="s">
        <v>3002</v>
      </c>
      <c r="G866" s="7" t="s">
        <v>206</v>
      </c>
      <c r="H866" s="7">
        <v>6.5</v>
      </c>
      <c r="I866" s="7" t="s">
        <v>719</v>
      </c>
      <c r="W866" s="1488"/>
      <c r="X866" s="1488"/>
      <c r="Y866" s="1488"/>
      <c r="Z866" s="1488"/>
    </row>
    <row r="867" spans="1:26">
      <c r="A867" s="7" t="s">
        <v>688</v>
      </c>
      <c r="B867" s="7" t="s">
        <v>3052</v>
      </c>
      <c r="C867" s="7">
        <v>3</v>
      </c>
      <c r="D867" s="7" t="s">
        <v>1354</v>
      </c>
      <c r="E867" s="7" t="s">
        <v>1354</v>
      </c>
      <c r="F867" s="7" t="s">
        <v>3003</v>
      </c>
      <c r="G867" s="7" t="s">
        <v>191</v>
      </c>
      <c r="H867" s="7">
        <v>6.6</v>
      </c>
      <c r="I867" s="7" t="s">
        <v>719</v>
      </c>
      <c r="W867" s="1488"/>
      <c r="X867" s="1488"/>
      <c r="Y867" s="1488"/>
      <c r="Z867" s="1488"/>
    </row>
    <row r="868" spans="1:26">
      <c r="A868" s="7" t="s">
        <v>688</v>
      </c>
      <c r="B868" s="7" t="s">
        <v>3052</v>
      </c>
      <c r="C868" s="7">
        <v>3</v>
      </c>
      <c r="D868" s="7" t="s">
        <v>1354</v>
      </c>
      <c r="E868" s="7" t="s">
        <v>1354</v>
      </c>
      <c r="F868" s="7" t="s">
        <v>1183</v>
      </c>
      <c r="G868" s="7" t="s">
        <v>191</v>
      </c>
      <c r="H868" s="7">
        <v>6.6</v>
      </c>
      <c r="I868" s="7" t="s">
        <v>719</v>
      </c>
      <c r="W868" s="1488"/>
      <c r="X868" s="1488"/>
      <c r="Y868" s="1488"/>
      <c r="Z868" s="1488"/>
    </row>
    <row r="869" spans="1:26">
      <c r="A869" s="7" t="s">
        <v>688</v>
      </c>
      <c r="B869" s="7" t="s">
        <v>3052</v>
      </c>
      <c r="C869" s="7">
        <v>3</v>
      </c>
      <c r="D869" s="7" t="s">
        <v>1354</v>
      </c>
      <c r="E869" s="7" t="s">
        <v>1354</v>
      </c>
      <c r="F869" s="7" t="s">
        <v>2626</v>
      </c>
      <c r="G869" s="7" t="s">
        <v>2700</v>
      </c>
      <c r="H869" s="7">
        <v>5.6</v>
      </c>
      <c r="I869" s="7" t="s">
        <v>718</v>
      </c>
      <c r="W869" s="1488"/>
      <c r="X869" s="1488"/>
      <c r="Y869" s="1488"/>
      <c r="Z869" s="1488"/>
    </row>
    <row r="870" spans="1:26">
      <c r="A870" s="7" t="s">
        <v>688</v>
      </c>
      <c r="B870" s="7" t="s">
        <v>3052</v>
      </c>
      <c r="C870" s="7">
        <v>3</v>
      </c>
      <c r="D870" s="7" t="s">
        <v>1354</v>
      </c>
      <c r="E870" s="7" t="s">
        <v>1354</v>
      </c>
      <c r="F870" s="7" t="s">
        <v>1181</v>
      </c>
      <c r="G870" s="7" t="s">
        <v>2700</v>
      </c>
      <c r="H870" s="7">
        <v>5.6</v>
      </c>
      <c r="I870" s="7" t="s">
        <v>718</v>
      </c>
      <c r="W870" s="1488"/>
      <c r="X870" s="1488"/>
      <c r="Y870" s="1488"/>
      <c r="Z870" s="1488"/>
    </row>
    <row r="871" spans="1:26">
      <c r="A871" s="7" t="s">
        <v>688</v>
      </c>
      <c r="B871" s="7" t="s">
        <v>3052</v>
      </c>
      <c r="C871" s="7">
        <v>3</v>
      </c>
      <c r="D871" s="7" t="s">
        <v>1354</v>
      </c>
      <c r="E871" s="7" t="s">
        <v>1354</v>
      </c>
      <c r="F871" s="7" t="s">
        <v>302</v>
      </c>
      <c r="G871" s="7" t="s">
        <v>714</v>
      </c>
      <c r="H871" s="7">
        <v>5.6</v>
      </c>
      <c r="I871" s="7" t="s">
        <v>718</v>
      </c>
      <c r="W871" s="1488"/>
      <c r="X871" s="1488"/>
      <c r="Y871" s="1488"/>
      <c r="Z871" s="1488"/>
    </row>
    <row r="872" spans="1:26">
      <c r="A872" s="7" t="s">
        <v>688</v>
      </c>
      <c r="B872" s="7" t="s">
        <v>3052</v>
      </c>
      <c r="C872" s="7">
        <v>3</v>
      </c>
      <c r="D872" s="7" t="s">
        <v>1354</v>
      </c>
      <c r="E872" s="7" t="s">
        <v>1354</v>
      </c>
      <c r="F872" s="7" t="s">
        <v>302</v>
      </c>
      <c r="G872" s="7" t="s">
        <v>715</v>
      </c>
      <c r="H872" s="7">
        <v>5.6</v>
      </c>
      <c r="I872" s="7" t="s">
        <v>718</v>
      </c>
      <c r="W872" s="1488"/>
      <c r="X872" s="1488"/>
      <c r="Y872" s="1488"/>
      <c r="Z872" s="1488"/>
    </row>
    <row r="873" spans="1:26">
      <c r="A873" s="7" t="s">
        <v>688</v>
      </c>
      <c r="B873" s="7" t="s">
        <v>3052</v>
      </c>
      <c r="C873" s="7">
        <v>3</v>
      </c>
      <c r="D873" s="7" t="s">
        <v>1354</v>
      </c>
      <c r="E873" s="7" t="s">
        <v>1354</v>
      </c>
      <c r="F873" s="7" t="s">
        <v>302</v>
      </c>
      <c r="G873" s="7" t="s">
        <v>716</v>
      </c>
      <c r="H873" s="7">
        <v>5.6</v>
      </c>
      <c r="I873" s="7" t="s">
        <v>718</v>
      </c>
      <c r="W873" s="1488"/>
      <c r="X873" s="1488"/>
      <c r="Y873" s="1488"/>
      <c r="Z873" s="1488"/>
    </row>
    <row r="874" spans="1:26">
      <c r="A874" s="7" t="s">
        <v>688</v>
      </c>
      <c r="B874" s="7" t="s">
        <v>3052</v>
      </c>
      <c r="C874" s="7">
        <v>3</v>
      </c>
      <c r="D874" s="7" t="s">
        <v>1354</v>
      </c>
      <c r="E874" s="7" t="s">
        <v>1354</v>
      </c>
      <c r="F874" s="7" t="s">
        <v>302</v>
      </c>
      <c r="G874" s="7" t="s">
        <v>3072</v>
      </c>
      <c r="H874" s="7">
        <v>5.6</v>
      </c>
      <c r="I874" s="7" t="s">
        <v>718</v>
      </c>
      <c r="W874" s="1488"/>
      <c r="X874" s="1488"/>
      <c r="Y874" s="1488"/>
      <c r="Z874" s="1488"/>
    </row>
    <row r="875" spans="1:26">
      <c r="A875" s="7" t="s">
        <v>688</v>
      </c>
      <c r="B875" s="7" t="s">
        <v>3052</v>
      </c>
      <c r="C875" s="7">
        <v>3</v>
      </c>
      <c r="D875" s="7" t="s">
        <v>1354</v>
      </c>
      <c r="E875" s="7" t="s">
        <v>1354</v>
      </c>
      <c r="F875" s="7" t="s">
        <v>302</v>
      </c>
      <c r="G875" s="7" t="s">
        <v>717</v>
      </c>
      <c r="H875" s="7">
        <v>5.6</v>
      </c>
      <c r="I875" s="7" t="s">
        <v>718</v>
      </c>
      <c r="W875" s="1488"/>
      <c r="X875" s="1488"/>
      <c r="Y875" s="1488"/>
      <c r="Z875" s="1488"/>
    </row>
    <row r="876" spans="1:26">
      <c r="A876" s="7" t="s">
        <v>688</v>
      </c>
      <c r="B876" s="7" t="s">
        <v>3052</v>
      </c>
      <c r="C876" s="7">
        <v>3</v>
      </c>
      <c r="D876" s="7" t="s">
        <v>1354</v>
      </c>
      <c r="E876" s="7" t="s">
        <v>1354</v>
      </c>
      <c r="F876" s="7" t="s">
        <v>302</v>
      </c>
      <c r="G876" s="7" t="s">
        <v>2990</v>
      </c>
      <c r="H876" s="7">
        <v>5.6</v>
      </c>
      <c r="I876" s="7" t="s">
        <v>718</v>
      </c>
      <c r="W876" s="1488"/>
      <c r="X876" s="1488"/>
      <c r="Y876" s="1488"/>
      <c r="Z876" s="1488"/>
    </row>
    <row r="877" spans="1:26">
      <c r="A877" s="7" t="s">
        <v>688</v>
      </c>
      <c r="B877" s="7" t="s">
        <v>3052</v>
      </c>
      <c r="C877" s="7">
        <v>3</v>
      </c>
      <c r="D877" s="7" t="s">
        <v>1354</v>
      </c>
      <c r="E877" s="7" t="s">
        <v>1354</v>
      </c>
      <c r="F877" s="7" t="s">
        <v>302</v>
      </c>
      <c r="G877" s="7" t="s">
        <v>2991</v>
      </c>
      <c r="H877" s="7">
        <v>5.6</v>
      </c>
      <c r="I877" s="7" t="s">
        <v>718</v>
      </c>
      <c r="W877" s="1488"/>
      <c r="X877" s="1488"/>
      <c r="Y877" s="1488"/>
      <c r="Z877" s="1488"/>
    </row>
    <row r="878" spans="1:26">
      <c r="A878" s="7" t="s">
        <v>688</v>
      </c>
      <c r="B878" s="7" t="s">
        <v>3052</v>
      </c>
      <c r="C878" s="7">
        <v>3</v>
      </c>
      <c r="D878" s="7" t="s">
        <v>1354</v>
      </c>
      <c r="E878" s="7" t="s">
        <v>1354</v>
      </c>
      <c r="F878" s="7" t="s">
        <v>302</v>
      </c>
      <c r="G878" s="7" t="s">
        <v>2988</v>
      </c>
      <c r="H878" s="7">
        <v>5.6</v>
      </c>
      <c r="I878" s="7" t="s">
        <v>719</v>
      </c>
      <c r="W878" s="1488"/>
      <c r="X878" s="1488"/>
      <c r="Y878" s="1488"/>
      <c r="Z878" s="1488"/>
    </row>
    <row r="879" spans="1:26">
      <c r="A879" s="7" t="s">
        <v>688</v>
      </c>
      <c r="B879" s="7" t="s">
        <v>3052</v>
      </c>
      <c r="C879" s="7">
        <v>3</v>
      </c>
      <c r="D879" s="7" t="s">
        <v>1354</v>
      </c>
      <c r="E879" s="7" t="s">
        <v>1354</v>
      </c>
      <c r="F879" s="7" t="s">
        <v>302</v>
      </c>
      <c r="G879" s="7" t="s">
        <v>2987</v>
      </c>
      <c r="H879" s="7">
        <v>5.6</v>
      </c>
      <c r="I879" s="7" t="s">
        <v>719</v>
      </c>
      <c r="W879" s="1488"/>
      <c r="X879" s="1488"/>
      <c r="Y879" s="1488"/>
      <c r="Z879" s="1488"/>
    </row>
    <row r="880" spans="1:26">
      <c r="A880" s="7" t="s">
        <v>688</v>
      </c>
      <c r="B880" s="7" t="s">
        <v>3052</v>
      </c>
      <c r="C880" s="7">
        <v>3</v>
      </c>
      <c r="D880" s="7" t="s">
        <v>1354</v>
      </c>
      <c r="E880" s="7" t="s">
        <v>1354</v>
      </c>
      <c r="F880" s="7" t="s">
        <v>302</v>
      </c>
      <c r="G880" s="7" t="s">
        <v>2986</v>
      </c>
      <c r="H880" s="7">
        <v>5.6</v>
      </c>
      <c r="I880" s="7" t="s">
        <v>718</v>
      </c>
      <c r="W880" s="1488"/>
      <c r="X880" s="1488"/>
      <c r="Y880" s="1488"/>
      <c r="Z880" s="1488"/>
    </row>
    <row r="881" spans="1:26">
      <c r="A881" s="7" t="s">
        <v>688</v>
      </c>
      <c r="B881" s="7" t="s">
        <v>3052</v>
      </c>
      <c r="C881" s="7">
        <v>3</v>
      </c>
      <c r="D881" s="7" t="s">
        <v>1354</v>
      </c>
      <c r="E881" s="7" t="s">
        <v>1354</v>
      </c>
      <c r="F881" s="7" t="s">
        <v>302</v>
      </c>
      <c r="G881" s="7" t="s">
        <v>2989</v>
      </c>
      <c r="H881" s="7">
        <v>5.6</v>
      </c>
      <c r="I881" s="7" t="s">
        <v>718</v>
      </c>
      <c r="W881" s="1488"/>
      <c r="X881" s="1488"/>
      <c r="Y881" s="1488"/>
      <c r="Z881" s="1488"/>
    </row>
    <row r="882" spans="1:26">
      <c r="A882" s="7" t="s">
        <v>688</v>
      </c>
      <c r="B882" s="7" t="s">
        <v>3052</v>
      </c>
      <c r="C882" s="7">
        <v>3</v>
      </c>
      <c r="D882" s="7" t="s">
        <v>1354</v>
      </c>
      <c r="E882" s="7" t="s">
        <v>1354</v>
      </c>
      <c r="F882" s="7" t="s">
        <v>302</v>
      </c>
      <c r="G882" s="7" t="s">
        <v>2992</v>
      </c>
      <c r="H882" s="7">
        <v>5.6</v>
      </c>
      <c r="I882" s="7" t="s">
        <v>718</v>
      </c>
      <c r="W882" s="1488"/>
      <c r="X882" s="1488"/>
      <c r="Y882" s="1488"/>
      <c r="Z882" s="1488"/>
    </row>
    <row r="883" spans="1:26">
      <c r="A883" s="7" t="s">
        <v>688</v>
      </c>
      <c r="B883" s="7" t="s">
        <v>3052</v>
      </c>
      <c r="C883" s="7">
        <v>3</v>
      </c>
      <c r="D883" s="7" t="s">
        <v>1354</v>
      </c>
      <c r="E883" s="7" t="s">
        <v>1354</v>
      </c>
      <c r="F883" s="7" t="s">
        <v>302</v>
      </c>
      <c r="G883" s="7" t="s">
        <v>2982</v>
      </c>
      <c r="H883" s="7">
        <v>5.6</v>
      </c>
      <c r="I883" s="7" t="s">
        <v>718</v>
      </c>
      <c r="W883" s="1488"/>
      <c r="X883" s="1488"/>
      <c r="Y883" s="1488"/>
      <c r="Z883" s="1488"/>
    </row>
    <row r="884" spans="1:26">
      <c r="A884" s="7" t="s">
        <v>688</v>
      </c>
      <c r="B884" s="7" t="s">
        <v>3052</v>
      </c>
      <c r="C884" s="7">
        <v>3</v>
      </c>
      <c r="D884" s="7" t="s">
        <v>1354</v>
      </c>
      <c r="E884" s="7" t="s">
        <v>1354</v>
      </c>
      <c r="F884" s="7" t="s">
        <v>302</v>
      </c>
      <c r="G884" s="7" t="s">
        <v>2983</v>
      </c>
      <c r="H884" s="7">
        <v>5.6</v>
      </c>
      <c r="I884" s="7" t="s">
        <v>718</v>
      </c>
      <c r="W884" s="1488"/>
      <c r="X884" s="1488"/>
      <c r="Y884" s="1488"/>
      <c r="Z884" s="1488"/>
    </row>
    <row r="885" spans="1:26">
      <c r="A885" s="7" t="s">
        <v>688</v>
      </c>
      <c r="B885" s="7" t="s">
        <v>3052</v>
      </c>
      <c r="C885" s="7">
        <v>3</v>
      </c>
      <c r="D885" s="7" t="s">
        <v>1354</v>
      </c>
      <c r="E885" s="7" t="s">
        <v>1354</v>
      </c>
      <c r="F885" s="7" t="s">
        <v>302</v>
      </c>
      <c r="G885" s="7" t="s">
        <v>2984</v>
      </c>
      <c r="H885" s="7">
        <v>5.6</v>
      </c>
      <c r="I885" s="7" t="s">
        <v>718</v>
      </c>
      <c r="W885" s="1488"/>
      <c r="X885" s="1488"/>
      <c r="Y885" s="1488"/>
      <c r="Z885" s="1488"/>
    </row>
    <row r="886" spans="1:26">
      <c r="A886" s="7" t="s">
        <v>688</v>
      </c>
      <c r="B886" s="7" t="s">
        <v>3052</v>
      </c>
      <c r="C886" s="7">
        <v>3</v>
      </c>
      <c r="D886" s="7" t="s">
        <v>1354</v>
      </c>
      <c r="E886" s="7" t="s">
        <v>1354</v>
      </c>
      <c r="F886" s="7" t="s">
        <v>302</v>
      </c>
      <c r="G886" s="7" t="s">
        <v>2985</v>
      </c>
      <c r="H886" s="7">
        <v>5.6</v>
      </c>
      <c r="I886" s="7" t="s">
        <v>718</v>
      </c>
      <c r="W886" s="1488"/>
      <c r="X886" s="1488"/>
      <c r="Y886" s="1488"/>
      <c r="Z886" s="1488"/>
    </row>
    <row r="887" spans="1:26">
      <c r="A887" s="7" t="s">
        <v>688</v>
      </c>
      <c r="B887" s="7" t="s">
        <v>3052</v>
      </c>
      <c r="C887" s="7">
        <v>3</v>
      </c>
      <c r="D887" s="7" t="s">
        <v>1354</v>
      </c>
      <c r="E887" s="7" t="s">
        <v>1354</v>
      </c>
      <c r="F887" s="7" t="s">
        <v>302</v>
      </c>
      <c r="G887" s="7" t="s">
        <v>2993</v>
      </c>
      <c r="H887" s="7">
        <v>5.6</v>
      </c>
      <c r="I887" s="7" t="s">
        <v>718</v>
      </c>
      <c r="W887" s="1488"/>
      <c r="X887" s="1488"/>
      <c r="Y887" s="1488"/>
      <c r="Z887" s="1488"/>
    </row>
    <row r="888" spans="1:26">
      <c r="A888" s="7" t="s">
        <v>688</v>
      </c>
      <c r="B888" s="7" t="s">
        <v>3052</v>
      </c>
      <c r="C888" s="7">
        <v>3</v>
      </c>
      <c r="D888" s="7" t="s">
        <v>1354</v>
      </c>
      <c r="E888" s="7" t="s">
        <v>1354</v>
      </c>
      <c r="F888" s="7" t="s">
        <v>302</v>
      </c>
      <c r="G888" s="7" t="s">
        <v>3066</v>
      </c>
      <c r="H888" s="7">
        <v>5.6</v>
      </c>
      <c r="I888" s="7" t="s">
        <v>718</v>
      </c>
      <c r="W888" s="1488"/>
      <c r="X888" s="1488"/>
      <c r="Y888" s="1488"/>
      <c r="Z888" s="1488"/>
    </row>
    <row r="889" spans="1:26">
      <c r="A889" s="7" t="s">
        <v>688</v>
      </c>
      <c r="B889" s="7" t="s">
        <v>3052</v>
      </c>
      <c r="C889" s="7">
        <v>3</v>
      </c>
      <c r="D889" s="7" t="s">
        <v>1354</v>
      </c>
      <c r="E889" s="7" t="s">
        <v>1354</v>
      </c>
      <c r="F889" s="7" t="s">
        <v>1184</v>
      </c>
      <c r="G889" s="7" t="s">
        <v>2700</v>
      </c>
      <c r="H889" s="7">
        <v>5.6</v>
      </c>
      <c r="I889" s="7" t="s">
        <v>718</v>
      </c>
      <c r="W889" s="1488"/>
      <c r="X889" s="1488"/>
      <c r="Y889" s="1488"/>
      <c r="Z889" s="1488"/>
    </row>
    <row r="890" spans="1:26">
      <c r="A890" s="7" t="s">
        <v>688</v>
      </c>
      <c r="B890" s="7" t="s">
        <v>3052</v>
      </c>
      <c r="C890" s="7">
        <v>3</v>
      </c>
      <c r="D890" s="7" t="s">
        <v>1354</v>
      </c>
      <c r="E890" s="7" t="s">
        <v>1354</v>
      </c>
      <c r="F890" s="7" t="s">
        <v>2996</v>
      </c>
      <c r="G890" s="7" t="s">
        <v>3001</v>
      </c>
      <c r="H890" s="7">
        <v>6.4</v>
      </c>
      <c r="I890" s="7" t="s">
        <v>719</v>
      </c>
      <c r="W890" s="1488"/>
      <c r="X890" s="1488"/>
      <c r="Y890" s="1488"/>
      <c r="Z890" s="1488"/>
    </row>
    <row r="891" spans="1:26">
      <c r="A891" s="7" t="s">
        <v>688</v>
      </c>
      <c r="B891" s="7" t="s">
        <v>3052</v>
      </c>
      <c r="C891" s="7">
        <v>3</v>
      </c>
      <c r="D891" s="7" t="s">
        <v>1354</v>
      </c>
      <c r="E891" s="7" t="s">
        <v>1354</v>
      </c>
      <c r="F891" s="7" t="s">
        <v>2996</v>
      </c>
      <c r="G891" s="7" t="s">
        <v>1192</v>
      </c>
      <c r="H891" s="7">
        <v>6.4</v>
      </c>
      <c r="I891" s="7" t="s">
        <v>719</v>
      </c>
      <c r="W891" s="1488"/>
      <c r="X891" s="1488"/>
      <c r="Y891" s="1488"/>
      <c r="Z891" s="1488"/>
    </row>
    <row r="892" spans="1:26">
      <c r="A892" s="7" t="s">
        <v>688</v>
      </c>
      <c r="B892" s="7" t="s">
        <v>3052</v>
      </c>
      <c r="C892" s="7">
        <v>3</v>
      </c>
      <c r="D892" s="7" t="s">
        <v>1354</v>
      </c>
      <c r="E892" s="7" t="s">
        <v>1354</v>
      </c>
      <c r="F892" s="7" t="s">
        <v>2996</v>
      </c>
      <c r="G892" s="7" t="s">
        <v>2998</v>
      </c>
      <c r="H892" s="7">
        <v>6.4</v>
      </c>
      <c r="I892" s="7" t="s">
        <v>719</v>
      </c>
      <c r="W892" s="1488"/>
      <c r="X892" s="1488"/>
      <c r="Y892" s="1488"/>
      <c r="Z892" s="1488"/>
    </row>
    <row r="893" spans="1:26">
      <c r="A893" s="7" t="s">
        <v>688</v>
      </c>
      <c r="B893" s="7" t="s">
        <v>3052</v>
      </c>
      <c r="C893" s="7">
        <v>3</v>
      </c>
      <c r="D893" s="7" t="s">
        <v>1354</v>
      </c>
      <c r="E893" s="7" t="s">
        <v>1354</v>
      </c>
      <c r="F893" s="7" t="s">
        <v>2996</v>
      </c>
      <c r="G893" s="7" t="s">
        <v>3000</v>
      </c>
      <c r="H893" s="7">
        <v>6.4</v>
      </c>
      <c r="I893" s="7" t="s">
        <v>719</v>
      </c>
      <c r="W893" s="1488"/>
      <c r="X893" s="1488"/>
      <c r="Y893" s="1488"/>
      <c r="Z893" s="1488"/>
    </row>
    <row r="894" spans="1:26">
      <c r="A894" s="7" t="s">
        <v>688</v>
      </c>
      <c r="B894" s="7" t="s">
        <v>3052</v>
      </c>
      <c r="C894" s="7">
        <v>3</v>
      </c>
      <c r="D894" s="7" t="s">
        <v>1354</v>
      </c>
      <c r="E894" s="7" t="s">
        <v>1354</v>
      </c>
      <c r="F894" s="7" t="s">
        <v>2996</v>
      </c>
      <c r="G894" s="7" t="s">
        <v>1193</v>
      </c>
      <c r="H894" s="7">
        <v>6.4</v>
      </c>
      <c r="I894" s="7" t="s">
        <v>719</v>
      </c>
      <c r="W894" s="1488"/>
      <c r="X894" s="1488"/>
      <c r="Y894" s="1488"/>
      <c r="Z894" s="1488"/>
    </row>
    <row r="895" spans="1:26">
      <c r="A895" s="7" t="s">
        <v>688</v>
      </c>
      <c r="B895" s="7" t="s">
        <v>3052</v>
      </c>
      <c r="C895" s="7">
        <v>3</v>
      </c>
      <c r="D895" s="7" t="s">
        <v>1354</v>
      </c>
      <c r="E895" s="7" t="s">
        <v>1354</v>
      </c>
      <c r="F895" s="7" t="s">
        <v>2996</v>
      </c>
      <c r="G895" s="7" t="s">
        <v>3067</v>
      </c>
      <c r="H895" s="7">
        <v>6.4</v>
      </c>
      <c r="I895" s="7" t="s">
        <v>719</v>
      </c>
      <c r="W895" s="1488"/>
      <c r="X895" s="1488"/>
      <c r="Y895" s="1488"/>
      <c r="Z895" s="1488"/>
    </row>
    <row r="896" spans="1:26">
      <c r="A896" s="7" t="s">
        <v>688</v>
      </c>
      <c r="B896" s="7" t="s">
        <v>3052</v>
      </c>
      <c r="C896" s="7">
        <v>3</v>
      </c>
      <c r="D896" s="7" t="s">
        <v>1354</v>
      </c>
      <c r="E896" s="7" t="s">
        <v>1354</v>
      </c>
      <c r="F896" s="7" t="s">
        <v>2996</v>
      </c>
      <c r="G896" s="7" t="s">
        <v>1194</v>
      </c>
      <c r="H896" s="7">
        <v>6.4</v>
      </c>
      <c r="I896" s="7" t="s">
        <v>719</v>
      </c>
      <c r="W896" s="1488"/>
      <c r="X896" s="1488"/>
      <c r="Y896" s="1488"/>
      <c r="Z896" s="1488"/>
    </row>
    <row r="897" spans="1:26">
      <c r="A897" s="7" t="s">
        <v>688</v>
      </c>
      <c r="B897" s="7" t="s">
        <v>3052</v>
      </c>
      <c r="C897" s="7">
        <v>3</v>
      </c>
      <c r="D897" s="7" t="s">
        <v>1354</v>
      </c>
      <c r="E897" s="7" t="s">
        <v>1354</v>
      </c>
      <c r="F897" s="7" t="s">
        <v>2996</v>
      </c>
      <c r="G897" s="7" t="s">
        <v>2997</v>
      </c>
      <c r="H897" s="7">
        <v>6.4</v>
      </c>
      <c r="I897" s="7" t="s">
        <v>719</v>
      </c>
      <c r="W897" s="1488"/>
      <c r="X897" s="1488"/>
      <c r="Y897" s="1488"/>
      <c r="Z897" s="1488"/>
    </row>
    <row r="898" spans="1:26">
      <c r="A898" s="7" t="s">
        <v>688</v>
      </c>
      <c r="B898" s="7" t="s">
        <v>3052</v>
      </c>
      <c r="C898" s="7">
        <v>3</v>
      </c>
      <c r="D898" s="7" t="s">
        <v>1354</v>
      </c>
      <c r="E898" s="7" t="s">
        <v>1354</v>
      </c>
      <c r="F898" s="7" t="s">
        <v>2996</v>
      </c>
      <c r="G898" s="7" t="s">
        <v>2700</v>
      </c>
      <c r="H898" s="7">
        <v>6.4</v>
      </c>
      <c r="I898" s="7" t="s">
        <v>719</v>
      </c>
      <c r="W898" s="1488"/>
      <c r="X898" s="1488"/>
      <c r="Y898" s="1488"/>
      <c r="Z898" s="1488"/>
    </row>
    <row r="899" spans="1:26">
      <c r="A899" s="7" t="s">
        <v>688</v>
      </c>
      <c r="B899" s="7" t="s">
        <v>3052</v>
      </c>
      <c r="C899" s="7">
        <v>3</v>
      </c>
      <c r="D899" s="7" t="s">
        <v>1354</v>
      </c>
      <c r="E899" s="7" t="s">
        <v>1354</v>
      </c>
      <c r="F899" s="7" t="s">
        <v>2996</v>
      </c>
      <c r="G899" s="7" t="s">
        <v>2693</v>
      </c>
      <c r="H899" s="7">
        <v>6.4</v>
      </c>
      <c r="I899" s="7" t="s">
        <v>719</v>
      </c>
      <c r="W899" s="1488"/>
      <c r="X899" s="1488"/>
      <c r="Y899" s="1488"/>
      <c r="Z899" s="1488"/>
    </row>
    <row r="900" spans="1:26">
      <c r="A900" s="7" t="s">
        <v>688</v>
      </c>
      <c r="B900" s="7" t="s">
        <v>3052</v>
      </c>
      <c r="C900" s="7">
        <v>3</v>
      </c>
      <c r="D900" s="7" t="s">
        <v>1354</v>
      </c>
      <c r="E900" s="7" t="s">
        <v>1354</v>
      </c>
      <c r="F900" s="7" t="s">
        <v>2996</v>
      </c>
      <c r="G900" s="7" t="s">
        <v>2999</v>
      </c>
      <c r="H900" s="7">
        <v>6.4</v>
      </c>
      <c r="I900" s="7" t="s">
        <v>719</v>
      </c>
      <c r="W900" s="1488"/>
      <c r="X900" s="1488"/>
      <c r="Y900" s="1488"/>
      <c r="Z900" s="1488"/>
    </row>
    <row r="901" spans="1:26">
      <c r="A901" s="7" t="s">
        <v>688</v>
      </c>
      <c r="B901" s="7" t="s">
        <v>3052</v>
      </c>
      <c r="C901" s="7">
        <v>3</v>
      </c>
      <c r="D901" s="7" t="s">
        <v>1354</v>
      </c>
      <c r="E901" s="7" t="s">
        <v>1354</v>
      </c>
      <c r="F901" s="7" t="s">
        <v>2996</v>
      </c>
      <c r="G901" s="7" t="s">
        <v>206</v>
      </c>
      <c r="H901" s="7">
        <v>6.5</v>
      </c>
      <c r="I901" s="7" t="s">
        <v>719</v>
      </c>
      <c r="W901" s="1488"/>
      <c r="X901" s="1488"/>
      <c r="Y901" s="1488"/>
      <c r="Z901" s="1488"/>
    </row>
    <row r="902" spans="1:26">
      <c r="A902" s="7" t="s">
        <v>688</v>
      </c>
      <c r="B902" s="7" t="s">
        <v>3052</v>
      </c>
      <c r="C902" s="7">
        <v>3</v>
      </c>
      <c r="D902" s="7" t="s">
        <v>1354</v>
      </c>
      <c r="E902" s="7" t="s">
        <v>1354</v>
      </c>
      <c r="F902" s="7" t="s">
        <v>3004</v>
      </c>
      <c r="G902" s="7" t="s">
        <v>3005</v>
      </c>
      <c r="H902" s="7">
        <v>6.6</v>
      </c>
      <c r="I902" s="7" t="s">
        <v>719</v>
      </c>
      <c r="W902" s="1488"/>
      <c r="X902" s="1488"/>
      <c r="Y902" s="1488"/>
      <c r="Z902" s="1488"/>
    </row>
    <row r="903" spans="1:26">
      <c r="A903" s="7" t="s">
        <v>688</v>
      </c>
      <c r="B903" s="7" t="s">
        <v>3052</v>
      </c>
      <c r="C903" s="7">
        <v>3</v>
      </c>
      <c r="D903" s="7" t="s">
        <v>1354</v>
      </c>
      <c r="E903" s="7" t="s">
        <v>1354</v>
      </c>
      <c r="F903" s="7" t="s">
        <v>3004</v>
      </c>
      <c r="G903" s="7" t="s">
        <v>3006</v>
      </c>
      <c r="H903" s="7">
        <v>6.6</v>
      </c>
      <c r="I903" s="7" t="s">
        <v>719</v>
      </c>
      <c r="W903" s="1488"/>
      <c r="X903" s="1488"/>
      <c r="Y903" s="1488"/>
      <c r="Z903" s="1488"/>
    </row>
    <row r="904" spans="1:26">
      <c r="A904" s="7" t="s">
        <v>688</v>
      </c>
      <c r="B904" s="7" t="s">
        <v>3052</v>
      </c>
      <c r="C904" s="7">
        <v>3</v>
      </c>
      <c r="D904" s="7" t="s">
        <v>1354</v>
      </c>
      <c r="E904" s="7" t="s">
        <v>1354</v>
      </c>
      <c r="F904" s="7" t="s">
        <v>3004</v>
      </c>
      <c r="G904" s="7" t="s">
        <v>3007</v>
      </c>
      <c r="H904" s="7">
        <v>6.6</v>
      </c>
      <c r="I904" s="7" t="s">
        <v>719</v>
      </c>
      <c r="W904" s="1488"/>
      <c r="X904" s="1488"/>
      <c r="Y904" s="1488"/>
      <c r="Z904" s="1488"/>
    </row>
    <row r="905" spans="1:26">
      <c r="A905" s="7" t="s">
        <v>688</v>
      </c>
      <c r="B905" s="7" t="s">
        <v>3052</v>
      </c>
      <c r="C905" s="7">
        <v>3</v>
      </c>
      <c r="D905" s="7" t="s">
        <v>1354</v>
      </c>
      <c r="E905" s="7" t="s">
        <v>1354</v>
      </c>
      <c r="F905" s="7" t="s">
        <v>3004</v>
      </c>
      <c r="G905" s="7" t="s">
        <v>3010</v>
      </c>
      <c r="H905" s="7">
        <v>6.6</v>
      </c>
      <c r="I905" s="7" t="s">
        <v>719</v>
      </c>
      <c r="W905" s="1488"/>
      <c r="X905" s="1488"/>
      <c r="Y905" s="1488"/>
      <c r="Z905" s="1488"/>
    </row>
    <row r="906" spans="1:26">
      <c r="A906" s="7" t="s">
        <v>688</v>
      </c>
      <c r="B906" s="7" t="s">
        <v>3052</v>
      </c>
      <c r="C906" s="7">
        <v>3</v>
      </c>
      <c r="D906" s="7" t="s">
        <v>1354</v>
      </c>
      <c r="E906" s="7" t="s">
        <v>1354</v>
      </c>
      <c r="F906" s="7" t="s">
        <v>3004</v>
      </c>
      <c r="G906" s="7" t="s">
        <v>3008</v>
      </c>
      <c r="H906" s="7">
        <v>6.6</v>
      </c>
      <c r="I906" s="7" t="s">
        <v>719</v>
      </c>
      <c r="W906" s="1488"/>
      <c r="X906" s="1488"/>
      <c r="Y906" s="1488"/>
      <c r="Z906" s="1488"/>
    </row>
    <row r="907" spans="1:26">
      <c r="A907" s="7" t="s">
        <v>688</v>
      </c>
      <c r="B907" s="7" t="s">
        <v>3052</v>
      </c>
      <c r="C907" s="7">
        <v>3</v>
      </c>
      <c r="D907" s="7" t="s">
        <v>1354</v>
      </c>
      <c r="E907" s="7" t="s">
        <v>1354</v>
      </c>
      <c r="F907" s="7" t="s">
        <v>3004</v>
      </c>
      <c r="G907" s="7" t="s">
        <v>3009</v>
      </c>
      <c r="H907" s="7">
        <v>6.6</v>
      </c>
      <c r="I907" s="7" t="s">
        <v>719</v>
      </c>
      <c r="W907" s="1488"/>
      <c r="X907" s="1488"/>
      <c r="Y907" s="1488"/>
      <c r="Z907" s="1488"/>
    </row>
    <row r="908" spans="1:26">
      <c r="A908" s="7" t="s">
        <v>688</v>
      </c>
      <c r="B908" s="7" t="s">
        <v>3052</v>
      </c>
      <c r="C908" s="7">
        <v>3</v>
      </c>
      <c r="D908" s="7" t="s">
        <v>1354</v>
      </c>
      <c r="E908" s="7" t="s">
        <v>1354</v>
      </c>
      <c r="F908" s="7" t="s">
        <v>1185</v>
      </c>
      <c r="G908" s="7" t="s">
        <v>2700</v>
      </c>
      <c r="H908" s="7">
        <v>5.6</v>
      </c>
      <c r="I908" s="7" t="s">
        <v>718</v>
      </c>
      <c r="W908" s="1488"/>
      <c r="X908" s="1488"/>
      <c r="Y908" s="1488"/>
      <c r="Z908" s="1488"/>
    </row>
    <row r="909" spans="1:26">
      <c r="A909" s="7" t="s">
        <v>688</v>
      </c>
      <c r="B909" s="7" t="s">
        <v>3052</v>
      </c>
      <c r="C909" s="7">
        <v>3</v>
      </c>
      <c r="D909" s="7" t="s">
        <v>1354</v>
      </c>
      <c r="E909" s="7" t="s">
        <v>1354</v>
      </c>
      <c r="F909" s="7" t="s">
        <v>1186</v>
      </c>
      <c r="G909" s="7" t="s">
        <v>2700</v>
      </c>
      <c r="H909" s="7">
        <v>5.6</v>
      </c>
      <c r="I909" s="7" t="s">
        <v>718</v>
      </c>
      <c r="W909" s="1488"/>
      <c r="X909" s="1488"/>
      <c r="Y909" s="1488"/>
      <c r="Z909" s="1488"/>
    </row>
    <row r="910" spans="1:26">
      <c r="A910" s="7" t="s">
        <v>688</v>
      </c>
      <c r="B910" s="7" t="s">
        <v>3052</v>
      </c>
      <c r="C910" s="7">
        <v>3</v>
      </c>
      <c r="D910" s="7" t="s">
        <v>1354</v>
      </c>
      <c r="E910" s="7" t="s">
        <v>1354</v>
      </c>
      <c r="F910" s="7" t="s">
        <v>1186</v>
      </c>
      <c r="G910" s="7" t="s">
        <v>1191</v>
      </c>
      <c r="H910" s="7">
        <v>5.6</v>
      </c>
      <c r="I910" s="7" t="s">
        <v>718</v>
      </c>
      <c r="W910" s="1488"/>
      <c r="X910" s="1488"/>
      <c r="Y910" s="1488"/>
      <c r="Z910" s="1488"/>
    </row>
    <row r="911" spans="1:26">
      <c r="A911" s="7" t="s">
        <v>688</v>
      </c>
      <c r="B911" s="7" t="s">
        <v>3052</v>
      </c>
      <c r="C911" s="7">
        <v>3</v>
      </c>
      <c r="D911" s="7" t="s">
        <v>1354</v>
      </c>
      <c r="E911" s="7" t="s">
        <v>1354</v>
      </c>
      <c r="F911" s="7" t="s">
        <v>1186</v>
      </c>
      <c r="G911" s="7" t="s">
        <v>3012</v>
      </c>
      <c r="H911" s="7">
        <v>5.6</v>
      </c>
      <c r="I911" s="7" t="s">
        <v>718</v>
      </c>
      <c r="W911" s="1488"/>
      <c r="X911" s="1488"/>
      <c r="Y911" s="1488"/>
      <c r="Z911" s="1488"/>
    </row>
    <row r="912" spans="1:26">
      <c r="A912" s="7" t="s">
        <v>688</v>
      </c>
      <c r="B912" s="7" t="s">
        <v>3052</v>
      </c>
      <c r="C912" s="7">
        <v>3</v>
      </c>
      <c r="D912" s="7" t="s">
        <v>1354</v>
      </c>
      <c r="E912" s="7" t="s">
        <v>1354</v>
      </c>
      <c r="F912" s="7" t="s">
        <v>1186</v>
      </c>
      <c r="G912" s="7" t="s">
        <v>1190</v>
      </c>
      <c r="H912" s="7">
        <v>5.6</v>
      </c>
      <c r="I912" s="7" t="s">
        <v>718</v>
      </c>
      <c r="W912" s="1488"/>
      <c r="X912" s="1488"/>
      <c r="Y912" s="1488"/>
      <c r="Z912" s="1488"/>
    </row>
    <row r="913" spans="1:26">
      <c r="A913" s="7" t="s">
        <v>688</v>
      </c>
      <c r="B913" s="7" t="s">
        <v>3052</v>
      </c>
      <c r="C913" s="7">
        <v>3</v>
      </c>
      <c r="D913" s="7" t="s">
        <v>1354</v>
      </c>
      <c r="E913" s="7" t="s">
        <v>1354</v>
      </c>
      <c r="F913" s="7" t="s">
        <v>1186</v>
      </c>
      <c r="G913" s="7" t="s">
        <v>3011</v>
      </c>
      <c r="H913" s="7">
        <v>5.6</v>
      </c>
      <c r="I913" s="7" t="s">
        <v>718</v>
      </c>
      <c r="W913" s="1488"/>
      <c r="X913" s="1488"/>
      <c r="Y913" s="1488"/>
      <c r="Z913" s="1488"/>
    </row>
    <row r="914" spans="1:26">
      <c r="A914" s="7" t="s">
        <v>688</v>
      </c>
      <c r="B914" s="7" t="s">
        <v>3052</v>
      </c>
      <c r="C914" s="7">
        <v>3</v>
      </c>
      <c r="D914" s="7" t="s">
        <v>1354</v>
      </c>
      <c r="E914" s="7" t="s">
        <v>1354</v>
      </c>
      <c r="F914" s="7" t="s">
        <v>1186</v>
      </c>
      <c r="G914" s="7" t="s">
        <v>1187</v>
      </c>
      <c r="H914" s="7">
        <v>5.6</v>
      </c>
      <c r="I914" s="7" t="s">
        <v>718</v>
      </c>
      <c r="W914" s="1488"/>
      <c r="X914" s="1488"/>
      <c r="Y914" s="1488"/>
      <c r="Z914" s="1488"/>
    </row>
    <row r="915" spans="1:26">
      <c r="A915" s="7" t="s">
        <v>688</v>
      </c>
      <c r="B915" s="7" t="s">
        <v>3052</v>
      </c>
      <c r="C915" s="7">
        <v>3</v>
      </c>
      <c r="D915" s="7" t="s">
        <v>1354</v>
      </c>
      <c r="E915" s="7" t="s">
        <v>1354</v>
      </c>
      <c r="F915" s="7" t="s">
        <v>1186</v>
      </c>
      <c r="G915" s="7" t="s">
        <v>1189</v>
      </c>
      <c r="H915" s="7">
        <v>5.6</v>
      </c>
      <c r="I915" s="7" t="s">
        <v>718</v>
      </c>
      <c r="W915" s="1488"/>
      <c r="X915" s="1488"/>
      <c r="Y915" s="1488"/>
      <c r="Z915" s="1488"/>
    </row>
    <row r="916" spans="1:26">
      <c r="A916" s="7" t="s">
        <v>688</v>
      </c>
      <c r="B916" s="7" t="s">
        <v>3052</v>
      </c>
      <c r="C916" s="7">
        <v>3</v>
      </c>
      <c r="D916" s="7" t="s">
        <v>1354</v>
      </c>
      <c r="E916" s="7" t="s">
        <v>1354</v>
      </c>
      <c r="F916" s="7" t="s">
        <v>1186</v>
      </c>
      <c r="G916" s="7" t="s">
        <v>1188</v>
      </c>
      <c r="H916" s="7">
        <v>5.6</v>
      </c>
      <c r="I916" s="7" t="s">
        <v>718</v>
      </c>
      <c r="W916" s="1488"/>
      <c r="X916" s="1488"/>
      <c r="Y916" s="1488"/>
      <c r="Z916" s="1488"/>
    </row>
    <row r="917" spans="1:26">
      <c r="A917" s="7" t="s">
        <v>688</v>
      </c>
      <c r="B917" s="7" t="s">
        <v>3052</v>
      </c>
      <c r="C917" s="7">
        <v>3</v>
      </c>
      <c r="D917" s="7" t="s">
        <v>1354</v>
      </c>
      <c r="E917" s="7" t="s">
        <v>1354</v>
      </c>
      <c r="F917" s="7" t="s">
        <v>2994</v>
      </c>
      <c r="G917" s="7" t="s">
        <v>2700</v>
      </c>
      <c r="H917" s="7">
        <v>5.6</v>
      </c>
      <c r="I917" s="7" t="s">
        <v>718</v>
      </c>
      <c r="W917" s="1488"/>
      <c r="X917" s="1488"/>
      <c r="Y917" s="1488"/>
      <c r="Z917" s="1488"/>
    </row>
    <row r="918" spans="1:26">
      <c r="A918" s="7" t="s">
        <v>688</v>
      </c>
      <c r="B918" s="7" t="s">
        <v>3052</v>
      </c>
      <c r="C918" s="7">
        <v>3</v>
      </c>
      <c r="D918" s="7" t="s">
        <v>1354</v>
      </c>
      <c r="E918" s="7" t="s">
        <v>1354</v>
      </c>
      <c r="F918" s="7" t="s">
        <v>2995</v>
      </c>
      <c r="G918" s="7" t="s">
        <v>1198</v>
      </c>
      <c r="H918" s="7">
        <v>5.6</v>
      </c>
      <c r="I918" s="7" t="s">
        <v>718</v>
      </c>
      <c r="W918" s="1488"/>
      <c r="X918" s="1488"/>
      <c r="Y918" s="1488"/>
      <c r="Z918" s="1488"/>
    </row>
    <row r="919" spans="1:26">
      <c r="A919" s="7" t="s">
        <v>688</v>
      </c>
      <c r="B919" s="7" t="s">
        <v>3052</v>
      </c>
      <c r="C919" s="7">
        <v>3</v>
      </c>
      <c r="D919" s="7" t="s">
        <v>1354</v>
      </c>
      <c r="E919" s="7" t="s">
        <v>1354</v>
      </c>
      <c r="F919" s="7" t="s">
        <v>2627</v>
      </c>
      <c r="G919" s="7" t="s">
        <v>2700</v>
      </c>
      <c r="H919" s="7">
        <v>5.6</v>
      </c>
      <c r="I919" s="7" t="s">
        <v>718</v>
      </c>
      <c r="W919" s="1488"/>
      <c r="X919" s="1488"/>
      <c r="Y919" s="1488"/>
      <c r="Z919" s="1488"/>
    </row>
    <row r="920" spans="1:26">
      <c r="A920" s="7" t="s">
        <v>688</v>
      </c>
      <c r="B920" s="7" t="s">
        <v>3052</v>
      </c>
      <c r="C920" s="7">
        <v>3</v>
      </c>
      <c r="D920" s="7" t="s">
        <v>1354</v>
      </c>
      <c r="E920" s="7" t="s">
        <v>1354</v>
      </c>
      <c r="F920" s="7" t="s">
        <v>1182</v>
      </c>
      <c r="G920" s="7" t="s">
        <v>2700</v>
      </c>
      <c r="H920" s="7">
        <v>5.6</v>
      </c>
      <c r="I920" s="7" t="s">
        <v>718</v>
      </c>
      <c r="W920" s="1488"/>
      <c r="X920" s="1488"/>
      <c r="Y920" s="1488"/>
      <c r="Z920" s="1488"/>
    </row>
    <row r="921" spans="1:26">
      <c r="A921" s="7" t="s">
        <v>688</v>
      </c>
      <c r="B921" s="7" t="s">
        <v>3052</v>
      </c>
      <c r="C921" s="7">
        <v>4</v>
      </c>
      <c r="D921" s="7" t="s">
        <v>449</v>
      </c>
      <c r="E921" s="7" t="s">
        <v>1356</v>
      </c>
      <c r="F921" s="7" t="s">
        <v>3050</v>
      </c>
      <c r="G921" s="7" t="s">
        <v>2702</v>
      </c>
      <c r="H921" s="7">
        <v>5.8</v>
      </c>
      <c r="I921" s="7" t="s">
        <v>718</v>
      </c>
      <c r="W921" s="1488"/>
      <c r="X921" s="1488"/>
      <c r="Y921" s="1488"/>
      <c r="Z921" s="1488"/>
    </row>
    <row r="922" spans="1:26">
      <c r="A922" s="7" t="s">
        <v>688</v>
      </c>
      <c r="B922" s="7" t="s">
        <v>3052</v>
      </c>
      <c r="C922" s="7">
        <v>4</v>
      </c>
      <c r="D922" s="7" t="s">
        <v>449</v>
      </c>
      <c r="E922" s="7" t="s">
        <v>1356</v>
      </c>
      <c r="F922" s="7" t="s">
        <v>1014</v>
      </c>
      <c r="G922" s="7" t="s">
        <v>2700</v>
      </c>
      <c r="H922" s="7">
        <v>5.8</v>
      </c>
      <c r="I922" s="7" t="s">
        <v>718</v>
      </c>
      <c r="W922" s="1488"/>
      <c r="X922" s="1488"/>
      <c r="Y922" s="1488"/>
      <c r="Z922" s="1488"/>
    </row>
    <row r="923" spans="1:26">
      <c r="A923" s="7" t="s">
        <v>688</v>
      </c>
      <c r="B923" s="7" t="s">
        <v>3052</v>
      </c>
      <c r="C923" s="7">
        <v>4</v>
      </c>
      <c r="D923" s="7" t="s">
        <v>449</v>
      </c>
      <c r="E923" s="7" t="s">
        <v>1356</v>
      </c>
      <c r="F923" s="7" t="s">
        <v>1015</v>
      </c>
      <c r="G923" s="7" t="s">
        <v>2700</v>
      </c>
      <c r="H923" s="7">
        <v>5.8</v>
      </c>
      <c r="I923" s="7" t="s">
        <v>718</v>
      </c>
      <c r="W923" s="1488"/>
      <c r="X923" s="1488"/>
      <c r="Y923" s="1488"/>
      <c r="Z923" s="1488"/>
    </row>
    <row r="924" spans="1:26">
      <c r="A924" s="7" t="s">
        <v>688</v>
      </c>
      <c r="B924" s="7" t="s">
        <v>3052</v>
      </c>
      <c r="C924" s="7">
        <v>4</v>
      </c>
      <c r="D924" s="7" t="s">
        <v>449</v>
      </c>
      <c r="E924" s="7" t="s">
        <v>1356</v>
      </c>
      <c r="F924" s="7" t="s">
        <v>1016</v>
      </c>
      <c r="G924" s="7" t="s">
        <v>2700</v>
      </c>
      <c r="H924" s="7">
        <v>5.8</v>
      </c>
      <c r="I924" s="7" t="s">
        <v>718</v>
      </c>
      <c r="W924" s="1488"/>
      <c r="X924" s="1488"/>
      <c r="Y924" s="1488"/>
      <c r="Z924" s="1488"/>
    </row>
    <row r="925" spans="1:26">
      <c r="A925" s="7" t="s">
        <v>688</v>
      </c>
      <c r="B925" s="7" t="s">
        <v>3052</v>
      </c>
      <c r="C925" s="7">
        <v>4</v>
      </c>
      <c r="D925" s="7" t="s">
        <v>449</v>
      </c>
      <c r="E925" s="7" t="s">
        <v>1356</v>
      </c>
      <c r="F925" s="7" t="s">
        <v>2912</v>
      </c>
      <c r="G925" s="7" t="s">
        <v>2700</v>
      </c>
      <c r="H925" s="7">
        <v>5.8</v>
      </c>
      <c r="I925" s="7" t="s">
        <v>718</v>
      </c>
      <c r="W925" s="1488"/>
      <c r="X925" s="1488"/>
      <c r="Y925" s="1488"/>
      <c r="Z925" s="1488"/>
    </row>
    <row r="926" spans="1:26">
      <c r="A926" s="7" t="s">
        <v>688</v>
      </c>
      <c r="B926" s="7" t="s">
        <v>3052</v>
      </c>
      <c r="C926" s="7">
        <v>4</v>
      </c>
      <c r="D926" s="7" t="s">
        <v>449</v>
      </c>
      <c r="E926" s="7" t="s">
        <v>1356</v>
      </c>
      <c r="F926" s="7" t="s">
        <v>1019</v>
      </c>
      <c r="G926" s="7" t="s">
        <v>2700</v>
      </c>
      <c r="H926" s="7">
        <v>5.8</v>
      </c>
      <c r="I926" s="7" t="s">
        <v>718</v>
      </c>
      <c r="W926" s="1488"/>
      <c r="X926" s="1488"/>
      <c r="Y926" s="1488"/>
      <c r="Z926" s="1488"/>
    </row>
    <row r="927" spans="1:26">
      <c r="A927" s="7" t="s">
        <v>688</v>
      </c>
      <c r="B927" s="7" t="s">
        <v>3052</v>
      </c>
      <c r="C927" s="7">
        <v>4</v>
      </c>
      <c r="D927" s="7" t="s">
        <v>449</v>
      </c>
      <c r="E927" s="7" t="s">
        <v>1356</v>
      </c>
      <c r="F927" s="7" t="s">
        <v>2791</v>
      </c>
      <c r="G927" s="7" t="s">
        <v>2700</v>
      </c>
      <c r="H927" s="7">
        <v>5.8</v>
      </c>
      <c r="I927" s="7" t="s">
        <v>718</v>
      </c>
      <c r="W927" s="1488"/>
      <c r="X927" s="1488"/>
      <c r="Y927" s="1488"/>
      <c r="Z927" s="1488"/>
    </row>
    <row r="928" spans="1:26">
      <c r="A928" s="7" t="s">
        <v>688</v>
      </c>
      <c r="B928" s="7" t="s">
        <v>3052</v>
      </c>
      <c r="C928" s="7">
        <v>4</v>
      </c>
      <c r="D928" s="7" t="s">
        <v>449</v>
      </c>
      <c r="E928" s="7" t="s">
        <v>1356</v>
      </c>
      <c r="F928" s="7" t="s">
        <v>2792</v>
      </c>
      <c r="G928" s="7" t="s">
        <v>3013</v>
      </c>
      <c r="H928" s="7">
        <v>5.8</v>
      </c>
      <c r="I928" s="7" t="s">
        <v>718</v>
      </c>
      <c r="W928" s="1488"/>
      <c r="X928" s="1488"/>
      <c r="Y928" s="1488"/>
      <c r="Z928" s="1488"/>
    </row>
    <row r="929" spans="1:26">
      <c r="A929" s="7" t="s">
        <v>688</v>
      </c>
      <c r="B929" s="7" t="s">
        <v>3052</v>
      </c>
      <c r="C929" s="7">
        <v>4</v>
      </c>
      <c r="D929" s="7" t="s">
        <v>449</v>
      </c>
      <c r="E929" s="7" t="s">
        <v>1356</v>
      </c>
      <c r="F929" s="7" t="s">
        <v>1195</v>
      </c>
      <c r="G929" s="7" t="s">
        <v>2700</v>
      </c>
      <c r="H929" s="7">
        <v>5.8</v>
      </c>
      <c r="I929" s="7" t="s">
        <v>718</v>
      </c>
      <c r="W929" s="1488"/>
      <c r="X929" s="1488"/>
      <c r="Y929" s="1488"/>
      <c r="Z929" s="1488"/>
    </row>
    <row r="930" spans="1:26">
      <c r="A930" s="7" t="s">
        <v>688</v>
      </c>
      <c r="B930" s="7" t="s">
        <v>3052</v>
      </c>
      <c r="C930" s="7">
        <v>4</v>
      </c>
      <c r="D930" s="7" t="s">
        <v>449</v>
      </c>
      <c r="E930" s="7" t="s">
        <v>1356</v>
      </c>
      <c r="F930" s="7" t="s">
        <v>2703</v>
      </c>
      <c r="G930" s="7" t="s">
        <v>2704</v>
      </c>
      <c r="H930" s="7">
        <v>5.8</v>
      </c>
      <c r="I930" s="7" t="s">
        <v>2705</v>
      </c>
      <c r="W930" s="1488"/>
      <c r="X930" s="1488"/>
      <c r="Y930" s="1488"/>
      <c r="Z930" s="1488"/>
    </row>
    <row r="931" spans="1:26">
      <c r="A931" s="7" t="s">
        <v>688</v>
      </c>
      <c r="B931" s="7" t="s">
        <v>3052</v>
      </c>
      <c r="C931" s="7">
        <v>4</v>
      </c>
      <c r="D931" s="7" t="s">
        <v>449</v>
      </c>
      <c r="E931" s="7" t="s">
        <v>1356</v>
      </c>
      <c r="F931" s="7" t="s">
        <v>1196</v>
      </c>
      <c r="G931" s="7" t="s">
        <v>2700</v>
      </c>
      <c r="H931" s="7">
        <v>5.8</v>
      </c>
      <c r="I931" s="7" t="s">
        <v>718</v>
      </c>
      <c r="W931" s="1488"/>
      <c r="X931" s="1488"/>
      <c r="Y931" s="1488"/>
      <c r="Z931" s="1488"/>
    </row>
    <row r="932" spans="1:26">
      <c r="A932" s="7" t="s">
        <v>688</v>
      </c>
      <c r="B932" s="7" t="s">
        <v>3052</v>
      </c>
      <c r="C932" s="7">
        <v>4</v>
      </c>
      <c r="D932" s="7" t="s">
        <v>449</v>
      </c>
      <c r="E932" s="7" t="s">
        <v>1356</v>
      </c>
      <c r="F932" s="7" t="s">
        <v>2706</v>
      </c>
      <c r="G932" s="7" t="s">
        <v>2707</v>
      </c>
      <c r="H932" s="7">
        <v>5.8</v>
      </c>
      <c r="I932" s="7" t="s">
        <v>718</v>
      </c>
      <c r="W932" s="1488"/>
      <c r="X932" s="1488"/>
      <c r="Y932" s="1488"/>
      <c r="Z932" s="1488"/>
    </row>
    <row r="933" spans="1:26">
      <c r="A933" s="7" t="s">
        <v>688</v>
      </c>
      <c r="B933" s="7" t="s">
        <v>3052</v>
      </c>
      <c r="C933" s="7">
        <v>4</v>
      </c>
      <c r="D933" s="7" t="s">
        <v>449</v>
      </c>
      <c r="E933" s="7" t="s">
        <v>1356</v>
      </c>
      <c r="F933" s="7" t="s">
        <v>2706</v>
      </c>
      <c r="G933" s="7" t="s">
        <v>2708</v>
      </c>
      <c r="H933" s="7">
        <v>5.8</v>
      </c>
      <c r="I933" s="7" t="s">
        <v>718</v>
      </c>
      <c r="W933" s="1488"/>
      <c r="X933" s="1488"/>
      <c r="Y933" s="1488"/>
      <c r="Z933" s="1488"/>
    </row>
    <row r="934" spans="1:26">
      <c r="A934" s="7" t="s">
        <v>688</v>
      </c>
      <c r="B934" s="7" t="s">
        <v>3052</v>
      </c>
      <c r="C934" s="7">
        <v>4</v>
      </c>
      <c r="D934" s="7" t="s">
        <v>449</v>
      </c>
      <c r="E934" s="7" t="s">
        <v>1356</v>
      </c>
      <c r="F934" s="7" t="s">
        <v>2706</v>
      </c>
      <c r="G934" s="7" t="s">
        <v>2709</v>
      </c>
      <c r="H934" s="7">
        <v>5.8</v>
      </c>
      <c r="I934" s="7" t="s">
        <v>719</v>
      </c>
      <c r="W934" s="1488"/>
      <c r="X934" s="1488"/>
      <c r="Y934" s="1488"/>
      <c r="Z934" s="1488"/>
    </row>
    <row r="935" spans="1:26">
      <c r="A935" s="7" t="s">
        <v>688</v>
      </c>
      <c r="B935" s="7" t="s">
        <v>3052</v>
      </c>
      <c r="C935" s="7">
        <v>4</v>
      </c>
      <c r="D935" s="7" t="s">
        <v>449</v>
      </c>
      <c r="E935" s="7" t="s">
        <v>1356</v>
      </c>
      <c r="F935" s="7" t="s">
        <v>2710</v>
      </c>
      <c r="G935" s="7" t="s">
        <v>2711</v>
      </c>
      <c r="H935" s="7">
        <v>5.8</v>
      </c>
      <c r="I935" s="7" t="s">
        <v>2705</v>
      </c>
      <c r="W935" s="1488"/>
      <c r="X935" s="1488"/>
      <c r="Y935" s="1488"/>
      <c r="Z935" s="1488"/>
    </row>
    <row r="936" spans="1:26">
      <c r="A936" s="7" t="s">
        <v>688</v>
      </c>
      <c r="B936" s="7" t="s">
        <v>3052</v>
      </c>
      <c r="C936" s="7">
        <v>4</v>
      </c>
      <c r="D936" s="7" t="s">
        <v>449</v>
      </c>
      <c r="E936" s="7" t="s">
        <v>1356</v>
      </c>
      <c r="F936" s="7" t="s">
        <v>2712</v>
      </c>
      <c r="G936" s="7" t="s">
        <v>2717</v>
      </c>
      <c r="H936" s="7">
        <v>5.8</v>
      </c>
      <c r="I936" s="7" t="s">
        <v>2714</v>
      </c>
      <c r="W936" s="1488"/>
      <c r="X936" s="1488"/>
      <c r="Y936" s="1488"/>
      <c r="Z936" s="1488"/>
    </row>
    <row r="937" spans="1:26">
      <c r="A937" s="7" t="s">
        <v>688</v>
      </c>
      <c r="B937" s="7" t="s">
        <v>3052</v>
      </c>
      <c r="C937" s="7">
        <v>4</v>
      </c>
      <c r="D937" s="7" t="s">
        <v>449</v>
      </c>
      <c r="E937" s="7" t="s">
        <v>1356</v>
      </c>
      <c r="F937" s="7" t="s">
        <v>2712</v>
      </c>
      <c r="G937" s="7" t="s">
        <v>2713</v>
      </c>
      <c r="H937" s="7">
        <v>5.8</v>
      </c>
      <c r="I937" s="7" t="s">
        <v>2714</v>
      </c>
      <c r="W937" s="1488"/>
      <c r="X937" s="1488"/>
      <c r="Y937" s="1488"/>
      <c r="Z937" s="1488"/>
    </row>
    <row r="938" spans="1:26">
      <c r="A938" s="7" t="s">
        <v>688</v>
      </c>
      <c r="B938" s="7" t="s">
        <v>3052</v>
      </c>
      <c r="C938" s="7">
        <v>4</v>
      </c>
      <c r="D938" s="7" t="s">
        <v>449</v>
      </c>
      <c r="E938" s="7" t="s">
        <v>1356</v>
      </c>
      <c r="F938" s="7" t="s">
        <v>2712</v>
      </c>
      <c r="G938" s="7" t="s">
        <v>2716</v>
      </c>
      <c r="H938" s="7">
        <v>5.8</v>
      </c>
      <c r="I938" s="7" t="s">
        <v>2714</v>
      </c>
      <c r="W938" s="1488"/>
      <c r="X938" s="1488"/>
      <c r="Y938" s="1488"/>
      <c r="Z938" s="1488"/>
    </row>
    <row r="939" spans="1:26">
      <c r="A939" s="7" t="s">
        <v>688</v>
      </c>
      <c r="B939" s="7" t="s">
        <v>3052</v>
      </c>
      <c r="C939" s="7">
        <v>4</v>
      </c>
      <c r="D939" s="7" t="s">
        <v>449</v>
      </c>
      <c r="E939" s="7" t="s">
        <v>1356</v>
      </c>
      <c r="F939" s="7" t="s">
        <v>2712</v>
      </c>
      <c r="G939" s="7" t="s">
        <v>2715</v>
      </c>
      <c r="H939" s="7">
        <v>5.8</v>
      </c>
      <c r="I939" s="7" t="s">
        <v>2714</v>
      </c>
      <c r="W939" s="1488"/>
      <c r="X939" s="1488"/>
      <c r="Y939" s="1488"/>
      <c r="Z939" s="1488"/>
    </row>
    <row r="940" spans="1:26">
      <c r="A940" s="7" t="s">
        <v>688</v>
      </c>
      <c r="B940" s="7" t="s">
        <v>3052</v>
      </c>
      <c r="C940" s="7">
        <v>4</v>
      </c>
      <c r="D940" s="7" t="s">
        <v>449</v>
      </c>
      <c r="E940" s="7" t="s">
        <v>1356</v>
      </c>
      <c r="F940" s="7" t="s">
        <v>2718</v>
      </c>
      <c r="G940" s="7" t="s">
        <v>2720</v>
      </c>
      <c r="H940" s="7">
        <v>5.8</v>
      </c>
      <c r="I940" s="7" t="s">
        <v>718</v>
      </c>
      <c r="W940" s="1488"/>
      <c r="X940" s="1488"/>
      <c r="Y940" s="1488"/>
      <c r="Z940" s="1488"/>
    </row>
    <row r="941" spans="1:26">
      <c r="A941" s="7" t="s">
        <v>688</v>
      </c>
      <c r="B941" s="7" t="s">
        <v>3052</v>
      </c>
      <c r="C941" s="7">
        <v>4</v>
      </c>
      <c r="D941" s="7" t="s">
        <v>449</v>
      </c>
      <c r="E941" s="7" t="s">
        <v>1356</v>
      </c>
      <c r="F941" s="7" t="s">
        <v>2718</v>
      </c>
      <c r="G941" s="7" t="s">
        <v>2719</v>
      </c>
      <c r="H941" s="7">
        <v>5.8</v>
      </c>
      <c r="I941" s="7" t="s">
        <v>718</v>
      </c>
      <c r="W941" s="1488"/>
      <c r="X941" s="1488"/>
      <c r="Y941" s="1488"/>
      <c r="Z941" s="1488"/>
    </row>
    <row r="942" spans="1:26">
      <c r="A942" s="7" t="s">
        <v>688</v>
      </c>
      <c r="B942" s="7" t="s">
        <v>3052</v>
      </c>
      <c r="C942" s="7">
        <v>4</v>
      </c>
      <c r="D942" s="7" t="s">
        <v>449</v>
      </c>
      <c r="E942" s="7" t="s">
        <v>1356</v>
      </c>
      <c r="F942" s="7" t="s">
        <v>1197</v>
      </c>
      <c r="G942" s="7" t="s">
        <v>2919</v>
      </c>
      <c r="H942" s="7">
        <v>5.8</v>
      </c>
      <c r="I942" s="7" t="s">
        <v>718</v>
      </c>
      <c r="W942" s="1488"/>
      <c r="X942" s="1488"/>
      <c r="Y942" s="1488"/>
      <c r="Z942" s="1488"/>
    </row>
    <row r="943" spans="1:26">
      <c r="A943" s="7" t="s">
        <v>688</v>
      </c>
      <c r="B943" s="7" t="s">
        <v>3052</v>
      </c>
      <c r="C943" s="7">
        <v>4</v>
      </c>
      <c r="D943" s="7" t="s">
        <v>449</v>
      </c>
      <c r="E943" s="7" t="s">
        <v>1356</v>
      </c>
      <c r="F943" s="7" t="s">
        <v>3014</v>
      </c>
      <c r="G943" s="7" t="s">
        <v>2700</v>
      </c>
      <c r="H943" s="7">
        <v>5.8</v>
      </c>
      <c r="I943" s="7" t="s">
        <v>718</v>
      </c>
      <c r="W943" s="1488"/>
      <c r="X943" s="1488"/>
      <c r="Y943" s="1488"/>
      <c r="Z943" s="1488"/>
    </row>
    <row r="944" spans="1:26">
      <c r="A944" s="7" t="s">
        <v>688</v>
      </c>
      <c r="B944" s="7" t="s">
        <v>3052</v>
      </c>
      <c r="C944" s="7">
        <v>4</v>
      </c>
      <c r="D944" s="7" t="s">
        <v>449</v>
      </c>
      <c r="E944" s="7" t="s">
        <v>1356</v>
      </c>
      <c r="F944" s="7" t="s">
        <v>2722</v>
      </c>
      <c r="G944" s="7" t="s">
        <v>2793</v>
      </c>
      <c r="H944" s="7">
        <v>5.8</v>
      </c>
      <c r="I944" s="7" t="s">
        <v>719</v>
      </c>
      <c r="W944" s="1488"/>
      <c r="X944" s="1488"/>
      <c r="Y944" s="1488"/>
      <c r="Z944" s="1488"/>
    </row>
    <row r="945" spans="1:26">
      <c r="A945" s="7" t="s">
        <v>688</v>
      </c>
      <c r="B945" s="7" t="s">
        <v>3052</v>
      </c>
      <c r="C945" s="7">
        <v>4</v>
      </c>
      <c r="D945" s="7" t="s">
        <v>449</v>
      </c>
      <c r="E945" s="7" t="s">
        <v>1356</v>
      </c>
      <c r="F945" s="7" t="s">
        <v>2722</v>
      </c>
      <c r="G945" s="7" t="s">
        <v>2794</v>
      </c>
      <c r="H945" s="7">
        <v>5.8</v>
      </c>
      <c r="I945" s="7" t="s">
        <v>719</v>
      </c>
      <c r="W945" s="1488"/>
      <c r="X945" s="1488"/>
      <c r="Y945" s="1488"/>
      <c r="Z945" s="1488"/>
    </row>
    <row r="946" spans="1:26">
      <c r="A946" s="7" t="s">
        <v>688</v>
      </c>
      <c r="B946" s="7" t="s">
        <v>3052</v>
      </c>
      <c r="C946" s="7">
        <v>4</v>
      </c>
      <c r="D946" s="7" t="s">
        <v>449</v>
      </c>
      <c r="E946" s="7" t="s">
        <v>1356</v>
      </c>
      <c r="F946" s="7" t="s">
        <v>2722</v>
      </c>
      <c r="G946" s="7" t="s">
        <v>2723</v>
      </c>
      <c r="H946" s="7">
        <v>5.8</v>
      </c>
      <c r="I946" s="7" t="s">
        <v>718</v>
      </c>
      <c r="W946" s="1488"/>
      <c r="X946" s="1488"/>
      <c r="Y946" s="1488"/>
      <c r="Z946" s="1488"/>
    </row>
    <row r="947" spans="1:26">
      <c r="A947" s="7" t="s">
        <v>688</v>
      </c>
      <c r="B947" s="7" t="s">
        <v>3052</v>
      </c>
      <c r="C947" s="7">
        <v>4</v>
      </c>
      <c r="D947" s="7" t="s">
        <v>449</v>
      </c>
      <c r="E947" s="7" t="s">
        <v>1356</v>
      </c>
      <c r="F947" s="7" t="s">
        <v>2722</v>
      </c>
      <c r="G947" s="7" t="s">
        <v>2724</v>
      </c>
      <c r="H947" s="7">
        <v>5.8</v>
      </c>
      <c r="I947" s="7" t="s">
        <v>718</v>
      </c>
      <c r="W947" s="1488"/>
      <c r="X947" s="1488"/>
      <c r="Y947" s="1488"/>
      <c r="Z947" s="1488"/>
    </row>
    <row r="948" spans="1:26">
      <c r="A948" s="7" t="s">
        <v>688</v>
      </c>
      <c r="B948" s="7" t="s">
        <v>3052</v>
      </c>
      <c r="C948" s="7">
        <v>4</v>
      </c>
      <c r="D948" s="7" t="s">
        <v>449</v>
      </c>
      <c r="E948" s="7" t="s">
        <v>1357</v>
      </c>
      <c r="F948" s="7" t="s">
        <v>1013</v>
      </c>
      <c r="G948" s="7" t="s">
        <v>191</v>
      </c>
      <c r="H948" s="7">
        <v>6.6</v>
      </c>
      <c r="I948" s="7" t="s">
        <v>719</v>
      </c>
      <c r="W948" s="1488"/>
      <c r="X948" s="1488"/>
      <c r="Y948" s="1488"/>
      <c r="Z948" s="1488"/>
    </row>
    <row r="949" spans="1:26">
      <c r="A949" s="7" t="s">
        <v>688</v>
      </c>
      <c r="B949" s="7" t="s">
        <v>3052</v>
      </c>
      <c r="C949" s="7">
        <v>4</v>
      </c>
      <c r="D949" s="7" t="s">
        <v>449</v>
      </c>
      <c r="E949" s="7" t="s">
        <v>1357</v>
      </c>
      <c r="F949" s="7" t="s">
        <v>1013</v>
      </c>
      <c r="G949" s="7" t="s">
        <v>2693</v>
      </c>
      <c r="H949" s="7">
        <v>6.6</v>
      </c>
      <c r="I949" s="7" t="s">
        <v>719</v>
      </c>
      <c r="W949" s="1488"/>
      <c r="X949" s="1488"/>
      <c r="Y949" s="1488"/>
      <c r="Z949" s="1488"/>
    </row>
    <row r="950" spans="1:26">
      <c r="A950" s="7" t="s">
        <v>688</v>
      </c>
      <c r="B950" s="7" t="s">
        <v>3052</v>
      </c>
      <c r="C950" s="7">
        <v>4</v>
      </c>
      <c r="D950" s="7" t="s">
        <v>449</v>
      </c>
      <c r="E950" s="7" t="s">
        <v>1357</v>
      </c>
      <c r="F950" s="7" t="s">
        <v>1013</v>
      </c>
      <c r="G950" s="7" t="s">
        <v>206</v>
      </c>
      <c r="H950" s="7">
        <v>6.5</v>
      </c>
      <c r="I950" s="7" t="s">
        <v>719</v>
      </c>
      <c r="W950" s="1488"/>
      <c r="X950" s="1488"/>
      <c r="Y950" s="1488"/>
      <c r="Z950" s="1488"/>
    </row>
    <row r="951" spans="1:26">
      <c r="A951" s="7" t="s">
        <v>688</v>
      </c>
      <c r="B951" s="7" t="s">
        <v>3052</v>
      </c>
      <c r="C951" s="7">
        <v>4</v>
      </c>
      <c r="D951" s="7" t="s">
        <v>449</v>
      </c>
      <c r="E951" s="7" t="s">
        <v>1357</v>
      </c>
      <c r="F951" s="7" t="s">
        <v>203</v>
      </c>
      <c r="G951" s="7" t="s">
        <v>191</v>
      </c>
      <c r="H951" s="7">
        <v>6.6</v>
      </c>
      <c r="I951" s="7" t="s">
        <v>719</v>
      </c>
      <c r="W951" s="1488"/>
      <c r="X951" s="1488"/>
      <c r="Y951" s="1488"/>
      <c r="Z951" s="1488"/>
    </row>
    <row r="952" spans="1:26">
      <c r="A952" s="7" t="s">
        <v>688</v>
      </c>
      <c r="B952" s="7" t="s">
        <v>3052</v>
      </c>
      <c r="C952" s="7">
        <v>4</v>
      </c>
      <c r="D952" s="7" t="s">
        <v>449</v>
      </c>
      <c r="E952" s="7" t="s">
        <v>1357</v>
      </c>
      <c r="F952" s="7" t="s">
        <v>203</v>
      </c>
      <c r="G952" s="7" t="s">
        <v>2693</v>
      </c>
      <c r="H952" s="7">
        <v>6.6</v>
      </c>
      <c r="I952" s="7" t="s">
        <v>719</v>
      </c>
      <c r="W952" s="1488"/>
      <c r="X952" s="1488"/>
      <c r="Y952" s="1488"/>
      <c r="Z952" s="1488"/>
    </row>
    <row r="953" spans="1:26">
      <c r="A953" s="7" t="s">
        <v>688</v>
      </c>
      <c r="B953" s="7" t="s">
        <v>3052</v>
      </c>
      <c r="C953" s="7">
        <v>4</v>
      </c>
      <c r="D953" s="7" t="s">
        <v>449</v>
      </c>
      <c r="E953" s="7" t="s">
        <v>1357</v>
      </c>
      <c r="F953" s="7" t="s">
        <v>203</v>
      </c>
      <c r="G953" s="7" t="s">
        <v>206</v>
      </c>
      <c r="H953" s="7">
        <v>6.5</v>
      </c>
      <c r="I953" s="7" t="s">
        <v>719</v>
      </c>
      <c r="W953" s="1488"/>
      <c r="X953" s="1488"/>
      <c r="Y953" s="1488"/>
      <c r="Z953" s="1488"/>
    </row>
    <row r="954" spans="1:26">
      <c r="A954" s="7" t="s">
        <v>688</v>
      </c>
      <c r="B954" s="7" t="s">
        <v>3052</v>
      </c>
      <c r="C954" s="7">
        <v>4</v>
      </c>
      <c r="D954" s="7" t="s">
        <v>449</v>
      </c>
      <c r="E954" s="7" t="s">
        <v>1357</v>
      </c>
      <c r="F954" s="7" t="s">
        <v>204</v>
      </c>
      <c r="G954" s="7" t="s">
        <v>191</v>
      </c>
      <c r="H954" s="7">
        <v>6.6</v>
      </c>
      <c r="I954" s="7" t="s">
        <v>719</v>
      </c>
      <c r="W954" s="1488"/>
      <c r="X954" s="1488"/>
      <c r="Y954" s="1488"/>
      <c r="Z954" s="1488"/>
    </row>
    <row r="955" spans="1:26">
      <c r="A955" s="7" t="s">
        <v>688</v>
      </c>
      <c r="B955" s="7" t="s">
        <v>3052</v>
      </c>
      <c r="C955" s="7">
        <v>4</v>
      </c>
      <c r="D955" s="7" t="s">
        <v>449</v>
      </c>
      <c r="E955" s="7" t="s">
        <v>1357</v>
      </c>
      <c r="F955" s="7" t="s">
        <v>204</v>
      </c>
      <c r="G955" s="7" t="s">
        <v>2693</v>
      </c>
      <c r="H955" s="7">
        <v>6.6</v>
      </c>
      <c r="I955" s="7" t="s">
        <v>719</v>
      </c>
      <c r="W955" s="1488"/>
      <c r="X955" s="1488"/>
      <c r="Y955" s="1488"/>
      <c r="Z955" s="1488"/>
    </row>
    <row r="956" spans="1:26">
      <c r="A956" s="7" t="s">
        <v>688</v>
      </c>
      <c r="B956" s="7" t="s">
        <v>3052</v>
      </c>
      <c r="C956" s="7">
        <v>4</v>
      </c>
      <c r="D956" s="7" t="s">
        <v>449</v>
      </c>
      <c r="E956" s="7" t="s">
        <v>1357</v>
      </c>
      <c r="F956" s="7" t="s">
        <v>204</v>
      </c>
      <c r="G956" s="7" t="s">
        <v>206</v>
      </c>
      <c r="H956" s="7">
        <v>6.5</v>
      </c>
      <c r="I956" s="7" t="s">
        <v>719</v>
      </c>
      <c r="W956" s="1488"/>
      <c r="X956" s="1488"/>
      <c r="Y956" s="1488"/>
      <c r="Z956" s="1488"/>
    </row>
    <row r="957" spans="1:26">
      <c r="A957" s="7" t="s">
        <v>688</v>
      </c>
      <c r="B957" s="7" t="s">
        <v>3052</v>
      </c>
      <c r="C957" s="7">
        <v>4</v>
      </c>
      <c r="D957" s="7" t="s">
        <v>449</v>
      </c>
      <c r="E957" s="7" t="s">
        <v>1357</v>
      </c>
      <c r="F957" s="7" t="s">
        <v>205</v>
      </c>
      <c r="G957" s="7" t="s">
        <v>191</v>
      </c>
      <c r="H957" s="7">
        <v>6.6</v>
      </c>
      <c r="I957" s="7" t="s">
        <v>719</v>
      </c>
      <c r="W957" s="1488"/>
      <c r="X957" s="1488"/>
      <c r="Y957" s="1488"/>
      <c r="Z957" s="1488"/>
    </row>
    <row r="958" spans="1:26">
      <c r="A958" s="7" t="s">
        <v>688</v>
      </c>
      <c r="B958" s="7" t="s">
        <v>3052</v>
      </c>
      <c r="C958" s="7">
        <v>4</v>
      </c>
      <c r="D958" s="7" t="s">
        <v>449</v>
      </c>
      <c r="E958" s="7" t="s">
        <v>1357</v>
      </c>
      <c r="F958" s="7" t="s">
        <v>205</v>
      </c>
      <c r="G958" s="7" t="s">
        <v>2693</v>
      </c>
      <c r="H958" s="7">
        <v>6.6</v>
      </c>
      <c r="I958" s="7" t="s">
        <v>719</v>
      </c>
      <c r="W958" s="1488"/>
      <c r="X958" s="1488"/>
      <c r="Y958" s="1488"/>
      <c r="Z958" s="1488"/>
    </row>
    <row r="959" spans="1:26">
      <c r="A959" s="7" t="s">
        <v>688</v>
      </c>
      <c r="B959" s="7" t="s">
        <v>3052</v>
      </c>
      <c r="C959" s="7">
        <v>4</v>
      </c>
      <c r="D959" s="7" t="s">
        <v>449</v>
      </c>
      <c r="E959" s="7" t="s">
        <v>1357</v>
      </c>
      <c r="F959" s="7" t="s">
        <v>205</v>
      </c>
      <c r="G959" s="7" t="s">
        <v>206</v>
      </c>
      <c r="H959" s="7">
        <v>6.5</v>
      </c>
      <c r="I959" s="7" t="s">
        <v>719</v>
      </c>
      <c r="W959" s="1488"/>
      <c r="X959" s="1488"/>
      <c r="Y959" s="1488"/>
      <c r="Z959" s="1488"/>
    </row>
    <row r="960" spans="1:26">
      <c r="A960" s="7" t="s">
        <v>688</v>
      </c>
      <c r="B960" s="7" t="s">
        <v>3052</v>
      </c>
      <c r="C960" s="7">
        <v>4</v>
      </c>
      <c r="D960" s="7" t="s">
        <v>449</v>
      </c>
      <c r="E960" s="7" t="s">
        <v>1357</v>
      </c>
      <c r="F960" s="7" t="s">
        <v>207</v>
      </c>
      <c r="G960" s="7" t="s">
        <v>191</v>
      </c>
      <c r="H960" s="7">
        <v>6.6</v>
      </c>
      <c r="I960" s="7" t="s">
        <v>719</v>
      </c>
      <c r="W960" s="1488"/>
      <c r="X960" s="1488"/>
      <c r="Y960" s="1488"/>
      <c r="Z960" s="1488"/>
    </row>
    <row r="961" spans="1:26">
      <c r="A961" s="7" t="s">
        <v>688</v>
      </c>
      <c r="B961" s="7" t="s">
        <v>3052</v>
      </c>
      <c r="C961" s="7">
        <v>4</v>
      </c>
      <c r="D961" s="7" t="s">
        <v>449</v>
      </c>
      <c r="E961" s="7" t="s">
        <v>1357</v>
      </c>
      <c r="F961" s="7" t="s">
        <v>207</v>
      </c>
      <c r="G961" s="7" t="s">
        <v>2693</v>
      </c>
      <c r="H961" s="7">
        <v>6.6</v>
      </c>
      <c r="I961" s="7" t="s">
        <v>719</v>
      </c>
      <c r="W961" s="1488"/>
      <c r="X961" s="1488"/>
      <c r="Y961" s="1488"/>
      <c r="Z961" s="1488"/>
    </row>
    <row r="962" spans="1:26">
      <c r="A962" s="7" t="s">
        <v>688</v>
      </c>
      <c r="B962" s="7" t="s">
        <v>3052</v>
      </c>
      <c r="C962" s="7">
        <v>4</v>
      </c>
      <c r="D962" s="7" t="s">
        <v>449</v>
      </c>
      <c r="E962" s="7" t="s">
        <v>1357</v>
      </c>
      <c r="F962" s="7" t="s">
        <v>207</v>
      </c>
      <c r="G962" s="7" t="s">
        <v>206</v>
      </c>
      <c r="H962" s="7">
        <v>6.5</v>
      </c>
      <c r="I962" s="7" t="s">
        <v>719</v>
      </c>
      <c r="W962" s="1488"/>
      <c r="X962" s="1488"/>
      <c r="Y962" s="1488"/>
      <c r="Z962" s="1488"/>
    </row>
    <row r="963" spans="1:26">
      <c r="A963" s="7" t="s">
        <v>688</v>
      </c>
      <c r="B963" s="7" t="s">
        <v>3052</v>
      </c>
      <c r="C963" s="7">
        <v>4</v>
      </c>
      <c r="D963" s="7" t="s">
        <v>449</v>
      </c>
      <c r="E963" s="7" t="s">
        <v>1357</v>
      </c>
      <c r="F963" s="7" t="s">
        <v>1034</v>
      </c>
      <c r="G963" s="7" t="s">
        <v>191</v>
      </c>
      <c r="H963" s="7">
        <v>6.6</v>
      </c>
      <c r="I963" s="7" t="s">
        <v>719</v>
      </c>
      <c r="W963" s="1488"/>
      <c r="X963" s="1488"/>
      <c r="Y963" s="1488"/>
      <c r="Z963" s="1488"/>
    </row>
    <row r="964" spans="1:26">
      <c r="A964" s="7" t="s">
        <v>688</v>
      </c>
      <c r="B964" s="7" t="s">
        <v>3052</v>
      </c>
      <c r="C964" s="7">
        <v>4</v>
      </c>
      <c r="D964" s="7" t="s">
        <v>449</v>
      </c>
      <c r="E964" s="7" t="s">
        <v>1357</v>
      </c>
      <c r="F964" s="7" t="s">
        <v>1034</v>
      </c>
      <c r="G964" s="7" t="s">
        <v>2693</v>
      </c>
      <c r="H964" s="7">
        <v>6.6</v>
      </c>
      <c r="I964" s="7" t="s">
        <v>719</v>
      </c>
      <c r="W964" s="1488"/>
      <c r="X964" s="1488"/>
      <c r="Y964" s="1488"/>
      <c r="Z964" s="1488"/>
    </row>
    <row r="965" spans="1:26">
      <c r="A965" s="7" t="s">
        <v>688</v>
      </c>
      <c r="B965" s="7" t="s">
        <v>3052</v>
      </c>
      <c r="C965" s="7">
        <v>4</v>
      </c>
      <c r="D965" s="7" t="s">
        <v>449</v>
      </c>
      <c r="E965" s="7" t="s">
        <v>1357</v>
      </c>
      <c r="F965" s="7" t="s">
        <v>1034</v>
      </c>
      <c r="G965" s="7" t="s">
        <v>206</v>
      </c>
      <c r="H965" s="7">
        <v>6.5</v>
      </c>
      <c r="I965" s="7" t="s">
        <v>719</v>
      </c>
      <c r="W965" s="1488"/>
      <c r="X965" s="1488"/>
      <c r="Y965" s="1488"/>
      <c r="Z965" s="1488"/>
    </row>
    <row r="966" spans="1:26">
      <c r="A966" s="7" t="s">
        <v>688</v>
      </c>
      <c r="B966" s="7" t="s">
        <v>3052</v>
      </c>
      <c r="C966" s="7">
        <v>4</v>
      </c>
      <c r="D966" s="7" t="s">
        <v>449</v>
      </c>
      <c r="E966" s="7" t="s">
        <v>1357</v>
      </c>
      <c r="F966" s="7" t="s">
        <v>1027</v>
      </c>
      <c r="G966" s="7" t="s">
        <v>191</v>
      </c>
      <c r="H966" s="7">
        <v>6.6</v>
      </c>
      <c r="I966" s="7" t="s">
        <v>719</v>
      </c>
      <c r="W966" s="1488"/>
      <c r="X966" s="1488"/>
      <c r="Y966" s="1488"/>
      <c r="Z966" s="1488"/>
    </row>
    <row r="967" spans="1:26">
      <c r="A967" s="7" t="s">
        <v>688</v>
      </c>
      <c r="B967" s="7" t="s">
        <v>3052</v>
      </c>
      <c r="C967" s="7">
        <v>4</v>
      </c>
      <c r="D967" s="7" t="s">
        <v>449</v>
      </c>
      <c r="E967" s="7" t="s">
        <v>1357</v>
      </c>
      <c r="F967" s="7" t="s">
        <v>1027</v>
      </c>
      <c r="G967" s="7" t="s">
        <v>2693</v>
      </c>
      <c r="H967" s="7">
        <v>6.6</v>
      </c>
      <c r="I967" s="7" t="s">
        <v>719</v>
      </c>
      <c r="W967" s="1488"/>
      <c r="X967" s="1488"/>
      <c r="Y967" s="1488"/>
      <c r="Z967" s="1488"/>
    </row>
    <row r="968" spans="1:26">
      <c r="A968" s="7" t="s">
        <v>688</v>
      </c>
      <c r="B968" s="7" t="s">
        <v>3052</v>
      </c>
      <c r="C968" s="7">
        <v>4</v>
      </c>
      <c r="D968" s="7" t="s">
        <v>449</v>
      </c>
      <c r="E968" s="7" t="s">
        <v>1357</v>
      </c>
      <c r="F968" s="7" t="s">
        <v>1027</v>
      </c>
      <c r="G968" s="7" t="s">
        <v>206</v>
      </c>
      <c r="H968" s="7">
        <v>6.5</v>
      </c>
      <c r="I968" s="7" t="s">
        <v>719</v>
      </c>
      <c r="W968" s="1488"/>
      <c r="X968" s="1488"/>
      <c r="Y968" s="1488"/>
      <c r="Z968" s="1488"/>
    </row>
    <row r="969" spans="1:26">
      <c r="A969" s="7" t="s">
        <v>688</v>
      </c>
      <c r="B969" s="7" t="s">
        <v>3052</v>
      </c>
      <c r="C969" s="7">
        <v>4</v>
      </c>
      <c r="D969" s="7" t="s">
        <v>449</v>
      </c>
      <c r="E969" s="7" t="s">
        <v>1357</v>
      </c>
      <c r="F969" s="7" t="s">
        <v>2728</v>
      </c>
      <c r="G969" s="7" t="s">
        <v>191</v>
      </c>
      <c r="H969" s="7">
        <v>6.6</v>
      </c>
      <c r="I969" s="7" t="s">
        <v>719</v>
      </c>
      <c r="W969" s="1488"/>
      <c r="X969" s="1488"/>
      <c r="Y969" s="1488"/>
      <c r="Z969" s="1488"/>
    </row>
    <row r="970" spans="1:26">
      <c r="A970" s="7" t="s">
        <v>688</v>
      </c>
      <c r="B970" s="7" t="s">
        <v>3052</v>
      </c>
      <c r="C970" s="7">
        <v>4</v>
      </c>
      <c r="D970" s="7" t="s">
        <v>449</v>
      </c>
      <c r="E970" s="7" t="s">
        <v>1357</v>
      </c>
      <c r="F970" s="7" t="s">
        <v>2728</v>
      </c>
      <c r="G970" s="7" t="s">
        <v>2693</v>
      </c>
      <c r="H970" s="7">
        <v>6.6</v>
      </c>
      <c r="I970" s="7" t="s">
        <v>719</v>
      </c>
      <c r="W970" s="1488"/>
      <c r="X970" s="1488"/>
      <c r="Y970" s="1488"/>
      <c r="Z970" s="1488"/>
    </row>
    <row r="971" spans="1:26">
      <c r="A971" s="7" t="s">
        <v>688</v>
      </c>
      <c r="B971" s="7" t="s">
        <v>3052</v>
      </c>
      <c r="C971" s="7">
        <v>4</v>
      </c>
      <c r="D971" s="7" t="s">
        <v>449</v>
      </c>
      <c r="E971" s="7" t="s">
        <v>1357</v>
      </c>
      <c r="F971" s="7" t="s">
        <v>2728</v>
      </c>
      <c r="G971" s="7" t="s">
        <v>206</v>
      </c>
      <c r="H971" s="7">
        <v>6.5</v>
      </c>
      <c r="I971" s="7" t="s">
        <v>719</v>
      </c>
      <c r="W971" s="1488"/>
      <c r="X971" s="1488"/>
      <c r="Y971" s="1488"/>
      <c r="Z971" s="1488"/>
    </row>
    <row r="972" spans="1:26">
      <c r="A972" s="7" t="s">
        <v>688</v>
      </c>
      <c r="B972" s="7" t="s">
        <v>3052</v>
      </c>
      <c r="C972" s="7">
        <v>4</v>
      </c>
      <c r="D972" s="7" t="s">
        <v>449</v>
      </c>
      <c r="E972" s="7" t="s">
        <v>1357</v>
      </c>
      <c r="F972" s="7" t="s">
        <v>2729</v>
      </c>
      <c r="G972" s="7" t="s">
        <v>191</v>
      </c>
      <c r="H972" s="7">
        <v>6.6</v>
      </c>
      <c r="I972" s="7" t="s">
        <v>719</v>
      </c>
      <c r="W972" s="1488"/>
      <c r="X972" s="1488"/>
      <c r="Y972" s="1488"/>
      <c r="Z972" s="1488"/>
    </row>
    <row r="973" spans="1:26">
      <c r="A973" s="7" t="s">
        <v>688</v>
      </c>
      <c r="B973" s="7" t="s">
        <v>3052</v>
      </c>
      <c r="C973" s="7">
        <v>4</v>
      </c>
      <c r="D973" s="7" t="s">
        <v>449</v>
      </c>
      <c r="E973" s="7" t="s">
        <v>1357</v>
      </c>
      <c r="F973" s="7" t="s">
        <v>2729</v>
      </c>
      <c r="G973" s="7" t="s">
        <v>2693</v>
      </c>
      <c r="H973" s="7">
        <v>6.6</v>
      </c>
      <c r="I973" s="7" t="s">
        <v>719</v>
      </c>
      <c r="W973" s="1488"/>
      <c r="X973" s="1488"/>
      <c r="Y973" s="1488"/>
      <c r="Z973" s="1488"/>
    </row>
    <row r="974" spans="1:26">
      <c r="A974" s="7" t="s">
        <v>688</v>
      </c>
      <c r="B974" s="7" t="s">
        <v>3052</v>
      </c>
      <c r="C974" s="7">
        <v>4</v>
      </c>
      <c r="D974" s="7" t="s">
        <v>449</v>
      </c>
      <c r="E974" s="7" t="s">
        <v>1357</v>
      </c>
      <c r="F974" s="7" t="s">
        <v>2729</v>
      </c>
      <c r="G974" s="7" t="s">
        <v>206</v>
      </c>
      <c r="H974" s="7">
        <v>6.5</v>
      </c>
      <c r="I974" s="7" t="s">
        <v>719</v>
      </c>
      <c r="W974" s="1488"/>
      <c r="X974" s="1488"/>
      <c r="Y974" s="1488"/>
      <c r="Z974" s="1488"/>
    </row>
    <row r="975" spans="1:26">
      <c r="A975" s="7" t="s">
        <v>688</v>
      </c>
      <c r="B975" s="7" t="s">
        <v>3052</v>
      </c>
      <c r="C975" s="7">
        <v>4</v>
      </c>
      <c r="D975" s="7" t="s">
        <v>449</v>
      </c>
      <c r="E975" s="7" t="s">
        <v>1357</v>
      </c>
      <c r="F975" s="7" t="s">
        <v>2730</v>
      </c>
      <c r="G975" s="7" t="s">
        <v>191</v>
      </c>
      <c r="H975" s="7">
        <v>6.6</v>
      </c>
      <c r="I975" s="7" t="s">
        <v>719</v>
      </c>
      <c r="W975" s="1488"/>
      <c r="X975" s="1488"/>
      <c r="Y975" s="1488"/>
      <c r="Z975" s="1488"/>
    </row>
    <row r="976" spans="1:26">
      <c r="A976" s="7" t="s">
        <v>688</v>
      </c>
      <c r="B976" s="7" t="s">
        <v>3052</v>
      </c>
      <c r="C976" s="7">
        <v>4</v>
      </c>
      <c r="D976" s="7" t="s">
        <v>449</v>
      </c>
      <c r="E976" s="7" t="s">
        <v>1357</v>
      </c>
      <c r="F976" s="7" t="s">
        <v>2730</v>
      </c>
      <c r="G976" s="7" t="s">
        <v>2693</v>
      </c>
      <c r="H976" s="7">
        <v>6.6</v>
      </c>
      <c r="I976" s="7" t="s">
        <v>719</v>
      </c>
      <c r="W976" s="1488"/>
      <c r="X976" s="1488"/>
      <c r="Y976" s="1488"/>
      <c r="Z976" s="1488"/>
    </row>
    <row r="977" spans="1:26">
      <c r="A977" s="7" t="s">
        <v>688</v>
      </c>
      <c r="B977" s="7" t="s">
        <v>3052</v>
      </c>
      <c r="C977" s="7">
        <v>4</v>
      </c>
      <c r="D977" s="7" t="s">
        <v>449</v>
      </c>
      <c r="E977" s="7" t="s">
        <v>1357</v>
      </c>
      <c r="F977" s="7" t="s">
        <v>2730</v>
      </c>
      <c r="G977" s="7" t="s">
        <v>206</v>
      </c>
      <c r="H977" s="7">
        <v>6.5</v>
      </c>
      <c r="I977" s="7" t="s">
        <v>719</v>
      </c>
      <c r="W977" s="1488"/>
      <c r="X977" s="1488"/>
      <c r="Y977" s="1488"/>
      <c r="Z977" s="1488"/>
    </row>
    <row r="978" spans="1:26">
      <c r="A978" s="7" t="s">
        <v>688</v>
      </c>
      <c r="B978" s="7" t="s">
        <v>3052</v>
      </c>
      <c r="C978" s="7">
        <v>4</v>
      </c>
      <c r="D978" s="7" t="s">
        <v>449</v>
      </c>
      <c r="E978" s="7" t="s">
        <v>1357</v>
      </c>
      <c r="F978" s="7" t="s">
        <v>209</v>
      </c>
      <c r="G978" s="7" t="s">
        <v>191</v>
      </c>
      <c r="H978" s="7">
        <v>6.6</v>
      </c>
      <c r="I978" s="7" t="s">
        <v>719</v>
      </c>
      <c r="W978" s="1488"/>
      <c r="X978" s="1488"/>
      <c r="Y978" s="1488"/>
      <c r="Z978" s="1488"/>
    </row>
    <row r="979" spans="1:26">
      <c r="A979" s="7" t="s">
        <v>688</v>
      </c>
      <c r="B979" s="7" t="s">
        <v>3052</v>
      </c>
      <c r="C979" s="7">
        <v>4</v>
      </c>
      <c r="D979" s="7" t="s">
        <v>449</v>
      </c>
      <c r="E979" s="7" t="s">
        <v>1357</v>
      </c>
      <c r="F979" s="7" t="s">
        <v>209</v>
      </c>
      <c r="G979" s="7" t="s">
        <v>2693</v>
      </c>
      <c r="H979" s="7">
        <v>6.6</v>
      </c>
      <c r="I979" s="7" t="s">
        <v>719</v>
      </c>
      <c r="W979" s="1488"/>
      <c r="X979" s="1488"/>
      <c r="Y979" s="1488"/>
      <c r="Z979" s="1488"/>
    </row>
    <row r="980" spans="1:26">
      <c r="A980" s="7" t="s">
        <v>688</v>
      </c>
      <c r="B980" s="7" t="s">
        <v>3052</v>
      </c>
      <c r="C980" s="7">
        <v>4</v>
      </c>
      <c r="D980" s="7" t="s">
        <v>449</v>
      </c>
      <c r="E980" s="7" t="s">
        <v>1357</v>
      </c>
      <c r="F980" s="7" t="s">
        <v>209</v>
      </c>
      <c r="G980" s="7" t="s">
        <v>206</v>
      </c>
      <c r="H980" s="7">
        <v>6.5</v>
      </c>
      <c r="I980" s="7" t="s">
        <v>719</v>
      </c>
      <c r="W980" s="1488"/>
      <c r="X980" s="1488"/>
      <c r="Y980" s="1488"/>
      <c r="Z980" s="1488"/>
    </row>
    <row r="981" spans="1:26">
      <c r="A981" s="7" t="s">
        <v>688</v>
      </c>
      <c r="B981" s="7" t="s">
        <v>3052</v>
      </c>
      <c r="C981" s="7">
        <v>4</v>
      </c>
      <c r="D981" s="7" t="s">
        <v>449</v>
      </c>
      <c r="E981" s="7" t="s">
        <v>1357</v>
      </c>
      <c r="F981" s="7" t="s">
        <v>2731</v>
      </c>
      <c r="G981" s="7" t="s">
        <v>191</v>
      </c>
      <c r="H981" s="7">
        <v>6.6</v>
      </c>
      <c r="I981" s="7" t="s">
        <v>719</v>
      </c>
      <c r="W981" s="1488"/>
      <c r="X981" s="1488"/>
      <c r="Y981" s="1488"/>
      <c r="Z981" s="1488"/>
    </row>
    <row r="982" spans="1:26">
      <c r="A982" s="7" t="s">
        <v>688</v>
      </c>
      <c r="B982" s="7" t="s">
        <v>3052</v>
      </c>
      <c r="C982" s="7">
        <v>4</v>
      </c>
      <c r="D982" s="7" t="s">
        <v>449</v>
      </c>
      <c r="E982" s="7" t="s">
        <v>1357</v>
      </c>
      <c r="F982" s="7" t="s">
        <v>2731</v>
      </c>
      <c r="G982" s="7" t="s">
        <v>2693</v>
      </c>
      <c r="H982" s="7">
        <v>6.6</v>
      </c>
      <c r="I982" s="7" t="s">
        <v>719</v>
      </c>
      <c r="W982" s="1488"/>
      <c r="X982" s="1488"/>
      <c r="Y982" s="1488"/>
      <c r="Z982" s="1488"/>
    </row>
    <row r="983" spans="1:26">
      <c r="A983" s="7" t="s">
        <v>688</v>
      </c>
      <c r="B983" s="7" t="s">
        <v>3052</v>
      </c>
      <c r="C983" s="7">
        <v>4</v>
      </c>
      <c r="D983" s="7" t="s">
        <v>449</v>
      </c>
      <c r="E983" s="7" t="s">
        <v>1357</v>
      </c>
      <c r="F983" s="7" t="s">
        <v>2731</v>
      </c>
      <c r="G983" s="7" t="s">
        <v>206</v>
      </c>
      <c r="H983" s="7">
        <v>6.5</v>
      </c>
      <c r="I983" s="7" t="s">
        <v>719</v>
      </c>
      <c r="W983" s="1488"/>
      <c r="X983" s="1488"/>
      <c r="Y983" s="1488"/>
      <c r="Z983" s="1488"/>
    </row>
    <row r="984" spans="1:26">
      <c r="A984" s="7" t="s">
        <v>688</v>
      </c>
      <c r="B984" s="7" t="s">
        <v>3052</v>
      </c>
      <c r="C984" s="7">
        <v>4</v>
      </c>
      <c r="D984" s="7" t="s">
        <v>449</v>
      </c>
      <c r="E984" s="7" t="s">
        <v>1357</v>
      </c>
      <c r="F984" s="7" t="s">
        <v>2732</v>
      </c>
      <c r="G984" s="7" t="s">
        <v>191</v>
      </c>
      <c r="H984" s="7">
        <v>6.6</v>
      </c>
      <c r="I984" s="7" t="s">
        <v>719</v>
      </c>
      <c r="W984" s="1488"/>
      <c r="X984" s="1488"/>
      <c r="Y984" s="1488"/>
      <c r="Z984" s="1488"/>
    </row>
    <row r="985" spans="1:26">
      <c r="A985" s="7" t="s">
        <v>688</v>
      </c>
      <c r="B985" s="7" t="s">
        <v>3052</v>
      </c>
      <c r="C985" s="7">
        <v>4</v>
      </c>
      <c r="D985" s="7" t="s">
        <v>449</v>
      </c>
      <c r="E985" s="7" t="s">
        <v>1357</v>
      </c>
      <c r="F985" s="7" t="s">
        <v>2732</v>
      </c>
      <c r="G985" s="7" t="s">
        <v>2693</v>
      </c>
      <c r="H985" s="7">
        <v>6.6</v>
      </c>
      <c r="I985" s="7" t="s">
        <v>719</v>
      </c>
      <c r="W985" s="1488"/>
      <c r="X985" s="1488"/>
      <c r="Y985" s="1488"/>
      <c r="Z985" s="1488"/>
    </row>
    <row r="986" spans="1:26">
      <c r="A986" s="7" t="s">
        <v>688</v>
      </c>
      <c r="B986" s="7" t="s">
        <v>3052</v>
      </c>
      <c r="C986" s="7">
        <v>4</v>
      </c>
      <c r="D986" s="7" t="s">
        <v>449</v>
      </c>
      <c r="E986" s="7" t="s">
        <v>1357</v>
      </c>
      <c r="F986" s="7" t="s">
        <v>2732</v>
      </c>
      <c r="G986" s="7" t="s">
        <v>206</v>
      </c>
      <c r="H986" s="7">
        <v>6.5</v>
      </c>
      <c r="I986" s="7" t="s">
        <v>719</v>
      </c>
      <c r="W986" s="1488"/>
      <c r="X986" s="1488"/>
      <c r="Y986" s="1488"/>
      <c r="Z986" s="1488"/>
    </row>
    <row r="987" spans="1:26">
      <c r="A987" s="7" t="s">
        <v>688</v>
      </c>
      <c r="B987" s="7" t="s">
        <v>3052</v>
      </c>
      <c r="C987" s="7">
        <v>4</v>
      </c>
      <c r="D987" s="7" t="s">
        <v>449</v>
      </c>
      <c r="E987" s="7" t="s">
        <v>1357</v>
      </c>
      <c r="F987" s="7" t="s">
        <v>210</v>
      </c>
      <c r="G987" s="7" t="s">
        <v>191</v>
      </c>
      <c r="H987" s="7">
        <v>6.6</v>
      </c>
      <c r="I987" s="7" t="s">
        <v>719</v>
      </c>
      <c r="W987" s="1488"/>
      <c r="X987" s="1488"/>
      <c r="Y987" s="1488"/>
      <c r="Z987" s="1488"/>
    </row>
    <row r="988" spans="1:26">
      <c r="A988" s="7" t="s">
        <v>688</v>
      </c>
      <c r="B988" s="7" t="s">
        <v>3052</v>
      </c>
      <c r="C988" s="7">
        <v>4</v>
      </c>
      <c r="D988" s="7" t="s">
        <v>449</v>
      </c>
      <c r="E988" s="7" t="s">
        <v>1357</v>
      </c>
      <c r="F988" s="7" t="s">
        <v>210</v>
      </c>
      <c r="G988" s="7" t="s">
        <v>2693</v>
      </c>
      <c r="H988" s="7">
        <v>6.6</v>
      </c>
      <c r="I988" s="7" t="s">
        <v>719</v>
      </c>
      <c r="W988" s="1488"/>
      <c r="X988" s="1488"/>
      <c r="Y988" s="1488"/>
      <c r="Z988" s="1488"/>
    </row>
    <row r="989" spans="1:26">
      <c r="A989" s="7" t="s">
        <v>688</v>
      </c>
      <c r="B989" s="7" t="s">
        <v>3052</v>
      </c>
      <c r="C989" s="7">
        <v>4</v>
      </c>
      <c r="D989" s="7" t="s">
        <v>449</v>
      </c>
      <c r="E989" s="7" t="s">
        <v>1357</v>
      </c>
      <c r="F989" s="7" t="s">
        <v>210</v>
      </c>
      <c r="G989" s="7" t="s">
        <v>206</v>
      </c>
      <c r="H989" s="7">
        <v>6.5</v>
      </c>
      <c r="I989" s="7" t="s">
        <v>719</v>
      </c>
      <c r="W989" s="1488"/>
      <c r="X989" s="1488"/>
      <c r="Y989" s="1488"/>
      <c r="Z989" s="1488"/>
    </row>
    <row r="990" spans="1:26">
      <c r="A990" s="7" t="s">
        <v>688</v>
      </c>
      <c r="B990" s="7" t="s">
        <v>3052</v>
      </c>
      <c r="C990" s="7">
        <v>4</v>
      </c>
      <c r="D990" s="7" t="s">
        <v>449</v>
      </c>
      <c r="E990" s="7" t="s">
        <v>1358</v>
      </c>
      <c r="F990" s="7" t="s">
        <v>3015</v>
      </c>
      <c r="G990" s="7" t="s">
        <v>191</v>
      </c>
      <c r="H990" s="7">
        <v>6.6</v>
      </c>
      <c r="I990" s="7" t="s">
        <v>719</v>
      </c>
      <c r="W990" s="1488"/>
      <c r="X990" s="1488"/>
      <c r="Y990" s="1488"/>
      <c r="Z990" s="1488"/>
    </row>
    <row r="991" spans="1:26">
      <c r="A991" s="7" t="s">
        <v>688</v>
      </c>
      <c r="B991" s="7" t="s">
        <v>3052</v>
      </c>
      <c r="C991" s="7">
        <v>4</v>
      </c>
      <c r="D991" s="7" t="s">
        <v>449</v>
      </c>
      <c r="E991" s="7" t="s">
        <v>1358</v>
      </c>
      <c r="F991" s="7" t="s">
        <v>3015</v>
      </c>
      <c r="G991" s="7" t="s">
        <v>2693</v>
      </c>
      <c r="H991" s="7">
        <v>6.6</v>
      </c>
      <c r="I991" s="7" t="s">
        <v>719</v>
      </c>
      <c r="W991" s="1488"/>
      <c r="X991" s="1488"/>
      <c r="Y991" s="1488"/>
      <c r="Z991" s="1488"/>
    </row>
    <row r="992" spans="1:26">
      <c r="A992" s="7" t="s">
        <v>688</v>
      </c>
      <c r="B992" s="7" t="s">
        <v>3052</v>
      </c>
      <c r="C992" s="7">
        <v>4</v>
      </c>
      <c r="D992" s="7" t="s">
        <v>449</v>
      </c>
      <c r="E992" s="7" t="s">
        <v>1358</v>
      </c>
      <c r="F992" s="7" t="s">
        <v>3015</v>
      </c>
      <c r="G992" s="7" t="s">
        <v>206</v>
      </c>
      <c r="H992" s="7">
        <v>6.5</v>
      </c>
      <c r="I992" s="7" t="s">
        <v>719</v>
      </c>
      <c r="W992" s="1488"/>
      <c r="X992" s="1488"/>
      <c r="Y992" s="1488"/>
      <c r="Z992" s="1488"/>
    </row>
    <row r="993" spans="1:26">
      <c r="A993" s="7" t="s">
        <v>688</v>
      </c>
      <c r="B993" s="7" t="s">
        <v>3052</v>
      </c>
      <c r="C993" s="7">
        <v>4</v>
      </c>
      <c r="D993" s="7" t="s">
        <v>449</v>
      </c>
      <c r="E993" s="7" t="s">
        <v>1358</v>
      </c>
      <c r="F993" s="7" t="s">
        <v>1200</v>
      </c>
      <c r="G993" s="7" t="s">
        <v>1201</v>
      </c>
      <c r="H993" s="7">
        <v>6.6</v>
      </c>
      <c r="I993" s="7" t="s">
        <v>719</v>
      </c>
      <c r="W993" s="1488"/>
      <c r="X993" s="1488"/>
      <c r="Y993" s="1488"/>
      <c r="Z993" s="1488"/>
    </row>
    <row r="994" spans="1:26">
      <c r="A994" s="7" t="s">
        <v>688</v>
      </c>
      <c r="B994" s="7" t="s">
        <v>3052</v>
      </c>
      <c r="C994" s="7">
        <v>4</v>
      </c>
      <c r="D994" s="7" t="s">
        <v>449</v>
      </c>
      <c r="E994" s="7" t="s">
        <v>1358</v>
      </c>
      <c r="F994" s="7" t="s">
        <v>1200</v>
      </c>
      <c r="G994" s="7" t="s">
        <v>1202</v>
      </c>
      <c r="H994" s="7">
        <v>6.6</v>
      </c>
      <c r="I994" s="7" t="s">
        <v>719</v>
      </c>
      <c r="W994" s="1488"/>
      <c r="X994" s="1488"/>
      <c r="Y994" s="1488"/>
      <c r="Z994" s="1488"/>
    </row>
    <row r="995" spans="1:26">
      <c r="A995" s="7" t="s">
        <v>688</v>
      </c>
      <c r="B995" s="7" t="s">
        <v>3052</v>
      </c>
      <c r="C995" s="7">
        <v>4</v>
      </c>
      <c r="D995" s="7" t="s">
        <v>449</v>
      </c>
      <c r="E995" s="7" t="s">
        <v>1358</v>
      </c>
      <c r="F995" s="7" t="s">
        <v>1200</v>
      </c>
      <c r="G995" s="7" t="s">
        <v>1203</v>
      </c>
      <c r="H995" s="7">
        <v>6.6</v>
      </c>
      <c r="I995" s="7" t="s">
        <v>719</v>
      </c>
      <c r="W995" s="1488"/>
      <c r="X995" s="1488"/>
      <c r="Y995" s="1488"/>
      <c r="Z995" s="1488"/>
    </row>
    <row r="996" spans="1:26">
      <c r="A996" s="7" t="s">
        <v>688</v>
      </c>
      <c r="B996" s="7" t="s">
        <v>3052</v>
      </c>
      <c r="C996" s="7">
        <v>4</v>
      </c>
      <c r="D996" s="7" t="s">
        <v>449</v>
      </c>
      <c r="E996" s="7" t="s">
        <v>1358</v>
      </c>
      <c r="F996" s="7" t="s">
        <v>1200</v>
      </c>
      <c r="G996" s="7" t="s">
        <v>1204</v>
      </c>
      <c r="H996" s="7">
        <v>6.6</v>
      </c>
      <c r="I996" s="7" t="s">
        <v>719</v>
      </c>
      <c r="W996" s="1488"/>
      <c r="X996" s="1488"/>
      <c r="Y996" s="1488"/>
      <c r="Z996" s="1488"/>
    </row>
    <row r="997" spans="1:26">
      <c r="A997" s="7" t="s">
        <v>688</v>
      </c>
      <c r="B997" s="7" t="s">
        <v>3052</v>
      </c>
      <c r="C997" s="7">
        <v>4</v>
      </c>
      <c r="D997" s="7" t="s">
        <v>449</v>
      </c>
      <c r="E997" s="7" t="s">
        <v>1358</v>
      </c>
      <c r="F997" s="7" t="s">
        <v>1200</v>
      </c>
      <c r="G997" s="7" t="s">
        <v>1205</v>
      </c>
      <c r="H997" s="7">
        <v>6.6</v>
      </c>
      <c r="I997" s="7" t="s">
        <v>719</v>
      </c>
      <c r="W997" s="1488"/>
      <c r="X997" s="1488"/>
      <c r="Y997" s="1488"/>
      <c r="Z997" s="1488"/>
    </row>
    <row r="998" spans="1:26">
      <c r="A998" s="7" t="s">
        <v>688</v>
      </c>
      <c r="B998" s="7" t="s">
        <v>3052</v>
      </c>
      <c r="C998" s="7">
        <v>4</v>
      </c>
      <c r="D998" s="7" t="s">
        <v>449</v>
      </c>
      <c r="E998" s="7" t="s">
        <v>1358</v>
      </c>
      <c r="F998" s="7" t="s">
        <v>1200</v>
      </c>
      <c r="G998" s="7" t="s">
        <v>1206</v>
      </c>
      <c r="H998" s="7">
        <v>6.6</v>
      </c>
      <c r="I998" s="7" t="s">
        <v>719</v>
      </c>
      <c r="W998" s="1488"/>
      <c r="X998" s="1488"/>
      <c r="Y998" s="1488"/>
      <c r="Z998" s="1488"/>
    </row>
    <row r="999" spans="1:26">
      <c r="A999" s="7" t="s">
        <v>688</v>
      </c>
      <c r="B999" s="7" t="s">
        <v>3052</v>
      </c>
      <c r="C999" s="7">
        <v>4</v>
      </c>
      <c r="D999" s="7" t="s">
        <v>449</v>
      </c>
      <c r="E999" s="7" t="s">
        <v>1358</v>
      </c>
      <c r="F999" s="7" t="s">
        <v>1200</v>
      </c>
      <c r="G999" s="7" t="s">
        <v>2903</v>
      </c>
      <c r="H999" s="7">
        <v>6.6</v>
      </c>
      <c r="I999" s="7" t="s">
        <v>719</v>
      </c>
      <c r="W999" s="1488"/>
      <c r="X999" s="1488"/>
      <c r="Y999" s="1488"/>
      <c r="Z999" s="1488"/>
    </row>
    <row r="1000" spans="1:26">
      <c r="A1000" s="7" t="s">
        <v>688</v>
      </c>
      <c r="B1000" s="7" t="s">
        <v>3052</v>
      </c>
      <c r="C1000" s="7">
        <v>4</v>
      </c>
      <c r="D1000" s="7" t="s">
        <v>449</v>
      </c>
      <c r="E1000" s="7" t="s">
        <v>1358</v>
      </c>
      <c r="F1000" s="7" t="s">
        <v>1200</v>
      </c>
      <c r="G1000" s="7" t="s">
        <v>1207</v>
      </c>
      <c r="H1000" s="7">
        <v>6.6</v>
      </c>
      <c r="I1000" s="7" t="s">
        <v>719</v>
      </c>
      <c r="W1000" s="1488"/>
      <c r="X1000" s="1488"/>
      <c r="Y1000" s="1488"/>
      <c r="Z1000" s="1488"/>
    </row>
    <row r="1001" spans="1:26">
      <c r="A1001" s="7" t="s">
        <v>688</v>
      </c>
      <c r="B1001" s="7" t="s">
        <v>3052</v>
      </c>
      <c r="C1001" s="7">
        <v>4</v>
      </c>
      <c r="D1001" s="7" t="s">
        <v>449</v>
      </c>
      <c r="E1001" s="7" t="s">
        <v>1358</v>
      </c>
      <c r="F1001" s="7" t="s">
        <v>1200</v>
      </c>
      <c r="G1001" s="7" t="s">
        <v>2693</v>
      </c>
      <c r="H1001" s="7">
        <v>6.6</v>
      </c>
      <c r="I1001" s="7" t="s">
        <v>719</v>
      </c>
      <c r="W1001" s="1488"/>
      <c r="X1001" s="1488"/>
      <c r="Y1001" s="1488"/>
      <c r="Z1001" s="1488"/>
    </row>
    <row r="1002" spans="1:26">
      <c r="A1002" s="7" t="s">
        <v>688</v>
      </c>
      <c r="B1002" s="7" t="s">
        <v>3052</v>
      </c>
      <c r="C1002" s="7">
        <v>4</v>
      </c>
      <c r="D1002" s="7" t="s">
        <v>449</v>
      </c>
      <c r="E1002" s="7" t="s">
        <v>1358</v>
      </c>
      <c r="F1002" s="7" t="s">
        <v>1200</v>
      </c>
      <c r="G1002" s="7" t="s">
        <v>206</v>
      </c>
      <c r="H1002" s="7">
        <v>6.5</v>
      </c>
      <c r="I1002" s="7" t="s">
        <v>719</v>
      </c>
      <c r="W1002" s="1488"/>
      <c r="X1002" s="1488"/>
      <c r="Y1002" s="1488"/>
      <c r="Z1002" s="1488"/>
    </row>
    <row r="1003" spans="1:26">
      <c r="A1003" s="7" t="s">
        <v>688</v>
      </c>
      <c r="B1003" s="7" t="s">
        <v>3052</v>
      </c>
      <c r="C1003" s="7">
        <v>4</v>
      </c>
      <c r="D1003" s="7" t="s">
        <v>449</v>
      </c>
      <c r="E1003" s="7" t="s">
        <v>1360</v>
      </c>
      <c r="F1003" s="7" t="s">
        <v>1199</v>
      </c>
      <c r="G1003" s="7" t="s">
        <v>2700</v>
      </c>
      <c r="H1003" s="7">
        <v>5.6</v>
      </c>
      <c r="I1003" s="7" t="s">
        <v>718</v>
      </c>
      <c r="W1003" s="1488"/>
      <c r="X1003" s="1488"/>
      <c r="Y1003" s="1488"/>
      <c r="Z1003" s="1488"/>
    </row>
    <row r="1004" spans="1:26">
      <c r="A1004" s="7" t="s">
        <v>688</v>
      </c>
      <c r="B1004" s="7" t="s">
        <v>3052</v>
      </c>
      <c r="C1004" s="7">
        <v>4</v>
      </c>
      <c r="D1004" s="7" t="s">
        <v>449</v>
      </c>
      <c r="E1004" s="7" t="s">
        <v>1355</v>
      </c>
      <c r="F1004" s="7" t="s">
        <v>194</v>
      </c>
      <c r="G1004" s="7" t="s">
        <v>696</v>
      </c>
      <c r="H1004" s="7">
        <v>5.4</v>
      </c>
      <c r="I1004" s="7" t="s">
        <v>718</v>
      </c>
      <c r="W1004" s="1488"/>
      <c r="X1004" s="1488"/>
      <c r="Y1004" s="1488"/>
      <c r="Z1004" s="1488"/>
    </row>
    <row r="1005" spans="1:26">
      <c r="A1005" s="7" t="s">
        <v>688</v>
      </c>
      <c r="B1005" s="7" t="s">
        <v>3052</v>
      </c>
      <c r="C1005" s="7">
        <v>4</v>
      </c>
      <c r="D1005" s="7" t="s">
        <v>449</v>
      </c>
      <c r="E1005" s="7" t="s">
        <v>1355</v>
      </c>
      <c r="F1005" s="7" t="s">
        <v>194</v>
      </c>
      <c r="G1005" s="7" t="s">
        <v>2747</v>
      </c>
      <c r="H1005" s="7">
        <v>5.4</v>
      </c>
      <c r="I1005" s="7" t="s">
        <v>718</v>
      </c>
      <c r="W1005" s="1488"/>
      <c r="X1005" s="1488"/>
      <c r="Y1005" s="1488"/>
      <c r="Z1005" s="1488"/>
    </row>
    <row r="1006" spans="1:26">
      <c r="A1006" s="7" t="s">
        <v>688</v>
      </c>
      <c r="B1006" s="7" t="s">
        <v>3052</v>
      </c>
      <c r="C1006" s="7">
        <v>4</v>
      </c>
      <c r="D1006" s="7" t="s">
        <v>449</v>
      </c>
      <c r="E1006" s="7" t="s">
        <v>1355</v>
      </c>
      <c r="F1006" s="7" t="s">
        <v>194</v>
      </c>
      <c r="G1006" s="7" t="s">
        <v>2748</v>
      </c>
      <c r="H1006" s="7">
        <v>5.4</v>
      </c>
      <c r="I1006" s="7" t="s">
        <v>718</v>
      </c>
      <c r="W1006" s="1488"/>
      <c r="X1006" s="1488"/>
      <c r="Y1006" s="1488"/>
      <c r="Z1006" s="1488"/>
    </row>
    <row r="1007" spans="1:26">
      <c r="A1007" s="7" t="s">
        <v>688</v>
      </c>
      <c r="B1007" s="7" t="s">
        <v>3052</v>
      </c>
      <c r="C1007" s="7">
        <v>4</v>
      </c>
      <c r="D1007" s="7" t="s">
        <v>449</v>
      </c>
      <c r="E1007" s="7" t="s">
        <v>1355</v>
      </c>
      <c r="F1007" s="7" t="s">
        <v>194</v>
      </c>
      <c r="G1007" s="7" t="s">
        <v>2749</v>
      </c>
      <c r="H1007" s="7">
        <v>5.4</v>
      </c>
      <c r="I1007" s="7" t="s">
        <v>718</v>
      </c>
      <c r="W1007" s="1488"/>
      <c r="X1007" s="1488"/>
      <c r="Y1007" s="1488"/>
      <c r="Z1007" s="1488"/>
    </row>
    <row r="1008" spans="1:26">
      <c r="A1008" s="7" t="s">
        <v>688</v>
      </c>
      <c r="B1008" s="7" t="s">
        <v>3052</v>
      </c>
      <c r="C1008" s="7">
        <v>4</v>
      </c>
      <c r="D1008" s="7" t="s">
        <v>449</v>
      </c>
      <c r="E1008" s="7" t="s">
        <v>1355</v>
      </c>
      <c r="F1008" s="7" t="s">
        <v>194</v>
      </c>
      <c r="G1008" s="7" t="s">
        <v>1209</v>
      </c>
      <c r="H1008" s="7">
        <v>5.4</v>
      </c>
      <c r="I1008" s="7" t="s">
        <v>718</v>
      </c>
      <c r="W1008" s="1488"/>
      <c r="X1008" s="1488"/>
      <c r="Y1008" s="1488"/>
      <c r="Z1008" s="1488"/>
    </row>
    <row r="1009" spans="1:26">
      <c r="A1009" s="7" t="s">
        <v>688</v>
      </c>
      <c r="B1009" s="7" t="s">
        <v>3052</v>
      </c>
      <c r="C1009" s="7">
        <v>4</v>
      </c>
      <c r="D1009" s="7" t="s">
        <v>449</v>
      </c>
      <c r="E1009" s="7" t="s">
        <v>1355</v>
      </c>
      <c r="F1009" s="7" t="s">
        <v>194</v>
      </c>
      <c r="G1009" s="7" t="s">
        <v>2750</v>
      </c>
      <c r="H1009" s="7">
        <v>5.4</v>
      </c>
      <c r="I1009" s="7" t="s">
        <v>718</v>
      </c>
      <c r="W1009" s="1488"/>
      <c r="X1009" s="1488"/>
      <c r="Y1009" s="1488"/>
      <c r="Z1009" s="1488"/>
    </row>
    <row r="1010" spans="1:26">
      <c r="A1010" s="7" t="s">
        <v>688</v>
      </c>
      <c r="B1010" s="7" t="s">
        <v>3052</v>
      </c>
      <c r="C1010" s="7">
        <v>4</v>
      </c>
      <c r="D1010" s="7" t="s">
        <v>449</v>
      </c>
      <c r="E1010" s="7" t="s">
        <v>1355</v>
      </c>
      <c r="F1010" s="7" t="s">
        <v>194</v>
      </c>
      <c r="G1010" s="7" t="s">
        <v>1211</v>
      </c>
      <c r="H1010" s="7">
        <v>5.4</v>
      </c>
      <c r="I1010" s="7" t="s">
        <v>718</v>
      </c>
      <c r="W1010" s="1488"/>
      <c r="X1010" s="1488"/>
      <c r="Y1010" s="1488"/>
      <c r="Z1010" s="1488"/>
    </row>
    <row r="1011" spans="1:26">
      <c r="A1011" s="7" t="s">
        <v>688</v>
      </c>
      <c r="B1011" s="7" t="s">
        <v>3052</v>
      </c>
      <c r="C1011" s="7">
        <v>4</v>
      </c>
      <c r="D1011" s="7" t="s">
        <v>449</v>
      </c>
      <c r="E1011" s="7" t="s">
        <v>1355</v>
      </c>
      <c r="F1011" s="7" t="s">
        <v>194</v>
      </c>
      <c r="G1011" s="7" t="s">
        <v>1210</v>
      </c>
      <c r="H1011" s="7">
        <v>5.4</v>
      </c>
      <c r="I1011" s="7" t="s">
        <v>718</v>
      </c>
      <c r="W1011" s="1488"/>
      <c r="X1011" s="1488"/>
      <c r="Y1011" s="1488"/>
      <c r="Z1011" s="1488"/>
    </row>
    <row r="1012" spans="1:26">
      <c r="A1012" s="7" t="s">
        <v>688</v>
      </c>
      <c r="B1012" s="7" t="s">
        <v>3052</v>
      </c>
      <c r="C1012" s="7">
        <v>4</v>
      </c>
      <c r="D1012" s="7" t="s">
        <v>449</v>
      </c>
      <c r="E1012" s="7" t="s">
        <v>1355</v>
      </c>
      <c r="F1012" s="7" t="s">
        <v>194</v>
      </c>
      <c r="G1012" s="7" t="s">
        <v>2751</v>
      </c>
      <c r="H1012" s="7">
        <v>5.4</v>
      </c>
      <c r="I1012" s="7" t="s">
        <v>718</v>
      </c>
      <c r="W1012" s="1488"/>
      <c r="X1012" s="1488"/>
      <c r="Y1012" s="1488"/>
      <c r="Z1012" s="1488"/>
    </row>
    <row r="1013" spans="1:26">
      <c r="A1013" s="7" t="s">
        <v>688</v>
      </c>
      <c r="B1013" s="7" t="s">
        <v>3052</v>
      </c>
      <c r="C1013" s="7">
        <v>4</v>
      </c>
      <c r="D1013" s="7" t="s">
        <v>449</v>
      </c>
      <c r="E1013" s="7" t="s">
        <v>1355</v>
      </c>
      <c r="F1013" s="7" t="s">
        <v>194</v>
      </c>
      <c r="G1013" s="7" t="s">
        <v>2752</v>
      </c>
      <c r="H1013" s="7">
        <v>5.4</v>
      </c>
      <c r="I1013" s="7" t="s">
        <v>718</v>
      </c>
      <c r="W1013" s="1488"/>
      <c r="X1013" s="1488"/>
      <c r="Y1013" s="1488"/>
      <c r="Z1013" s="1488"/>
    </row>
    <row r="1014" spans="1:26">
      <c r="A1014" s="7" t="s">
        <v>688</v>
      </c>
      <c r="B1014" s="7" t="s">
        <v>3052</v>
      </c>
      <c r="C1014" s="7">
        <v>4</v>
      </c>
      <c r="D1014" s="7" t="s">
        <v>449</v>
      </c>
      <c r="E1014" s="7" t="s">
        <v>1355</v>
      </c>
      <c r="F1014" s="7" t="s">
        <v>194</v>
      </c>
      <c r="G1014" s="7" t="s">
        <v>3059</v>
      </c>
      <c r="H1014" s="7">
        <v>5.4</v>
      </c>
      <c r="I1014" s="7" t="s">
        <v>718</v>
      </c>
      <c r="W1014" s="1488"/>
      <c r="X1014" s="1488"/>
      <c r="Y1014" s="1488"/>
      <c r="Z1014" s="1488"/>
    </row>
    <row r="1015" spans="1:26">
      <c r="A1015" s="7" t="s">
        <v>688</v>
      </c>
      <c r="B1015" s="7" t="s">
        <v>3052</v>
      </c>
      <c r="C1015" s="7">
        <v>4</v>
      </c>
      <c r="D1015" s="7" t="s">
        <v>449</v>
      </c>
      <c r="E1015" s="7" t="s">
        <v>1355</v>
      </c>
      <c r="F1015" s="7" t="s">
        <v>194</v>
      </c>
      <c r="G1015" s="7" t="s">
        <v>697</v>
      </c>
      <c r="H1015" s="7">
        <v>5.4</v>
      </c>
      <c r="I1015" s="7" t="s">
        <v>718</v>
      </c>
      <c r="W1015" s="1488"/>
      <c r="X1015" s="1488"/>
      <c r="Y1015" s="1488"/>
      <c r="Z1015" s="1488"/>
    </row>
    <row r="1016" spans="1:26">
      <c r="A1016" s="7" t="s">
        <v>688</v>
      </c>
      <c r="B1016" s="7" t="s">
        <v>3052</v>
      </c>
      <c r="C1016" s="7">
        <v>4</v>
      </c>
      <c r="D1016" s="7" t="s">
        <v>449</v>
      </c>
      <c r="E1016" s="7" t="s">
        <v>1355</v>
      </c>
      <c r="F1016" s="7" t="s">
        <v>194</v>
      </c>
      <c r="G1016" s="7" t="s">
        <v>2753</v>
      </c>
      <c r="H1016" s="7">
        <v>5.4</v>
      </c>
      <c r="I1016" s="7" t="s">
        <v>718</v>
      </c>
      <c r="W1016" s="1488"/>
      <c r="X1016" s="1488"/>
      <c r="Y1016" s="1488"/>
      <c r="Z1016" s="1488"/>
    </row>
    <row r="1017" spans="1:26">
      <c r="A1017" s="7" t="s">
        <v>688</v>
      </c>
      <c r="B1017" s="7" t="s">
        <v>3052</v>
      </c>
      <c r="C1017" s="7">
        <v>4</v>
      </c>
      <c r="D1017" s="7" t="s">
        <v>449</v>
      </c>
      <c r="E1017" s="7" t="s">
        <v>1355</v>
      </c>
      <c r="F1017" s="7" t="s">
        <v>194</v>
      </c>
      <c r="G1017" s="7" t="s">
        <v>1212</v>
      </c>
      <c r="H1017" s="7">
        <v>5.4</v>
      </c>
      <c r="I1017" s="7" t="s">
        <v>718</v>
      </c>
      <c r="W1017" s="1488"/>
      <c r="X1017" s="1488"/>
      <c r="Y1017" s="1488"/>
      <c r="Z1017" s="1488"/>
    </row>
    <row r="1018" spans="1:26">
      <c r="A1018" s="7" t="s">
        <v>688</v>
      </c>
      <c r="B1018" s="7" t="s">
        <v>3052</v>
      </c>
      <c r="C1018" s="7">
        <v>4</v>
      </c>
      <c r="D1018" s="7" t="s">
        <v>449</v>
      </c>
      <c r="E1018" s="7" t="s">
        <v>1355</v>
      </c>
      <c r="F1018" s="7" t="s">
        <v>194</v>
      </c>
      <c r="G1018" s="7" t="s">
        <v>2754</v>
      </c>
      <c r="H1018" s="7">
        <v>5.4</v>
      </c>
      <c r="I1018" s="7" t="s">
        <v>718</v>
      </c>
      <c r="W1018" s="1488"/>
      <c r="X1018" s="1488"/>
      <c r="Y1018" s="1488"/>
      <c r="Z1018" s="1488"/>
    </row>
    <row r="1019" spans="1:26">
      <c r="A1019" s="7" t="s">
        <v>688</v>
      </c>
      <c r="B1019" s="7" t="s">
        <v>3052</v>
      </c>
      <c r="C1019" s="7">
        <v>4</v>
      </c>
      <c r="D1019" s="7" t="s">
        <v>449</v>
      </c>
      <c r="E1019" s="7" t="s">
        <v>1355</v>
      </c>
      <c r="F1019" s="7" t="s">
        <v>194</v>
      </c>
      <c r="G1019" s="7" t="s">
        <v>2755</v>
      </c>
      <c r="H1019" s="7">
        <v>5.4</v>
      </c>
      <c r="I1019" s="7" t="s">
        <v>718</v>
      </c>
      <c r="W1019" s="1488"/>
      <c r="X1019" s="1488"/>
      <c r="Y1019" s="1488"/>
      <c r="Z1019" s="1488"/>
    </row>
    <row r="1020" spans="1:26">
      <c r="A1020" s="7" t="s">
        <v>688</v>
      </c>
      <c r="B1020" s="7" t="s">
        <v>3052</v>
      </c>
      <c r="C1020" s="7">
        <v>4</v>
      </c>
      <c r="D1020" s="7" t="s">
        <v>449</v>
      </c>
      <c r="E1020" s="7" t="s">
        <v>1355</v>
      </c>
      <c r="F1020" s="7" t="s">
        <v>194</v>
      </c>
      <c r="G1020" s="7" t="s">
        <v>2756</v>
      </c>
      <c r="H1020" s="7">
        <v>5.4</v>
      </c>
      <c r="I1020" s="7" t="s">
        <v>718</v>
      </c>
      <c r="W1020" s="1488"/>
      <c r="X1020" s="1488"/>
      <c r="Y1020" s="1488"/>
      <c r="Z1020" s="1488"/>
    </row>
    <row r="1021" spans="1:26">
      <c r="A1021" s="7" t="s">
        <v>688</v>
      </c>
      <c r="B1021" s="7" t="s">
        <v>3052</v>
      </c>
      <c r="C1021" s="7">
        <v>4</v>
      </c>
      <c r="D1021" s="7" t="s">
        <v>449</v>
      </c>
      <c r="E1021" s="7" t="s">
        <v>1355</v>
      </c>
      <c r="F1021" s="7" t="s">
        <v>194</v>
      </c>
      <c r="G1021" s="7" t="s">
        <v>2757</v>
      </c>
      <c r="H1021" s="7">
        <v>5.4</v>
      </c>
      <c r="I1021" s="7" t="s">
        <v>718</v>
      </c>
      <c r="W1021" s="1488"/>
      <c r="X1021" s="1488"/>
      <c r="Y1021" s="1488"/>
      <c r="Z1021" s="1488"/>
    </row>
    <row r="1022" spans="1:26">
      <c r="A1022" s="7" t="s">
        <v>688</v>
      </c>
      <c r="B1022" s="7" t="s">
        <v>3052</v>
      </c>
      <c r="C1022" s="7">
        <v>4</v>
      </c>
      <c r="D1022" s="7" t="s">
        <v>449</v>
      </c>
      <c r="E1022" s="7" t="s">
        <v>1355</v>
      </c>
      <c r="F1022" s="7" t="s">
        <v>194</v>
      </c>
      <c r="G1022" s="7" t="s">
        <v>2758</v>
      </c>
      <c r="H1022" s="7">
        <v>5.4</v>
      </c>
      <c r="I1022" s="7" t="s">
        <v>718</v>
      </c>
      <c r="W1022" s="1488"/>
      <c r="X1022" s="1488"/>
      <c r="Y1022" s="1488"/>
      <c r="Z1022" s="1488"/>
    </row>
    <row r="1023" spans="1:26">
      <c r="A1023" s="7" t="s">
        <v>688</v>
      </c>
      <c r="B1023" s="7" t="s">
        <v>3052</v>
      </c>
      <c r="C1023" s="7">
        <v>4</v>
      </c>
      <c r="D1023" s="7" t="s">
        <v>449</v>
      </c>
      <c r="E1023" s="7" t="s">
        <v>1355</v>
      </c>
      <c r="F1023" s="7" t="s">
        <v>194</v>
      </c>
      <c r="G1023" s="7" t="s">
        <v>2759</v>
      </c>
      <c r="H1023" s="7">
        <v>5.4</v>
      </c>
      <c r="I1023" s="7" t="s">
        <v>718</v>
      </c>
      <c r="W1023" s="1488"/>
      <c r="X1023" s="1488"/>
      <c r="Y1023" s="1488"/>
      <c r="Z1023" s="1488"/>
    </row>
    <row r="1024" spans="1:26">
      <c r="A1024" s="7" t="s">
        <v>688</v>
      </c>
      <c r="B1024" s="7" t="s">
        <v>3052</v>
      </c>
      <c r="C1024" s="7">
        <v>4</v>
      </c>
      <c r="D1024" s="7" t="s">
        <v>449</v>
      </c>
      <c r="E1024" s="7" t="s">
        <v>1355</v>
      </c>
      <c r="F1024" s="7" t="s">
        <v>194</v>
      </c>
      <c r="G1024" s="7" t="s">
        <v>2760</v>
      </c>
      <c r="H1024" s="7">
        <v>5.4</v>
      </c>
      <c r="I1024" s="7" t="s">
        <v>718</v>
      </c>
      <c r="W1024" s="1488"/>
      <c r="X1024" s="1488"/>
      <c r="Y1024" s="1488"/>
      <c r="Z1024" s="1488"/>
    </row>
    <row r="1025" spans="1:26">
      <c r="A1025" s="7" t="s">
        <v>688</v>
      </c>
      <c r="B1025" s="7" t="s">
        <v>3052</v>
      </c>
      <c r="C1025" s="7">
        <v>4</v>
      </c>
      <c r="D1025" s="7" t="s">
        <v>449</v>
      </c>
      <c r="E1025" s="7" t="s">
        <v>1355</v>
      </c>
      <c r="F1025" s="7" t="s">
        <v>194</v>
      </c>
      <c r="G1025" s="7" t="s">
        <v>2761</v>
      </c>
      <c r="H1025" s="7">
        <v>5.4</v>
      </c>
      <c r="I1025" s="7" t="s">
        <v>718</v>
      </c>
      <c r="W1025" s="1488"/>
      <c r="X1025" s="1488"/>
      <c r="Y1025" s="1488"/>
      <c r="Z1025" s="1488"/>
    </row>
    <row r="1026" spans="1:26">
      <c r="A1026" s="7" t="s">
        <v>688</v>
      </c>
      <c r="B1026" s="7" t="s">
        <v>3052</v>
      </c>
      <c r="C1026" s="7">
        <v>4</v>
      </c>
      <c r="D1026" s="7" t="s">
        <v>449</v>
      </c>
      <c r="E1026" s="7" t="s">
        <v>1355</v>
      </c>
      <c r="F1026" s="7" t="s">
        <v>194</v>
      </c>
      <c r="G1026" s="7" t="s">
        <v>2762</v>
      </c>
      <c r="H1026" s="7">
        <v>5.4</v>
      </c>
      <c r="I1026" s="7" t="s">
        <v>718</v>
      </c>
      <c r="W1026" s="1488"/>
      <c r="X1026" s="1488"/>
      <c r="Y1026" s="1488"/>
      <c r="Z1026" s="1488"/>
    </row>
    <row r="1027" spans="1:26">
      <c r="A1027" s="7" t="s">
        <v>688</v>
      </c>
      <c r="B1027" s="7" t="s">
        <v>3052</v>
      </c>
      <c r="C1027" s="7">
        <v>4</v>
      </c>
      <c r="D1027" s="7" t="s">
        <v>449</v>
      </c>
      <c r="E1027" s="7" t="s">
        <v>1355</v>
      </c>
      <c r="F1027" s="7" t="s">
        <v>194</v>
      </c>
      <c r="G1027" s="7" t="s">
        <v>2763</v>
      </c>
      <c r="H1027" s="7">
        <v>5.4</v>
      </c>
      <c r="I1027" s="7" t="s">
        <v>718</v>
      </c>
      <c r="W1027" s="1488"/>
      <c r="X1027" s="1488"/>
      <c r="Y1027" s="1488"/>
      <c r="Z1027" s="1488"/>
    </row>
    <row r="1028" spans="1:26">
      <c r="A1028" s="7" t="s">
        <v>688</v>
      </c>
      <c r="B1028" s="7" t="s">
        <v>3052</v>
      </c>
      <c r="C1028" s="7">
        <v>4</v>
      </c>
      <c r="D1028" s="7" t="s">
        <v>449</v>
      </c>
      <c r="E1028" s="7" t="s">
        <v>1355</v>
      </c>
      <c r="F1028" s="7" t="s">
        <v>194</v>
      </c>
      <c r="G1028" s="7" t="s">
        <v>2764</v>
      </c>
      <c r="H1028" s="7">
        <v>5.4</v>
      </c>
      <c r="I1028" s="7" t="s">
        <v>718</v>
      </c>
      <c r="W1028" s="1488"/>
      <c r="X1028" s="1488"/>
      <c r="Y1028" s="1488"/>
      <c r="Z1028" s="1488"/>
    </row>
    <row r="1029" spans="1:26">
      <c r="A1029" s="7" t="s">
        <v>688</v>
      </c>
      <c r="B1029" s="7" t="s">
        <v>3052</v>
      </c>
      <c r="C1029" s="7">
        <v>4</v>
      </c>
      <c r="D1029" s="7" t="s">
        <v>449</v>
      </c>
      <c r="E1029" s="7" t="s">
        <v>1355</v>
      </c>
      <c r="F1029" s="7" t="s">
        <v>194</v>
      </c>
      <c r="G1029" s="7" t="s">
        <v>699</v>
      </c>
      <c r="H1029" s="7">
        <v>5.4</v>
      </c>
      <c r="I1029" s="7" t="s">
        <v>718</v>
      </c>
      <c r="W1029" s="1488"/>
      <c r="X1029" s="1488"/>
      <c r="Y1029" s="1488"/>
      <c r="Z1029" s="1488"/>
    </row>
    <row r="1030" spans="1:26">
      <c r="A1030" s="7" t="s">
        <v>688</v>
      </c>
      <c r="B1030" s="7" t="s">
        <v>3052</v>
      </c>
      <c r="C1030" s="7">
        <v>4</v>
      </c>
      <c r="D1030" s="7" t="s">
        <v>449</v>
      </c>
      <c r="E1030" s="7" t="s">
        <v>1355</v>
      </c>
      <c r="F1030" s="7" t="s">
        <v>194</v>
      </c>
      <c r="G1030" s="7" t="s">
        <v>2700</v>
      </c>
      <c r="H1030" s="7">
        <v>5.4</v>
      </c>
      <c r="I1030" s="7" t="s">
        <v>718</v>
      </c>
      <c r="W1030" s="1488"/>
      <c r="X1030" s="1488"/>
      <c r="Y1030" s="1488"/>
      <c r="Z1030" s="1488"/>
    </row>
    <row r="1031" spans="1:26">
      <c r="A1031" s="7" t="s">
        <v>688</v>
      </c>
      <c r="B1031" s="7" t="s">
        <v>3052</v>
      </c>
      <c r="C1031" s="7">
        <v>4</v>
      </c>
      <c r="D1031" s="7" t="s">
        <v>449</v>
      </c>
      <c r="E1031" s="7" t="s">
        <v>1900</v>
      </c>
      <c r="F1031" s="7" t="s">
        <v>2804</v>
      </c>
      <c r="G1031" s="7" t="s">
        <v>2700</v>
      </c>
      <c r="H1031" s="7">
        <v>5.8</v>
      </c>
      <c r="I1031" s="7" t="s">
        <v>718</v>
      </c>
      <c r="W1031" s="1488"/>
      <c r="X1031" s="1488"/>
      <c r="Y1031" s="1488"/>
      <c r="Z1031" s="1488"/>
    </row>
    <row r="1032" spans="1:26">
      <c r="A1032" s="7" t="s">
        <v>688</v>
      </c>
      <c r="B1032" s="7" t="s">
        <v>3052</v>
      </c>
      <c r="C1032" s="7">
        <v>4</v>
      </c>
      <c r="D1032" s="7" t="s">
        <v>449</v>
      </c>
      <c r="E1032" s="7" t="s">
        <v>1900</v>
      </c>
      <c r="F1032" s="7" t="s">
        <v>2804</v>
      </c>
      <c r="G1032" s="7" t="s">
        <v>2810</v>
      </c>
      <c r="H1032" s="7">
        <v>5.8</v>
      </c>
      <c r="I1032" s="7" t="s">
        <v>718</v>
      </c>
      <c r="W1032" s="1488"/>
      <c r="X1032" s="1488"/>
      <c r="Y1032" s="1488"/>
      <c r="Z1032" s="1488"/>
    </row>
    <row r="1033" spans="1:26">
      <c r="A1033" s="7" t="s">
        <v>688</v>
      </c>
      <c r="B1033" s="7" t="s">
        <v>3052</v>
      </c>
      <c r="C1033" s="7">
        <v>4</v>
      </c>
      <c r="D1033" s="7" t="s">
        <v>449</v>
      </c>
      <c r="E1033" s="7" t="s">
        <v>1900</v>
      </c>
      <c r="F1033" s="7" t="s">
        <v>2804</v>
      </c>
      <c r="G1033" s="7" t="s">
        <v>2811</v>
      </c>
      <c r="H1033" s="7">
        <v>5.8</v>
      </c>
      <c r="I1033" s="7" t="s">
        <v>719</v>
      </c>
      <c r="W1033" s="1488"/>
      <c r="X1033" s="1488"/>
      <c r="Y1033" s="1488"/>
      <c r="Z1033" s="1488"/>
    </row>
    <row r="1034" spans="1:26">
      <c r="A1034" s="7" t="s">
        <v>688</v>
      </c>
      <c r="B1034" s="7" t="s">
        <v>3052</v>
      </c>
      <c r="C1034" s="7">
        <v>4</v>
      </c>
      <c r="D1034" s="7" t="s">
        <v>449</v>
      </c>
      <c r="E1034" s="7" t="s">
        <v>1900</v>
      </c>
      <c r="F1034" s="7" t="s">
        <v>2804</v>
      </c>
      <c r="G1034" s="7" t="s">
        <v>2812</v>
      </c>
      <c r="H1034" s="7">
        <v>5.8</v>
      </c>
      <c r="I1034" s="7" t="s">
        <v>719</v>
      </c>
      <c r="W1034" s="1488"/>
      <c r="X1034" s="1488"/>
      <c r="Y1034" s="1488"/>
      <c r="Z1034" s="1488"/>
    </row>
    <row r="1035" spans="1:26">
      <c r="A1035" s="7" t="s">
        <v>688</v>
      </c>
      <c r="B1035" s="7" t="s">
        <v>3052</v>
      </c>
      <c r="C1035" s="7">
        <v>4</v>
      </c>
      <c r="D1035" s="7" t="s">
        <v>449</v>
      </c>
      <c r="E1035" s="7" t="s">
        <v>1900</v>
      </c>
      <c r="F1035" s="7" t="s">
        <v>1026</v>
      </c>
      <c r="G1035" s="7" t="s">
        <v>2700</v>
      </c>
      <c r="H1035" s="7">
        <v>5.6</v>
      </c>
      <c r="I1035" s="7" t="s">
        <v>718</v>
      </c>
      <c r="W1035" s="1488"/>
      <c r="X1035" s="1488"/>
      <c r="Y1035" s="1488"/>
      <c r="Z1035" s="1488"/>
    </row>
    <row r="1036" spans="1:26">
      <c r="A1036" s="7" t="s">
        <v>688</v>
      </c>
      <c r="B1036" s="7" t="s">
        <v>3052</v>
      </c>
      <c r="C1036" s="7">
        <v>4</v>
      </c>
      <c r="D1036" s="7" t="s">
        <v>449</v>
      </c>
      <c r="E1036" s="7" t="s">
        <v>1900</v>
      </c>
      <c r="F1036" s="7" t="s">
        <v>2741</v>
      </c>
      <c r="G1036" s="7" t="s">
        <v>191</v>
      </c>
      <c r="H1036" s="7">
        <v>6.6</v>
      </c>
      <c r="I1036" s="7" t="s">
        <v>719</v>
      </c>
      <c r="W1036" s="1488"/>
      <c r="X1036" s="1488"/>
      <c r="Y1036" s="1488"/>
      <c r="Z1036" s="1488"/>
    </row>
    <row r="1037" spans="1:26">
      <c r="A1037" s="7" t="s">
        <v>688</v>
      </c>
      <c r="B1037" s="7" t="s">
        <v>3052</v>
      </c>
      <c r="C1037" s="7">
        <v>4</v>
      </c>
      <c r="D1037" s="7" t="s">
        <v>449</v>
      </c>
      <c r="E1037" s="7" t="s">
        <v>1900</v>
      </c>
      <c r="F1037" s="7" t="s">
        <v>2741</v>
      </c>
      <c r="G1037" s="7" t="s">
        <v>2693</v>
      </c>
      <c r="H1037" s="7">
        <v>6.6</v>
      </c>
      <c r="I1037" s="7" t="s">
        <v>719</v>
      </c>
      <c r="W1037" s="1488"/>
      <c r="X1037" s="1488"/>
      <c r="Y1037" s="1488"/>
      <c r="Z1037" s="1488"/>
    </row>
    <row r="1038" spans="1:26">
      <c r="A1038" s="7" t="s">
        <v>688</v>
      </c>
      <c r="B1038" s="7" t="s">
        <v>3052</v>
      </c>
      <c r="C1038" s="7">
        <v>4</v>
      </c>
      <c r="D1038" s="7" t="s">
        <v>449</v>
      </c>
      <c r="E1038" s="7" t="s">
        <v>1900</v>
      </c>
      <c r="F1038" s="7" t="s">
        <v>2741</v>
      </c>
      <c r="G1038" s="7" t="s">
        <v>206</v>
      </c>
      <c r="H1038" s="7">
        <v>6.5</v>
      </c>
      <c r="I1038" s="7" t="s">
        <v>719</v>
      </c>
      <c r="W1038" s="1488"/>
      <c r="X1038" s="1488"/>
      <c r="Y1038" s="1488"/>
      <c r="Z1038" s="1488"/>
    </row>
    <row r="1039" spans="1:26">
      <c r="A1039" s="7" t="s">
        <v>688</v>
      </c>
      <c r="B1039" s="7" t="s">
        <v>3052</v>
      </c>
      <c r="C1039" s="7">
        <v>4</v>
      </c>
      <c r="D1039" s="7" t="s">
        <v>449</v>
      </c>
      <c r="E1039" s="7" t="s">
        <v>1900</v>
      </c>
      <c r="F1039" s="7" t="s">
        <v>2742</v>
      </c>
      <c r="G1039" s="7" t="s">
        <v>191</v>
      </c>
      <c r="H1039" s="7">
        <v>6.6</v>
      </c>
      <c r="I1039" s="7" t="s">
        <v>719</v>
      </c>
      <c r="W1039" s="1488"/>
      <c r="X1039" s="1488"/>
      <c r="Y1039" s="1488"/>
      <c r="Z1039" s="1488"/>
    </row>
    <row r="1040" spans="1:26">
      <c r="A1040" s="7" t="s">
        <v>688</v>
      </c>
      <c r="B1040" s="7" t="s">
        <v>3052</v>
      </c>
      <c r="C1040" s="7">
        <v>4</v>
      </c>
      <c r="D1040" s="7" t="s">
        <v>449</v>
      </c>
      <c r="E1040" s="7" t="s">
        <v>1900</v>
      </c>
      <c r="F1040" s="7" t="s">
        <v>2742</v>
      </c>
      <c r="G1040" s="7" t="s">
        <v>2693</v>
      </c>
      <c r="H1040" s="7">
        <v>6.6</v>
      </c>
      <c r="I1040" s="7" t="s">
        <v>719</v>
      </c>
      <c r="W1040" s="1488"/>
      <c r="X1040" s="1488"/>
      <c r="Y1040" s="1488"/>
      <c r="Z1040" s="1488"/>
    </row>
    <row r="1041" spans="1:26">
      <c r="A1041" s="7" t="s">
        <v>688</v>
      </c>
      <c r="B1041" s="7" t="s">
        <v>3052</v>
      </c>
      <c r="C1041" s="7">
        <v>4</v>
      </c>
      <c r="D1041" s="7" t="s">
        <v>449</v>
      </c>
      <c r="E1041" s="7" t="s">
        <v>1900</v>
      </c>
      <c r="F1041" s="7" t="s">
        <v>2742</v>
      </c>
      <c r="G1041" s="7" t="s">
        <v>206</v>
      </c>
      <c r="H1041" s="7">
        <v>6.5</v>
      </c>
      <c r="I1041" s="7" t="s">
        <v>719</v>
      </c>
      <c r="W1041" s="1488"/>
      <c r="X1041" s="1488"/>
      <c r="Y1041" s="1488"/>
      <c r="Z1041" s="1488"/>
    </row>
    <row r="1042" spans="1:26">
      <c r="A1042" s="7" t="s">
        <v>688</v>
      </c>
      <c r="B1042" s="7" t="s">
        <v>1038</v>
      </c>
      <c r="C1042" s="7">
        <v>1</v>
      </c>
      <c r="D1042" s="7" t="s">
        <v>445</v>
      </c>
      <c r="E1042" s="7" t="s">
        <v>3016</v>
      </c>
      <c r="F1042" s="7" t="s">
        <v>390</v>
      </c>
      <c r="G1042" s="7" t="s">
        <v>2879</v>
      </c>
      <c r="H1042" s="7">
        <v>4.2</v>
      </c>
      <c r="I1042" s="7" t="s">
        <v>718</v>
      </c>
      <c r="W1042" s="1488"/>
      <c r="X1042" s="1488"/>
      <c r="Y1042" s="1488"/>
      <c r="Z1042" s="1488"/>
    </row>
    <row r="1043" spans="1:26">
      <c r="A1043" s="7" t="s">
        <v>688</v>
      </c>
      <c r="B1043" s="7" t="s">
        <v>1038</v>
      </c>
      <c r="C1043" s="7">
        <v>1</v>
      </c>
      <c r="D1043" s="7" t="s">
        <v>445</v>
      </c>
      <c r="E1043" s="7" t="s">
        <v>3016</v>
      </c>
      <c r="F1043" s="7" t="s">
        <v>390</v>
      </c>
      <c r="G1043" s="7" t="s">
        <v>2880</v>
      </c>
      <c r="H1043" s="7">
        <v>4.2</v>
      </c>
      <c r="I1043" s="7" t="s">
        <v>718</v>
      </c>
      <c r="W1043" s="1488"/>
      <c r="X1043" s="1488"/>
      <c r="Y1043" s="1488"/>
      <c r="Z1043" s="1488"/>
    </row>
    <row r="1044" spans="1:26">
      <c r="A1044" s="7" t="s">
        <v>688</v>
      </c>
      <c r="B1044" s="7" t="s">
        <v>1038</v>
      </c>
      <c r="C1044" s="7">
        <v>1</v>
      </c>
      <c r="D1044" s="7" t="s">
        <v>445</v>
      </c>
      <c r="E1044" s="7" t="s">
        <v>3016</v>
      </c>
      <c r="F1044" s="7" t="s">
        <v>390</v>
      </c>
      <c r="G1044" s="7" t="s">
        <v>3017</v>
      </c>
      <c r="H1044" s="7">
        <v>4.2</v>
      </c>
      <c r="I1044" s="7" t="s">
        <v>718</v>
      </c>
      <c r="W1044" s="1488"/>
      <c r="X1044" s="1488"/>
      <c r="Y1044" s="1488"/>
      <c r="Z1044" s="1488"/>
    </row>
    <row r="1045" spans="1:26">
      <c r="A1045" s="7" t="s">
        <v>688</v>
      </c>
      <c r="B1045" s="7" t="s">
        <v>1038</v>
      </c>
      <c r="C1045" s="7">
        <v>1</v>
      </c>
      <c r="D1045" s="7" t="s">
        <v>445</v>
      </c>
      <c r="E1045" s="7" t="s">
        <v>3016</v>
      </c>
      <c r="F1045" s="7" t="s">
        <v>390</v>
      </c>
      <c r="G1045" s="7" t="s">
        <v>3018</v>
      </c>
      <c r="H1045" s="7">
        <v>4.2</v>
      </c>
      <c r="I1045" s="7" t="s">
        <v>718</v>
      </c>
      <c r="W1045" s="1488"/>
      <c r="X1045" s="1488"/>
      <c r="Y1045" s="1488"/>
      <c r="Z1045" s="1488"/>
    </row>
    <row r="1046" spans="1:26">
      <c r="A1046" s="7" t="s">
        <v>688</v>
      </c>
      <c r="B1046" s="7" t="s">
        <v>1038</v>
      </c>
      <c r="C1046" s="7">
        <v>1</v>
      </c>
      <c r="D1046" s="7" t="s">
        <v>445</v>
      </c>
      <c r="E1046" s="7" t="s">
        <v>3016</v>
      </c>
      <c r="F1046" s="7" t="s">
        <v>391</v>
      </c>
      <c r="G1046" s="7" t="s">
        <v>3019</v>
      </c>
      <c r="H1046" s="7">
        <v>4.2</v>
      </c>
      <c r="I1046" s="7" t="s">
        <v>718</v>
      </c>
      <c r="W1046" s="1488"/>
      <c r="X1046" s="1488"/>
      <c r="Y1046" s="1488"/>
      <c r="Z1046" s="1488"/>
    </row>
    <row r="1047" spans="1:26">
      <c r="A1047" s="7" t="s">
        <v>688</v>
      </c>
      <c r="B1047" s="7" t="s">
        <v>1038</v>
      </c>
      <c r="C1047" s="7">
        <v>1</v>
      </c>
      <c r="D1047" s="7" t="s">
        <v>445</v>
      </c>
      <c r="E1047" s="7" t="s">
        <v>3016</v>
      </c>
      <c r="F1047" s="7" t="s">
        <v>391</v>
      </c>
      <c r="G1047" s="7" t="s">
        <v>3021</v>
      </c>
      <c r="H1047" s="7">
        <v>4.2</v>
      </c>
      <c r="I1047" s="7" t="s">
        <v>718</v>
      </c>
      <c r="W1047" s="1488"/>
      <c r="X1047" s="1488"/>
      <c r="Y1047" s="1488"/>
      <c r="Z1047" s="1488"/>
    </row>
    <row r="1048" spans="1:26">
      <c r="A1048" s="7" t="s">
        <v>688</v>
      </c>
      <c r="B1048" s="7" t="s">
        <v>1038</v>
      </c>
      <c r="C1048" s="7">
        <v>1</v>
      </c>
      <c r="D1048" s="7" t="s">
        <v>445</v>
      </c>
      <c r="E1048" s="7" t="s">
        <v>3016</v>
      </c>
      <c r="F1048" s="7" t="s">
        <v>391</v>
      </c>
      <c r="G1048" s="7" t="s">
        <v>3020</v>
      </c>
      <c r="H1048" s="7">
        <v>4.2</v>
      </c>
      <c r="I1048" s="7" t="s">
        <v>718</v>
      </c>
      <c r="W1048" s="1488"/>
      <c r="X1048" s="1488"/>
      <c r="Y1048" s="1488"/>
      <c r="Z1048" s="1488"/>
    </row>
    <row r="1049" spans="1:26">
      <c r="A1049" s="7" t="s">
        <v>688</v>
      </c>
      <c r="B1049" s="7" t="s">
        <v>1038</v>
      </c>
      <c r="C1049" s="7">
        <v>1</v>
      </c>
      <c r="D1049" s="7" t="s">
        <v>445</v>
      </c>
      <c r="E1049" s="7" t="s">
        <v>3016</v>
      </c>
      <c r="F1049" s="7" t="s">
        <v>392</v>
      </c>
      <c r="G1049" s="7" t="s">
        <v>3022</v>
      </c>
      <c r="H1049" s="7">
        <v>4.2</v>
      </c>
      <c r="I1049" s="7" t="s">
        <v>718</v>
      </c>
      <c r="W1049" s="1488"/>
      <c r="X1049" s="1488"/>
      <c r="Y1049" s="1488"/>
      <c r="Z1049" s="1488"/>
    </row>
    <row r="1050" spans="1:26">
      <c r="A1050" s="7" t="s">
        <v>688</v>
      </c>
      <c r="B1050" s="7" t="s">
        <v>1038</v>
      </c>
      <c r="C1050" s="7">
        <v>1</v>
      </c>
      <c r="D1050" s="7" t="s">
        <v>445</v>
      </c>
      <c r="E1050" s="7" t="s">
        <v>3016</v>
      </c>
      <c r="F1050" s="7" t="s">
        <v>392</v>
      </c>
      <c r="G1050" s="7" t="s">
        <v>3023</v>
      </c>
      <c r="H1050" s="7">
        <v>4.2</v>
      </c>
      <c r="I1050" s="7" t="s">
        <v>718</v>
      </c>
      <c r="W1050" s="1488"/>
      <c r="X1050" s="1488"/>
      <c r="Y1050" s="1488"/>
      <c r="Z1050" s="1488"/>
    </row>
    <row r="1051" spans="1:26">
      <c r="A1051" s="7" t="s">
        <v>688</v>
      </c>
      <c r="B1051" s="7" t="s">
        <v>1038</v>
      </c>
      <c r="C1051" s="7">
        <v>1</v>
      </c>
      <c r="D1051" s="7" t="s">
        <v>445</v>
      </c>
      <c r="E1051" s="7" t="s">
        <v>3016</v>
      </c>
      <c r="F1051" s="7" t="s">
        <v>280</v>
      </c>
      <c r="G1051" s="7" t="s">
        <v>2879</v>
      </c>
      <c r="H1051" s="7">
        <v>4.2</v>
      </c>
      <c r="I1051" s="7" t="s">
        <v>718</v>
      </c>
      <c r="W1051" s="1488"/>
      <c r="X1051" s="1488"/>
      <c r="Y1051" s="1488"/>
      <c r="Z1051" s="1488"/>
    </row>
    <row r="1052" spans="1:26">
      <c r="A1052" s="7" t="s">
        <v>688</v>
      </c>
      <c r="B1052" s="7" t="s">
        <v>1038</v>
      </c>
      <c r="C1052" s="7">
        <v>1</v>
      </c>
      <c r="D1052" s="7" t="s">
        <v>445</v>
      </c>
      <c r="E1052" s="7" t="s">
        <v>3016</v>
      </c>
      <c r="F1052" s="7" t="s">
        <v>280</v>
      </c>
      <c r="G1052" s="7" t="s">
        <v>2880</v>
      </c>
      <c r="H1052" s="7">
        <v>4.2</v>
      </c>
      <c r="I1052" s="7" t="s">
        <v>718</v>
      </c>
      <c r="W1052" s="1488"/>
      <c r="X1052" s="1488"/>
      <c r="Y1052" s="1488"/>
      <c r="Z1052" s="1488"/>
    </row>
    <row r="1053" spans="1:26">
      <c r="A1053" s="7" t="s">
        <v>688</v>
      </c>
      <c r="B1053" s="7" t="s">
        <v>1038</v>
      </c>
      <c r="C1053" s="7">
        <v>1</v>
      </c>
      <c r="D1053" s="7" t="s">
        <v>445</v>
      </c>
      <c r="E1053" s="7" t="s">
        <v>3016</v>
      </c>
      <c r="F1053" s="7" t="s">
        <v>280</v>
      </c>
      <c r="G1053" s="7" t="s">
        <v>2881</v>
      </c>
      <c r="H1053" s="7">
        <v>4.2</v>
      </c>
      <c r="I1053" s="7" t="s">
        <v>718</v>
      </c>
      <c r="W1053" s="1488"/>
      <c r="X1053" s="1488"/>
      <c r="Y1053" s="1488"/>
      <c r="Z1053" s="1488"/>
    </row>
    <row r="1054" spans="1:26">
      <c r="A1054" s="7" t="s">
        <v>688</v>
      </c>
      <c r="B1054" s="7" t="s">
        <v>1038</v>
      </c>
      <c r="C1054" s="7">
        <v>1</v>
      </c>
      <c r="D1054" s="7" t="s">
        <v>445</v>
      </c>
      <c r="E1054" s="7" t="s">
        <v>3016</v>
      </c>
      <c r="F1054" s="7" t="s">
        <v>280</v>
      </c>
      <c r="G1054" s="7" t="s">
        <v>2882</v>
      </c>
      <c r="H1054" s="7">
        <v>4.2</v>
      </c>
      <c r="I1054" s="7" t="s">
        <v>718</v>
      </c>
      <c r="W1054" s="1488"/>
      <c r="X1054" s="1488"/>
      <c r="Y1054" s="1488"/>
      <c r="Z1054" s="1488"/>
    </row>
    <row r="1055" spans="1:26">
      <c r="A1055" s="7" t="s">
        <v>688</v>
      </c>
      <c r="B1055" s="7" t="s">
        <v>1038</v>
      </c>
      <c r="C1055" s="7">
        <v>1</v>
      </c>
      <c r="D1055" s="7" t="s">
        <v>445</v>
      </c>
      <c r="E1055" s="7" t="s">
        <v>3016</v>
      </c>
      <c r="F1055" s="7" t="s">
        <v>278</v>
      </c>
      <c r="G1055" s="7" t="s">
        <v>3024</v>
      </c>
      <c r="H1055" s="7">
        <v>4.2</v>
      </c>
      <c r="I1055" s="7" t="s">
        <v>718</v>
      </c>
      <c r="W1055" s="1488"/>
      <c r="X1055" s="1488"/>
      <c r="Y1055" s="1488"/>
      <c r="Z1055" s="1488"/>
    </row>
    <row r="1056" spans="1:26">
      <c r="A1056" s="7" t="s">
        <v>688</v>
      </c>
      <c r="B1056" s="7" t="s">
        <v>1038</v>
      </c>
      <c r="C1056" s="7">
        <v>1</v>
      </c>
      <c r="D1056" s="7" t="s">
        <v>445</v>
      </c>
      <c r="E1056" s="7" t="s">
        <v>3016</v>
      </c>
      <c r="F1056" s="7" t="s">
        <v>278</v>
      </c>
      <c r="G1056" s="7" t="s">
        <v>3025</v>
      </c>
      <c r="H1056" s="7">
        <v>4.2</v>
      </c>
      <c r="I1056" s="7" t="s">
        <v>718</v>
      </c>
      <c r="W1056" s="1488"/>
      <c r="X1056" s="1488"/>
      <c r="Y1056" s="1488"/>
      <c r="Z1056" s="1488"/>
    </row>
    <row r="1057" spans="1:26">
      <c r="A1057" s="7" t="s">
        <v>688</v>
      </c>
      <c r="B1057" s="7" t="s">
        <v>1038</v>
      </c>
      <c r="C1057" s="7">
        <v>1</v>
      </c>
      <c r="D1057" s="7" t="s">
        <v>445</v>
      </c>
      <c r="E1057" s="7" t="s">
        <v>3016</v>
      </c>
      <c r="F1057" s="7" t="s">
        <v>279</v>
      </c>
      <c r="G1057" s="7" t="s">
        <v>2885</v>
      </c>
      <c r="H1057" s="7">
        <v>4.2</v>
      </c>
      <c r="I1057" s="7" t="s">
        <v>718</v>
      </c>
      <c r="W1057" s="1488"/>
      <c r="X1057" s="1488"/>
      <c r="Y1057" s="1488"/>
      <c r="Z1057" s="1488"/>
    </row>
    <row r="1058" spans="1:26">
      <c r="A1058" s="7" t="s">
        <v>688</v>
      </c>
      <c r="B1058" s="7" t="s">
        <v>1038</v>
      </c>
      <c r="C1058" s="7">
        <v>1</v>
      </c>
      <c r="D1058" s="7" t="s">
        <v>445</v>
      </c>
      <c r="E1058" s="7" t="s">
        <v>3016</v>
      </c>
      <c r="F1058" s="7" t="s">
        <v>279</v>
      </c>
      <c r="G1058" s="7" t="s">
        <v>2886</v>
      </c>
      <c r="H1058" s="7">
        <v>4.2</v>
      </c>
      <c r="I1058" s="7" t="s">
        <v>718</v>
      </c>
      <c r="W1058" s="1488"/>
      <c r="X1058" s="1488"/>
      <c r="Y1058" s="1488"/>
      <c r="Z1058" s="1488"/>
    </row>
    <row r="1059" spans="1:26">
      <c r="A1059" s="7" t="s">
        <v>688</v>
      </c>
      <c r="B1059" s="7" t="s">
        <v>1038</v>
      </c>
      <c r="C1059" s="7">
        <v>1</v>
      </c>
      <c r="D1059" s="7" t="s">
        <v>445</v>
      </c>
      <c r="E1059" s="7" t="s">
        <v>3016</v>
      </c>
      <c r="F1059" s="7" t="s">
        <v>279</v>
      </c>
      <c r="G1059" s="7" t="s">
        <v>2887</v>
      </c>
      <c r="H1059" s="7">
        <v>4.2</v>
      </c>
      <c r="I1059" s="7" t="s">
        <v>718</v>
      </c>
      <c r="W1059" s="1488"/>
      <c r="X1059" s="1488"/>
      <c r="Y1059" s="1488"/>
      <c r="Z1059" s="1488"/>
    </row>
    <row r="1060" spans="1:26">
      <c r="A1060" s="7" t="s">
        <v>688</v>
      </c>
      <c r="B1060" s="7" t="s">
        <v>1038</v>
      </c>
      <c r="C1060" s="7">
        <v>1</v>
      </c>
      <c r="D1060" s="7" t="s">
        <v>445</v>
      </c>
      <c r="E1060" s="7" t="s">
        <v>3016</v>
      </c>
      <c r="F1060" s="7" t="s">
        <v>279</v>
      </c>
      <c r="G1060" s="7" t="s">
        <v>2888</v>
      </c>
      <c r="H1060" s="7">
        <v>4.2</v>
      </c>
      <c r="I1060" s="7" t="s">
        <v>718</v>
      </c>
      <c r="W1060" s="1488"/>
      <c r="X1060" s="1488"/>
      <c r="Y1060" s="1488"/>
      <c r="Z1060" s="1488"/>
    </row>
    <row r="1061" spans="1:26">
      <c r="A1061" s="7" t="s">
        <v>688</v>
      </c>
      <c r="B1061" s="7" t="s">
        <v>1038</v>
      </c>
      <c r="C1061" s="7">
        <v>1</v>
      </c>
      <c r="D1061" s="7" t="s">
        <v>445</v>
      </c>
      <c r="E1061" s="7" t="s">
        <v>3016</v>
      </c>
      <c r="F1061" s="7" t="s">
        <v>279</v>
      </c>
      <c r="G1061" s="7" t="s">
        <v>2889</v>
      </c>
      <c r="H1061" s="7">
        <v>4.2</v>
      </c>
      <c r="I1061" s="7" t="s">
        <v>718</v>
      </c>
      <c r="W1061" s="1488"/>
      <c r="X1061" s="1488"/>
      <c r="Y1061" s="1488"/>
      <c r="Z1061" s="1488"/>
    </row>
    <row r="1062" spans="1:26">
      <c r="A1062" s="7" t="s">
        <v>688</v>
      </c>
      <c r="B1062" s="7" t="s">
        <v>1038</v>
      </c>
      <c r="C1062" s="7">
        <v>1</v>
      </c>
      <c r="D1062" s="7" t="s">
        <v>445</v>
      </c>
      <c r="E1062" s="7" t="s">
        <v>3016</v>
      </c>
      <c r="F1062" s="7" t="s">
        <v>3026</v>
      </c>
      <c r="G1062" s="7" t="s">
        <v>2700</v>
      </c>
      <c r="H1062" s="7">
        <v>4.2</v>
      </c>
      <c r="I1062" s="7" t="s">
        <v>718</v>
      </c>
      <c r="W1062" s="1488"/>
      <c r="X1062" s="1488"/>
      <c r="Y1062" s="1488"/>
      <c r="Z1062" s="1488"/>
    </row>
    <row r="1063" spans="1:26">
      <c r="A1063" s="7" t="s">
        <v>688</v>
      </c>
      <c r="B1063" s="7" t="s">
        <v>1038</v>
      </c>
      <c r="C1063" s="7">
        <v>1</v>
      </c>
      <c r="D1063" s="7" t="s">
        <v>445</v>
      </c>
      <c r="E1063" s="7" t="s">
        <v>3016</v>
      </c>
      <c r="F1063" s="7" t="s">
        <v>286</v>
      </c>
      <c r="G1063" s="7" t="s">
        <v>1043</v>
      </c>
      <c r="H1063" s="7">
        <v>4.2</v>
      </c>
      <c r="I1063" s="7" t="s">
        <v>718</v>
      </c>
      <c r="W1063" s="1488"/>
      <c r="X1063" s="1488"/>
      <c r="Y1063" s="1488"/>
      <c r="Z1063" s="1488"/>
    </row>
    <row r="1064" spans="1:26">
      <c r="A1064" s="7" t="s">
        <v>688</v>
      </c>
      <c r="B1064" s="7" t="s">
        <v>1038</v>
      </c>
      <c r="C1064" s="7">
        <v>1</v>
      </c>
      <c r="D1064" s="7" t="s">
        <v>445</v>
      </c>
      <c r="E1064" s="7" t="s">
        <v>3016</v>
      </c>
      <c r="F1064" s="7" t="s">
        <v>286</v>
      </c>
      <c r="G1064" s="7" t="s">
        <v>3017</v>
      </c>
      <c r="H1064" s="7">
        <v>4.2</v>
      </c>
      <c r="I1064" s="7" t="s">
        <v>718</v>
      </c>
      <c r="W1064" s="1488"/>
      <c r="X1064" s="1488"/>
      <c r="Y1064" s="1488"/>
      <c r="Z1064" s="1488"/>
    </row>
    <row r="1065" spans="1:26">
      <c r="A1065" s="7" t="s">
        <v>688</v>
      </c>
      <c r="B1065" s="7" t="s">
        <v>1038</v>
      </c>
      <c r="C1065" s="7">
        <v>1</v>
      </c>
      <c r="D1065" s="7" t="s">
        <v>445</v>
      </c>
      <c r="E1065" s="7" t="s">
        <v>3016</v>
      </c>
      <c r="F1065" s="7" t="s">
        <v>286</v>
      </c>
      <c r="G1065" s="7" t="s">
        <v>3018</v>
      </c>
      <c r="H1065" s="7">
        <v>4.2</v>
      </c>
      <c r="I1065" s="7" t="s">
        <v>718</v>
      </c>
      <c r="W1065" s="1488"/>
      <c r="X1065" s="1488"/>
      <c r="Y1065" s="1488"/>
      <c r="Z1065" s="1488"/>
    </row>
    <row r="1066" spans="1:26">
      <c r="A1066" s="7" t="s">
        <v>688</v>
      </c>
      <c r="B1066" s="7" t="s">
        <v>1038</v>
      </c>
      <c r="C1066" s="7">
        <v>1</v>
      </c>
      <c r="D1066" s="7" t="s">
        <v>445</v>
      </c>
      <c r="E1066" s="7" t="s">
        <v>3016</v>
      </c>
      <c r="F1066" s="7" t="s">
        <v>286</v>
      </c>
      <c r="G1066" s="7" t="s">
        <v>3027</v>
      </c>
      <c r="H1066" s="7">
        <v>4.2</v>
      </c>
      <c r="I1066" s="7" t="s">
        <v>718</v>
      </c>
      <c r="W1066" s="1488"/>
      <c r="X1066" s="1488"/>
      <c r="Y1066" s="1488"/>
      <c r="Z1066" s="1488"/>
    </row>
    <row r="1067" spans="1:26">
      <c r="A1067" s="7" t="s">
        <v>688</v>
      </c>
      <c r="B1067" s="7" t="s">
        <v>1038</v>
      </c>
      <c r="C1067" s="7">
        <v>1</v>
      </c>
      <c r="D1067" s="7" t="s">
        <v>445</v>
      </c>
      <c r="E1067" s="7" t="s">
        <v>3016</v>
      </c>
      <c r="F1067" s="7" t="s">
        <v>402</v>
      </c>
      <c r="G1067" s="7" t="s">
        <v>1044</v>
      </c>
      <c r="H1067" s="7">
        <v>4.2</v>
      </c>
      <c r="I1067" s="7" t="s">
        <v>718</v>
      </c>
      <c r="W1067" s="1488"/>
      <c r="X1067" s="1488"/>
      <c r="Y1067" s="1488"/>
      <c r="Z1067" s="1488"/>
    </row>
    <row r="1068" spans="1:26">
      <c r="A1068" s="7" t="s">
        <v>688</v>
      </c>
      <c r="B1068" s="7" t="s">
        <v>1038</v>
      </c>
      <c r="C1068" s="7">
        <v>1</v>
      </c>
      <c r="D1068" s="7" t="s">
        <v>445</v>
      </c>
      <c r="E1068" s="7" t="s">
        <v>3016</v>
      </c>
      <c r="F1068" s="7" t="s">
        <v>403</v>
      </c>
      <c r="G1068" s="7" t="s">
        <v>2894</v>
      </c>
      <c r="H1068" s="7">
        <v>4.2</v>
      </c>
      <c r="I1068" s="7" t="s">
        <v>718</v>
      </c>
      <c r="W1068" s="1488"/>
      <c r="X1068" s="1488"/>
      <c r="Y1068" s="1488"/>
      <c r="Z1068" s="1488"/>
    </row>
    <row r="1069" spans="1:26">
      <c r="A1069" s="7" t="s">
        <v>688</v>
      </c>
      <c r="B1069" s="7" t="s">
        <v>1038</v>
      </c>
      <c r="C1069" s="7">
        <v>1</v>
      </c>
      <c r="D1069" s="7" t="s">
        <v>445</v>
      </c>
      <c r="E1069" s="7" t="s">
        <v>3016</v>
      </c>
      <c r="F1069" s="7" t="s">
        <v>403</v>
      </c>
      <c r="G1069" s="7" t="s">
        <v>410</v>
      </c>
      <c r="H1069" s="7">
        <v>4.2</v>
      </c>
      <c r="I1069" s="7" t="s">
        <v>718</v>
      </c>
      <c r="W1069" s="1488"/>
      <c r="X1069" s="1488"/>
      <c r="Y1069" s="1488"/>
      <c r="Z1069" s="1488"/>
    </row>
    <row r="1070" spans="1:26">
      <c r="A1070" s="7" t="s">
        <v>688</v>
      </c>
      <c r="B1070" s="7" t="s">
        <v>1038</v>
      </c>
      <c r="C1070" s="7">
        <v>1</v>
      </c>
      <c r="D1070" s="7" t="s">
        <v>445</v>
      </c>
      <c r="E1070" s="7" t="s">
        <v>3016</v>
      </c>
      <c r="F1070" s="7" t="s">
        <v>403</v>
      </c>
      <c r="G1070" s="7" t="s">
        <v>411</v>
      </c>
      <c r="H1070" s="7">
        <v>4.2</v>
      </c>
      <c r="I1070" s="7" t="s">
        <v>718</v>
      </c>
      <c r="W1070" s="1488"/>
      <c r="X1070" s="1488"/>
      <c r="Y1070" s="1488"/>
      <c r="Z1070" s="1488"/>
    </row>
    <row r="1071" spans="1:26">
      <c r="A1071" s="7" t="s">
        <v>688</v>
      </c>
      <c r="B1071" s="7" t="s">
        <v>1038</v>
      </c>
      <c r="C1071" s="7">
        <v>1</v>
      </c>
      <c r="D1071" s="7" t="s">
        <v>445</v>
      </c>
      <c r="E1071" s="7" t="s">
        <v>3016</v>
      </c>
      <c r="F1071" s="7" t="s">
        <v>403</v>
      </c>
      <c r="G1071" s="7" t="s">
        <v>2881</v>
      </c>
      <c r="H1071" s="7">
        <v>4.2</v>
      </c>
      <c r="I1071" s="7" t="s">
        <v>718</v>
      </c>
      <c r="W1071" s="1488"/>
      <c r="X1071" s="1488"/>
      <c r="Y1071" s="1488"/>
      <c r="Z1071" s="1488"/>
    </row>
    <row r="1072" spans="1:26">
      <c r="A1072" s="7" t="s">
        <v>688</v>
      </c>
      <c r="B1072" s="7" t="s">
        <v>1038</v>
      </c>
      <c r="C1072" s="7">
        <v>1</v>
      </c>
      <c r="D1072" s="7" t="s">
        <v>445</v>
      </c>
      <c r="E1072" s="7" t="s">
        <v>3016</v>
      </c>
      <c r="F1072" s="7" t="s">
        <v>403</v>
      </c>
      <c r="G1072" s="7" t="s">
        <v>1045</v>
      </c>
      <c r="H1072" s="7">
        <v>4.2</v>
      </c>
      <c r="I1072" s="7" t="s">
        <v>718</v>
      </c>
      <c r="W1072" s="1488"/>
      <c r="X1072" s="1488"/>
      <c r="Y1072" s="1488"/>
      <c r="Z1072" s="1488"/>
    </row>
    <row r="1073" spans="1:26">
      <c r="A1073" s="7" t="s">
        <v>688</v>
      </c>
      <c r="B1073" s="7" t="s">
        <v>1038</v>
      </c>
      <c r="C1073" s="7">
        <v>1</v>
      </c>
      <c r="D1073" s="7" t="s">
        <v>445</v>
      </c>
      <c r="E1073" s="7" t="s">
        <v>3016</v>
      </c>
      <c r="F1073" s="7" t="s">
        <v>403</v>
      </c>
      <c r="G1073" s="7" t="s">
        <v>1046</v>
      </c>
      <c r="H1073" s="7">
        <v>4.2</v>
      </c>
      <c r="I1073" s="7" t="s">
        <v>718</v>
      </c>
      <c r="W1073" s="1488"/>
      <c r="X1073" s="1488"/>
      <c r="Y1073" s="1488"/>
      <c r="Z1073" s="1488"/>
    </row>
    <row r="1074" spans="1:26">
      <c r="A1074" s="7" t="s">
        <v>688</v>
      </c>
      <c r="B1074" s="7" t="s">
        <v>1038</v>
      </c>
      <c r="C1074" s="7">
        <v>1</v>
      </c>
      <c r="D1074" s="7" t="s">
        <v>445</v>
      </c>
      <c r="E1074" s="7" t="s">
        <v>3016</v>
      </c>
      <c r="F1074" s="7" t="s">
        <v>1049</v>
      </c>
      <c r="G1074" s="7" t="s">
        <v>2895</v>
      </c>
      <c r="H1074" s="7">
        <v>4.2</v>
      </c>
      <c r="I1074" s="7" t="s">
        <v>718</v>
      </c>
      <c r="W1074" s="1488"/>
      <c r="X1074" s="1488"/>
      <c r="Y1074" s="1488"/>
      <c r="Z1074" s="1488"/>
    </row>
    <row r="1075" spans="1:26">
      <c r="A1075" s="7" t="s">
        <v>688</v>
      </c>
      <c r="B1075" s="7" t="s">
        <v>1038</v>
      </c>
      <c r="C1075" s="7">
        <v>1</v>
      </c>
      <c r="D1075" s="7" t="s">
        <v>445</v>
      </c>
      <c r="E1075" s="7" t="s">
        <v>3016</v>
      </c>
      <c r="F1075" s="7" t="s">
        <v>2896</v>
      </c>
      <c r="G1075" s="7" t="s">
        <v>2897</v>
      </c>
      <c r="H1075" s="7">
        <v>4.2</v>
      </c>
      <c r="I1075" s="7" t="s">
        <v>718</v>
      </c>
      <c r="W1075" s="1488"/>
      <c r="X1075" s="1488"/>
      <c r="Y1075" s="1488"/>
      <c r="Z1075" s="1488"/>
    </row>
    <row r="1076" spans="1:26">
      <c r="A1076" s="7" t="s">
        <v>688</v>
      </c>
      <c r="B1076" s="7" t="s">
        <v>1038</v>
      </c>
      <c r="C1076" s="7">
        <v>1</v>
      </c>
      <c r="D1076" s="7" t="s">
        <v>445</v>
      </c>
      <c r="E1076" s="7" t="s">
        <v>3016</v>
      </c>
      <c r="F1076" s="7" t="s">
        <v>277</v>
      </c>
      <c r="G1076" s="7" t="s">
        <v>1047</v>
      </c>
      <c r="H1076" s="7">
        <v>4.2</v>
      </c>
      <c r="I1076" s="7" t="s">
        <v>718</v>
      </c>
      <c r="W1076" s="1488"/>
      <c r="X1076" s="1488"/>
      <c r="Y1076" s="1488"/>
      <c r="Z1076" s="1488"/>
    </row>
    <row r="1077" spans="1:26">
      <c r="A1077" s="7" t="s">
        <v>688</v>
      </c>
      <c r="B1077" s="7" t="s">
        <v>1038</v>
      </c>
      <c r="C1077" s="7">
        <v>2</v>
      </c>
      <c r="D1077" s="7" t="s">
        <v>446</v>
      </c>
      <c r="E1077" s="7" t="s">
        <v>3028</v>
      </c>
      <c r="F1077" s="7" t="s">
        <v>284</v>
      </c>
      <c r="G1077" s="7" t="s">
        <v>386</v>
      </c>
      <c r="H1077" s="7">
        <v>4.2</v>
      </c>
      <c r="I1077" s="7" t="s">
        <v>718</v>
      </c>
      <c r="W1077" s="1488"/>
      <c r="X1077" s="1488"/>
      <c r="Y1077" s="1488"/>
      <c r="Z1077" s="1488"/>
    </row>
    <row r="1078" spans="1:26">
      <c r="A1078" s="7" t="s">
        <v>688</v>
      </c>
      <c r="B1078" s="7" t="s">
        <v>1038</v>
      </c>
      <c r="C1078" s="7">
        <v>2</v>
      </c>
      <c r="D1078" s="7" t="s">
        <v>446</v>
      </c>
      <c r="E1078" s="7" t="s">
        <v>3028</v>
      </c>
      <c r="F1078" s="7" t="s">
        <v>385</v>
      </c>
      <c r="G1078" s="7" t="s">
        <v>394</v>
      </c>
      <c r="H1078" s="7">
        <v>4.2</v>
      </c>
      <c r="I1078" s="7" t="s">
        <v>718</v>
      </c>
      <c r="W1078" s="1488"/>
      <c r="X1078" s="1488"/>
      <c r="Y1078" s="1488"/>
      <c r="Z1078" s="1488"/>
    </row>
    <row r="1079" spans="1:26">
      <c r="A1079" s="7" t="s">
        <v>688</v>
      </c>
      <c r="B1079" s="7" t="s">
        <v>1038</v>
      </c>
      <c r="C1079" s="7">
        <v>2</v>
      </c>
      <c r="D1079" s="7" t="s">
        <v>446</v>
      </c>
      <c r="E1079" s="7" t="s">
        <v>3028</v>
      </c>
      <c r="F1079" s="7" t="s">
        <v>385</v>
      </c>
      <c r="G1079" s="7" t="s">
        <v>397</v>
      </c>
      <c r="H1079" s="7">
        <v>4.2</v>
      </c>
      <c r="I1079" s="7" t="s">
        <v>718</v>
      </c>
      <c r="W1079" s="1488"/>
      <c r="X1079" s="1488"/>
      <c r="Y1079" s="1488"/>
      <c r="Z1079" s="1488"/>
    </row>
    <row r="1080" spans="1:26">
      <c r="A1080" s="7" t="s">
        <v>688</v>
      </c>
      <c r="B1080" s="7" t="s">
        <v>1038</v>
      </c>
      <c r="C1080" s="7">
        <v>2</v>
      </c>
      <c r="D1080" s="7" t="s">
        <v>446</v>
      </c>
      <c r="E1080" s="7" t="s">
        <v>3028</v>
      </c>
      <c r="F1080" s="7" t="s">
        <v>385</v>
      </c>
      <c r="G1080" s="7" t="s">
        <v>3029</v>
      </c>
      <c r="H1080" s="7">
        <v>4.2</v>
      </c>
      <c r="I1080" s="7" t="s">
        <v>718</v>
      </c>
      <c r="W1080" s="1488"/>
      <c r="X1080" s="1488"/>
      <c r="Y1080" s="1488"/>
      <c r="Z1080" s="1488"/>
    </row>
    <row r="1081" spans="1:26">
      <c r="A1081" s="7" t="s">
        <v>688</v>
      </c>
      <c r="B1081" s="7" t="s">
        <v>1038</v>
      </c>
      <c r="C1081" s="7">
        <v>2</v>
      </c>
      <c r="D1081" s="7" t="s">
        <v>446</v>
      </c>
      <c r="E1081" s="7" t="s">
        <v>3028</v>
      </c>
      <c r="F1081" s="7" t="s">
        <v>385</v>
      </c>
      <c r="G1081" s="7" t="s">
        <v>3030</v>
      </c>
      <c r="H1081" s="7">
        <v>4.2</v>
      </c>
      <c r="I1081" s="7" t="s">
        <v>718</v>
      </c>
      <c r="W1081" s="1488"/>
      <c r="X1081" s="1488"/>
      <c r="Y1081" s="1488"/>
      <c r="Z1081" s="1488"/>
    </row>
    <row r="1082" spans="1:26">
      <c r="A1082" s="7" t="s">
        <v>688</v>
      </c>
      <c r="B1082" s="7" t="s">
        <v>1038</v>
      </c>
      <c r="C1082" s="7">
        <v>2</v>
      </c>
      <c r="D1082" s="7" t="s">
        <v>446</v>
      </c>
      <c r="E1082" s="7" t="s">
        <v>3028</v>
      </c>
      <c r="F1082" s="7" t="s">
        <v>283</v>
      </c>
      <c r="G1082" s="7" t="s">
        <v>1051</v>
      </c>
      <c r="H1082" s="7">
        <v>4.2</v>
      </c>
      <c r="I1082" s="7" t="s">
        <v>718</v>
      </c>
      <c r="W1082" s="1488"/>
      <c r="X1082" s="1488"/>
      <c r="Y1082" s="1488"/>
      <c r="Z1082" s="1488"/>
    </row>
    <row r="1083" spans="1:26">
      <c r="A1083" s="7" t="s">
        <v>688</v>
      </c>
      <c r="B1083" s="7" t="s">
        <v>1038</v>
      </c>
      <c r="C1083" s="7">
        <v>2</v>
      </c>
      <c r="D1083" s="7" t="s">
        <v>446</v>
      </c>
      <c r="E1083" s="7" t="s">
        <v>3028</v>
      </c>
      <c r="F1083" s="7" t="s">
        <v>283</v>
      </c>
      <c r="G1083" s="7" t="s">
        <v>1052</v>
      </c>
      <c r="H1083" s="7">
        <v>4.2</v>
      </c>
      <c r="I1083" s="7" t="s">
        <v>718</v>
      </c>
      <c r="W1083" s="1488"/>
      <c r="X1083" s="1488"/>
      <c r="Y1083" s="1488"/>
      <c r="Z1083" s="1488"/>
    </row>
    <row r="1084" spans="1:26">
      <c r="A1084" s="7" t="s">
        <v>688</v>
      </c>
      <c r="B1084" s="7" t="s">
        <v>1038</v>
      </c>
      <c r="C1084" s="7">
        <v>2</v>
      </c>
      <c r="D1084" s="7" t="s">
        <v>446</v>
      </c>
      <c r="E1084" s="7" t="s">
        <v>3028</v>
      </c>
      <c r="F1084" s="7" t="s">
        <v>283</v>
      </c>
      <c r="G1084" s="7" t="s">
        <v>3031</v>
      </c>
      <c r="H1084" s="7">
        <v>4.2</v>
      </c>
      <c r="I1084" s="7" t="s">
        <v>718</v>
      </c>
      <c r="W1084" s="1488"/>
      <c r="X1084" s="1488"/>
      <c r="Y1084" s="1488"/>
      <c r="Z1084" s="1488"/>
    </row>
    <row r="1085" spans="1:26">
      <c r="A1085" s="7" t="s">
        <v>688</v>
      </c>
      <c r="B1085" s="7" t="s">
        <v>1038</v>
      </c>
      <c r="C1085" s="7">
        <v>2</v>
      </c>
      <c r="D1085" s="7" t="s">
        <v>446</v>
      </c>
      <c r="E1085" s="7" t="s">
        <v>3028</v>
      </c>
      <c r="F1085" s="7" t="s">
        <v>387</v>
      </c>
      <c r="G1085" s="7" t="s">
        <v>379</v>
      </c>
      <c r="H1085" s="7">
        <v>4.2</v>
      </c>
      <c r="I1085" s="7" t="s">
        <v>718</v>
      </c>
      <c r="W1085" s="1488"/>
      <c r="X1085" s="1488"/>
      <c r="Y1085" s="1488"/>
      <c r="Z1085" s="1488"/>
    </row>
    <row r="1086" spans="1:26">
      <c r="A1086" s="7" t="s">
        <v>688</v>
      </c>
      <c r="B1086" s="7" t="s">
        <v>1038</v>
      </c>
      <c r="C1086" s="7">
        <v>2</v>
      </c>
      <c r="D1086" s="7" t="s">
        <v>446</v>
      </c>
      <c r="E1086" s="7" t="s">
        <v>3028</v>
      </c>
      <c r="F1086" s="7" t="s">
        <v>387</v>
      </c>
      <c r="G1086" s="7" t="s">
        <v>3032</v>
      </c>
      <c r="H1086" s="7">
        <v>4.2</v>
      </c>
      <c r="I1086" s="7" t="s">
        <v>718</v>
      </c>
      <c r="W1086" s="1488"/>
      <c r="X1086" s="1488"/>
      <c r="Y1086" s="1488"/>
      <c r="Z1086" s="1488"/>
    </row>
    <row r="1087" spans="1:26">
      <c r="A1087" s="7" t="s">
        <v>688</v>
      </c>
      <c r="B1087" s="7" t="s">
        <v>1038</v>
      </c>
      <c r="C1087" s="7">
        <v>2</v>
      </c>
      <c r="D1087" s="7" t="s">
        <v>446</v>
      </c>
      <c r="E1087" s="7" t="s">
        <v>3028</v>
      </c>
      <c r="F1087" s="7" t="s">
        <v>387</v>
      </c>
      <c r="G1087" s="7" t="s">
        <v>1087</v>
      </c>
      <c r="H1087" s="7">
        <v>4.2</v>
      </c>
      <c r="I1087" s="7" t="s">
        <v>718</v>
      </c>
      <c r="W1087" s="1488"/>
      <c r="X1087" s="1488"/>
      <c r="Y1087" s="1488"/>
      <c r="Z1087" s="1488"/>
    </row>
    <row r="1088" spans="1:26">
      <c r="A1088" s="7" t="s">
        <v>688</v>
      </c>
      <c r="B1088" s="7" t="s">
        <v>1038</v>
      </c>
      <c r="C1088" s="7">
        <v>2</v>
      </c>
      <c r="D1088" s="7" t="s">
        <v>446</v>
      </c>
      <c r="E1088" s="7" t="s">
        <v>3028</v>
      </c>
      <c r="F1088" s="7" t="s">
        <v>388</v>
      </c>
      <c r="G1088" s="7" t="s">
        <v>3034</v>
      </c>
      <c r="H1088" s="7">
        <v>4.2</v>
      </c>
      <c r="I1088" s="7" t="s">
        <v>718</v>
      </c>
      <c r="W1088" s="1488"/>
      <c r="X1088" s="1488"/>
      <c r="Y1088" s="1488"/>
      <c r="Z1088" s="1488"/>
    </row>
    <row r="1089" spans="1:26">
      <c r="A1089" s="7" t="s">
        <v>688</v>
      </c>
      <c r="B1089" s="7" t="s">
        <v>1038</v>
      </c>
      <c r="C1089" s="7">
        <v>2</v>
      </c>
      <c r="D1089" s="7" t="s">
        <v>446</v>
      </c>
      <c r="E1089" s="7" t="s">
        <v>3028</v>
      </c>
      <c r="F1089" s="7" t="s">
        <v>388</v>
      </c>
      <c r="G1089" s="7" t="s">
        <v>3033</v>
      </c>
      <c r="H1089" s="7">
        <v>4.2</v>
      </c>
      <c r="I1089" s="7" t="s">
        <v>718</v>
      </c>
      <c r="W1089" s="1488"/>
      <c r="X1089" s="1488"/>
      <c r="Y1089" s="1488"/>
      <c r="Z1089" s="1488"/>
    </row>
    <row r="1090" spans="1:26">
      <c r="A1090" s="7" t="s">
        <v>688</v>
      </c>
      <c r="B1090" s="7" t="s">
        <v>1038</v>
      </c>
      <c r="C1090" s="7">
        <v>2</v>
      </c>
      <c r="D1090" s="7" t="s">
        <v>446</v>
      </c>
      <c r="E1090" s="7" t="s">
        <v>3028</v>
      </c>
      <c r="F1090" s="7" t="s">
        <v>389</v>
      </c>
      <c r="G1090" s="7" t="s">
        <v>3035</v>
      </c>
      <c r="H1090" s="7">
        <v>4.2</v>
      </c>
      <c r="I1090" s="7" t="s">
        <v>718</v>
      </c>
      <c r="W1090" s="1488"/>
      <c r="X1090" s="1488"/>
      <c r="Y1090" s="1488"/>
      <c r="Z1090" s="1488"/>
    </row>
    <row r="1091" spans="1:26">
      <c r="A1091" s="7" t="s">
        <v>688</v>
      </c>
      <c r="B1091" s="7" t="s">
        <v>1038</v>
      </c>
      <c r="C1091" s="7">
        <v>2</v>
      </c>
      <c r="D1091" s="7" t="s">
        <v>446</v>
      </c>
      <c r="E1091" s="7" t="s">
        <v>3028</v>
      </c>
      <c r="F1091" s="7" t="s">
        <v>390</v>
      </c>
      <c r="G1091" s="7" t="s">
        <v>2879</v>
      </c>
      <c r="H1091" s="7">
        <v>4.2</v>
      </c>
      <c r="I1091" s="7" t="s">
        <v>718</v>
      </c>
      <c r="W1091" s="1488"/>
      <c r="X1091" s="1488"/>
      <c r="Y1091" s="1488"/>
      <c r="Z1091" s="1488"/>
    </row>
    <row r="1092" spans="1:26">
      <c r="A1092" s="7" t="s">
        <v>688</v>
      </c>
      <c r="B1092" s="7" t="s">
        <v>1038</v>
      </c>
      <c r="C1092" s="7">
        <v>2</v>
      </c>
      <c r="D1092" s="7" t="s">
        <v>446</v>
      </c>
      <c r="E1092" s="7" t="s">
        <v>3028</v>
      </c>
      <c r="F1092" s="7" t="s">
        <v>390</v>
      </c>
      <c r="G1092" s="7" t="s">
        <v>2880</v>
      </c>
      <c r="H1092" s="7">
        <v>4.2</v>
      </c>
      <c r="I1092" s="7" t="s">
        <v>718</v>
      </c>
      <c r="W1092" s="1488"/>
      <c r="X1092" s="1488"/>
      <c r="Y1092" s="1488"/>
      <c r="Z1092" s="1488"/>
    </row>
    <row r="1093" spans="1:26">
      <c r="A1093" s="7" t="s">
        <v>688</v>
      </c>
      <c r="B1093" s="7" t="s">
        <v>1038</v>
      </c>
      <c r="C1093" s="7">
        <v>2</v>
      </c>
      <c r="D1093" s="7" t="s">
        <v>446</v>
      </c>
      <c r="E1093" s="7" t="s">
        <v>3028</v>
      </c>
      <c r="F1093" s="7" t="s">
        <v>390</v>
      </c>
      <c r="G1093" s="7" t="s">
        <v>3017</v>
      </c>
      <c r="H1093" s="7">
        <v>4.2</v>
      </c>
      <c r="I1093" s="7" t="s">
        <v>718</v>
      </c>
      <c r="W1093" s="1488"/>
      <c r="X1093" s="1488"/>
      <c r="Y1093" s="1488"/>
      <c r="Z1093" s="1488"/>
    </row>
    <row r="1094" spans="1:26">
      <c r="A1094" s="7" t="s">
        <v>688</v>
      </c>
      <c r="B1094" s="7" t="s">
        <v>1038</v>
      </c>
      <c r="C1094" s="7">
        <v>2</v>
      </c>
      <c r="D1094" s="7" t="s">
        <v>446</v>
      </c>
      <c r="E1094" s="7" t="s">
        <v>3028</v>
      </c>
      <c r="F1094" s="7" t="s">
        <v>390</v>
      </c>
      <c r="G1094" s="7" t="s">
        <v>3018</v>
      </c>
      <c r="H1094" s="7">
        <v>4.2</v>
      </c>
      <c r="I1094" s="7" t="s">
        <v>718</v>
      </c>
      <c r="W1094" s="1488"/>
      <c r="X1094" s="1488"/>
      <c r="Y1094" s="1488"/>
      <c r="Z1094" s="1488"/>
    </row>
    <row r="1095" spans="1:26">
      <c r="A1095" s="7" t="s">
        <v>688</v>
      </c>
      <c r="B1095" s="7" t="s">
        <v>1038</v>
      </c>
      <c r="C1095" s="7">
        <v>2</v>
      </c>
      <c r="D1095" s="7" t="s">
        <v>446</v>
      </c>
      <c r="E1095" s="7" t="s">
        <v>3028</v>
      </c>
      <c r="F1095" s="7" t="s">
        <v>393</v>
      </c>
      <c r="G1095" s="7" t="s">
        <v>3036</v>
      </c>
      <c r="H1095" s="7">
        <v>4.2</v>
      </c>
      <c r="I1095" s="7" t="s">
        <v>718</v>
      </c>
      <c r="W1095" s="1488"/>
      <c r="X1095" s="1488"/>
      <c r="Y1095" s="1488"/>
      <c r="Z1095" s="1488"/>
    </row>
    <row r="1096" spans="1:26">
      <c r="A1096" s="7" t="s">
        <v>688</v>
      </c>
      <c r="B1096" s="7" t="s">
        <v>1038</v>
      </c>
      <c r="C1096" s="7">
        <v>2</v>
      </c>
      <c r="D1096" s="7" t="s">
        <v>446</v>
      </c>
      <c r="E1096" s="7" t="s">
        <v>3028</v>
      </c>
      <c r="F1096" s="7" t="s">
        <v>393</v>
      </c>
      <c r="G1096" s="7" t="s">
        <v>2890</v>
      </c>
      <c r="H1096" s="7">
        <v>4.2</v>
      </c>
      <c r="I1096" s="7" t="s">
        <v>718</v>
      </c>
      <c r="W1096" s="1488"/>
      <c r="X1096" s="1488"/>
      <c r="Y1096" s="1488"/>
      <c r="Z1096" s="1488"/>
    </row>
    <row r="1097" spans="1:26">
      <c r="A1097" s="7" t="s">
        <v>688</v>
      </c>
      <c r="B1097" s="7" t="s">
        <v>1038</v>
      </c>
      <c r="C1097" s="7">
        <v>2</v>
      </c>
      <c r="D1097" s="7" t="s">
        <v>446</v>
      </c>
      <c r="E1097" s="7" t="s">
        <v>3028</v>
      </c>
      <c r="F1097" s="7" t="s">
        <v>395</v>
      </c>
      <c r="G1097" s="7" t="s">
        <v>406</v>
      </c>
      <c r="H1097" s="7">
        <v>4.2</v>
      </c>
      <c r="I1097" s="7" t="s">
        <v>718</v>
      </c>
      <c r="W1097" s="1488"/>
      <c r="X1097" s="1488"/>
      <c r="Y1097" s="1488"/>
      <c r="Z1097" s="1488"/>
    </row>
    <row r="1098" spans="1:26">
      <c r="A1098" s="7" t="s">
        <v>688</v>
      </c>
      <c r="B1098" s="7" t="s">
        <v>1038</v>
      </c>
      <c r="C1098" s="7">
        <v>2</v>
      </c>
      <c r="D1098" s="7" t="s">
        <v>446</v>
      </c>
      <c r="E1098" s="7" t="s">
        <v>3028</v>
      </c>
      <c r="F1098" s="7" t="s">
        <v>280</v>
      </c>
      <c r="G1098" s="7" t="s">
        <v>2879</v>
      </c>
      <c r="H1098" s="7">
        <v>4.2</v>
      </c>
      <c r="I1098" s="7" t="s">
        <v>718</v>
      </c>
      <c r="W1098" s="1488"/>
      <c r="X1098" s="1488"/>
      <c r="Y1098" s="1488"/>
      <c r="Z1098" s="1488"/>
    </row>
    <row r="1099" spans="1:26">
      <c r="A1099" s="7" t="s">
        <v>688</v>
      </c>
      <c r="B1099" s="7" t="s">
        <v>1038</v>
      </c>
      <c r="C1099" s="7">
        <v>2</v>
      </c>
      <c r="D1099" s="7" t="s">
        <v>446</v>
      </c>
      <c r="E1099" s="7" t="s">
        <v>3028</v>
      </c>
      <c r="F1099" s="7" t="s">
        <v>280</v>
      </c>
      <c r="G1099" s="7" t="s">
        <v>2880</v>
      </c>
      <c r="H1099" s="7">
        <v>4.2</v>
      </c>
      <c r="I1099" s="7" t="s">
        <v>718</v>
      </c>
      <c r="W1099" s="1488"/>
      <c r="X1099" s="1488"/>
      <c r="Y1099" s="1488"/>
      <c r="Z1099" s="1488"/>
    </row>
    <row r="1100" spans="1:26">
      <c r="A1100" s="7" t="s">
        <v>688</v>
      </c>
      <c r="B1100" s="7" t="s">
        <v>1038</v>
      </c>
      <c r="C1100" s="7">
        <v>2</v>
      </c>
      <c r="D1100" s="7" t="s">
        <v>446</v>
      </c>
      <c r="E1100" s="7" t="s">
        <v>3028</v>
      </c>
      <c r="F1100" s="7" t="s">
        <v>280</v>
      </c>
      <c r="G1100" s="7" t="s">
        <v>2881</v>
      </c>
      <c r="H1100" s="7">
        <v>4.2</v>
      </c>
      <c r="I1100" s="7" t="s">
        <v>718</v>
      </c>
      <c r="W1100" s="1488"/>
      <c r="X1100" s="1488"/>
      <c r="Y1100" s="1488"/>
      <c r="Z1100" s="1488"/>
    </row>
    <row r="1101" spans="1:26">
      <c r="A1101" s="7" t="s">
        <v>688</v>
      </c>
      <c r="B1101" s="7" t="s">
        <v>1038</v>
      </c>
      <c r="C1101" s="7">
        <v>2</v>
      </c>
      <c r="D1101" s="7" t="s">
        <v>446</v>
      </c>
      <c r="E1101" s="7" t="s">
        <v>3028</v>
      </c>
      <c r="F1101" s="7" t="s">
        <v>280</v>
      </c>
      <c r="G1101" s="7" t="s">
        <v>2882</v>
      </c>
      <c r="H1101" s="7">
        <v>4.2</v>
      </c>
      <c r="I1101" s="7" t="s">
        <v>718</v>
      </c>
      <c r="W1101" s="1488"/>
      <c r="X1101" s="1488"/>
      <c r="Y1101" s="1488"/>
      <c r="Z1101" s="1488"/>
    </row>
    <row r="1102" spans="1:26">
      <c r="A1102" s="7" t="s">
        <v>688</v>
      </c>
      <c r="B1102" s="7" t="s">
        <v>1038</v>
      </c>
      <c r="C1102" s="7">
        <v>2</v>
      </c>
      <c r="D1102" s="7" t="s">
        <v>446</v>
      </c>
      <c r="E1102" s="7" t="s">
        <v>3028</v>
      </c>
      <c r="F1102" s="7" t="s">
        <v>396</v>
      </c>
      <c r="G1102" s="7" t="s">
        <v>2880</v>
      </c>
      <c r="H1102" s="7">
        <v>4.2</v>
      </c>
      <c r="I1102" s="7" t="s">
        <v>718</v>
      </c>
      <c r="W1102" s="1488"/>
      <c r="X1102" s="1488"/>
      <c r="Y1102" s="1488"/>
      <c r="Z1102" s="1488"/>
    </row>
    <row r="1103" spans="1:26">
      <c r="A1103" s="7" t="s">
        <v>688</v>
      </c>
      <c r="B1103" s="7" t="s">
        <v>1038</v>
      </c>
      <c r="C1103" s="7">
        <v>2</v>
      </c>
      <c r="D1103" s="7" t="s">
        <v>446</v>
      </c>
      <c r="E1103" s="7" t="s">
        <v>3028</v>
      </c>
      <c r="F1103" s="7" t="s">
        <v>396</v>
      </c>
      <c r="G1103" s="7" t="s">
        <v>2890</v>
      </c>
      <c r="H1103" s="7">
        <v>4.2</v>
      </c>
      <c r="I1103" s="7" t="s">
        <v>718</v>
      </c>
      <c r="W1103" s="1488"/>
      <c r="X1103" s="1488"/>
      <c r="Y1103" s="1488"/>
      <c r="Z1103" s="1488"/>
    </row>
    <row r="1104" spans="1:26">
      <c r="A1104" s="7" t="s">
        <v>688</v>
      </c>
      <c r="B1104" s="7" t="s">
        <v>1038</v>
      </c>
      <c r="C1104" s="7">
        <v>2</v>
      </c>
      <c r="D1104" s="7" t="s">
        <v>446</v>
      </c>
      <c r="E1104" s="7" t="s">
        <v>3028</v>
      </c>
      <c r="F1104" s="7" t="s">
        <v>396</v>
      </c>
      <c r="G1104" s="7" t="s">
        <v>2891</v>
      </c>
      <c r="H1104" s="7">
        <v>4.2</v>
      </c>
      <c r="I1104" s="7" t="s">
        <v>718</v>
      </c>
      <c r="W1104" s="1488"/>
      <c r="X1104" s="1488"/>
      <c r="Y1104" s="1488"/>
      <c r="Z1104" s="1488"/>
    </row>
    <row r="1105" spans="1:26">
      <c r="A1105" s="7" t="s">
        <v>688</v>
      </c>
      <c r="B1105" s="7" t="s">
        <v>1038</v>
      </c>
      <c r="C1105" s="7">
        <v>2</v>
      </c>
      <c r="D1105" s="7" t="s">
        <v>446</v>
      </c>
      <c r="E1105" s="7" t="s">
        <v>3028</v>
      </c>
      <c r="F1105" s="7" t="s">
        <v>396</v>
      </c>
      <c r="G1105" s="7" t="s">
        <v>2892</v>
      </c>
      <c r="H1105" s="7">
        <v>4.2</v>
      </c>
      <c r="I1105" s="7" t="s">
        <v>718</v>
      </c>
      <c r="W1105" s="1488"/>
      <c r="X1105" s="1488"/>
      <c r="Y1105" s="1488"/>
      <c r="Z1105" s="1488"/>
    </row>
    <row r="1106" spans="1:26">
      <c r="A1106" s="7" t="s">
        <v>688</v>
      </c>
      <c r="B1106" s="7" t="s">
        <v>1038</v>
      </c>
      <c r="C1106" s="7">
        <v>2</v>
      </c>
      <c r="D1106" s="7" t="s">
        <v>446</v>
      </c>
      <c r="E1106" s="7" t="s">
        <v>3028</v>
      </c>
      <c r="F1106" s="7" t="s">
        <v>285</v>
      </c>
      <c r="G1106" s="7" t="s">
        <v>3037</v>
      </c>
      <c r="H1106" s="7">
        <v>4.2</v>
      </c>
      <c r="I1106" s="7" t="s">
        <v>718</v>
      </c>
      <c r="W1106" s="1488"/>
      <c r="X1106" s="1488"/>
      <c r="Y1106" s="1488"/>
      <c r="Z1106" s="1488"/>
    </row>
    <row r="1107" spans="1:26">
      <c r="A1107" s="7" t="s">
        <v>688</v>
      </c>
      <c r="B1107" s="7" t="s">
        <v>1038</v>
      </c>
      <c r="C1107" s="7">
        <v>2</v>
      </c>
      <c r="D1107" s="7" t="s">
        <v>446</v>
      </c>
      <c r="E1107" s="7" t="s">
        <v>3028</v>
      </c>
      <c r="F1107" s="7" t="s">
        <v>398</v>
      </c>
      <c r="G1107" s="7" t="s">
        <v>407</v>
      </c>
      <c r="H1107" s="7">
        <v>4.2</v>
      </c>
      <c r="I1107" s="7" t="s">
        <v>718</v>
      </c>
      <c r="W1107" s="1488"/>
      <c r="X1107" s="1488"/>
      <c r="Y1107" s="1488"/>
      <c r="Z1107" s="1488"/>
    </row>
    <row r="1108" spans="1:26">
      <c r="A1108" s="7" t="s">
        <v>688</v>
      </c>
      <c r="B1108" s="7" t="s">
        <v>1038</v>
      </c>
      <c r="C1108" s="7">
        <v>2</v>
      </c>
      <c r="D1108" s="7" t="s">
        <v>446</v>
      </c>
      <c r="E1108" s="7" t="s">
        <v>3028</v>
      </c>
      <c r="F1108" s="7" t="s">
        <v>399</v>
      </c>
      <c r="G1108" s="7" t="s">
        <v>2880</v>
      </c>
      <c r="H1108" s="7">
        <v>4.2</v>
      </c>
      <c r="I1108" s="7" t="s">
        <v>718</v>
      </c>
      <c r="W1108" s="1488"/>
      <c r="X1108" s="1488"/>
      <c r="Y1108" s="1488"/>
      <c r="Z1108" s="1488"/>
    </row>
    <row r="1109" spans="1:26">
      <c r="A1109" s="7" t="s">
        <v>688</v>
      </c>
      <c r="B1109" s="7" t="s">
        <v>1038</v>
      </c>
      <c r="C1109" s="7">
        <v>2</v>
      </c>
      <c r="D1109" s="7" t="s">
        <v>446</v>
      </c>
      <c r="E1109" s="7" t="s">
        <v>3028</v>
      </c>
      <c r="F1109" s="7" t="s">
        <v>399</v>
      </c>
      <c r="G1109" s="7" t="s">
        <v>3017</v>
      </c>
      <c r="H1109" s="7">
        <v>4.2</v>
      </c>
      <c r="I1109" s="7" t="s">
        <v>718</v>
      </c>
      <c r="W1109" s="1488"/>
      <c r="X1109" s="1488"/>
      <c r="Y1109" s="1488"/>
      <c r="Z1109" s="1488"/>
    </row>
    <row r="1110" spans="1:26">
      <c r="A1110" s="7" t="s">
        <v>688</v>
      </c>
      <c r="B1110" s="7" t="s">
        <v>1038</v>
      </c>
      <c r="C1110" s="7">
        <v>2</v>
      </c>
      <c r="D1110" s="7" t="s">
        <v>446</v>
      </c>
      <c r="E1110" s="7" t="s">
        <v>3028</v>
      </c>
      <c r="F1110" s="7" t="s">
        <v>3038</v>
      </c>
      <c r="G1110" s="7" t="s">
        <v>2700</v>
      </c>
      <c r="H1110" s="7">
        <v>4.2</v>
      </c>
      <c r="I1110" s="7" t="s">
        <v>718</v>
      </c>
      <c r="W1110" s="1488"/>
      <c r="X1110" s="1488"/>
      <c r="Y1110" s="1488"/>
      <c r="Z1110" s="1488"/>
    </row>
    <row r="1111" spans="1:26">
      <c r="A1111" s="7" t="s">
        <v>688</v>
      </c>
      <c r="B1111" s="7" t="s">
        <v>1038</v>
      </c>
      <c r="C1111" s="7">
        <v>2</v>
      </c>
      <c r="D1111" s="7" t="s">
        <v>446</v>
      </c>
      <c r="E1111" s="7" t="s">
        <v>3028</v>
      </c>
      <c r="F1111" s="7" t="s">
        <v>3039</v>
      </c>
      <c r="G1111" s="7" t="s">
        <v>408</v>
      </c>
      <c r="H1111" s="7">
        <v>4.2</v>
      </c>
      <c r="I1111" s="7" t="s">
        <v>718</v>
      </c>
      <c r="W1111" s="1488"/>
      <c r="X1111" s="1488"/>
      <c r="Y1111" s="1488"/>
      <c r="Z1111" s="1488"/>
    </row>
    <row r="1112" spans="1:26">
      <c r="A1112" s="7" t="s">
        <v>688</v>
      </c>
      <c r="B1112" s="7" t="s">
        <v>1038</v>
      </c>
      <c r="C1112" s="7">
        <v>2</v>
      </c>
      <c r="D1112" s="7" t="s">
        <v>446</v>
      </c>
      <c r="E1112" s="7" t="s">
        <v>3028</v>
      </c>
      <c r="F1112" s="7" t="s">
        <v>400</v>
      </c>
      <c r="G1112" s="7" t="s">
        <v>409</v>
      </c>
      <c r="H1112" s="7">
        <v>4.2</v>
      </c>
      <c r="I1112" s="7" t="s">
        <v>718</v>
      </c>
      <c r="W1112" s="1488"/>
      <c r="X1112" s="1488"/>
      <c r="Y1112" s="1488"/>
      <c r="Z1112" s="1488"/>
    </row>
    <row r="1113" spans="1:26">
      <c r="A1113" s="7" t="s">
        <v>688</v>
      </c>
      <c r="B1113" s="7" t="s">
        <v>1038</v>
      </c>
      <c r="C1113" s="7">
        <v>2</v>
      </c>
      <c r="D1113" s="7" t="s">
        <v>446</v>
      </c>
      <c r="E1113" s="7" t="s">
        <v>3028</v>
      </c>
      <c r="F1113" s="7" t="s">
        <v>1048</v>
      </c>
      <c r="G1113" s="7" t="s">
        <v>1050</v>
      </c>
      <c r="H1113" s="7">
        <v>4.2</v>
      </c>
      <c r="I1113" s="7" t="s">
        <v>718</v>
      </c>
      <c r="W1113" s="1488"/>
      <c r="X1113" s="1488"/>
      <c r="Y1113" s="1488"/>
      <c r="Z1113" s="1488"/>
    </row>
    <row r="1114" spans="1:26">
      <c r="A1114" s="7" t="s">
        <v>688</v>
      </c>
      <c r="B1114" s="7" t="s">
        <v>1038</v>
      </c>
      <c r="C1114" s="7">
        <v>2</v>
      </c>
      <c r="D1114" s="7" t="s">
        <v>446</v>
      </c>
      <c r="E1114" s="7" t="s">
        <v>3028</v>
      </c>
      <c r="F1114" s="7" t="s">
        <v>401</v>
      </c>
      <c r="G1114" s="7" t="s">
        <v>2890</v>
      </c>
      <c r="H1114" s="7">
        <v>4.2</v>
      </c>
      <c r="I1114" s="7" t="s">
        <v>718</v>
      </c>
      <c r="W1114" s="1488"/>
      <c r="X1114" s="1488"/>
      <c r="Y1114" s="1488"/>
      <c r="Z1114" s="1488"/>
    </row>
    <row r="1115" spans="1:26">
      <c r="A1115" s="7" t="s">
        <v>688</v>
      </c>
      <c r="B1115" s="7" t="s">
        <v>1038</v>
      </c>
      <c r="C1115" s="7">
        <v>2</v>
      </c>
      <c r="D1115" s="7" t="s">
        <v>446</v>
      </c>
      <c r="E1115" s="7" t="s">
        <v>3028</v>
      </c>
      <c r="F1115" s="7" t="s">
        <v>286</v>
      </c>
      <c r="G1115" s="7" t="s">
        <v>1043</v>
      </c>
      <c r="H1115" s="7">
        <v>4.2</v>
      </c>
      <c r="I1115" s="7" t="s">
        <v>718</v>
      </c>
      <c r="W1115" s="1488"/>
      <c r="X1115" s="1488"/>
      <c r="Y1115" s="1488"/>
      <c r="Z1115" s="1488"/>
    </row>
    <row r="1116" spans="1:26">
      <c r="A1116" s="7" t="s">
        <v>688</v>
      </c>
      <c r="B1116" s="7" t="s">
        <v>1038</v>
      </c>
      <c r="C1116" s="7">
        <v>2</v>
      </c>
      <c r="D1116" s="7" t="s">
        <v>446</v>
      </c>
      <c r="E1116" s="7" t="s">
        <v>3028</v>
      </c>
      <c r="F1116" s="7" t="s">
        <v>286</v>
      </c>
      <c r="G1116" s="7" t="s">
        <v>3017</v>
      </c>
      <c r="H1116" s="7">
        <v>4.2</v>
      </c>
      <c r="I1116" s="7" t="s">
        <v>718</v>
      </c>
      <c r="W1116" s="1488"/>
      <c r="X1116" s="1488"/>
      <c r="Y1116" s="1488"/>
      <c r="Z1116" s="1488"/>
    </row>
    <row r="1117" spans="1:26">
      <c r="A1117" s="7" t="s">
        <v>688</v>
      </c>
      <c r="B1117" s="7" t="s">
        <v>1038</v>
      </c>
      <c r="C1117" s="7">
        <v>2</v>
      </c>
      <c r="D1117" s="7" t="s">
        <v>446</v>
      </c>
      <c r="E1117" s="7" t="s">
        <v>3028</v>
      </c>
      <c r="F1117" s="7" t="s">
        <v>286</v>
      </c>
      <c r="G1117" s="7" t="s">
        <v>3018</v>
      </c>
      <c r="H1117" s="7">
        <v>4.2</v>
      </c>
      <c r="I1117" s="7" t="s">
        <v>718</v>
      </c>
      <c r="W1117" s="1488"/>
      <c r="X1117" s="1488"/>
      <c r="Y1117" s="1488"/>
      <c r="Z1117" s="1488"/>
    </row>
    <row r="1118" spans="1:26">
      <c r="A1118" s="7" t="s">
        <v>688</v>
      </c>
      <c r="B1118" s="7" t="s">
        <v>1038</v>
      </c>
      <c r="C1118" s="7">
        <v>2</v>
      </c>
      <c r="D1118" s="7" t="s">
        <v>446</v>
      </c>
      <c r="E1118" s="7" t="s">
        <v>3028</v>
      </c>
      <c r="F1118" s="7" t="s">
        <v>286</v>
      </c>
      <c r="G1118" s="7" t="s">
        <v>3027</v>
      </c>
      <c r="H1118" s="7">
        <v>4.2</v>
      </c>
      <c r="I1118" s="7" t="s">
        <v>718</v>
      </c>
      <c r="W1118" s="1488"/>
      <c r="X1118" s="1488"/>
      <c r="Y1118" s="1488"/>
      <c r="Z1118" s="1488"/>
    </row>
    <row r="1119" spans="1:26">
      <c r="A1119" s="7" t="s">
        <v>688</v>
      </c>
      <c r="B1119" s="7" t="s">
        <v>1038</v>
      </c>
      <c r="C1119" s="7">
        <v>2</v>
      </c>
      <c r="D1119" s="7" t="s">
        <v>446</v>
      </c>
      <c r="E1119" s="7" t="s">
        <v>3028</v>
      </c>
      <c r="F1119" s="7" t="s">
        <v>404</v>
      </c>
      <c r="G1119" s="7" t="s">
        <v>3040</v>
      </c>
      <c r="H1119" s="7">
        <v>4.2</v>
      </c>
      <c r="I1119" s="7" t="s">
        <v>718</v>
      </c>
      <c r="W1119" s="1488"/>
      <c r="X1119" s="1488"/>
      <c r="Y1119" s="1488"/>
      <c r="Z1119" s="1488"/>
    </row>
    <row r="1120" spans="1:26">
      <c r="A1120" s="7" t="s">
        <v>688</v>
      </c>
      <c r="B1120" s="7" t="s">
        <v>1038</v>
      </c>
      <c r="C1120" s="7">
        <v>2</v>
      </c>
      <c r="D1120" s="7" t="s">
        <v>446</v>
      </c>
      <c r="E1120" s="7" t="s">
        <v>3028</v>
      </c>
      <c r="F1120" s="7" t="s">
        <v>803</v>
      </c>
      <c r="G1120" s="7" t="s">
        <v>2700</v>
      </c>
      <c r="H1120" s="7">
        <v>5.7</v>
      </c>
      <c r="I1120" s="7" t="s">
        <v>718</v>
      </c>
      <c r="W1120" s="1488"/>
      <c r="X1120" s="1488"/>
      <c r="Y1120" s="1488"/>
      <c r="Z1120" s="1488"/>
    </row>
    <row r="1121" spans="1:26">
      <c r="A1121" s="7" t="s">
        <v>688</v>
      </c>
      <c r="B1121" s="7" t="s">
        <v>1038</v>
      </c>
      <c r="C1121" s="7">
        <v>2</v>
      </c>
      <c r="D1121" s="7" t="s">
        <v>446</v>
      </c>
      <c r="E1121" s="7" t="s">
        <v>3028</v>
      </c>
      <c r="F1121" s="7" t="s">
        <v>3041</v>
      </c>
      <c r="G1121" s="7" t="s">
        <v>3068</v>
      </c>
      <c r="H1121" s="7">
        <v>5.7</v>
      </c>
      <c r="I1121" s="7" t="s">
        <v>718</v>
      </c>
      <c r="W1121" s="1488"/>
      <c r="X1121" s="1488"/>
      <c r="Y1121" s="1488"/>
      <c r="Z1121" s="1488"/>
    </row>
    <row r="1122" spans="1:26">
      <c r="A1122" s="7" t="s">
        <v>688</v>
      </c>
      <c r="B1122" s="7" t="s">
        <v>1038</v>
      </c>
      <c r="C1122" s="7">
        <v>2</v>
      </c>
      <c r="D1122" s="7" t="s">
        <v>446</v>
      </c>
      <c r="E1122" s="7" t="s">
        <v>3028</v>
      </c>
      <c r="F1122" s="7" t="s">
        <v>3041</v>
      </c>
      <c r="G1122" s="7" t="s">
        <v>3042</v>
      </c>
      <c r="H1122" s="7">
        <v>5.7</v>
      </c>
      <c r="I1122" s="7" t="s">
        <v>718</v>
      </c>
      <c r="W1122" s="1488"/>
      <c r="X1122" s="1488"/>
      <c r="Y1122" s="1488"/>
      <c r="Z1122" s="1488"/>
    </row>
    <row r="1123" spans="1:26">
      <c r="A1123" s="7" t="s">
        <v>688</v>
      </c>
      <c r="B1123" s="7" t="s">
        <v>1038</v>
      </c>
      <c r="C1123" s="7">
        <v>2</v>
      </c>
      <c r="D1123" s="7" t="s">
        <v>446</v>
      </c>
      <c r="E1123" s="7" t="s">
        <v>3028</v>
      </c>
      <c r="F1123" s="7" t="s">
        <v>1249</v>
      </c>
      <c r="G1123" s="7" t="s">
        <v>3033</v>
      </c>
      <c r="H1123" s="7">
        <v>4.2</v>
      </c>
      <c r="I1123" s="7" t="s">
        <v>718</v>
      </c>
      <c r="W1123" s="1488"/>
      <c r="X1123" s="1488"/>
      <c r="Y1123" s="1488"/>
      <c r="Z1123" s="1488"/>
    </row>
    <row r="1124" spans="1:26">
      <c r="A1124" s="7" t="s">
        <v>688</v>
      </c>
      <c r="B1124" s="7" t="s">
        <v>1038</v>
      </c>
      <c r="C1124" s="7">
        <v>2</v>
      </c>
      <c r="D1124" s="7" t="s">
        <v>446</v>
      </c>
      <c r="E1124" s="7" t="s">
        <v>3028</v>
      </c>
      <c r="F1124" s="7" t="s">
        <v>405</v>
      </c>
      <c r="G1124" s="7" t="s">
        <v>415</v>
      </c>
      <c r="H1124" s="7">
        <v>4.7</v>
      </c>
      <c r="I1124" s="7" t="s">
        <v>718</v>
      </c>
      <c r="W1124" s="1488"/>
      <c r="X1124" s="1488"/>
      <c r="Y1124" s="1488"/>
      <c r="Z1124" s="1488"/>
    </row>
    <row r="1125" spans="1:26">
      <c r="A1125" s="7" t="s">
        <v>688</v>
      </c>
      <c r="B1125" s="7" t="s">
        <v>1038</v>
      </c>
      <c r="C1125" s="7">
        <v>3</v>
      </c>
      <c r="D1125" s="7" t="s">
        <v>445</v>
      </c>
      <c r="E1125" s="7" t="s">
        <v>3043</v>
      </c>
      <c r="F1125" s="7" t="s">
        <v>280</v>
      </c>
      <c r="G1125" s="7" t="s">
        <v>2879</v>
      </c>
      <c r="H1125" s="7">
        <v>4.2</v>
      </c>
      <c r="I1125" s="7" t="s">
        <v>718</v>
      </c>
      <c r="W1125" s="1488"/>
      <c r="X1125" s="1488"/>
      <c r="Y1125" s="1488"/>
      <c r="Z1125" s="1488"/>
    </row>
    <row r="1126" spans="1:26">
      <c r="A1126" s="7" t="s">
        <v>688</v>
      </c>
      <c r="B1126" s="7" t="s">
        <v>1038</v>
      </c>
      <c r="C1126" s="7">
        <v>3</v>
      </c>
      <c r="D1126" s="7" t="s">
        <v>445</v>
      </c>
      <c r="E1126" s="7" t="s">
        <v>3043</v>
      </c>
      <c r="F1126" s="7" t="s">
        <v>280</v>
      </c>
      <c r="G1126" s="7" t="s">
        <v>2880</v>
      </c>
      <c r="H1126" s="7">
        <v>4.2</v>
      </c>
      <c r="I1126" s="7" t="s">
        <v>718</v>
      </c>
      <c r="W1126" s="1488"/>
      <c r="X1126" s="1488"/>
      <c r="Y1126" s="1488"/>
      <c r="Z1126" s="1488"/>
    </row>
    <row r="1127" spans="1:26">
      <c r="A1127" s="7" t="s">
        <v>688</v>
      </c>
      <c r="B1127" s="7" t="s">
        <v>1038</v>
      </c>
      <c r="C1127" s="7">
        <v>3</v>
      </c>
      <c r="D1127" s="7" t="s">
        <v>445</v>
      </c>
      <c r="E1127" s="7" t="s">
        <v>3043</v>
      </c>
      <c r="F1127" s="7" t="s">
        <v>280</v>
      </c>
      <c r="G1127" s="7" t="s">
        <v>2881</v>
      </c>
      <c r="H1127" s="7">
        <v>4.2</v>
      </c>
      <c r="I1127" s="7" t="s">
        <v>718</v>
      </c>
      <c r="W1127" s="1488"/>
      <c r="X1127" s="1488"/>
      <c r="Y1127" s="1488"/>
      <c r="Z1127" s="1488"/>
    </row>
    <row r="1128" spans="1:26">
      <c r="A1128" s="7" t="s">
        <v>688</v>
      </c>
      <c r="B1128" s="7" t="s">
        <v>1038</v>
      </c>
      <c r="C1128" s="7">
        <v>3</v>
      </c>
      <c r="D1128" s="7" t="s">
        <v>445</v>
      </c>
      <c r="E1128" s="7" t="s">
        <v>3043</v>
      </c>
      <c r="F1128" s="7" t="s">
        <v>280</v>
      </c>
      <c r="G1128" s="7" t="s">
        <v>2882</v>
      </c>
      <c r="H1128" s="7">
        <v>4.2</v>
      </c>
      <c r="I1128" s="7" t="s">
        <v>718</v>
      </c>
      <c r="W1128" s="1488"/>
      <c r="X1128" s="1488"/>
      <c r="Y1128" s="1488"/>
      <c r="Z1128" s="1488"/>
    </row>
    <row r="1129" spans="1:26">
      <c r="A1129" s="7" t="s">
        <v>688</v>
      </c>
      <c r="B1129" s="7" t="s">
        <v>1038</v>
      </c>
      <c r="C1129" s="7">
        <v>3</v>
      </c>
      <c r="D1129" s="7" t="s">
        <v>445</v>
      </c>
      <c r="E1129" s="7" t="s">
        <v>3043</v>
      </c>
      <c r="F1129" s="7" t="s">
        <v>2883</v>
      </c>
      <c r="G1129" s="7" t="s">
        <v>2884</v>
      </c>
      <c r="H1129" s="7">
        <v>4.2</v>
      </c>
      <c r="I1129" s="7" t="s">
        <v>718</v>
      </c>
      <c r="W1129" s="1488"/>
      <c r="X1129" s="1488"/>
      <c r="Y1129" s="1488"/>
      <c r="Z1129" s="1488"/>
    </row>
    <row r="1130" spans="1:26">
      <c r="A1130" s="7" t="s">
        <v>688</v>
      </c>
      <c r="B1130" s="7" t="s">
        <v>1038</v>
      </c>
      <c r="C1130" s="7">
        <v>3</v>
      </c>
      <c r="D1130" s="7" t="s">
        <v>445</v>
      </c>
      <c r="E1130" s="7" t="s">
        <v>3043</v>
      </c>
      <c r="F1130" s="7" t="s">
        <v>279</v>
      </c>
      <c r="G1130" s="7" t="s">
        <v>2885</v>
      </c>
      <c r="H1130" s="7">
        <v>4.2</v>
      </c>
      <c r="I1130" s="7" t="s">
        <v>718</v>
      </c>
      <c r="W1130" s="1488"/>
      <c r="X1130" s="1488"/>
      <c r="Y1130" s="1488"/>
      <c r="Z1130" s="1488"/>
    </row>
    <row r="1131" spans="1:26">
      <c r="A1131" s="7" t="s">
        <v>688</v>
      </c>
      <c r="B1131" s="7" t="s">
        <v>1038</v>
      </c>
      <c r="C1131" s="7">
        <v>3</v>
      </c>
      <c r="D1131" s="7" t="s">
        <v>445</v>
      </c>
      <c r="E1131" s="7" t="s">
        <v>3043</v>
      </c>
      <c r="F1131" s="7" t="s">
        <v>279</v>
      </c>
      <c r="G1131" s="7" t="s">
        <v>2886</v>
      </c>
      <c r="H1131" s="7">
        <v>4.2</v>
      </c>
      <c r="I1131" s="7" t="s">
        <v>718</v>
      </c>
      <c r="W1131" s="1488"/>
      <c r="X1131" s="1488"/>
      <c r="Y1131" s="1488"/>
      <c r="Z1131" s="1488"/>
    </row>
    <row r="1132" spans="1:26">
      <c r="A1132" s="7" t="s">
        <v>688</v>
      </c>
      <c r="B1132" s="7" t="s">
        <v>1038</v>
      </c>
      <c r="C1132" s="7">
        <v>3</v>
      </c>
      <c r="D1132" s="7" t="s">
        <v>445</v>
      </c>
      <c r="E1132" s="7" t="s">
        <v>3043</v>
      </c>
      <c r="F1132" s="7" t="s">
        <v>279</v>
      </c>
      <c r="G1132" s="7" t="s">
        <v>2887</v>
      </c>
      <c r="H1132" s="7">
        <v>4.2</v>
      </c>
      <c r="I1132" s="7" t="s">
        <v>718</v>
      </c>
      <c r="W1132" s="1488"/>
      <c r="X1132" s="1488"/>
      <c r="Y1132" s="1488"/>
      <c r="Z1132" s="1488"/>
    </row>
    <row r="1133" spans="1:26">
      <c r="A1133" s="7" t="s">
        <v>688</v>
      </c>
      <c r="B1133" s="7" t="s">
        <v>1038</v>
      </c>
      <c r="C1133" s="7">
        <v>3</v>
      </c>
      <c r="D1133" s="7" t="s">
        <v>445</v>
      </c>
      <c r="E1133" s="7" t="s">
        <v>3043</v>
      </c>
      <c r="F1133" s="7" t="s">
        <v>279</v>
      </c>
      <c r="G1133" s="7" t="s">
        <v>2888</v>
      </c>
      <c r="H1133" s="7">
        <v>4.2</v>
      </c>
      <c r="I1133" s="7" t="s">
        <v>718</v>
      </c>
      <c r="W1133" s="1488"/>
      <c r="X1133" s="1488"/>
      <c r="Y1133" s="1488"/>
      <c r="Z1133" s="1488"/>
    </row>
    <row r="1134" spans="1:26">
      <c r="A1134" s="7" t="s">
        <v>688</v>
      </c>
      <c r="B1134" s="7" t="s">
        <v>1038</v>
      </c>
      <c r="C1134" s="7">
        <v>3</v>
      </c>
      <c r="D1134" s="7" t="s">
        <v>445</v>
      </c>
      <c r="E1134" s="7" t="s">
        <v>3043</v>
      </c>
      <c r="F1134" s="7" t="s">
        <v>279</v>
      </c>
      <c r="G1134" s="7" t="s">
        <v>2889</v>
      </c>
      <c r="H1134" s="7">
        <v>4.2</v>
      </c>
      <c r="I1134" s="7" t="s">
        <v>718</v>
      </c>
      <c r="W1134" s="1488"/>
      <c r="X1134" s="1488"/>
      <c r="Y1134" s="1488"/>
      <c r="Z1134" s="1488"/>
    </row>
    <row r="1135" spans="1:26">
      <c r="A1135" s="7" t="s">
        <v>688</v>
      </c>
      <c r="B1135" s="7" t="s">
        <v>1038</v>
      </c>
      <c r="C1135" s="7">
        <v>3</v>
      </c>
      <c r="D1135" s="7" t="s">
        <v>445</v>
      </c>
      <c r="E1135" s="7" t="s">
        <v>3043</v>
      </c>
      <c r="F1135" s="7" t="s">
        <v>396</v>
      </c>
      <c r="G1135" s="7" t="s">
        <v>2880</v>
      </c>
      <c r="H1135" s="7">
        <v>4.2</v>
      </c>
      <c r="I1135" s="7" t="s">
        <v>718</v>
      </c>
      <c r="W1135" s="1488"/>
      <c r="X1135" s="1488"/>
      <c r="Y1135" s="1488"/>
      <c r="Z1135" s="1488"/>
    </row>
    <row r="1136" spans="1:26">
      <c r="A1136" s="7" t="s">
        <v>688</v>
      </c>
      <c r="B1136" s="7" t="s">
        <v>1038</v>
      </c>
      <c r="C1136" s="7">
        <v>3</v>
      </c>
      <c r="D1136" s="7" t="s">
        <v>445</v>
      </c>
      <c r="E1136" s="7" t="s">
        <v>3043</v>
      </c>
      <c r="F1136" s="7" t="s">
        <v>396</v>
      </c>
      <c r="G1136" s="7" t="s">
        <v>2890</v>
      </c>
      <c r="H1136" s="7">
        <v>4.2</v>
      </c>
      <c r="I1136" s="7" t="s">
        <v>718</v>
      </c>
      <c r="W1136" s="1488"/>
      <c r="X1136" s="1488"/>
      <c r="Y1136" s="1488"/>
      <c r="Z1136" s="1488"/>
    </row>
    <row r="1137" spans="1:26">
      <c r="A1137" s="7" t="s">
        <v>688</v>
      </c>
      <c r="B1137" s="7" t="s">
        <v>1038</v>
      </c>
      <c r="C1137" s="7">
        <v>3</v>
      </c>
      <c r="D1137" s="7" t="s">
        <v>445</v>
      </c>
      <c r="E1137" s="7" t="s">
        <v>3043</v>
      </c>
      <c r="F1137" s="7" t="s">
        <v>396</v>
      </c>
      <c r="G1137" s="7" t="s">
        <v>2891</v>
      </c>
      <c r="H1137" s="7">
        <v>4.2</v>
      </c>
      <c r="I1137" s="7" t="s">
        <v>718</v>
      </c>
      <c r="W1137" s="1488"/>
      <c r="X1137" s="1488"/>
      <c r="Y1137" s="1488"/>
      <c r="Z1137" s="1488"/>
    </row>
    <row r="1138" spans="1:26">
      <c r="A1138" s="7" t="s">
        <v>688</v>
      </c>
      <c r="B1138" s="7" t="s">
        <v>1038</v>
      </c>
      <c r="C1138" s="7">
        <v>3</v>
      </c>
      <c r="D1138" s="7" t="s">
        <v>445</v>
      </c>
      <c r="E1138" s="7" t="s">
        <v>3043</v>
      </c>
      <c r="F1138" s="7" t="s">
        <v>396</v>
      </c>
      <c r="G1138" s="7" t="s">
        <v>2892</v>
      </c>
      <c r="H1138" s="7">
        <v>4.2</v>
      </c>
      <c r="I1138" s="7" t="s">
        <v>718</v>
      </c>
      <c r="W1138" s="1488"/>
      <c r="X1138" s="1488"/>
      <c r="Y1138" s="1488"/>
      <c r="Z1138" s="1488"/>
    </row>
    <row r="1139" spans="1:26">
      <c r="A1139" s="7" t="s">
        <v>688</v>
      </c>
      <c r="B1139" s="7" t="s">
        <v>1038</v>
      </c>
      <c r="C1139" s="7">
        <v>3</v>
      </c>
      <c r="D1139" s="7" t="s">
        <v>445</v>
      </c>
      <c r="E1139" s="7" t="s">
        <v>3043</v>
      </c>
      <c r="F1139" s="7" t="s">
        <v>2893</v>
      </c>
      <c r="G1139" s="7" t="s">
        <v>2700</v>
      </c>
      <c r="H1139" s="7">
        <v>4.2</v>
      </c>
      <c r="I1139" s="7" t="s">
        <v>718</v>
      </c>
      <c r="W1139" s="1488"/>
      <c r="X1139" s="1488"/>
      <c r="Y1139" s="1488"/>
      <c r="Z1139" s="1488"/>
    </row>
    <row r="1140" spans="1:26">
      <c r="A1140" s="7" t="s">
        <v>688</v>
      </c>
      <c r="B1140" s="7" t="s">
        <v>1038</v>
      </c>
      <c r="C1140" s="7">
        <v>3</v>
      </c>
      <c r="D1140" s="7" t="s">
        <v>445</v>
      </c>
      <c r="E1140" s="7" t="s">
        <v>3043</v>
      </c>
      <c r="F1140" s="7" t="s">
        <v>402</v>
      </c>
      <c r="G1140" s="7" t="s">
        <v>1044</v>
      </c>
      <c r="H1140" s="7">
        <v>4.2</v>
      </c>
      <c r="I1140" s="7" t="s">
        <v>718</v>
      </c>
      <c r="W1140" s="1488"/>
      <c r="X1140" s="1488"/>
      <c r="Y1140" s="1488"/>
      <c r="Z1140" s="1488"/>
    </row>
    <row r="1141" spans="1:26">
      <c r="A1141" s="7" t="s">
        <v>688</v>
      </c>
      <c r="B1141" s="7" t="s">
        <v>1038</v>
      </c>
      <c r="C1141" s="7">
        <v>3</v>
      </c>
      <c r="D1141" s="7" t="s">
        <v>445</v>
      </c>
      <c r="E1141" s="7" t="s">
        <v>3043</v>
      </c>
      <c r="F1141" s="7" t="s">
        <v>403</v>
      </c>
      <c r="G1141" s="7" t="s">
        <v>2894</v>
      </c>
      <c r="H1141" s="7">
        <v>4.2</v>
      </c>
      <c r="I1141" s="7" t="s">
        <v>718</v>
      </c>
      <c r="W1141" s="1488"/>
      <c r="X1141" s="1488"/>
      <c r="Y1141" s="1488"/>
      <c r="Z1141" s="1488"/>
    </row>
    <row r="1142" spans="1:26">
      <c r="A1142" s="7" t="s">
        <v>688</v>
      </c>
      <c r="B1142" s="7" t="s">
        <v>1038</v>
      </c>
      <c r="C1142" s="7">
        <v>3</v>
      </c>
      <c r="D1142" s="7" t="s">
        <v>445</v>
      </c>
      <c r="E1142" s="7" t="s">
        <v>3043</v>
      </c>
      <c r="F1142" s="7" t="s">
        <v>403</v>
      </c>
      <c r="G1142" s="7" t="s">
        <v>2881</v>
      </c>
      <c r="H1142" s="7">
        <v>4.2</v>
      </c>
      <c r="I1142" s="7" t="s">
        <v>718</v>
      </c>
      <c r="W1142" s="1488"/>
      <c r="X1142" s="1488"/>
      <c r="Y1142" s="1488"/>
      <c r="Z1142" s="1488"/>
    </row>
    <row r="1143" spans="1:26">
      <c r="A1143" s="7" t="s">
        <v>688</v>
      </c>
      <c r="B1143" s="7" t="s">
        <v>1038</v>
      </c>
      <c r="C1143" s="7">
        <v>3</v>
      </c>
      <c r="D1143" s="7" t="s">
        <v>445</v>
      </c>
      <c r="E1143" s="7" t="s">
        <v>3043</v>
      </c>
      <c r="F1143" s="7" t="s">
        <v>1049</v>
      </c>
      <c r="G1143" s="7" t="s">
        <v>2895</v>
      </c>
      <c r="H1143" s="7">
        <v>4.2</v>
      </c>
      <c r="I1143" s="7" t="s">
        <v>718</v>
      </c>
      <c r="W1143" s="1488"/>
      <c r="X1143" s="1488"/>
      <c r="Y1143" s="1488"/>
      <c r="Z1143" s="1488"/>
    </row>
    <row r="1144" spans="1:26">
      <c r="A1144" s="7" t="s">
        <v>688</v>
      </c>
      <c r="B1144" s="7" t="s">
        <v>1038</v>
      </c>
      <c r="C1144" s="7">
        <v>3</v>
      </c>
      <c r="D1144" s="7" t="s">
        <v>445</v>
      </c>
      <c r="E1144" s="7" t="s">
        <v>3043</v>
      </c>
      <c r="F1144" s="7" t="s">
        <v>2896</v>
      </c>
      <c r="G1144" s="7" t="s">
        <v>2897</v>
      </c>
      <c r="H1144" s="7">
        <v>4.2</v>
      </c>
      <c r="I1144" s="7" t="s">
        <v>718</v>
      </c>
      <c r="W1144" s="1488"/>
      <c r="X1144" s="1488"/>
      <c r="Y1144" s="1488"/>
      <c r="Z1144" s="1488"/>
    </row>
    <row r="1145" spans="1:26">
      <c r="A1145" s="7" t="s">
        <v>688</v>
      </c>
      <c r="B1145" s="7" t="s">
        <v>1038</v>
      </c>
      <c r="C1145" s="7">
        <v>4</v>
      </c>
      <c r="D1145" s="7" t="s">
        <v>3044</v>
      </c>
      <c r="E1145" s="7" t="s">
        <v>3045</v>
      </c>
      <c r="F1145" s="7" t="s">
        <v>1055</v>
      </c>
      <c r="G1145" s="7" t="s">
        <v>2840</v>
      </c>
      <c r="H1145" s="7">
        <v>4.7</v>
      </c>
      <c r="I1145" s="7" t="s">
        <v>718</v>
      </c>
      <c r="W1145" s="1488"/>
      <c r="X1145" s="1488"/>
      <c r="Y1145" s="1488"/>
      <c r="Z1145" s="1488"/>
    </row>
    <row r="1146" spans="1:26">
      <c r="A1146" s="7" t="s">
        <v>688</v>
      </c>
      <c r="B1146" s="7" t="s">
        <v>1038</v>
      </c>
      <c r="C1146" s="7">
        <v>4</v>
      </c>
      <c r="D1146" s="7" t="s">
        <v>3044</v>
      </c>
      <c r="E1146" s="7" t="s">
        <v>3045</v>
      </c>
      <c r="F1146" s="7" t="s">
        <v>1055</v>
      </c>
      <c r="G1146" s="7" t="s">
        <v>1123</v>
      </c>
      <c r="H1146" s="7">
        <v>4.7</v>
      </c>
      <c r="I1146" s="7" t="s">
        <v>718</v>
      </c>
      <c r="W1146" s="1488"/>
      <c r="X1146" s="1488"/>
      <c r="Y1146" s="1488"/>
      <c r="Z1146" s="1488"/>
    </row>
    <row r="1147" spans="1:26">
      <c r="A1147" s="7" t="s">
        <v>688</v>
      </c>
      <c r="B1147" s="7" t="s">
        <v>1038</v>
      </c>
      <c r="C1147" s="7">
        <v>4</v>
      </c>
      <c r="D1147" s="7" t="s">
        <v>3044</v>
      </c>
      <c r="E1147" s="7" t="s">
        <v>3045</v>
      </c>
      <c r="F1147" s="7" t="s">
        <v>1442</v>
      </c>
      <c r="G1147" s="7" t="s">
        <v>1346</v>
      </c>
      <c r="H1147" s="7">
        <v>4.7</v>
      </c>
      <c r="I1147" s="7" t="s">
        <v>718</v>
      </c>
      <c r="W1147" s="1488"/>
      <c r="X1147" s="1488"/>
      <c r="Y1147" s="1488"/>
      <c r="Z1147" s="1488"/>
    </row>
    <row r="1148" spans="1:26">
      <c r="A1148" s="7" t="s">
        <v>688</v>
      </c>
      <c r="B1148" s="7" t="s">
        <v>1038</v>
      </c>
      <c r="C1148" s="7">
        <v>4</v>
      </c>
      <c r="D1148" s="7" t="s">
        <v>3044</v>
      </c>
      <c r="E1148" s="7" t="s">
        <v>3045</v>
      </c>
      <c r="F1148" s="7" t="s">
        <v>1056</v>
      </c>
      <c r="G1148" s="7" t="s">
        <v>1124</v>
      </c>
      <c r="H1148" s="7">
        <v>4.7</v>
      </c>
      <c r="I1148" s="7" t="s">
        <v>718</v>
      </c>
      <c r="W1148" s="1488"/>
      <c r="X1148" s="1488"/>
      <c r="Y1148" s="1488"/>
      <c r="Z1148" s="1488"/>
    </row>
    <row r="1149" spans="1:26">
      <c r="A1149" s="7" t="s">
        <v>688</v>
      </c>
      <c r="B1149" s="7" t="s">
        <v>1038</v>
      </c>
      <c r="C1149" s="7">
        <v>4</v>
      </c>
      <c r="D1149" s="7" t="s">
        <v>3044</v>
      </c>
      <c r="E1149" s="7" t="s">
        <v>3045</v>
      </c>
      <c r="F1149" s="7" t="s">
        <v>1056</v>
      </c>
      <c r="G1149" s="7" t="s">
        <v>1125</v>
      </c>
      <c r="H1149" s="7">
        <v>4.7</v>
      </c>
      <c r="I1149" s="7" t="s">
        <v>718</v>
      </c>
      <c r="W1149" s="1488"/>
      <c r="X1149" s="1488"/>
      <c r="Y1149" s="1488"/>
      <c r="Z1149" s="1488"/>
    </row>
    <row r="1150" spans="1:26">
      <c r="A1150" s="7" t="s">
        <v>688</v>
      </c>
      <c r="B1150" s="7" t="s">
        <v>1038</v>
      </c>
      <c r="C1150" s="7">
        <v>4</v>
      </c>
      <c r="D1150" s="7" t="s">
        <v>3044</v>
      </c>
      <c r="E1150" s="7" t="s">
        <v>3045</v>
      </c>
      <c r="F1150" s="7" t="s">
        <v>1056</v>
      </c>
      <c r="G1150" s="7" t="s">
        <v>1126</v>
      </c>
      <c r="H1150" s="7">
        <v>4.7</v>
      </c>
      <c r="I1150" s="7" t="s">
        <v>718</v>
      </c>
      <c r="W1150" s="1488"/>
      <c r="X1150" s="1488"/>
      <c r="Y1150" s="1488"/>
      <c r="Z1150" s="1488"/>
    </row>
    <row r="1151" spans="1:26">
      <c r="A1151" s="7" t="s">
        <v>688</v>
      </c>
      <c r="B1151" s="7" t="s">
        <v>1038</v>
      </c>
      <c r="C1151" s="7">
        <v>4</v>
      </c>
      <c r="D1151" s="7" t="s">
        <v>3044</v>
      </c>
      <c r="E1151" s="7" t="s">
        <v>3045</v>
      </c>
      <c r="F1151" s="7" t="s">
        <v>385</v>
      </c>
      <c r="G1151" s="7" t="s">
        <v>2841</v>
      </c>
      <c r="H1151" s="7">
        <v>4.7</v>
      </c>
      <c r="I1151" s="7" t="s">
        <v>718</v>
      </c>
      <c r="W1151" s="1488"/>
      <c r="X1151" s="1488"/>
      <c r="Y1151" s="1488"/>
      <c r="Z1151" s="1488"/>
    </row>
    <row r="1152" spans="1:26">
      <c r="A1152" s="7" t="s">
        <v>688</v>
      </c>
      <c r="B1152" s="7" t="s">
        <v>1038</v>
      </c>
      <c r="C1152" s="7">
        <v>4</v>
      </c>
      <c r="D1152" s="7" t="s">
        <v>3044</v>
      </c>
      <c r="E1152" s="7" t="s">
        <v>3045</v>
      </c>
      <c r="F1152" s="7" t="s">
        <v>385</v>
      </c>
      <c r="G1152" s="7" t="s">
        <v>2842</v>
      </c>
      <c r="H1152" s="7">
        <v>4.7</v>
      </c>
      <c r="I1152" s="7" t="s">
        <v>718</v>
      </c>
      <c r="W1152" s="1488"/>
      <c r="X1152" s="1488"/>
      <c r="Y1152" s="1488"/>
      <c r="Z1152" s="1488"/>
    </row>
    <row r="1153" spans="1:26">
      <c r="A1153" s="7" t="s">
        <v>688</v>
      </c>
      <c r="B1153" s="7" t="s">
        <v>1038</v>
      </c>
      <c r="C1153" s="7">
        <v>4</v>
      </c>
      <c r="D1153" s="7" t="s">
        <v>3044</v>
      </c>
      <c r="E1153" s="7" t="s">
        <v>3045</v>
      </c>
      <c r="F1153" s="7" t="s">
        <v>2835</v>
      </c>
      <c r="G1153" s="7" t="s">
        <v>1057</v>
      </c>
      <c r="H1153" s="7">
        <v>4.5</v>
      </c>
      <c r="I1153" s="7" t="s">
        <v>718</v>
      </c>
      <c r="W1153" s="1488"/>
      <c r="X1153" s="1488"/>
      <c r="Y1153" s="1488"/>
      <c r="Z1153" s="1488"/>
    </row>
    <row r="1154" spans="1:26">
      <c r="A1154" s="7" t="s">
        <v>688</v>
      </c>
      <c r="B1154" s="7" t="s">
        <v>1038</v>
      </c>
      <c r="C1154" s="7">
        <v>4</v>
      </c>
      <c r="D1154" s="7" t="s">
        <v>3044</v>
      </c>
      <c r="E1154" s="7" t="s">
        <v>3045</v>
      </c>
      <c r="F1154" s="7" t="s">
        <v>1127</v>
      </c>
      <c r="G1154" s="7" t="s">
        <v>1128</v>
      </c>
      <c r="H1154" s="7">
        <v>4.7</v>
      </c>
      <c r="I1154" s="7" t="s">
        <v>718</v>
      </c>
      <c r="W1154" s="1488"/>
      <c r="X1154" s="1488"/>
      <c r="Y1154" s="1488"/>
      <c r="Z1154" s="1488"/>
    </row>
    <row r="1155" spans="1:26">
      <c r="A1155" s="7" t="s">
        <v>688</v>
      </c>
      <c r="B1155" s="7" t="s">
        <v>1038</v>
      </c>
      <c r="C1155" s="7">
        <v>4</v>
      </c>
      <c r="D1155" s="7" t="s">
        <v>3044</v>
      </c>
      <c r="E1155" s="7" t="s">
        <v>3045</v>
      </c>
      <c r="F1155" s="7" t="s">
        <v>1058</v>
      </c>
      <c r="G1155" s="7" t="s">
        <v>1129</v>
      </c>
      <c r="H1155" s="7">
        <v>4.7</v>
      </c>
      <c r="I1155" s="7" t="s">
        <v>718</v>
      </c>
      <c r="W1155" s="1488"/>
      <c r="X1155" s="1488"/>
      <c r="Y1155" s="1488"/>
      <c r="Z1155" s="1488"/>
    </row>
    <row r="1156" spans="1:26">
      <c r="A1156" s="7" t="s">
        <v>688</v>
      </c>
      <c r="B1156" s="7" t="s">
        <v>1038</v>
      </c>
      <c r="C1156" s="7">
        <v>4</v>
      </c>
      <c r="D1156" s="7" t="s">
        <v>3044</v>
      </c>
      <c r="E1156" s="7" t="s">
        <v>3045</v>
      </c>
      <c r="F1156" s="7" t="s">
        <v>1058</v>
      </c>
      <c r="G1156" s="7" t="s">
        <v>1130</v>
      </c>
      <c r="H1156" s="7">
        <v>4.7</v>
      </c>
      <c r="I1156" s="7" t="s">
        <v>718</v>
      </c>
      <c r="W1156" s="1488"/>
      <c r="X1156" s="1488"/>
      <c r="Y1156" s="1488"/>
      <c r="Z1156" s="1488"/>
    </row>
    <row r="1157" spans="1:26">
      <c r="A1157" s="7" t="s">
        <v>688</v>
      </c>
      <c r="B1157" s="7" t="s">
        <v>1038</v>
      </c>
      <c r="C1157" s="7">
        <v>4</v>
      </c>
      <c r="D1157" s="7" t="s">
        <v>3044</v>
      </c>
      <c r="E1157" s="7" t="s">
        <v>3045</v>
      </c>
      <c r="F1157" s="7" t="s">
        <v>1058</v>
      </c>
      <c r="G1157" s="7" t="s">
        <v>1131</v>
      </c>
      <c r="H1157" s="7">
        <v>4.7</v>
      </c>
      <c r="I1157" s="7" t="s">
        <v>718</v>
      </c>
      <c r="W1157" s="1488"/>
      <c r="X1157" s="1488"/>
      <c r="Y1157" s="1488"/>
      <c r="Z1157" s="1488"/>
    </row>
    <row r="1158" spans="1:26">
      <c r="A1158" s="7" t="s">
        <v>688</v>
      </c>
      <c r="B1158" s="7" t="s">
        <v>1038</v>
      </c>
      <c r="C1158" s="7">
        <v>4</v>
      </c>
      <c r="D1158" s="7" t="s">
        <v>3044</v>
      </c>
      <c r="E1158" s="7" t="s">
        <v>3045</v>
      </c>
      <c r="F1158" s="7" t="s">
        <v>1132</v>
      </c>
      <c r="G1158" s="7" t="s">
        <v>1133</v>
      </c>
      <c r="H1158" s="7">
        <v>4.7</v>
      </c>
      <c r="I1158" s="7" t="s">
        <v>718</v>
      </c>
      <c r="W1158" s="1488"/>
      <c r="X1158" s="1488"/>
      <c r="Y1158" s="1488"/>
      <c r="Z1158" s="1488"/>
    </row>
    <row r="1159" spans="1:26">
      <c r="A1159" s="7" t="s">
        <v>688</v>
      </c>
      <c r="B1159" s="7" t="s">
        <v>1038</v>
      </c>
      <c r="C1159" s="7">
        <v>4</v>
      </c>
      <c r="D1159" s="7" t="s">
        <v>3044</v>
      </c>
      <c r="E1159" s="7" t="s">
        <v>3045</v>
      </c>
      <c r="F1159" s="7" t="s">
        <v>2843</v>
      </c>
      <c r="G1159" s="7" t="s">
        <v>2844</v>
      </c>
      <c r="H1159" s="7">
        <v>4.7</v>
      </c>
      <c r="I1159" s="7" t="s">
        <v>718</v>
      </c>
      <c r="W1159" s="1488"/>
      <c r="X1159" s="1488"/>
      <c r="Y1159" s="1488"/>
      <c r="Z1159" s="1488"/>
    </row>
    <row r="1160" spans="1:26">
      <c r="A1160" s="7" t="s">
        <v>688</v>
      </c>
      <c r="B1160" s="7" t="s">
        <v>1038</v>
      </c>
      <c r="C1160" s="7">
        <v>4</v>
      </c>
      <c r="D1160" s="7" t="s">
        <v>3044</v>
      </c>
      <c r="E1160" s="7" t="s">
        <v>3045</v>
      </c>
      <c r="F1160" s="7" t="s">
        <v>1059</v>
      </c>
      <c r="G1160" s="7" t="s">
        <v>1060</v>
      </c>
      <c r="H1160" s="7">
        <v>4.7</v>
      </c>
      <c r="I1160" s="7" t="s">
        <v>718</v>
      </c>
      <c r="W1160" s="1488"/>
      <c r="X1160" s="1488"/>
      <c r="Y1160" s="1488"/>
      <c r="Z1160" s="1488"/>
    </row>
    <row r="1161" spans="1:26">
      <c r="A1161" s="7" t="s">
        <v>688</v>
      </c>
      <c r="B1161" s="7" t="s">
        <v>1038</v>
      </c>
      <c r="C1161" s="7">
        <v>4</v>
      </c>
      <c r="D1161" s="7" t="s">
        <v>3044</v>
      </c>
      <c r="E1161" s="7" t="s">
        <v>3045</v>
      </c>
      <c r="F1161" s="7" t="s">
        <v>1134</v>
      </c>
      <c r="G1161" s="7" t="s">
        <v>1135</v>
      </c>
      <c r="H1161" s="7">
        <v>4.7</v>
      </c>
      <c r="I1161" s="7" t="s">
        <v>718</v>
      </c>
      <c r="W1161" s="1488"/>
      <c r="X1161" s="1488"/>
      <c r="Y1161" s="1488"/>
      <c r="Z1161" s="1488"/>
    </row>
    <row r="1162" spans="1:26">
      <c r="A1162" s="7" t="s">
        <v>688</v>
      </c>
      <c r="B1162" s="7" t="s">
        <v>1038</v>
      </c>
      <c r="C1162" s="7">
        <v>4</v>
      </c>
      <c r="D1162" s="7" t="s">
        <v>3044</v>
      </c>
      <c r="E1162" s="7" t="s">
        <v>3045</v>
      </c>
      <c r="F1162" s="7" t="s">
        <v>1134</v>
      </c>
      <c r="G1162" s="7" t="s">
        <v>2845</v>
      </c>
      <c r="H1162" s="7">
        <v>4.7</v>
      </c>
      <c r="I1162" s="7" t="s">
        <v>718</v>
      </c>
      <c r="W1162" s="1488"/>
      <c r="X1162" s="1488"/>
      <c r="Y1162" s="1488"/>
      <c r="Z1162" s="1488"/>
    </row>
    <row r="1163" spans="1:26">
      <c r="A1163" s="7" t="s">
        <v>688</v>
      </c>
      <c r="B1163" s="7" t="s">
        <v>1038</v>
      </c>
      <c r="C1163" s="7">
        <v>4</v>
      </c>
      <c r="D1163" s="7" t="s">
        <v>3044</v>
      </c>
      <c r="E1163" s="7" t="s">
        <v>3045</v>
      </c>
      <c r="F1163" s="7" t="s">
        <v>2846</v>
      </c>
      <c r="G1163" s="7" t="s">
        <v>2847</v>
      </c>
      <c r="H1163" s="7">
        <v>4.7</v>
      </c>
      <c r="I1163" s="7" t="s">
        <v>718</v>
      </c>
      <c r="W1163" s="1488"/>
      <c r="X1163" s="1488"/>
      <c r="Y1163" s="1488"/>
      <c r="Z1163" s="1488"/>
    </row>
    <row r="1164" spans="1:26">
      <c r="A1164" s="7" t="s">
        <v>688</v>
      </c>
      <c r="B1164" s="7" t="s">
        <v>1038</v>
      </c>
      <c r="C1164" s="7">
        <v>4</v>
      </c>
      <c r="D1164" s="7" t="s">
        <v>3044</v>
      </c>
      <c r="E1164" s="7" t="s">
        <v>3045</v>
      </c>
      <c r="F1164" s="7" t="s">
        <v>1136</v>
      </c>
      <c r="G1164" s="7" t="s">
        <v>1137</v>
      </c>
      <c r="H1164" s="7">
        <v>4.7</v>
      </c>
      <c r="I1164" s="7" t="s">
        <v>718</v>
      </c>
      <c r="W1164" s="1488"/>
      <c r="X1164" s="1488"/>
      <c r="Y1164" s="1488"/>
      <c r="Z1164" s="1488"/>
    </row>
    <row r="1165" spans="1:26">
      <c r="A1165" s="7" t="s">
        <v>688</v>
      </c>
      <c r="B1165" s="7" t="s">
        <v>1038</v>
      </c>
      <c r="C1165" s="7">
        <v>4</v>
      </c>
      <c r="D1165" s="7" t="s">
        <v>3044</v>
      </c>
      <c r="E1165" s="7" t="s">
        <v>3045</v>
      </c>
      <c r="F1165" s="7" t="s">
        <v>1061</v>
      </c>
      <c r="G1165" s="7" t="s">
        <v>1138</v>
      </c>
      <c r="H1165" s="7">
        <v>4.7</v>
      </c>
      <c r="I1165" s="7" t="s">
        <v>718</v>
      </c>
      <c r="W1165" s="1488"/>
      <c r="X1165" s="1488"/>
      <c r="Y1165" s="1488"/>
      <c r="Z1165" s="1488"/>
    </row>
    <row r="1166" spans="1:26">
      <c r="A1166" s="7" t="s">
        <v>688</v>
      </c>
      <c r="B1166" s="7" t="s">
        <v>1038</v>
      </c>
      <c r="C1166" s="7">
        <v>4</v>
      </c>
      <c r="D1166" s="7" t="s">
        <v>3044</v>
      </c>
      <c r="E1166" s="7" t="s">
        <v>3045</v>
      </c>
      <c r="F1166" s="7" t="s">
        <v>1061</v>
      </c>
      <c r="G1166" s="7" t="s">
        <v>1889</v>
      </c>
      <c r="H1166" s="7">
        <v>4.7</v>
      </c>
      <c r="I1166" s="7" t="s">
        <v>718</v>
      </c>
      <c r="W1166" s="1488"/>
      <c r="X1166" s="1488"/>
      <c r="Y1166" s="1488"/>
      <c r="Z1166" s="1488"/>
    </row>
    <row r="1167" spans="1:26">
      <c r="A1167" s="7" t="s">
        <v>688</v>
      </c>
      <c r="B1167" s="7" t="s">
        <v>1038</v>
      </c>
      <c r="C1167" s="7">
        <v>4</v>
      </c>
      <c r="D1167" s="7" t="s">
        <v>3044</v>
      </c>
      <c r="E1167" s="7" t="s">
        <v>3045</v>
      </c>
      <c r="F1167" s="7" t="s">
        <v>2848</v>
      </c>
      <c r="G1167" s="7" t="s">
        <v>2849</v>
      </c>
      <c r="H1167" s="7">
        <v>4.7</v>
      </c>
      <c r="I1167" s="7" t="s">
        <v>718</v>
      </c>
      <c r="W1167" s="1488"/>
      <c r="X1167" s="1488"/>
      <c r="Y1167" s="1488"/>
      <c r="Z1167" s="1488"/>
    </row>
    <row r="1168" spans="1:26">
      <c r="A1168" s="7" t="s">
        <v>688</v>
      </c>
      <c r="B1168" s="7" t="s">
        <v>1038</v>
      </c>
      <c r="C1168" s="7">
        <v>4</v>
      </c>
      <c r="D1168" s="7" t="s">
        <v>3044</v>
      </c>
      <c r="E1168" s="7" t="s">
        <v>3045</v>
      </c>
      <c r="F1168" s="7" t="s">
        <v>1139</v>
      </c>
      <c r="G1168" s="7" t="s">
        <v>1140</v>
      </c>
      <c r="H1168" s="7">
        <v>4.7</v>
      </c>
      <c r="I1168" s="7" t="s">
        <v>718</v>
      </c>
      <c r="W1168" s="1488"/>
      <c r="X1168" s="1488"/>
      <c r="Y1168" s="1488"/>
      <c r="Z1168" s="1488"/>
    </row>
    <row r="1169" spans="1:26">
      <c r="A1169" s="7" t="s">
        <v>688</v>
      </c>
      <c r="B1169" s="7" t="s">
        <v>1038</v>
      </c>
      <c r="C1169" s="7">
        <v>4</v>
      </c>
      <c r="D1169" s="7" t="s">
        <v>3044</v>
      </c>
      <c r="E1169" s="7" t="s">
        <v>3045</v>
      </c>
      <c r="F1169" s="7" t="s">
        <v>1062</v>
      </c>
      <c r="G1169" s="7" t="s">
        <v>1044</v>
      </c>
      <c r="H1169" s="7">
        <v>4.7</v>
      </c>
      <c r="I1169" s="7" t="s">
        <v>718</v>
      </c>
      <c r="W1169" s="1488"/>
      <c r="X1169" s="1488"/>
      <c r="Y1169" s="1488"/>
      <c r="Z1169" s="1488"/>
    </row>
    <row r="1170" spans="1:26">
      <c r="A1170" s="7" t="s">
        <v>688</v>
      </c>
      <c r="B1170" s="7" t="s">
        <v>1038</v>
      </c>
      <c r="C1170" s="7">
        <v>4</v>
      </c>
      <c r="D1170" s="7" t="s">
        <v>3044</v>
      </c>
      <c r="E1170" s="7" t="s">
        <v>3045</v>
      </c>
      <c r="F1170" s="7" t="s">
        <v>1062</v>
      </c>
      <c r="G1170" s="7" t="s">
        <v>1141</v>
      </c>
      <c r="H1170" s="7">
        <v>4.7</v>
      </c>
      <c r="I1170" s="7" t="s">
        <v>718</v>
      </c>
      <c r="W1170" s="1488"/>
      <c r="X1170" s="1488"/>
      <c r="Y1170" s="1488"/>
      <c r="Z1170" s="1488"/>
    </row>
    <row r="1171" spans="1:26">
      <c r="A1171" s="7" t="s">
        <v>688</v>
      </c>
      <c r="B1171" s="7" t="s">
        <v>1038</v>
      </c>
      <c r="C1171" s="7">
        <v>4</v>
      </c>
      <c r="D1171" s="7" t="s">
        <v>3044</v>
      </c>
      <c r="E1171" s="7" t="s">
        <v>3045</v>
      </c>
      <c r="F1171" s="7" t="s">
        <v>1063</v>
      </c>
      <c r="G1171" s="7" t="s">
        <v>1143</v>
      </c>
      <c r="H1171" s="7">
        <v>4.7</v>
      </c>
      <c r="I1171" s="7" t="s">
        <v>718</v>
      </c>
      <c r="W1171" s="1488"/>
      <c r="X1171" s="1488"/>
      <c r="Y1171" s="1488"/>
      <c r="Z1171" s="1488"/>
    </row>
    <row r="1172" spans="1:26">
      <c r="A1172" s="7" t="s">
        <v>688</v>
      </c>
      <c r="B1172" s="7" t="s">
        <v>1038</v>
      </c>
      <c r="C1172" s="7">
        <v>4</v>
      </c>
      <c r="D1172" s="7" t="s">
        <v>3044</v>
      </c>
      <c r="E1172" s="7" t="s">
        <v>3045</v>
      </c>
      <c r="F1172" s="7" t="s">
        <v>1063</v>
      </c>
      <c r="G1172" s="7" t="s">
        <v>1142</v>
      </c>
      <c r="H1172" s="7">
        <v>4.7</v>
      </c>
      <c r="I1172" s="7" t="s">
        <v>718</v>
      </c>
      <c r="W1172" s="1488"/>
      <c r="X1172" s="1488"/>
      <c r="Y1172" s="1488"/>
      <c r="Z1172" s="1488"/>
    </row>
    <row r="1173" spans="1:26">
      <c r="A1173" s="7" t="s">
        <v>688</v>
      </c>
      <c r="B1173" s="7" t="s">
        <v>1038</v>
      </c>
      <c r="C1173" s="7">
        <v>4</v>
      </c>
      <c r="D1173" s="7" t="s">
        <v>3044</v>
      </c>
      <c r="E1173" s="7" t="s">
        <v>3045</v>
      </c>
      <c r="F1173" s="7" t="s">
        <v>1070</v>
      </c>
      <c r="G1173" s="7" t="s">
        <v>1144</v>
      </c>
      <c r="H1173" s="7">
        <v>4.7</v>
      </c>
      <c r="I1173" s="7" t="s">
        <v>718</v>
      </c>
      <c r="W1173" s="1488"/>
      <c r="X1173" s="1488"/>
      <c r="Y1173" s="1488"/>
      <c r="Z1173" s="1488"/>
    </row>
    <row r="1174" spans="1:26">
      <c r="A1174" s="7" t="s">
        <v>688</v>
      </c>
      <c r="B1174" s="7" t="s">
        <v>1038</v>
      </c>
      <c r="C1174" s="7">
        <v>4</v>
      </c>
      <c r="D1174" s="7" t="s">
        <v>3044</v>
      </c>
      <c r="E1174" s="7" t="s">
        <v>3045</v>
      </c>
      <c r="F1174" s="7" t="s">
        <v>1071</v>
      </c>
      <c r="G1174" s="7" t="s">
        <v>1145</v>
      </c>
      <c r="H1174" s="7">
        <v>4.7</v>
      </c>
      <c r="I1174" s="7" t="s">
        <v>718</v>
      </c>
      <c r="W1174" s="1488"/>
      <c r="X1174" s="1488"/>
      <c r="Y1174" s="1488"/>
      <c r="Z1174" s="1488"/>
    </row>
    <row r="1175" spans="1:26">
      <c r="A1175" s="7" t="s">
        <v>688</v>
      </c>
      <c r="B1175" s="7" t="s">
        <v>1038</v>
      </c>
      <c r="C1175" s="7">
        <v>4</v>
      </c>
      <c r="D1175" s="7" t="s">
        <v>3044</v>
      </c>
      <c r="E1175" s="7" t="s">
        <v>3045</v>
      </c>
      <c r="F1175" s="7" t="s">
        <v>1071</v>
      </c>
      <c r="G1175" s="7" t="s">
        <v>1146</v>
      </c>
      <c r="H1175" s="7">
        <v>4.7</v>
      </c>
      <c r="I1175" s="7" t="s">
        <v>718</v>
      </c>
      <c r="W1175" s="1488"/>
      <c r="X1175" s="1488"/>
      <c r="Y1175" s="1488"/>
      <c r="Z1175" s="1488"/>
    </row>
    <row r="1176" spans="1:26">
      <c r="A1176" s="7" t="s">
        <v>688</v>
      </c>
      <c r="B1176" s="7" t="s">
        <v>1038</v>
      </c>
      <c r="C1176" s="7">
        <v>4</v>
      </c>
      <c r="D1176" s="7" t="s">
        <v>3044</v>
      </c>
      <c r="E1176" s="7" t="s">
        <v>3045</v>
      </c>
      <c r="F1176" s="7" t="s">
        <v>1072</v>
      </c>
      <c r="G1176" s="7" t="s">
        <v>1147</v>
      </c>
      <c r="H1176" s="7">
        <v>4.7</v>
      </c>
      <c r="I1176" s="7" t="s">
        <v>718</v>
      </c>
      <c r="W1176" s="1488"/>
      <c r="X1176" s="1488"/>
      <c r="Y1176" s="1488"/>
      <c r="Z1176" s="1488"/>
    </row>
    <row r="1177" spans="1:26">
      <c r="A1177" s="7" t="s">
        <v>688</v>
      </c>
      <c r="B1177" s="7" t="s">
        <v>1038</v>
      </c>
      <c r="C1177" s="7">
        <v>4</v>
      </c>
      <c r="D1177" s="7" t="s">
        <v>3044</v>
      </c>
      <c r="E1177" s="7" t="s">
        <v>3045</v>
      </c>
      <c r="F1177" s="7" t="s">
        <v>2695</v>
      </c>
      <c r="G1177" s="7" t="s">
        <v>2698</v>
      </c>
      <c r="H1177" s="7">
        <v>4.7</v>
      </c>
      <c r="I1177" s="7" t="s">
        <v>718</v>
      </c>
      <c r="W1177" s="1488"/>
      <c r="X1177" s="1488"/>
      <c r="Y1177" s="1488"/>
      <c r="Z1177" s="1488"/>
    </row>
    <row r="1178" spans="1:26">
      <c r="A1178" s="7" t="s">
        <v>688</v>
      </c>
      <c r="B1178" s="7" t="s">
        <v>1038</v>
      </c>
      <c r="C1178" s="7">
        <v>4</v>
      </c>
      <c r="D1178" s="7" t="s">
        <v>3044</v>
      </c>
      <c r="E1178" s="7" t="s">
        <v>3045</v>
      </c>
      <c r="F1178" s="7" t="s">
        <v>2695</v>
      </c>
      <c r="G1178" s="7" t="s">
        <v>2697</v>
      </c>
      <c r="H1178" s="7">
        <v>4.7</v>
      </c>
      <c r="I1178" s="7" t="s">
        <v>718</v>
      </c>
      <c r="W1178" s="1488"/>
      <c r="X1178" s="1488"/>
      <c r="Y1178" s="1488"/>
      <c r="Z1178" s="1488"/>
    </row>
    <row r="1179" spans="1:26">
      <c r="A1179" s="7" t="s">
        <v>688</v>
      </c>
      <c r="B1179" s="7" t="s">
        <v>1038</v>
      </c>
      <c r="C1179" s="7">
        <v>4</v>
      </c>
      <c r="D1179" s="7" t="s">
        <v>3044</v>
      </c>
      <c r="E1179" s="7" t="s">
        <v>3045</v>
      </c>
      <c r="F1179" s="7" t="s">
        <v>2695</v>
      </c>
      <c r="G1179" s="7" t="s">
        <v>2696</v>
      </c>
      <c r="H1179" s="7">
        <v>4.7</v>
      </c>
      <c r="I1179" s="7" t="s">
        <v>718</v>
      </c>
      <c r="W1179" s="1488"/>
      <c r="X1179" s="1488"/>
      <c r="Y1179" s="1488"/>
      <c r="Z1179" s="1488"/>
    </row>
    <row r="1180" spans="1:26">
      <c r="A1180" s="7" t="s">
        <v>688</v>
      </c>
      <c r="B1180" s="7" t="s">
        <v>1038</v>
      </c>
      <c r="C1180" s="7">
        <v>4</v>
      </c>
      <c r="D1180" s="7" t="s">
        <v>3044</v>
      </c>
      <c r="E1180" s="7" t="s">
        <v>3045</v>
      </c>
      <c r="F1180" s="7" t="s">
        <v>2695</v>
      </c>
      <c r="G1180" s="7" t="s">
        <v>2699</v>
      </c>
      <c r="H1180" s="7">
        <v>4.7</v>
      </c>
      <c r="I1180" s="7" t="s">
        <v>718</v>
      </c>
      <c r="W1180" s="1488"/>
      <c r="X1180" s="1488"/>
      <c r="Y1180" s="1488"/>
      <c r="Z1180" s="1488"/>
    </row>
    <row r="1181" spans="1:26">
      <c r="A1181" s="7" t="s">
        <v>688</v>
      </c>
      <c r="B1181" s="7" t="s">
        <v>1038</v>
      </c>
      <c r="C1181" s="7">
        <v>4</v>
      </c>
      <c r="D1181" s="7" t="s">
        <v>3044</v>
      </c>
      <c r="E1181" s="7" t="s">
        <v>3045</v>
      </c>
      <c r="F1181" s="7" t="s">
        <v>1443</v>
      </c>
      <c r="G1181" s="7" t="s">
        <v>1074</v>
      </c>
      <c r="H1181" s="7">
        <v>4.7</v>
      </c>
      <c r="I1181" s="7" t="s">
        <v>718</v>
      </c>
      <c r="W1181" s="1488"/>
      <c r="X1181" s="1488"/>
      <c r="Y1181" s="1488"/>
      <c r="Z1181" s="1488"/>
    </row>
    <row r="1182" spans="1:26">
      <c r="A1182" s="7" t="s">
        <v>688</v>
      </c>
      <c r="B1182" s="7" t="s">
        <v>1038</v>
      </c>
      <c r="C1182" s="7">
        <v>4</v>
      </c>
      <c r="D1182" s="7" t="s">
        <v>3044</v>
      </c>
      <c r="E1182" s="7" t="s">
        <v>3045</v>
      </c>
      <c r="F1182" s="7" t="s">
        <v>1443</v>
      </c>
      <c r="G1182" s="7" t="s">
        <v>1073</v>
      </c>
      <c r="H1182" s="7">
        <v>4.7</v>
      </c>
      <c r="I1182" s="7" t="s">
        <v>718</v>
      </c>
      <c r="W1182" s="1488"/>
      <c r="X1182" s="1488"/>
      <c r="Y1182" s="1488"/>
      <c r="Z1182" s="1488"/>
    </row>
    <row r="1183" spans="1:26">
      <c r="A1183" s="7" t="s">
        <v>688</v>
      </c>
      <c r="B1183" s="7" t="s">
        <v>1038</v>
      </c>
      <c r="C1183" s="7">
        <v>4</v>
      </c>
      <c r="D1183" s="7" t="s">
        <v>3044</v>
      </c>
      <c r="E1183" s="7" t="s">
        <v>3045</v>
      </c>
      <c r="F1183" s="7" t="s">
        <v>2850</v>
      </c>
      <c r="G1183" s="7" t="s">
        <v>1053</v>
      </c>
      <c r="H1183" s="7">
        <v>4.7</v>
      </c>
      <c r="I1183" s="7" t="s">
        <v>718</v>
      </c>
      <c r="W1183" s="1488"/>
      <c r="X1183" s="1488"/>
      <c r="Y1183" s="1488"/>
      <c r="Z1183" s="1488"/>
    </row>
    <row r="1184" spans="1:26">
      <c r="A1184" s="7" t="s">
        <v>688</v>
      </c>
      <c r="B1184" s="7" t="s">
        <v>1038</v>
      </c>
      <c r="C1184" s="7">
        <v>4</v>
      </c>
      <c r="D1184" s="7" t="s">
        <v>3044</v>
      </c>
      <c r="E1184" s="7" t="s">
        <v>3045</v>
      </c>
      <c r="F1184" s="7" t="s">
        <v>1444</v>
      </c>
      <c r="G1184" s="7" t="s">
        <v>1075</v>
      </c>
      <c r="H1184" s="7">
        <v>4.7</v>
      </c>
      <c r="I1184" s="7" t="s">
        <v>718</v>
      </c>
      <c r="W1184" s="1488"/>
      <c r="X1184" s="1488"/>
      <c r="Y1184" s="1488"/>
      <c r="Z1184" s="1488"/>
    </row>
    <row r="1185" spans="1:26">
      <c r="A1185" s="7" t="s">
        <v>688</v>
      </c>
      <c r="B1185" s="7" t="s">
        <v>1038</v>
      </c>
      <c r="C1185" s="7">
        <v>4</v>
      </c>
      <c r="D1185" s="7" t="s">
        <v>3044</v>
      </c>
      <c r="E1185" s="7" t="s">
        <v>3045</v>
      </c>
      <c r="F1185" s="7" t="s">
        <v>1444</v>
      </c>
      <c r="G1185" s="7" t="s">
        <v>1076</v>
      </c>
      <c r="H1185" s="7">
        <v>4.7</v>
      </c>
      <c r="I1185" s="7" t="s">
        <v>718</v>
      </c>
      <c r="W1185" s="1488"/>
      <c r="X1185" s="1488"/>
      <c r="Y1185" s="1488"/>
      <c r="Z1185" s="1488"/>
    </row>
    <row r="1186" spans="1:26">
      <c r="A1186" s="7" t="s">
        <v>688</v>
      </c>
      <c r="B1186" s="7" t="s">
        <v>1038</v>
      </c>
      <c r="C1186" s="7">
        <v>4</v>
      </c>
      <c r="D1186" s="7" t="s">
        <v>3044</v>
      </c>
      <c r="E1186" s="7" t="s">
        <v>3045</v>
      </c>
      <c r="F1186" s="7" t="s">
        <v>1445</v>
      </c>
      <c r="G1186" s="7" t="s">
        <v>1885</v>
      </c>
      <c r="H1186" s="7">
        <v>4.7</v>
      </c>
      <c r="I1186" s="7" t="s">
        <v>718</v>
      </c>
      <c r="W1186" s="1488"/>
      <c r="X1186" s="1488"/>
      <c r="Y1186" s="1488"/>
      <c r="Z1186" s="1488"/>
    </row>
    <row r="1187" spans="1:26">
      <c r="A1187" s="7" t="s">
        <v>688</v>
      </c>
      <c r="B1187" s="7" t="s">
        <v>1038</v>
      </c>
      <c r="C1187" s="7">
        <v>4</v>
      </c>
      <c r="D1187" s="7" t="s">
        <v>3044</v>
      </c>
      <c r="E1187" s="7" t="s">
        <v>3045</v>
      </c>
      <c r="F1187" s="7" t="s">
        <v>1077</v>
      </c>
      <c r="G1187" s="7" t="s">
        <v>1886</v>
      </c>
      <c r="H1187" s="7">
        <v>4.7</v>
      </c>
      <c r="I1187" s="7" t="s">
        <v>718</v>
      </c>
      <c r="W1187" s="1488"/>
      <c r="X1187" s="1488"/>
      <c r="Y1187" s="1488"/>
      <c r="Z1187" s="1488"/>
    </row>
    <row r="1188" spans="1:26">
      <c r="A1188" s="7" t="s">
        <v>688</v>
      </c>
      <c r="B1188" s="7" t="s">
        <v>1038</v>
      </c>
      <c r="C1188" s="7">
        <v>4</v>
      </c>
      <c r="D1188" s="7" t="s">
        <v>3044</v>
      </c>
      <c r="E1188" s="7" t="s">
        <v>3045</v>
      </c>
      <c r="F1188" s="7" t="s">
        <v>1077</v>
      </c>
      <c r="G1188" s="7" t="s">
        <v>1887</v>
      </c>
      <c r="H1188" s="7">
        <v>4.7</v>
      </c>
      <c r="I1188" s="7" t="s">
        <v>718</v>
      </c>
      <c r="W1188" s="1488"/>
      <c r="X1188" s="1488"/>
      <c r="Y1188" s="1488"/>
      <c r="Z1188" s="1488"/>
    </row>
    <row r="1189" spans="1:26">
      <c r="A1189" s="7" t="s">
        <v>688</v>
      </c>
      <c r="B1189" s="7" t="s">
        <v>1038</v>
      </c>
      <c r="C1189" s="7">
        <v>4</v>
      </c>
      <c r="D1189" s="7" t="s">
        <v>3044</v>
      </c>
      <c r="E1189" s="7" t="s">
        <v>3045</v>
      </c>
      <c r="F1189" s="7" t="s">
        <v>1077</v>
      </c>
      <c r="G1189" s="7" t="s">
        <v>1888</v>
      </c>
      <c r="H1189" s="7">
        <v>4.7</v>
      </c>
      <c r="I1189" s="7" t="s">
        <v>718</v>
      </c>
      <c r="W1189" s="1488"/>
      <c r="X1189" s="1488"/>
      <c r="Y1189" s="1488"/>
      <c r="Z1189" s="1488"/>
    </row>
    <row r="1190" spans="1:26">
      <c r="A1190" s="7" t="s">
        <v>688</v>
      </c>
      <c r="B1190" s="7" t="s">
        <v>1038</v>
      </c>
      <c r="C1190" s="7">
        <v>4</v>
      </c>
      <c r="D1190" s="7" t="s">
        <v>3044</v>
      </c>
      <c r="E1190" s="7" t="s">
        <v>3045</v>
      </c>
      <c r="F1190" s="7" t="s">
        <v>1077</v>
      </c>
      <c r="G1190" s="7" t="s">
        <v>1078</v>
      </c>
      <c r="H1190" s="7">
        <v>4.7</v>
      </c>
      <c r="I1190" s="7" t="s">
        <v>718</v>
      </c>
      <c r="W1190" s="1488"/>
      <c r="X1190" s="1488"/>
      <c r="Y1190" s="1488"/>
      <c r="Z1190" s="1488"/>
    </row>
    <row r="1191" spans="1:26">
      <c r="A1191" s="7" t="s">
        <v>688</v>
      </c>
      <c r="B1191" s="7" t="s">
        <v>1038</v>
      </c>
      <c r="C1191" s="7">
        <v>4</v>
      </c>
      <c r="D1191" s="7" t="s">
        <v>3044</v>
      </c>
      <c r="E1191" s="7" t="s">
        <v>3045</v>
      </c>
      <c r="F1191" s="7" t="s">
        <v>1079</v>
      </c>
      <c r="G1191" s="7" t="s">
        <v>1080</v>
      </c>
      <c r="H1191" s="7">
        <v>4.7</v>
      </c>
      <c r="I1191" s="7" t="s">
        <v>718</v>
      </c>
      <c r="W1191" s="1488"/>
      <c r="X1191" s="1488"/>
      <c r="Y1191" s="1488"/>
      <c r="Z1191" s="1488"/>
    </row>
    <row r="1192" spans="1:26">
      <c r="A1192" s="7" t="s">
        <v>688</v>
      </c>
      <c r="B1192" s="7" t="s">
        <v>1038</v>
      </c>
      <c r="C1192" s="7">
        <v>4</v>
      </c>
      <c r="D1192" s="7" t="s">
        <v>3044</v>
      </c>
      <c r="E1192" s="7" t="s">
        <v>3045</v>
      </c>
      <c r="F1192" s="7" t="s">
        <v>1446</v>
      </c>
      <c r="G1192" s="7" t="s">
        <v>1081</v>
      </c>
      <c r="H1192" s="7">
        <v>4.7</v>
      </c>
      <c r="I1192" s="7" t="s">
        <v>718</v>
      </c>
      <c r="W1192" s="1488"/>
      <c r="X1192" s="1488"/>
      <c r="Y1192" s="1488"/>
      <c r="Z1192" s="1488"/>
    </row>
    <row r="1193" spans="1:26">
      <c r="A1193" s="7" t="s">
        <v>688</v>
      </c>
      <c r="B1193" s="7" t="s">
        <v>1038</v>
      </c>
      <c r="C1193" s="7">
        <v>4</v>
      </c>
      <c r="D1193" s="7" t="s">
        <v>3044</v>
      </c>
      <c r="E1193" s="7" t="s">
        <v>3045</v>
      </c>
      <c r="F1193" s="7" t="s">
        <v>1446</v>
      </c>
      <c r="G1193" s="7" t="s">
        <v>1082</v>
      </c>
      <c r="H1193" s="7">
        <v>4.7</v>
      </c>
      <c r="I1193" s="7" t="s">
        <v>718</v>
      </c>
      <c r="W1193" s="1488"/>
      <c r="X1193" s="1488"/>
      <c r="Y1193" s="1488"/>
      <c r="Z1193" s="1488"/>
    </row>
    <row r="1194" spans="1:26">
      <c r="A1194" s="7" t="s">
        <v>688</v>
      </c>
      <c r="B1194" s="7" t="s">
        <v>1038</v>
      </c>
      <c r="C1194" s="7">
        <v>4</v>
      </c>
      <c r="D1194" s="7" t="s">
        <v>3044</v>
      </c>
      <c r="E1194" s="7" t="s">
        <v>3045</v>
      </c>
      <c r="F1194" s="7" t="s">
        <v>1446</v>
      </c>
      <c r="G1194" s="7" t="s">
        <v>1083</v>
      </c>
      <c r="H1194" s="7">
        <v>4.7</v>
      </c>
      <c r="I1194" s="7" t="s">
        <v>718</v>
      </c>
      <c r="W1194" s="1488"/>
      <c r="X1194" s="1488"/>
      <c r="Y1194" s="1488"/>
      <c r="Z1194" s="1488"/>
    </row>
    <row r="1195" spans="1:26">
      <c r="A1195" s="7" t="s">
        <v>688</v>
      </c>
      <c r="B1195" s="7" t="s">
        <v>1038</v>
      </c>
      <c r="C1195" s="7">
        <v>4</v>
      </c>
      <c r="D1195" s="7" t="s">
        <v>3044</v>
      </c>
      <c r="E1195" s="7" t="s">
        <v>3045</v>
      </c>
      <c r="F1195" s="7" t="s">
        <v>1084</v>
      </c>
      <c r="G1195" s="7" t="s">
        <v>1085</v>
      </c>
      <c r="H1195" s="7">
        <v>4.5</v>
      </c>
      <c r="I1195" s="7" t="s">
        <v>718</v>
      </c>
      <c r="W1195" s="1488"/>
      <c r="X1195" s="1488"/>
      <c r="Y1195" s="1488"/>
      <c r="Z1195" s="1488"/>
    </row>
    <row r="1196" spans="1:26">
      <c r="A1196" s="7" t="s">
        <v>688</v>
      </c>
      <c r="B1196" s="7" t="s">
        <v>1038</v>
      </c>
      <c r="C1196" s="7">
        <v>4</v>
      </c>
      <c r="D1196" s="7" t="s">
        <v>3044</v>
      </c>
      <c r="E1196" s="7" t="s">
        <v>3045</v>
      </c>
      <c r="F1196" s="7" t="s">
        <v>1084</v>
      </c>
      <c r="G1196" s="7" t="s">
        <v>1086</v>
      </c>
      <c r="H1196" s="7">
        <v>4.5</v>
      </c>
      <c r="I1196" s="7" t="s">
        <v>718</v>
      </c>
      <c r="W1196" s="1488"/>
      <c r="X1196" s="1488"/>
      <c r="Y1196" s="1488"/>
      <c r="Z1196" s="1488"/>
    </row>
    <row r="1197" spans="1:26">
      <c r="A1197" s="7" t="s">
        <v>688</v>
      </c>
      <c r="B1197" s="7" t="s">
        <v>1038</v>
      </c>
      <c r="C1197" s="7">
        <v>4</v>
      </c>
      <c r="D1197" s="7" t="s">
        <v>3044</v>
      </c>
      <c r="E1197" s="7" t="s">
        <v>3045</v>
      </c>
      <c r="F1197" s="7" t="s">
        <v>1084</v>
      </c>
      <c r="G1197" s="7" t="s">
        <v>1087</v>
      </c>
      <c r="H1197" s="7">
        <v>4.5</v>
      </c>
      <c r="I1197" s="7" t="s">
        <v>718</v>
      </c>
      <c r="W1197" s="1488"/>
      <c r="X1197" s="1488"/>
      <c r="Y1197" s="1488"/>
      <c r="Z1197" s="1488"/>
    </row>
    <row r="1198" spans="1:26">
      <c r="A1198" s="7" t="s">
        <v>688</v>
      </c>
      <c r="B1198" s="7" t="s">
        <v>1038</v>
      </c>
      <c r="C1198" s="7">
        <v>4</v>
      </c>
      <c r="D1198" s="7" t="s">
        <v>3044</v>
      </c>
      <c r="E1198" s="7" t="s">
        <v>3045</v>
      </c>
      <c r="F1198" s="7" t="s">
        <v>1084</v>
      </c>
      <c r="G1198" s="7" t="s">
        <v>1088</v>
      </c>
      <c r="H1198" s="7">
        <v>4.5</v>
      </c>
      <c r="I1198" s="7" t="s">
        <v>718</v>
      </c>
      <c r="W1198" s="1488"/>
      <c r="X1198" s="1488"/>
      <c r="Y1198" s="1488"/>
      <c r="Z1198" s="1488"/>
    </row>
    <row r="1199" spans="1:26">
      <c r="A1199" s="7" t="s">
        <v>688</v>
      </c>
      <c r="B1199" s="7" t="s">
        <v>1038</v>
      </c>
      <c r="C1199" s="7">
        <v>4</v>
      </c>
      <c r="D1199" s="7" t="s">
        <v>3044</v>
      </c>
      <c r="E1199" s="7" t="s">
        <v>3045</v>
      </c>
      <c r="F1199" s="7" t="s">
        <v>1089</v>
      </c>
      <c r="G1199" s="7" t="s">
        <v>1140</v>
      </c>
      <c r="H1199" s="7">
        <v>4.5</v>
      </c>
      <c r="I1199" s="7" t="s">
        <v>718</v>
      </c>
      <c r="W1199" s="1488"/>
      <c r="X1199" s="1488"/>
      <c r="Y1199" s="1488"/>
      <c r="Z1199" s="1488"/>
    </row>
    <row r="1200" spans="1:26">
      <c r="A1200" s="7" t="s">
        <v>688</v>
      </c>
      <c r="B1200" s="7" t="s">
        <v>1038</v>
      </c>
      <c r="C1200" s="7">
        <v>4</v>
      </c>
      <c r="D1200" s="7" t="s">
        <v>3044</v>
      </c>
      <c r="E1200" s="7" t="s">
        <v>3045</v>
      </c>
      <c r="F1200" s="7" t="s">
        <v>1090</v>
      </c>
      <c r="G1200" s="7" t="s">
        <v>1091</v>
      </c>
      <c r="H1200" s="7">
        <v>4.5</v>
      </c>
      <c r="I1200" s="7" t="s">
        <v>718</v>
      </c>
      <c r="W1200" s="1488"/>
      <c r="X1200" s="1488"/>
      <c r="Y1200" s="1488"/>
      <c r="Z1200" s="1488"/>
    </row>
    <row r="1201" spans="1:26">
      <c r="A1201" s="7" t="s">
        <v>688</v>
      </c>
      <c r="B1201" s="7" t="s">
        <v>1038</v>
      </c>
      <c r="C1201" s="7">
        <v>4</v>
      </c>
      <c r="D1201" s="7" t="s">
        <v>3044</v>
      </c>
      <c r="E1201" s="7" t="s">
        <v>3045</v>
      </c>
      <c r="F1201" s="7" t="s">
        <v>2851</v>
      </c>
      <c r="G1201" s="7" t="s">
        <v>2852</v>
      </c>
      <c r="H1201" s="7">
        <v>4.7</v>
      </c>
      <c r="I1201" s="7" t="s">
        <v>718</v>
      </c>
      <c r="W1201" s="1488"/>
      <c r="X1201" s="1488"/>
      <c r="Y1201" s="1488"/>
      <c r="Z1201" s="1488"/>
    </row>
    <row r="1202" spans="1:26">
      <c r="A1202" s="7" t="s">
        <v>688</v>
      </c>
      <c r="B1202" s="7" t="s">
        <v>1038</v>
      </c>
      <c r="C1202" s="7">
        <v>4</v>
      </c>
      <c r="D1202" s="7" t="s">
        <v>3044</v>
      </c>
      <c r="E1202" s="7" t="s">
        <v>3045</v>
      </c>
      <c r="F1202" s="7" t="s">
        <v>1092</v>
      </c>
      <c r="G1202" s="7" t="s">
        <v>1093</v>
      </c>
      <c r="H1202" s="7">
        <v>4.7</v>
      </c>
      <c r="I1202" s="7" t="s">
        <v>718</v>
      </c>
      <c r="W1202" s="1488"/>
      <c r="X1202" s="1488"/>
      <c r="Y1202" s="1488"/>
      <c r="Z1202" s="1488"/>
    </row>
    <row r="1203" spans="1:26">
      <c r="A1203" s="7" t="s">
        <v>688</v>
      </c>
      <c r="B1203" s="7" t="s">
        <v>1038</v>
      </c>
      <c r="C1203" s="7">
        <v>4</v>
      </c>
      <c r="D1203" s="7" t="s">
        <v>3044</v>
      </c>
      <c r="E1203" s="7" t="s">
        <v>3045</v>
      </c>
      <c r="F1203" s="7" t="s">
        <v>1148</v>
      </c>
      <c r="G1203" s="7" t="s">
        <v>1149</v>
      </c>
      <c r="H1203" s="7">
        <v>4.7</v>
      </c>
      <c r="I1203" s="7" t="s">
        <v>718</v>
      </c>
      <c r="W1203" s="1488"/>
      <c r="X1203" s="1488"/>
      <c r="Y1203" s="1488"/>
      <c r="Z1203" s="1488"/>
    </row>
    <row r="1204" spans="1:26">
      <c r="A1204" s="7" t="s">
        <v>688</v>
      </c>
      <c r="B1204" s="7" t="s">
        <v>1038</v>
      </c>
      <c r="C1204" s="7">
        <v>4</v>
      </c>
      <c r="D1204" s="7" t="s">
        <v>3044</v>
      </c>
      <c r="E1204" s="7" t="s">
        <v>3045</v>
      </c>
      <c r="F1204" s="7" t="s">
        <v>2853</v>
      </c>
      <c r="G1204" s="7" t="s">
        <v>2854</v>
      </c>
      <c r="H1204" s="7">
        <v>4.7</v>
      </c>
      <c r="I1204" s="7" t="s">
        <v>718</v>
      </c>
      <c r="W1204" s="1488"/>
      <c r="X1204" s="1488"/>
      <c r="Y1204" s="1488"/>
      <c r="Z1204" s="1488"/>
    </row>
    <row r="1205" spans="1:26">
      <c r="A1205" s="7" t="s">
        <v>688</v>
      </c>
      <c r="B1205" s="7" t="s">
        <v>1038</v>
      </c>
      <c r="C1205" s="7">
        <v>4</v>
      </c>
      <c r="D1205" s="7" t="s">
        <v>3044</v>
      </c>
      <c r="E1205" s="7" t="s">
        <v>3045</v>
      </c>
      <c r="F1205" s="7" t="s">
        <v>1094</v>
      </c>
      <c r="G1205" s="7" t="s">
        <v>1150</v>
      </c>
      <c r="H1205" s="7">
        <v>4.7</v>
      </c>
      <c r="I1205" s="7" t="s">
        <v>718</v>
      </c>
      <c r="W1205" s="1488"/>
      <c r="X1205" s="1488"/>
      <c r="Y1205" s="1488"/>
      <c r="Z1205" s="1488"/>
    </row>
    <row r="1206" spans="1:26">
      <c r="A1206" s="7" t="s">
        <v>688</v>
      </c>
      <c r="B1206" s="7" t="s">
        <v>1038</v>
      </c>
      <c r="C1206" s="7">
        <v>4</v>
      </c>
      <c r="D1206" s="7" t="s">
        <v>3044</v>
      </c>
      <c r="E1206" s="7" t="s">
        <v>3045</v>
      </c>
      <c r="F1206" s="7" t="s">
        <v>1094</v>
      </c>
      <c r="G1206" s="7" t="s">
        <v>1151</v>
      </c>
      <c r="H1206" s="7">
        <v>4.7</v>
      </c>
      <c r="I1206" s="7" t="s">
        <v>718</v>
      </c>
      <c r="W1206" s="1488"/>
      <c r="X1206" s="1488"/>
      <c r="Y1206" s="1488"/>
      <c r="Z1206" s="1488"/>
    </row>
    <row r="1207" spans="1:26">
      <c r="A1207" s="7" t="s">
        <v>688</v>
      </c>
      <c r="B1207" s="7" t="s">
        <v>1038</v>
      </c>
      <c r="C1207" s="7">
        <v>4</v>
      </c>
      <c r="D1207" s="7" t="s">
        <v>3044</v>
      </c>
      <c r="E1207" s="7" t="s">
        <v>3045</v>
      </c>
      <c r="F1207" s="7" t="s">
        <v>1152</v>
      </c>
      <c r="G1207" s="7" t="s">
        <v>1153</v>
      </c>
      <c r="H1207" s="7">
        <v>4.7</v>
      </c>
      <c r="I1207" s="7" t="s">
        <v>718</v>
      </c>
      <c r="W1207" s="1488"/>
      <c r="X1207" s="1488"/>
      <c r="Y1207" s="1488"/>
      <c r="Z1207" s="1488"/>
    </row>
    <row r="1208" spans="1:26">
      <c r="A1208" s="7" t="s">
        <v>688</v>
      </c>
      <c r="B1208" s="7" t="s">
        <v>1038</v>
      </c>
      <c r="C1208" s="7">
        <v>4</v>
      </c>
      <c r="D1208" s="7" t="s">
        <v>3044</v>
      </c>
      <c r="E1208" s="7" t="s">
        <v>3045</v>
      </c>
      <c r="F1208" s="7" t="s">
        <v>1095</v>
      </c>
      <c r="G1208" s="7" t="s">
        <v>1154</v>
      </c>
      <c r="H1208" s="7">
        <v>4.7</v>
      </c>
      <c r="I1208" s="7" t="s">
        <v>718</v>
      </c>
      <c r="W1208" s="1488"/>
      <c r="X1208" s="1488"/>
      <c r="Y1208" s="1488"/>
      <c r="Z1208" s="1488"/>
    </row>
    <row r="1209" spans="1:26">
      <c r="A1209" s="7" t="s">
        <v>688</v>
      </c>
      <c r="B1209" s="7" t="s">
        <v>1038</v>
      </c>
      <c r="C1209" s="7">
        <v>4</v>
      </c>
      <c r="D1209" s="7" t="s">
        <v>3044</v>
      </c>
      <c r="E1209" s="7" t="s">
        <v>3045</v>
      </c>
      <c r="F1209" s="7" t="s">
        <v>2855</v>
      </c>
      <c r="G1209" s="7" t="s">
        <v>2856</v>
      </c>
      <c r="H1209" s="7">
        <v>4.7</v>
      </c>
      <c r="I1209" s="7" t="s">
        <v>718</v>
      </c>
      <c r="W1209" s="1488"/>
      <c r="X1209" s="1488"/>
      <c r="Y1209" s="1488"/>
      <c r="Z1209" s="1488"/>
    </row>
    <row r="1210" spans="1:26">
      <c r="A1210" s="7" t="s">
        <v>688</v>
      </c>
      <c r="B1210" s="7" t="s">
        <v>1038</v>
      </c>
      <c r="C1210" s="7">
        <v>4</v>
      </c>
      <c r="D1210" s="7" t="s">
        <v>3044</v>
      </c>
      <c r="E1210" s="7" t="s">
        <v>3045</v>
      </c>
      <c r="F1210" s="7" t="s">
        <v>2857</v>
      </c>
      <c r="G1210" s="7" t="s">
        <v>2858</v>
      </c>
      <c r="H1210" s="7">
        <v>4.7</v>
      </c>
      <c r="I1210" s="7" t="s">
        <v>718</v>
      </c>
      <c r="W1210" s="1488"/>
      <c r="X1210" s="1488"/>
      <c r="Y1210" s="1488"/>
      <c r="Z1210" s="1488"/>
    </row>
    <row r="1211" spans="1:26">
      <c r="A1211" s="7" t="s">
        <v>688</v>
      </c>
      <c r="B1211" s="7" t="s">
        <v>1038</v>
      </c>
      <c r="C1211" s="7">
        <v>4</v>
      </c>
      <c r="D1211" s="7" t="s">
        <v>3044</v>
      </c>
      <c r="E1211" s="7" t="s">
        <v>3045</v>
      </c>
      <c r="F1211" s="7" t="s">
        <v>2859</v>
      </c>
      <c r="G1211" s="7" t="s">
        <v>2860</v>
      </c>
      <c r="H1211" s="7">
        <v>4.7</v>
      </c>
      <c r="I1211" s="7" t="s">
        <v>718</v>
      </c>
      <c r="W1211" s="1488"/>
      <c r="X1211" s="1488"/>
      <c r="Y1211" s="1488"/>
      <c r="Z1211" s="1488"/>
    </row>
    <row r="1212" spans="1:26">
      <c r="A1212" s="7" t="s">
        <v>688</v>
      </c>
      <c r="B1212" s="7" t="s">
        <v>1038</v>
      </c>
      <c r="C1212" s="7">
        <v>4</v>
      </c>
      <c r="D1212" s="7" t="s">
        <v>3044</v>
      </c>
      <c r="E1212" s="7" t="s">
        <v>3045</v>
      </c>
      <c r="F1212" s="7" t="s">
        <v>1155</v>
      </c>
      <c r="G1212" s="7" t="s">
        <v>1156</v>
      </c>
      <c r="H1212" s="7">
        <v>4.7</v>
      </c>
      <c r="I1212" s="7" t="s">
        <v>718</v>
      </c>
      <c r="W1212" s="1488"/>
      <c r="X1212" s="1488"/>
      <c r="Y1212" s="1488"/>
      <c r="Z1212" s="1488"/>
    </row>
    <row r="1213" spans="1:26">
      <c r="A1213" s="7" t="s">
        <v>688</v>
      </c>
      <c r="B1213" s="7" t="s">
        <v>1038</v>
      </c>
      <c r="C1213" s="7">
        <v>4</v>
      </c>
      <c r="D1213" s="7" t="s">
        <v>3044</v>
      </c>
      <c r="E1213" s="7" t="s">
        <v>3045</v>
      </c>
      <c r="F1213" s="7" t="s">
        <v>1155</v>
      </c>
      <c r="G1213" s="7" t="s">
        <v>1157</v>
      </c>
      <c r="H1213" s="7">
        <v>4.7</v>
      </c>
      <c r="I1213" s="7" t="s">
        <v>718</v>
      </c>
      <c r="W1213" s="1488"/>
      <c r="X1213" s="1488"/>
      <c r="Y1213" s="1488"/>
      <c r="Z1213" s="1488"/>
    </row>
    <row r="1214" spans="1:26">
      <c r="A1214" s="7" t="s">
        <v>688</v>
      </c>
      <c r="B1214" s="7" t="s">
        <v>1038</v>
      </c>
      <c r="C1214" s="7">
        <v>4</v>
      </c>
      <c r="D1214" s="7" t="s">
        <v>3044</v>
      </c>
      <c r="E1214" s="7" t="s">
        <v>3045</v>
      </c>
      <c r="F1214" s="7" t="s">
        <v>1155</v>
      </c>
      <c r="G1214" s="7" t="s">
        <v>1158</v>
      </c>
      <c r="H1214" s="7">
        <v>4.7</v>
      </c>
      <c r="I1214" s="7" t="s">
        <v>718</v>
      </c>
      <c r="W1214" s="1488"/>
      <c r="X1214" s="1488"/>
      <c r="Y1214" s="1488"/>
      <c r="Z1214" s="1488"/>
    </row>
    <row r="1215" spans="1:26">
      <c r="A1215" s="7" t="s">
        <v>688</v>
      </c>
      <c r="B1215" s="7" t="s">
        <v>1038</v>
      </c>
      <c r="C1215" s="7">
        <v>4</v>
      </c>
      <c r="D1215" s="7" t="s">
        <v>3044</v>
      </c>
      <c r="E1215" s="7" t="s">
        <v>3045</v>
      </c>
      <c r="F1215" s="7" t="s">
        <v>2861</v>
      </c>
      <c r="G1215" s="7" t="s">
        <v>2862</v>
      </c>
      <c r="H1215" s="7">
        <v>4.7</v>
      </c>
      <c r="I1215" s="7" t="s">
        <v>718</v>
      </c>
      <c r="W1215" s="1488"/>
      <c r="X1215" s="1488"/>
      <c r="Y1215" s="1488"/>
      <c r="Z1215" s="1488"/>
    </row>
    <row r="1216" spans="1:26">
      <c r="A1216" s="7" t="s">
        <v>688</v>
      </c>
      <c r="B1216" s="7" t="s">
        <v>1038</v>
      </c>
      <c r="C1216" s="7">
        <v>4</v>
      </c>
      <c r="D1216" s="7" t="s">
        <v>3044</v>
      </c>
      <c r="E1216" s="7" t="s">
        <v>3045</v>
      </c>
      <c r="F1216" s="7" t="s">
        <v>2863</v>
      </c>
      <c r="G1216" s="7" t="s">
        <v>2864</v>
      </c>
      <c r="H1216" s="7">
        <v>4.7</v>
      </c>
      <c r="I1216" s="7" t="s">
        <v>718</v>
      </c>
      <c r="W1216" s="1488"/>
      <c r="X1216" s="1488"/>
      <c r="Y1216" s="1488"/>
      <c r="Z1216" s="1488"/>
    </row>
    <row r="1217" spans="1:26">
      <c r="A1217" s="7" t="s">
        <v>688</v>
      </c>
      <c r="B1217" s="7" t="s">
        <v>1038</v>
      </c>
      <c r="C1217" s="7">
        <v>4</v>
      </c>
      <c r="D1217" s="7" t="s">
        <v>3044</v>
      </c>
      <c r="E1217" s="7" t="s">
        <v>3045</v>
      </c>
      <c r="F1217" s="7" t="s">
        <v>1096</v>
      </c>
      <c r="G1217" s="7" t="s">
        <v>1159</v>
      </c>
      <c r="H1217" s="7">
        <v>4.7</v>
      </c>
      <c r="I1217" s="7" t="s">
        <v>718</v>
      </c>
      <c r="W1217" s="1488"/>
      <c r="X1217" s="1488"/>
      <c r="Y1217" s="1488"/>
      <c r="Z1217" s="1488"/>
    </row>
    <row r="1218" spans="1:26">
      <c r="A1218" s="7" t="s">
        <v>688</v>
      </c>
      <c r="B1218" s="7" t="s">
        <v>1038</v>
      </c>
      <c r="C1218" s="7">
        <v>4</v>
      </c>
      <c r="D1218" s="7" t="s">
        <v>3044</v>
      </c>
      <c r="E1218" s="7" t="s">
        <v>3045</v>
      </c>
      <c r="F1218" s="7" t="s">
        <v>1096</v>
      </c>
      <c r="G1218" s="7" t="s">
        <v>1160</v>
      </c>
      <c r="H1218" s="7">
        <v>4.7</v>
      </c>
      <c r="I1218" s="7" t="s">
        <v>718</v>
      </c>
      <c r="W1218" s="1488"/>
      <c r="X1218" s="1488"/>
      <c r="Y1218" s="1488"/>
      <c r="Z1218" s="1488"/>
    </row>
    <row r="1219" spans="1:26">
      <c r="A1219" s="7" t="s">
        <v>688</v>
      </c>
      <c r="B1219" s="7" t="s">
        <v>1038</v>
      </c>
      <c r="C1219" s="7">
        <v>4</v>
      </c>
      <c r="D1219" s="7" t="s">
        <v>3044</v>
      </c>
      <c r="E1219" s="7" t="s">
        <v>3045</v>
      </c>
      <c r="F1219" s="7" t="s">
        <v>2865</v>
      </c>
      <c r="G1219" s="7" t="s">
        <v>2866</v>
      </c>
      <c r="H1219" s="7">
        <v>4.7</v>
      </c>
      <c r="I1219" s="7" t="s">
        <v>718</v>
      </c>
      <c r="W1219" s="1488"/>
      <c r="X1219" s="1488"/>
      <c r="Y1219" s="1488"/>
      <c r="Z1219" s="1488"/>
    </row>
    <row r="1220" spans="1:26">
      <c r="A1220" s="7" t="s">
        <v>688</v>
      </c>
      <c r="B1220" s="7" t="s">
        <v>1038</v>
      </c>
      <c r="C1220" s="7">
        <v>4</v>
      </c>
      <c r="D1220" s="7" t="s">
        <v>3044</v>
      </c>
      <c r="E1220" s="7" t="s">
        <v>3045</v>
      </c>
      <c r="F1220" s="7" t="s">
        <v>1161</v>
      </c>
      <c r="G1220" s="7" t="s">
        <v>1162</v>
      </c>
      <c r="H1220" s="7">
        <v>4.7</v>
      </c>
      <c r="I1220" s="7" t="s">
        <v>718</v>
      </c>
      <c r="W1220" s="1488"/>
      <c r="X1220" s="1488"/>
      <c r="Y1220" s="1488"/>
      <c r="Z1220" s="1488"/>
    </row>
    <row r="1221" spans="1:26">
      <c r="A1221" s="7" t="s">
        <v>688</v>
      </c>
      <c r="B1221" s="7" t="s">
        <v>1038</v>
      </c>
      <c r="C1221" s="7">
        <v>4</v>
      </c>
      <c r="D1221" s="7" t="s">
        <v>3044</v>
      </c>
      <c r="E1221" s="7" t="s">
        <v>3045</v>
      </c>
      <c r="F1221" s="7" t="s">
        <v>2839</v>
      </c>
      <c r="G1221" s="7" t="s">
        <v>2700</v>
      </c>
      <c r="H1221" s="7">
        <v>4.7</v>
      </c>
      <c r="I1221" s="7" t="s">
        <v>718</v>
      </c>
      <c r="W1221" s="1488"/>
      <c r="X1221" s="1488"/>
      <c r="Y1221" s="1488"/>
      <c r="Z1221" s="1488"/>
    </row>
    <row r="1222" spans="1:26">
      <c r="A1222" s="7" t="s">
        <v>688</v>
      </c>
      <c r="B1222" s="7" t="s">
        <v>1038</v>
      </c>
      <c r="C1222" s="7">
        <v>4</v>
      </c>
      <c r="D1222" s="7" t="s">
        <v>3044</v>
      </c>
      <c r="E1222" s="7" t="s">
        <v>3045</v>
      </c>
      <c r="F1222" s="7" t="s">
        <v>2837</v>
      </c>
      <c r="G1222" s="7" t="s">
        <v>2700</v>
      </c>
      <c r="H1222" s="7">
        <v>4.5</v>
      </c>
      <c r="I1222" s="7" t="s">
        <v>718</v>
      </c>
      <c r="W1222" s="1488"/>
      <c r="X1222" s="1488"/>
      <c r="Y1222" s="1488"/>
      <c r="Z1222" s="1488"/>
    </row>
    <row r="1223" spans="1:26">
      <c r="A1223" s="7" t="s">
        <v>688</v>
      </c>
      <c r="B1223" s="7" t="s">
        <v>1038</v>
      </c>
      <c r="C1223" s="7">
        <v>4</v>
      </c>
      <c r="D1223" s="7" t="s">
        <v>3044</v>
      </c>
      <c r="E1223" s="7" t="s">
        <v>3045</v>
      </c>
      <c r="F1223" s="7" t="s">
        <v>1097</v>
      </c>
      <c r="G1223" s="7" t="s">
        <v>1163</v>
      </c>
      <c r="H1223" s="7">
        <v>4.7</v>
      </c>
      <c r="I1223" s="7" t="s">
        <v>718</v>
      </c>
      <c r="W1223" s="1488"/>
      <c r="X1223" s="1488"/>
      <c r="Y1223" s="1488"/>
      <c r="Z1223" s="1488"/>
    </row>
    <row r="1224" spans="1:26">
      <c r="A1224" s="7" t="s">
        <v>688</v>
      </c>
      <c r="B1224" s="7" t="s">
        <v>1038</v>
      </c>
      <c r="C1224" s="7">
        <v>4</v>
      </c>
      <c r="D1224" s="7" t="s">
        <v>3044</v>
      </c>
      <c r="E1224" s="7" t="s">
        <v>3045</v>
      </c>
      <c r="F1224" s="7" t="s">
        <v>1164</v>
      </c>
      <c r="G1224" s="7" t="s">
        <v>1165</v>
      </c>
      <c r="H1224" s="7">
        <v>4.7</v>
      </c>
      <c r="I1224" s="7" t="s">
        <v>718</v>
      </c>
      <c r="W1224" s="1488"/>
      <c r="X1224" s="1488"/>
      <c r="Y1224" s="1488"/>
      <c r="Z1224" s="1488"/>
    </row>
    <row r="1225" spans="1:26">
      <c r="A1225" s="7" t="s">
        <v>688</v>
      </c>
      <c r="B1225" s="7" t="s">
        <v>1038</v>
      </c>
      <c r="C1225" s="7">
        <v>4</v>
      </c>
      <c r="D1225" s="7" t="s">
        <v>3044</v>
      </c>
      <c r="E1225" s="7" t="s">
        <v>3045</v>
      </c>
      <c r="F1225" s="7" t="s">
        <v>1164</v>
      </c>
      <c r="G1225" s="7" t="s">
        <v>1126</v>
      </c>
      <c r="H1225" s="7">
        <v>4.7</v>
      </c>
      <c r="I1225" s="7" t="s">
        <v>718</v>
      </c>
      <c r="W1225" s="1488"/>
      <c r="X1225" s="1488"/>
      <c r="Y1225" s="1488"/>
      <c r="Z1225" s="1488"/>
    </row>
    <row r="1226" spans="1:26">
      <c r="A1226" s="7" t="s">
        <v>688</v>
      </c>
      <c r="B1226" s="7" t="s">
        <v>1038</v>
      </c>
      <c r="C1226" s="7">
        <v>4</v>
      </c>
      <c r="D1226" s="7" t="s">
        <v>3044</v>
      </c>
      <c r="E1226" s="7" t="s">
        <v>3045</v>
      </c>
      <c r="F1226" s="7" t="s">
        <v>1098</v>
      </c>
      <c r="G1226" s="7" t="s">
        <v>1166</v>
      </c>
      <c r="H1226" s="7">
        <v>4.5</v>
      </c>
      <c r="I1226" s="7" t="s">
        <v>718</v>
      </c>
      <c r="W1226" s="1488"/>
      <c r="X1226" s="1488"/>
      <c r="Y1226" s="1488"/>
      <c r="Z1226" s="1488"/>
    </row>
    <row r="1227" spans="1:26">
      <c r="A1227" s="7" t="s">
        <v>688</v>
      </c>
      <c r="B1227" s="7" t="s">
        <v>1038</v>
      </c>
      <c r="C1227" s="7">
        <v>4</v>
      </c>
      <c r="D1227" s="7" t="s">
        <v>3044</v>
      </c>
      <c r="E1227" s="7" t="s">
        <v>3045</v>
      </c>
      <c r="F1227" s="7" t="s">
        <v>1098</v>
      </c>
      <c r="G1227" s="7" t="s">
        <v>2675</v>
      </c>
      <c r="H1227" s="7">
        <v>4.5</v>
      </c>
      <c r="I1227" s="7" t="s">
        <v>718</v>
      </c>
      <c r="W1227" s="1488"/>
      <c r="X1227" s="1488"/>
      <c r="Y1227" s="1488"/>
      <c r="Z1227" s="1488"/>
    </row>
    <row r="1228" spans="1:26">
      <c r="A1228" s="7" t="s">
        <v>688</v>
      </c>
      <c r="B1228" s="7" t="s">
        <v>1038</v>
      </c>
      <c r="C1228" s="7">
        <v>4</v>
      </c>
      <c r="D1228" s="7" t="s">
        <v>3044</v>
      </c>
      <c r="E1228" s="7" t="s">
        <v>3045</v>
      </c>
      <c r="F1228" s="7" t="s">
        <v>1167</v>
      </c>
      <c r="G1228" s="7" t="s">
        <v>1083</v>
      </c>
      <c r="H1228" s="7">
        <v>4.7</v>
      </c>
      <c r="I1228" s="7" t="s">
        <v>718</v>
      </c>
      <c r="W1228" s="1488"/>
      <c r="X1228" s="1488"/>
      <c r="Y1228" s="1488"/>
      <c r="Z1228" s="1488"/>
    </row>
    <row r="1229" spans="1:26">
      <c r="A1229" s="7" t="s">
        <v>688</v>
      </c>
      <c r="B1229" s="7" t="s">
        <v>1038</v>
      </c>
      <c r="C1229" s="7">
        <v>4</v>
      </c>
      <c r="D1229" s="7" t="s">
        <v>3044</v>
      </c>
      <c r="E1229" s="7" t="s">
        <v>3045</v>
      </c>
      <c r="F1229" s="7" t="s">
        <v>1099</v>
      </c>
      <c r="G1229" s="7" t="s">
        <v>1100</v>
      </c>
      <c r="H1229" s="7">
        <v>4.7</v>
      </c>
      <c r="I1229" s="7" t="s">
        <v>718</v>
      </c>
      <c r="W1229" s="1488"/>
      <c r="X1229" s="1488"/>
      <c r="Y1229" s="1488"/>
      <c r="Z1229" s="1488"/>
    </row>
    <row r="1230" spans="1:26">
      <c r="A1230" s="7" t="s">
        <v>688</v>
      </c>
      <c r="B1230" s="7" t="s">
        <v>1038</v>
      </c>
      <c r="C1230" s="7">
        <v>4</v>
      </c>
      <c r="D1230" s="7" t="s">
        <v>3044</v>
      </c>
      <c r="E1230" s="7" t="s">
        <v>3045</v>
      </c>
      <c r="F1230" s="7" t="s">
        <v>2867</v>
      </c>
      <c r="G1230" s="7" t="s">
        <v>2868</v>
      </c>
      <c r="H1230" s="7">
        <v>4.7</v>
      </c>
      <c r="I1230" s="7" t="s">
        <v>718</v>
      </c>
      <c r="W1230" s="1488"/>
      <c r="X1230" s="1488"/>
      <c r="Y1230" s="1488"/>
      <c r="Z1230" s="1488"/>
    </row>
    <row r="1231" spans="1:26">
      <c r="A1231" s="7" t="s">
        <v>688</v>
      </c>
      <c r="B1231" s="7" t="s">
        <v>1038</v>
      </c>
      <c r="C1231" s="7">
        <v>4</v>
      </c>
      <c r="D1231" s="7" t="s">
        <v>3044</v>
      </c>
      <c r="E1231" s="7" t="s">
        <v>3045</v>
      </c>
      <c r="F1231" s="7" t="s">
        <v>2869</v>
      </c>
      <c r="G1231" s="7" t="s">
        <v>2870</v>
      </c>
      <c r="H1231" s="7">
        <v>4.7</v>
      </c>
      <c r="I1231" s="7" t="s">
        <v>718</v>
      </c>
      <c r="W1231" s="1488"/>
      <c r="X1231" s="1488"/>
      <c r="Y1231" s="1488"/>
      <c r="Z1231" s="1488"/>
    </row>
    <row r="1232" spans="1:26">
      <c r="A1232" s="7" t="s">
        <v>688</v>
      </c>
      <c r="B1232" s="7" t="s">
        <v>1038</v>
      </c>
      <c r="C1232" s="7">
        <v>4</v>
      </c>
      <c r="D1232" s="7" t="s">
        <v>3044</v>
      </c>
      <c r="E1232" s="7" t="s">
        <v>3045</v>
      </c>
      <c r="F1232" s="7" t="s">
        <v>2871</v>
      </c>
      <c r="G1232" s="7" t="s">
        <v>2870</v>
      </c>
      <c r="H1232" s="7">
        <v>4.7</v>
      </c>
      <c r="I1232" s="7" t="s">
        <v>718</v>
      </c>
      <c r="W1232" s="1488"/>
      <c r="X1232" s="1488"/>
      <c r="Y1232" s="1488"/>
      <c r="Z1232" s="1488"/>
    </row>
    <row r="1233" spans="1:26">
      <c r="A1233" s="7" t="s">
        <v>688</v>
      </c>
      <c r="B1233" s="7" t="s">
        <v>1038</v>
      </c>
      <c r="C1233" s="7">
        <v>4</v>
      </c>
      <c r="D1233" s="7" t="s">
        <v>3044</v>
      </c>
      <c r="E1233" s="7" t="s">
        <v>3045</v>
      </c>
      <c r="F1233" s="7" t="s">
        <v>2872</v>
      </c>
      <c r="G1233" s="7" t="s">
        <v>1894</v>
      </c>
      <c r="H1233" s="7">
        <v>4.7</v>
      </c>
      <c r="I1233" s="7" t="s">
        <v>718</v>
      </c>
      <c r="W1233" s="1488"/>
      <c r="X1233" s="1488"/>
      <c r="Y1233" s="1488"/>
      <c r="Z1233" s="1488"/>
    </row>
    <row r="1234" spans="1:26">
      <c r="A1234" s="7" t="s">
        <v>688</v>
      </c>
      <c r="B1234" s="7" t="s">
        <v>1038</v>
      </c>
      <c r="C1234" s="7">
        <v>4</v>
      </c>
      <c r="D1234" s="7" t="s">
        <v>3044</v>
      </c>
      <c r="E1234" s="7" t="s">
        <v>3045</v>
      </c>
      <c r="F1234" s="7" t="s">
        <v>1101</v>
      </c>
      <c r="G1234" s="7" t="s">
        <v>1102</v>
      </c>
      <c r="H1234" s="7">
        <v>4.7</v>
      </c>
      <c r="I1234" s="7" t="s">
        <v>718</v>
      </c>
      <c r="W1234" s="1488"/>
      <c r="X1234" s="1488"/>
      <c r="Y1234" s="1488"/>
      <c r="Z1234" s="1488"/>
    </row>
    <row r="1235" spans="1:26">
      <c r="A1235" s="7" t="s">
        <v>688</v>
      </c>
      <c r="B1235" s="7" t="s">
        <v>1038</v>
      </c>
      <c r="C1235" s="7">
        <v>4</v>
      </c>
      <c r="D1235" s="7" t="s">
        <v>3044</v>
      </c>
      <c r="E1235" s="7" t="s">
        <v>3045</v>
      </c>
      <c r="F1235" s="7" t="s">
        <v>1101</v>
      </c>
      <c r="G1235" s="7" t="s">
        <v>1103</v>
      </c>
      <c r="H1235" s="7">
        <v>4.7</v>
      </c>
      <c r="I1235" s="7" t="s">
        <v>718</v>
      </c>
      <c r="W1235" s="1488"/>
      <c r="X1235" s="1488"/>
      <c r="Y1235" s="1488"/>
      <c r="Z1235" s="1488"/>
    </row>
    <row r="1236" spans="1:26">
      <c r="A1236" s="7" t="s">
        <v>688</v>
      </c>
      <c r="B1236" s="7" t="s">
        <v>1038</v>
      </c>
      <c r="C1236" s="7">
        <v>4</v>
      </c>
      <c r="D1236" s="7" t="s">
        <v>3044</v>
      </c>
      <c r="E1236" s="7" t="s">
        <v>3045</v>
      </c>
      <c r="F1236" s="7" t="s">
        <v>1104</v>
      </c>
      <c r="G1236" s="7" t="s">
        <v>1105</v>
      </c>
      <c r="H1236" s="7">
        <v>4.7</v>
      </c>
      <c r="I1236" s="7" t="s">
        <v>718</v>
      </c>
      <c r="W1236" s="1488"/>
      <c r="X1236" s="1488"/>
      <c r="Y1236" s="1488"/>
      <c r="Z1236" s="1488"/>
    </row>
    <row r="1237" spans="1:26">
      <c r="A1237" s="7" t="s">
        <v>688</v>
      </c>
      <c r="B1237" s="7" t="s">
        <v>1038</v>
      </c>
      <c r="C1237" s="7">
        <v>4</v>
      </c>
      <c r="D1237" s="7" t="s">
        <v>3044</v>
      </c>
      <c r="E1237" s="7" t="s">
        <v>3045</v>
      </c>
      <c r="F1237" s="7" t="s">
        <v>1104</v>
      </c>
      <c r="G1237" s="7" t="s">
        <v>1106</v>
      </c>
      <c r="H1237" s="7">
        <v>4.7</v>
      </c>
      <c r="I1237" s="7" t="s">
        <v>718</v>
      </c>
      <c r="W1237" s="1488"/>
      <c r="X1237" s="1488"/>
      <c r="Y1237" s="1488"/>
      <c r="Z1237" s="1488"/>
    </row>
    <row r="1238" spans="1:26">
      <c r="A1238" s="7" t="s">
        <v>688</v>
      </c>
      <c r="B1238" s="7" t="s">
        <v>1038</v>
      </c>
      <c r="C1238" s="7">
        <v>4</v>
      </c>
      <c r="D1238" s="7" t="s">
        <v>3044</v>
      </c>
      <c r="E1238" s="7" t="s">
        <v>3045</v>
      </c>
      <c r="F1238" s="7" t="s">
        <v>2873</v>
      </c>
      <c r="G1238" s="7" t="s">
        <v>1286</v>
      </c>
      <c r="H1238" s="7">
        <v>4.7</v>
      </c>
      <c r="I1238" s="7" t="s">
        <v>718</v>
      </c>
      <c r="W1238" s="1488"/>
      <c r="X1238" s="1488"/>
      <c r="Y1238" s="1488"/>
      <c r="Z1238" s="1488"/>
    </row>
    <row r="1239" spans="1:26">
      <c r="A1239" s="7" t="s">
        <v>688</v>
      </c>
      <c r="B1239" s="7" t="s">
        <v>1038</v>
      </c>
      <c r="C1239" s="7">
        <v>4</v>
      </c>
      <c r="D1239" s="7" t="s">
        <v>3044</v>
      </c>
      <c r="E1239" s="7" t="s">
        <v>3045</v>
      </c>
      <c r="F1239" s="7" t="s">
        <v>1168</v>
      </c>
      <c r="G1239" s="7" t="s">
        <v>1107</v>
      </c>
      <c r="H1239" s="7">
        <v>4.7</v>
      </c>
      <c r="I1239" s="7" t="s">
        <v>718</v>
      </c>
      <c r="W1239" s="1488"/>
      <c r="X1239" s="1488"/>
      <c r="Y1239" s="1488"/>
      <c r="Z1239" s="1488"/>
    </row>
    <row r="1240" spans="1:26">
      <c r="A1240" s="7" t="s">
        <v>688</v>
      </c>
      <c r="B1240" s="7" t="s">
        <v>1038</v>
      </c>
      <c r="C1240" s="7">
        <v>4</v>
      </c>
      <c r="D1240" s="7" t="s">
        <v>3044</v>
      </c>
      <c r="E1240" s="7" t="s">
        <v>3045</v>
      </c>
      <c r="F1240" s="7" t="s">
        <v>1169</v>
      </c>
      <c r="G1240" s="7" t="s">
        <v>1108</v>
      </c>
      <c r="H1240" s="7">
        <v>4.7</v>
      </c>
      <c r="I1240" s="7" t="s">
        <v>718</v>
      </c>
      <c r="W1240" s="1488"/>
      <c r="X1240" s="1488"/>
      <c r="Y1240" s="1488"/>
      <c r="Z1240" s="1488"/>
    </row>
    <row r="1241" spans="1:26">
      <c r="A1241" s="7" t="s">
        <v>688</v>
      </c>
      <c r="B1241" s="7" t="s">
        <v>1038</v>
      </c>
      <c r="C1241" s="7">
        <v>4</v>
      </c>
      <c r="D1241" s="7" t="s">
        <v>3044</v>
      </c>
      <c r="E1241" s="7" t="s">
        <v>3045</v>
      </c>
      <c r="F1241" s="7" t="s">
        <v>1109</v>
      </c>
      <c r="G1241" s="7" t="s">
        <v>1110</v>
      </c>
      <c r="H1241" s="7">
        <v>4.7</v>
      </c>
      <c r="I1241" s="7" t="s">
        <v>718</v>
      </c>
      <c r="W1241" s="1488"/>
      <c r="X1241" s="1488"/>
      <c r="Y1241" s="1488"/>
      <c r="Z1241" s="1488"/>
    </row>
    <row r="1242" spans="1:26">
      <c r="A1242" s="7" t="s">
        <v>688</v>
      </c>
      <c r="B1242" s="7" t="s">
        <v>1038</v>
      </c>
      <c r="C1242" s="7">
        <v>4</v>
      </c>
      <c r="D1242" s="7" t="s">
        <v>3044</v>
      </c>
      <c r="E1242" s="7" t="s">
        <v>3045</v>
      </c>
      <c r="F1242" s="7" t="s">
        <v>1170</v>
      </c>
      <c r="G1242" s="7" t="s">
        <v>1890</v>
      </c>
      <c r="H1242" s="7">
        <v>4.7</v>
      </c>
      <c r="I1242" s="7" t="s">
        <v>718</v>
      </c>
      <c r="W1242" s="1488"/>
      <c r="X1242" s="1488"/>
      <c r="Y1242" s="1488"/>
      <c r="Z1242" s="1488"/>
    </row>
    <row r="1243" spans="1:26">
      <c r="A1243" s="7" t="s">
        <v>688</v>
      </c>
      <c r="B1243" s="7" t="s">
        <v>1038</v>
      </c>
      <c r="C1243" s="7">
        <v>4</v>
      </c>
      <c r="D1243" s="7" t="s">
        <v>3044</v>
      </c>
      <c r="E1243" s="7" t="s">
        <v>3045</v>
      </c>
      <c r="F1243" s="7" t="s">
        <v>1250</v>
      </c>
      <c r="G1243" s="7" t="s">
        <v>1891</v>
      </c>
      <c r="H1243" s="7">
        <v>4.7</v>
      </c>
      <c r="I1243" s="7" t="s">
        <v>718</v>
      </c>
      <c r="W1243" s="1488"/>
      <c r="X1243" s="1488"/>
      <c r="Y1243" s="1488"/>
      <c r="Z1243" s="1488"/>
    </row>
    <row r="1244" spans="1:26">
      <c r="A1244" s="7" t="s">
        <v>688</v>
      </c>
      <c r="B1244" s="7" t="s">
        <v>1038</v>
      </c>
      <c r="C1244" s="7">
        <v>4</v>
      </c>
      <c r="D1244" s="7" t="s">
        <v>3044</v>
      </c>
      <c r="E1244" s="7" t="s">
        <v>3045</v>
      </c>
      <c r="F1244" s="7" t="s">
        <v>1447</v>
      </c>
      <c r="G1244" s="7" t="s">
        <v>1892</v>
      </c>
      <c r="H1244" s="7">
        <v>4.7</v>
      </c>
      <c r="I1244" s="7" t="s">
        <v>718</v>
      </c>
      <c r="W1244" s="1488"/>
      <c r="X1244" s="1488"/>
      <c r="Y1244" s="1488"/>
      <c r="Z1244" s="1488"/>
    </row>
    <row r="1245" spans="1:26">
      <c r="A1245" s="7" t="s">
        <v>688</v>
      </c>
      <c r="B1245" s="7" t="s">
        <v>1038</v>
      </c>
      <c r="C1245" s="7">
        <v>4</v>
      </c>
      <c r="D1245" s="7" t="s">
        <v>3044</v>
      </c>
      <c r="E1245" s="7" t="s">
        <v>3045</v>
      </c>
      <c r="F1245" s="7" t="s">
        <v>1111</v>
      </c>
      <c r="G1245" s="7" t="s">
        <v>1893</v>
      </c>
      <c r="H1245" s="7">
        <v>4.7</v>
      </c>
      <c r="I1245" s="7" t="s">
        <v>718</v>
      </c>
      <c r="W1245" s="1488"/>
      <c r="X1245" s="1488"/>
      <c r="Y1245" s="1488"/>
      <c r="Z1245" s="1488"/>
    </row>
    <row r="1246" spans="1:26">
      <c r="A1246" s="7" t="s">
        <v>688</v>
      </c>
      <c r="B1246" s="7" t="s">
        <v>1038</v>
      </c>
      <c r="C1246" s="7">
        <v>4</v>
      </c>
      <c r="D1246" s="7" t="s">
        <v>3044</v>
      </c>
      <c r="E1246" s="7" t="s">
        <v>3045</v>
      </c>
      <c r="F1246" s="7" t="s">
        <v>1171</v>
      </c>
      <c r="G1246" s="7" t="s">
        <v>1112</v>
      </c>
      <c r="H1246" s="7">
        <v>4.7</v>
      </c>
      <c r="I1246" s="7" t="s">
        <v>718</v>
      </c>
      <c r="W1246" s="1488"/>
      <c r="X1246" s="1488"/>
      <c r="Y1246" s="1488"/>
      <c r="Z1246" s="1488"/>
    </row>
    <row r="1247" spans="1:26">
      <c r="A1247" s="7" t="s">
        <v>688</v>
      </c>
      <c r="B1247" s="7" t="s">
        <v>1038</v>
      </c>
      <c r="C1247" s="7">
        <v>4</v>
      </c>
      <c r="D1247" s="7" t="s">
        <v>3044</v>
      </c>
      <c r="E1247" s="7" t="s">
        <v>3045</v>
      </c>
      <c r="F1247" s="7" t="s">
        <v>705</v>
      </c>
      <c r="G1247" s="7" t="s">
        <v>2700</v>
      </c>
      <c r="H1247" s="7">
        <v>4.7</v>
      </c>
      <c r="I1247" s="7" t="s">
        <v>718</v>
      </c>
      <c r="W1247" s="1488"/>
      <c r="X1247" s="1488"/>
      <c r="Y1247" s="1488"/>
      <c r="Z1247" s="1488"/>
    </row>
    <row r="1248" spans="1:26">
      <c r="A1248" s="7" t="s">
        <v>688</v>
      </c>
      <c r="B1248" s="7" t="s">
        <v>1038</v>
      </c>
      <c r="C1248" s="7">
        <v>4</v>
      </c>
      <c r="D1248" s="7" t="s">
        <v>3044</v>
      </c>
      <c r="E1248" s="7" t="s">
        <v>3045</v>
      </c>
      <c r="F1248" s="7" t="s">
        <v>1113</v>
      </c>
      <c r="G1248" s="7" t="s">
        <v>1114</v>
      </c>
      <c r="H1248" s="7">
        <v>4.7</v>
      </c>
      <c r="I1248" s="7" t="s">
        <v>718</v>
      </c>
      <c r="W1248" s="1488"/>
      <c r="X1248" s="1488"/>
      <c r="Y1248" s="1488"/>
      <c r="Z1248" s="1488"/>
    </row>
    <row r="1249" spans="1:26">
      <c r="A1249" s="7" t="s">
        <v>688</v>
      </c>
      <c r="B1249" s="7" t="s">
        <v>1038</v>
      </c>
      <c r="C1249" s="7">
        <v>4</v>
      </c>
      <c r="D1249" s="7" t="s">
        <v>3044</v>
      </c>
      <c r="E1249" s="7" t="s">
        <v>3045</v>
      </c>
      <c r="F1249" s="7" t="s">
        <v>1113</v>
      </c>
      <c r="G1249" s="7" t="s">
        <v>1115</v>
      </c>
      <c r="H1249" s="7">
        <v>4.7</v>
      </c>
      <c r="I1249" s="7" t="s">
        <v>718</v>
      </c>
      <c r="W1249" s="1488"/>
      <c r="X1249" s="1488"/>
      <c r="Y1249" s="1488"/>
      <c r="Z1249" s="1488"/>
    </row>
    <row r="1250" spans="1:26">
      <c r="A1250" s="7" t="s">
        <v>688</v>
      </c>
      <c r="B1250" s="7" t="s">
        <v>1038</v>
      </c>
      <c r="C1250" s="7">
        <v>4</v>
      </c>
      <c r="D1250" s="7" t="s">
        <v>3044</v>
      </c>
      <c r="E1250" s="7" t="s">
        <v>3045</v>
      </c>
      <c r="F1250" s="7" t="s">
        <v>1116</v>
      </c>
      <c r="G1250" s="7" t="s">
        <v>1117</v>
      </c>
      <c r="H1250" s="7">
        <v>4.5</v>
      </c>
      <c r="I1250" s="7" t="s">
        <v>718</v>
      </c>
      <c r="W1250" s="1488"/>
      <c r="X1250" s="1488"/>
      <c r="Y1250" s="1488"/>
      <c r="Z1250" s="1488"/>
    </row>
    <row r="1251" spans="1:26">
      <c r="A1251" s="7" t="s">
        <v>688</v>
      </c>
      <c r="B1251" s="7" t="s">
        <v>1038</v>
      </c>
      <c r="C1251" s="7">
        <v>4</v>
      </c>
      <c r="D1251" s="7" t="s">
        <v>3044</v>
      </c>
      <c r="E1251" s="7" t="s">
        <v>3045</v>
      </c>
      <c r="F1251" s="7" t="s">
        <v>1118</v>
      </c>
      <c r="G1251" s="7" t="s">
        <v>1119</v>
      </c>
      <c r="H1251" s="7">
        <v>4.7</v>
      </c>
      <c r="I1251" s="7" t="s">
        <v>718</v>
      </c>
      <c r="W1251" s="1488"/>
      <c r="X1251" s="1488"/>
      <c r="Y1251" s="1488"/>
      <c r="Z1251" s="1488"/>
    </row>
    <row r="1252" spans="1:26">
      <c r="A1252" s="7" t="s">
        <v>688</v>
      </c>
      <c r="B1252" s="7" t="s">
        <v>1038</v>
      </c>
      <c r="C1252" s="7">
        <v>4</v>
      </c>
      <c r="D1252" s="7" t="s">
        <v>3044</v>
      </c>
      <c r="E1252" s="7" t="s">
        <v>3045</v>
      </c>
      <c r="F1252" s="7" t="s">
        <v>1120</v>
      </c>
      <c r="G1252" s="7" t="s">
        <v>1121</v>
      </c>
      <c r="H1252" s="7">
        <v>4.7</v>
      </c>
      <c r="I1252" s="7" t="s">
        <v>718</v>
      </c>
      <c r="W1252" s="1488"/>
      <c r="X1252" s="1488"/>
      <c r="Y1252" s="1488"/>
      <c r="Z1252" s="1488"/>
    </row>
    <row r="1253" spans="1:26">
      <c r="A1253" s="7" t="s">
        <v>688</v>
      </c>
      <c r="B1253" s="7" t="s">
        <v>1038</v>
      </c>
      <c r="C1253" s="7">
        <v>4</v>
      </c>
      <c r="D1253" s="7" t="s">
        <v>3044</v>
      </c>
      <c r="E1253" s="7" t="s">
        <v>3045</v>
      </c>
      <c r="F1253" s="7" t="s">
        <v>1120</v>
      </c>
      <c r="G1253" s="7" t="s">
        <v>2875</v>
      </c>
      <c r="H1253" s="7">
        <v>4.7</v>
      </c>
      <c r="I1253" s="7" t="s">
        <v>718</v>
      </c>
      <c r="W1253" s="1488"/>
      <c r="X1253" s="1488"/>
      <c r="Y1253" s="1488"/>
      <c r="Z1253" s="1488"/>
    </row>
    <row r="1254" spans="1:26">
      <c r="A1254" s="7" t="s">
        <v>688</v>
      </c>
      <c r="B1254" s="7" t="s">
        <v>1038</v>
      </c>
      <c r="C1254" s="7">
        <v>4</v>
      </c>
      <c r="D1254" s="7" t="s">
        <v>3044</v>
      </c>
      <c r="E1254" s="7" t="s">
        <v>3045</v>
      </c>
      <c r="F1254" s="7" t="s">
        <v>1120</v>
      </c>
      <c r="G1254" s="7" t="s">
        <v>2874</v>
      </c>
      <c r="H1254" s="7">
        <v>4.7</v>
      </c>
      <c r="I1254" s="7" t="s">
        <v>718</v>
      </c>
      <c r="W1254" s="1488"/>
      <c r="X1254" s="1488"/>
      <c r="Y1254" s="1488"/>
      <c r="Z1254" s="1488"/>
    </row>
    <row r="1255" spans="1:26">
      <c r="A1255" s="7" t="s">
        <v>688</v>
      </c>
      <c r="B1255" s="7" t="s">
        <v>1038</v>
      </c>
      <c r="C1255" s="7">
        <v>4</v>
      </c>
      <c r="D1255" s="7" t="s">
        <v>3044</v>
      </c>
      <c r="E1255" s="7" t="s">
        <v>3045</v>
      </c>
      <c r="F1255" s="7" t="s">
        <v>405</v>
      </c>
      <c r="G1255" s="7" t="s">
        <v>1122</v>
      </c>
      <c r="H1255" s="7">
        <v>4.7</v>
      </c>
      <c r="I1255" s="7" t="s">
        <v>718</v>
      </c>
      <c r="W1255" s="1488"/>
      <c r="X1255" s="1488"/>
      <c r="Y1255" s="1488"/>
      <c r="Z1255" s="1488"/>
    </row>
    <row r="1256" spans="1:26">
      <c r="A1256" s="7" t="s">
        <v>688</v>
      </c>
      <c r="B1256" s="7" t="s">
        <v>1038</v>
      </c>
      <c r="C1256" s="7">
        <v>4</v>
      </c>
      <c r="D1256" s="7" t="s">
        <v>3044</v>
      </c>
      <c r="E1256" s="7" t="s">
        <v>3045</v>
      </c>
      <c r="F1256" s="7" t="s">
        <v>405</v>
      </c>
      <c r="G1256" s="7" t="s">
        <v>413</v>
      </c>
      <c r="H1256" s="7">
        <v>4.7</v>
      </c>
      <c r="I1256" s="7" t="s">
        <v>718</v>
      </c>
      <c r="W1256" s="1488"/>
      <c r="X1256" s="1488"/>
      <c r="Y1256" s="1488"/>
      <c r="Z1256" s="1488"/>
    </row>
    <row r="1257" spans="1:26">
      <c r="A1257" s="7" t="s">
        <v>688</v>
      </c>
      <c r="B1257" s="7" t="s">
        <v>1038</v>
      </c>
      <c r="C1257" s="7">
        <v>4</v>
      </c>
      <c r="D1257" s="7" t="s">
        <v>3044</v>
      </c>
      <c r="E1257" s="7" t="s">
        <v>3045</v>
      </c>
      <c r="F1257" s="7" t="s">
        <v>405</v>
      </c>
      <c r="G1257" s="7" t="s">
        <v>412</v>
      </c>
      <c r="H1257" s="7">
        <v>4.7</v>
      </c>
      <c r="I1257" s="7" t="s">
        <v>718</v>
      </c>
      <c r="W1257" s="1488"/>
      <c r="X1257" s="1488"/>
      <c r="Y1257" s="1488"/>
      <c r="Z1257" s="1488"/>
    </row>
    <row r="1258" spans="1:26">
      <c r="A1258" s="7" t="s">
        <v>688</v>
      </c>
      <c r="B1258" s="7" t="s">
        <v>1038</v>
      </c>
      <c r="C1258" s="7">
        <v>4</v>
      </c>
      <c r="D1258" s="7" t="s">
        <v>3044</v>
      </c>
      <c r="E1258" s="7" t="s">
        <v>3045</v>
      </c>
      <c r="F1258" s="7" t="s">
        <v>405</v>
      </c>
      <c r="G1258" s="7" t="s">
        <v>414</v>
      </c>
      <c r="H1258" s="7">
        <v>4.7</v>
      </c>
      <c r="I1258" s="7" t="s">
        <v>718</v>
      </c>
      <c r="W1258" s="1488"/>
      <c r="X1258" s="1488"/>
      <c r="Y1258" s="1488"/>
      <c r="Z1258" s="1488"/>
    </row>
    <row r="1259" spans="1:26">
      <c r="A1259" s="7" t="s">
        <v>688</v>
      </c>
      <c r="B1259" s="7" t="s">
        <v>1038</v>
      </c>
      <c r="C1259" s="7">
        <v>4</v>
      </c>
      <c r="D1259" s="7" t="s">
        <v>3044</v>
      </c>
      <c r="E1259" s="7" t="s">
        <v>3045</v>
      </c>
      <c r="F1259" s="7" t="s">
        <v>405</v>
      </c>
      <c r="G1259" s="7" t="s">
        <v>415</v>
      </c>
      <c r="H1259" s="7">
        <v>4.7</v>
      </c>
      <c r="I1259" s="7" t="s">
        <v>718</v>
      </c>
      <c r="W1259" s="1488"/>
      <c r="X1259" s="1488"/>
      <c r="Y1259" s="1488"/>
      <c r="Z1259" s="1488"/>
    </row>
    <row r="1260" spans="1:26">
      <c r="A1260" s="7" t="s">
        <v>688</v>
      </c>
      <c r="B1260" s="7" t="s">
        <v>1038</v>
      </c>
      <c r="C1260" s="7">
        <v>4</v>
      </c>
      <c r="D1260" s="7" t="s">
        <v>3044</v>
      </c>
      <c r="E1260" s="7" t="s">
        <v>3045</v>
      </c>
      <c r="F1260" s="7" t="s">
        <v>2876</v>
      </c>
      <c r="G1260" s="7" t="s">
        <v>2877</v>
      </c>
      <c r="H1260" s="7">
        <v>4.7</v>
      </c>
      <c r="I1260" s="7" t="s">
        <v>718</v>
      </c>
      <c r="W1260" s="1488"/>
      <c r="X1260" s="1488"/>
      <c r="Y1260" s="1488"/>
      <c r="Z1260" s="1488"/>
    </row>
    <row r="1261" spans="1:26">
      <c r="W1261" s="1488"/>
      <c r="X1261" s="1488"/>
      <c r="Y1261" s="1488"/>
      <c r="Z1261" s="1488"/>
    </row>
    <row r="1262" spans="1:26">
      <c r="W1262" s="1488"/>
      <c r="X1262" s="1488"/>
      <c r="Y1262" s="1488"/>
      <c r="Z1262" s="1488"/>
    </row>
    <row r="1263" spans="1:26">
      <c r="W1263" s="1488"/>
      <c r="X1263" s="1488"/>
      <c r="Y1263" s="1488"/>
      <c r="Z1263" s="1488"/>
    </row>
    <row r="1264" spans="1:26">
      <c r="W1264" s="1488"/>
      <c r="X1264" s="1488"/>
      <c r="Y1264" s="1488"/>
      <c r="Z1264" s="1488"/>
    </row>
    <row r="1265" spans="23:26">
      <c r="W1265" s="1488"/>
      <c r="X1265" s="1488"/>
      <c r="Y1265" s="1488"/>
      <c r="Z1265" s="1488"/>
    </row>
    <row r="1266" spans="23:26">
      <c r="W1266" s="1488"/>
      <c r="X1266" s="1488"/>
      <c r="Y1266" s="1488"/>
      <c r="Z1266" s="1488"/>
    </row>
    <row r="1267" spans="23:26">
      <c r="W1267" s="1488"/>
      <c r="X1267" s="1488"/>
      <c r="Y1267" s="1488"/>
      <c r="Z1267" s="1488"/>
    </row>
    <row r="1268" spans="23:26">
      <c r="W1268" s="1488"/>
      <c r="X1268" s="1488"/>
      <c r="Y1268" s="1488"/>
      <c r="Z1268" s="1488"/>
    </row>
    <row r="1269" spans="23:26">
      <c r="W1269" s="1488"/>
      <c r="X1269" s="1488"/>
      <c r="Y1269" s="1488"/>
      <c r="Z1269" s="1488"/>
    </row>
    <row r="1270" spans="23:26">
      <c r="W1270" s="1488"/>
      <c r="X1270" s="1488"/>
      <c r="Y1270" s="1488"/>
      <c r="Z1270" s="1488"/>
    </row>
    <row r="1271" spans="23:26">
      <c r="W1271" s="1488"/>
      <c r="X1271" s="1488"/>
      <c r="Y1271" s="1488"/>
      <c r="Z1271" s="1488"/>
    </row>
  </sheetData>
  <autoFilter ref="W2:Z1271" xr:uid="{00000000-0009-0000-0000-000013000000}"/>
  <pageMargins left="0.7" right="0.7" top="0.75" bottom="0.75" header="0.3" footer="0.3"/>
  <pageSetup orientation="portrait" horizontalDpi="90" verticalDpi="90"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0" tint="-0.499984740745262"/>
  </sheetPr>
  <dimension ref="A1:R970"/>
  <sheetViews>
    <sheetView showGridLines="0" workbookViewId="0">
      <pane ySplit="1" topLeftCell="A2" activePane="bottomLeft" state="frozen"/>
      <selection pane="bottomLeft" activeCell="N14" sqref="N14"/>
    </sheetView>
  </sheetViews>
  <sheetFormatPr baseColWidth="10" defaultColWidth="9.26953125" defaultRowHeight="10.5"/>
  <cols>
    <col min="1" max="1" width="11.453125" style="1472" bestFit="1" customWidth="1"/>
    <col min="2" max="2" width="9.453125" style="1472" customWidth="1"/>
    <col min="3" max="3" width="5.26953125" style="1472" customWidth="1"/>
    <col min="4" max="4" width="40.26953125" style="1778" bestFit="1" customWidth="1"/>
    <col min="5" max="7" width="50.7265625" style="1472" customWidth="1"/>
    <col min="8" max="16384" width="9.26953125" style="1472"/>
  </cols>
  <sheetData>
    <row r="1" spans="1:18" ht="12">
      <c r="A1" s="1756" t="s">
        <v>686</v>
      </c>
      <c r="B1" s="1756" t="s">
        <v>2585</v>
      </c>
      <c r="C1" s="1756" t="s">
        <v>2586</v>
      </c>
      <c r="D1" s="1774" t="s">
        <v>3372</v>
      </c>
      <c r="E1" s="1757" t="s">
        <v>16</v>
      </c>
      <c r="F1" s="1758" t="s">
        <v>764</v>
      </c>
      <c r="G1" s="1768" t="s">
        <v>3108</v>
      </c>
      <c r="Q1" s="1472" t="s">
        <v>686</v>
      </c>
      <c r="R1" s="1472" t="s">
        <v>4186</v>
      </c>
    </row>
    <row r="2" spans="1:18" ht="12">
      <c r="A2" s="1472" t="s">
        <v>3109</v>
      </c>
      <c r="B2" s="1472" t="s">
        <v>3109</v>
      </c>
      <c r="C2" s="1472" t="s">
        <v>1237</v>
      </c>
      <c r="D2" s="1775" t="s">
        <v>3373</v>
      </c>
      <c r="E2" s="1759" t="s">
        <v>2657</v>
      </c>
      <c r="F2" s="1760" t="s">
        <v>3110</v>
      </c>
      <c r="G2" s="1769" t="s">
        <v>3111</v>
      </c>
      <c r="I2" s="1472" t="s">
        <v>3373</v>
      </c>
      <c r="Q2" s="1472" t="s">
        <v>1911</v>
      </c>
      <c r="R2" s="1472" t="s">
        <v>3373</v>
      </c>
    </row>
    <row r="3" spans="1:18" ht="12">
      <c r="A3" s="2069" t="s">
        <v>3109</v>
      </c>
      <c r="B3" s="2069" t="s">
        <v>3109</v>
      </c>
      <c r="C3" s="2069" t="s">
        <v>1237</v>
      </c>
      <c r="D3" s="2068" t="s">
        <v>4177</v>
      </c>
      <c r="E3" s="2070" t="s">
        <v>4177</v>
      </c>
      <c r="F3" s="2071" t="s">
        <v>4178</v>
      </c>
      <c r="G3" s="2072" t="s">
        <v>4179</v>
      </c>
      <c r="Q3" s="1472" t="s">
        <v>19</v>
      </c>
      <c r="R3" s="1472" t="s">
        <v>4177</v>
      </c>
    </row>
    <row r="4" spans="1:18" ht="12">
      <c r="A4" s="2069" t="s">
        <v>3109</v>
      </c>
      <c r="B4" s="2069" t="s">
        <v>3109</v>
      </c>
      <c r="C4" s="2069" t="s">
        <v>1237</v>
      </c>
      <c r="D4" s="2068" t="s">
        <v>4180</v>
      </c>
      <c r="E4" s="2070" t="s">
        <v>4180</v>
      </c>
      <c r="F4" s="2071" t="s">
        <v>4181</v>
      </c>
      <c r="G4" s="2072" t="s">
        <v>4182</v>
      </c>
      <c r="Q4" s="1472" t="s">
        <v>688</v>
      </c>
      <c r="R4" s="2073" t="s">
        <v>4183</v>
      </c>
    </row>
    <row r="5" spans="1:18" ht="12">
      <c r="A5" s="2069" t="s">
        <v>3109</v>
      </c>
      <c r="B5" s="2069" t="s">
        <v>3109</v>
      </c>
      <c r="C5" s="2069" t="s">
        <v>1237</v>
      </c>
      <c r="D5" s="2068" t="s">
        <v>4183</v>
      </c>
      <c r="E5" s="2070" t="s">
        <v>4183</v>
      </c>
      <c r="F5" s="2071" t="s">
        <v>4184</v>
      </c>
      <c r="G5" s="2072" t="s">
        <v>4185</v>
      </c>
      <c r="Q5" s="1472" t="s">
        <v>690</v>
      </c>
      <c r="R5" s="1472" t="s">
        <v>4180</v>
      </c>
    </row>
    <row r="6" spans="1:18" ht="12">
      <c r="A6" s="1472" t="s">
        <v>3109</v>
      </c>
      <c r="B6" s="1472" t="s">
        <v>3109</v>
      </c>
      <c r="C6" s="1472" t="s">
        <v>1237</v>
      </c>
      <c r="D6" s="1776" t="s">
        <v>1</v>
      </c>
      <c r="E6" s="1761" t="s">
        <v>1</v>
      </c>
      <c r="F6" s="1762" t="s">
        <v>3112</v>
      </c>
      <c r="G6" s="1770" t="s">
        <v>3113</v>
      </c>
      <c r="I6" s="1472" t="s">
        <v>1</v>
      </c>
    </row>
    <row r="7" spans="1:18" ht="12">
      <c r="A7" s="1472" t="s">
        <v>3109</v>
      </c>
      <c r="B7" s="1472" t="s">
        <v>3109</v>
      </c>
      <c r="C7" s="1472" t="s">
        <v>1237</v>
      </c>
      <c r="D7" s="1776" t="s">
        <v>15</v>
      </c>
      <c r="E7" s="1761" t="s">
        <v>15</v>
      </c>
      <c r="F7" s="1762" t="s">
        <v>3114</v>
      </c>
      <c r="G7" s="1770" t="s">
        <v>3115</v>
      </c>
      <c r="I7" s="1472" t="s">
        <v>15</v>
      </c>
    </row>
    <row r="8" spans="1:18" ht="12">
      <c r="A8" s="1472" t="s">
        <v>3109</v>
      </c>
      <c r="B8" s="1472" t="s">
        <v>3109</v>
      </c>
      <c r="C8" s="1472" t="s">
        <v>1237</v>
      </c>
      <c r="D8" s="1776" t="s">
        <v>3374</v>
      </c>
      <c r="E8" s="1761" t="s">
        <v>17</v>
      </c>
      <c r="F8" s="1762" t="s">
        <v>3116</v>
      </c>
      <c r="G8" s="1770" t="s">
        <v>3117</v>
      </c>
      <c r="I8" s="1472" t="s">
        <v>3374</v>
      </c>
    </row>
    <row r="9" spans="1:18" ht="12">
      <c r="A9" s="1472" t="s">
        <v>3109</v>
      </c>
      <c r="B9" s="1472" t="s">
        <v>3109</v>
      </c>
      <c r="C9" s="1472" t="s">
        <v>1237</v>
      </c>
      <c r="D9" s="1776" t="s">
        <v>3</v>
      </c>
      <c r="E9" s="1761" t="s">
        <v>3</v>
      </c>
      <c r="F9" s="1762" t="s">
        <v>3118</v>
      </c>
      <c r="G9" s="1770" t="s">
        <v>3119</v>
      </c>
      <c r="I9" s="1472" t="s">
        <v>3</v>
      </c>
    </row>
    <row r="10" spans="1:18" ht="24">
      <c r="A10" s="1472" t="s">
        <v>3109</v>
      </c>
      <c r="B10" s="1472" t="s">
        <v>3109</v>
      </c>
      <c r="C10" s="1472" t="s">
        <v>1237</v>
      </c>
      <c r="D10" s="1776" t="s">
        <v>2624</v>
      </c>
      <c r="E10" s="1761" t="s">
        <v>2624</v>
      </c>
      <c r="F10" s="1762" t="s">
        <v>3120</v>
      </c>
      <c r="G10" s="1771" t="s">
        <v>3121</v>
      </c>
      <c r="I10" s="1472" t="s">
        <v>2624</v>
      </c>
    </row>
    <row r="11" spans="1:18" ht="12">
      <c r="A11" s="1472" t="s">
        <v>3109</v>
      </c>
      <c r="B11" s="1472" t="s">
        <v>3109</v>
      </c>
      <c r="C11" s="1472" t="s">
        <v>1237</v>
      </c>
      <c r="D11" s="1776" t="s">
        <v>3375</v>
      </c>
      <c r="E11" s="1761" t="s">
        <v>4</v>
      </c>
      <c r="F11" s="1762" t="s">
        <v>3122</v>
      </c>
      <c r="G11" s="1770" t="s">
        <v>3123</v>
      </c>
      <c r="I11" s="1472" t="s">
        <v>3375</v>
      </c>
    </row>
    <row r="12" spans="1:18" ht="12">
      <c r="A12" s="1472" t="s">
        <v>3109</v>
      </c>
      <c r="B12" s="1472" t="s">
        <v>3109</v>
      </c>
      <c r="C12" s="1472" t="s">
        <v>1237</v>
      </c>
      <c r="D12" s="1776" t="s">
        <v>20</v>
      </c>
      <c r="E12" s="1761" t="s">
        <v>20</v>
      </c>
      <c r="F12" s="1762" t="s">
        <v>3124</v>
      </c>
      <c r="G12" s="1770" t="s">
        <v>3125</v>
      </c>
      <c r="I12" s="1472" t="s">
        <v>20</v>
      </c>
    </row>
    <row r="13" spans="1:18" ht="12">
      <c r="A13" s="1472" t="s">
        <v>3109</v>
      </c>
      <c r="B13" s="1472" t="s">
        <v>3109</v>
      </c>
      <c r="C13" s="1472" t="s">
        <v>1237</v>
      </c>
      <c r="D13" s="1776" t="s">
        <v>3376</v>
      </c>
      <c r="E13" s="1761" t="s">
        <v>21</v>
      </c>
      <c r="F13" s="1762" t="s">
        <v>3126</v>
      </c>
      <c r="G13" s="1770" t="s">
        <v>3127</v>
      </c>
      <c r="I13" s="1472" t="s">
        <v>3376</v>
      </c>
    </row>
    <row r="14" spans="1:18" ht="12">
      <c r="A14" s="1472" t="s">
        <v>3109</v>
      </c>
      <c r="B14" s="1472" t="s">
        <v>3109</v>
      </c>
      <c r="C14" s="1472" t="s">
        <v>1237</v>
      </c>
      <c r="D14" s="1776" t="s">
        <v>3377</v>
      </c>
      <c r="E14" s="1761" t="s">
        <v>22</v>
      </c>
      <c r="F14" s="1762" t="s">
        <v>3128</v>
      </c>
      <c r="G14" s="1770" t="s">
        <v>3129</v>
      </c>
      <c r="I14" s="1472" t="s">
        <v>3377</v>
      </c>
    </row>
    <row r="15" spans="1:18" ht="12">
      <c r="A15" s="1472" t="s">
        <v>3109</v>
      </c>
      <c r="B15" s="1472" t="s">
        <v>3109</v>
      </c>
      <c r="C15" s="1472" t="s">
        <v>1237</v>
      </c>
      <c r="D15" s="1776" t="s">
        <v>3378</v>
      </c>
      <c r="E15" s="1761" t="s">
        <v>23</v>
      </c>
      <c r="F15" s="1762" t="s">
        <v>3130</v>
      </c>
      <c r="G15" s="1770" t="s">
        <v>3131</v>
      </c>
      <c r="I15" s="1472" t="s">
        <v>3378</v>
      </c>
    </row>
    <row r="16" spans="1:18" ht="24">
      <c r="A16" s="1472" t="s">
        <v>3109</v>
      </c>
      <c r="B16" s="1472" t="s">
        <v>3109</v>
      </c>
      <c r="C16" s="1472" t="s">
        <v>1237</v>
      </c>
      <c r="D16" s="1776" t="s">
        <v>2623</v>
      </c>
      <c r="E16" s="1761" t="s">
        <v>2623</v>
      </c>
      <c r="F16" s="1762" t="s">
        <v>3132</v>
      </c>
      <c r="G16" s="1770" t="s">
        <v>3133</v>
      </c>
      <c r="I16" s="1472" t="s">
        <v>2623</v>
      </c>
    </row>
    <row r="17" spans="1:9" ht="12">
      <c r="A17" s="1472" t="s">
        <v>3109</v>
      </c>
      <c r="B17" s="1472" t="s">
        <v>3109</v>
      </c>
      <c r="C17" s="1472" t="s">
        <v>1237</v>
      </c>
      <c r="D17" s="1776" t="s">
        <v>3379</v>
      </c>
      <c r="E17" s="1761" t="s">
        <v>2588</v>
      </c>
      <c r="F17" s="1762" t="s">
        <v>3134</v>
      </c>
      <c r="G17" s="1770" t="s">
        <v>3135</v>
      </c>
      <c r="I17" s="1472" t="s">
        <v>3379</v>
      </c>
    </row>
    <row r="18" spans="1:9" ht="12">
      <c r="A18" s="1472" t="s">
        <v>3109</v>
      </c>
      <c r="B18" s="1472" t="s">
        <v>3109</v>
      </c>
      <c r="C18" s="1472" t="s">
        <v>1237</v>
      </c>
      <c r="D18" s="1776" t="s">
        <v>4170</v>
      </c>
      <c r="E18" s="1761" t="s">
        <v>4170</v>
      </c>
      <c r="F18" s="1762" t="s">
        <v>4171</v>
      </c>
      <c r="G18" s="1770" t="s">
        <v>4172</v>
      </c>
      <c r="I18" s="1472" t="s">
        <v>4170</v>
      </c>
    </row>
    <row r="19" spans="1:9" ht="12">
      <c r="A19" s="1472" t="s">
        <v>3109</v>
      </c>
      <c r="B19" s="1472" t="s">
        <v>3109</v>
      </c>
      <c r="C19" s="1472" t="s">
        <v>1237</v>
      </c>
      <c r="D19" s="1776" t="s">
        <v>2625</v>
      </c>
      <c r="E19" s="1761" t="s">
        <v>2625</v>
      </c>
      <c r="F19" s="1762" t="s">
        <v>3136</v>
      </c>
      <c r="G19" s="1770" t="s">
        <v>3137</v>
      </c>
      <c r="I19" s="1472" t="s">
        <v>2625</v>
      </c>
    </row>
    <row r="20" spans="1:9" ht="12">
      <c r="A20" s="1472" t="s">
        <v>3109</v>
      </c>
      <c r="B20" s="1472" t="s">
        <v>3109</v>
      </c>
      <c r="C20" s="1472" t="s">
        <v>1237</v>
      </c>
      <c r="D20" s="1776" t="s">
        <v>2618</v>
      </c>
      <c r="E20" s="1761" t="s">
        <v>2618</v>
      </c>
      <c r="F20" s="1762" t="s">
        <v>3138</v>
      </c>
      <c r="G20" s="1770" t="s">
        <v>2618</v>
      </c>
      <c r="I20" s="1472" t="s">
        <v>2618</v>
      </c>
    </row>
    <row r="21" spans="1:9" ht="12">
      <c r="A21" s="1472" t="s">
        <v>3109</v>
      </c>
      <c r="B21" s="1472" t="s">
        <v>3109</v>
      </c>
      <c r="C21" s="1472" t="s">
        <v>1237</v>
      </c>
      <c r="D21" s="1776" t="s">
        <v>2619</v>
      </c>
      <c r="E21" s="1761" t="s">
        <v>2619</v>
      </c>
      <c r="F21" s="1762" t="s">
        <v>3139</v>
      </c>
      <c r="G21" s="1770" t="s">
        <v>3140</v>
      </c>
      <c r="I21" s="1472" t="s">
        <v>2619</v>
      </c>
    </row>
    <row r="22" spans="1:9" ht="24">
      <c r="A22" s="1472" t="s">
        <v>3109</v>
      </c>
      <c r="B22" s="1472" t="s">
        <v>3109</v>
      </c>
      <c r="C22" s="1472" t="s">
        <v>1237</v>
      </c>
      <c r="D22" s="1776" t="s">
        <v>2620</v>
      </c>
      <c r="E22" s="1761" t="s">
        <v>2620</v>
      </c>
      <c r="F22" s="1762" t="s">
        <v>3141</v>
      </c>
      <c r="G22" s="1770" t="s">
        <v>3142</v>
      </c>
      <c r="I22" s="1472" t="s">
        <v>2620</v>
      </c>
    </row>
    <row r="23" spans="1:9" ht="12">
      <c r="A23" s="1472" t="s">
        <v>3109</v>
      </c>
      <c r="B23" s="1472" t="s">
        <v>3109</v>
      </c>
      <c r="C23" s="1472" t="s">
        <v>1237</v>
      </c>
      <c r="D23" s="1776" t="s">
        <v>2</v>
      </c>
      <c r="E23" s="1761" t="s">
        <v>2</v>
      </c>
      <c r="F23" s="1762" t="s">
        <v>3143</v>
      </c>
      <c r="G23" s="1770" t="s">
        <v>3144</v>
      </c>
      <c r="I23" s="1472" t="s">
        <v>2</v>
      </c>
    </row>
    <row r="24" spans="1:9" ht="12">
      <c r="A24" s="1472" t="s">
        <v>3109</v>
      </c>
      <c r="B24" s="1472" t="s">
        <v>3109</v>
      </c>
      <c r="C24" s="1472" t="s">
        <v>1237</v>
      </c>
      <c r="D24" s="1776" t="s">
        <v>2621</v>
      </c>
      <c r="E24" s="1761" t="s">
        <v>2621</v>
      </c>
      <c r="F24" s="1762" t="s">
        <v>3145</v>
      </c>
      <c r="G24" s="1770" t="s">
        <v>3146</v>
      </c>
      <c r="I24" s="1472" t="s">
        <v>2621</v>
      </c>
    </row>
    <row r="25" spans="1:9" ht="12">
      <c r="A25" s="1472" t="s">
        <v>3109</v>
      </c>
      <c r="B25" s="1472" t="s">
        <v>3109</v>
      </c>
      <c r="C25" s="1472" t="s">
        <v>1237</v>
      </c>
      <c r="D25" s="1776" t="s">
        <v>2622</v>
      </c>
      <c r="E25" s="1761" t="s">
        <v>2622</v>
      </c>
      <c r="F25" s="1762" t="s">
        <v>3147</v>
      </c>
      <c r="G25" s="1770" t="s">
        <v>3148</v>
      </c>
      <c r="I25" s="1472" t="s">
        <v>2622</v>
      </c>
    </row>
    <row r="26" spans="1:9" ht="12">
      <c r="A26" s="1472" t="s">
        <v>3109</v>
      </c>
      <c r="B26" s="1472" t="s">
        <v>3109</v>
      </c>
      <c r="C26" s="1472" t="s">
        <v>1237</v>
      </c>
      <c r="D26" s="1776" t="s">
        <v>24</v>
      </c>
      <c r="E26" s="1761" t="s">
        <v>24</v>
      </c>
      <c r="F26" s="1762" t="s">
        <v>3149</v>
      </c>
      <c r="G26" s="1770" t="s">
        <v>3150</v>
      </c>
      <c r="I26" s="1472" t="s">
        <v>24</v>
      </c>
    </row>
    <row r="27" spans="1:9" ht="12">
      <c r="A27" s="1472" t="s">
        <v>3109</v>
      </c>
      <c r="B27" s="1472" t="s">
        <v>3109</v>
      </c>
      <c r="C27" s="1472" t="s">
        <v>1237</v>
      </c>
      <c r="D27" s="1776" t="s">
        <v>3056</v>
      </c>
      <c r="E27" s="1761" t="s">
        <v>3056</v>
      </c>
      <c r="F27" s="1762" t="s">
        <v>3151</v>
      </c>
      <c r="G27" s="1770" t="s">
        <v>3152</v>
      </c>
      <c r="I27" s="1472" t="s">
        <v>3056</v>
      </c>
    </row>
    <row r="28" spans="1:9" ht="12">
      <c r="A28" s="1472" t="s">
        <v>3109</v>
      </c>
      <c r="B28" s="1472" t="s">
        <v>3109</v>
      </c>
      <c r="C28" s="1472" t="s">
        <v>1237</v>
      </c>
      <c r="D28" s="1776" t="s">
        <v>1036</v>
      </c>
      <c r="E28" s="1761" t="s">
        <v>1036</v>
      </c>
      <c r="F28" s="1762" t="s">
        <v>3153</v>
      </c>
      <c r="G28" s="1770" t="s">
        <v>3154</v>
      </c>
      <c r="I28" s="1472" t="s">
        <v>1036</v>
      </c>
    </row>
    <row r="29" spans="1:9" ht="12">
      <c r="A29" s="1472" t="s">
        <v>3109</v>
      </c>
      <c r="B29" s="1472" t="s">
        <v>3109</v>
      </c>
      <c r="C29" s="1472" t="s">
        <v>1237</v>
      </c>
      <c r="D29" s="1776" t="s">
        <v>1039</v>
      </c>
      <c r="E29" s="1761" t="s">
        <v>1039</v>
      </c>
      <c r="F29" s="1762" t="s">
        <v>3155</v>
      </c>
      <c r="G29" s="1770" t="s">
        <v>3156</v>
      </c>
      <c r="I29" s="1472" t="s">
        <v>1039</v>
      </c>
    </row>
    <row r="30" spans="1:9" ht="12">
      <c r="A30" s="1472" t="s">
        <v>3109</v>
      </c>
      <c r="B30" s="1472" t="s">
        <v>3109</v>
      </c>
      <c r="C30" s="1472" t="s">
        <v>1237</v>
      </c>
      <c r="D30" s="1776" t="s">
        <v>2613</v>
      </c>
      <c r="E30" s="1761" t="s">
        <v>2613</v>
      </c>
      <c r="F30" s="1762" t="s">
        <v>3157</v>
      </c>
      <c r="G30" s="1770" t="s">
        <v>3158</v>
      </c>
      <c r="I30" s="1472" t="s">
        <v>2613</v>
      </c>
    </row>
    <row r="31" spans="1:9" ht="12">
      <c r="A31" s="1472" t="s">
        <v>3109</v>
      </c>
      <c r="B31" s="1472" t="s">
        <v>3109</v>
      </c>
      <c r="C31" s="1472" t="s">
        <v>1237</v>
      </c>
      <c r="D31" s="1776" t="s">
        <v>2617</v>
      </c>
      <c r="E31" s="1761" t="s">
        <v>2617</v>
      </c>
      <c r="F31" s="1762" t="s">
        <v>3159</v>
      </c>
      <c r="G31" s="1770" t="s">
        <v>3160</v>
      </c>
      <c r="I31" s="1472" t="s">
        <v>2617</v>
      </c>
    </row>
    <row r="32" spans="1:9" ht="12">
      <c r="A32" s="1472" t="s">
        <v>690</v>
      </c>
      <c r="B32" s="1472" t="s">
        <v>3161</v>
      </c>
      <c r="D32" s="1776"/>
      <c r="E32" s="1763"/>
      <c r="F32" s="1763"/>
      <c r="G32" s="1763"/>
    </row>
    <row r="33" spans="1:7" ht="48">
      <c r="A33" s="1472" t="s">
        <v>690</v>
      </c>
      <c r="B33" s="1472" t="s">
        <v>3161</v>
      </c>
      <c r="D33" s="1776" t="s">
        <v>3162</v>
      </c>
      <c r="E33" s="1761" t="s">
        <v>3162</v>
      </c>
      <c r="F33" s="1762" t="s">
        <v>3163</v>
      </c>
      <c r="G33" s="1770" t="s">
        <v>3164</v>
      </c>
    </row>
    <row r="34" spans="1:7" ht="276">
      <c r="A34" s="1472" t="s">
        <v>690</v>
      </c>
      <c r="B34" s="1472" t="s">
        <v>3161</v>
      </c>
      <c r="D34" s="1776" t="s">
        <v>3165</v>
      </c>
      <c r="E34" s="1761" t="s">
        <v>3165</v>
      </c>
      <c r="F34" s="1762" t="s">
        <v>3166</v>
      </c>
      <c r="G34" s="1770" t="s">
        <v>3167</v>
      </c>
    </row>
    <row r="35" spans="1:7" ht="48">
      <c r="A35" s="1472" t="s">
        <v>690</v>
      </c>
      <c r="B35" s="1472" t="s">
        <v>3161</v>
      </c>
      <c r="D35" s="1776" t="s">
        <v>3168</v>
      </c>
      <c r="E35" s="1761" t="s">
        <v>3168</v>
      </c>
      <c r="F35" s="1762" t="s">
        <v>3169</v>
      </c>
      <c r="G35" s="1770" t="s">
        <v>3170</v>
      </c>
    </row>
    <row r="36" spans="1:7" ht="360">
      <c r="A36" s="1472" t="s">
        <v>690</v>
      </c>
      <c r="B36" s="1472" t="s">
        <v>3161</v>
      </c>
      <c r="D36" s="1776" t="s">
        <v>3171</v>
      </c>
      <c r="E36" s="1761" t="s">
        <v>3171</v>
      </c>
      <c r="F36" s="1762" t="s">
        <v>3172</v>
      </c>
      <c r="G36" s="1770" t="s">
        <v>3173</v>
      </c>
    </row>
    <row r="37" spans="1:7" ht="24">
      <c r="A37" s="1472" t="s">
        <v>690</v>
      </c>
      <c r="B37" s="1472" t="s">
        <v>1037</v>
      </c>
      <c r="C37" s="1472" t="s">
        <v>3174</v>
      </c>
      <c r="D37" s="1776" t="s">
        <v>2665</v>
      </c>
      <c r="E37" s="1761" t="s">
        <v>2665</v>
      </c>
      <c r="F37" s="1762" t="s">
        <v>3175</v>
      </c>
      <c r="G37" s="1770" t="s">
        <v>3176</v>
      </c>
    </row>
    <row r="38" spans="1:7" ht="12">
      <c r="A38" s="1472" t="s">
        <v>690</v>
      </c>
      <c r="B38" s="1472" t="s">
        <v>1037</v>
      </c>
      <c r="C38" s="1472" t="s">
        <v>3174</v>
      </c>
      <c r="D38" s="1776" t="s">
        <v>1</v>
      </c>
      <c r="E38" s="1761" t="s">
        <v>1</v>
      </c>
      <c r="F38" s="1762" t="s">
        <v>3112</v>
      </c>
      <c r="G38" s="1770" t="s">
        <v>3113</v>
      </c>
    </row>
    <row r="39" spans="1:7" ht="12">
      <c r="A39" s="1472" t="s">
        <v>690</v>
      </c>
      <c r="B39" s="1472" t="s">
        <v>1037</v>
      </c>
      <c r="C39" s="1472" t="s">
        <v>3174</v>
      </c>
      <c r="D39" s="1776" t="s">
        <v>2</v>
      </c>
      <c r="E39" s="1761" t="s">
        <v>2</v>
      </c>
      <c r="F39" s="1762" t="s">
        <v>3143</v>
      </c>
      <c r="G39" s="1770" t="s">
        <v>3144</v>
      </c>
    </row>
    <row r="40" spans="1:7" ht="12">
      <c r="A40" s="1472" t="s">
        <v>690</v>
      </c>
      <c r="B40" s="1472" t="s">
        <v>1037</v>
      </c>
      <c r="C40" s="1472" t="s">
        <v>3174</v>
      </c>
      <c r="D40" s="1776" t="s">
        <v>3</v>
      </c>
      <c r="E40" s="1761" t="s">
        <v>3</v>
      </c>
      <c r="F40" s="1762" t="s">
        <v>3118</v>
      </c>
      <c r="G40" s="1770" t="s">
        <v>3119</v>
      </c>
    </row>
    <row r="41" spans="1:7" ht="12">
      <c r="A41" s="1472" t="s">
        <v>690</v>
      </c>
      <c r="B41" s="1472" t="s">
        <v>1037</v>
      </c>
      <c r="C41" s="1472" t="s">
        <v>3174</v>
      </c>
      <c r="D41" s="1776" t="s">
        <v>4</v>
      </c>
      <c r="E41" s="1761" t="s">
        <v>4</v>
      </c>
      <c r="F41" s="1762" t="s">
        <v>3122</v>
      </c>
      <c r="G41" s="1770" t="s">
        <v>3123</v>
      </c>
    </row>
    <row r="42" spans="1:7" ht="204">
      <c r="A42" s="1472" t="s">
        <v>690</v>
      </c>
      <c r="B42" s="1472" t="s">
        <v>1037</v>
      </c>
      <c r="C42" s="1472">
        <v>1</v>
      </c>
      <c r="D42" s="1776" t="s">
        <v>2537</v>
      </c>
      <c r="E42" s="1761" t="s">
        <v>2537</v>
      </c>
      <c r="F42" s="1762" t="s">
        <v>3177</v>
      </c>
      <c r="G42" s="1770" t="s">
        <v>3178</v>
      </c>
    </row>
    <row r="43" spans="1:7" ht="12">
      <c r="A43" s="1472" t="s">
        <v>690</v>
      </c>
      <c r="B43" s="1472" t="s">
        <v>1037</v>
      </c>
      <c r="C43" s="1472">
        <v>1</v>
      </c>
      <c r="D43" s="1776" t="s">
        <v>1305</v>
      </c>
      <c r="E43" s="1761" t="s">
        <v>1305</v>
      </c>
      <c r="F43" s="1762" t="s">
        <v>3179</v>
      </c>
      <c r="G43" s="1770" t="s">
        <v>3180</v>
      </c>
    </row>
    <row r="44" spans="1:7" ht="12">
      <c r="A44" s="1472" t="s">
        <v>690</v>
      </c>
      <c r="B44" s="1472" t="s">
        <v>1037</v>
      </c>
      <c r="C44" s="1472">
        <v>1</v>
      </c>
      <c r="D44" s="1776" t="s">
        <v>140</v>
      </c>
      <c r="E44" s="1761" t="s">
        <v>140</v>
      </c>
      <c r="F44" s="1762" t="s">
        <v>3181</v>
      </c>
      <c r="G44" s="1770" t="s">
        <v>3182</v>
      </c>
    </row>
    <row r="45" spans="1:7" ht="24">
      <c r="A45" s="1472" t="s">
        <v>690</v>
      </c>
      <c r="B45" s="1472" t="s">
        <v>1037</v>
      </c>
      <c r="C45" s="1472">
        <v>1</v>
      </c>
      <c r="D45" s="1776" t="s">
        <v>141</v>
      </c>
      <c r="E45" s="1761" t="s">
        <v>141</v>
      </c>
      <c r="F45" s="1762" t="s">
        <v>3183</v>
      </c>
      <c r="G45" s="1770" t="s">
        <v>3184</v>
      </c>
    </row>
    <row r="46" spans="1:7" ht="12">
      <c r="A46" s="1472" t="s">
        <v>690</v>
      </c>
      <c r="B46" s="1472" t="s">
        <v>1037</v>
      </c>
      <c r="C46" s="1472">
        <v>1</v>
      </c>
      <c r="D46" s="1776" t="s">
        <v>142</v>
      </c>
      <c r="E46" s="1761" t="s">
        <v>142</v>
      </c>
      <c r="F46" s="1762" t="s">
        <v>3185</v>
      </c>
      <c r="G46" s="1770" t="s">
        <v>3186</v>
      </c>
    </row>
    <row r="47" spans="1:7" ht="12">
      <c r="A47" s="1472" t="s">
        <v>690</v>
      </c>
      <c r="B47" s="1472" t="s">
        <v>1037</v>
      </c>
      <c r="C47" s="1472">
        <v>1</v>
      </c>
      <c r="D47" s="1776" t="s">
        <v>49</v>
      </c>
      <c r="E47" s="1761" t="s">
        <v>49</v>
      </c>
      <c r="F47" s="1762" t="s">
        <v>3187</v>
      </c>
      <c r="G47" s="1770" t="s">
        <v>3188</v>
      </c>
    </row>
    <row r="48" spans="1:7" ht="12">
      <c r="A48" s="1472" t="s">
        <v>690</v>
      </c>
      <c r="B48" s="1472" t="s">
        <v>1037</v>
      </c>
      <c r="C48" s="1472">
        <v>1</v>
      </c>
      <c r="D48" s="1776" t="s">
        <v>145</v>
      </c>
      <c r="E48" s="1761" t="s">
        <v>189</v>
      </c>
      <c r="F48" s="1762" t="s">
        <v>3189</v>
      </c>
      <c r="G48" s="1770" t="s">
        <v>3190</v>
      </c>
    </row>
    <row r="49" spans="1:7" ht="12">
      <c r="A49" s="1472" t="s">
        <v>690</v>
      </c>
      <c r="B49" s="1472" t="s">
        <v>1037</v>
      </c>
      <c r="C49" s="1472">
        <v>1</v>
      </c>
      <c r="D49" s="1776" t="s">
        <v>146</v>
      </c>
      <c r="E49" s="1761" t="s">
        <v>146</v>
      </c>
      <c r="F49" s="1762" t="s">
        <v>3191</v>
      </c>
      <c r="G49" s="1770" t="s">
        <v>3192</v>
      </c>
    </row>
    <row r="50" spans="1:7" ht="12">
      <c r="A50" s="1472" t="s">
        <v>690</v>
      </c>
      <c r="B50" s="1472" t="s">
        <v>1037</v>
      </c>
      <c r="C50" s="1472">
        <v>1</v>
      </c>
      <c r="D50" s="1776" t="s">
        <v>147</v>
      </c>
      <c r="E50" s="1761" t="s">
        <v>147</v>
      </c>
      <c r="F50" s="1762" t="s">
        <v>3193</v>
      </c>
      <c r="G50" s="1770" t="s">
        <v>3194</v>
      </c>
    </row>
    <row r="51" spans="1:7" ht="12">
      <c r="A51" s="1472" t="s">
        <v>690</v>
      </c>
      <c r="B51" s="1472" t="s">
        <v>1037</v>
      </c>
      <c r="C51" s="1472">
        <v>1</v>
      </c>
      <c r="D51" s="1776" t="s">
        <v>148</v>
      </c>
      <c r="E51" s="1761" t="s">
        <v>148</v>
      </c>
      <c r="F51" s="1762" t="s">
        <v>3195</v>
      </c>
      <c r="G51" s="1770" t="s">
        <v>3196</v>
      </c>
    </row>
    <row r="52" spans="1:7" ht="12">
      <c r="A52" s="1472" t="s">
        <v>690</v>
      </c>
      <c r="B52" s="1472" t="s">
        <v>1037</v>
      </c>
      <c r="C52" s="1472">
        <v>1</v>
      </c>
      <c r="D52" s="1776" t="s">
        <v>149</v>
      </c>
      <c r="E52" s="1761" t="s">
        <v>149</v>
      </c>
      <c r="F52" s="1762" t="s">
        <v>3197</v>
      </c>
      <c r="G52" s="1770" t="s">
        <v>3198</v>
      </c>
    </row>
    <row r="53" spans="1:7" ht="12">
      <c r="A53" s="1472" t="s">
        <v>690</v>
      </c>
      <c r="B53" s="1472" t="s">
        <v>1037</v>
      </c>
      <c r="C53" s="1472">
        <v>1</v>
      </c>
      <c r="D53" s="1776" t="s">
        <v>150</v>
      </c>
      <c r="E53" s="1761" t="s">
        <v>150</v>
      </c>
      <c r="F53" s="1762" t="s">
        <v>3199</v>
      </c>
      <c r="G53" s="1770" t="s">
        <v>3200</v>
      </c>
    </row>
    <row r="54" spans="1:7" ht="12">
      <c r="A54" s="1472" t="s">
        <v>690</v>
      </c>
      <c r="B54" s="1472" t="s">
        <v>1037</v>
      </c>
      <c r="C54" s="1472">
        <v>1</v>
      </c>
      <c r="D54" s="1776" t="s">
        <v>151</v>
      </c>
      <c r="E54" s="1761" t="s">
        <v>151</v>
      </c>
      <c r="F54" s="1762" t="s">
        <v>3201</v>
      </c>
      <c r="G54" s="1770" t="s">
        <v>3202</v>
      </c>
    </row>
    <row r="55" spans="1:7" ht="12">
      <c r="A55" s="1472" t="s">
        <v>690</v>
      </c>
      <c r="B55" s="1472" t="s">
        <v>1037</v>
      </c>
      <c r="C55" s="1472">
        <v>1</v>
      </c>
      <c r="D55" s="1776" t="s">
        <v>152</v>
      </c>
      <c r="E55" s="1761" t="s">
        <v>152</v>
      </c>
      <c r="F55" s="1762" t="s">
        <v>3203</v>
      </c>
      <c r="G55" s="1770" t="s">
        <v>3204</v>
      </c>
    </row>
    <row r="56" spans="1:7" ht="12">
      <c r="A56" s="1472" t="s">
        <v>690</v>
      </c>
      <c r="B56" s="1472" t="s">
        <v>1037</v>
      </c>
      <c r="C56" s="1472">
        <v>1</v>
      </c>
      <c r="D56" s="1776" t="s">
        <v>153</v>
      </c>
      <c r="E56" s="1761" t="s">
        <v>153</v>
      </c>
      <c r="F56" s="1762" t="s">
        <v>3205</v>
      </c>
      <c r="G56" s="1770" t="s">
        <v>3206</v>
      </c>
    </row>
    <row r="57" spans="1:7" ht="12">
      <c r="A57" s="1472" t="s">
        <v>690</v>
      </c>
      <c r="B57" s="1472" t="s">
        <v>1037</v>
      </c>
      <c r="C57" s="1472">
        <v>1</v>
      </c>
      <c r="D57" s="1776" t="s">
        <v>154</v>
      </c>
      <c r="E57" s="1761" t="s">
        <v>154</v>
      </c>
      <c r="F57" s="1762" t="s">
        <v>3207</v>
      </c>
      <c r="G57" s="1770" t="s">
        <v>3208</v>
      </c>
    </row>
    <row r="58" spans="1:7" ht="12">
      <c r="A58" s="1472" t="s">
        <v>690</v>
      </c>
      <c r="B58" s="1472" t="s">
        <v>1037</v>
      </c>
      <c r="C58" s="1472">
        <v>1</v>
      </c>
      <c r="D58" s="1776" t="s">
        <v>155</v>
      </c>
      <c r="E58" s="1761" t="s">
        <v>155</v>
      </c>
      <c r="F58" s="1762" t="s">
        <v>3209</v>
      </c>
      <c r="G58" s="1770" t="s">
        <v>3210</v>
      </c>
    </row>
    <row r="59" spans="1:7" ht="12">
      <c r="A59" s="1472" t="s">
        <v>690</v>
      </c>
      <c r="B59" s="1472" t="s">
        <v>1037</v>
      </c>
      <c r="C59" s="1472">
        <v>1</v>
      </c>
      <c r="D59" s="1776" t="s">
        <v>156</v>
      </c>
      <c r="E59" s="1761" t="s">
        <v>156</v>
      </c>
      <c r="F59" s="1762" t="s">
        <v>3211</v>
      </c>
      <c r="G59" s="1770" t="s">
        <v>3212</v>
      </c>
    </row>
    <row r="60" spans="1:7" ht="12">
      <c r="A60" s="1472" t="s">
        <v>690</v>
      </c>
      <c r="B60" s="1472" t="s">
        <v>1037</v>
      </c>
      <c r="C60" s="1472">
        <v>1</v>
      </c>
      <c r="D60" s="1776" t="s">
        <v>157</v>
      </c>
      <c r="E60" s="1761" t="s">
        <v>157</v>
      </c>
      <c r="F60" s="1762" t="s">
        <v>3213</v>
      </c>
      <c r="G60" s="1770" t="s">
        <v>3214</v>
      </c>
    </row>
    <row r="61" spans="1:7" ht="12">
      <c r="A61" s="1472" t="s">
        <v>690</v>
      </c>
      <c r="B61" s="1472" t="s">
        <v>1037</v>
      </c>
      <c r="C61" s="1472">
        <v>1</v>
      </c>
      <c r="D61" s="1776" t="s">
        <v>158</v>
      </c>
      <c r="E61" s="1761" t="s">
        <v>158</v>
      </c>
      <c r="F61" s="1762" t="s">
        <v>3215</v>
      </c>
      <c r="G61" s="1770" t="s">
        <v>3216</v>
      </c>
    </row>
    <row r="62" spans="1:7" ht="12">
      <c r="A62" s="1472" t="s">
        <v>690</v>
      </c>
      <c r="B62" s="1472" t="s">
        <v>1037</v>
      </c>
      <c r="C62" s="1472">
        <v>1</v>
      </c>
      <c r="D62" s="1776" t="s">
        <v>159</v>
      </c>
      <c r="E62" s="1761" t="s">
        <v>159</v>
      </c>
      <c r="F62" s="1762" t="s">
        <v>3217</v>
      </c>
      <c r="G62" s="1770" t="s">
        <v>3218</v>
      </c>
    </row>
    <row r="63" spans="1:7" ht="12">
      <c r="A63" s="1472" t="s">
        <v>690</v>
      </c>
      <c r="B63" s="1472" t="s">
        <v>1037</v>
      </c>
      <c r="C63" s="1472">
        <v>1</v>
      </c>
      <c r="D63" s="1776" t="s">
        <v>160</v>
      </c>
      <c r="E63" s="1761" t="s">
        <v>160</v>
      </c>
      <c r="F63" s="1762" t="s">
        <v>3219</v>
      </c>
      <c r="G63" s="1770" t="s">
        <v>3220</v>
      </c>
    </row>
    <row r="64" spans="1:7" ht="12">
      <c r="A64" s="1472" t="s">
        <v>690</v>
      </c>
      <c r="B64" s="1472" t="s">
        <v>1037</v>
      </c>
      <c r="C64" s="1472">
        <v>1</v>
      </c>
      <c r="D64" s="1776" t="s">
        <v>161</v>
      </c>
      <c r="E64" s="1761" t="s">
        <v>161</v>
      </c>
      <c r="F64" s="1762" t="s">
        <v>3221</v>
      </c>
      <c r="G64" s="1770" t="s">
        <v>3222</v>
      </c>
    </row>
    <row r="65" spans="1:7" ht="12">
      <c r="A65" s="1472" t="s">
        <v>690</v>
      </c>
      <c r="B65" s="1472" t="s">
        <v>1037</v>
      </c>
      <c r="C65" s="1472">
        <v>1</v>
      </c>
      <c r="D65" s="1776" t="s">
        <v>162</v>
      </c>
      <c r="E65" s="1761" t="s">
        <v>162</v>
      </c>
      <c r="F65" s="1762" t="s">
        <v>3223</v>
      </c>
      <c r="G65" s="1770" t="s">
        <v>3224</v>
      </c>
    </row>
    <row r="66" spans="1:7" ht="12">
      <c r="A66" s="1472" t="s">
        <v>690</v>
      </c>
      <c r="B66" s="1472" t="s">
        <v>1037</v>
      </c>
      <c r="C66" s="1472">
        <v>1</v>
      </c>
      <c r="D66" s="1776" t="s">
        <v>163</v>
      </c>
      <c r="E66" s="1761" t="s">
        <v>163</v>
      </c>
      <c r="F66" s="1762" t="s">
        <v>3225</v>
      </c>
      <c r="G66" s="1770" t="s">
        <v>3226</v>
      </c>
    </row>
    <row r="67" spans="1:7" ht="12">
      <c r="A67" s="1472" t="s">
        <v>690</v>
      </c>
      <c r="B67" s="1472" t="s">
        <v>1037</v>
      </c>
      <c r="C67" s="1472">
        <v>1</v>
      </c>
      <c r="D67" s="1776" t="s">
        <v>164</v>
      </c>
      <c r="E67" s="1761" t="s">
        <v>164</v>
      </c>
      <c r="F67" s="1762" t="s">
        <v>3227</v>
      </c>
      <c r="G67" s="1770" t="s">
        <v>3228</v>
      </c>
    </row>
    <row r="68" spans="1:7" ht="12">
      <c r="A68" s="1472" t="s">
        <v>690</v>
      </c>
      <c r="B68" s="1472" t="s">
        <v>1037</v>
      </c>
      <c r="C68" s="1472">
        <v>1</v>
      </c>
      <c r="D68" s="1776" t="s">
        <v>165</v>
      </c>
      <c r="E68" s="1761" t="s">
        <v>165</v>
      </c>
      <c r="F68" s="1762" t="s">
        <v>3229</v>
      </c>
      <c r="G68" s="1770" t="s">
        <v>3230</v>
      </c>
    </row>
    <row r="69" spans="1:7" ht="12">
      <c r="A69" s="1472" t="s">
        <v>690</v>
      </c>
      <c r="B69" s="1472" t="s">
        <v>1037</v>
      </c>
      <c r="C69" s="1472">
        <v>1</v>
      </c>
      <c r="D69" s="1776" t="s">
        <v>143</v>
      </c>
      <c r="E69" s="1761" t="s">
        <v>143</v>
      </c>
      <c r="F69" s="1762" t="s">
        <v>3231</v>
      </c>
      <c r="G69" s="1770" t="s">
        <v>3232</v>
      </c>
    </row>
    <row r="70" spans="1:7" ht="12">
      <c r="A70" s="1472" t="s">
        <v>690</v>
      </c>
      <c r="B70" s="1472" t="s">
        <v>1037</v>
      </c>
      <c r="C70" s="1472">
        <v>1</v>
      </c>
      <c r="D70" s="1776" t="s">
        <v>166</v>
      </c>
      <c r="E70" s="1761" t="s">
        <v>166</v>
      </c>
      <c r="F70" s="1762" t="s">
        <v>3233</v>
      </c>
      <c r="G70" s="1770" t="s">
        <v>3234</v>
      </c>
    </row>
    <row r="71" spans="1:7" ht="12">
      <c r="A71" s="1472" t="s">
        <v>690</v>
      </c>
      <c r="B71" s="1472" t="s">
        <v>1037</v>
      </c>
      <c r="C71" s="1472">
        <v>1</v>
      </c>
      <c r="D71" s="1776" t="s">
        <v>167</v>
      </c>
      <c r="E71" s="1761" t="s">
        <v>167</v>
      </c>
      <c r="F71" s="1762" t="s">
        <v>3235</v>
      </c>
      <c r="G71" s="1770" t="s">
        <v>3236</v>
      </c>
    </row>
    <row r="72" spans="1:7" ht="12">
      <c r="A72" s="1472" t="s">
        <v>690</v>
      </c>
      <c r="B72" s="1472" t="s">
        <v>1037</v>
      </c>
      <c r="C72" s="1472">
        <v>1</v>
      </c>
      <c r="D72" s="1776" t="s">
        <v>144</v>
      </c>
      <c r="E72" s="1761" t="s">
        <v>144</v>
      </c>
      <c r="F72" s="1762" t="s">
        <v>3237</v>
      </c>
      <c r="G72" s="1770" t="s">
        <v>144</v>
      </c>
    </row>
    <row r="73" spans="1:7" ht="12">
      <c r="A73" s="1472" t="s">
        <v>690</v>
      </c>
      <c r="B73" s="1472" t="s">
        <v>1037</v>
      </c>
      <c r="C73" s="1472">
        <v>1</v>
      </c>
      <c r="D73" s="1776" t="s">
        <v>168</v>
      </c>
      <c r="E73" s="1761" t="s">
        <v>168</v>
      </c>
      <c r="F73" s="1762" t="s">
        <v>3238</v>
      </c>
      <c r="G73" s="1770" t="s">
        <v>3239</v>
      </c>
    </row>
    <row r="74" spans="1:7" ht="12">
      <c r="A74" s="1472" t="s">
        <v>690</v>
      </c>
      <c r="B74" s="1472" t="s">
        <v>1037</v>
      </c>
      <c r="C74" s="1472">
        <v>1</v>
      </c>
      <c r="D74" s="1776" t="s">
        <v>2503</v>
      </c>
      <c r="E74" s="1761" t="s">
        <v>2503</v>
      </c>
      <c r="F74" s="1762" t="s">
        <v>3240</v>
      </c>
      <c r="G74" s="1770" t="s">
        <v>3241</v>
      </c>
    </row>
    <row r="75" spans="1:7" ht="12">
      <c r="A75" s="1472" t="s">
        <v>690</v>
      </c>
      <c r="B75" s="1472" t="s">
        <v>1037</v>
      </c>
      <c r="C75" s="1472">
        <v>1</v>
      </c>
      <c r="D75" s="1776" t="s">
        <v>2671</v>
      </c>
      <c r="E75" s="1761" t="s">
        <v>2671</v>
      </c>
      <c r="F75" s="1762" t="s">
        <v>3242</v>
      </c>
      <c r="G75" s="1770" t="s">
        <v>3243</v>
      </c>
    </row>
    <row r="76" spans="1:7" ht="204">
      <c r="A76" s="1472" t="s">
        <v>690</v>
      </c>
      <c r="B76" s="1472" t="s">
        <v>1037</v>
      </c>
      <c r="C76" s="1472">
        <v>2</v>
      </c>
      <c r="D76" s="1776" t="s">
        <v>2537</v>
      </c>
      <c r="E76" s="1761" t="s">
        <v>2537</v>
      </c>
      <c r="F76" s="1762" t="s">
        <v>3244</v>
      </c>
      <c r="G76" s="1770" t="s">
        <v>3245</v>
      </c>
    </row>
    <row r="77" spans="1:7" ht="12">
      <c r="A77" s="1472" t="s">
        <v>690</v>
      </c>
      <c r="B77" s="1472" t="s">
        <v>1037</v>
      </c>
      <c r="C77" s="1472">
        <v>2</v>
      </c>
      <c r="D77" s="1776" t="s">
        <v>1305</v>
      </c>
      <c r="E77" s="1761" t="s">
        <v>1305</v>
      </c>
      <c r="F77" s="1762" t="s">
        <v>3179</v>
      </c>
      <c r="G77" s="1770" t="s">
        <v>3180</v>
      </c>
    </row>
    <row r="78" spans="1:7" ht="12">
      <c r="A78" s="1472" t="s">
        <v>690</v>
      </c>
      <c r="B78" s="1472" t="s">
        <v>1037</v>
      </c>
      <c r="C78" s="1472">
        <v>2</v>
      </c>
      <c r="D78" s="1776" t="s">
        <v>140</v>
      </c>
      <c r="E78" s="1761" t="s">
        <v>140</v>
      </c>
      <c r="F78" s="1762" t="s">
        <v>3181</v>
      </c>
      <c r="G78" s="1770" t="s">
        <v>3182</v>
      </c>
    </row>
    <row r="79" spans="1:7" ht="24">
      <c r="A79" s="1472" t="s">
        <v>690</v>
      </c>
      <c r="B79" s="1472" t="s">
        <v>1037</v>
      </c>
      <c r="C79" s="1472">
        <v>2</v>
      </c>
      <c r="D79" s="1776" t="s">
        <v>141</v>
      </c>
      <c r="E79" s="1761" t="s">
        <v>141</v>
      </c>
      <c r="F79" s="1762" t="s">
        <v>3183</v>
      </c>
      <c r="G79" s="1770" t="s">
        <v>3184</v>
      </c>
    </row>
    <row r="80" spans="1:7" ht="12">
      <c r="A80" s="1472" t="s">
        <v>690</v>
      </c>
      <c r="B80" s="1472" t="s">
        <v>1037</v>
      </c>
      <c r="C80" s="1472">
        <v>2</v>
      </c>
      <c r="D80" s="1776" t="s">
        <v>142</v>
      </c>
      <c r="E80" s="1761" t="s">
        <v>142</v>
      </c>
      <c r="F80" s="1762" t="s">
        <v>3185</v>
      </c>
      <c r="G80" s="1770" t="s">
        <v>3186</v>
      </c>
    </row>
    <row r="81" spans="1:7" ht="12">
      <c r="A81" s="1472" t="s">
        <v>690</v>
      </c>
      <c r="B81" s="1472" t="s">
        <v>1037</v>
      </c>
      <c r="C81" s="1472">
        <v>2</v>
      </c>
      <c r="D81" s="1776" t="s">
        <v>49</v>
      </c>
      <c r="E81" s="1761" t="s">
        <v>49</v>
      </c>
      <c r="F81" s="1762" t="s">
        <v>3187</v>
      </c>
      <c r="G81" s="1770" t="s">
        <v>3188</v>
      </c>
    </row>
    <row r="82" spans="1:7" ht="12">
      <c r="A82" s="1472" t="s">
        <v>690</v>
      </c>
      <c r="B82" s="1472" t="s">
        <v>1037</v>
      </c>
      <c r="C82" s="1472">
        <v>2</v>
      </c>
      <c r="D82" s="1776" t="s">
        <v>189</v>
      </c>
      <c r="E82" s="1761" t="s">
        <v>189</v>
      </c>
      <c r="F82" s="1762" t="s">
        <v>3189</v>
      </c>
      <c r="G82" s="1770" t="s">
        <v>3190</v>
      </c>
    </row>
    <row r="83" spans="1:7" ht="12">
      <c r="A83" s="1472" t="s">
        <v>690</v>
      </c>
      <c r="B83" s="1472" t="s">
        <v>1037</v>
      </c>
      <c r="C83" s="1472">
        <v>2</v>
      </c>
      <c r="D83" s="1776" t="s">
        <v>146</v>
      </c>
      <c r="E83" s="1761" t="s">
        <v>146</v>
      </c>
      <c r="F83" s="1762" t="s">
        <v>3191</v>
      </c>
      <c r="G83" s="1770" t="s">
        <v>3192</v>
      </c>
    </row>
    <row r="84" spans="1:7" ht="12">
      <c r="A84" s="1472" t="s">
        <v>690</v>
      </c>
      <c r="B84" s="1472" t="s">
        <v>1037</v>
      </c>
      <c r="C84" s="1472">
        <v>2</v>
      </c>
      <c r="D84" s="1776" t="s">
        <v>147</v>
      </c>
      <c r="E84" s="1761" t="s">
        <v>147</v>
      </c>
      <c r="F84" s="1762" t="s">
        <v>3193</v>
      </c>
      <c r="G84" s="1770" t="s">
        <v>3194</v>
      </c>
    </row>
    <row r="85" spans="1:7" ht="12">
      <c r="A85" s="1472" t="s">
        <v>690</v>
      </c>
      <c r="B85" s="1472" t="s">
        <v>1037</v>
      </c>
      <c r="C85" s="1472">
        <v>2</v>
      </c>
      <c r="D85" s="1776" t="s">
        <v>148</v>
      </c>
      <c r="E85" s="1761" t="s">
        <v>148</v>
      </c>
      <c r="F85" s="1762" t="s">
        <v>3195</v>
      </c>
      <c r="G85" s="1770" t="s">
        <v>3196</v>
      </c>
    </row>
    <row r="86" spans="1:7" ht="12">
      <c r="A86" s="1472" t="s">
        <v>690</v>
      </c>
      <c r="B86" s="1472" t="s">
        <v>1037</v>
      </c>
      <c r="C86" s="1472">
        <v>2</v>
      </c>
      <c r="D86" s="1776" t="s">
        <v>149</v>
      </c>
      <c r="E86" s="1761" t="s">
        <v>149</v>
      </c>
      <c r="F86" s="1762" t="s">
        <v>3197</v>
      </c>
      <c r="G86" s="1770" t="s">
        <v>3198</v>
      </c>
    </row>
    <row r="87" spans="1:7" ht="12">
      <c r="A87" s="1472" t="s">
        <v>690</v>
      </c>
      <c r="B87" s="1472" t="s">
        <v>1037</v>
      </c>
      <c r="C87" s="1472">
        <v>2</v>
      </c>
      <c r="D87" s="1776" t="s">
        <v>150</v>
      </c>
      <c r="E87" s="1761" t="s">
        <v>150</v>
      </c>
      <c r="F87" s="1762" t="s">
        <v>3199</v>
      </c>
      <c r="G87" s="1770" t="s">
        <v>3200</v>
      </c>
    </row>
    <row r="88" spans="1:7" ht="12">
      <c r="A88" s="1472" t="s">
        <v>690</v>
      </c>
      <c r="B88" s="1472" t="s">
        <v>1037</v>
      </c>
      <c r="C88" s="1472">
        <v>2</v>
      </c>
      <c r="D88" s="1776" t="s">
        <v>151</v>
      </c>
      <c r="E88" s="1761" t="s">
        <v>151</v>
      </c>
      <c r="F88" s="1762" t="s">
        <v>3201</v>
      </c>
      <c r="G88" s="1770" t="s">
        <v>3202</v>
      </c>
    </row>
    <row r="89" spans="1:7" ht="12">
      <c r="A89" s="1472" t="s">
        <v>690</v>
      </c>
      <c r="B89" s="1472" t="s">
        <v>1037</v>
      </c>
      <c r="C89" s="1472">
        <v>2</v>
      </c>
      <c r="D89" s="1776" t="s">
        <v>152</v>
      </c>
      <c r="E89" s="1761" t="s">
        <v>152</v>
      </c>
      <c r="F89" s="1762" t="s">
        <v>3203</v>
      </c>
      <c r="G89" s="1770" t="s">
        <v>3204</v>
      </c>
    </row>
    <row r="90" spans="1:7" ht="12">
      <c r="A90" s="1472" t="s">
        <v>690</v>
      </c>
      <c r="B90" s="1472" t="s">
        <v>1037</v>
      </c>
      <c r="C90" s="1472">
        <v>2</v>
      </c>
      <c r="D90" s="1776" t="s">
        <v>153</v>
      </c>
      <c r="E90" s="1761" t="s">
        <v>153</v>
      </c>
      <c r="F90" s="1762" t="s">
        <v>3205</v>
      </c>
      <c r="G90" s="1770" t="s">
        <v>3206</v>
      </c>
    </row>
    <row r="91" spans="1:7" ht="12">
      <c r="A91" s="1472" t="s">
        <v>690</v>
      </c>
      <c r="B91" s="1472" t="s">
        <v>1037</v>
      </c>
      <c r="C91" s="1472">
        <v>2</v>
      </c>
      <c r="D91" s="1776" t="s">
        <v>154</v>
      </c>
      <c r="E91" s="1761" t="s">
        <v>154</v>
      </c>
      <c r="F91" s="1762" t="s">
        <v>3207</v>
      </c>
      <c r="G91" s="1770" t="s">
        <v>3208</v>
      </c>
    </row>
    <row r="92" spans="1:7" ht="12">
      <c r="A92" s="1472" t="s">
        <v>690</v>
      </c>
      <c r="B92" s="1472" t="s">
        <v>1037</v>
      </c>
      <c r="C92" s="1472">
        <v>2</v>
      </c>
      <c r="D92" s="1776" t="s">
        <v>155</v>
      </c>
      <c r="E92" s="1761" t="s">
        <v>155</v>
      </c>
      <c r="F92" s="1762" t="s">
        <v>3209</v>
      </c>
      <c r="G92" s="1770" t="s">
        <v>3210</v>
      </c>
    </row>
    <row r="93" spans="1:7" ht="12">
      <c r="A93" s="1472" t="s">
        <v>690</v>
      </c>
      <c r="B93" s="1472" t="s">
        <v>1037</v>
      </c>
      <c r="C93" s="1472">
        <v>2</v>
      </c>
      <c r="D93" s="1776" t="s">
        <v>156</v>
      </c>
      <c r="E93" s="1761" t="s">
        <v>156</v>
      </c>
      <c r="F93" s="1762" t="s">
        <v>3211</v>
      </c>
      <c r="G93" s="1770" t="s">
        <v>3212</v>
      </c>
    </row>
    <row r="94" spans="1:7" ht="12">
      <c r="A94" s="1472" t="s">
        <v>690</v>
      </c>
      <c r="B94" s="1472" t="s">
        <v>1037</v>
      </c>
      <c r="C94" s="1472">
        <v>2</v>
      </c>
      <c r="D94" s="1776" t="s">
        <v>157</v>
      </c>
      <c r="E94" s="1761" t="s">
        <v>157</v>
      </c>
      <c r="F94" s="1762" t="s">
        <v>3213</v>
      </c>
      <c r="G94" s="1770" t="s">
        <v>3214</v>
      </c>
    </row>
    <row r="95" spans="1:7" ht="12">
      <c r="A95" s="1472" t="s">
        <v>690</v>
      </c>
      <c r="B95" s="1472" t="s">
        <v>1037</v>
      </c>
      <c r="C95" s="1472">
        <v>2</v>
      </c>
      <c r="D95" s="1776" t="s">
        <v>158</v>
      </c>
      <c r="E95" s="1761" t="s">
        <v>158</v>
      </c>
      <c r="F95" s="1762" t="s">
        <v>3215</v>
      </c>
      <c r="G95" s="1770" t="s">
        <v>3216</v>
      </c>
    </row>
    <row r="96" spans="1:7" ht="12">
      <c r="A96" s="1472" t="s">
        <v>690</v>
      </c>
      <c r="B96" s="1472" t="s">
        <v>1037</v>
      </c>
      <c r="C96" s="1472">
        <v>2</v>
      </c>
      <c r="D96" s="1776" t="s">
        <v>159</v>
      </c>
      <c r="E96" s="1761" t="s">
        <v>159</v>
      </c>
      <c r="F96" s="1762" t="s">
        <v>3217</v>
      </c>
      <c r="G96" s="1770" t="s">
        <v>3218</v>
      </c>
    </row>
    <row r="97" spans="1:7" ht="12">
      <c r="A97" s="1472" t="s">
        <v>690</v>
      </c>
      <c r="B97" s="1472" t="s">
        <v>1037</v>
      </c>
      <c r="C97" s="1472">
        <v>2</v>
      </c>
      <c r="D97" s="1776" t="s">
        <v>160</v>
      </c>
      <c r="E97" s="1761" t="s">
        <v>160</v>
      </c>
      <c r="F97" s="1762" t="s">
        <v>3219</v>
      </c>
      <c r="G97" s="1770" t="s">
        <v>3220</v>
      </c>
    </row>
    <row r="98" spans="1:7" ht="12">
      <c r="A98" s="1472" t="s">
        <v>690</v>
      </c>
      <c r="B98" s="1472" t="s">
        <v>1037</v>
      </c>
      <c r="C98" s="1472">
        <v>2</v>
      </c>
      <c r="D98" s="1776" t="s">
        <v>161</v>
      </c>
      <c r="E98" s="1761" t="s">
        <v>161</v>
      </c>
      <c r="F98" s="1762" t="s">
        <v>3221</v>
      </c>
      <c r="G98" s="1770" t="s">
        <v>3222</v>
      </c>
    </row>
    <row r="99" spans="1:7" ht="12">
      <c r="A99" s="1472" t="s">
        <v>690</v>
      </c>
      <c r="B99" s="1472" t="s">
        <v>1037</v>
      </c>
      <c r="C99" s="1472">
        <v>2</v>
      </c>
      <c r="D99" s="1776" t="s">
        <v>162</v>
      </c>
      <c r="E99" s="1761" t="s">
        <v>162</v>
      </c>
      <c r="F99" s="1762" t="s">
        <v>3223</v>
      </c>
      <c r="G99" s="1770" t="s">
        <v>3224</v>
      </c>
    </row>
    <row r="100" spans="1:7" ht="12">
      <c r="A100" s="1472" t="s">
        <v>690</v>
      </c>
      <c r="B100" s="1472" t="s">
        <v>1037</v>
      </c>
      <c r="C100" s="1472">
        <v>2</v>
      </c>
      <c r="D100" s="1776" t="s">
        <v>163</v>
      </c>
      <c r="E100" s="1761" t="s">
        <v>163</v>
      </c>
      <c r="F100" s="1762" t="s">
        <v>3225</v>
      </c>
      <c r="G100" s="1770" t="s">
        <v>3226</v>
      </c>
    </row>
    <row r="101" spans="1:7" ht="12">
      <c r="A101" s="1472" t="s">
        <v>690</v>
      </c>
      <c r="B101" s="1472" t="s">
        <v>1037</v>
      </c>
      <c r="C101" s="1472">
        <v>2</v>
      </c>
      <c r="D101" s="1776" t="s">
        <v>164</v>
      </c>
      <c r="E101" s="1761" t="s">
        <v>164</v>
      </c>
      <c r="F101" s="1762" t="s">
        <v>3227</v>
      </c>
      <c r="G101" s="1770" t="s">
        <v>3228</v>
      </c>
    </row>
    <row r="102" spans="1:7" ht="12">
      <c r="A102" s="1472" t="s">
        <v>690</v>
      </c>
      <c r="B102" s="1472" t="s">
        <v>1037</v>
      </c>
      <c r="C102" s="1472">
        <v>2</v>
      </c>
      <c r="D102" s="1776" t="s">
        <v>165</v>
      </c>
      <c r="E102" s="1761" t="s">
        <v>165</v>
      </c>
      <c r="F102" s="1762" t="s">
        <v>3229</v>
      </c>
      <c r="G102" s="1770" t="s">
        <v>3230</v>
      </c>
    </row>
    <row r="103" spans="1:7" ht="12">
      <c r="A103" s="1472" t="s">
        <v>690</v>
      </c>
      <c r="B103" s="1472" t="s">
        <v>1037</v>
      </c>
      <c r="C103" s="1472">
        <v>2</v>
      </c>
      <c r="D103" s="1776" t="s">
        <v>143</v>
      </c>
      <c r="E103" s="1761" t="s">
        <v>143</v>
      </c>
      <c r="F103" s="1762" t="s">
        <v>3231</v>
      </c>
      <c r="G103" s="1770" t="s">
        <v>3232</v>
      </c>
    </row>
    <row r="104" spans="1:7" ht="12">
      <c r="A104" s="1472" t="s">
        <v>690</v>
      </c>
      <c r="B104" s="1472" t="s">
        <v>1037</v>
      </c>
      <c r="C104" s="1472">
        <v>2</v>
      </c>
      <c r="D104" s="1776" t="s">
        <v>166</v>
      </c>
      <c r="E104" s="1761" t="s">
        <v>166</v>
      </c>
      <c r="F104" s="1762" t="s">
        <v>3233</v>
      </c>
      <c r="G104" s="1770" t="s">
        <v>3234</v>
      </c>
    </row>
    <row r="105" spans="1:7" ht="12">
      <c r="A105" s="1472" t="s">
        <v>690</v>
      </c>
      <c r="B105" s="1472" t="s">
        <v>1037</v>
      </c>
      <c r="C105" s="1472">
        <v>2</v>
      </c>
      <c r="D105" s="1776" t="s">
        <v>167</v>
      </c>
      <c r="E105" s="1761" t="s">
        <v>167</v>
      </c>
      <c r="F105" s="1762" t="s">
        <v>3235</v>
      </c>
      <c r="G105" s="1770" t="s">
        <v>3236</v>
      </c>
    </row>
    <row r="106" spans="1:7" ht="12">
      <c r="A106" s="1472" t="s">
        <v>690</v>
      </c>
      <c r="B106" s="1472" t="s">
        <v>1037</v>
      </c>
      <c r="C106" s="1472">
        <v>2</v>
      </c>
      <c r="D106" s="1776" t="s">
        <v>144</v>
      </c>
      <c r="E106" s="1761" t="s">
        <v>144</v>
      </c>
      <c r="F106" s="1762" t="s">
        <v>3237</v>
      </c>
      <c r="G106" s="1770" t="s">
        <v>144</v>
      </c>
    </row>
    <row r="107" spans="1:7" ht="12">
      <c r="A107" s="1472" t="s">
        <v>690</v>
      </c>
      <c r="B107" s="1472" t="s">
        <v>1037</v>
      </c>
      <c r="C107" s="1472">
        <v>2</v>
      </c>
      <c r="D107" s="1776" t="s">
        <v>168</v>
      </c>
      <c r="E107" s="1761" t="s">
        <v>168</v>
      </c>
      <c r="F107" s="1762" t="s">
        <v>3238</v>
      </c>
      <c r="G107" s="1770" t="s">
        <v>3239</v>
      </c>
    </row>
    <row r="108" spans="1:7" ht="12">
      <c r="A108" s="1472" t="s">
        <v>690</v>
      </c>
      <c r="B108" s="1472" t="s">
        <v>1037</v>
      </c>
      <c r="C108" s="1472">
        <v>2</v>
      </c>
      <c r="D108" s="1776" t="s">
        <v>2503</v>
      </c>
      <c r="E108" s="1761" t="s">
        <v>2503</v>
      </c>
      <c r="F108" s="1762" t="s">
        <v>3240</v>
      </c>
      <c r="G108" s="1770" t="s">
        <v>3241</v>
      </c>
    </row>
    <row r="109" spans="1:7" ht="12">
      <c r="A109" s="1472" t="s">
        <v>690</v>
      </c>
      <c r="B109" s="1472" t="s">
        <v>1037</v>
      </c>
      <c r="C109" s="1472">
        <v>2</v>
      </c>
      <c r="D109" s="1776" t="s">
        <v>2671</v>
      </c>
      <c r="E109" s="1761" t="s">
        <v>2671</v>
      </c>
      <c r="F109" s="1762" t="s">
        <v>3242</v>
      </c>
      <c r="G109" s="1770" t="s">
        <v>3243</v>
      </c>
    </row>
    <row r="110" spans="1:7" ht="24">
      <c r="A110" s="1472" t="s">
        <v>690</v>
      </c>
      <c r="B110" s="1472" t="s">
        <v>1458</v>
      </c>
      <c r="C110" s="1472" t="s">
        <v>3174</v>
      </c>
      <c r="D110" s="1776" t="s">
        <v>3246</v>
      </c>
      <c r="E110" s="1761" t="s">
        <v>3246</v>
      </c>
      <c r="F110" s="1762" t="s">
        <v>3247</v>
      </c>
      <c r="G110" s="1770" t="s">
        <v>3248</v>
      </c>
    </row>
    <row r="111" spans="1:7" ht="12">
      <c r="A111" s="1472" t="s">
        <v>690</v>
      </c>
      <c r="B111" s="1472" t="s">
        <v>1458</v>
      </c>
      <c r="C111" s="1472" t="s">
        <v>3174</v>
      </c>
      <c r="D111" s="1776" t="s">
        <v>1</v>
      </c>
      <c r="E111" s="1761" t="s">
        <v>1</v>
      </c>
      <c r="F111" s="1762" t="s">
        <v>3112</v>
      </c>
      <c r="G111" s="1770" t="s">
        <v>3113</v>
      </c>
    </row>
    <row r="112" spans="1:7" ht="12">
      <c r="A112" s="1472" t="s">
        <v>690</v>
      </c>
      <c r="B112" s="1472" t="s">
        <v>1458</v>
      </c>
      <c r="C112" s="1472" t="s">
        <v>3174</v>
      </c>
      <c r="D112" s="1776" t="s">
        <v>2</v>
      </c>
      <c r="E112" s="1761" t="s">
        <v>2</v>
      </c>
      <c r="F112" s="1762" t="s">
        <v>3143</v>
      </c>
      <c r="G112" s="1770" t="s">
        <v>3144</v>
      </c>
    </row>
    <row r="113" spans="1:7" ht="12">
      <c r="A113" s="1472" t="s">
        <v>690</v>
      </c>
      <c r="B113" s="1472" t="s">
        <v>1458</v>
      </c>
      <c r="C113" s="1472" t="s">
        <v>3174</v>
      </c>
      <c r="D113" s="1776" t="s">
        <v>3</v>
      </c>
      <c r="E113" s="1761" t="s">
        <v>3</v>
      </c>
      <c r="F113" s="1762" t="s">
        <v>3118</v>
      </c>
      <c r="G113" s="1770" t="s">
        <v>3119</v>
      </c>
    </row>
    <row r="114" spans="1:7" ht="12">
      <c r="A114" s="1472" t="s">
        <v>690</v>
      </c>
      <c r="B114" s="1472" t="s">
        <v>1458</v>
      </c>
      <c r="C114" s="1472" t="s">
        <v>3174</v>
      </c>
      <c r="D114" s="1776" t="s">
        <v>4</v>
      </c>
      <c r="E114" s="1761" t="s">
        <v>4</v>
      </c>
      <c r="F114" s="1762" t="s">
        <v>3122</v>
      </c>
      <c r="G114" s="1770" t="s">
        <v>3123</v>
      </c>
    </row>
    <row r="115" spans="1:7" ht="228">
      <c r="A115" s="1472" t="s">
        <v>690</v>
      </c>
      <c r="B115" s="1472" t="s">
        <v>1458</v>
      </c>
      <c r="C115" s="1472">
        <v>1</v>
      </c>
      <c r="D115" s="1776" t="s">
        <v>3249</v>
      </c>
      <c r="E115" s="1761" t="s">
        <v>3249</v>
      </c>
      <c r="F115" s="1762" t="s">
        <v>3250</v>
      </c>
      <c r="G115" s="1770" t="s">
        <v>3251</v>
      </c>
    </row>
    <row r="116" spans="1:7" ht="12">
      <c r="A116" s="1472" t="s">
        <v>690</v>
      </c>
      <c r="B116" s="1472" t="s">
        <v>1458</v>
      </c>
      <c r="C116" s="1472">
        <v>1</v>
      </c>
      <c r="D116" s="1776" t="s">
        <v>1028</v>
      </c>
      <c r="E116" s="1761" t="s">
        <v>1028</v>
      </c>
      <c r="F116" s="1762" t="s">
        <v>3252</v>
      </c>
      <c r="G116" s="1770" t="s">
        <v>3253</v>
      </c>
    </row>
    <row r="117" spans="1:7" ht="12">
      <c r="A117" s="1472" t="s">
        <v>690</v>
      </c>
      <c r="B117" s="1472" t="s">
        <v>1458</v>
      </c>
      <c r="C117" s="1472">
        <v>1</v>
      </c>
      <c r="D117" s="1776" t="s">
        <v>186</v>
      </c>
      <c r="E117" s="1761" t="s">
        <v>186</v>
      </c>
      <c r="F117" s="1762" t="s">
        <v>3254</v>
      </c>
      <c r="G117" s="1770" t="s">
        <v>3255</v>
      </c>
    </row>
    <row r="118" spans="1:7" ht="12">
      <c r="A118" s="1472" t="s">
        <v>690</v>
      </c>
      <c r="B118" s="1472" t="s">
        <v>1458</v>
      </c>
      <c r="C118" s="1472">
        <v>1</v>
      </c>
      <c r="D118" s="1776" t="s">
        <v>188</v>
      </c>
      <c r="E118" s="1761" t="s">
        <v>188</v>
      </c>
      <c r="F118" s="1762" t="s">
        <v>3256</v>
      </c>
      <c r="G118" s="1770" t="s">
        <v>3257</v>
      </c>
    </row>
    <row r="119" spans="1:7" ht="12">
      <c r="A119" s="1472" t="s">
        <v>690</v>
      </c>
      <c r="B119" s="1472" t="s">
        <v>1458</v>
      </c>
      <c r="C119" s="1472">
        <v>1</v>
      </c>
      <c r="D119" s="1776" t="s">
        <v>142</v>
      </c>
      <c r="E119" s="1761" t="s">
        <v>142</v>
      </c>
      <c r="F119" s="1762" t="s">
        <v>3185</v>
      </c>
      <c r="G119" s="1770" t="s">
        <v>3186</v>
      </c>
    </row>
    <row r="120" spans="1:7" ht="12">
      <c r="A120" s="1472" t="s">
        <v>690</v>
      </c>
      <c r="B120" s="1472" t="s">
        <v>1458</v>
      </c>
      <c r="C120" s="1472">
        <v>1</v>
      </c>
      <c r="D120" s="1776" t="s">
        <v>49</v>
      </c>
      <c r="E120" s="1761" t="s">
        <v>49</v>
      </c>
      <c r="F120" s="1762" t="s">
        <v>3187</v>
      </c>
      <c r="G120" s="1770" t="s">
        <v>3188</v>
      </c>
    </row>
    <row r="121" spans="1:7" ht="12">
      <c r="A121" s="1472" t="s">
        <v>690</v>
      </c>
      <c r="B121" s="1472" t="s">
        <v>1458</v>
      </c>
      <c r="C121" s="1472">
        <v>1</v>
      </c>
      <c r="D121" s="1776" t="s">
        <v>189</v>
      </c>
      <c r="E121" s="1761" t="s">
        <v>189</v>
      </c>
      <c r="F121" s="1762" t="s">
        <v>3189</v>
      </c>
      <c r="G121" s="1770" t="s">
        <v>3190</v>
      </c>
    </row>
    <row r="122" spans="1:7" ht="12">
      <c r="A122" s="1472" t="s">
        <v>690</v>
      </c>
      <c r="B122" s="1472" t="s">
        <v>1458</v>
      </c>
      <c r="C122" s="1472">
        <v>1</v>
      </c>
      <c r="D122" s="1776" t="s">
        <v>146</v>
      </c>
      <c r="E122" s="1761" t="s">
        <v>146</v>
      </c>
      <c r="F122" s="1762" t="s">
        <v>3191</v>
      </c>
      <c r="G122" s="1770" t="s">
        <v>3192</v>
      </c>
    </row>
    <row r="123" spans="1:7" ht="12">
      <c r="A123" s="1472" t="s">
        <v>690</v>
      </c>
      <c r="B123" s="1472" t="s">
        <v>1458</v>
      </c>
      <c r="C123" s="1472">
        <v>1</v>
      </c>
      <c r="D123" s="1776" t="s">
        <v>147</v>
      </c>
      <c r="E123" s="1761" t="s">
        <v>147</v>
      </c>
      <c r="F123" s="1762" t="s">
        <v>3193</v>
      </c>
      <c r="G123" s="1770" t="s">
        <v>3194</v>
      </c>
    </row>
    <row r="124" spans="1:7" ht="12">
      <c r="A124" s="1472" t="s">
        <v>690</v>
      </c>
      <c r="B124" s="1472" t="s">
        <v>1458</v>
      </c>
      <c r="C124" s="1472">
        <v>1</v>
      </c>
      <c r="D124" s="1776" t="s">
        <v>148</v>
      </c>
      <c r="E124" s="1761" t="s">
        <v>148</v>
      </c>
      <c r="F124" s="1762" t="s">
        <v>3195</v>
      </c>
      <c r="G124" s="1770" t="s">
        <v>3196</v>
      </c>
    </row>
    <row r="125" spans="1:7" ht="12">
      <c r="A125" s="1472" t="s">
        <v>690</v>
      </c>
      <c r="B125" s="1472" t="s">
        <v>1458</v>
      </c>
      <c r="C125" s="1472">
        <v>1</v>
      </c>
      <c r="D125" s="1776" t="s">
        <v>149</v>
      </c>
      <c r="E125" s="1761" t="s">
        <v>149</v>
      </c>
      <c r="F125" s="1762" t="s">
        <v>3197</v>
      </c>
      <c r="G125" s="1770" t="s">
        <v>3198</v>
      </c>
    </row>
    <row r="126" spans="1:7" ht="12">
      <c r="A126" s="1472" t="s">
        <v>690</v>
      </c>
      <c r="B126" s="1472" t="s">
        <v>1458</v>
      </c>
      <c r="C126" s="1472">
        <v>1</v>
      </c>
      <c r="D126" s="1776" t="s">
        <v>150</v>
      </c>
      <c r="E126" s="1761" t="s">
        <v>150</v>
      </c>
      <c r="F126" s="1762" t="s">
        <v>3199</v>
      </c>
      <c r="G126" s="1770" t="s">
        <v>3200</v>
      </c>
    </row>
    <row r="127" spans="1:7" ht="12">
      <c r="A127" s="1472" t="s">
        <v>690</v>
      </c>
      <c r="B127" s="1472" t="s">
        <v>1458</v>
      </c>
      <c r="C127" s="1472">
        <v>1</v>
      </c>
      <c r="D127" s="1776" t="s">
        <v>151</v>
      </c>
      <c r="E127" s="1761" t="s">
        <v>151</v>
      </c>
      <c r="F127" s="1762" t="s">
        <v>3201</v>
      </c>
      <c r="G127" s="1770" t="s">
        <v>3202</v>
      </c>
    </row>
    <row r="128" spans="1:7" ht="12">
      <c r="A128" s="1472" t="s">
        <v>690</v>
      </c>
      <c r="B128" s="1472" t="s">
        <v>1458</v>
      </c>
      <c r="C128" s="1472">
        <v>1</v>
      </c>
      <c r="D128" s="1776" t="s">
        <v>152</v>
      </c>
      <c r="E128" s="1761" t="s">
        <v>152</v>
      </c>
      <c r="F128" s="1762" t="s">
        <v>3203</v>
      </c>
      <c r="G128" s="1770" t="s">
        <v>3204</v>
      </c>
    </row>
    <row r="129" spans="1:7" ht="12">
      <c r="A129" s="1472" t="s">
        <v>690</v>
      </c>
      <c r="B129" s="1472" t="s">
        <v>1458</v>
      </c>
      <c r="C129" s="1472">
        <v>1</v>
      </c>
      <c r="D129" s="1776" t="s">
        <v>153</v>
      </c>
      <c r="E129" s="1761" t="s">
        <v>153</v>
      </c>
      <c r="F129" s="1762" t="s">
        <v>3205</v>
      </c>
      <c r="G129" s="1770" t="s">
        <v>3206</v>
      </c>
    </row>
    <row r="130" spans="1:7" ht="12">
      <c r="A130" s="1472" t="s">
        <v>690</v>
      </c>
      <c r="B130" s="1472" t="s">
        <v>1458</v>
      </c>
      <c r="C130" s="1472">
        <v>1</v>
      </c>
      <c r="D130" s="1776" t="s">
        <v>154</v>
      </c>
      <c r="E130" s="1761" t="s">
        <v>154</v>
      </c>
      <c r="F130" s="1762" t="s">
        <v>3207</v>
      </c>
      <c r="G130" s="1770" t="s">
        <v>3208</v>
      </c>
    </row>
    <row r="131" spans="1:7" ht="12">
      <c r="A131" s="1472" t="s">
        <v>690</v>
      </c>
      <c r="B131" s="1472" t="s">
        <v>1458</v>
      </c>
      <c r="C131" s="1472">
        <v>1</v>
      </c>
      <c r="D131" s="1776" t="s">
        <v>155</v>
      </c>
      <c r="E131" s="1761" t="s">
        <v>155</v>
      </c>
      <c r="F131" s="1762" t="s">
        <v>3209</v>
      </c>
      <c r="G131" s="1770" t="s">
        <v>3210</v>
      </c>
    </row>
    <row r="132" spans="1:7" ht="12">
      <c r="A132" s="1472" t="s">
        <v>690</v>
      </c>
      <c r="B132" s="1472" t="s">
        <v>1458</v>
      </c>
      <c r="C132" s="1472">
        <v>1</v>
      </c>
      <c r="D132" s="1776" t="s">
        <v>156</v>
      </c>
      <c r="E132" s="1761" t="s">
        <v>156</v>
      </c>
      <c r="F132" s="1762" t="s">
        <v>3211</v>
      </c>
      <c r="G132" s="1770" t="s">
        <v>3212</v>
      </c>
    </row>
    <row r="133" spans="1:7" ht="12">
      <c r="A133" s="1472" t="s">
        <v>690</v>
      </c>
      <c r="B133" s="1472" t="s">
        <v>1458</v>
      </c>
      <c r="C133" s="1472">
        <v>1</v>
      </c>
      <c r="D133" s="1776" t="s">
        <v>157</v>
      </c>
      <c r="E133" s="1761" t="s">
        <v>157</v>
      </c>
      <c r="F133" s="1762" t="s">
        <v>3213</v>
      </c>
      <c r="G133" s="1770" t="s">
        <v>3214</v>
      </c>
    </row>
    <row r="134" spans="1:7" ht="12">
      <c r="A134" s="1472" t="s">
        <v>690</v>
      </c>
      <c r="B134" s="1472" t="s">
        <v>1458</v>
      </c>
      <c r="C134" s="1472">
        <v>1</v>
      </c>
      <c r="D134" s="1776" t="s">
        <v>158</v>
      </c>
      <c r="E134" s="1761" t="s">
        <v>158</v>
      </c>
      <c r="F134" s="1762" t="s">
        <v>3215</v>
      </c>
      <c r="G134" s="1770" t="s">
        <v>3216</v>
      </c>
    </row>
    <row r="135" spans="1:7" ht="12">
      <c r="A135" s="1472" t="s">
        <v>690</v>
      </c>
      <c r="B135" s="1472" t="s">
        <v>1458</v>
      </c>
      <c r="C135" s="1472">
        <v>1</v>
      </c>
      <c r="D135" s="1776" t="s">
        <v>159</v>
      </c>
      <c r="E135" s="1761" t="s">
        <v>159</v>
      </c>
      <c r="F135" s="1762" t="s">
        <v>3217</v>
      </c>
      <c r="G135" s="1770" t="s">
        <v>3218</v>
      </c>
    </row>
    <row r="136" spans="1:7" ht="12">
      <c r="A136" s="1472" t="s">
        <v>690</v>
      </c>
      <c r="B136" s="1472" t="s">
        <v>1458</v>
      </c>
      <c r="C136" s="1472">
        <v>1</v>
      </c>
      <c r="D136" s="1776" t="s">
        <v>160</v>
      </c>
      <c r="E136" s="1761" t="s">
        <v>160</v>
      </c>
      <c r="F136" s="1762" t="s">
        <v>3219</v>
      </c>
      <c r="G136" s="1770" t="s">
        <v>3220</v>
      </c>
    </row>
    <row r="137" spans="1:7" ht="12">
      <c r="A137" s="1472" t="s">
        <v>690</v>
      </c>
      <c r="B137" s="1472" t="s">
        <v>1458</v>
      </c>
      <c r="C137" s="1472">
        <v>1</v>
      </c>
      <c r="D137" s="1776" t="s">
        <v>161</v>
      </c>
      <c r="E137" s="1761" t="s">
        <v>161</v>
      </c>
      <c r="F137" s="1762" t="s">
        <v>3221</v>
      </c>
      <c r="G137" s="1770" t="s">
        <v>3222</v>
      </c>
    </row>
    <row r="138" spans="1:7" ht="12">
      <c r="A138" s="1472" t="s">
        <v>690</v>
      </c>
      <c r="B138" s="1472" t="s">
        <v>1458</v>
      </c>
      <c r="C138" s="1472">
        <v>1</v>
      </c>
      <c r="D138" s="1776" t="s">
        <v>162</v>
      </c>
      <c r="E138" s="1761" t="s">
        <v>162</v>
      </c>
      <c r="F138" s="1762" t="s">
        <v>3223</v>
      </c>
      <c r="G138" s="1770" t="s">
        <v>3224</v>
      </c>
    </row>
    <row r="139" spans="1:7" ht="12">
      <c r="A139" s="1472" t="s">
        <v>690</v>
      </c>
      <c r="B139" s="1472" t="s">
        <v>1458</v>
      </c>
      <c r="C139" s="1472">
        <v>1</v>
      </c>
      <c r="D139" s="1776" t="s">
        <v>163</v>
      </c>
      <c r="E139" s="1761" t="s">
        <v>163</v>
      </c>
      <c r="F139" s="1762" t="s">
        <v>3225</v>
      </c>
      <c r="G139" s="1770" t="s">
        <v>3226</v>
      </c>
    </row>
    <row r="140" spans="1:7" ht="12">
      <c r="A140" s="1472" t="s">
        <v>690</v>
      </c>
      <c r="B140" s="1472" t="s">
        <v>1458</v>
      </c>
      <c r="C140" s="1472">
        <v>1</v>
      </c>
      <c r="D140" s="1776" t="s">
        <v>164</v>
      </c>
      <c r="E140" s="1761" t="s">
        <v>164</v>
      </c>
      <c r="F140" s="1762" t="s">
        <v>3227</v>
      </c>
      <c r="G140" s="1770" t="s">
        <v>3228</v>
      </c>
    </row>
    <row r="141" spans="1:7" ht="12">
      <c r="A141" s="1472" t="s">
        <v>690</v>
      </c>
      <c r="B141" s="1472" t="s">
        <v>1458</v>
      </c>
      <c r="C141" s="1472">
        <v>1</v>
      </c>
      <c r="D141" s="1776" t="s">
        <v>165</v>
      </c>
      <c r="E141" s="1761" t="s">
        <v>165</v>
      </c>
      <c r="F141" s="1762" t="s">
        <v>3229</v>
      </c>
      <c r="G141" s="1770" t="s">
        <v>3230</v>
      </c>
    </row>
    <row r="142" spans="1:7" ht="12">
      <c r="A142" s="1472" t="s">
        <v>690</v>
      </c>
      <c r="B142" s="1472" t="s">
        <v>1458</v>
      </c>
      <c r="C142" s="1472">
        <v>1</v>
      </c>
      <c r="D142" s="1776" t="s">
        <v>143</v>
      </c>
      <c r="E142" s="1761" t="s">
        <v>143</v>
      </c>
      <c r="F142" s="1762" t="s">
        <v>3231</v>
      </c>
      <c r="G142" s="1770" t="s">
        <v>3232</v>
      </c>
    </row>
    <row r="143" spans="1:7" ht="12">
      <c r="A143" s="1472" t="s">
        <v>690</v>
      </c>
      <c r="B143" s="1472" t="s">
        <v>1458</v>
      </c>
      <c r="C143" s="1472">
        <v>1</v>
      </c>
      <c r="D143" s="1776" t="s">
        <v>166</v>
      </c>
      <c r="E143" s="1761" t="s">
        <v>166</v>
      </c>
      <c r="F143" s="1762" t="s">
        <v>3233</v>
      </c>
      <c r="G143" s="1770" t="s">
        <v>3234</v>
      </c>
    </row>
    <row r="144" spans="1:7" ht="12">
      <c r="A144" s="1472" t="s">
        <v>690</v>
      </c>
      <c r="B144" s="1472" t="s">
        <v>1458</v>
      </c>
      <c r="C144" s="1472">
        <v>1</v>
      </c>
      <c r="D144" s="1776" t="s">
        <v>167</v>
      </c>
      <c r="E144" s="1761" t="s">
        <v>167</v>
      </c>
      <c r="F144" s="1762" t="s">
        <v>3235</v>
      </c>
      <c r="G144" s="1770" t="s">
        <v>3236</v>
      </c>
    </row>
    <row r="145" spans="1:7" ht="12">
      <c r="A145" s="1472" t="s">
        <v>690</v>
      </c>
      <c r="B145" s="1472" t="s">
        <v>1458</v>
      </c>
      <c r="C145" s="1472">
        <v>1</v>
      </c>
      <c r="D145" s="1776" t="s">
        <v>144</v>
      </c>
      <c r="E145" s="1761" t="s">
        <v>144</v>
      </c>
      <c r="F145" s="1762" t="s">
        <v>3237</v>
      </c>
      <c r="G145" s="1770" t="s">
        <v>144</v>
      </c>
    </row>
    <row r="146" spans="1:7" ht="12">
      <c r="A146" s="1472" t="s">
        <v>690</v>
      </c>
      <c r="B146" s="1472" t="s">
        <v>1458</v>
      </c>
      <c r="C146" s="1472">
        <v>1</v>
      </c>
      <c r="D146" s="1776" t="s">
        <v>168</v>
      </c>
      <c r="E146" s="1761" t="s">
        <v>168</v>
      </c>
      <c r="F146" s="1762" t="s">
        <v>3238</v>
      </c>
      <c r="G146" s="1770" t="s">
        <v>3239</v>
      </c>
    </row>
    <row r="147" spans="1:7" ht="12">
      <c r="A147" s="1472" t="s">
        <v>690</v>
      </c>
      <c r="B147" s="1472" t="s">
        <v>1458</v>
      </c>
      <c r="C147" s="1472">
        <v>1</v>
      </c>
      <c r="D147" s="1776" t="s">
        <v>2503</v>
      </c>
      <c r="E147" s="1761" t="s">
        <v>2503</v>
      </c>
      <c r="F147" s="1762" t="s">
        <v>3240</v>
      </c>
      <c r="G147" s="1770" t="s">
        <v>3241</v>
      </c>
    </row>
    <row r="148" spans="1:7" ht="12">
      <c r="A148" s="1472" t="s">
        <v>690</v>
      </c>
      <c r="B148" s="1472" t="s">
        <v>1458</v>
      </c>
      <c r="C148" s="1472">
        <v>1</v>
      </c>
      <c r="D148" s="1776" t="s">
        <v>2671</v>
      </c>
      <c r="E148" s="1761" t="s">
        <v>2671</v>
      </c>
      <c r="F148" s="1762" t="s">
        <v>3242</v>
      </c>
      <c r="G148" s="1770" t="s">
        <v>3243</v>
      </c>
    </row>
    <row r="149" spans="1:7" ht="24">
      <c r="A149" s="1472" t="s">
        <v>690</v>
      </c>
      <c r="B149" s="1472" t="s">
        <v>1459</v>
      </c>
      <c r="C149" s="1472" t="s">
        <v>3174</v>
      </c>
      <c r="D149" s="1776" t="s">
        <v>2659</v>
      </c>
      <c r="E149" s="1761" t="s">
        <v>2659</v>
      </c>
      <c r="F149" s="1764" t="s">
        <v>3258</v>
      </c>
      <c r="G149" s="1772" t="s">
        <v>3259</v>
      </c>
    </row>
    <row r="150" spans="1:7" ht="12">
      <c r="A150" s="1472" t="s">
        <v>690</v>
      </c>
      <c r="B150" s="1472" t="s">
        <v>1459</v>
      </c>
      <c r="C150" s="1472" t="s">
        <v>3174</v>
      </c>
      <c r="D150" s="1776" t="s">
        <v>1</v>
      </c>
      <c r="E150" s="1761" t="s">
        <v>1</v>
      </c>
      <c r="F150" s="1762" t="s">
        <v>3112</v>
      </c>
      <c r="G150" s="1770" t="s">
        <v>3113</v>
      </c>
    </row>
    <row r="151" spans="1:7" ht="12">
      <c r="A151" s="1472" t="s">
        <v>690</v>
      </c>
      <c r="B151" s="1472" t="s">
        <v>1459</v>
      </c>
      <c r="C151" s="1472" t="s">
        <v>3174</v>
      </c>
      <c r="D151" s="1776" t="s">
        <v>2</v>
      </c>
      <c r="E151" s="1761" t="s">
        <v>2</v>
      </c>
      <c r="F151" s="1762" t="s">
        <v>3143</v>
      </c>
      <c r="G151" s="1770" t="s">
        <v>3144</v>
      </c>
    </row>
    <row r="152" spans="1:7" ht="12">
      <c r="A152" s="1472" t="s">
        <v>690</v>
      </c>
      <c r="B152" s="1472" t="s">
        <v>1459</v>
      </c>
      <c r="C152" s="1472" t="s">
        <v>3174</v>
      </c>
      <c r="D152" s="1776" t="s">
        <v>3</v>
      </c>
      <c r="E152" s="1761" t="s">
        <v>3</v>
      </c>
      <c r="F152" s="1762" t="s">
        <v>3118</v>
      </c>
      <c r="G152" s="1770" t="s">
        <v>3119</v>
      </c>
    </row>
    <row r="153" spans="1:7" ht="12">
      <c r="A153" s="1472" t="s">
        <v>690</v>
      </c>
      <c r="B153" s="1472" t="s">
        <v>1459</v>
      </c>
      <c r="C153" s="1472" t="s">
        <v>3174</v>
      </c>
      <c r="D153" s="1776" t="s">
        <v>4</v>
      </c>
      <c r="E153" s="1761" t="s">
        <v>4</v>
      </c>
      <c r="F153" s="1762" t="s">
        <v>3122</v>
      </c>
      <c r="G153" s="1770" t="s">
        <v>3123</v>
      </c>
    </row>
    <row r="154" spans="1:7" ht="204">
      <c r="A154" s="1472" t="s">
        <v>690</v>
      </c>
      <c r="B154" s="1472" t="s">
        <v>1459</v>
      </c>
      <c r="C154" s="1472">
        <v>1</v>
      </c>
      <c r="D154" s="1776" t="s">
        <v>3260</v>
      </c>
      <c r="E154" s="1761" t="s">
        <v>3260</v>
      </c>
      <c r="F154" s="1764" t="s">
        <v>3261</v>
      </c>
      <c r="G154" s="1772" t="s">
        <v>3262</v>
      </c>
    </row>
    <row r="155" spans="1:7" ht="12">
      <c r="A155" s="1472" t="s">
        <v>690</v>
      </c>
      <c r="B155" s="1472" t="s">
        <v>1459</v>
      </c>
      <c r="C155" s="1472">
        <v>1</v>
      </c>
      <c r="D155" s="1776" t="s">
        <v>1028</v>
      </c>
      <c r="E155" s="1761" t="s">
        <v>1028</v>
      </c>
      <c r="F155" s="1762" t="s">
        <v>3252</v>
      </c>
      <c r="G155" s="1770" t="s">
        <v>3253</v>
      </c>
    </row>
    <row r="156" spans="1:7" ht="12">
      <c r="A156" s="1472" t="s">
        <v>690</v>
      </c>
      <c r="B156" s="1472" t="s">
        <v>1459</v>
      </c>
      <c r="C156" s="1472">
        <v>1</v>
      </c>
      <c r="D156" s="1776" t="s">
        <v>187</v>
      </c>
      <c r="E156" s="1761" t="s">
        <v>187</v>
      </c>
      <c r="F156" s="1762" t="s">
        <v>3263</v>
      </c>
      <c r="G156" s="1770" t="s">
        <v>3264</v>
      </c>
    </row>
    <row r="157" spans="1:7" ht="12">
      <c r="A157" s="1472" t="s">
        <v>690</v>
      </c>
      <c r="B157" s="1472" t="s">
        <v>1459</v>
      </c>
      <c r="C157" s="1472">
        <v>1</v>
      </c>
      <c r="D157" s="1776" t="s">
        <v>218</v>
      </c>
      <c r="E157" s="1761" t="s">
        <v>218</v>
      </c>
      <c r="F157" s="1762" t="s">
        <v>3265</v>
      </c>
      <c r="G157" s="1770" t="s">
        <v>3266</v>
      </c>
    </row>
    <row r="158" spans="1:7" ht="12">
      <c r="A158" s="1472" t="s">
        <v>690</v>
      </c>
      <c r="B158" s="1472" t="s">
        <v>1459</v>
      </c>
      <c r="C158" s="1472">
        <v>1</v>
      </c>
      <c r="D158" s="1776" t="s">
        <v>142</v>
      </c>
      <c r="E158" s="1761" t="s">
        <v>142</v>
      </c>
      <c r="F158" s="1762" t="s">
        <v>3185</v>
      </c>
      <c r="G158" s="1770" t="s">
        <v>3186</v>
      </c>
    </row>
    <row r="159" spans="1:7" ht="12">
      <c r="A159" s="1472" t="s">
        <v>690</v>
      </c>
      <c r="B159" s="1472" t="s">
        <v>1459</v>
      </c>
      <c r="C159" s="1472">
        <v>1</v>
      </c>
      <c r="D159" s="1776" t="s">
        <v>49</v>
      </c>
      <c r="E159" s="1761" t="s">
        <v>49</v>
      </c>
      <c r="F159" s="1762" t="s">
        <v>3187</v>
      </c>
      <c r="G159" s="1770" t="s">
        <v>3188</v>
      </c>
    </row>
    <row r="160" spans="1:7" ht="12">
      <c r="A160" s="1472" t="s">
        <v>690</v>
      </c>
      <c r="B160" s="1472" t="s">
        <v>1459</v>
      </c>
      <c r="C160" s="1472">
        <v>1</v>
      </c>
      <c r="D160" s="1776" t="s">
        <v>189</v>
      </c>
      <c r="E160" s="1761" t="s">
        <v>189</v>
      </c>
      <c r="F160" s="1762" t="s">
        <v>3189</v>
      </c>
      <c r="G160" s="1770" t="s">
        <v>3190</v>
      </c>
    </row>
    <row r="161" spans="1:7" ht="12">
      <c r="A161" s="1472" t="s">
        <v>690</v>
      </c>
      <c r="B161" s="1472" t="s">
        <v>1459</v>
      </c>
      <c r="C161" s="1472">
        <v>1</v>
      </c>
      <c r="D161" s="1776" t="s">
        <v>146</v>
      </c>
      <c r="E161" s="1761" t="s">
        <v>146</v>
      </c>
      <c r="F161" s="1762" t="s">
        <v>3191</v>
      </c>
      <c r="G161" s="1770" t="s">
        <v>3192</v>
      </c>
    </row>
    <row r="162" spans="1:7" ht="12">
      <c r="A162" s="1472" t="s">
        <v>690</v>
      </c>
      <c r="B162" s="1472" t="s">
        <v>1459</v>
      </c>
      <c r="C162" s="1472">
        <v>1</v>
      </c>
      <c r="D162" s="1776" t="s">
        <v>147</v>
      </c>
      <c r="E162" s="1761" t="s">
        <v>147</v>
      </c>
      <c r="F162" s="1762" t="s">
        <v>3193</v>
      </c>
      <c r="G162" s="1770" t="s">
        <v>3194</v>
      </c>
    </row>
    <row r="163" spans="1:7" ht="12">
      <c r="A163" s="1472" t="s">
        <v>690</v>
      </c>
      <c r="B163" s="1472" t="s">
        <v>1459</v>
      </c>
      <c r="C163" s="1472">
        <v>1</v>
      </c>
      <c r="D163" s="1776" t="s">
        <v>148</v>
      </c>
      <c r="E163" s="1761" t="s">
        <v>148</v>
      </c>
      <c r="F163" s="1762" t="s">
        <v>3195</v>
      </c>
      <c r="G163" s="1770" t="s">
        <v>3196</v>
      </c>
    </row>
    <row r="164" spans="1:7" ht="12">
      <c r="A164" s="1472" t="s">
        <v>690</v>
      </c>
      <c r="B164" s="1472" t="s">
        <v>1459</v>
      </c>
      <c r="C164" s="1472">
        <v>1</v>
      </c>
      <c r="D164" s="1776" t="s">
        <v>149</v>
      </c>
      <c r="E164" s="1761" t="s">
        <v>149</v>
      </c>
      <c r="F164" s="1762" t="s">
        <v>3197</v>
      </c>
      <c r="G164" s="1770" t="s">
        <v>3198</v>
      </c>
    </row>
    <row r="165" spans="1:7" ht="12">
      <c r="A165" s="1472" t="s">
        <v>690</v>
      </c>
      <c r="B165" s="1472" t="s">
        <v>1459</v>
      </c>
      <c r="C165" s="1472">
        <v>1</v>
      </c>
      <c r="D165" s="1776" t="s">
        <v>150</v>
      </c>
      <c r="E165" s="1761" t="s">
        <v>150</v>
      </c>
      <c r="F165" s="1762" t="s">
        <v>3199</v>
      </c>
      <c r="G165" s="1770" t="s">
        <v>3200</v>
      </c>
    </row>
    <row r="166" spans="1:7" ht="12">
      <c r="A166" s="1472" t="s">
        <v>690</v>
      </c>
      <c r="B166" s="1472" t="s">
        <v>1459</v>
      </c>
      <c r="C166" s="1472">
        <v>1</v>
      </c>
      <c r="D166" s="1776" t="s">
        <v>151</v>
      </c>
      <c r="E166" s="1761" t="s">
        <v>151</v>
      </c>
      <c r="F166" s="1762" t="s">
        <v>3201</v>
      </c>
      <c r="G166" s="1770" t="s">
        <v>3202</v>
      </c>
    </row>
    <row r="167" spans="1:7" ht="12">
      <c r="A167" s="1472" t="s">
        <v>690</v>
      </c>
      <c r="B167" s="1472" t="s">
        <v>1459</v>
      </c>
      <c r="C167" s="1472">
        <v>1</v>
      </c>
      <c r="D167" s="1776" t="s">
        <v>152</v>
      </c>
      <c r="E167" s="1761" t="s">
        <v>152</v>
      </c>
      <c r="F167" s="1762" t="s">
        <v>3203</v>
      </c>
      <c r="G167" s="1770" t="s">
        <v>3204</v>
      </c>
    </row>
    <row r="168" spans="1:7" ht="12">
      <c r="A168" s="1472" t="s">
        <v>690</v>
      </c>
      <c r="B168" s="1472" t="s">
        <v>1459</v>
      </c>
      <c r="C168" s="1472">
        <v>1</v>
      </c>
      <c r="D168" s="1776" t="s">
        <v>153</v>
      </c>
      <c r="E168" s="1761" t="s">
        <v>153</v>
      </c>
      <c r="F168" s="1762" t="s">
        <v>3205</v>
      </c>
      <c r="G168" s="1770" t="s">
        <v>3206</v>
      </c>
    </row>
    <row r="169" spans="1:7" ht="12">
      <c r="A169" s="1472" t="s">
        <v>690</v>
      </c>
      <c r="B169" s="1472" t="s">
        <v>1459</v>
      </c>
      <c r="C169" s="1472">
        <v>1</v>
      </c>
      <c r="D169" s="1776" t="s">
        <v>154</v>
      </c>
      <c r="E169" s="1761" t="s">
        <v>154</v>
      </c>
      <c r="F169" s="1762" t="s">
        <v>3207</v>
      </c>
      <c r="G169" s="1770" t="s">
        <v>3208</v>
      </c>
    </row>
    <row r="170" spans="1:7" ht="12">
      <c r="A170" s="1472" t="s">
        <v>690</v>
      </c>
      <c r="B170" s="1472" t="s">
        <v>1459</v>
      </c>
      <c r="C170" s="1472">
        <v>1</v>
      </c>
      <c r="D170" s="1776" t="s">
        <v>155</v>
      </c>
      <c r="E170" s="1761" t="s">
        <v>155</v>
      </c>
      <c r="F170" s="1762" t="s">
        <v>3209</v>
      </c>
      <c r="G170" s="1770" t="s">
        <v>3210</v>
      </c>
    </row>
    <row r="171" spans="1:7" ht="12">
      <c r="A171" s="1472" t="s">
        <v>690</v>
      </c>
      <c r="B171" s="1472" t="s">
        <v>1459</v>
      </c>
      <c r="C171" s="1472">
        <v>1</v>
      </c>
      <c r="D171" s="1776" t="s">
        <v>156</v>
      </c>
      <c r="E171" s="1761" t="s">
        <v>156</v>
      </c>
      <c r="F171" s="1762" t="s">
        <v>3211</v>
      </c>
      <c r="G171" s="1770" t="s">
        <v>3212</v>
      </c>
    </row>
    <row r="172" spans="1:7" ht="12">
      <c r="A172" s="1472" t="s">
        <v>690</v>
      </c>
      <c r="B172" s="1472" t="s">
        <v>1459</v>
      </c>
      <c r="C172" s="1472">
        <v>1</v>
      </c>
      <c r="D172" s="1776" t="s">
        <v>157</v>
      </c>
      <c r="E172" s="1761" t="s">
        <v>157</v>
      </c>
      <c r="F172" s="1762" t="s">
        <v>3213</v>
      </c>
      <c r="G172" s="1770" t="s">
        <v>3214</v>
      </c>
    </row>
    <row r="173" spans="1:7" ht="12">
      <c r="A173" s="1472" t="s">
        <v>690</v>
      </c>
      <c r="B173" s="1472" t="s">
        <v>1459</v>
      </c>
      <c r="C173" s="1472">
        <v>1</v>
      </c>
      <c r="D173" s="1776" t="s">
        <v>158</v>
      </c>
      <c r="E173" s="1761" t="s">
        <v>158</v>
      </c>
      <c r="F173" s="1762" t="s">
        <v>3215</v>
      </c>
      <c r="G173" s="1770" t="s">
        <v>3216</v>
      </c>
    </row>
    <row r="174" spans="1:7" ht="12">
      <c r="A174" s="1472" t="s">
        <v>690</v>
      </c>
      <c r="B174" s="1472" t="s">
        <v>1459</v>
      </c>
      <c r="C174" s="1472">
        <v>1</v>
      </c>
      <c r="D174" s="1776" t="s">
        <v>159</v>
      </c>
      <c r="E174" s="1761" t="s">
        <v>159</v>
      </c>
      <c r="F174" s="1762" t="s">
        <v>3217</v>
      </c>
      <c r="G174" s="1770" t="s">
        <v>3218</v>
      </c>
    </row>
    <row r="175" spans="1:7" ht="12">
      <c r="A175" s="1472" t="s">
        <v>690</v>
      </c>
      <c r="B175" s="1472" t="s">
        <v>1459</v>
      </c>
      <c r="C175" s="1472">
        <v>1</v>
      </c>
      <c r="D175" s="1776" t="s">
        <v>160</v>
      </c>
      <c r="E175" s="1761" t="s">
        <v>160</v>
      </c>
      <c r="F175" s="1762" t="s">
        <v>3219</v>
      </c>
      <c r="G175" s="1770" t="s">
        <v>3220</v>
      </c>
    </row>
    <row r="176" spans="1:7" ht="12">
      <c r="A176" s="1472" t="s">
        <v>690</v>
      </c>
      <c r="B176" s="1472" t="s">
        <v>1459</v>
      </c>
      <c r="C176" s="1472">
        <v>1</v>
      </c>
      <c r="D176" s="1776" t="s">
        <v>161</v>
      </c>
      <c r="E176" s="1761" t="s">
        <v>161</v>
      </c>
      <c r="F176" s="1762" t="s">
        <v>3221</v>
      </c>
      <c r="G176" s="1770" t="s">
        <v>3222</v>
      </c>
    </row>
    <row r="177" spans="1:7" ht="12">
      <c r="A177" s="1472" t="s">
        <v>690</v>
      </c>
      <c r="B177" s="1472" t="s">
        <v>1459</v>
      </c>
      <c r="C177" s="1472">
        <v>1</v>
      </c>
      <c r="D177" s="1776" t="s">
        <v>162</v>
      </c>
      <c r="E177" s="1761" t="s">
        <v>162</v>
      </c>
      <c r="F177" s="1762" t="s">
        <v>3223</v>
      </c>
      <c r="G177" s="1770" t="s">
        <v>3224</v>
      </c>
    </row>
    <row r="178" spans="1:7" ht="12">
      <c r="A178" s="1472" t="s">
        <v>690</v>
      </c>
      <c r="B178" s="1472" t="s">
        <v>1459</v>
      </c>
      <c r="C178" s="1472">
        <v>1</v>
      </c>
      <c r="D178" s="1776" t="s">
        <v>163</v>
      </c>
      <c r="E178" s="1761" t="s">
        <v>163</v>
      </c>
      <c r="F178" s="1762" t="s">
        <v>3225</v>
      </c>
      <c r="G178" s="1770" t="s">
        <v>3226</v>
      </c>
    </row>
    <row r="179" spans="1:7" ht="12">
      <c r="A179" s="1472" t="s">
        <v>690</v>
      </c>
      <c r="B179" s="1472" t="s">
        <v>1459</v>
      </c>
      <c r="C179" s="1472">
        <v>1</v>
      </c>
      <c r="D179" s="1776" t="s">
        <v>164</v>
      </c>
      <c r="E179" s="1761" t="s">
        <v>164</v>
      </c>
      <c r="F179" s="1762" t="s">
        <v>3227</v>
      </c>
      <c r="G179" s="1770" t="s">
        <v>3228</v>
      </c>
    </row>
    <row r="180" spans="1:7" ht="12">
      <c r="A180" s="1472" t="s">
        <v>690</v>
      </c>
      <c r="B180" s="1472" t="s">
        <v>1459</v>
      </c>
      <c r="C180" s="1472">
        <v>1</v>
      </c>
      <c r="D180" s="1776" t="s">
        <v>165</v>
      </c>
      <c r="E180" s="1761" t="s">
        <v>165</v>
      </c>
      <c r="F180" s="1762" t="s">
        <v>3229</v>
      </c>
      <c r="G180" s="1770" t="s">
        <v>3230</v>
      </c>
    </row>
    <row r="181" spans="1:7" ht="12">
      <c r="A181" s="1472" t="s">
        <v>690</v>
      </c>
      <c r="B181" s="1472" t="s">
        <v>1459</v>
      </c>
      <c r="C181" s="1472">
        <v>1</v>
      </c>
      <c r="D181" s="1776" t="s">
        <v>143</v>
      </c>
      <c r="E181" s="1761" t="s">
        <v>143</v>
      </c>
      <c r="F181" s="1762" t="s">
        <v>3231</v>
      </c>
      <c r="G181" s="1770" t="s">
        <v>3232</v>
      </c>
    </row>
    <row r="182" spans="1:7" ht="12">
      <c r="A182" s="1472" t="s">
        <v>690</v>
      </c>
      <c r="B182" s="1472" t="s">
        <v>1459</v>
      </c>
      <c r="C182" s="1472">
        <v>1</v>
      </c>
      <c r="D182" s="1776" t="s">
        <v>166</v>
      </c>
      <c r="E182" s="1761" t="s">
        <v>166</v>
      </c>
      <c r="F182" s="1762" t="s">
        <v>3233</v>
      </c>
      <c r="G182" s="1770" t="s">
        <v>3234</v>
      </c>
    </row>
    <row r="183" spans="1:7" ht="12">
      <c r="A183" s="1472" t="s">
        <v>690</v>
      </c>
      <c r="B183" s="1472" t="s">
        <v>1459</v>
      </c>
      <c r="C183" s="1472">
        <v>1</v>
      </c>
      <c r="D183" s="1776" t="s">
        <v>167</v>
      </c>
      <c r="E183" s="1761" t="s">
        <v>167</v>
      </c>
      <c r="F183" s="1762" t="s">
        <v>3235</v>
      </c>
      <c r="G183" s="1770" t="s">
        <v>3236</v>
      </c>
    </row>
    <row r="184" spans="1:7" ht="12">
      <c r="A184" s="1472" t="s">
        <v>690</v>
      </c>
      <c r="B184" s="1472" t="s">
        <v>1459</v>
      </c>
      <c r="C184" s="1472">
        <v>1</v>
      </c>
      <c r="D184" s="1776" t="s">
        <v>144</v>
      </c>
      <c r="E184" s="1761" t="s">
        <v>144</v>
      </c>
      <c r="F184" s="1762" t="s">
        <v>3237</v>
      </c>
      <c r="G184" s="1770" t="s">
        <v>144</v>
      </c>
    </row>
    <row r="185" spans="1:7" ht="12">
      <c r="A185" s="1472" t="s">
        <v>690</v>
      </c>
      <c r="B185" s="1472" t="s">
        <v>1459</v>
      </c>
      <c r="C185" s="1472">
        <v>1</v>
      </c>
      <c r="D185" s="1776" t="s">
        <v>168</v>
      </c>
      <c r="E185" s="1761" t="s">
        <v>168</v>
      </c>
      <c r="F185" s="1762" t="s">
        <v>3238</v>
      </c>
      <c r="G185" s="1770" t="s">
        <v>3239</v>
      </c>
    </row>
    <row r="186" spans="1:7" ht="12">
      <c r="A186" s="1472" t="s">
        <v>690</v>
      </c>
      <c r="B186" s="1472" t="s">
        <v>1459</v>
      </c>
      <c r="C186" s="1472">
        <v>1</v>
      </c>
      <c r="D186" s="1776" t="s">
        <v>2503</v>
      </c>
      <c r="E186" s="1761" t="s">
        <v>2503</v>
      </c>
      <c r="F186" s="1762" t="s">
        <v>3240</v>
      </c>
      <c r="G186" s="1770" t="s">
        <v>3241</v>
      </c>
    </row>
    <row r="187" spans="1:7" ht="12">
      <c r="A187" s="1472" t="s">
        <v>690</v>
      </c>
      <c r="B187" s="1472" t="s">
        <v>1459</v>
      </c>
      <c r="C187" s="1472">
        <v>1</v>
      </c>
      <c r="D187" s="1776" t="s">
        <v>2671</v>
      </c>
      <c r="E187" s="1761" t="s">
        <v>2671</v>
      </c>
      <c r="F187" s="1762" t="s">
        <v>3242</v>
      </c>
      <c r="G187" s="1770" t="s">
        <v>3243</v>
      </c>
    </row>
    <row r="188" spans="1:7" ht="204">
      <c r="A188" s="1472" t="s">
        <v>690</v>
      </c>
      <c r="B188" s="1472" t="s">
        <v>1459</v>
      </c>
      <c r="C188" s="1472">
        <v>2</v>
      </c>
      <c r="D188" s="1776" t="s">
        <v>3260</v>
      </c>
      <c r="E188" s="1761" t="s">
        <v>3260</v>
      </c>
      <c r="F188" s="1764" t="s">
        <v>3267</v>
      </c>
      <c r="G188" s="1772" t="s">
        <v>3262</v>
      </c>
    </row>
    <row r="189" spans="1:7" ht="12">
      <c r="A189" s="1472" t="s">
        <v>690</v>
      </c>
      <c r="B189" s="1472" t="s">
        <v>1459</v>
      </c>
      <c r="C189" s="1472">
        <v>2</v>
      </c>
      <c r="D189" s="1776" t="s">
        <v>1028</v>
      </c>
      <c r="E189" s="1761" t="s">
        <v>1028</v>
      </c>
      <c r="F189" s="1762" t="s">
        <v>3252</v>
      </c>
      <c r="G189" s="1770" t="s">
        <v>3253</v>
      </c>
    </row>
    <row r="190" spans="1:7" ht="12">
      <c r="A190" s="1472" t="s">
        <v>690</v>
      </c>
      <c r="B190" s="1472" t="s">
        <v>1459</v>
      </c>
      <c r="C190" s="1472">
        <v>2</v>
      </c>
      <c r="D190" s="1776" t="s">
        <v>104</v>
      </c>
      <c r="E190" s="1761" t="s">
        <v>104</v>
      </c>
      <c r="F190" s="1762" t="s">
        <v>3268</v>
      </c>
      <c r="G190" s="1770" t="s">
        <v>3269</v>
      </c>
    </row>
    <row r="191" spans="1:7" ht="24">
      <c r="A191" s="1472" t="s">
        <v>690</v>
      </c>
      <c r="B191" s="1472" t="s">
        <v>1459</v>
      </c>
      <c r="C191" s="1472">
        <v>2</v>
      </c>
      <c r="D191" s="1776" t="s">
        <v>228</v>
      </c>
      <c r="E191" s="1761" t="s">
        <v>228</v>
      </c>
      <c r="F191" s="1762" t="s">
        <v>3270</v>
      </c>
      <c r="G191" s="1770" t="s">
        <v>3271</v>
      </c>
    </row>
    <row r="192" spans="1:7" ht="12">
      <c r="A192" s="1472" t="s">
        <v>690</v>
      </c>
      <c r="B192" s="1472" t="s">
        <v>1459</v>
      </c>
      <c r="C192" s="1472">
        <v>2</v>
      </c>
      <c r="D192" s="1776" t="s">
        <v>142</v>
      </c>
      <c r="E192" s="1761" t="s">
        <v>142</v>
      </c>
      <c r="F192" s="1762" t="s">
        <v>3185</v>
      </c>
      <c r="G192" s="1770" t="s">
        <v>3186</v>
      </c>
    </row>
    <row r="193" spans="1:7" ht="12">
      <c r="A193" s="1472" t="s">
        <v>690</v>
      </c>
      <c r="B193" s="1472" t="s">
        <v>1459</v>
      </c>
      <c r="C193" s="1472">
        <v>2</v>
      </c>
      <c r="D193" s="1776" t="s">
        <v>49</v>
      </c>
      <c r="E193" s="1761" t="s">
        <v>49</v>
      </c>
      <c r="F193" s="1762" t="s">
        <v>3187</v>
      </c>
      <c r="G193" s="1770" t="s">
        <v>3188</v>
      </c>
    </row>
    <row r="194" spans="1:7" ht="12">
      <c r="A194" s="1472" t="s">
        <v>690</v>
      </c>
      <c r="B194" s="1472" t="s">
        <v>1459</v>
      </c>
      <c r="C194" s="1472">
        <v>2</v>
      </c>
      <c r="D194" s="1776" t="s">
        <v>189</v>
      </c>
      <c r="E194" s="1761" t="s">
        <v>189</v>
      </c>
      <c r="F194" s="1762" t="s">
        <v>3189</v>
      </c>
      <c r="G194" s="1770" t="s">
        <v>3190</v>
      </c>
    </row>
    <row r="195" spans="1:7" ht="12">
      <c r="A195" s="1472" t="s">
        <v>690</v>
      </c>
      <c r="B195" s="1472" t="s">
        <v>1459</v>
      </c>
      <c r="C195" s="1472">
        <v>2</v>
      </c>
      <c r="D195" s="1776" t="s">
        <v>146</v>
      </c>
      <c r="E195" s="1761" t="s">
        <v>146</v>
      </c>
      <c r="F195" s="1762" t="s">
        <v>3191</v>
      </c>
      <c r="G195" s="1770" t="s">
        <v>3192</v>
      </c>
    </row>
    <row r="196" spans="1:7" ht="12">
      <c r="A196" s="1472" t="s">
        <v>690</v>
      </c>
      <c r="B196" s="1472" t="s">
        <v>1459</v>
      </c>
      <c r="C196" s="1472">
        <v>2</v>
      </c>
      <c r="D196" s="1776" t="s">
        <v>147</v>
      </c>
      <c r="E196" s="1761" t="s">
        <v>147</v>
      </c>
      <c r="F196" s="1762" t="s">
        <v>3193</v>
      </c>
      <c r="G196" s="1770" t="s">
        <v>3194</v>
      </c>
    </row>
    <row r="197" spans="1:7" ht="12">
      <c r="A197" s="1472" t="s">
        <v>690</v>
      </c>
      <c r="B197" s="1472" t="s">
        <v>1459</v>
      </c>
      <c r="C197" s="1472">
        <v>2</v>
      </c>
      <c r="D197" s="1776" t="s">
        <v>148</v>
      </c>
      <c r="E197" s="1761" t="s">
        <v>148</v>
      </c>
      <c r="F197" s="1762" t="s">
        <v>3195</v>
      </c>
      <c r="G197" s="1770" t="s">
        <v>3196</v>
      </c>
    </row>
    <row r="198" spans="1:7" ht="12">
      <c r="A198" s="1472" t="s">
        <v>690</v>
      </c>
      <c r="B198" s="1472" t="s">
        <v>1459</v>
      </c>
      <c r="C198" s="1472">
        <v>2</v>
      </c>
      <c r="D198" s="1776" t="s">
        <v>149</v>
      </c>
      <c r="E198" s="1761" t="s">
        <v>149</v>
      </c>
      <c r="F198" s="1762" t="s">
        <v>3197</v>
      </c>
      <c r="G198" s="1770" t="s">
        <v>3198</v>
      </c>
    </row>
    <row r="199" spans="1:7" ht="12">
      <c r="A199" s="1472" t="s">
        <v>690</v>
      </c>
      <c r="B199" s="1472" t="s">
        <v>1459</v>
      </c>
      <c r="C199" s="1472">
        <v>2</v>
      </c>
      <c r="D199" s="1776" t="s">
        <v>150</v>
      </c>
      <c r="E199" s="1761" t="s">
        <v>150</v>
      </c>
      <c r="F199" s="1762" t="s">
        <v>3199</v>
      </c>
      <c r="G199" s="1770" t="s">
        <v>3200</v>
      </c>
    </row>
    <row r="200" spans="1:7" ht="12">
      <c r="A200" s="1472" t="s">
        <v>690</v>
      </c>
      <c r="B200" s="1472" t="s">
        <v>1459</v>
      </c>
      <c r="C200" s="1472">
        <v>2</v>
      </c>
      <c r="D200" s="1776" t="s">
        <v>151</v>
      </c>
      <c r="E200" s="1761" t="s">
        <v>151</v>
      </c>
      <c r="F200" s="1762" t="s">
        <v>3201</v>
      </c>
      <c r="G200" s="1770" t="s">
        <v>3202</v>
      </c>
    </row>
    <row r="201" spans="1:7" ht="12">
      <c r="A201" s="1472" t="s">
        <v>690</v>
      </c>
      <c r="B201" s="1472" t="s">
        <v>1459</v>
      </c>
      <c r="C201" s="1472">
        <v>2</v>
      </c>
      <c r="D201" s="1776" t="s">
        <v>152</v>
      </c>
      <c r="E201" s="1761" t="s">
        <v>152</v>
      </c>
      <c r="F201" s="1762" t="s">
        <v>3203</v>
      </c>
      <c r="G201" s="1770" t="s">
        <v>3204</v>
      </c>
    </row>
    <row r="202" spans="1:7" ht="12">
      <c r="A202" s="1472" t="s">
        <v>690</v>
      </c>
      <c r="B202" s="1472" t="s">
        <v>1459</v>
      </c>
      <c r="C202" s="1472">
        <v>2</v>
      </c>
      <c r="D202" s="1776" t="s">
        <v>153</v>
      </c>
      <c r="E202" s="1761" t="s">
        <v>153</v>
      </c>
      <c r="F202" s="1762" t="s">
        <v>3205</v>
      </c>
      <c r="G202" s="1770" t="s">
        <v>3206</v>
      </c>
    </row>
    <row r="203" spans="1:7" ht="12">
      <c r="A203" s="1472" t="s">
        <v>690</v>
      </c>
      <c r="B203" s="1472" t="s">
        <v>1459</v>
      </c>
      <c r="C203" s="1472">
        <v>2</v>
      </c>
      <c r="D203" s="1776" t="s">
        <v>154</v>
      </c>
      <c r="E203" s="1761" t="s">
        <v>154</v>
      </c>
      <c r="F203" s="1762" t="s">
        <v>3207</v>
      </c>
      <c r="G203" s="1770" t="s">
        <v>3208</v>
      </c>
    </row>
    <row r="204" spans="1:7" ht="12">
      <c r="A204" s="1472" t="s">
        <v>690</v>
      </c>
      <c r="B204" s="1472" t="s">
        <v>1459</v>
      </c>
      <c r="C204" s="1472">
        <v>2</v>
      </c>
      <c r="D204" s="1776" t="s">
        <v>155</v>
      </c>
      <c r="E204" s="1761" t="s">
        <v>155</v>
      </c>
      <c r="F204" s="1762" t="s">
        <v>3209</v>
      </c>
      <c r="G204" s="1770" t="s">
        <v>3210</v>
      </c>
    </row>
    <row r="205" spans="1:7" ht="12">
      <c r="A205" s="1472" t="s">
        <v>690</v>
      </c>
      <c r="B205" s="1472" t="s">
        <v>1459</v>
      </c>
      <c r="C205" s="1472">
        <v>2</v>
      </c>
      <c r="D205" s="1776" t="s">
        <v>156</v>
      </c>
      <c r="E205" s="1761" t="s">
        <v>156</v>
      </c>
      <c r="F205" s="1762" t="s">
        <v>3211</v>
      </c>
      <c r="G205" s="1770" t="s">
        <v>3212</v>
      </c>
    </row>
    <row r="206" spans="1:7" ht="12">
      <c r="A206" s="1472" t="s">
        <v>690</v>
      </c>
      <c r="B206" s="1472" t="s">
        <v>1459</v>
      </c>
      <c r="C206" s="1472">
        <v>2</v>
      </c>
      <c r="D206" s="1776" t="s">
        <v>157</v>
      </c>
      <c r="E206" s="1761" t="s">
        <v>157</v>
      </c>
      <c r="F206" s="1762" t="s">
        <v>3213</v>
      </c>
      <c r="G206" s="1770" t="s">
        <v>3214</v>
      </c>
    </row>
    <row r="207" spans="1:7" ht="12">
      <c r="A207" s="1472" t="s">
        <v>690</v>
      </c>
      <c r="B207" s="1472" t="s">
        <v>1459</v>
      </c>
      <c r="C207" s="1472">
        <v>2</v>
      </c>
      <c r="D207" s="1776" t="s">
        <v>158</v>
      </c>
      <c r="E207" s="1761" t="s">
        <v>158</v>
      </c>
      <c r="F207" s="1762" t="s">
        <v>3215</v>
      </c>
      <c r="G207" s="1770" t="s">
        <v>3216</v>
      </c>
    </row>
    <row r="208" spans="1:7" ht="12">
      <c r="A208" s="1472" t="s">
        <v>690</v>
      </c>
      <c r="B208" s="1472" t="s">
        <v>1459</v>
      </c>
      <c r="C208" s="1472">
        <v>2</v>
      </c>
      <c r="D208" s="1776" t="s">
        <v>159</v>
      </c>
      <c r="E208" s="1761" t="s">
        <v>159</v>
      </c>
      <c r="F208" s="1762" t="s">
        <v>3217</v>
      </c>
      <c r="G208" s="1770" t="s">
        <v>3218</v>
      </c>
    </row>
    <row r="209" spans="1:7" ht="12">
      <c r="A209" s="1472" t="s">
        <v>690</v>
      </c>
      <c r="B209" s="1472" t="s">
        <v>1459</v>
      </c>
      <c r="C209" s="1472">
        <v>2</v>
      </c>
      <c r="D209" s="1776" t="s">
        <v>160</v>
      </c>
      <c r="E209" s="1761" t="s">
        <v>160</v>
      </c>
      <c r="F209" s="1762" t="s">
        <v>3219</v>
      </c>
      <c r="G209" s="1770" t="s">
        <v>3220</v>
      </c>
    </row>
    <row r="210" spans="1:7" ht="12">
      <c r="A210" s="1472" t="s">
        <v>690</v>
      </c>
      <c r="B210" s="1472" t="s">
        <v>1459</v>
      </c>
      <c r="C210" s="1472">
        <v>2</v>
      </c>
      <c r="D210" s="1776" t="s">
        <v>161</v>
      </c>
      <c r="E210" s="1761" t="s">
        <v>161</v>
      </c>
      <c r="F210" s="1762" t="s">
        <v>3221</v>
      </c>
      <c r="G210" s="1770" t="s">
        <v>3222</v>
      </c>
    </row>
    <row r="211" spans="1:7" ht="12">
      <c r="A211" s="1472" t="s">
        <v>690</v>
      </c>
      <c r="B211" s="1472" t="s">
        <v>1459</v>
      </c>
      <c r="C211" s="1472">
        <v>2</v>
      </c>
      <c r="D211" s="1776" t="s">
        <v>162</v>
      </c>
      <c r="E211" s="1761" t="s">
        <v>162</v>
      </c>
      <c r="F211" s="1762" t="s">
        <v>3223</v>
      </c>
      <c r="G211" s="1770" t="s">
        <v>3224</v>
      </c>
    </row>
    <row r="212" spans="1:7" ht="12">
      <c r="A212" s="1472" t="s">
        <v>690</v>
      </c>
      <c r="B212" s="1472" t="s">
        <v>1459</v>
      </c>
      <c r="C212" s="1472">
        <v>2</v>
      </c>
      <c r="D212" s="1776" t="s">
        <v>163</v>
      </c>
      <c r="E212" s="1761" t="s">
        <v>163</v>
      </c>
      <c r="F212" s="1762" t="s">
        <v>3225</v>
      </c>
      <c r="G212" s="1770" t="s">
        <v>3226</v>
      </c>
    </row>
    <row r="213" spans="1:7" ht="12">
      <c r="A213" s="1472" t="s">
        <v>690</v>
      </c>
      <c r="B213" s="1472" t="s">
        <v>1459</v>
      </c>
      <c r="C213" s="1472">
        <v>2</v>
      </c>
      <c r="D213" s="1776" t="s">
        <v>164</v>
      </c>
      <c r="E213" s="1761" t="s">
        <v>164</v>
      </c>
      <c r="F213" s="1762" t="s">
        <v>3227</v>
      </c>
      <c r="G213" s="1770" t="s">
        <v>3228</v>
      </c>
    </row>
    <row r="214" spans="1:7" ht="12">
      <c r="A214" s="1472" t="s">
        <v>690</v>
      </c>
      <c r="B214" s="1472" t="s">
        <v>1459</v>
      </c>
      <c r="C214" s="1472">
        <v>2</v>
      </c>
      <c r="D214" s="1776" t="s">
        <v>165</v>
      </c>
      <c r="E214" s="1761" t="s">
        <v>165</v>
      </c>
      <c r="F214" s="1762" t="s">
        <v>3229</v>
      </c>
      <c r="G214" s="1770" t="s">
        <v>3230</v>
      </c>
    </row>
    <row r="215" spans="1:7" ht="12">
      <c r="A215" s="1472" t="s">
        <v>690</v>
      </c>
      <c r="B215" s="1472" t="s">
        <v>1459</v>
      </c>
      <c r="C215" s="1472">
        <v>2</v>
      </c>
      <c r="D215" s="1776" t="s">
        <v>143</v>
      </c>
      <c r="E215" s="1761" t="s">
        <v>143</v>
      </c>
      <c r="F215" s="1762" t="s">
        <v>3231</v>
      </c>
      <c r="G215" s="1770" t="s">
        <v>3232</v>
      </c>
    </row>
    <row r="216" spans="1:7" ht="12">
      <c r="A216" s="1472" t="s">
        <v>690</v>
      </c>
      <c r="B216" s="1472" t="s">
        <v>1459</v>
      </c>
      <c r="C216" s="1472">
        <v>2</v>
      </c>
      <c r="D216" s="1776" t="s">
        <v>166</v>
      </c>
      <c r="E216" s="1761" t="s">
        <v>166</v>
      </c>
      <c r="F216" s="1762" t="s">
        <v>3233</v>
      </c>
      <c r="G216" s="1770" t="s">
        <v>3234</v>
      </c>
    </row>
    <row r="217" spans="1:7" ht="12">
      <c r="A217" s="1472" t="s">
        <v>690</v>
      </c>
      <c r="B217" s="1472" t="s">
        <v>1459</v>
      </c>
      <c r="C217" s="1472">
        <v>2</v>
      </c>
      <c r="D217" s="1776" t="s">
        <v>167</v>
      </c>
      <c r="E217" s="1761" t="s">
        <v>167</v>
      </c>
      <c r="F217" s="1762" t="s">
        <v>3235</v>
      </c>
      <c r="G217" s="1770" t="s">
        <v>3236</v>
      </c>
    </row>
    <row r="218" spans="1:7" ht="12">
      <c r="A218" s="1472" t="s">
        <v>690</v>
      </c>
      <c r="B218" s="1472" t="s">
        <v>1459</v>
      </c>
      <c r="C218" s="1472">
        <v>2</v>
      </c>
      <c r="D218" s="1776" t="s">
        <v>144</v>
      </c>
      <c r="E218" s="1761" t="s">
        <v>144</v>
      </c>
      <c r="F218" s="1762" t="s">
        <v>3237</v>
      </c>
      <c r="G218" s="1770" t="s">
        <v>144</v>
      </c>
    </row>
    <row r="219" spans="1:7" ht="12">
      <c r="A219" s="1472" t="s">
        <v>690</v>
      </c>
      <c r="B219" s="1472" t="s">
        <v>1459</v>
      </c>
      <c r="C219" s="1472">
        <v>2</v>
      </c>
      <c r="D219" s="1776" t="s">
        <v>168</v>
      </c>
      <c r="E219" s="1761" t="s">
        <v>168</v>
      </c>
      <c r="F219" s="1762" t="s">
        <v>3238</v>
      </c>
      <c r="G219" s="1770" t="s">
        <v>3239</v>
      </c>
    </row>
    <row r="220" spans="1:7" ht="12">
      <c r="A220" s="1472" t="s">
        <v>690</v>
      </c>
      <c r="B220" s="1472" t="s">
        <v>1459</v>
      </c>
      <c r="C220" s="1472">
        <v>2</v>
      </c>
      <c r="D220" s="1776" t="s">
        <v>2503</v>
      </c>
      <c r="E220" s="1761" t="s">
        <v>2503</v>
      </c>
      <c r="F220" s="1762" t="s">
        <v>3240</v>
      </c>
      <c r="G220" s="1770" t="s">
        <v>3241</v>
      </c>
    </row>
    <row r="221" spans="1:7" ht="12">
      <c r="A221" s="1472" t="s">
        <v>690</v>
      </c>
      <c r="B221" s="1472" t="s">
        <v>1459</v>
      </c>
      <c r="C221" s="1472">
        <v>2</v>
      </c>
      <c r="D221" s="1776" t="s">
        <v>2671</v>
      </c>
      <c r="E221" s="1761" t="s">
        <v>2671</v>
      </c>
      <c r="F221" s="1762" t="s">
        <v>3242</v>
      </c>
      <c r="G221" s="1770" t="s">
        <v>3243</v>
      </c>
    </row>
    <row r="222" spans="1:7" ht="204">
      <c r="A222" s="1472" t="s">
        <v>690</v>
      </c>
      <c r="B222" s="1472" t="s">
        <v>1459</v>
      </c>
      <c r="C222" s="1472">
        <v>3</v>
      </c>
      <c r="D222" s="1776" t="s">
        <v>3272</v>
      </c>
      <c r="E222" s="1761" t="s">
        <v>3272</v>
      </c>
      <c r="F222" s="1764" t="s">
        <v>3273</v>
      </c>
      <c r="G222" s="1772" t="s">
        <v>3274</v>
      </c>
    </row>
    <row r="223" spans="1:7" ht="12">
      <c r="A223" s="1472" t="s">
        <v>690</v>
      </c>
      <c r="B223" s="1472" t="s">
        <v>1459</v>
      </c>
      <c r="C223" s="1472">
        <v>3</v>
      </c>
      <c r="D223" s="1776" t="s">
        <v>1028</v>
      </c>
      <c r="E223" s="1761" t="s">
        <v>1028</v>
      </c>
      <c r="F223" s="1762" t="s">
        <v>3252</v>
      </c>
      <c r="G223" s="1770" t="s">
        <v>3253</v>
      </c>
    </row>
    <row r="224" spans="1:7" ht="12">
      <c r="A224" s="1472" t="s">
        <v>690</v>
      </c>
      <c r="B224" s="1472" t="s">
        <v>1459</v>
      </c>
      <c r="C224" s="1472">
        <v>3</v>
      </c>
      <c r="D224" s="1776" t="s">
        <v>187</v>
      </c>
      <c r="E224" s="1761" t="s">
        <v>187</v>
      </c>
      <c r="F224" s="1762" t="s">
        <v>3263</v>
      </c>
      <c r="G224" s="1770" t="s">
        <v>3264</v>
      </c>
    </row>
    <row r="225" spans="1:7" ht="24">
      <c r="A225" s="1472" t="s">
        <v>690</v>
      </c>
      <c r="B225" s="1472" t="s">
        <v>1459</v>
      </c>
      <c r="C225" s="1472">
        <v>3</v>
      </c>
      <c r="D225" s="1776" t="s">
        <v>233</v>
      </c>
      <c r="E225" s="1761" t="s">
        <v>233</v>
      </c>
      <c r="F225" s="1762" t="s">
        <v>3275</v>
      </c>
      <c r="G225" s="1770" t="s">
        <v>3276</v>
      </c>
    </row>
    <row r="226" spans="1:7" ht="12">
      <c r="A226" s="1472" t="s">
        <v>690</v>
      </c>
      <c r="B226" s="1472" t="s">
        <v>1459</v>
      </c>
      <c r="C226" s="1472">
        <v>3</v>
      </c>
      <c r="D226" s="1776" t="s">
        <v>142</v>
      </c>
      <c r="E226" s="1761" t="s">
        <v>142</v>
      </c>
      <c r="F226" s="1762" t="s">
        <v>3185</v>
      </c>
      <c r="G226" s="1770" t="s">
        <v>3186</v>
      </c>
    </row>
    <row r="227" spans="1:7" ht="12">
      <c r="A227" s="1472" t="s">
        <v>690</v>
      </c>
      <c r="B227" s="1472" t="s">
        <v>1459</v>
      </c>
      <c r="C227" s="1472">
        <v>3</v>
      </c>
      <c r="D227" s="1776" t="s">
        <v>49</v>
      </c>
      <c r="E227" s="1761" t="s">
        <v>49</v>
      </c>
      <c r="F227" s="1762" t="s">
        <v>3187</v>
      </c>
      <c r="G227" s="1770" t="s">
        <v>3188</v>
      </c>
    </row>
    <row r="228" spans="1:7" ht="12">
      <c r="A228" s="1472" t="s">
        <v>690</v>
      </c>
      <c r="B228" s="1472" t="s">
        <v>1459</v>
      </c>
      <c r="C228" s="1472">
        <v>3</v>
      </c>
      <c r="D228" s="1776" t="s">
        <v>189</v>
      </c>
      <c r="E228" s="1761" t="s">
        <v>189</v>
      </c>
      <c r="F228" s="1762" t="s">
        <v>3189</v>
      </c>
      <c r="G228" s="1770" t="s">
        <v>3190</v>
      </c>
    </row>
    <row r="229" spans="1:7" ht="12">
      <c r="A229" s="1472" t="s">
        <v>690</v>
      </c>
      <c r="B229" s="1472" t="s">
        <v>1459</v>
      </c>
      <c r="C229" s="1472">
        <v>3</v>
      </c>
      <c r="D229" s="1776" t="s">
        <v>146</v>
      </c>
      <c r="E229" s="1761" t="s">
        <v>146</v>
      </c>
      <c r="F229" s="1762" t="s">
        <v>3191</v>
      </c>
      <c r="G229" s="1770" t="s">
        <v>3192</v>
      </c>
    </row>
    <row r="230" spans="1:7" ht="12">
      <c r="A230" s="1472" t="s">
        <v>690</v>
      </c>
      <c r="B230" s="1472" t="s">
        <v>1459</v>
      </c>
      <c r="C230" s="1472">
        <v>3</v>
      </c>
      <c r="D230" s="1776" t="s">
        <v>147</v>
      </c>
      <c r="E230" s="1761" t="s">
        <v>147</v>
      </c>
      <c r="F230" s="1762" t="s">
        <v>3193</v>
      </c>
      <c r="G230" s="1770" t="s">
        <v>3194</v>
      </c>
    </row>
    <row r="231" spans="1:7" ht="12">
      <c r="A231" s="1472" t="s">
        <v>690</v>
      </c>
      <c r="B231" s="1472" t="s">
        <v>1459</v>
      </c>
      <c r="C231" s="1472">
        <v>3</v>
      </c>
      <c r="D231" s="1776" t="s">
        <v>148</v>
      </c>
      <c r="E231" s="1761" t="s">
        <v>148</v>
      </c>
      <c r="F231" s="1762" t="s">
        <v>3195</v>
      </c>
      <c r="G231" s="1770" t="s">
        <v>3196</v>
      </c>
    </row>
    <row r="232" spans="1:7" ht="12">
      <c r="A232" s="1472" t="s">
        <v>690</v>
      </c>
      <c r="B232" s="1472" t="s">
        <v>1459</v>
      </c>
      <c r="C232" s="1472">
        <v>3</v>
      </c>
      <c r="D232" s="1776" t="s">
        <v>149</v>
      </c>
      <c r="E232" s="1761" t="s">
        <v>149</v>
      </c>
      <c r="F232" s="1762" t="s">
        <v>3197</v>
      </c>
      <c r="G232" s="1770" t="s">
        <v>3198</v>
      </c>
    </row>
    <row r="233" spans="1:7" ht="12">
      <c r="A233" s="1472" t="s">
        <v>690</v>
      </c>
      <c r="B233" s="1472" t="s">
        <v>1459</v>
      </c>
      <c r="C233" s="1472">
        <v>3</v>
      </c>
      <c r="D233" s="1776" t="s">
        <v>150</v>
      </c>
      <c r="E233" s="1761" t="s">
        <v>150</v>
      </c>
      <c r="F233" s="1762" t="s">
        <v>3199</v>
      </c>
      <c r="G233" s="1770" t="s">
        <v>3200</v>
      </c>
    </row>
    <row r="234" spans="1:7" ht="12">
      <c r="A234" s="1472" t="s">
        <v>690</v>
      </c>
      <c r="B234" s="1472" t="s">
        <v>1459</v>
      </c>
      <c r="C234" s="1472">
        <v>3</v>
      </c>
      <c r="D234" s="1776" t="s">
        <v>151</v>
      </c>
      <c r="E234" s="1761" t="s">
        <v>151</v>
      </c>
      <c r="F234" s="1762" t="s">
        <v>3201</v>
      </c>
      <c r="G234" s="1770" t="s">
        <v>3202</v>
      </c>
    </row>
    <row r="235" spans="1:7" ht="12">
      <c r="A235" s="1472" t="s">
        <v>690</v>
      </c>
      <c r="B235" s="1472" t="s">
        <v>1459</v>
      </c>
      <c r="C235" s="1472">
        <v>3</v>
      </c>
      <c r="D235" s="1776" t="s">
        <v>152</v>
      </c>
      <c r="E235" s="1761" t="s">
        <v>152</v>
      </c>
      <c r="F235" s="1762" t="s">
        <v>3203</v>
      </c>
      <c r="G235" s="1770" t="s">
        <v>3204</v>
      </c>
    </row>
    <row r="236" spans="1:7" ht="12">
      <c r="A236" s="1472" t="s">
        <v>690</v>
      </c>
      <c r="B236" s="1472" t="s">
        <v>1459</v>
      </c>
      <c r="C236" s="1472">
        <v>3</v>
      </c>
      <c r="D236" s="1776" t="s">
        <v>153</v>
      </c>
      <c r="E236" s="1761" t="s">
        <v>153</v>
      </c>
      <c r="F236" s="1762" t="s">
        <v>3205</v>
      </c>
      <c r="G236" s="1770" t="s">
        <v>3206</v>
      </c>
    </row>
    <row r="237" spans="1:7" ht="12">
      <c r="A237" s="1472" t="s">
        <v>690</v>
      </c>
      <c r="B237" s="1472" t="s">
        <v>1459</v>
      </c>
      <c r="C237" s="1472">
        <v>3</v>
      </c>
      <c r="D237" s="1776" t="s">
        <v>154</v>
      </c>
      <c r="E237" s="1761" t="s">
        <v>154</v>
      </c>
      <c r="F237" s="1762" t="s">
        <v>3207</v>
      </c>
      <c r="G237" s="1770" t="s">
        <v>3208</v>
      </c>
    </row>
    <row r="238" spans="1:7" ht="12">
      <c r="A238" s="1472" t="s">
        <v>690</v>
      </c>
      <c r="B238" s="1472" t="s">
        <v>1459</v>
      </c>
      <c r="C238" s="1472">
        <v>3</v>
      </c>
      <c r="D238" s="1776" t="s">
        <v>155</v>
      </c>
      <c r="E238" s="1761" t="s">
        <v>155</v>
      </c>
      <c r="F238" s="1762" t="s">
        <v>3209</v>
      </c>
      <c r="G238" s="1770" t="s">
        <v>3210</v>
      </c>
    </row>
    <row r="239" spans="1:7" ht="12">
      <c r="A239" s="1472" t="s">
        <v>690</v>
      </c>
      <c r="B239" s="1472" t="s">
        <v>1459</v>
      </c>
      <c r="C239" s="1472">
        <v>3</v>
      </c>
      <c r="D239" s="1776" t="s">
        <v>156</v>
      </c>
      <c r="E239" s="1761" t="s">
        <v>156</v>
      </c>
      <c r="F239" s="1762" t="s">
        <v>3211</v>
      </c>
      <c r="G239" s="1770" t="s">
        <v>3212</v>
      </c>
    </row>
    <row r="240" spans="1:7" ht="12">
      <c r="A240" s="1472" t="s">
        <v>690</v>
      </c>
      <c r="B240" s="1472" t="s">
        <v>1459</v>
      </c>
      <c r="C240" s="1472">
        <v>3</v>
      </c>
      <c r="D240" s="1776" t="s">
        <v>157</v>
      </c>
      <c r="E240" s="1761" t="s">
        <v>157</v>
      </c>
      <c r="F240" s="1762" t="s">
        <v>3213</v>
      </c>
      <c r="G240" s="1770" t="s">
        <v>3214</v>
      </c>
    </row>
    <row r="241" spans="1:7" ht="12">
      <c r="A241" s="1472" t="s">
        <v>690</v>
      </c>
      <c r="B241" s="1472" t="s">
        <v>1459</v>
      </c>
      <c r="C241" s="1472">
        <v>3</v>
      </c>
      <c r="D241" s="1776" t="s">
        <v>158</v>
      </c>
      <c r="E241" s="1761" t="s">
        <v>158</v>
      </c>
      <c r="F241" s="1762" t="s">
        <v>3215</v>
      </c>
      <c r="G241" s="1770" t="s">
        <v>3216</v>
      </c>
    </row>
    <row r="242" spans="1:7" ht="12">
      <c r="A242" s="1472" t="s">
        <v>690</v>
      </c>
      <c r="B242" s="1472" t="s">
        <v>1459</v>
      </c>
      <c r="C242" s="1472">
        <v>3</v>
      </c>
      <c r="D242" s="1776" t="s">
        <v>159</v>
      </c>
      <c r="E242" s="1761" t="s">
        <v>159</v>
      </c>
      <c r="F242" s="1762" t="s">
        <v>3217</v>
      </c>
      <c r="G242" s="1770" t="s">
        <v>3218</v>
      </c>
    </row>
    <row r="243" spans="1:7" ht="12">
      <c r="A243" s="1472" t="s">
        <v>690</v>
      </c>
      <c r="B243" s="1472" t="s">
        <v>1459</v>
      </c>
      <c r="C243" s="1472">
        <v>3</v>
      </c>
      <c r="D243" s="1776" t="s">
        <v>160</v>
      </c>
      <c r="E243" s="1761" t="s">
        <v>160</v>
      </c>
      <c r="F243" s="1762" t="s">
        <v>3219</v>
      </c>
      <c r="G243" s="1770" t="s">
        <v>3220</v>
      </c>
    </row>
    <row r="244" spans="1:7" ht="12">
      <c r="A244" s="1472" t="s">
        <v>690</v>
      </c>
      <c r="B244" s="1472" t="s">
        <v>1459</v>
      </c>
      <c r="C244" s="1472">
        <v>3</v>
      </c>
      <c r="D244" s="1776" t="s">
        <v>161</v>
      </c>
      <c r="E244" s="1761" t="s">
        <v>161</v>
      </c>
      <c r="F244" s="1762" t="s">
        <v>3221</v>
      </c>
      <c r="G244" s="1770" t="s">
        <v>3222</v>
      </c>
    </row>
    <row r="245" spans="1:7" ht="12">
      <c r="A245" s="1472" t="s">
        <v>690</v>
      </c>
      <c r="B245" s="1472" t="s">
        <v>1459</v>
      </c>
      <c r="C245" s="1472">
        <v>3</v>
      </c>
      <c r="D245" s="1776" t="s">
        <v>162</v>
      </c>
      <c r="E245" s="1761" t="s">
        <v>162</v>
      </c>
      <c r="F245" s="1762" t="s">
        <v>3223</v>
      </c>
      <c r="G245" s="1770" t="s">
        <v>3224</v>
      </c>
    </row>
    <row r="246" spans="1:7" ht="12">
      <c r="A246" s="1472" t="s">
        <v>690</v>
      </c>
      <c r="B246" s="1472" t="s">
        <v>1459</v>
      </c>
      <c r="C246" s="1472">
        <v>3</v>
      </c>
      <c r="D246" s="1776" t="s">
        <v>163</v>
      </c>
      <c r="E246" s="1761" t="s">
        <v>163</v>
      </c>
      <c r="F246" s="1762" t="s">
        <v>3225</v>
      </c>
      <c r="G246" s="1770" t="s">
        <v>3226</v>
      </c>
    </row>
    <row r="247" spans="1:7" ht="12">
      <c r="A247" s="1472" t="s">
        <v>690</v>
      </c>
      <c r="B247" s="1472" t="s">
        <v>1459</v>
      </c>
      <c r="C247" s="1472">
        <v>3</v>
      </c>
      <c r="D247" s="1776" t="s">
        <v>164</v>
      </c>
      <c r="E247" s="1761" t="s">
        <v>164</v>
      </c>
      <c r="F247" s="1762" t="s">
        <v>3227</v>
      </c>
      <c r="G247" s="1770" t="s">
        <v>3228</v>
      </c>
    </row>
    <row r="248" spans="1:7" ht="12">
      <c r="A248" s="1472" t="s">
        <v>690</v>
      </c>
      <c r="B248" s="1472" t="s">
        <v>1459</v>
      </c>
      <c r="C248" s="1472">
        <v>3</v>
      </c>
      <c r="D248" s="1776" t="s">
        <v>165</v>
      </c>
      <c r="E248" s="1761" t="s">
        <v>165</v>
      </c>
      <c r="F248" s="1762" t="s">
        <v>3229</v>
      </c>
      <c r="G248" s="1770" t="s">
        <v>3230</v>
      </c>
    </row>
    <row r="249" spans="1:7" ht="12">
      <c r="A249" s="1472" t="s">
        <v>690</v>
      </c>
      <c r="B249" s="1472" t="s">
        <v>1459</v>
      </c>
      <c r="C249" s="1472">
        <v>3</v>
      </c>
      <c r="D249" s="1776" t="s">
        <v>143</v>
      </c>
      <c r="E249" s="1761" t="s">
        <v>143</v>
      </c>
      <c r="F249" s="1762" t="s">
        <v>3231</v>
      </c>
      <c r="G249" s="1770" t="s">
        <v>3232</v>
      </c>
    </row>
    <row r="250" spans="1:7" ht="12">
      <c r="A250" s="1472" t="s">
        <v>690</v>
      </c>
      <c r="B250" s="1472" t="s">
        <v>1459</v>
      </c>
      <c r="C250" s="1472">
        <v>3</v>
      </c>
      <c r="D250" s="1776" t="s">
        <v>166</v>
      </c>
      <c r="E250" s="1761" t="s">
        <v>166</v>
      </c>
      <c r="F250" s="1762" t="s">
        <v>3233</v>
      </c>
      <c r="G250" s="1770" t="s">
        <v>3234</v>
      </c>
    </row>
    <row r="251" spans="1:7" ht="12">
      <c r="A251" s="1472" t="s">
        <v>690</v>
      </c>
      <c r="B251" s="1472" t="s">
        <v>1459</v>
      </c>
      <c r="C251" s="1472">
        <v>3</v>
      </c>
      <c r="D251" s="1776" t="s">
        <v>167</v>
      </c>
      <c r="E251" s="1761" t="s">
        <v>167</v>
      </c>
      <c r="F251" s="1762" t="s">
        <v>3235</v>
      </c>
      <c r="G251" s="1770" t="s">
        <v>3236</v>
      </c>
    </row>
    <row r="252" spans="1:7" ht="12">
      <c r="A252" s="1472" t="s">
        <v>690</v>
      </c>
      <c r="B252" s="1472" t="s">
        <v>1459</v>
      </c>
      <c r="C252" s="1472">
        <v>3</v>
      </c>
      <c r="D252" s="1776" t="s">
        <v>144</v>
      </c>
      <c r="E252" s="1761" t="s">
        <v>144</v>
      </c>
      <c r="F252" s="1762" t="s">
        <v>3237</v>
      </c>
      <c r="G252" s="1770" t="s">
        <v>144</v>
      </c>
    </row>
    <row r="253" spans="1:7" ht="12">
      <c r="A253" s="1472" t="s">
        <v>690</v>
      </c>
      <c r="B253" s="1472" t="s">
        <v>1459</v>
      </c>
      <c r="C253" s="1472">
        <v>3</v>
      </c>
      <c r="D253" s="1776" t="s">
        <v>168</v>
      </c>
      <c r="E253" s="1761" t="s">
        <v>168</v>
      </c>
      <c r="F253" s="1762" t="s">
        <v>3238</v>
      </c>
      <c r="G253" s="1770" t="s">
        <v>3239</v>
      </c>
    </row>
    <row r="254" spans="1:7" ht="12">
      <c r="A254" s="1472" t="s">
        <v>690</v>
      </c>
      <c r="B254" s="1472" t="s">
        <v>1459</v>
      </c>
      <c r="C254" s="1472">
        <v>3</v>
      </c>
      <c r="D254" s="1776" t="s">
        <v>2503</v>
      </c>
      <c r="E254" s="1761" t="s">
        <v>2503</v>
      </c>
      <c r="F254" s="1762" t="s">
        <v>3240</v>
      </c>
      <c r="G254" s="1770" t="s">
        <v>3241</v>
      </c>
    </row>
    <row r="255" spans="1:7" ht="12">
      <c r="A255" s="1472" t="s">
        <v>690</v>
      </c>
      <c r="B255" s="1472" t="s">
        <v>1459</v>
      </c>
      <c r="C255" s="1472">
        <v>3</v>
      </c>
      <c r="D255" s="1776" t="s">
        <v>2671</v>
      </c>
      <c r="E255" s="1761" t="s">
        <v>2671</v>
      </c>
      <c r="F255" s="1762" t="s">
        <v>3242</v>
      </c>
      <c r="G255" s="1770" t="s">
        <v>3243</v>
      </c>
    </row>
    <row r="256" spans="1:7" ht="204">
      <c r="A256" s="1472" t="s">
        <v>690</v>
      </c>
      <c r="B256" s="1472" t="s">
        <v>1459</v>
      </c>
      <c r="C256" s="1472">
        <v>4</v>
      </c>
      <c r="D256" s="1776" t="s">
        <v>3272</v>
      </c>
      <c r="E256" s="1761" t="s">
        <v>3272</v>
      </c>
      <c r="F256" s="1764" t="s">
        <v>3273</v>
      </c>
      <c r="G256" s="1772" t="s">
        <v>3274</v>
      </c>
    </row>
    <row r="257" spans="1:7" ht="12">
      <c r="A257" s="1472" t="s">
        <v>690</v>
      </c>
      <c r="B257" s="1472" t="s">
        <v>1459</v>
      </c>
      <c r="C257" s="1472">
        <v>4</v>
      </c>
      <c r="D257" s="1776" t="s">
        <v>1028</v>
      </c>
      <c r="E257" s="1761" t="s">
        <v>1028</v>
      </c>
      <c r="F257" s="1762" t="s">
        <v>3252</v>
      </c>
      <c r="G257" s="1770" t="s">
        <v>3253</v>
      </c>
    </row>
    <row r="258" spans="1:7" ht="12">
      <c r="A258" s="1472" t="s">
        <v>690</v>
      </c>
      <c r="B258" s="1472" t="s">
        <v>1459</v>
      </c>
      <c r="C258" s="1472">
        <v>4</v>
      </c>
      <c r="D258" s="1776" t="s">
        <v>187</v>
      </c>
      <c r="E258" s="1761" t="s">
        <v>187</v>
      </c>
      <c r="F258" s="1762" t="s">
        <v>3263</v>
      </c>
      <c r="G258" s="1770" t="s">
        <v>3264</v>
      </c>
    </row>
    <row r="259" spans="1:7" ht="24">
      <c r="A259" s="1472" t="s">
        <v>690</v>
      </c>
      <c r="B259" s="1472" t="s">
        <v>1459</v>
      </c>
      <c r="C259" s="1472">
        <v>4</v>
      </c>
      <c r="D259" s="1776" t="s">
        <v>3277</v>
      </c>
      <c r="E259" s="1761" t="s">
        <v>3277</v>
      </c>
      <c r="F259" s="1762" t="s">
        <v>3278</v>
      </c>
      <c r="G259" s="1770" t="s">
        <v>3279</v>
      </c>
    </row>
    <row r="260" spans="1:7" ht="12">
      <c r="A260" s="1472" t="s">
        <v>690</v>
      </c>
      <c r="B260" s="1472" t="s">
        <v>1459</v>
      </c>
      <c r="C260" s="1472">
        <v>4</v>
      </c>
      <c r="D260" s="1776" t="s">
        <v>142</v>
      </c>
      <c r="E260" s="1761" t="s">
        <v>142</v>
      </c>
      <c r="F260" s="1762" t="s">
        <v>3185</v>
      </c>
      <c r="G260" s="1770" t="s">
        <v>3186</v>
      </c>
    </row>
    <row r="261" spans="1:7" ht="12">
      <c r="A261" s="1472" t="s">
        <v>690</v>
      </c>
      <c r="B261" s="1472" t="s">
        <v>1459</v>
      </c>
      <c r="C261" s="1472">
        <v>4</v>
      </c>
      <c r="D261" s="1776" t="s">
        <v>49</v>
      </c>
      <c r="E261" s="1761" t="s">
        <v>49</v>
      </c>
      <c r="F261" s="1762" t="s">
        <v>3187</v>
      </c>
      <c r="G261" s="1770" t="s">
        <v>3188</v>
      </c>
    </row>
    <row r="262" spans="1:7" ht="12">
      <c r="A262" s="1472" t="s">
        <v>690</v>
      </c>
      <c r="B262" s="1472" t="s">
        <v>1459</v>
      </c>
      <c r="C262" s="1472">
        <v>4</v>
      </c>
      <c r="D262" s="1776" t="s">
        <v>189</v>
      </c>
      <c r="E262" s="1761" t="s">
        <v>189</v>
      </c>
      <c r="F262" s="1762" t="s">
        <v>3189</v>
      </c>
      <c r="G262" s="1770" t="s">
        <v>3190</v>
      </c>
    </row>
    <row r="263" spans="1:7" ht="12">
      <c r="A263" s="1472" t="s">
        <v>690</v>
      </c>
      <c r="B263" s="1472" t="s">
        <v>1459</v>
      </c>
      <c r="C263" s="1472">
        <v>4</v>
      </c>
      <c r="D263" s="1776" t="s">
        <v>146</v>
      </c>
      <c r="E263" s="1761" t="s">
        <v>146</v>
      </c>
      <c r="F263" s="1762" t="s">
        <v>3191</v>
      </c>
      <c r="G263" s="1770" t="s">
        <v>3192</v>
      </c>
    </row>
    <row r="264" spans="1:7" ht="12">
      <c r="A264" s="1472" t="s">
        <v>690</v>
      </c>
      <c r="B264" s="1472" t="s">
        <v>1459</v>
      </c>
      <c r="C264" s="1472">
        <v>4</v>
      </c>
      <c r="D264" s="1776" t="s">
        <v>147</v>
      </c>
      <c r="E264" s="1761" t="s">
        <v>147</v>
      </c>
      <c r="F264" s="1762" t="s">
        <v>3193</v>
      </c>
      <c r="G264" s="1770" t="s">
        <v>3194</v>
      </c>
    </row>
    <row r="265" spans="1:7" ht="12">
      <c r="A265" s="1472" t="s">
        <v>690</v>
      </c>
      <c r="B265" s="1472" t="s">
        <v>1459</v>
      </c>
      <c r="C265" s="1472">
        <v>4</v>
      </c>
      <c r="D265" s="1776" t="s">
        <v>148</v>
      </c>
      <c r="E265" s="1761" t="s">
        <v>148</v>
      </c>
      <c r="F265" s="1762" t="s">
        <v>3195</v>
      </c>
      <c r="G265" s="1770" t="s">
        <v>3196</v>
      </c>
    </row>
    <row r="266" spans="1:7" ht="12">
      <c r="A266" s="1472" t="s">
        <v>690</v>
      </c>
      <c r="B266" s="1472" t="s">
        <v>1459</v>
      </c>
      <c r="C266" s="1472">
        <v>4</v>
      </c>
      <c r="D266" s="1776" t="s">
        <v>149</v>
      </c>
      <c r="E266" s="1761" t="s">
        <v>149</v>
      </c>
      <c r="F266" s="1762" t="s">
        <v>3197</v>
      </c>
      <c r="G266" s="1770" t="s">
        <v>3198</v>
      </c>
    </row>
    <row r="267" spans="1:7" ht="12">
      <c r="A267" s="1472" t="s">
        <v>690</v>
      </c>
      <c r="B267" s="1472" t="s">
        <v>1459</v>
      </c>
      <c r="C267" s="1472">
        <v>4</v>
      </c>
      <c r="D267" s="1776" t="s">
        <v>150</v>
      </c>
      <c r="E267" s="1761" t="s">
        <v>150</v>
      </c>
      <c r="F267" s="1762" t="s">
        <v>3199</v>
      </c>
      <c r="G267" s="1770" t="s">
        <v>3200</v>
      </c>
    </row>
    <row r="268" spans="1:7" ht="12">
      <c r="A268" s="1472" t="s">
        <v>690</v>
      </c>
      <c r="B268" s="1472" t="s">
        <v>1459</v>
      </c>
      <c r="C268" s="1472">
        <v>4</v>
      </c>
      <c r="D268" s="1776" t="s">
        <v>151</v>
      </c>
      <c r="E268" s="1761" t="s">
        <v>151</v>
      </c>
      <c r="F268" s="1762" t="s">
        <v>3201</v>
      </c>
      <c r="G268" s="1770" t="s">
        <v>3202</v>
      </c>
    </row>
    <row r="269" spans="1:7" ht="12">
      <c r="A269" s="1472" t="s">
        <v>690</v>
      </c>
      <c r="B269" s="1472" t="s">
        <v>1459</v>
      </c>
      <c r="C269" s="1472">
        <v>4</v>
      </c>
      <c r="D269" s="1776" t="s">
        <v>152</v>
      </c>
      <c r="E269" s="1761" t="s">
        <v>152</v>
      </c>
      <c r="F269" s="1762" t="s">
        <v>3203</v>
      </c>
      <c r="G269" s="1770" t="s">
        <v>3204</v>
      </c>
    </row>
    <row r="270" spans="1:7" ht="12">
      <c r="A270" s="1472" t="s">
        <v>690</v>
      </c>
      <c r="B270" s="1472" t="s">
        <v>1459</v>
      </c>
      <c r="C270" s="1472">
        <v>4</v>
      </c>
      <c r="D270" s="1776" t="s">
        <v>153</v>
      </c>
      <c r="E270" s="1761" t="s">
        <v>153</v>
      </c>
      <c r="F270" s="1762" t="s">
        <v>3205</v>
      </c>
      <c r="G270" s="1770" t="s">
        <v>3206</v>
      </c>
    </row>
    <row r="271" spans="1:7" ht="12">
      <c r="A271" s="1472" t="s">
        <v>690</v>
      </c>
      <c r="B271" s="1472" t="s">
        <v>1459</v>
      </c>
      <c r="C271" s="1472">
        <v>4</v>
      </c>
      <c r="D271" s="1776" t="s">
        <v>154</v>
      </c>
      <c r="E271" s="1761" t="s">
        <v>154</v>
      </c>
      <c r="F271" s="1762" t="s">
        <v>3207</v>
      </c>
      <c r="G271" s="1770" t="s">
        <v>3208</v>
      </c>
    </row>
    <row r="272" spans="1:7" ht="12">
      <c r="A272" s="1472" t="s">
        <v>690</v>
      </c>
      <c r="B272" s="1472" t="s">
        <v>1459</v>
      </c>
      <c r="C272" s="1472">
        <v>4</v>
      </c>
      <c r="D272" s="1776" t="s">
        <v>155</v>
      </c>
      <c r="E272" s="1761" t="s">
        <v>155</v>
      </c>
      <c r="F272" s="1762" t="s">
        <v>3209</v>
      </c>
      <c r="G272" s="1770" t="s">
        <v>3210</v>
      </c>
    </row>
    <row r="273" spans="1:7" ht="12">
      <c r="A273" s="1472" t="s">
        <v>690</v>
      </c>
      <c r="B273" s="1472" t="s">
        <v>1459</v>
      </c>
      <c r="C273" s="1472">
        <v>4</v>
      </c>
      <c r="D273" s="1776" t="s">
        <v>156</v>
      </c>
      <c r="E273" s="1761" t="s">
        <v>156</v>
      </c>
      <c r="F273" s="1762" t="s">
        <v>3211</v>
      </c>
      <c r="G273" s="1770" t="s">
        <v>3212</v>
      </c>
    </row>
    <row r="274" spans="1:7" ht="12">
      <c r="A274" s="1472" t="s">
        <v>690</v>
      </c>
      <c r="B274" s="1472" t="s">
        <v>1459</v>
      </c>
      <c r="C274" s="1472">
        <v>4</v>
      </c>
      <c r="D274" s="1776" t="s">
        <v>157</v>
      </c>
      <c r="E274" s="1761" t="s">
        <v>157</v>
      </c>
      <c r="F274" s="1762" t="s">
        <v>3213</v>
      </c>
      <c r="G274" s="1770" t="s">
        <v>3214</v>
      </c>
    </row>
    <row r="275" spans="1:7" ht="12">
      <c r="A275" s="1472" t="s">
        <v>690</v>
      </c>
      <c r="B275" s="1472" t="s">
        <v>1459</v>
      </c>
      <c r="C275" s="1472">
        <v>4</v>
      </c>
      <c r="D275" s="1776" t="s">
        <v>158</v>
      </c>
      <c r="E275" s="1761" t="s">
        <v>158</v>
      </c>
      <c r="F275" s="1762" t="s">
        <v>3215</v>
      </c>
      <c r="G275" s="1770" t="s">
        <v>3216</v>
      </c>
    </row>
    <row r="276" spans="1:7" ht="12">
      <c r="A276" s="1472" t="s">
        <v>690</v>
      </c>
      <c r="B276" s="1472" t="s">
        <v>1459</v>
      </c>
      <c r="C276" s="1472">
        <v>4</v>
      </c>
      <c r="D276" s="1776" t="s">
        <v>159</v>
      </c>
      <c r="E276" s="1761" t="s">
        <v>159</v>
      </c>
      <c r="F276" s="1762" t="s">
        <v>3217</v>
      </c>
      <c r="G276" s="1770" t="s">
        <v>3218</v>
      </c>
    </row>
    <row r="277" spans="1:7" ht="12">
      <c r="A277" s="1472" t="s">
        <v>690</v>
      </c>
      <c r="B277" s="1472" t="s">
        <v>1459</v>
      </c>
      <c r="C277" s="1472">
        <v>4</v>
      </c>
      <c r="D277" s="1776" t="s">
        <v>160</v>
      </c>
      <c r="E277" s="1761" t="s">
        <v>160</v>
      </c>
      <c r="F277" s="1762" t="s">
        <v>3219</v>
      </c>
      <c r="G277" s="1770" t="s">
        <v>3220</v>
      </c>
    </row>
    <row r="278" spans="1:7" ht="12">
      <c r="A278" s="1472" t="s">
        <v>690</v>
      </c>
      <c r="B278" s="1472" t="s">
        <v>1459</v>
      </c>
      <c r="C278" s="1472">
        <v>4</v>
      </c>
      <c r="D278" s="1776" t="s">
        <v>161</v>
      </c>
      <c r="E278" s="1761" t="s">
        <v>161</v>
      </c>
      <c r="F278" s="1762" t="s">
        <v>3221</v>
      </c>
      <c r="G278" s="1770" t="s">
        <v>3222</v>
      </c>
    </row>
    <row r="279" spans="1:7" ht="12">
      <c r="A279" s="1472" t="s">
        <v>690</v>
      </c>
      <c r="B279" s="1472" t="s">
        <v>1459</v>
      </c>
      <c r="C279" s="1472">
        <v>4</v>
      </c>
      <c r="D279" s="1776" t="s">
        <v>162</v>
      </c>
      <c r="E279" s="1761" t="s">
        <v>162</v>
      </c>
      <c r="F279" s="1762" t="s">
        <v>3223</v>
      </c>
      <c r="G279" s="1770" t="s">
        <v>3224</v>
      </c>
    </row>
    <row r="280" spans="1:7" ht="12">
      <c r="A280" s="1472" t="s">
        <v>690</v>
      </c>
      <c r="B280" s="1472" t="s">
        <v>1459</v>
      </c>
      <c r="C280" s="1472">
        <v>4</v>
      </c>
      <c r="D280" s="1776" t="s">
        <v>163</v>
      </c>
      <c r="E280" s="1761" t="s">
        <v>163</v>
      </c>
      <c r="F280" s="1762" t="s">
        <v>3225</v>
      </c>
      <c r="G280" s="1770" t="s">
        <v>3226</v>
      </c>
    </row>
    <row r="281" spans="1:7" ht="12">
      <c r="A281" s="1472" t="s">
        <v>690</v>
      </c>
      <c r="B281" s="1472" t="s">
        <v>1459</v>
      </c>
      <c r="C281" s="1472">
        <v>4</v>
      </c>
      <c r="D281" s="1776" t="s">
        <v>164</v>
      </c>
      <c r="E281" s="1761" t="s">
        <v>164</v>
      </c>
      <c r="F281" s="1762" t="s">
        <v>3227</v>
      </c>
      <c r="G281" s="1770" t="s">
        <v>3228</v>
      </c>
    </row>
    <row r="282" spans="1:7" ht="12">
      <c r="A282" s="1472" t="s">
        <v>690</v>
      </c>
      <c r="B282" s="1472" t="s">
        <v>1459</v>
      </c>
      <c r="C282" s="1472">
        <v>4</v>
      </c>
      <c r="D282" s="1776" t="s">
        <v>165</v>
      </c>
      <c r="E282" s="1761" t="s">
        <v>165</v>
      </c>
      <c r="F282" s="1762" t="s">
        <v>3229</v>
      </c>
      <c r="G282" s="1770" t="s">
        <v>3230</v>
      </c>
    </row>
    <row r="283" spans="1:7" ht="12">
      <c r="A283" s="1472" t="s">
        <v>690</v>
      </c>
      <c r="B283" s="1472" t="s">
        <v>1459</v>
      </c>
      <c r="C283" s="1472">
        <v>4</v>
      </c>
      <c r="D283" s="1776" t="s">
        <v>143</v>
      </c>
      <c r="E283" s="1761" t="s">
        <v>143</v>
      </c>
      <c r="F283" s="1762" t="s">
        <v>3231</v>
      </c>
      <c r="G283" s="1770" t="s">
        <v>3232</v>
      </c>
    </row>
    <row r="284" spans="1:7" ht="12">
      <c r="A284" s="1472" t="s">
        <v>690</v>
      </c>
      <c r="B284" s="1472" t="s">
        <v>1459</v>
      </c>
      <c r="C284" s="1472">
        <v>4</v>
      </c>
      <c r="D284" s="1776" t="s">
        <v>166</v>
      </c>
      <c r="E284" s="1761" t="s">
        <v>166</v>
      </c>
      <c r="F284" s="1762" t="s">
        <v>3233</v>
      </c>
      <c r="G284" s="1770" t="s">
        <v>3234</v>
      </c>
    </row>
    <row r="285" spans="1:7" ht="12">
      <c r="A285" s="1472" t="s">
        <v>690</v>
      </c>
      <c r="B285" s="1472" t="s">
        <v>1459</v>
      </c>
      <c r="C285" s="1472">
        <v>4</v>
      </c>
      <c r="D285" s="1776" t="s">
        <v>167</v>
      </c>
      <c r="E285" s="1761" t="s">
        <v>167</v>
      </c>
      <c r="F285" s="1762" t="s">
        <v>3235</v>
      </c>
      <c r="G285" s="1770" t="s">
        <v>3236</v>
      </c>
    </row>
    <row r="286" spans="1:7" ht="12">
      <c r="A286" s="1472" t="s">
        <v>690</v>
      </c>
      <c r="B286" s="1472" t="s">
        <v>1459</v>
      </c>
      <c r="C286" s="1472">
        <v>4</v>
      </c>
      <c r="D286" s="1776" t="s">
        <v>144</v>
      </c>
      <c r="E286" s="1761" t="s">
        <v>144</v>
      </c>
      <c r="F286" s="1762" t="s">
        <v>3237</v>
      </c>
      <c r="G286" s="1770" t="s">
        <v>144</v>
      </c>
    </row>
    <row r="287" spans="1:7" ht="12">
      <c r="A287" s="1472" t="s">
        <v>690</v>
      </c>
      <c r="B287" s="1472" t="s">
        <v>1459</v>
      </c>
      <c r="C287" s="1472">
        <v>4</v>
      </c>
      <c r="D287" s="1776" t="s">
        <v>168</v>
      </c>
      <c r="E287" s="1761" t="s">
        <v>168</v>
      </c>
      <c r="F287" s="1762" t="s">
        <v>3238</v>
      </c>
      <c r="G287" s="1770" t="s">
        <v>3239</v>
      </c>
    </row>
    <row r="288" spans="1:7" ht="12">
      <c r="A288" s="1472" t="s">
        <v>690</v>
      </c>
      <c r="B288" s="1472" t="s">
        <v>1459</v>
      </c>
      <c r="C288" s="1472">
        <v>4</v>
      </c>
      <c r="D288" s="1776" t="s">
        <v>2503</v>
      </c>
      <c r="E288" s="1761" t="s">
        <v>2503</v>
      </c>
      <c r="F288" s="1762" t="s">
        <v>3240</v>
      </c>
      <c r="G288" s="1770" t="s">
        <v>3241</v>
      </c>
    </row>
    <row r="289" spans="1:7" ht="12">
      <c r="A289" s="1472" t="s">
        <v>690</v>
      </c>
      <c r="B289" s="1472" t="s">
        <v>1459</v>
      </c>
      <c r="C289" s="1472">
        <v>4</v>
      </c>
      <c r="D289" s="1776" t="s">
        <v>2671</v>
      </c>
      <c r="E289" s="1761" t="s">
        <v>2671</v>
      </c>
      <c r="F289" s="1762" t="s">
        <v>3242</v>
      </c>
      <c r="G289" s="1770" t="s">
        <v>3243</v>
      </c>
    </row>
    <row r="290" spans="1:7" ht="216">
      <c r="A290" s="1472" t="s">
        <v>688</v>
      </c>
      <c r="B290" s="1472" t="s">
        <v>3280</v>
      </c>
      <c r="D290" s="1776" t="s">
        <v>3281</v>
      </c>
      <c r="E290" s="1761" t="s">
        <v>3281</v>
      </c>
      <c r="F290" s="1765" t="s">
        <v>3282</v>
      </c>
      <c r="G290" s="1773" t="s">
        <v>3283</v>
      </c>
    </row>
    <row r="291" spans="1:7" ht="12">
      <c r="A291" s="1472" t="s">
        <v>688</v>
      </c>
      <c r="B291" s="1472" t="s">
        <v>3280</v>
      </c>
      <c r="D291" s="1776"/>
      <c r="E291" s="1763"/>
      <c r="F291" s="1766"/>
      <c r="G291" s="1766"/>
    </row>
    <row r="292" spans="1:7" ht="24">
      <c r="A292" s="1472" t="s">
        <v>688</v>
      </c>
      <c r="B292" s="1472" t="s">
        <v>1038</v>
      </c>
      <c r="C292" s="1472" t="s">
        <v>3174</v>
      </c>
      <c r="D292" s="1776" t="s">
        <v>2667</v>
      </c>
      <c r="E292" s="1761" t="s">
        <v>2667</v>
      </c>
      <c r="F292" s="1764" t="s">
        <v>3284</v>
      </c>
      <c r="G292" s="1772" t="s">
        <v>3285</v>
      </c>
    </row>
    <row r="293" spans="1:7" ht="12">
      <c r="A293" s="1472" t="s">
        <v>688</v>
      </c>
      <c r="B293" s="1472" t="s">
        <v>1038</v>
      </c>
      <c r="C293" s="1472" t="s">
        <v>3174</v>
      </c>
      <c r="D293" s="1776" t="s">
        <v>1</v>
      </c>
      <c r="E293" s="1761" t="s">
        <v>1</v>
      </c>
      <c r="F293" s="1762" t="s">
        <v>3112</v>
      </c>
      <c r="G293" s="1770" t="s">
        <v>3113</v>
      </c>
    </row>
    <row r="294" spans="1:7" ht="12">
      <c r="A294" s="1472" t="s">
        <v>688</v>
      </c>
      <c r="B294" s="1472" t="s">
        <v>1038</v>
      </c>
      <c r="C294" s="1472" t="s">
        <v>3174</v>
      </c>
      <c r="D294" s="1776" t="s">
        <v>2</v>
      </c>
      <c r="E294" s="1761" t="s">
        <v>2</v>
      </c>
      <c r="F294" s="1762" t="s">
        <v>3143</v>
      </c>
      <c r="G294" s="1770" t="s">
        <v>3144</v>
      </c>
    </row>
    <row r="295" spans="1:7" ht="12">
      <c r="A295" s="1472" t="s">
        <v>688</v>
      </c>
      <c r="B295" s="1472" t="s">
        <v>1038</v>
      </c>
      <c r="C295" s="1472" t="s">
        <v>3174</v>
      </c>
      <c r="D295" s="1776" t="s">
        <v>3</v>
      </c>
      <c r="E295" s="1761" t="s">
        <v>3</v>
      </c>
      <c r="F295" s="1762" t="s">
        <v>3118</v>
      </c>
      <c r="G295" s="1770" t="s">
        <v>3119</v>
      </c>
    </row>
    <row r="296" spans="1:7" ht="12">
      <c r="A296" s="1472" t="s">
        <v>688</v>
      </c>
      <c r="B296" s="1472" t="s">
        <v>1038</v>
      </c>
      <c r="C296" s="1472" t="s">
        <v>3174</v>
      </c>
      <c r="D296" s="1776" t="s">
        <v>4</v>
      </c>
      <c r="E296" s="1761" t="s">
        <v>4</v>
      </c>
      <c r="F296" s="1762" t="s">
        <v>3122</v>
      </c>
      <c r="G296" s="1770" t="s">
        <v>3123</v>
      </c>
    </row>
    <row r="297" spans="1:7" ht="204">
      <c r="A297" s="1472" t="s">
        <v>688</v>
      </c>
      <c r="B297" s="1472" t="s">
        <v>1038</v>
      </c>
      <c r="C297" s="1472">
        <v>1</v>
      </c>
      <c r="D297" s="1776" t="s">
        <v>3286</v>
      </c>
      <c r="E297" s="1761" t="s">
        <v>3286</v>
      </c>
      <c r="F297" s="1764" t="s">
        <v>3287</v>
      </c>
      <c r="G297" s="1772" t="s">
        <v>3288</v>
      </c>
    </row>
    <row r="298" spans="1:7" ht="12">
      <c r="A298" s="1472" t="s">
        <v>688</v>
      </c>
      <c r="B298" s="1472" t="s">
        <v>1038</v>
      </c>
      <c r="C298" s="1472">
        <v>1</v>
      </c>
      <c r="D298" s="1776" t="s">
        <v>1028</v>
      </c>
      <c r="E298" s="1761" t="s">
        <v>1028</v>
      </c>
      <c r="F298" s="1762" t="s">
        <v>3179</v>
      </c>
      <c r="G298" s="1770" t="s">
        <v>3180</v>
      </c>
    </row>
    <row r="299" spans="1:7" ht="12">
      <c r="A299" s="1472" t="s">
        <v>688</v>
      </c>
      <c r="B299" s="1472" t="s">
        <v>1038</v>
      </c>
      <c r="C299" s="1472">
        <v>1</v>
      </c>
      <c r="D299" s="1776" t="s">
        <v>140</v>
      </c>
      <c r="E299" s="1761" t="s">
        <v>140</v>
      </c>
      <c r="F299" s="1762" t="s">
        <v>3181</v>
      </c>
      <c r="G299" s="1770" t="s">
        <v>3182</v>
      </c>
    </row>
    <row r="300" spans="1:7" ht="24">
      <c r="A300" s="1472" t="s">
        <v>688</v>
      </c>
      <c r="B300" s="1472" t="s">
        <v>1038</v>
      </c>
      <c r="C300" s="1472">
        <v>1</v>
      </c>
      <c r="D300" s="1776" t="s">
        <v>141</v>
      </c>
      <c r="E300" s="1761" t="s">
        <v>141</v>
      </c>
      <c r="F300" s="1762" t="s">
        <v>3183</v>
      </c>
      <c r="G300" s="1770" t="s">
        <v>3184</v>
      </c>
    </row>
    <row r="301" spans="1:7" ht="12">
      <c r="A301" s="1472" t="s">
        <v>688</v>
      </c>
      <c r="B301" s="1472" t="s">
        <v>1038</v>
      </c>
      <c r="C301" s="1472">
        <v>1</v>
      </c>
      <c r="D301" s="1776" t="s">
        <v>142</v>
      </c>
      <c r="E301" s="1761" t="s">
        <v>142</v>
      </c>
      <c r="F301" s="1762" t="s">
        <v>3185</v>
      </c>
      <c r="G301" s="1770" t="s">
        <v>3186</v>
      </c>
    </row>
    <row r="302" spans="1:7" ht="12">
      <c r="A302" s="1472" t="s">
        <v>688</v>
      </c>
      <c r="B302" s="1472" t="s">
        <v>1038</v>
      </c>
      <c r="C302" s="1472">
        <v>1</v>
      </c>
      <c r="D302" s="1776" t="s">
        <v>49</v>
      </c>
      <c r="E302" s="1761" t="s">
        <v>49</v>
      </c>
      <c r="F302" s="1762" t="s">
        <v>3187</v>
      </c>
      <c r="G302" s="1770" t="s">
        <v>3188</v>
      </c>
    </row>
    <row r="303" spans="1:7" ht="12">
      <c r="A303" s="1472" t="s">
        <v>688</v>
      </c>
      <c r="B303" s="1472" t="s">
        <v>1038</v>
      </c>
      <c r="C303" s="1472">
        <v>1</v>
      </c>
      <c r="D303" s="1776" t="s">
        <v>189</v>
      </c>
      <c r="E303" s="1761" t="s">
        <v>189</v>
      </c>
      <c r="F303" s="1762" t="s">
        <v>3189</v>
      </c>
      <c r="G303" s="1770" t="s">
        <v>3190</v>
      </c>
    </row>
    <row r="304" spans="1:7" ht="12">
      <c r="A304" s="1472" t="s">
        <v>688</v>
      </c>
      <c r="B304" s="1472" t="s">
        <v>1038</v>
      </c>
      <c r="C304" s="1472">
        <v>1</v>
      </c>
      <c r="D304" s="1776" t="s">
        <v>146</v>
      </c>
      <c r="E304" s="1761" t="s">
        <v>146</v>
      </c>
      <c r="F304" s="1762" t="s">
        <v>3191</v>
      </c>
      <c r="G304" s="1770" t="s">
        <v>3192</v>
      </c>
    </row>
    <row r="305" spans="1:7" ht="12">
      <c r="A305" s="1472" t="s">
        <v>688</v>
      </c>
      <c r="B305" s="1472" t="s">
        <v>1038</v>
      </c>
      <c r="C305" s="1472">
        <v>1</v>
      </c>
      <c r="D305" s="1776" t="s">
        <v>147</v>
      </c>
      <c r="E305" s="1761" t="s">
        <v>147</v>
      </c>
      <c r="F305" s="1762" t="s">
        <v>3193</v>
      </c>
      <c r="G305" s="1770" t="s">
        <v>3194</v>
      </c>
    </row>
    <row r="306" spans="1:7" ht="12">
      <c r="A306" s="1472" t="s">
        <v>688</v>
      </c>
      <c r="B306" s="1472" t="s">
        <v>1038</v>
      </c>
      <c r="C306" s="1472">
        <v>1</v>
      </c>
      <c r="D306" s="1776" t="s">
        <v>148</v>
      </c>
      <c r="E306" s="1761" t="s">
        <v>148</v>
      </c>
      <c r="F306" s="1762" t="s">
        <v>3195</v>
      </c>
      <c r="G306" s="1770" t="s">
        <v>3196</v>
      </c>
    </row>
    <row r="307" spans="1:7" ht="12">
      <c r="A307" s="1472" t="s">
        <v>688</v>
      </c>
      <c r="B307" s="1472" t="s">
        <v>1038</v>
      </c>
      <c r="C307" s="1472">
        <v>1</v>
      </c>
      <c r="D307" s="1776" t="s">
        <v>149</v>
      </c>
      <c r="E307" s="1761" t="s">
        <v>149</v>
      </c>
      <c r="F307" s="1762" t="s">
        <v>3197</v>
      </c>
      <c r="G307" s="1770" t="s">
        <v>3198</v>
      </c>
    </row>
    <row r="308" spans="1:7" ht="12">
      <c r="A308" s="1472" t="s">
        <v>688</v>
      </c>
      <c r="B308" s="1472" t="s">
        <v>1038</v>
      </c>
      <c r="C308" s="1472">
        <v>1</v>
      </c>
      <c r="D308" s="1776" t="s">
        <v>150</v>
      </c>
      <c r="E308" s="1761" t="s">
        <v>150</v>
      </c>
      <c r="F308" s="1762" t="s">
        <v>3199</v>
      </c>
      <c r="G308" s="1770" t="s">
        <v>3200</v>
      </c>
    </row>
    <row r="309" spans="1:7" ht="12">
      <c r="A309" s="1472" t="s">
        <v>688</v>
      </c>
      <c r="B309" s="1472" t="s">
        <v>1038</v>
      </c>
      <c r="C309" s="1472">
        <v>1</v>
      </c>
      <c r="D309" s="1776" t="s">
        <v>151</v>
      </c>
      <c r="E309" s="1761" t="s">
        <v>151</v>
      </c>
      <c r="F309" s="1762" t="s">
        <v>3201</v>
      </c>
      <c r="G309" s="1770" t="s">
        <v>3202</v>
      </c>
    </row>
    <row r="310" spans="1:7" ht="12">
      <c r="A310" s="1472" t="s">
        <v>688</v>
      </c>
      <c r="B310" s="1472" t="s">
        <v>1038</v>
      </c>
      <c r="C310" s="1472">
        <v>1</v>
      </c>
      <c r="D310" s="1776" t="s">
        <v>152</v>
      </c>
      <c r="E310" s="1761" t="s">
        <v>152</v>
      </c>
      <c r="F310" s="1762" t="s">
        <v>3203</v>
      </c>
      <c r="G310" s="1770" t="s">
        <v>3204</v>
      </c>
    </row>
    <row r="311" spans="1:7" ht="12">
      <c r="A311" s="1472" t="s">
        <v>688</v>
      </c>
      <c r="B311" s="1472" t="s">
        <v>1038</v>
      </c>
      <c r="C311" s="1472">
        <v>1</v>
      </c>
      <c r="D311" s="1776" t="s">
        <v>153</v>
      </c>
      <c r="E311" s="1761" t="s">
        <v>153</v>
      </c>
      <c r="F311" s="1762" t="s">
        <v>3205</v>
      </c>
      <c r="G311" s="1770" t="s">
        <v>3206</v>
      </c>
    </row>
    <row r="312" spans="1:7" ht="12">
      <c r="A312" s="1472" t="s">
        <v>688</v>
      </c>
      <c r="B312" s="1472" t="s">
        <v>1038</v>
      </c>
      <c r="C312" s="1472">
        <v>1</v>
      </c>
      <c r="D312" s="1776" t="s">
        <v>154</v>
      </c>
      <c r="E312" s="1761" t="s">
        <v>154</v>
      </c>
      <c r="F312" s="1762" t="s">
        <v>3207</v>
      </c>
      <c r="G312" s="1770" t="s">
        <v>3208</v>
      </c>
    </row>
    <row r="313" spans="1:7" ht="12">
      <c r="A313" s="1472" t="s">
        <v>688</v>
      </c>
      <c r="B313" s="1472" t="s">
        <v>1038</v>
      </c>
      <c r="C313" s="1472">
        <v>1</v>
      </c>
      <c r="D313" s="1776" t="s">
        <v>155</v>
      </c>
      <c r="E313" s="1761" t="s">
        <v>155</v>
      </c>
      <c r="F313" s="1762" t="s">
        <v>3209</v>
      </c>
      <c r="G313" s="1770" t="s">
        <v>3210</v>
      </c>
    </row>
    <row r="314" spans="1:7" ht="12">
      <c r="A314" s="1472" t="s">
        <v>688</v>
      </c>
      <c r="B314" s="1472" t="s">
        <v>1038</v>
      </c>
      <c r="C314" s="1472">
        <v>1</v>
      </c>
      <c r="D314" s="1776" t="s">
        <v>156</v>
      </c>
      <c r="E314" s="1761" t="s">
        <v>156</v>
      </c>
      <c r="F314" s="1762" t="s">
        <v>3211</v>
      </c>
      <c r="G314" s="1770" t="s">
        <v>3212</v>
      </c>
    </row>
    <row r="315" spans="1:7" ht="12">
      <c r="A315" s="1472" t="s">
        <v>688</v>
      </c>
      <c r="B315" s="1472" t="s">
        <v>1038</v>
      </c>
      <c r="C315" s="1472">
        <v>1</v>
      </c>
      <c r="D315" s="1776" t="s">
        <v>157</v>
      </c>
      <c r="E315" s="1761" t="s">
        <v>157</v>
      </c>
      <c r="F315" s="1762" t="s">
        <v>3213</v>
      </c>
      <c r="G315" s="1770" t="s">
        <v>3214</v>
      </c>
    </row>
    <row r="316" spans="1:7" ht="12">
      <c r="A316" s="1472" t="s">
        <v>688</v>
      </c>
      <c r="B316" s="1472" t="s">
        <v>1038</v>
      </c>
      <c r="C316" s="1472">
        <v>1</v>
      </c>
      <c r="D316" s="1776" t="s">
        <v>158</v>
      </c>
      <c r="E316" s="1761" t="s">
        <v>158</v>
      </c>
      <c r="F316" s="1762" t="s">
        <v>3215</v>
      </c>
      <c r="G316" s="1770" t="s">
        <v>3216</v>
      </c>
    </row>
    <row r="317" spans="1:7" ht="12">
      <c r="A317" s="1472" t="s">
        <v>688</v>
      </c>
      <c r="B317" s="1472" t="s">
        <v>1038</v>
      </c>
      <c r="C317" s="1472">
        <v>1</v>
      </c>
      <c r="D317" s="1776" t="s">
        <v>159</v>
      </c>
      <c r="E317" s="1761" t="s">
        <v>159</v>
      </c>
      <c r="F317" s="1762" t="s">
        <v>3217</v>
      </c>
      <c r="G317" s="1770" t="s">
        <v>3218</v>
      </c>
    </row>
    <row r="318" spans="1:7" ht="12">
      <c r="A318" s="1472" t="s">
        <v>688</v>
      </c>
      <c r="B318" s="1472" t="s">
        <v>1038</v>
      </c>
      <c r="C318" s="1472">
        <v>1</v>
      </c>
      <c r="D318" s="1776" t="s">
        <v>160</v>
      </c>
      <c r="E318" s="1761" t="s">
        <v>160</v>
      </c>
      <c r="F318" s="1762" t="s">
        <v>3219</v>
      </c>
      <c r="G318" s="1770" t="s">
        <v>3220</v>
      </c>
    </row>
    <row r="319" spans="1:7" ht="12">
      <c r="A319" s="1472" t="s">
        <v>688</v>
      </c>
      <c r="B319" s="1472" t="s">
        <v>1038</v>
      </c>
      <c r="C319" s="1472">
        <v>1</v>
      </c>
      <c r="D319" s="1776" t="s">
        <v>161</v>
      </c>
      <c r="E319" s="1761" t="s">
        <v>161</v>
      </c>
      <c r="F319" s="1762" t="s">
        <v>3221</v>
      </c>
      <c r="G319" s="1770" t="s">
        <v>3222</v>
      </c>
    </row>
    <row r="320" spans="1:7" ht="12">
      <c r="A320" s="1472" t="s">
        <v>688</v>
      </c>
      <c r="B320" s="1472" t="s">
        <v>1038</v>
      </c>
      <c r="C320" s="1472">
        <v>1</v>
      </c>
      <c r="D320" s="1776" t="s">
        <v>162</v>
      </c>
      <c r="E320" s="1761" t="s">
        <v>162</v>
      </c>
      <c r="F320" s="1762" t="s">
        <v>3223</v>
      </c>
      <c r="G320" s="1770" t="s">
        <v>3224</v>
      </c>
    </row>
    <row r="321" spans="1:7" ht="12">
      <c r="A321" s="1472" t="s">
        <v>688</v>
      </c>
      <c r="B321" s="1472" t="s">
        <v>1038</v>
      </c>
      <c r="C321" s="1472">
        <v>1</v>
      </c>
      <c r="D321" s="1776" t="s">
        <v>163</v>
      </c>
      <c r="E321" s="1761" t="s">
        <v>163</v>
      </c>
      <c r="F321" s="1762" t="s">
        <v>3225</v>
      </c>
      <c r="G321" s="1770" t="s">
        <v>3226</v>
      </c>
    </row>
    <row r="322" spans="1:7" ht="12">
      <c r="A322" s="1472" t="s">
        <v>688</v>
      </c>
      <c r="B322" s="1472" t="s">
        <v>1038</v>
      </c>
      <c r="C322" s="1472">
        <v>1</v>
      </c>
      <c r="D322" s="1776" t="s">
        <v>164</v>
      </c>
      <c r="E322" s="1761" t="s">
        <v>164</v>
      </c>
      <c r="F322" s="1762" t="s">
        <v>3227</v>
      </c>
      <c r="G322" s="1770" t="s">
        <v>3228</v>
      </c>
    </row>
    <row r="323" spans="1:7" ht="12">
      <c r="A323" s="1472" t="s">
        <v>688</v>
      </c>
      <c r="B323" s="1472" t="s">
        <v>1038</v>
      </c>
      <c r="C323" s="1472">
        <v>1</v>
      </c>
      <c r="D323" s="1776" t="s">
        <v>165</v>
      </c>
      <c r="E323" s="1761" t="s">
        <v>165</v>
      </c>
      <c r="F323" s="1762" t="s">
        <v>3229</v>
      </c>
      <c r="G323" s="1770" t="s">
        <v>3230</v>
      </c>
    </row>
    <row r="324" spans="1:7" ht="12">
      <c r="A324" s="1472" t="s">
        <v>688</v>
      </c>
      <c r="B324" s="1472" t="s">
        <v>1038</v>
      </c>
      <c r="C324" s="1472">
        <v>1</v>
      </c>
      <c r="D324" s="1776" t="s">
        <v>143</v>
      </c>
      <c r="E324" s="1761" t="s">
        <v>143</v>
      </c>
      <c r="F324" s="1762" t="s">
        <v>3231</v>
      </c>
      <c r="G324" s="1770" t="s">
        <v>3232</v>
      </c>
    </row>
    <row r="325" spans="1:7" ht="12">
      <c r="A325" s="1472" t="s">
        <v>688</v>
      </c>
      <c r="B325" s="1472" t="s">
        <v>1038</v>
      </c>
      <c r="C325" s="1472">
        <v>1</v>
      </c>
      <c r="D325" s="1776" t="s">
        <v>166</v>
      </c>
      <c r="E325" s="1761" t="s">
        <v>166</v>
      </c>
      <c r="F325" s="1762" t="s">
        <v>3233</v>
      </c>
      <c r="G325" s="1770" t="s">
        <v>3234</v>
      </c>
    </row>
    <row r="326" spans="1:7" ht="12">
      <c r="A326" s="1472" t="s">
        <v>688</v>
      </c>
      <c r="B326" s="1472" t="s">
        <v>1038</v>
      </c>
      <c r="C326" s="1472">
        <v>1</v>
      </c>
      <c r="D326" s="1776" t="s">
        <v>167</v>
      </c>
      <c r="E326" s="1761" t="s">
        <v>167</v>
      </c>
      <c r="F326" s="1762" t="s">
        <v>3235</v>
      </c>
      <c r="G326" s="1770" t="s">
        <v>3236</v>
      </c>
    </row>
    <row r="327" spans="1:7" ht="12">
      <c r="A327" s="1472" t="s">
        <v>688</v>
      </c>
      <c r="B327" s="1472" t="s">
        <v>1038</v>
      </c>
      <c r="C327" s="1472">
        <v>1</v>
      </c>
      <c r="D327" s="1776" t="s">
        <v>144</v>
      </c>
      <c r="E327" s="1761" t="s">
        <v>144</v>
      </c>
      <c r="F327" s="1762" t="s">
        <v>3237</v>
      </c>
      <c r="G327" s="1770" t="s">
        <v>144</v>
      </c>
    </row>
    <row r="328" spans="1:7" ht="12">
      <c r="A328" s="1472" t="s">
        <v>688</v>
      </c>
      <c r="B328" s="1472" t="s">
        <v>1038</v>
      </c>
      <c r="C328" s="1472">
        <v>1</v>
      </c>
      <c r="D328" s="1776" t="s">
        <v>168</v>
      </c>
      <c r="E328" s="1761" t="s">
        <v>168</v>
      </c>
      <c r="F328" s="1762" t="s">
        <v>3238</v>
      </c>
      <c r="G328" s="1770" t="s">
        <v>3239</v>
      </c>
    </row>
    <row r="329" spans="1:7" ht="12">
      <c r="A329" s="1472" t="s">
        <v>688</v>
      </c>
      <c r="B329" s="1472" t="s">
        <v>1038</v>
      </c>
      <c r="C329" s="1472">
        <v>1</v>
      </c>
      <c r="D329" s="1776" t="s">
        <v>2503</v>
      </c>
      <c r="E329" s="1761" t="s">
        <v>2503</v>
      </c>
      <c r="F329" s="1762" t="s">
        <v>3240</v>
      </c>
      <c r="G329" s="1770" t="s">
        <v>3241</v>
      </c>
    </row>
    <row r="330" spans="1:7" ht="12">
      <c r="A330" s="1472" t="s">
        <v>688</v>
      </c>
      <c r="B330" s="1472" t="s">
        <v>1038</v>
      </c>
      <c r="C330" s="1472">
        <v>1</v>
      </c>
      <c r="D330" s="1776" t="s">
        <v>2671</v>
      </c>
      <c r="E330" s="1761" t="s">
        <v>2671</v>
      </c>
      <c r="F330" s="1762" t="s">
        <v>3242</v>
      </c>
      <c r="G330" s="1770" t="s">
        <v>3243</v>
      </c>
    </row>
    <row r="331" spans="1:7" ht="204">
      <c r="A331" s="1472" t="s">
        <v>688</v>
      </c>
      <c r="B331" s="1472" t="s">
        <v>1038</v>
      </c>
      <c r="C331" s="1472">
        <v>2</v>
      </c>
      <c r="D331" s="1776" t="s">
        <v>3286</v>
      </c>
      <c r="E331" s="1761" t="s">
        <v>3286</v>
      </c>
      <c r="F331" s="1764" t="s">
        <v>3289</v>
      </c>
      <c r="G331" s="1772" t="s">
        <v>3288</v>
      </c>
    </row>
    <row r="332" spans="1:7" ht="12">
      <c r="A332" s="1472" t="s">
        <v>688</v>
      </c>
      <c r="B332" s="1472" t="s">
        <v>1038</v>
      </c>
      <c r="C332" s="1472">
        <v>2</v>
      </c>
      <c r="D332" s="1776" t="s">
        <v>1028</v>
      </c>
      <c r="E332" s="1761" t="s">
        <v>1028</v>
      </c>
      <c r="F332" s="1762" t="s">
        <v>3179</v>
      </c>
      <c r="G332" s="1770" t="s">
        <v>3180</v>
      </c>
    </row>
    <row r="333" spans="1:7" ht="12">
      <c r="A333" s="1472" t="s">
        <v>688</v>
      </c>
      <c r="B333" s="1472" t="s">
        <v>1038</v>
      </c>
      <c r="C333" s="1472">
        <v>2</v>
      </c>
      <c r="D333" s="1776" t="s">
        <v>140</v>
      </c>
      <c r="E333" s="1761" t="s">
        <v>140</v>
      </c>
      <c r="F333" s="1762" t="s">
        <v>3181</v>
      </c>
      <c r="G333" s="1770" t="s">
        <v>3182</v>
      </c>
    </row>
    <row r="334" spans="1:7" ht="24">
      <c r="A334" s="1472" t="s">
        <v>688</v>
      </c>
      <c r="B334" s="1472" t="s">
        <v>1038</v>
      </c>
      <c r="C334" s="1472">
        <v>2</v>
      </c>
      <c r="D334" s="1776" t="s">
        <v>141</v>
      </c>
      <c r="E334" s="1761" t="s">
        <v>141</v>
      </c>
      <c r="F334" s="1762" t="s">
        <v>3183</v>
      </c>
      <c r="G334" s="1770" t="s">
        <v>3184</v>
      </c>
    </row>
    <row r="335" spans="1:7" ht="12">
      <c r="A335" s="1472" t="s">
        <v>688</v>
      </c>
      <c r="B335" s="1472" t="s">
        <v>1038</v>
      </c>
      <c r="C335" s="1472">
        <v>2</v>
      </c>
      <c r="D335" s="1776" t="s">
        <v>142</v>
      </c>
      <c r="E335" s="1761" t="s">
        <v>142</v>
      </c>
      <c r="F335" s="1762" t="s">
        <v>3185</v>
      </c>
      <c r="G335" s="1770" t="s">
        <v>3186</v>
      </c>
    </row>
    <row r="336" spans="1:7" ht="12">
      <c r="A336" s="1472" t="s">
        <v>688</v>
      </c>
      <c r="B336" s="1472" t="s">
        <v>1038</v>
      </c>
      <c r="C336" s="1472">
        <v>2</v>
      </c>
      <c r="D336" s="1776" t="s">
        <v>49</v>
      </c>
      <c r="E336" s="1761" t="s">
        <v>49</v>
      </c>
      <c r="F336" s="1762" t="s">
        <v>3187</v>
      </c>
      <c r="G336" s="1770" t="s">
        <v>3188</v>
      </c>
    </row>
    <row r="337" spans="1:7" ht="12">
      <c r="A337" s="1472" t="s">
        <v>688</v>
      </c>
      <c r="B337" s="1472" t="s">
        <v>1038</v>
      </c>
      <c r="C337" s="1472">
        <v>2</v>
      </c>
      <c r="D337" s="1776" t="s">
        <v>189</v>
      </c>
      <c r="E337" s="1761" t="s">
        <v>189</v>
      </c>
      <c r="F337" s="1762" t="s">
        <v>3189</v>
      </c>
      <c r="G337" s="1770" t="s">
        <v>3190</v>
      </c>
    </row>
    <row r="338" spans="1:7" ht="12">
      <c r="A338" s="1472" t="s">
        <v>688</v>
      </c>
      <c r="B338" s="1472" t="s">
        <v>1038</v>
      </c>
      <c r="C338" s="1472">
        <v>2</v>
      </c>
      <c r="D338" s="1776" t="s">
        <v>146</v>
      </c>
      <c r="E338" s="1761" t="s">
        <v>146</v>
      </c>
      <c r="F338" s="1762" t="s">
        <v>3191</v>
      </c>
      <c r="G338" s="1770" t="s">
        <v>3192</v>
      </c>
    </row>
    <row r="339" spans="1:7" ht="12">
      <c r="A339" s="1472" t="s">
        <v>688</v>
      </c>
      <c r="B339" s="1472" t="s">
        <v>1038</v>
      </c>
      <c r="C339" s="1472">
        <v>2</v>
      </c>
      <c r="D339" s="1776" t="s">
        <v>147</v>
      </c>
      <c r="E339" s="1761" t="s">
        <v>147</v>
      </c>
      <c r="F339" s="1762" t="s">
        <v>3193</v>
      </c>
      <c r="G339" s="1770" t="s">
        <v>3194</v>
      </c>
    </row>
    <row r="340" spans="1:7" ht="12">
      <c r="A340" s="1472" t="s">
        <v>688</v>
      </c>
      <c r="B340" s="1472" t="s">
        <v>1038</v>
      </c>
      <c r="C340" s="1472">
        <v>2</v>
      </c>
      <c r="D340" s="1776" t="s">
        <v>148</v>
      </c>
      <c r="E340" s="1761" t="s">
        <v>148</v>
      </c>
      <c r="F340" s="1762" t="s">
        <v>3195</v>
      </c>
      <c r="G340" s="1770" t="s">
        <v>3196</v>
      </c>
    </row>
    <row r="341" spans="1:7" ht="12">
      <c r="A341" s="1472" t="s">
        <v>688</v>
      </c>
      <c r="B341" s="1472" t="s">
        <v>1038</v>
      </c>
      <c r="C341" s="1472">
        <v>2</v>
      </c>
      <c r="D341" s="1776" t="s">
        <v>149</v>
      </c>
      <c r="E341" s="1761" t="s">
        <v>149</v>
      </c>
      <c r="F341" s="1762" t="s">
        <v>3197</v>
      </c>
      <c r="G341" s="1770" t="s">
        <v>3198</v>
      </c>
    </row>
    <row r="342" spans="1:7" ht="12">
      <c r="A342" s="1472" t="s">
        <v>688</v>
      </c>
      <c r="B342" s="1472" t="s">
        <v>1038</v>
      </c>
      <c r="C342" s="1472">
        <v>2</v>
      </c>
      <c r="D342" s="1776" t="s">
        <v>150</v>
      </c>
      <c r="E342" s="1761" t="s">
        <v>150</v>
      </c>
      <c r="F342" s="1762" t="s">
        <v>3199</v>
      </c>
      <c r="G342" s="1770" t="s">
        <v>3200</v>
      </c>
    </row>
    <row r="343" spans="1:7" ht="12">
      <c r="A343" s="1472" t="s">
        <v>688</v>
      </c>
      <c r="B343" s="1472" t="s">
        <v>1038</v>
      </c>
      <c r="C343" s="1472">
        <v>2</v>
      </c>
      <c r="D343" s="1776" t="s">
        <v>151</v>
      </c>
      <c r="E343" s="1761" t="s">
        <v>151</v>
      </c>
      <c r="F343" s="1762" t="s">
        <v>3201</v>
      </c>
      <c r="G343" s="1770" t="s">
        <v>3202</v>
      </c>
    </row>
    <row r="344" spans="1:7" ht="12">
      <c r="A344" s="1472" t="s">
        <v>688</v>
      </c>
      <c r="B344" s="1472" t="s">
        <v>1038</v>
      </c>
      <c r="C344" s="1472">
        <v>2</v>
      </c>
      <c r="D344" s="1776" t="s">
        <v>152</v>
      </c>
      <c r="E344" s="1761" t="s">
        <v>152</v>
      </c>
      <c r="F344" s="1762" t="s">
        <v>3203</v>
      </c>
      <c r="G344" s="1770" t="s">
        <v>3204</v>
      </c>
    </row>
    <row r="345" spans="1:7" ht="12">
      <c r="A345" s="1472" t="s">
        <v>688</v>
      </c>
      <c r="B345" s="1472" t="s">
        <v>1038</v>
      </c>
      <c r="C345" s="1472">
        <v>2</v>
      </c>
      <c r="D345" s="1776" t="s">
        <v>153</v>
      </c>
      <c r="E345" s="1761" t="s">
        <v>153</v>
      </c>
      <c r="F345" s="1762" t="s">
        <v>3205</v>
      </c>
      <c r="G345" s="1770" t="s">
        <v>3206</v>
      </c>
    </row>
    <row r="346" spans="1:7" ht="12">
      <c r="A346" s="1472" t="s">
        <v>688</v>
      </c>
      <c r="B346" s="1472" t="s">
        <v>1038</v>
      </c>
      <c r="C346" s="1472">
        <v>2</v>
      </c>
      <c r="D346" s="1776" t="s">
        <v>154</v>
      </c>
      <c r="E346" s="1761" t="s">
        <v>154</v>
      </c>
      <c r="F346" s="1762" t="s">
        <v>3207</v>
      </c>
      <c r="G346" s="1770" t="s">
        <v>3208</v>
      </c>
    </row>
    <row r="347" spans="1:7" ht="12">
      <c r="A347" s="1472" t="s">
        <v>688</v>
      </c>
      <c r="B347" s="1472" t="s">
        <v>1038</v>
      </c>
      <c r="C347" s="1472">
        <v>2</v>
      </c>
      <c r="D347" s="1776" t="s">
        <v>155</v>
      </c>
      <c r="E347" s="1761" t="s">
        <v>155</v>
      </c>
      <c r="F347" s="1762" t="s">
        <v>3209</v>
      </c>
      <c r="G347" s="1770" t="s">
        <v>3210</v>
      </c>
    </row>
    <row r="348" spans="1:7" ht="12">
      <c r="A348" s="1472" t="s">
        <v>688</v>
      </c>
      <c r="B348" s="1472" t="s">
        <v>1038</v>
      </c>
      <c r="C348" s="1472">
        <v>2</v>
      </c>
      <c r="D348" s="1776" t="s">
        <v>156</v>
      </c>
      <c r="E348" s="1761" t="s">
        <v>156</v>
      </c>
      <c r="F348" s="1762" t="s">
        <v>3211</v>
      </c>
      <c r="G348" s="1770" t="s">
        <v>3212</v>
      </c>
    </row>
    <row r="349" spans="1:7" ht="12">
      <c r="A349" s="1472" t="s">
        <v>688</v>
      </c>
      <c r="B349" s="1472" t="s">
        <v>1038</v>
      </c>
      <c r="C349" s="1472">
        <v>2</v>
      </c>
      <c r="D349" s="1776" t="s">
        <v>157</v>
      </c>
      <c r="E349" s="1761" t="s">
        <v>157</v>
      </c>
      <c r="F349" s="1762" t="s">
        <v>3213</v>
      </c>
      <c r="G349" s="1770" t="s">
        <v>3214</v>
      </c>
    </row>
    <row r="350" spans="1:7" ht="12">
      <c r="A350" s="1472" t="s">
        <v>688</v>
      </c>
      <c r="B350" s="1472" t="s">
        <v>1038</v>
      </c>
      <c r="C350" s="1472">
        <v>2</v>
      </c>
      <c r="D350" s="1776" t="s">
        <v>158</v>
      </c>
      <c r="E350" s="1761" t="s">
        <v>158</v>
      </c>
      <c r="F350" s="1762" t="s">
        <v>3215</v>
      </c>
      <c r="G350" s="1770" t="s">
        <v>3216</v>
      </c>
    </row>
    <row r="351" spans="1:7" ht="12">
      <c r="A351" s="1472" t="s">
        <v>688</v>
      </c>
      <c r="B351" s="1472" t="s">
        <v>1038</v>
      </c>
      <c r="C351" s="1472">
        <v>2</v>
      </c>
      <c r="D351" s="1776" t="s">
        <v>159</v>
      </c>
      <c r="E351" s="1761" t="s">
        <v>159</v>
      </c>
      <c r="F351" s="1762" t="s">
        <v>3217</v>
      </c>
      <c r="G351" s="1770" t="s">
        <v>3218</v>
      </c>
    </row>
    <row r="352" spans="1:7" ht="12">
      <c r="A352" s="1472" t="s">
        <v>688</v>
      </c>
      <c r="B352" s="1472" t="s">
        <v>1038</v>
      </c>
      <c r="C352" s="1472">
        <v>2</v>
      </c>
      <c r="D352" s="1776" t="s">
        <v>160</v>
      </c>
      <c r="E352" s="1761" t="s">
        <v>160</v>
      </c>
      <c r="F352" s="1762" t="s">
        <v>3219</v>
      </c>
      <c r="G352" s="1770" t="s">
        <v>3220</v>
      </c>
    </row>
    <row r="353" spans="1:7" ht="12">
      <c r="A353" s="1472" t="s">
        <v>688</v>
      </c>
      <c r="B353" s="1472" t="s">
        <v>1038</v>
      </c>
      <c r="C353" s="1472">
        <v>2</v>
      </c>
      <c r="D353" s="1776" t="s">
        <v>161</v>
      </c>
      <c r="E353" s="1761" t="s">
        <v>161</v>
      </c>
      <c r="F353" s="1762" t="s">
        <v>3221</v>
      </c>
      <c r="G353" s="1770" t="s">
        <v>3222</v>
      </c>
    </row>
    <row r="354" spans="1:7" ht="12">
      <c r="A354" s="1472" t="s">
        <v>688</v>
      </c>
      <c r="B354" s="1472" t="s">
        <v>1038</v>
      </c>
      <c r="C354" s="1472">
        <v>2</v>
      </c>
      <c r="D354" s="1776" t="s">
        <v>162</v>
      </c>
      <c r="E354" s="1761" t="s">
        <v>162</v>
      </c>
      <c r="F354" s="1762" t="s">
        <v>3223</v>
      </c>
      <c r="G354" s="1770" t="s">
        <v>3224</v>
      </c>
    </row>
    <row r="355" spans="1:7" ht="12">
      <c r="A355" s="1472" t="s">
        <v>688</v>
      </c>
      <c r="B355" s="1472" t="s">
        <v>1038</v>
      </c>
      <c r="C355" s="1472">
        <v>2</v>
      </c>
      <c r="D355" s="1776" t="s">
        <v>163</v>
      </c>
      <c r="E355" s="1761" t="s">
        <v>163</v>
      </c>
      <c r="F355" s="1762" t="s">
        <v>3225</v>
      </c>
      <c r="G355" s="1770" t="s">
        <v>3226</v>
      </c>
    </row>
    <row r="356" spans="1:7" ht="12">
      <c r="A356" s="1472" t="s">
        <v>688</v>
      </c>
      <c r="B356" s="1472" t="s">
        <v>1038</v>
      </c>
      <c r="C356" s="1472">
        <v>2</v>
      </c>
      <c r="D356" s="1776" t="s">
        <v>164</v>
      </c>
      <c r="E356" s="1761" t="s">
        <v>164</v>
      </c>
      <c r="F356" s="1762" t="s">
        <v>3227</v>
      </c>
      <c r="G356" s="1770" t="s">
        <v>3228</v>
      </c>
    </row>
    <row r="357" spans="1:7" ht="12">
      <c r="A357" s="1472" t="s">
        <v>688</v>
      </c>
      <c r="B357" s="1472" t="s">
        <v>1038</v>
      </c>
      <c r="C357" s="1472">
        <v>2</v>
      </c>
      <c r="D357" s="1776" t="s">
        <v>165</v>
      </c>
      <c r="E357" s="1761" t="s">
        <v>165</v>
      </c>
      <c r="F357" s="1762" t="s">
        <v>3229</v>
      </c>
      <c r="G357" s="1770" t="s">
        <v>3230</v>
      </c>
    </row>
    <row r="358" spans="1:7" ht="12">
      <c r="A358" s="1472" t="s">
        <v>688</v>
      </c>
      <c r="B358" s="1472" t="s">
        <v>1038</v>
      </c>
      <c r="C358" s="1472">
        <v>2</v>
      </c>
      <c r="D358" s="1776" t="s">
        <v>143</v>
      </c>
      <c r="E358" s="1761" t="s">
        <v>143</v>
      </c>
      <c r="F358" s="1762" t="s">
        <v>3231</v>
      </c>
      <c r="G358" s="1770" t="s">
        <v>3232</v>
      </c>
    </row>
    <row r="359" spans="1:7" ht="12">
      <c r="A359" s="1472" t="s">
        <v>688</v>
      </c>
      <c r="B359" s="1472" t="s">
        <v>1038</v>
      </c>
      <c r="C359" s="1472">
        <v>2</v>
      </c>
      <c r="D359" s="1776" t="s">
        <v>166</v>
      </c>
      <c r="E359" s="1761" t="s">
        <v>166</v>
      </c>
      <c r="F359" s="1762" t="s">
        <v>3233</v>
      </c>
      <c r="G359" s="1770" t="s">
        <v>3234</v>
      </c>
    </row>
    <row r="360" spans="1:7" ht="12">
      <c r="A360" s="1472" t="s">
        <v>688</v>
      </c>
      <c r="B360" s="1472" t="s">
        <v>1038</v>
      </c>
      <c r="C360" s="1472">
        <v>2</v>
      </c>
      <c r="D360" s="1776" t="s">
        <v>167</v>
      </c>
      <c r="E360" s="1761" t="s">
        <v>167</v>
      </c>
      <c r="F360" s="1762" t="s">
        <v>3235</v>
      </c>
      <c r="G360" s="1770" t="s">
        <v>3236</v>
      </c>
    </row>
    <row r="361" spans="1:7" ht="12">
      <c r="A361" s="1472" t="s">
        <v>688</v>
      </c>
      <c r="B361" s="1472" t="s">
        <v>1038</v>
      </c>
      <c r="C361" s="1472">
        <v>2</v>
      </c>
      <c r="D361" s="1776" t="s">
        <v>144</v>
      </c>
      <c r="E361" s="1761" t="s">
        <v>144</v>
      </c>
      <c r="F361" s="1762" t="s">
        <v>3237</v>
      </c>
      <c r="G361" s="1770" t="s">
        <v>144</v>
      </c>
    </row>
    <row r="362" spans="1:7" ht="12">
      <c r="A362" s="1472" t="s">
        <v>688</v>
      </c>
      <c r="B362" s="1472" t="s">
        <v>1038</v>
      </c>
      <c r="C362" s="1472">
        <v>2</v>
      </c>
      <c r="D362" s="1776" t="s">
        <v>168</v>
      </c>
      <c r="E362" s="1761" t="s">
        <v>168</v>
      </c>
      <c r="F362" s="1762" t="s">
        <v>3238</v>
      </c>
      <c r="G362" s="1770" t="s">
        <v>3239</v>
      </c>
    </row>
    <row r="363" spans="1:7" ht="12">
      <c r="A363" s="1472" t="s">
        <v>688</v>
      </c>
      <c r="B363" s="1472" t="s">
        <v>1038</v>
      </c>
      <c r="C363" s="1472">
        <v>2</v>
      </c>
      <c r="D363" s="1776" t="s">
        <v>2503</v>
      </c>
      <c r="E363" s="1761" t="s">
        <v>2503</v>
      </c>
      <c r="F363" s="1762" t="s">
        <v>3240</v>
      </c>
      <c r="G363" s="1770" t="s">
        <v>3241</v>
      </c>
    </row>
    <row r="364" spans="1:7" ht="12">
      <c r="A364" s="1472" t="s">
        <v>688</v>
      </c>
      <c r="B364" s="1472" t="s">
        <v>1038</v>
      </c>
      <c r="C364" s="1472">
        <v>2</v>
      </c>
      <c r="D364" s="1776" t="s">
        <v>2671</v>
      </c>
      <c r="E364" s="1761" t="s">
        <v>2671</v>
      </c>
      <c r="F364" s="1762" t="s">
        <v>3242</v>
      </c>
      <c r="G364" s="1770" t="s">
        <v>3243</v>
      </c>
    </row>
    <row r="365" spans="1:7" ht="204">
      <c r="A365" s="1472" t="s">
        <v>688</v>
      </c>
      <c r="B365" s="1472" t="s">
        <v>1038</v>
      </c>
      <c r="C365" s="1472">
        <v>3</v>
      </c>
      <c r="D365" s="1776" t="s">
        <v>3286</v>
      </c>
      <c r="E365" s="1761" t="s">
        <v>3286</v>
      </c>
      <c r="F365" s="1764" t="s">
        <v>3289</v>
      </c>
      <c r="G365" s="1772" t="s">
        <v>3288</v>
      </c>
    </row>
    <row r="366" spans="1:7" ht="12">
      <c r="A366" s="1472" t="s">
        <v>688</v>
      </c>
      <c r="B366" s="1472" t="s">
        <v>1038</v>
      </c>
      <c r="C366" s="1472">
        <v>3</v>
      </c>
      <c r="D366" s="1776" t="s">
        <v>1028</v>
      </c>
      <c r="E366" s="1761" t="s">
        <v>1028</v>
      </c>
      <c r="F366" s="1762" t="s">
        <v>3179</v>
      </c>
      <c r="G366" s="1770" t="s">
        <v>3180</v>
      </c>
    </row>
    <row r="367" spans="1:7" ht="12">
      <c r="A367" s="1472" t="s">
        <v>688</v>
      </c>
      <c r="B367" s="1472" t="s">
        <v>1038</v>
      </c>
      <c r="C367" s="1472">
        <v>3</v>
      </c>
      <c r="D367" s="1776" t="s">
        <v>140</v>
      </c>
      <c r="E367" s="1761" t="s">
        <v>140</v>
      </c>
      <c r="F367" s="1762" t="s">
        <v>3181</v>
      </c>
      <c r="G367" s="1770" t="s">
        <v>3182</v>
      </c>
    </row>
    <row r="368" spans="1:7" ht="24">
      <c r="A368" s="1472" t="s">
        <v>688</v>
      </c>
      <c r="B368" s="1472" t="s">
        <v>1038</v>
      </c>
      <c r="C368" s="1472">
        <v>3</v>
      </c>
      <c r="D368" s="1776" t="s">
        <v>141</v>
      </c>
      <c r="E368" s="1761" t="s">
        <v>141</v>
      </c>
      <c r="F368" s="1762" t="s">
        <v>3183</v>
      </c>
      <c r="G368" s="1770" t="s">
        <v>3184</v>
      </c>
    </row>
    <row r="369" spans="1:7" ht="12">
      <c r="A369" s="1472" t="s">
        <v>688</v>
      </c>
      <c r="B369" s="1472" t="s">
        <v>1038</v>
      </c>
      <c r="C369" s="1472">
        <v>3</v>
      </c>
      <c r="D369" s="1776" t="s">
        <v>142</v>
      </c>
      <c r="E369" s="1761" t="s">
        <v>142</v>
      </c>
      <c r="F369" s="1762" t="s">
        <v>3185</v>
      </c>
      <c r="G369" s="1770" t="s">
        <v>3186</v>
      </c>
    </row>
    <row r="370" spans="1:7" ht="12">
      <c r="A370" s="1472" t="s">
        <v>688</v>
      </c>
      <c r="B370" s="1472" t="s">
        <v>1038</v>
      </c>
      <c r="C370" s="1472">
        <v>3</v>
      </c>
      <c r="D370" s="1776" t="s">
        <v>49</v>
      </c>
      <c r="E370" s="1761" t="s">
        <v>49</v>
      </c>
      <c r="F370" s="1762" t="s">
        <v>3187</v>
      </c>
      <c r="G370" s="1770" t="s">
        <v>3188</v>
      </c>
    </row>
    <row r="371" spans="1:7" ht="12">
      <c r="A371" s="1472" t="s">
        <v>688</v>
      </c>
      <c r="B371" s="1472" t="s">
        <v>1038</v>
      </c>
      <c r="C371" s="1472">
        <v>3</v>
      </c>
      <c r="D371" s="1776" t="s">
        <v>189</v>
      </c>
      <c r="E371" s="1761" t="s">
        <v>189</v>
      </c>
      <c r="F371" s="1762" t="s">
        <v>3189</v>
      </c>
      <c r="G371" s="1770" t="s">
        <v>3190</v>
      </c>
    </row>
    <row r="372" spans="1:7" ht="12">
      <c r="A372" s="1472" t="s">
        <v>688</v>
      </c>
      <c r="B372" s="1472" t="s">
        <v>1038</v>
      </c>
      <c r="C372" s="1472">
        <v>3</v>
      </c>
      <c r="D372" s="1776" t="s">
        <v>146</v>
      </c>
      <c r="E372" s="1761" t="s">
        <v>146</v>
      </c>
      <c r="F372" s="1762" t="s">
        <v>3191</v>
      </c>
      <c r="G372" s="1770" t="s">
        <v>3192</v>
      </c>
    </row>
    <row r="373" spans="1:7" ht="12">
      <c r="A373" s="1472" t="s">
        <v>688</v>
      </c>
      <c r="B373" s="1472" t="s">
        <v>1038</v>
      </c>
      <c r="C373" s="1472">
        <v>3</v>
      </c>
      <c r="D373" s="1776" t="s">
        <v>147</v>
      </c>
      <c r="E373" s="1761" t="s">
        <v>147</v>
      </c>
      <c r="F373" s="1762" t="s">
        <v>3193</v>
      </c>
      <c r="G373" s="1770" t="s">
        <v>3194</v>
      </c>
    </row>
    <row r="374" spans="1:7" ht="12">
      <c r="A374" s="1472" t="s">
        <v>688</v>
      </c>
      <c r="B374" s="1472" t="s">
        <v>1038</v>
      </c>
      <c r="C374" s="1472">
        <v>3</v>
      </c>
      <c r="D374" s="1776" t="s">
        <v>148</v>
      </c>
      <c r="E374" s="1761" t="s">
        <v>148</v>
      </c>
      <c r="F374" s="1762" t="s">
        <v>3195</v>
      </c>
      <c r="G374" s="1770" t="s">
        <v>3196</v>
      </c>
    </row>
    <row r="375" spans="1:7" ht="12">
      <c r="A375" s="1472" t="s">
        <v>688</v>
      </c>
      <c r="B375" s="1472" t="s">
        <v>1038</v>
      </c>
      <c r="C375" s="1472">
        <v>3</v>
      </c>
      <c r="D375" s="1776" t="s">
        <v>149</v>
      </c>
      <c r="E375" s="1761" t="s">
        <v>149</v>
      </c>
      <c r="F375" s="1762" t="s">
        <v>3197</v>
      </c>
      <c r="G375" s="1770" t="s">
        <v>3198</v>
      </c>
    </row>
    <row r="376" spans="1:7" ht="12">
      <c r="A376" s="1472" t="s">
        <v>688</v>
      </c>
      <c r="B376" s="1472" t="s">
        <v>1038</v>
      </c>
      <c r="C376" s="1472">
        <v>3</v>
      </c>
      <c r="D376" s="1776" t="s">
        <v>150</v>
      </c>
      <c r="E376" s="1761" t="s">
        <v>150</v>
      </c>
      <c r="F376" s="1762" t="s">
        <v>3199</v>
      </c>
      <c r="G376" s="1770" t="s">
        <v>3200</v>
      </c>
    </row>
    <row r="377" spans="1:7" ht="12">
      <c r="A377" s="1472" t="s">
        <v>688</v>
      </c>
      <c r="B377" s="1472" t="s">
        <v>1038</v>
      </c>
      <c r="C377" s="1472">
        <v>3</v>
      </c>
      <c r="D377" s="1776" t="s">
        <v>151</v>
      </c>
      <c r="E377" s="1761" t="s">
        <v>151</v>
      </c>
      <c r="F377" s="1762" t="s">
        <v>3201</v>
      </c>
      <c r="G377" s="1770" t="s">
        <v>3202</v>
      </c>
    </row>
    <row r="378" spans="1:7" ht="12">
      <c r="A378" s="1472" t="s">
        <v>688</v>
      </c>
      <c r="B378" s="1472" t="s">
        <v>1038</v>
      </c>
      <c r="C378" s="1472">
        <v>3</v>
      </c>
      <c r="D378" s="1776" t="s">
        <v>152</v>
      </c>
      <c r="E378" s="1761" t="s">
        <v>152</v>
      </c>
      <c r="F378" s="1762" t="s">
        <v>3203</v>
      </c>
      <c r="G378" s="1770" t="s">
        <v>3204</v>
      </c>
    </row>
    <row r="379" spans="1:7" ht="12">
      <c r="A379" s="1472" t="s">
        <v>688</v>
      </c>
      <c r="B379" s="1472" t="s">
        <v>1038</v>
      </c>
      <c r="C379" s="1472">
        <v>3</v>
      </c>
      <c r="D379" s="1776" t="s">
        <v>153</v>
      </c>
      <c r="E379" s="1761" t="s">
        <v>153</v>
      </c>
      <c r="F379" s="1762" t="s">
        <v>3205</v>
      </c>
      <c r="G379" s="1770" t="s">
        <v>3206</v>
      </c>
    </row>
    <row r="380" spans="1:7" ht="12">
      <c r="A380" s="1472" t="s">
        <v>688</v>
      </c>
      <c r="B380" s="1472" t="s">
        <v>1038</v>
      </c>
      <c r="C380" s="1472">
        <v>3</v>
      </c>
      <c r="D380" s="1776" t="s">
        <v>154</v>
      </c>
      <c r="E380" s="1761" t="s">
        <v>154</v>
      </c>
      <c r="F380" s="1762" t="s">
        <v>3207</v>
      </c>
      <c r="G380" s="1770" t="s">
        <v>3208</v>
      </c>
    </row>
    <row r="381" spans="1:7" ht="12">
      <c r="A381" s="1472" t="s">
        <v>688</v>
      </c>
      <c r="B381" s="1472" t="s">
        <v>1038</v>
      </c>
      <c r="C381" s="1472">
        <v>3</v>
      </c>
      <c r="D381" s="1776" t="s">
        <v>155</v>
      </c>
      <c r="E381" s="1761" t="s">
        <v>155</v>
      </c>
      <c r="F381" s="1762" t="s">
        <v>3209</v>
      </c>
      <c r="G381" s="1770" t="s">
        <v>3210</v>
      </c>
    </row>
    <row r="382" spans="1:7" ht="12">
      <c r="A382" s="1472" t="s">
        <v>688</v>
      </c>
      <c r="B382" s="1472" t="s">
        <v>1038</v>
      </c>
      <c r="C382" s="1472">
        <v>3</v>
      </c>
      <c r="D382" s="1776" t="s">
        <v>156</v>
      </c>
      <c r="E382" s="1761" t="s">
        <v>156</v>
      </c>
      <c r="F382" s="1762" t="s">
        <v>3211</v>
      </c>
      <c r="G382" s="1770" t="s">
        <v>3212</v>
      </c>
    </row>
    <row r="383" spans="1:7" ht="12">
      <c r="A383" s="1472" t="s">
        <v>688</v>
      </c>
      <c r="B383" s="1472" t="s">
        <v>1038</v>
      </c>
      <c r="C383" s="1472">
        <v>3</v>
      </c>
      <c r="D383" s="1776" t="s">
        <v>157</v>
      </c>
      <c r="E383" s="1761" t="s">
        <v>157</v>
      </c>
      <c r="F383" s="1762" t="s">
        <v>3213</v>
      </c>
      <c r="G383" s="1770" t="s">
        <v>3214</v>
      </c>
    </row>
    <row r="384" spans="1:7" ht="12">
      <c r="A384" s="1472" t="s">
        <v>688</v>
      </c>
      <c r="B384" s="1472" t="s">
        <v>1038</v>
      </c>
      <c r="C384" s="1472">
        <v>3</v>
      </c>
      <c r="D384" s="1776" t="s">
        <v>158</v>
      </c>
      <c r="E384" s="1761" t="s">
        <v>158</v>
      </c>
      <c r="F384" s="1762" t="s">
        <v>3215</v>
      </c>
      <c r="G384" s="1770" t="s">
        <v>3216</v>
      </c>
    </row>
    <row r="385" spans="1:7" ht="12">
      <c r="A385" s="1472" t="s">
        <v>688</v>
      </c>
      <c r="B385" s="1472" t="s">
        <v>1038</v>
      </c>
      <c r="C385" s="1472">
        <v>3</v>
      </c>
      <c r="D385" s="1776" t="s">
        <v>159</v>
      </c>
      <c r="E385" s="1761" t="s">
        <v>159</v>
      </c>
      <c r="F385" s="1762" t="s">
        <v>3217</v>
      </c>
      <c r="G385" s="1770" t="s">
        <v>3218</v>
      </c>
    </row>
    <row r="386" spans="1:7" ht="12">
      <c r="A386" s="1472" t="s">
        <v>688</v>
      </c>
      <c r="B386" s="1472" t="s">
        <v>1038</v>
      </c>
      <c r="C386" s="1472">
        <v>3</v>
      </c>
      <c r="D386" s="1776" t="s">
        <v>160</v>
      </c>
      <c r="E386" s="1761" t="s">
        <v>160</v>
      </c>
      <c r="F386" s="1762" t="s">
        <v>3219</v>
      </c>
      <c r="G386" s="1770" t="s">
        <v>3220</v>
      </c>
    </row>
    <row r="387" spans="1:7" ht="12">
      <c r="A387" s="1472" t="s">
        <v>688</v>
      </c>
      <c r="B387" s="1472" t="s">
        <v>1038</v>
      </c>
      <c r="C387" s="1472">
        <v>3</v>
      </c>
      <c r="D387" s="1776" t="s">
        <v>161</v>
      </c>
      <c r="E387" s="1761" t="s">
        <v>161</v>
      </c>
      <c r="F387" s="1762" t="s">
        <v>3221</v>
      </c>
      <c r="G387" s="1770" t="s">
        <v>3222</v>
      </c>
    </row>
    <row r="388" spans="1:7" ht="12">
      <c r="A388" s="1472" t="s">
        <v>688</v>
      </c>
      <c r="B388" s="1472" t="s">
        <v>1038</v>
      </c>
      <c r="C388" s="1472">
        <v>3</v>
      </c>
      <c r="D388" s="1776" t="s">
        <v>162</v>
      </c>
      <c r="E388" s="1761" t="s">
        <v>162</v>
      </c>
      <c r="F388" s="1762" t="s">
        <v>3223</v>
      </c>
      <c r="G388" s="1770" t="s">
        <v>3224</v>
      </c>
    </row>
    <row r="389" spans="1:7" ht="12">
      <c r="A389" s="1472" t="s">
        <v>688</v>
      </c>
      <c r="B389" s="1472" t="s">
        <v>1038</v>
      </c>
      <c r="C389" s="1472">
        <v>3</v>
      </c>
      <c r="D389" s="1776" t="s">
        <v>163</v>
      </c>
      <c r="E389" s="1761" t="s">
        <v>163</v>
      </c>
      <c r="F389" s="1762" t="s">
        <v>3225</v>
      </c>
      <c r="G389" s="1770" t="s">
        <v>3226</v>
      </c>
    </row>
    <row r="390" spans="1:7" ht="12">
      <c r="A390" s="1472" t="s">
        <v>688</v>
      </c>
      <c r="B390" s="1472" t="s">
        <v>1038</v>
      </c>
      <c r="C390" s="1472">
        <v>3</v>
      </c>
      <c r="D390" s="1776" t="s">
        <v>164</v>
      </c>
      <c r="E390" s="1761" t="s">
        <v>164</v>
      </c>
      <c r="F390" s="1762" t="s">
        <v>3227</v>
      </c>
      <c r="G390" s="1770" t="s">
        <v>3228</v>
      </c>
    </row>
    <row r="391" spans="1:7" ht="12">
      <c r="A391" s="1472" t="s">
        <v>688</v>
      </c>
      <c r="B391" s="1472" t="s">
        <v>1038</v>
      </c>
      <c r="C391" s="1472">
        <v>3</v>
      </c>
      <c r="D391" s="1776" t="s">
        <v>165</v>
      </c>
      <c r="E391" s="1761" t="s">
        <v>165</v>
      </c>
      <c r="F391" s="1762" t="s">
        <v>3229</v>
      </c>
      <c r="G391" s="1770" t="s">
        <v>3230</v>
      </c>
    </row>
    <row r="392" spans="1:7" ht="12">
      <c r="A392" s="1472" t="s">
        <v>688</v>
      </c>
      <c r="B392" s="1472" t="s">
        <v>1038</v>
      </c>
      <c r="C392" s="1472">
        <v>3</v>
      </c>
      <c r="D392" s="1776" t="s">
        <v>143</v>
      </c>
      <c r="E392" s="1761" t="s">
        <v>143</v>
      </c>
      <c r="F392" s="1762" t="s">
        <v>3231</v>
      </c>
      <c r="G392" s="1770" t="s">
        <v>3232</v>
      </c>
    </row>
    <row r="393" spans="1:7" ht="12">
      <c r="A393" s="1472" t="s">
        <v>688</v>
      </c>
      <c r="B393" s="1472" t="s">
        <v>1038</v>
      </c>
      <c r="C393" s="1472">
        <v>3</v>
      </c>
      <c r="D393" s="1776" t="s">
        <v>166</v>
      </c>
      <c r="E393" s="1761" t="s">
        <v>166</v>
      </c>
      <c r="F393" s="1762" t="s">
        <v>3233</v>
      </c>
      <c r="G393" s="1770" t="s">
        <v>3234</v>
      </c>
    </row>
    <row r="394" spans="1:7" ht="12">
      <c r="A394" s="1472" t="s">
        <v>688</v>
      </c>
      <c r="B394" s="1472" t="s">
        <v>1038</v>
      </c>
      <c r="C394" s="1472">
        <v>3</v>
      </c>
      <c r="D394" s="1776" t="s">
        <v>167</v>
      </c>
      <c r="E394" s="1761" t="s">
        <v>167</v>
      </c>
      <c r="F394" s="1762" t="s">
        <v>3235</v>
      </c>
      <c r="G394" s="1770" t="s">
        <v>3236</v>
      </c>
    </row>
    <row r="395" spans="1:7" ht="12">
      <c r="A395" s="1472" t="s">
        <v>688</v>
      </c>
      <c r="B395" s="1472" t="s">
        <v>1038</v>
      </c>
      <c r="C395" s="1472">
        <v>3</v>
      </c>
      <c r="D395" s="1776" t="s">
        <v>144</v>
      </c>
      <c r="E395" s="1761" t="s">
        <v>144</v>
      </c>
      <c r="F395" s="1762" t="s">
        <v>3237</v>
      </c>
      <c r="G395" s="1770" t="s">
        <v>144</v>
      </c>
    </row>
    <row r="396" spans="1:7" ht="12">
      <c r="A396" s="1472" t="s">
        <v>688</v>
      </c>
      <c r="B396" s="1472" t="s">
        <v>1038</v>
      </c>
      <c r="C396" s="1472">
        <v>3</v>
      </c>
      <c r="D396" s="1776" t="s">
        <v>168</v>
      </c>
      <c r="E396" s="1761" t="s">
        <v>168</v>
      </c>
      <c r="F396" s="1762" t="s">
        <v>3238</v>
      </c>
      <c r="G396" s="1770" t="s">
        <v>3239</v>
      </c>
    </row>
    <row r="397" spans="1:7" ht="12">
      <c r="A397" s="1472" t="s">
        <v>688</v>
      </c>
      <c r="B397" s="1472" t="s">
        <v>1038</v>
      </c>
      <c r="C397" s="1472">
        <v>3</v>
      </c>
      <c r="D397" s="1776" t="s">
        <v>2503</v>
      </c>
      <c r="E397" s="1761" t="s">
        <v>2503</v>
      </c>
      <c r="F397" s="1762" t="s">
        <v>3240</v>
      </c>
      <c r="G397" s="1770" t="s">
        <v>3241</v>
      </c>
    </row>
    <row r="398" spans="1:7" ht="12">
      <c r="A398" s="1472" t="s">
        <v>688</v>
      </c>
      <c r="B398" s="1472" t="s">
        <v>1038</v>
      </c>
      <c r="C398" s="1472">
        <v>3</v>
      </c>
      <c r="D398" s="1776" t="s">
        <v>2671</v>
      </c>
      <c r="E398" s="1761" t="s">
        <v>2671</v>
      </c>
      <c r="F398" s="1762" t="s">
        <v>3242</v>
      </c>
      <c r="G398" s="1770" t="s">
        <v>3243</v>
      </c>
    </row>
    <row r="399" spans="1:7" ht="204">
      <c r="A399" s="1472" t="s">
        <v>688</v>
      </c>
      <c r="B399" s="1472" t="s">
        <v>1038</v>
      </c>
      <c r="C399" s="1472">
        <v>4</v>
      </c>
      <c r="D399" s="1776" t="s">
        <v>3286</v>
      </c>
      <c r="E399" s="1761" t="s">
        <v>3286</v>
      </c>
      <c r="F399" s="1764" t="s">
        <v>3289</v>
      </c>
      <c r="G399" s="1772" t="s">
        <v>3288</v>
      </c>
    </row>
    <row r="400" spans="1:7" ht="12">
      <c r="A400" s="1472" t="s">
        <v>688</v>
      </c>
      <c r="B400" s="1472" t="s">
        <v>1038</v>
      </c>
      <c r="C400" s="1472">
        <v>4</v>
      </c>
      <c r="D400" s="1776" t="s">
        <v>1028</v>
      </c>
      <c r="E400" s="1761" t="s">
        <v>1028</v>
      </c>
      <c r="F400" s="1762" t="s">
        <v>3179</v>
      </c>
      <c r="G400" s="1770" t="s">
        <v>3180</v>
      </c>
    </row>
    <row r="401" spans="1:7" ht="12">
      <c r="A401" s="1472" t="s">
        <v>688</v>
      </c>
      <c r="B401" s="1472" t="s">
        <v>1038</v>
      </c>
      <c r="C401" s="1472">
        <v>4</v>
      </c>
      <c r="D401" s="1776" t="s">
        <v>140</v>
      </c>
      <c r="E401" s="1761" t="s">
        <v>140</v>
      </c>
      <c r="F401" s="1762" t="s">
        <v>3181</v>
      </c>
      <c r="G401" s="1770" t="s">
        <v>3182</v>
      </c>
    </row>
    <row r="402" spans="1:7" ht="24">
      <c r="A402" s="1472" t="s">
        <v>688</v>
      </c>
      <c r="B402" s="1472" t="s">
        <v>1038</v>
      </c>
      <c r="C402" s="1472">
        <v>4</v>
      </c>
      <c r="D402" s="1776" t="s">
        <v>141</v>
      </c>
      <c r="E402" s="1761" t="s">
        <v>141</v>
      </c>
      <c r="F402" s="1762" t="s">
        <v>3183</v>
      </c>
      <c r="G402" s="1770" t="s">
        <v>3184</v>
      </c>
    </row>
    <row r="403" spans="1:7" ht="12">
      <c r="A403" s="1472" t="s">
        <v>688</v>
      </c>
      <c r="B403" s="1472" t="s">
        <v>1038</v>
      </c>
      <c r="C403" s="1472">
        <v>4</v>
      </c>
      <c r="D403" s="1776" t="s">
        <v>142</v>
      </c>
      <c r="E403" s="1761" t="s">
        <v>142</v>
      </c>
      <c r="F403" s="1762" t="s">
        <v>3185</v>
      </c>
      <c r="G403" s="1770" t="s">
        <v>3186</v>
      </c>
    </row>
    <row r="404" spans="1:7" ht="12">
      <c r="A404" s="1472" t="s">
        <v>688</v>
      </c>
      <c r="B404" s="1472" t="s">
        <v>1038</v>
      </c>
      <c r="C404" s="1472">
        <v>4</v>
      </c>
      <c r="D404" s="1776" t="s">
        <v>49</v>
      </c>
      <c r="E404" s="1761" t="s">
        <v>49</v>
      </c>
      <c r="F404" s="1762" t="s">
        <v>3187</v>
      </c>
      <c r="G404" s="1770" t="s">
        <v>3188</v>
      </c>
    </row>
    <row r="405" spans="1:7" ht="12">
      <c r="A405" s="1472" t="s">
        <v>688</v>
      </c>
      <c r="B405" s="1472" t="s">
        <v>1038</v>
      </c>
      <c r="C405" s="1472">
        <v>4</v>
      </c>
      <c r="D405" s="1776" t="s">
        <v>189</v>
      </c>
      <c r="E405" s="1761" t="s">
        <v>189</v>
      </c>
      <c r="F405" s="1762" t="s">
        <v>3189</v>
      </c>
      <c r="G405" s="1770" t="s">
        <v>3190</v>
      </c>
    </row>
    <row r="406" spans="1:7" ht="12">
      <c r="A406" s="1472" t="s">
        <v>688</v>
      </c>
      <c r="B406" s="1472" t="s">
        <v>1038</v>
      </c>
      <c r="C406" s="1472">
        <v>4</v>
      </c>
      <c r="D406" s="1776" t="s">
        <v>146</v>
      </c>
      <c r="E406" s="1761" t="s">
        <v>146</v>
      </c>
      <c r="F406" s="1762" t="s">
        <v>3191</v>
      </c>
      <c r="G406" s="1770" t="s">
        <v>3192</v>
      </c>
    </row>
    <row r="407" spans="1:7" ht="12">
      <c r="A407" s="1472" t="s">
        <v>688</v>
      </c>
      <c r="B407" s="1472" t="s">
        <v>1038</v>
      </c>
      <c r="C407" s="1472">
        <v>4</v>
      </c>
      <c r="D407" s="1776" t="s">
        <v>147</v>
      </c>
      <c r="E407" s="1761" t="s">
        <v>147</v>
      </c>
      <c r="F407" s="1762" t="s">
        <v>3193</v>
      </c>
      <c r="G407" s="1770" t="s">
        <v>3194</v>
      </c>
    </row>
    <row r="408" spans="1:7" ht="12">
      <c r="A408" s="1472" t="s">
        <v>688</v>
      </c>
      <c r="B408" s="1472" t="s">
        <v>1038</v>
      </c>
      <c r="C408" s="1472">
        <v>4</v>
      </c>
      <c r="D408" s="1776" t="s">
        <v>148</v>
      </c>
      <c r="E408" s="1761" t="s">
        <v>148</v>
      </c>
      <c r="F408" s="1762" t="s">
        <v>3195</v>
      </c>
      <c r="G408" s="1770" t="s">
        <v>3196</v>
      </c>
    </row>
    <row r="409" spans="1:7" ht="12">
      <c r="A409" s="1472" t="s">
        <v>688</v>
      </c>
      <c r="B409" s="1472" t="s">
        <v>1038</v>
      </c>
      <c r="C409" s="1472">
        <v>4</v>
      </c>
      <c r="D409" s="1776" t="s">
        <v>149</v>
      </c>
      <c r="E409" s="1761" t="s">
        <v>149</v>
      </c>
      <c r="F409" s="1762" t="s">
        <v>3197</v>
      </c>
      <c r="G409" s="1770" t="s">
        <v>3198</v>
      </c>
    </row>
    <row r="410" spans="1:7" ht="12">
      <c r="A410" s="1472" t="s">
        <v>688</v>
      </c>
      <c r="B410" s="1472" t="s">
        <v>1038</v>
      </c>
      <c r="C410" s="1472">
        <v>4</v>
      </c>
      <c r="D410" s="1776" t="s">
        <v>150</v>
      </c>
      <c r="E410" s="1761" t="s">
        <v>150</v>
      </c>
      <c r="F410" s="1762" t="s">
        <v>3199</v>
      </c>
      <c r="G410" s="1770" t="s">
        <v>3200</v>
      </c>
    </row>
    <row r="411" spans="1:7" ht="12">
      <c r="A411" s="1472" t="s">
        <v>688</v>
      </c>
      <c r="B411" s="1472" t="s">
        <v>1038</v>
      </c>
      <c r="C411" s="1472">
        <v>4</v>
      </c>
      <c r="D411" s="1776" t="s">
        <v>151</v>
      </c>
      <c r="E411" s="1761" t="s">
        <v>151</v>
      </c>
      <c r="F411" s="1762" t="s">
        <v>3201</v>
      </c>
      <c r="G411" s="1770" t="s">
        <v>3202</v>
      </c>
    </row>
    <row r="412" spans="1:7" ht="12">
      <c r="A412" s="1472" t="s">
        <v>688</v>
      </c>
      <c r="B412" s="1472" t="s">
        <v>1038</v>
      </c>
      <c r="C412" s="1472">
        <v>4</v>
      </c>
      <c r="D412" s="1776" t="s">
        <v>152</v>
      </c>
      <c r="E412" s="1761" t="s">
        <v>152</v>
      </c>
      <c r="F412" s="1762" t="s">
        <v>3203</v>
      </c>
      <c r="G412" s="1770" t="s">
        <v>3204</v>
      </c>
    </row>
    <row r="413" spans="1:7" ht="12">
      <c r="A413" s="1472" t="s">
        <v>688</v>
      </c>
      <c r="B413" s="1472" t="s">
        <v>1038</v>
      </c>
      <c r="C413" s="1472">
        <v>4</v>
      </c>
      <c r="D413" s="1776" t="s">
        <v>153</v>
      </c>
      <c r="E413" s="1761" t="s">
        <v>153</v>
      </c>
      <c r="F413" s="1762" t="s">
        <v>3205</v>
      </c>
      <c r="G413" s="1770" t="s">
        <v>3206</v>
      </c>
    </row>
    <row r="414" spans="1:7" ht="12">
      <c r="A414" s="1472" t="s">
        <v>688</v>
      </c>
      <c r="B414" s="1472" t="s">
        <v>1038</v>
      </c>
      <c r="C414" s="1472">
        <v>4</v>
      </c>
      <c r="D414" s="1776" t="s">
        <v>154</v>
      </c>
      <c r="E414" s="1761" t="s">
        <v>154</v>
      </c>
      <c r="F414" s="1762" t="s">
        <v>3207</v>
      </c>
      <c r="G414" s="1770" t="s">
        <v>3208</v>
      </c>
    </row>
    <row r="415" spans="1:7" ht="12">
      <c r="A415" s="1472" t="s">
        <v>688</v>
      </c>
      <c r="B415" s="1472" t="s">
        <v>1038</v>
      </c>
      <c r="C415" s="1472">
        <v>4</v>
      </c>
      <c r="D415" s="1776" t="s">
        <v>155</v>
      </c>
      <c r="E415" s="1761" t="s">
        <v>155</v>
      </c>
      <c r="F415" s="1762" t="s">
        <v>3209</v>
      </c>
      <c r="G415" s="1770" t="s">
        <v>3210</v>
      </c>
    </row>
    <row r="416" spans="1:7" ht="12">
      <c r="A416" s="1472" t="s">
        <v>688</v>
      </c>
      <c r="B416" s="1472" t="s">
        <v>1038</v>
      </c>
      <c r="C416" s="1472">
        <v>4</v>
      </c>
      <c r="D416" s="1776" t="s">
        <v>156</v>
      </c>
      <c r="E416" s="1761" t="s">
        <v>156</v>
      </c>
      <c r="F416" s="1762" t="s">
        <v>3211</v>
      </c>
      <c r="G416" s="1770" t="s">
        <v>3212</v>
      </c>
    </row>
    <row r="417" spans="1:7" ht="12">
      <c r="A417" s="1472" t="s">
        <v>688</v>
      </c>
      <c r="B417" s="1472" t="s">
        <v>1038</v>
      </c>
      <c r="C417" s="1472">
        <v>4</v>
      </c>
      <c r="D417" s="1776" t="s">
        <v>157</v>
      </c>
      <c r="E417" s="1761" t="s">
        <v>157</v>
      </c>
      <c r="F417" s="1762" t="s">
        <v>3213</v>
      </c>
      <c r="G417" s="1770" t="s">
        <v>3214</v>
      </c>
    </row>
    <row r="418" spans="1:7" ht="12">
      <c r="A418" s="1472" t="s">
        <v>688</v>
      </c>
      <c r="B418" s="1472" t="s">
        <v>1038</v>
      </c>
      <c r="C418" s="1472">
        <v>4</v>
      </c>
      <c r="D418" s="1776" t="s">
        <v>158</v>
      </c>
      <c r="E418" s="1761" t="s">
        <v>158</v>
      </c>
      <c r="F418" s="1762" t="s">
        <v>3215</v>
      </c>
      <c r="G418" s="1770" t="s">
        <v>3216</v>
      </c>
    </row>
    <row r="419" spans="1:7" ht="12">
      <c r="A419" s="1472" t="s">
        <v>688</v>
      </c>
      <c r="B419" s="1472" t="s">
        <v>1038</v>
      </c>
      <c r="C419" s="1472">
        <v>4</v>
      </c>
      <c r="D419" s="1776" t="s">
        <v>159</v>
      </c>
      <c r="E419" s="1761" t="s">
        <v>159</v>
      </c>
      <c r="F419" s="1762" t="s">
        <v>3217</v>
      </c>
      <c r="G419" s="1770" t="s">
        <v>3218</v>
      </c>
    </row>
    <row r="420" spans="1:7" ht="12">
      <c r="A420" s="1472" t="s">
        <v>688</v>
      </c>
      <c r="B420" s="1472" t="s">
        <v>1038</v>
      </c>
      <c r="C420" s="1472">
        <v>4</v>
      </c>
      <c r="D420" s="1776" t="s">
        <v>160</v>
      </c>
      <c r="E420" s="1761" t="s">
        <v>160</v>
      </c>
      <c r="F420" s="1762" t="s">
        <v>3219</v>
      </c>
      <c r="G420" s="1770" t="s">
        <v>3220</v>
      </c>
    </row>
    <row r="421" spans="1:7" ht="12">
      <c r="A421" s="1472" t="s">
        <v>688</v>
      </c>
      <c r="B421" s="1472" t="s">
        <v>1038</v>
      </c>
      <c r="C421" s="1472">
        <v>4</v>
      </c>
      <c r="D421" s="1776" t="s">
        <v>161</v>
      </c>
      <c r="E421" s="1761" t="s">
        <v>161</v>
      </c>
      <c r="F421" s="1762" t="s">
        <v>3221</v>
      </c>
      <c r="G421" s="1770" t="s">
        <v>3222</v>
      </c>
    </row>
    <row r="422" spans="1:7" ht="12">
      <c r="A422" s="1472" t="s">
        <v>688</v>
      </c>
      <c r="B422" s="1472" t="s">
        <v>1038</v>
      </c>
      <c r="C422" s="1472">
        <v>4</v>
      </c>
      <c r="D422" s="1776" t="s">
        <v>162</v>
      </c>
      <c r="E422" s="1761" t="s">
        <v>162</v>
      </c>
      <c r="F422" s="1762" t="s">
        <v>3223</v>
      </c>
      <c r="G422" s="1770" t="s">
        <v>3224</v>
      </c>
    </row>
    <row r="423" spans="1:7" ht="12">
      <c r="A423" s="1472" t="s">
        <v>688</v>
      </c>
      <c r="B423" s="1472" t="s">
        <v>1038</v>
      </c>
      <c r="C423" s="1472">
        <v>4</v>
      </c>
      <c r="D423" s="1776" t="s">
        <v>163</v>
      </c>
      <c r="E423" s="1761" t="s">
        <v>163</v>
      </c>
      <c r="F423" s="1762" t="s">
        <v>3225</v>
      </c>
      <c r="G423" s="1770" t="s">
        <v>3226</v>
      </c>
    </row>
    <row r="424" spans="1:7" ht="12">
      <c r="A424" s="1472" t="s">
        <v>688</v>
      </c>
      <c r="B424" s="1472" t="s">
        <v>1038</v>
      </c>
      <c r="C424" s="1472">
        <v>4</v>
      </c>
      <c r="D424" s="1776" t="s">
        <v>164</v>
      </c>
      <c r="E424" s="1761" t="s">
        <v>164</v>
      </c>
      <c r="F424" s="1762" t="s">
        <v>3227</v>
      </c>
      <c r="G424" s="1770" t="s">
        <v>3228</v>
      </c>
    </row>
    <row r="425" spans="1:7" ht="12">
      <c r="A425" s="1472" t="s">
        <v>688</v>
      </c>
      <c r="B425" s="1472" t="s">
        <v>1038</v>
      </c>
      <c r="C425" s="1472">
        <v>4</v>
      </c>
      <c r="D425" s="1776" t="s">
        <v>165</v>
      </c>
      <c r="E425" s="1761" t="s">
        <v>165</v>
      </c>
      <c r="F425" s="1762" t="s">
        <v>3229</v>
      </c>
      <c r="G425" s="1770" t="s">
        <v>3230</v>
      </c>
    </row>
    <row r="426" spans="1:7" ht="12">
      <c r="A426" s="1472" t="s">
        <v>688</v>
      </c>
      <c r="B426" s="1472" t="s">
        <v>1038</v>
      </c>
      <c r="C426" s="1472">
        <v>4</v>
      </c>
      <c r="D426" s="1776" t="s">
        <v>143</v>
      </c>
      <c r="E426" s="1761" t="s">
        <v>143</v>
      </c>
      <c r="F426" s="1762" t="s">
        <v>3231</v>
      </c>
      <c r="G426" s="1770" t="s">
        <v>3232</v>
      </c>
    </row>
    <row r="427" spans="1:7" ht="12">
      <c r="A427" s="1472" t="s">
        <v>688</v>
      </c>
      <c r="B427" s="1472" t="s">
        <v>1038</v>
      </c>
      <c r="C427" s="1472">
        <v>4</v>
      </c>
      <c r="D427" s="1776" t="s">
        <v>166</v>
      </c>
      <c r="E427" s="1761" t="s">
        <v>166</v>
      </c>
      <c r="F427" s="1762" t="s">
        <v>3233</v>
      </c>
      <c r="G427" s="1770" t="s">
        <v>3234</v>
      </c>
    </row>
    <row r="428" spans="1:7" ht="12">
      <c r="A428" s="1472" t="s">
        <v>688</v>
      </c>
      <c r="B428" s="1472" t="s">
        <v>1038</v>
      </c>
      <c r="C428" s="1472">
        <v>4</v>
      </c>
      <c r="D428" s="1776" t="s">
        <v>167</v>
      </c>
      <c r="E428" s="1761" t="s">
        <v>167</v>
      </c>
      <c r="F428" s="1762" t="s">
        <v>3235</v>
      </c>
      <c r="G428" s="1770" t="s">
        <v>3236</v>
      </c>
    </row>
    <row r="429" spans="1:7" ht="12">
      <c r="A429" s="1472" t="s">
        <v>688</v>
      </c>
      <c r="B429" s="1472" t="s">
        <v>1038</v>
      </c>
      <c r="C429" s="1472">
        <v>4</v>
      </c>
      <c r="D429" s="1776" t="s">
        <v>144</v>
      </c>
      <c r="E429" s="1761" t="s">
        <v>144</v>
      </c>
      <c r="F429" s="1762" t="s">
        <v>3237</v>
      </c>
      <c r="G429" s="1770" t="s">
        <v>144</v>
      </c>
    </row>
    <row r="430" spans="1:7" ht="12">
      <c r="A430" s="1472" t="s">
        <v>688</v>
      </c>
      <c r="B430" s="1472" t="s">
        <v>1038</v>
      </c>
      <c r="C430" s="1472">
        <v>4</v>
      </c>
      <c r="D430" s="1776" t="s">
        <v>168</v>
      </c>
      <c r="E430" s="1761" t="s">
        <v>168</v>
      </c>
      <c r="F430" s="1762" t="s">
        <v>3238</v>
      </c>
      <c r="G430" s="1770" t="s">
        <v>3239</v>
      </c>
    </row>
    <row r="431" spans="1:7" ht="12">
      <c r="A431" s="1472" t="s">
        <v>688</v>
      </c>
      <c r="B431" s="1472" t="s">
        <v>1038</v>
      </c>
      <c r="C431" s="1472">
        <v>4</v>
      </c>
      <c r="D431" s="1776" t="s">
        <v>2503</v>
      </c>
      <c r="E431" s="1761" t="s">
        <v>2503</v>
      </c>
      <c r="F431" s="1762" t="s">
        <v>3240</v>
      </c>
      <c r="G431" s="1770" t="s">
        <v>3241</v>
      </c>
    </row>
    <row r="432" spans="1:7" ht="12">
      <c r="A432" s="1472" t="s">
        <v>688</v>
      </c>
      <c r="B432" s="1472" t="s">
        <v>1038</v>
      </c>
      <c r="C432" s="1472">
        <v>4</v>
      </c>
      <c r="D432" s="1776" t="s">
        <v>2671</v>
      </c>
      <c r="E432" s="1761" t="s">
        <v>2671</v>
      </c>
      <c r="F432" s="1762" t="s">
        <v>3242</v>
      </c>
      <c r="G432" s="1770" t="s">
        <v>3243</v>
      </c>
    </row>
    <row r="433" spans="1:7" ht="24">
      <c r="A433" s="1472" t="s">
        <v>688</v>
      </c>
      <c r="B433" s="1472" t="s">
        <v>2670</v>
      </c>
      <c r="C433" s="1472" t="s">
        <v>3174</v>
      </c>
      <c r="D433" s="1776" t="s">
        <v>2661</v>
      </c>
      <c r="E433" s="1761" t="s">
        <v>2661</v>
      </c>
      <c r="F433" s="1764" t="s">
        <v>3290</v>
      </c>
      <c r="G433" s="1772" t="s">
        <v>3291</v>
      </c>
    </row>
    <row r="434" spans="1:7" ht="12">
      <c r="A434" s="1472" t="s">
        <v>688</v>
      </c>
      <c r="B434" s="1472" t="s">
        <v>2670</v>
      </c>
      <c r="C434" s="1472" t="s">
        <v>3174</v>
      </c>
      <c r="D434" s="1776" t="s">
        <v>1</v>
      </c>
      <c r="E434" s="1761" t="s">
        <v>1</v>
      </c>
      <c r="F434" s="1762" t="s">
        <v>3112</v>
      </c>
      <c r="G434" s="1770" t="s">
        <v>3113</v>
      </c>
    </row>
    <row r="435" spans="1:7" ht="12">
      <c r="A435" s="1472" t="s">
        <v>688</v>
      </c>
      <c r="B435" s="1472" t="s">
        <v>2670</v>
      </c>
      <c r="C435" s="1472" t="s">
        <v>3174</v>
      </c>
      <c r="D435" s="1776" t="s">
        <v>2</v>
      </c>
      <c r="E435" s="1761" t="s">
        <v>2</v>
      </c>
      <c r="F435" s="1762" t="s">
        <v>3143</v>
      </c>
      <c r="G435" s="1770" t="s">
        <v>3144</v>
      </c>
    </row>
    <row r="436" spans="1:7" ht="12">
      <c r="A436" s="1472" t="s">
        <v>688</v>
      </c>
      <c r="B436" s="1472" t="s">
        <v>2670</v>
      </c>
      <c r="C436" s="1472" t="s">
        <v>3174</v>
      </c>
      <c r="D436" s="1776" t="s">
        <v>3</v>
      </c>
      <c r="E436" s="1761" t="s">
        <v>3</v>
      </c>
      <c r="F436" s="1762" t="s">
        <v>3118</v>
      </c>
      <c r="G436" s="1770" t="s">
        <v>3119</v>
      </c>
    </row>
    <row r="437" spans="1:7" ht="12">
      <c r="A437" s="1472" t="s">
        <v>688</v>
      </c>
      <c r="B437" s="1472" t="s">
        <v>2670</v>
      </c>
      <c r="C437" s="1472" t="s">
        <v>3174</v>
      </c>
      <c r="D437" s="1776" t="s">
        <v>4</v>
      </c>
      <c r="E437" s="1761" t="s">
        <v>4</v>
      </c>
      <c r="F437" s="1762" t="s">
        <v>3122</v>
      </c>
      <c r="G437" s="1770" t="s">
        <v>3123</v>
      </c>
    </row>
    <row r="438" spans="1:7" ht="204">
      <c r="A438" s="1472" t="s">
        <v>688</v>
      </c>
      <c r="B438" s="1472" t="s">
        <v>2670</v>
      </c>
      <c r="C438" s="1472">
        <v>1</v>
      </c>
      <c r="D438" s="1776" t="s">
        <v>3260</v>
      </c>
      <c r="E438" s="1761" t="s">
        <v>3260</v>
      </c>
      <c r="F438" s="1764" t="s">
        <v>3267</v>
      </c>
      <c r="G438" s="1772" t="s">
        <v>3262</v>
      </c>
    </row>
    <row r="439" spans="1:7" ht="12">
      <c r="A439" s="1472" t="s">
        <v>688</v>
      </c>
      <c r="B439" s="1472" t="s">
        <v>2670</v>
      </c>
      <c r="C439" s="1472">
        <v>1</v>
      </c>
      <c r="D439" s="1776" t="s">
        <v>1028</v>
      </c>
      <c r="E439" s="1761" t="s">
        <v>1028</v>
      </c>
      <c r="F439" s="1762" t="s">
        <v>3252</v>
      </c>
      <c r="G439" s="1770" t="s">
        <v>3253</v>
      </c>
    </row>
    <row r="440" spans="1:7" ht="12">
      <c r="A440" s="1472" t="s">
        <v>688</v>
      </c>
      <c r="B440" s="1472" t="s">
        <v>2670</v>
      </c>
      <c r="C440" s="1472">
        <v>1</v>
      </c>
      <c r="D440" s="1776" t="s">
        <v>187</v>
      </c>
      <c r="E440" s="1761" t="s">
        <v>187</v>
      </c>
      <c r="F440" s="1762" t="s">
        <v>3263</v>
      </c>
      <c r="G440" s="1770" t="s">
        <v>3264</v>
      </c>
    </row>
    <row r="441" spans="1:7" ht="24">
      <c r="A441" s="1472" t="s">
        <v>688</v>
      </c>
      <c r="B441" s="1472" t="s">
        <v>2670</v>
      </c>
      <c r="C441" s="1472">
        <v>1</v>
      </c>
      <c r="D441" s="1776" t="s">
        <v>3277</v>
      </c>
      <c r="E441" s="1761" t="s">
        <v>3277</v>
      </c>
      <c r="F441" s="1762" t="s">
        <v>3292</v>
      </c>
      <c r="G441" s="1770" t="s">
        <v>3257</v>
      </c>
    </row>
    <row r="442" spans="1:7" ht="12">
      <c r="A442" s="1472" t="s">
        <v>688</v>
      </c>
      <c r="B442" s="1472" t="s">
        <v>2670</v>
      </c>
      <c r="C442" s="1472">
        <v>1</v>
      </c>
      <c r="D442" s="1776" t="s">
        <v>142</v>
      </c>
      <c r="E442" s="1761" t="s">
        <v>142</v>
      </c>
      <c r="F442" s="1762" t="s">
        <v>3185</v>
      </c>
      <c r="G442" s="1770" t="s">
        <v>3186</v>
      </c>
    </row>
    <row r="443" spans="1:7" ht="12">
      <c r="A443" s="1472" t="s">
        <v>688</v>
      </c>
      <c r="B443" s="1472" t="s">
        <v>2670</v>
      </c>
      <c r="C443" s="1472">
        <v>1</v>
      </c>
      <c r="D443" s="1776" t="s">
        <v>49</v>
      </c>
      <c r="E443" s="1761" t="s">
        <v>49</v>
      </c>
      <c r="F443" s="1762" t="s">
        <v>3187</v>
      </c>
      <c r="G443" s="1770" t="s">
        <v>3188</v>
      </c>
    </row>
    <row r="444" spans="1:7" ht="12">
      <c r="A444" s="1472" t="s">
        <v>688</v>
      </c>
      <c r="B444" s="1472" t="s">
        <v>2670</v>
      </c>
      <c r="C444" s="1472">
        <v>1</v>
      </c>
      <c r="D444" s="1776" t="s">
        <v>189</v>
      </c>
      <c r="E444" s="1761" t="s">
        <v>189</v>
      </c>
      <c r="F444" s="1762" t="s">
        <v>3189</v>
      </c>
      <c r="G444" s="1770" t="s">
        <v>3190</v>
      </c>
    </row>
    <row r="445" spans="1:7" ht="12">
      <c r="A445" s="1472" t="s">
        <v>688</v>
      </c>
      <c r="B445" s="1472" t="s">
        <v>2670</v>
      </c>
      <c r="C445" s="1472">
        <v>1</v>
      </c>
      <c r="D445" s="1776" t="s">
        <v>146</v>
      </c>
      <c r="E445" s="1761" t="s">
        <v>146</v>
      </c>
      <c r="F445" s="1762" t="s">
        <v>3191</v>
      </c>
      <c r="G445" s="1770" t="s">
        <v>3192</v>
      </c>
    </row>
    <row r="446" spans="1:7" ht="12">
      <c r="A446" s="1472" t="s">
        <v>688</v>
      </c>
      <c r="B446" s="1472" t="s">
        <v>2670</v>
      </c>
      <c r="C446" s="1472">
        <v>1</v>
      </c>
      <c r="D446" s="1776" t="s">
        <v>147</v>
      </c>
      <c r="E446" s="1761" t="s">
        <v>147</v>
      </c>
      <c r="F446" s="1762" t="s">
        <v>3193</v>
      </c>
      <c r="G446" s="1770" t="s">
        <v>3194</v>
      </c>
    </row>
    <row r="447" spans="1:7" ht="12">
      <c r="A447" s="1472" t="s">
        <v>688</v>
      </c>
      <c r="B447" s="1472" t="s">
        <v>2670</v>
      </c>
      <c r="C447" s="1472">
        <v>1</v>
      </c>
      <c r="D447" s="1776" t="s">
        <v>148</v>
      </c>
      <c r="E447" s="1761" t="s">
        <v>148</v>
      </c>
      <c r="F447" s="1762" t="s">
        <v>3195</v>
      </c>
      <c r="G447" s="1770" t="s">
        <v>3196</v>
      </c>
    </row>
    <row r="448" spans="1:7" ht="12">
      <c r="A448" s="1472" t="s">
        <v>688</v>
      </c>
      <c r="B448" s="1472" t="s">
        <v>2670</v>
      </c>
      <c r="C448" s="1472">
        <v>1</v>
      </c>
      <c r="D448" s="1776" t="s">
        <v>149</v>
      </c>
      <c r="E448" s="1761" t="s">
        <v>149</v>
      </c>
      <c r="F448" s="1762" t="s">
        <v>3197</v>
      </c>
      <c r="G448" s="1770" t="s">
        <v>3198</v>
      </c>
    </row>
    <row r="449" spans="1:7" ht="12">
      <c r="A449" s="1472" t="s">
        <v>688</v>
      </c>
      <c r="B449" s="1472" t="s">
        <v>2670</v>
      </c>
      <c r="C449" s="1472">
        <v>1</v>
      </c>
      <c r="D449" s="1776" t="s">
        <v>150</v>
      </c>
      <c r="E449" s="1761" t="s">
        <v>150</v>
      </c>
      <c r="F449" s="1762" t="s">
        <v>3199</v>
      </c>
      <c r="G449" s="1770" t="s">
        <v>3200</v>
      </c>
    </row>
    <row r="450" spans="1:7" ht="12">
      <c r="A450" s="1472" t="s">
        <v>688</v>
      </c>
      <c r="B450" s="1472" t="s">
        <v>2670</v>
      </c>
      <c r="C450" s="1472">
        <v>1</v>
      </c>
      <c r="D450" s="1776" t="s">
        <v>151</v>
      </c>
      <c r="E450" s="1761" t="s">
        <v>151</v>
      </c>
      <c r="F450" s="1762" t="s">
        <v>3201</v>
      </c>
      <c r="G450" s="1770" t="s">
        <v>3202</v>
      </c>
    </row>
    <row r="451" spans="1:7" ht="12">
      <c r="A451" s="1472" t="s">
        <v>688</v>
      </c>
      <c r="B451" s="1472" t="s">
        <v>2670</v>
      </c>
      <c r="C451" s="1472">
        <v>1</v>
      </c>
      <c r="D451" s="1776" t="s">
        <v>152</v>
      </c>
      <c r="E451" s="1761" t="s">
        <v>152</v>
      </c>
      <c r="F451" s="1762" t="s">
        <v>3203</v>
      </c>
      <c r="G451" s="1770" t="s">
        <v>3204</v>
      </c>
    </row>
    <row r="452" spans="1:7" ht="12">
      <c r="A452" s="1472" t="s">
        <v>688</v>
      </c>
      <c r="B452" s="1472" t="s">
        <v>2670</v>
      </c>
      <c r="C452" s="1472">
        <v>1</v>
      </c>
      <c r="D452" s="1776" t="s">
        <v>153</v>
      </c>
      <c r="E452" s="1761" t="s">
        <v>153</v>
      </c>
      <c r="F452" s="1762" t="s">
        <v>3205</v>
      </c>
      <c r="G452" s="1770" t="s">
        <v>3206</v>
      </c>
    </row>
    <row r="453" spans="1:7" ht="12">
      <c r="A453" s="1472" t="s">
        <v>688</v>
      </c>
      <c r="B453" s="1472" t="s">
        <v>2670</v>
      </c>
      <c r="C453" s="1472">
        <v>1</v>
      </c>
      <c r="D453" s="1776" t="s">
        <v>154</v>
      </c>
      <c r="E453" s="1761" t="s">
        <v>154</v>
      </c>
      <c r="F453" s="1762" t="s">
        <v>3207</v>
      </c>
      <c r="G453" s="1770" t="s">
        <v>3208</v>
      </c>
    </row>
    <row r="454" spans="1:7" ht="12">
      <c r="A454" s="1472" t="s">
        <v>688</v>
      </c>
      <c r="B454" s="1472" t="s">
        <v>2670</v>
      </c>
      <c r="C454" s="1472">
        <v>1</v>
      </c>
      <c r="D454" s="1776" t="s">
        <v>155</v>
      </c>
      <c r="E454" s="1761" t="s">
        <v>155</v>
      </c>
      <c r="F454" s="1762" t="s">
        <v>3209</v>
      </c>
      <c r="G454" s="1770" t="s">
        <v>3210</v>
      </c>
    </row>
    <row r="455" spans="1:7" ht="12">
      <c r="A455" s="1472" t="s">
        <v>688</v>
      </c>
      <c r="B455" s="1472" t="s">
        <v>2670</v>
      </c>
      <c r="C455" s="1472">
        <v>1</v>
      </c>
      <c r="D455" s="1776" t="s">
        <v>156</v>
      </c>
      <c r="E455" s="1761" t="s">
        <v>156</v>
      </c>
      <c r="F455" s="1762" t="s">
        <v>3211</v>
      </c>
      <c r="G455" s="1770" t="s">
        <v>3212</v>
      </c>
    </row>
    <row r="456" spans="1:7" ht="12">
      <c r="A456" s="1472" t="s">
        <v>688</v>
      </c>
      <c r="B456" s="1472" t="s">
        <v>2670</v>
      </c>
      <c r="C456" s="1472">
        <v>1</v>
      </c>
      <c r="D456" s="1776" t="s">
        <v>157</v>
      </c>
      <c r="E456" s="1761" t="s">
        <v>157</v>
      </c>
      <c r="F456" s="1762" t="s">
        <v>3213</v>
      </c>
      <c r="G456" s="1770" t="s">
        <v>3214</v>
      </c>
    </row>
    <row r="457" spans="1:7" ht="12">
      <c r="A457" s="1472" t="s">
        <v>688</v>
      </c>
      <c r="B457" s="1472" t="s">
        <v>2670</v>
      </c>
      <c r="C457" s="1472">
        <v>1</v>
      </c>
      <c r="D457" s="1776" t="s">
        <v>158</v>
      </c>
      <c r="E457" s="1761" t="s">
        <v>158</v>
      </c>
      <c r="F457" s="1762" t="s">
        <v>3215</v>
      </c>
      <c r="G457" s="1770" t="s">
        <v>3216</v>
      </c>
    </row>
    <row r="458" spans="1:7" ht="12">
      <c r="A458" s="1472" t="s">
        <v>688</v>
      </c>
      <c r="B458" s="1472" t="s">
        <v>2670</v>
      </c>
      <c r="C458" s="1472">
        <v>1</v>
      </c>
      <c r="D458" s="1776" t="s">
        <v>159</v>
      </c>
      <c r="E458" s="1761" t="s">
        <v>159</v>
      </c>
      <c r="F458" s="1762" t="s">
        <v>3217</v>
      </c>
      <c r="G458" s="1770" t="s">
        <v>3218</v>
      </c>
    </row>
    <row r="459" spans="1:7" ht="12">
      <c r="A459" s="1472" t="s">
        <v>688</v>
      </c>
      <c r="B459" s="1472" t="s">
        <v>2670</v>
      </c>
      <c r="C459" s="1472">
        <v>1</v>
      </c>
      <c r="D459" s="1776" t="s">
        <v>160</v>
      </c>
      <c r="E459" s="1761" t="s">
        <v>160</v>
      </c>
      <c r="F459" s="1762" t="s">
        <v>3219</v>
      </c>
      <c r="G459" s="1770" t="s">
        <v>3220</v>
      </c>
    </row>
    <row r="460" spans="1:7" ht="12">
      <c r="A460" s="1472" t="s">
        <v>688</v>
      </c>
      <c r="B460" s="1472" t="s">
        <v>2670</v>
      </c>
      <c r="C460" s="1472">
        <v>1</v>
      </c>
      <c r="D460" s="1776" t="s">
        <v>161</v>
      </c>
      <c r="E460" s="1761" t="s">
        <v>161</v>
      </c>
      <c r="F460" s="1762" t="s">
        <v>3221</v>
      </c>
      <c r="G460" s="1770" t="s">
        <v>3222</v>
      </c>
    </row>
    <row r="461" spans="1:7" ht="12">
      <c r="A461" s="1472" t="s">
        <v>688</v>
      </c>
      <c r="B461" s="1472" t="s">
        <v>2670</v>
      </c>
      <c r="C461" s="1472">
        <v>1</v>
      </c>
      <c r="D461" s="1776" t="s">
        <v>162</v>
      </c>
      <c r="E461" s="1761" t="s">
        <v>162</v>
      </c>
      <c r="F461" s="1762" t="s">
        <v>3223</v>
      </c>
      <c r="G461" s="1770" t="s">
        <v>3224</v>
      </c>
    </row>
    <row r="462" spans="1:7" ht="12">
      <c r="A462" s="1472" t="s">
        <v>688</v>
      </c>
      <c r="B462" s="1472" t="s">
        <v>2670</v>
      </c>
      <c r="C462" s="1472">
        <v>1</v>
      </c>
      <c r="D462" s="1776" t="s">
        <v>163</v>
      </c>
      <c r="E462" s="1761" t="s">
        <v>163</v>
      </c>
      <c r="F462" s="1762" t="s">
        <v>3225</v>
      </c>
      <c r="G462" s="1770" t="s">
        <v>3226</v>
      </c>
    </row>
    <row r="463" spans="1:7" ht="12">
      <c r="A463" s="1472" t="s">
        <v>688</v>
      </c>
      <c r="B463" s="1472" t="s">
        <v>2670</v>
      </c>
      <c r="C463" s="1472">
        <v>1</v>
      </c>
      <c r="D463" s="1776" t="s">
        <v>164</v>
      </c>
      <c r="E463" s="1761" t="s">
        <v>164</v>
      </c>
      <c r="F463" s="1762" t="s">
        <v>3227</v>
      </c>
      <c r="G463" s="1770" t="s">
        <v>3228</v>
      </c>
    </row>
    <row r="464" spans="1:7" ht="12">
      <c r="A464" s="1472" t="s">
        <v>688</v>
      </c>
      <c r="B464" s="1472" t="s">
        <v>2670</v>
      </c>
      <c r="C464" s="1472">
        <v>1</v>
      </c>
      <c r="D464" s="1776" t="s">
        <v>165</v>
      </c>
      <c r="E464" s="1761" t="s">
        <v>165</v>
      </c>
      <c r="F464" s="1762" t="s">
        <v>3229</v>
      </c>
      <c r="G464" s="1770" t="s">
        <v>3230</v>
      </c>
    </row>
    <row r="465" spans="1:7" ht="12">
      <c r="A465" s="1472" t="s">
        <v>688</v>
      </c>
      <c r="B465" s="1472" t="s">
        <v>2670</v>
      </c>
      <c r="C465" s="1472">
        <v>1</v>
      </c>
      <c r="D465" s="1776" t="s">
        <v>143</v>
      </c>
      <c r="E465" s="1761" t="s">
        <v>143</v>
      </c>
      <c r="F465" s="1762" t="s">
        <v>3231</v>
      </c>
      <c r="G465" s="1770" t="s">
        <v>3232</v>
      </c>
    </row>
    <row r="466" spans="1:7" ht="12">
      <c r="A466" s="1472" t="s">
        <v>688</v>
      </c>
      <c r="B466" s="1472" t="s">
        <v>2670</v>
      </c>
      <c r="C466" s="1472">
        <v>1</v>
      </c>
      <c r="D466" s="1776" t="s">
        <v>166</v>
      </c>
      <c r="E466" s="1761" t="s">
        <v>166</v>
      </c>
      <c r="F466" s="1762" t="s">
        <v>3233</v>
      </c>
      <c r="G466" s="1770" t="s">
        <v>3234</v>
      </c>
    </row>
    <row r="467" spans="1:7" ht="12">
      <c r="A467" s="1472" t="s">
        <v>688</v>
      </c>
      <c r="B467" s="1472" t="s">
        <v>2670</v>
      </c>
      <c r="C467" s="1472">
        <v>1</v>
      </c>
      <c r="D467" s="1776" t="s">
        <v>167</v>
      </c>
      <c r="E467" s="1761" t="s">
        <v>167</v>
      </c>
      <c r="F467" s="1762" t="s">
        <v>3235</v>
      </c>
      <c r="G467" s="1770" t="s">
        <v>3236</v>
      </c>
    </row>
    <row r="468" spans="1:7" ht="12">
      <c r="A468" s="1472" t="s">
        <v>688</v>
      </c>
      <c r="B468" s="1472" t="s">
        <v>2670</v>
      </c>
      <c r="C468" s="1472">
        <v>1</v>
      </c>
      <c r="D468" s="1776" t="s">
        <v>144</v>
      </c>
      <c r="E468" s="1761" t="s">
        <v>144</v>
      </c>
      <c r="F468" s="1762" t="s">
        <v>3237</v>
      </c>
      <c r="G468" s="1770" t="s">
        <v>144</v>
      </c>
    </row>
    <row r="469" spans="1:7" ht="12">
      <c r="A469" s="1472" t="s">
        <v>688</v>
      </c>
      <c r="B469" s="1472" t="s">
        <v>2670</v>
      </c>
      <c r="C469" s="1472">
        <v>1</v>
      </c>
      <c r="D469" s="1776" t="s">
        <v>168</v>
      </c>
      <c r="E469" s="1761" t="s">
        <v>168</v>
      </c>
      <c r="F469" s="1762" t="s">
        <v>3238</v>
      </c>
      <c r="G469" s="1770" t="s">
        <v>3239</v>
      </c>
    </row>
    <row r="470" spans="1:7" ht="12">
      <c r="A470" s="1472" t="s">
        <v>688</v>
      </c>
      <c r="B470" s="1472" t="s">
        <v>2670</v>
      </c>
      <c r="C470" s="1472">
        <v>1</v>
      </c>
      <c r="D470" s="1776" t="s">
        <v>2503</v>
      </c>
      <c r="E470" s="1761" t="s">
        <v>2503</v>
      </c>
      <c r="F470" s="1762" t="s">
        <v>3240</v>
      </c>
      <c r="G470" s="1770" t="s">
        <v>3241</v>
      </c>
    </row>
    <row r="471" spans="1:7" ht="12">
      <c r="A471" s="1472" t="s">
        <v>688</v>
      </c>
      <c r="B471" s="1472" t="s">
        <v>2670</v>
      </c>
      <c r="C471" s="1472">
        <v>1</v>
      </c>
      <c r="D471" s="1776" t="s">
        <v>2671</v>
      </c>
      <c r="E471" s="1761" t="s">
        <v>2671</v>
      </c>
      <c r="F471" s="1762" t="s">
        <v>3242</v>
      </c>
      <c r="G471" s="1770" t="s">
        <v>3243</v>
      </c>
    </row>
    <row r="472" spans="1:7" ht="204">
      <c r="A472" s="1472" t="s">
        <v>688</v>
      </c>
      <c r="B472" s="1472" t="s">
        <v>2670</v>
      </c>
      <c r="C472" s="1472">
        <v>2</v>
      </c>
      <c r="D472" s="1776" t="s">
        <v>3260</v>
      </c>
      <c r="E472" s="1761" t="s">
        <v>3260</v>
      </c>
      <c r="F472" s="1764" t="s">
        <v>3267</v>
      </c>
      <c r="G472" s="1772" t="s">
        <v>3262</v>
      </c>
    </row>
    <row r="473" spans="1:7" ht="12">
      <c r="A473" s="1472" t="s">
        <v>688</v>
      </c>
      <c r="B473" s="1472" t="s">
        <v>2670</v>
      </c>
      <c r="C473" s="1472">
        <v>2</v>
      </c>
      <c r="D473" s="1776" t="s">
        <v>1028</v>
      </c>
      <c r="E473" s="1761" t="s">
        <v>1028</v>
      </c>
      <c r="F473" s="1762" t="s">
        <v>3252</v>
      </c>
      <c r="G473" s="1770" t="s">
        <v>3253</v>
      </c>
    </row>
    <row r="474" spans="1:7" ht="12">
      <c r="A474" s="1472" t="s">
        <v>688</v>
      </c>
      <c r="B474" s="1472" t="s">
        <v>2670</v>
      </c>
      <c r="C474" s="1472">
        <v>2</v>
      </c>
      <c r="D474" s="1776" t="s">
        <v>187</v>
      </c>
      <c r="E474" s="1761" t="s">
        <v>187</v>
      </c>
      <c r="F474" s="1762" t="s">
        <v>3263</v>
      </c>
      <c r="G474" s="1770" t="s">
        <v>3264</v>
      </c>
    </row>
    <row r="475" spans="1:7" ht="24">
      <c r="A475" s="1472" t="s">
        <v>688</v>
      </c>
      <c r="B475" s="1472" t="s">
        <v>2670</v>
      </c>
      <c r="C475" s="1472">
        <v>2</v>
      </c>
      <c r="D475" s="1776" t="s">
        <v>3277</v>
      </c>
      <c r="E475" s="1761" t="s">
        <v>3277</v>
      </c>
      <c r="F475" s="1762" t="s">
        <v>3292</v>
      </c>
      <c r="G475" s="1770" t="s">
        <v>3257</v>
      </c>
    </row>
    <row r="476" spans="1:7" ht="12">
      <c r="A476" s="1472" t="s">
        <v>688</v>
      </c>
      <c r="B476" s="1472" t="s">
        <v>2670</v>
      </c>
      <c r="C476" s="1472">
        <v>2</v>
      </c>
      <c r="D476" s="1776" t="s">
        <v>142</v>
      </c>
      <c r="E476" s="1761" t="s">
        <v>142</v>
      </c>
      <c r="F476" s="1762" t="s">
        <v>3185</v>
      </c>
      <c r="G476" s="1770" t="s">
        <v>3186</v>
      </c>
    </row>
    <row r="477" spans="1:7" ht="12">
      <c r="A477" s="1472" t="s">
        <v>688</v>
      </c>
      <c r="B477" s="1472" t="s">
        <v>2670</v>
      </c>
      <c r="C477" s="1472">
        <v>2</v>
      </c>
      <c r="D477" s="1776" t="s">
        <v>49</v>
      </c>
      <c r="E477" s="1761" t="s">
        <v>49</v>
      </c>
      <c r="F477" s="1762" t="s">
        <v>3187</v>
      </c>
      <c r="G477" s="1770" t="s">
        <v>3188</v>
      </c>
    </row>
    <row r="478" spans="1:7" ht="12">
      <c r="A478" s="1472" t="s">
        <v>688</v>
      </c>
      <c r="B478" s="1472" t="s">
        <v>2670</v>
      </c>
      <c r="C478" s="1472">
        <v>2</v>
      </c>
      <c r="D478" s="1776" t="s">
        <v>189</v>
      </c>
      <c r="E478" s="1761" t="s">
        <v>189</v>
      </c>
      <c r="F478" s="1762" t="s">
        <v>3189</v>
      </c>
      <c r="G478" s="1770" t="s">
        <v>3190</v>
      </c>
    </row>
    <row r="479" spans="1:7" ht="12">
      <c r="A479" s="1472" t="s">
        <v>688</v>
      </c>
      <c r="B479" s="1472" t="s">
        <v>2670</v>
      </c>
      <c r="C479" s="1472">
        <v>2</v>
      </c>
      <c r="D479" s="1776" t="s">
        <v>146</v>
      </c>
      <c r="E479" s="1761" t="s">
        <v>146</v>
      </c>
      <c r="F479" s="1762" t="s">
        <v>3191</v>
      </c>
      <c r="G479" s="1770" t="s">
        <v>3192</v>
      </c>
    </row>
    <row r="480" spans="1:7" ht="12">
      <c r="A480" s="1472" t="s">
        <v>688</v>
      </c>
      <c r="B480" s="1472" t="s">
        <v>2670</v>
      </c>
      <c r="C480" s="1472">
        <v>2</v>
      </c>
      <c r="D480" s="1776" t="s">
        <v>147</v>
      </c>
      <c r="E480" s="1761" t="s">
        <v>147</v>
      </c>
      <c r="F480" s="1762" t="s">
        <v>3193</v>
      </c>
      <c r="G480" s="1770" t="s">
        <v>3194</v>
      </c>
    </row>
    <row r="481" spans="1:7" ht="12">
      <c r="A481" s="1472" t="s">
        <v>688</v>
      </c>
      <c r="B481" s="1472" t="s">
        <v>2670</v>
      </c>
      <c r="C481" s="1472">
        <v>2</v>
      </c>
      <c r="D481" s="1776" t="s">
        <v>148</v>
      </c>
      <c r="E481" s="1761" t="s">
        <v>148</v>
      </c>
      <c r="F481" s="1762" t="s">
        <v>3195</v>
      </c>
      <c r="G481" s="1770" t="s">
        <v>3196</v>
      </c>
    </row>
    <row r="482" spans="1:7" ht="12">
      <c r="A482" s="1472" t="s">
        <v>688</v>
      </c>
      <c r="B482" s="1472" t="s">
        <v>2670</v>
      </c>
      <c r="C482" s="1472">
        <v>2</v>
      </c>
      <c r="D482" s="1776" t="s">
        <v>149</v>
      </c>
      <c r="E482" s="1761" t="s">
        <v>149</v>
      </c>
      <c r="F482" s="1762" t="s">
        <v>3197</v>
      </c>
      <c r="G482" s="1770" t="s">
        <v>3198</v>
      </c>
    </row>
    <row r="483" spans="1:7" ht="12">
      <c r="A483" s="1472" t="s">
        <v>688</v>
      </c>
      <c r="B483" s="1472" t="s">
        <v>2670</v>
      </c>
      <c r="C483" s="1472">
        <v>2</v>
      </c>
      <c r="D483" s="1776" t="s">
        <v>150</v>
      </c>
      <c r="E483" s="1761" t="s">
        <v>150</v>
      </c>
      <c r="F483" s="1762" t="s">
        <v>3199</v>
      </c>
      <c r="G483" s="1770" t="s">
        <v>3200</v>
      </c>
    </row>
    <row r="484" spans="1:7" ht="12">
      <c r="A484" s="1472" t="s">
        <v>688</v>
      </c>
      <c r="B484" s="1472" t="s">
        <v>2670</v>
      </c>
      <c r="C484" s="1472">
        <v>2</v>
      </c>
      <c r="D484" s="1776" t="s">
        <v>151</v>
      </c>
      <c r="E484" s="1761" t="s">
        <v>151</v>
      </c>
      <c r="F484" s="1762" t="s">
        <v>3201</v>
      </c>
      <c r="G484" s="1770" t="s">
        <v>3202</v>
      </c>
    </row>
    <row r="485" spans="1:7" ht="12">
      <c r="A485" s="1472" t="s">
        <v>688</v>
      </c>
      <c r="B485" s="1472" t="s">
        <v>2670</v>
      </c>
      <c r="C485" s="1472">
        <v>2</v>
      </c>
      <c r="D485" s="1776" t="s">
        <v>152</v>
      </c>
      <c r="E485" s="1761" t="s">
        <v>152</v>
      </c>
      <c r="F485" s="1762" t="s">
        <v>3203</v>
      </c>
      <c r="G485" s="1770" t="s">
        <v>3204</v>
      </c>
    </row>
    <row r="486" spans="1:7" ht="12">
      <c r="A486" s="1472" t="s">
        <v>688</v>
      </c>
      <c r="B486" s="1472" t="s">
        <v>2670</v>
      </c>
      <c r="C486" s="1472">
        <v>2</v>
      </c>
      <c r="D486" s="1776" t="s">
        <v>153</v>
      </c>
      <c r="E486" s="1761" t="s">
        <v>153</v>
      </c>
      <c r="F486" s="1762" t="s">
        <v>3205</v>
      </c>
      <c r="G486" s="1770" t="s">
        <v>3206</v>
      </c>
    </row>
    <row r="487" spans="1:7" ht="12">
      <c r="A487" s="1472" t="s">
        <v>688</v>
      </c>
      <c r="B487" s="1472" t="s">
        <v>2670</v>
      </c>
      <c r="C487" s="1472">
        <v>2</v>
      </c>
      <c r="D487" s="1776" t="s">
        <v>154</v>
      </c>
      <c r="E487" s="1761" t="s">
        <v>154</v>
      </c>
      <c r="F487" s="1762" t="s">
        <v>3207</v>
      </c>
      <c r="G487" s="1770" t="s">
        <v>3208</v>
      </c>
    </row>
    <row r="488" spans="1:7" ht="12">
      <c r="A488" s="1472" t="s">
        <v>688</v>
      </c>
      <c r="B488" s="1472" t="s">
        <v>2670</v>
      </c>
      <c r="C488" s="1472">
        <v>2</v>
      </c>
      <c r="D488" s="1776" t="s">
        <v>155</v>
      </c>
      <c r="E488" s="1761" t="s">
        <v>155</v>
      </c>
      <c r="F488" s="1762" t="s">
        <v>3209</v>
      </c>
      <c r="G488" s="1770" t="s">
        <v>3210</v>
      </c>
    </row>
    <row r="489" spans="1:7" ht="12">
      <c r="A489" s="1472" t="s">
        <v>688</v>
      </c>
      <c r="B489" s="1472" t="s">
        <v>2670</v>
      </c>
      <c r="C489" s="1472">
        <v>2</v>
      </c>
      <c r="D489" s="1776" t="s">
        <v>156</v>
      </c>
      <c r="E489" s="1761" t="s">
        <v>156</v>
      </c>
      <c r="F489" s="1762" t="s">
        <v>3211</v>
      </c>
      <c r="G489" s="1770" t="s">
        <v>3212</v>
      </c>
    </row>
    <row r="490" spans="1:7" ht="12">
      <c r="A490" s="1472" t="s">
        <v>688</v>
      </c>
      <c r="B490" s="1472" t="s">
        <v>2670</v>
      </c>
      <c r="C490" s="1472">
        <v>2</v>
      </c>
      <c r="D490" s="1776" t="s">
        <v>157</v>
      </c>
      <c r="E490" s="1761" t="s">
        <v>157</v>
      </c>
      <c r="F490" s="1762" t="s">
        <v>3213</v>
      </c>
      <c r="G490" s="1770" t="s">
        <v>3214</v>
      </c>
    </row>
    <row r="491" spans="1:7" ht="12">
      <c r="A491" s="1472" t="s">
        <v>688</v>
      </c>
      <c r="B491" s="1472" t="s">
        <v>2670</v>
      </c>
      <c r="C491" s="1472">
        <v>2</v>
      </c>
      <c r="D491" s="1776" t="s">
        <v>158</v>
      </c>
      <c r="E491" s="1761" t="s">
        <v>158</v>
      </c>
      <c r="F491" s="1762" t="s">
        <v>3215</v>
      </c>
      <c r="G491" s="1770" t="s">
        <v>3216</v>
      </c>
    </row>
    <row r="492" spans="1:7" ht="12">
      <c r="A492" s="1472" t="s">
        <v>688</v>
      </c>
      <c r="B492" s="1472" t="s">
        <v>2670</v>
      </c>
      <c r="C492" s="1472">
        <v>2</v>
      </c>
      <c r="D492" s="1776" t="s">
        <v>159</v>
      </c>
      <c r="E492" s="1761" t="s">
        <v>159</v>
      </c>
      <c r="F492" s="1762" t="s">
        <v>3217</v>
      </c>
      <c r="G492" s="1770" t="s">
        <v>3218</v>
      </c>
    </row>
    <row r="493" spans="1:7" ht="12">
      <c r="A493" s="1472" t="s">
        <v>688</v>
      </c>
      <c r="B493" s="1472" t="s">
        <v>2670</v>
      </c>
      <c r="C493" s="1472">
        <v>2</v>
      </c>
      <c r="D493" s="1776" t="s">
        <v>160</v>
      </c>
      <c r="E493" s="1761" t="s">
        <v>160</v>
      </c>
      <c r="F493" s="1762" t="s">
        <v>3219</v>
      </c>
      <c r="G493" s="1770" t="s">
        <v>3220</v>
      </c>
    </row>
    <row r="494" spans="1:7" ht="12">
      <c r="A494" s="1472" t="s">
        <v>688</v>
      </c>
      <c r="B494" s="1472" t="s">
        <v>2670</v>
      </c>
      <c r="C494" s="1472">
        <v>2</v>
      </c>
      <c r="D494" s="1776" t="s">
        <v>161</v>
      </c>
      <c r="E494" s="1761" t="s">
        <v>161</v>
      </c>
      <c r="F494" s="1762" t="s">
        <v>3221</v>
      </c>
      <c r="G494" s="1770" t="s">
        <v>3222</v>
      </c>
    </row>
    <row r="495" spans="1:7" ht="12">
      <c r="A495" s="1472" t="s">
        <v>688</v>
      </c>
      <c r="B495" s="1472" t="s">
        <v>2670</v>
      </c>
      <c r="C495" s="1472">
        <v>2</v>
      </c>
      <c r="D495" s="1776" t="s">
        <v>162</v>
      </c>
      <c r="E495" s="1761" t="s">
        <v>162</v>
      </c>
      <c r="F495" s="1762" t="s">
        <v>3223</v>
      </c>
      <c r="G495" s="1770" t="s">
        <v>3224</v>
      </c>
    </row>
    <row r="496" spans="1:7" ht="12">
      <c r="A496" s="1472" t="s">
        <v>688</v>
      </c>
      <c r="B496" s="1472" t="s">
        <v>2670</v>
      </c>
      <c r="C496" s="1472">
        <v>2</v>
      </c>
      <c r="D496" s="1776" t="s">
        <v>163</v>
      </c>
      <c r="E496" s="1761" t="s">
        <v>163</v>
      </c>
      <c r="F496" s="1762" t="s">
        <v>3225</v>
      </c>
      <c r="G496" s="1770" t="s">
        <v>3226</v>
      </c>
    </row>
    <row r="497" spans="1:7" ht="12">
      <c r="A497" s="1472" t="s">
        <v>688</v>
      </c>
      <c r="B497" s="1472" t="s">
        <v>2670</v>
      </c>
      <c r="C497" s="1472">
        <v>2</v>
      </c>
      <c r="D497" s="1776" t="s">
        <v>164</v>
      </c>
      <c r="E497" s="1761" t="s">
        <v>164</v>
      </c>
      <c r="F497" s="1762" t="s">
        <v>3227</v>
      </c>
      <c r="G497" s="1770" t="s">
        <v>3228</v>
      </c>
    </row>
    <row r="498" spans="1:7" ht="12">
      <c r="A498" s="1472" t="s">
        <v>688</v>
      </c>
      <c r="B498" s="1472" t="s">
        <v>2670</v>
      </c>
      <c r="C498" s="1472">
        <v>2</v>
      </c>
      <c r="D498" s="1776" t="s">
        <v>165</v>
      </c>
      <c r="E498" s="1761" t="s">
        <v>165</v>
      </c>
      <c r="F498" s="1762" t="s">
        <v>3229</v>
      </c>
      <c r="G498" s="1770" t="s">
        <v>3230</v>
      </c>
    </row>
    <row r="499" spans="1:7" ht="12">
      <c r="A499" s="1472" t="s">
        <v>688</v>
      </c>
      <c r="B499" s="1472" t="s">
        <v>2670</v>
      </c>
      <c r="C499" s="1472">
        <v>2</v>
      </c>
      <c r="D499" s="1776" t="s">
        <v>143</v>
      </c>
      <c r="E499" s="1761" t="s">
        <v>143</v>
      </c>
      <c r="F499" s="1762" t="s">
        <v>3231</v>
      </c>
      <c r="G499" s="1770" t="s">
        <v>3232</v>
      </c>
    </row>
    <row r="500" spans="1:7" ht="12">
      <c r="A500" s="1472" t="s">
        <v>688</v>
      </c>
      <c r="B500" s="1472" t="s">
        <v>2670</v>
      </c>
      <c r="C500" s="1472">
        <v>2</v>
      </c>
      <c r="D500" s="1776" t="s">
        <v>166</v>
      </c>
      <c r="E500" s="1761" t="s">
        <v>166</v>
      </c>
      <c r="F500" s="1762" t="s">
        <v>3233</v>
      </c>
      <c r="G500" s="1770" t="s">
        <v>3234</v>
      </c>
    </row>
    <row r="501" spans="1:7" ht="12">
      <c r="A501" s="1472" t="s">
        <v>688</v>
      </c>
      <c r="B501" s="1472" t="s">
        <v>2670</v>
      </c>
      <c r="C501" s="1472">
        <v>2</v>
      </c>
      <c r="D501" s="1776" t="s">
        <v>167</v>
      </c>
      <c r="E501" s="1761" t="s">
        <v>167</v>
      </c>
      <c r="F501" s="1762" t="s">
        <v>3235</v>
      </c>
      <c r="G501" s="1770" t="s">
        <v>3236</v>
      </c>
    </row>
    <row r="502" spans="1:7" ht="12">
      <c r="A502" s="1472" t="s">
        <v>688</v>
      </c>
      <c r="B502" s="1472" t="s">
        <v>2670</v>
      </c>
      <c r="C502" s="1472">
        <v>2</v>
      </c>
      <c r="D502" s="1776" t="s">
        <v>144</v>
      </c>
      <c r="E502" s="1761" t="s">
        <v>144</v>
      </c>
      <c r="F502" s="1762" t="s">
        <v>3237</v>
      </c>
      <c r="G502" s="1770" t="s">
        <v>144</v>
      </c>
    </row>
    <row r="503" spans="1:7" ht="12">
      <c r="A503" s="1472" t="s">
        <v>688</v>
      </c>
      <c r="B503" s="1472" t="s">
        <v>2670</v>
      </c>
      <c r="C503" s="1472">
        <v>2</v>
      </c>
      <c r="D503" s="1776" t="s">
        <v>168</v>
      </c>
      <c r="E503" s="1761" t="s">
        <v>168</v>
      </c>
      <c r="F503" s="1762" t="s">
        <v>3238</v>
      </c>
      <c r="G503" s="1770" t="s">
        <v>3239</v>
      </c>
    </row>
    <row r="504" spans="1:7" ht="12">
      <c r="A504" s="1472" t="s">
        <v>688</v>
      </c>
      <c r="B504" s="1472" t="s">
        <v>2670</v>
      </c>
      <c r="C504" s="1472">
        <v>2</v>
      </c>
      <c r="D504" s="1776" t="s">
        <v>2503</v>
      </c>
      <c r="E504" s="1761" t="s">
        <v>2503</v>
      </c>
      <c r="F504" s="1762" t="s">
        <v>3240</v>
      </c>
      <c r="G504" s="1770" t="s">
        <v>3241</v>
      </c>
    </row>
    <row r="505" spans="1:7" ht="12">
      <c r="A505" s="1472" t="s">
        <v>688</v>
      </c>
      <c r="B505" s="1472" t="s">
        <v>2670</v>
      </c>
      <c r="C505" s="1472">
        <v>2</v>
      </c>
      <c r="D505" s="1776" t="s">
        <v>2671</v>
      </c>
      <c r="E505" s="1761" t="s">
        <v>2671</v>
      </c>
      <c r="F505" s="1762" t="s">
        <v>3242</v>
      </c>
      <c r="G505" s="1770" t="s">
        <v>3243</v>
      </c>
    </row>
    <row r="506" spans="1:7" ht="204">
      <c r="A506" s="1472" t="s">
        <v>688</v>
      </c>
      <c r="B506" s="1472" t="s">
        <v>2670</v>
      </c>
      <c r="C506" s="1472">
        <v>3</v>
      </c>
      <c r="D506" s="1776" t="s">
        <v>3260</v>
      </c>
      <c r="E506" s="1761" t="s">
        <v>3260</v>
      </c>
      <c r="F506" s="1764" t="s">
        <v>3267</v>
      </c>
      <c r="G506" s="1772" t="s">
        <v>3262</v>
      </c>
    </row>
    <row r="507" spans="1:7" ht="12">
      <c r="A507" s="1472" t="s">
        <v>688</v>
      </c>
      <c r="B507" s="1472" t="s">
        <v>2670</v>
      </c>
      <c r="C507" s="1472">
        <v>3</v>
      </c>
      <c r="D507" s="1776" t="s">
        <v>1028</v>
      </c>
      <c r="E507" s="1761" t="s">
        <v>1028</v>
      </c>
      <c r="F507" s="1762" t="s">
        <v>3252</v>
      </c>
      <c r="G507" s="1770" t="s">
        <v>3253</v>
      </c>
    </row>
    <row r="508" spans="1:7" ht="12">
      <c r="A508" s="1472" t="s">
        <v>688</v>
      </c>
      <c r="B508" s="1472" t="s">
        <v>2670</v>
      </c>
      <c r="C508" s="1472">
        <v>3</v>
      </c>
      <c r="D508" s="1776" t="s">
        <v>187</v>
      </c>
      <c r="E508" s="1761" t="s">
        <v>187</v>
      </c>
      <c r="F508" s="1762" t="s">
        <v>3263</v>
      </c>
      <c r="G508" s="1770" t="s">
        <v>3264</v>
      </c>
    </row>
    <row r="509" spans="1:7" ht="24">
      <c r="A509" s="1472" t="s">
        <v>688</v>
      </c>
      <c r="B509" s="1472" t="s">
        <v>2670</v>
      </c>
      <c r="C509" s="1472">
        <v>3</v>
      </c>
      <c r="D509" s="1776" t="s">
        <v>3277</v>
      </c>
      <c r="E509" s="1761" t="s">
        <v>3277</v>
      </c>
      <c r="F509" s="1762" t="s">
        <v>3292</v>
      </c>
      <c r="G509" s="1770" t="s">
        <v>3257</v>
      </c>
    </row>
    <row r="510" spans="1:7" ht="12">
      <c r="A510" s="1472" t="s">
        <v>688</v>
      </c>
      <c r="B510" s="1472" t="s">
        <v>2670</v>
      </c>
      <c r="C510" s="1472">
        <v>3</v>
      </c>
      <c r="D510" s="1776" t="s">
        <v>142</v>
      </c>
      <c r="E510" s="1761" t="s">
        <v>142</v>
      </c>
      <c r="F510" s="1762" t="s">
        <v>3185</v>
      </c>
      <c r="G510" s="1770" t="s">
        <v>3186</v>
      </c>
    </row>
    <row r="511" spans="1:7" ht="12">
      <c r="A511" s="1472" t="s">
        <v>688</v>
      </c>
      <c r="B511" s="1472" t="s">
        <v>2670</v>
      </c>
      <c r="C511" s="1472">
        <v>3</v>
      </c>
      <c r="D511" s="1776" t="s">
        <v>49</v>
      </c>
      <c r="E511" s="1761" t="s">
        <v>49</v>
      </c>
      <c r="F511" s="1762" t="s">
        <v>3187</v>
      </c>
      <c r="G511" s="1770" t="s">
        <v>3188</v>
      </c>
    </row>
    <row r="512" spans="1:7" ht="12">
      <c r="A512" s="1472" t="s">
        <v>688</v>
      </c>
      <c r="B512" s="1472" t="s">
        <v>2670</v>
      </c>
      <c r="C512" s="1472">
        <v>3</v>
      </c>
      <c r="D512" s="1776" t="s">
        <v>189</v>
      </c>
      <c r="E512" s="1761" t="s">
        <v>189</v>
      </c>
      <c r="F512" s="1762" t="s">
        <v>3189</v>
      </c>
      <c r="G512" s="1770" t="s">
        <v>3190</v>
      </c>
    </row>
    <row r="513" spans="1:7" ht="12">
      <c r="A513" s="1472" t="s">
        <v>688</v>
      </c>
      <c r="B513" s="1472" t="s">
        <v>2670</v>
      </c>
      <c r="C513" s="1472">
        <v>3</v>
      </c>
      <c r="D513" s="1776" t="s">
        <v>146</v>
      </c>
      <c r="E513" s="1761" t="s">
        <v>146</v>
      </c>
      <c r="F513" s="1762" t="s">
        <v>3191</v>
      </c>
      <c r="G513" s="1770" t="s">
        <v>3192</v>
      </c>
    </row>
    <row r="514" spans="1:7" ht="12">
      <c r="A514" s="1472" t="s">
        <v>688</v>
      </c>
      <c r="B514" s="1472" t="s">
        <v>2670</v>
      </c>
      <c r="C514" s="1472">
        <v>3</v>
      </c>
      <c r="D514" s="1776" t="s">
        <v>147</v>
      </c>
      <c r="E514" s="1761" t="s">
        <v>147</v>
      </c>
      <c r="F514" s="1762" t="s">
        <v>3193</v>
      </c>
      <c r="G514" s="1770" t="s">
        <v>3194</v>
      </c>
    </row>
    <row r="515" spans="1:7" ht="12">
      <c r="A515" s="1472" t="s">
        <v>688</v>
      </c>
      <c r="B515" s="1472" t="s">
        <v>2670</v>
      </c>
      <c r="C515" s="1472">
        <v>3</v>
      </c>
      <c r="D515" s="1776" t="s">
        <v>148</v>
      </c>
      <c r="E515" s="1761" t="s">
        <v>148</v>
      </c>
      <c r="F515" s="1762" t="s">
        <v>3195</v>
      </c>
      <c r="G515" s="1770" t="s">
        <v>3196</v>
      </c>
    </row>
    <row r="516" spans="1:7" ht="12">
      <c r="A516" s="1472" t="s">
        <v>688</v>
      </c>
      <c r="B516" s="1472" t="s">
        <v>2670</v>
      </c>
      <c r="C516" s="1472">
        <v>3</v>
      </c>
      <c r="D516" s="1776" t="s">
        <v>149</v>
      </c>
      <c r="E516" s="1761" t="s">
        <v>149</v>
      </c>
      <c r="F516" s="1762" t="s">
        <v>3197</v>
      </c>
      <c r="G516" s="1770" t="s">
        <v>3198</v>
      </c>
    </row>
    <row r="517" spans="1:7" ht="12">
      <c r="A517" s="1472" t="s">
        <v>688</v>
      </c>
      <c r="B517" s="1472" t="s">
        <v>2670</v>
      </c>
      <c r="C517" s="1472">
        <v>3</v>
      </c>
      <c r="D517" s="1776" t="s">
        <v>150</v>
      </c>
      <c r="E517" s="1761" t="s">
        <v>150</v>
      </c>
      <c r="F517" s="1762" t="s">
        <v>3199</v>
      </c>
      <c r="G517" s="1770" t="s">
        <v>3200</v>
      </c>
    </row>
    <row r="518" spans="1:7" ht="12">
      <c r="A518" s="1472" t="s">
        <v>688</v>
      </c>
      <c r="B518" s="1472" t="s">
        <v>2670</v>
      </c>
      <c r="C518" s="1472">
        <v>3</v>
      </c>
      <c r="D518" s="1776" t="s">
        <v>151</v>
      </c>
      <c r="E518" s="1761" t="s">
        <v>151</v>
      </c>
      <c r="F518" s="1762" t="s">
        <v>3201</v>
      </c>
      <c r="G518" s="1770" t="s">
        <v>3202</v>
      </c>
    </row>
    <row r="519" spans="1:7" ht="12">
      <c r="A519" s="1472" t="s">
        <v>688</v>
      </c>
      <c r="B519" s="1472" t="s">
        <v>2670</v>
      </c>
      <c r="C519" s="1472">
        <v>3</v>
      </c>
      <c r="D519" s="1776" t="s">
        <v>152</v>
      </c>
      <c r="E519" s="1761" t="s">
        <v>152</v>
      </c>
      <c r="F519" s="1762" t="s">
        <v>3203</v>
      </c>
      <c r="G519" s="1770" t="s">
        <v>3204</v>
      </c>
    </row>
    <row r="520" spans="1:7" ht="12">
      <c r="A520" s="1472" t="s">
        <v>688</v>
      </c>
      <c r="B520" s="1472" t="s">
        <v>2670</v>
      </c>
      <c r="C520" s="1472">
        <v>3</v>
      </c>
      <c r="D520" s="1776" t="s">
        <v>153</v>
      </c>
      <c r="E520" s="1761" t="s">
        <v>153</v>
      </c>
      <c r="F520" s="1762" t="s">
        <v>3205</v>
      </c>
      <c r="G520" s="1770" t="s">
        <v>3206</v>
      </c>
    </row>
    <row r="521" spans="1:7" ht="12">
      <c r="A521" s="1472" t="s">
        <v>688</v>
      </c>
      <c r="B521" s="1472" t="s">
        <v>2670</v>
      </c>
      <c r="C521" s="1472">
        <v>3</v>
      </c>
      <c r="D521" s="1776" t="s">
        <v>154</v>
      </c>
      <c r="E521" s="1761" t="s">
        <v>154</v>
      </c>
      <c r="F521" s="1762" t="s">
        <v>3207</v>
      </c>
      <c r="G521" s="1770" t="s">
        <v>3208</v>
      </c>
    </row>
    <row r="522" spans="1:7" ht="12">
      <c r="A522" s="1472" t="s">
        <v>688</v>
      </c>
      <c r="B522" s="1472" t="s">
        <v>2670</v>
      </c>
      <c r="C522" s="1472">
        <v>3</v>
      </c>
      <c r="D522" s="1776" t="s">
        <v>155</v>
      </c>
      <c r="E522" s="1761" t="s">
        <v>155</v>
      </c>
      <c r="F522" s="1762" t="s">
        <v>3209</v>
      </c>
      <c r="G522" s="1770" t="s">
        <v>3210</v>
      </c>
    </row>
    <row r="523" spans="1:7" ht="12">
      <c r="A523" s="1472" t="s">
        <v>688</v>
      </c>
      <c r="B523" s="1472" t="s">
        <v>2670</v>
      </c>
      <c r="C523" s="1472">
        <v>3</v>
      </c>
      <c r="D523" s="1776" t="s">
        <v>156</v>
      </c>
      <c r="E523" s="1761" t="s">
        <v>156</v>
      </c>
      <c r="F523" s="1762" t="s">
        <v>3211</v>
      </c>
      <c r="G523" s="1770" t="s">
        <v>3212</v>
      </c>
    </row>
    <row r="524" spans="1:7" ht="12">
      <c r="A524" s="1472" t="s">
        <v>688</v>
      </c>
      <c r="B524" s="1472" t="s">
        <v>2670</v>
      </c>
      <c r="C524" s="1472">
        <v>3</v>
      </c>
      <c r="D524" s="1776" t="s">
        <v>157</v>
      </c>
      <c r="E524" s="1761" t="s">
        <v>157</v>
      </c>
      <c r="F524" s="1762" t="s">
        <v>3213</v>
      </c>
      <c r="G524" s="1770" t="s">
        <v>3214</v>
      </c>
    </row>
    <row r="525" spans="1:7" ht="12">
      <c r="A525" s="1472" t="s">
        <v>688</v>
      </c>
      <c r="B525" s="1472" t="s">
        <v>2670</v>
      </c>
      <c r="C525" s="1472">
        <v>3</v>
      </c>
      <c r="D525" s="1776" t="s">
        <v>158</v>
      </c>
      <c r="E525" s="1761" t="s">
        <v>158</v>
      </c>
      <c r="F525" s="1762" t="s">
        <v>3215</v>
      </c>
      <c r="G525" s="1770" t="s">
        <v>3216</v>
      </c>
    </row>
    <row r="526" spans="1:7" ht="12">
      <c r="A526" s="1472" t="s">
        <v>688</v>
      </c>
      <c r="B526" s="1472" t="s">
        <v>2670</v>
      </c>
      <c r="C526" s="1472">
        <v>3</v>
      </c>
      <c r="D526" s="1776" t="s">
        <v>159</v>
      </c>
      <c r="E526" s="1761" t="s">
        <v>159</v>
      </c>
      <c r="F526" s="1762" t="s">
        <v>3217</v>
      </c>
      <c r="G526" s="1770" t="s">
        <v>3218</v>
      </c>
    </row>
    <row r="527" spans="1:7" ht="12">
      <c r="A527" s="1472" t="s">
        <v>688</v>
      </c>
      <c r="B527" s="1472" t="s">
        <v>2670</v>
      </c>
      <c r="C527" s="1472">
        <v>3</v>
      </c>
      <c r="D527" s="1776" t="s">
        <v>160</v>
      </c>
      <c r="E527" s="1761" t="s">
        <v>160</v>
      </c>
      <c r="F527" s="1762" t="s">
        <v>3219</v>
      </c>
      <c r="G527" s="1770" t="s">
        <v>3220</v>
      </c>
    </row>
    <row r="528" spans="1:7" ht="12">
      <c r="A528" s="1472" t="s">
        <v>688</v>
      </c>
      <c r="B528" s="1472" t="s">
        <v>2670</v>
      </c>
      <c r="C528" s="1472">
        <v>3</v>
      </c>
      <c r="D528" s="1776" t="s">
        <v>161</v>
      </c>
      <c r="E528" s="1761" t="s">
        <v>161</v>
      </c>
      <c r="F528" s="1762" t="s">
        <v>3221</v>
      </c>
      <c r="G528" s="1770" t="s">
        <v>3222</v>
      </c>
    </row>
    <row r="529" spans="1:7" ht="12">
      <c r="A529" s="1472" t="s">
        <v>688</v>
      </c>
      <c r="B529" s="1472" t="s">
        <v>2670</v>
      </c>
      <c r="C529" s="1472">
        <v>3</v>
      </c>
      <c r="D529" s="1776" t="s">
        <v>162</v>
      </c>
      <c r="E529" s="1761" t="s">
        <v>162</v>
      </c>
      <c r="F529" s="1762" t="s">
        <v>3223</v>
      </c>
      <c r="G529" s="1770" t="s">
        <v>3224</v>
      </c>
    </row>
    <row r="530" spans="1:7" ht="12">
      <c r="A530" s="1472" t="s">
        <v>688</v>
      </c>
      <c r="B530" s="1472" t="s">
        <v>2670</v>
      </c>
      <c r="C530" s="1472">
        <v>3</v>
      </c>
      <c r="D530" s="1776" t="s">
        <v>163</v>
      </c>
      <c r="E530" s="1761" t="s">
        <v>163</v>
      </c>
      <c r="F530" s="1762" t="s">
        <v>3225</v>
      </c>
      <c r="G530" s="1770" t="s">
        <v>3226</v>
      </c>
    </row>
    <row r="531" spans="1:7" ht="12">
      <c r="A531" s="1472" t="s">
        <v>688</v>
      </c>
      <c r="B531" s="1472" t="s">
        <v>2670</v>
      </c>
      <c r="C531" s="1472">
        <v>3</v>
      </c>
      <c r="D531" s="1776" t="s">
        <v>164</v>
      </c>
      <c r="E531" s="1761" t="s">
        <v>164</v>
      </c>
      <c r="F531" s="1762" t="s">
        <v>3227</v>
      </c>
      <c r="G531" s="1770" t="s">
        <v>3228</v>
      </c>
    </row>
    <row r="532" spans="1:7" ht="12">
      <c r="A532" s="1472" t="s">
        <v>688</v>
      </c>
      <c r="B532" s="1472" t="s">
        <v>2670</v>
      </c>
      <c r="C532" s="1472">
        <v>3</v>
      </c>
      <c r="D532" s="1776" t="s">
        <v>165</v>
      </c>
      <c r="E532" s="1761" t="s">
        <v>165</v>
      </c>
      <c r="F532" s="1762" t="s">
        <v>3229</v>
      </c>
      <c r="G532" s="1770" t="s">
        <v>3230</v>
      </c>
    </row>
    <row r="533" spans="1:7" ht="12">
      <c r="A533" s="1472" t="s">
        <v>688</v>
      </c>
      <c r="B533" s="1472" t="s">
        <v>2670</v>
      </c>
      <c r="C533" s="1472">
        <v>3</v>
      </c>
      <c r="D533" s="1776" t="s">
        <v>143</v>
      </c>
      <c r="E533" s="1761" t="s">
        <v>143</v>
      </c>
      <c r="F533" s="1762" t="s">
        <v>3231</v>
      </c>
      <c r="G533" s="1770" t="s">
        <v>3232</v>
      </c>
    </row>
    <row r="534" spans="1:7" ht="12">
      <c r="A534" s="1472" t="s">
        <v>688</v>
      </c>
      <c r="B534" s="1472" t="s">
        <v>2670</v>
      </c>
      <c r="C534" s="1472">
        <v>3</v>
      </c>
      <c r="D534" s="1776" t="s">
        <v>166</v>
      </c>
      <c r="E534" s="1761" t="s">
        <v>166</v>
      </c>
      <c r="F534" s="1762" t="s">
        <v>3233</v>
      </c>
      <c r="G534" s="1770" t="s">
        <v>3234</v>
      </c>
    </row>
    <row r="535" spans="1:7" ht="12">
      <c r="A535" s="1472" t="s">
        <v>688</v>
      </c>
      <c r="B535" s="1472" t="s">
        <v>2670</v>
      </c>
      <c r="C535" s="1472">
        <v>3</v>
      </c>
      <c r="D535" s="1776" t="s">
        <v>167</v>
      </c>
      <c r="E535" s="1761" t="s">
        <v>167</v>
      </c>
      <c r="F535" s="1762" t="s">
        <v>3235</v>
      </c>
      <c r="G535" s="1770" t="s">
        <v>3236</v>
      </c>
    </row>
    <row r="536" spans="1:7" ht="12">
      <c r="A536" s="1472" t="s">
        <v>688</v>
      </c>
      <c r="B536" s="1472" t="s">
        <v>2670</v>
      </c>
      <c r="C536" s="1472">
        <v>3</v>
      </c>
      <c r="D536" s="1776" t="s">
        <v>144</v>
      </c>
      <c r="E536" s="1761" t="s">
        <v>144</v>
      </c>
      <c r="F536" s="1762" t="s">
        <v>3237</v>
      </c>
      <c r="G536" s="1770" t="s">
        <v>144</v>
      </c>
    </row>
    <row r="537" spans="1:7" ht="12">
      <c r="A537" s="1472" t="s">
        <v>688</v>
      </c>
      <c r="B537" s="1472" t="s">
        <v>2670</v>
      </c>
      <c r="C537" s="1472">
        <v>3</v>
      </c>
      <c r="D537" s="1776" t="s">
        <v>168</v>
      </c>
      <c r="E537" s="1761" t="s">
        <v>168</v>
      </c>
      <c r="F537" s="1762" t="s">
        <v>3238</v>
      </c>
      <c r="G537" s="1770" t="s">
        <v>3239</v>
      </c>
    </row>
    <row r="538" spans="1:7" ht="12">
      <c r="A538" s="1472" t="s">
        <v>688</v>
      </c>
      <c r="B538" s="1472" t="s">
        <v>2670</v>
      </c>
      <c r="C538" s="1472">
        <v>3</v>
      </c>
      <c r="D538" s="1776" t="s">
        <v>2503</v>
      </c>
      <c r="E538" s="1761" t="s">
        <v>2503</v>
      </c>
      <c r="F538" s="1762" t="s">
        <v>3240</v>
      </c>
      <c r="G538" s="1770" t="s">
        <v>3241</v>
      </c>
    </row>
    <row r="539" spans="1:7" ht="12">
      <c r="A539" s="1472" t="s">
        <v>688</v>
      </c>
      <c r="B539" s="1472" t="s">
        <v>2670</v>
      </c>
      <c r="C539" s="1472">
        <v>3</v>
      </c>
      <c r="D539" s="1776" t="s">
        <v>2671</v>
      </c>
      <c r="E539" s="1761" t="s">
        <v>2671</v>
      </c>
      <c r="F539" s="1762" t="s">
        <v>3242</v>
      </c>
      <c r="G539" s="1770" t="s">
        <v>3243</v>
      </c>
    </row>
    <row r="540" spans="1:7" ht="204">
      <c r="A540" s="1472" t="s">
        <v>688</v>
      </c>
      <c r="B540" s="1472" t="s">
        <v>2670</v>
      </c>
      <c r="C540" s="1472">
        <v>4</v>
      </c>
      <c r="D540" s="1776" t="s">
        <v>3260</v>
      </c>
      <c r="E540" s="1761" t="s">
        <v>3260</v>
      </c>
      <c r="F540" s="1764" t="s">
        <v>3267</v>
      </c>
      <c r="G540" s="1772" t="s">
        <v>3262</v>
      </c>
    </row>
    <row r="541" spans="1:7" ht="12">
      <c r="A541" s="1472" t="s">
        <v>688</v>
      </c>
      <c r="B541" s="1472" t="s">
        <v>2670</v>
      </c>
      <c r="C541" s="1472">
        <v>4</v>
      </c>
      <c r="D541" s="1776" t="s">
        <v>1028</v>
      </c>
      <c r="E541" s="1761" t="s">
        <v>1028</v>
      </c>
      <c r="F541" s="1762" t="s">
        <v>3252</v>
      </c>
      <c r="G541" s="1770" t="s">
        <v>3253</v>
      </c>
    </row>
    <row r="542" spans="1:7" ht="12">
      <c r="A542" s="1472" t="s">
        <v>688</v>
      </c>
      <c r="B542" s="1472" t="s">
        <v>2670</v>
      </c>
      <c r="C542" s="1472">
        <v>4</v>
      </c>
      <c r="D542" s="1776" t="s">
        <v>187</v>
      </c>
      <c r="E542" s="1761" t="s">
        <v>187</v>
      </c>
      <c r="F542" s="1762" t="s">
        <v>3263</v>
      </c>
      <c r="G542" s="1770" t="s">
        <v>3264</v>
      </c>
    </row>
    <row r="543" spans="1:7" ht="24">
      <c r="A543" s="1472" t="s">
        <v>688</v>
      </c>
      <c r="B543" s="1472" t="s">
        <v>2670</v>
      </c>
      <c r="C543" s="1472">
        <v>4</v>
      </c>
      <c r="D543" s="1776" t="s">
        <v>3277</v>
      </c>
      <c r="E543" s="1761" t="s">
        <v>3277</v>
      </c>
      <c r="F543" s="1762" t="s">
        <v>3292</v>
      </c>
      <c r="G543" s="1770" t="s">
        <v>3257</v>
      </c>
    </row>
    <row r="544" spans="1:7" ht="12">
      <c r="A544" s="1472" t="s">
        <v>688</v>
      </c>
      <c r="B544" s="1472" t="s">
        <v>2670</v>
      </c>
      <c r="C544" s="1472">
        <v>4</v>
      </c>
      <c r="D544" s="1776" t="s">
        <v>142</v>
      </c>
      <c r="E544" s="1761" t="s">
        <v>142</v>
      </c>
      <c r="F544" s="1762" t="s">
        <v>3185</v>
      </c>
      <c r="G544" s="1770" t="s">
        <v>3186</v>
      </c>
    </row>
    <row r="545" spans="1:7" ht="12">
      <c r="A545" s="1472" t="s">
        <v>688</v>
      </c>
      <c r="B545" s="1472" t="s">
        <v>2670</v>
      </c>
      <c r="C545" s="1472">
        <v>4</v>
      </c>
      <c r="D545" s="1776" t="s">
        <v>49</v>
      </c>
      <c r="E545" s="1761" t="s">
        <v>49</v>
      </c>
      <c r="F545" s="1762" t="s">
        <v>3187</v>
      </c>
      <c r="G545" s="1770" t="s">
        <v>3188</v>
      </c>
    </row>
    <row r="546" spans="1:7" ht="12">
      <c r="A546" s="1472" t="s">
        <v>688</v>
      </c>
      <c r="B546" s="1472" t="s">
        <v>2670</v>
      </c>
      <c r="C546" s="1472">
        <v>4</v>
      </c>
      <c r="D546" s="1776" t="s">
        <v>189</v>
      </c>
      <c r="E546" s="1761" t="s">
        <v>189</v>
      </c>
      <c r="F546" s="1762" t="s">
        <v>3189</v>
      </c>
      <c r="G546" s="1770" t="s">
        <v>3190</v>
      </c>
    </row>
    <row r="547" spans="1:7" ht="12">
      <c r="A547" s="1472" t="s">
        <v>688</v>
      </c>
      <c r="B547" s="1472" t="s">
        <v>2670</v>
      </c>
      <c r="C547" s="1472">
        <v>4</v>
      </c>
      <c r="D547" s="1776" t="s">
        <v>146</v>
      </c>
      <c r="E547" s="1761" t="s">
        <v>146</v>
      </c>
      <c r="F547" s="1762" t="s">
        <v>3191</v>
      </c>
      <c r="G547" s="1770" t="s">
        <v>3192</v>
      </c>
    </row>
    <row r="548" spans="1:7" ht="12">
      <c r="A548" s="1472" t="s">
        <v>688</v>
      </c>
      <c r="B548" s="1472" t="s">
        <v>2670</v>
      </c>
      <c r="C548" s="1472">
        <v>4</v>
      </c>
      <c r="D548" s="1776" t="s">
        <v>147</v>
      </c>
      <c r="E548" s="1761" t="s">
        <v>147</v>
      </c>
      <c r="F548" s="1762" t="s">
        <v>3193</v>
      </c>
      <c r="G548" s="1770" t="s">
        <v>3194</v>
      </c>
    </row>
    <row r="549" spans="1:7" ht="12">
      <c r="A549" s="1472" t="s">
        <v>688</v>
      </c>
      <c r="B549" s="1472" t="s">
        <v>2670</v>
      </c>
      <c r="C549" s="1472">
        <v>4</v>
      </c>
      <c r="D549" s="1776" t="s">
        <v>148</v>
      </c>
      <c r="E549" s="1761" t="s">
        <v>148</v>
      </c>
      <c r="F549" s="1762" t="s">
        <v>3195</v>
      </c>
      <c r="G549" s="1770" t="s">
        <v>3196</v>
      </c>
    </row>
    <row r="550" spans="1:7" ht="12">
      <c r="A550" s="1472" t="s">
        <v>688</v>
      </c>
      <c r="B550" s="1472" t="s">
        <v>2670</v>
      </c>
      <c r="C550" s="1472">
        <v>4</v>
      </c>
      <c r="D550" s="1776" t="s">
        <v>149</v>
      </c>
      <c r="E550" s="1761" t="s">
        <v>149</v>
      </c>
      <c r="F550" s="1762" t="s">
        <v>3197</v>
      </c>
      <c r="G550" s="1770" t="s">
        <v>3198</v>
      </c>
    </row>
    <row r="551" spans="1:7" ht="12">
      <c r="A551" s="1472" t="s">
        <v>688</v>
      </c>
      <c r="B551" s="1472" t="s">
        <v>2670</v>
      </c>
      <c r="C551" s="1472">
        <v>4</v>
      </c>
      <c r="D551" s="1776" t="s">
        <v>150</v>
      </c>
      <c r="E551" s="1761" t="s">
        <v>150</v>
      </c>
      <c r="F551" s="1762" t="s">
        <v>3199</v>
      </c>
      <c r="G551" s="1770" t="s">
        <v>3200</v>
      </c>
    </row>
    <row r="552" spans="1:7" ht="12">
      <c r="A552" s="1472" t="s">
        <v>688</v>
      </c>
      <c r="B552" s="1472" t="s">
        <v>2670</v>
      </c>
      <c r="C552" s="1472">
        <v>4</v>
      </c>
      <c r="D552" s="1776" t="s">
        <v>151</v>
      </c>
      <c r="E552" s="1761" t="s">
        <v>151</v>
      </c>
      <c r="F552" s="1762" t="s">
        <v>3201</v>
      </c>
      <c r="G552" s="1770" t="s">
        <v>3202</v>
      </c>
    </row>
    <row r="553" spans="1:7" ht="12">
      <c r="A553" s="1472" t="s">
        <v>688</v>
      </c>
      <c r="B553" s="1472" t="s">
        <v>2670</v>
      </c>
      <c r="C553" s="1472">
        <v>4</v>
      </c>
      <c r="D553" s="1776" t="s">
        <v>152</v>
      </c>
      <c r="E553" s="1761" t="s">
        <v>152</v>
      </c>
      <c r="F553" s="1762" t="s">
        <v>3203</v>
      </c>
      <c r="G553" s="1770" t="s">
        <v>3204</v>
      </c>
    </row>
    <row r="554" spans="1:7" ht="12">
      <c r="A554" s="1472" t="s">
        <v>688</v>
      </c>
      <c r="B554" s="1472" t="s">
        <v>2670</v>
      </c>
      <c r="C554" s="1472">
        <v>4</v>
      </c>
      <c r="D554" s="1776" t="s">
        <v>153</v>
      </c>
      <c r="E554" s="1761" t="s">
        <v>153</v>
      </c>
      <c r="F554" s="1762" t="s">
        <v>3205</v>
      </c>
      <c r="G554" s="1770" t="s">
        <v>3206</v>
      </c>
    </row>
    <row r="555" spans="1:7" ht="12">
      <c r="A555" s="1472" t="s">
        <v>688</v>
      </c>
      <c r="B555" s="1472" t="s">
        <v>2670</v>
      </c>
      <c r="C555" s="1472">
        <v>4</v>
      </c>
      <c r="D555" s="1776" t="s">
        <v>154</v>
      </c>
      <c r="E555" s="1761" t="s">
        <v>154</v>
      </c>
      <c r="F555" s="1762" t="s">
        <v>3207</v>
      </c>
      <c r="G555" s="1770" t="s">
        <v>3208</v>
      </c>
    </row>
    <row r="556" spans="1:7" ht="12">
      <c r="A556" s="1472" t="s">
        <v>688</v>
      </c>
      <c r="B556" s="1472" t="s">
        <v>2670</v>
      </c>
      <c r="C556" s="1472">
        <v>4</v>
      </c>
      <c r="D556" s="1776" t="s">
        <v>155</v>
      </c>
      <c r="E556" s="1761" t="s">
        <v>155</v>
      </c>
      <c r="F556" s="1762" t="s">
        <v>3209</v>
      </c>
      <c r="G556" s="1770" t="s">
        <v>3210</v>
      </c>
    </row>
    <row r="557" spans="1:7" ht="12">
      <c r="A557" s="1472" t="s">
        <v>688</v>
      </c>
      <c r="B557" s="1472" t="s">
        <v>2670</v>
      </c>
      <c r="C557" s="1472">
        <v>4</v>
      </c>
      <c r="D557" s="1776" t="s">
        <v>156</v>
      </c>
      <c r="E557" s="1761" t="s">
        <v>156</v>
      </c>
      <c r="F557" s="1762" t="s">
        <v>3211</v>
      </c>
      <c r="G557" s="1770" t="s">
        <v>3212</v>
      </c>
    </row>
    <row r="558" spans="1:7" ht="12">
      <c r="A558" s="1472" t="s">
        <v>688</v>
      </c>
      <c r="B558" s="1472" t="s">
        <v>2670</v>
      </c>
      <c r="C558" s="1472">
        <v>4</v>
      </c>
      <c r="D558" s="1776" t="s">
        <v>157</v>
      </c>
      <c r="E558" s="1761" t="s">
        <v>157</v>
      </c>
      <c r="F558" s="1762" t="s">
        <v>3213</v>
      </c>
      <c r="G558" s="1770" t="s">
        <v>3214</v>
      </c>
    </row>
    <row r="559" spans="1:7" ht="12">
      <c r="A559" s="1472" t="s">
        <v>688</v>
      </c>
      <c r="B559" s="1472" t="s">
        <v>2670</v>
      </c>
      <c r="C559" s="1472">
        <v>4</v>
      </c>
      <c r="D559" s="1776" t="s">
        <v>158</v>
      </c>
      <c r="E559" s="1761" t="s">
        <v>158</v>
      </c>
      <c r="F559" s="1762" t="s">
        <v>3215</v>
      </c>
      <c r="G559" s="1770" t="s">
        <v>3216</v>
      </c>
    </row>
    <row r="560" spans="1:7" ht="12">
      <c r="A560" s="1472" t="s">
        <v>688</v>
      </c>
      <c r="B560" s="1472" t="s">
        <v>2670</v>
      </c>
      <c r="C560" s="1472">
        <v>4</v>
      </c>
      <c r="D560" s="1776" t="s">
        <v>159</v>
      </c>
      <c r="E560" s="1761" t="s">
        <v>159</v>
      </c>
      <c r="F560" s="1762" t="s">
        <v>3217</v>
      </c>
      <c r="G560" s="1770" t="s">
        <v>3218</v>
      </c>
    </row>
    <row r="561" spans="1:7" ht="12">
      <c r="A561" s="1472" t="s">
        <v>688</v>
      </c>
      <c r="B561" s="1472" t="s">
        <v>2670</v>
      </c>
      <c r="C561" s="1472">
        <v>4</v>
      </c>
      <c r="D561" s="1776" t="s">
        <v>160</v>
      </c>
      <c r="E561" s="1761" t="s">
        <v>160</v>
      </c>
      <c r="F561" s="1762" t="s">
        <v>3219</v>
      </c>
      <c r="G561" s="1770" t="s">
        <v>3220</v>
      </c>
    </row>
    <row r="562" spans="1:7" ht="12">
      <c r="A562" s="1472" t="s">
        <v>688</v>
      </c>
      <c r="B562" s="1472" t="s">
        <v>2670</v>
      </c>
      <c r="C562" s="1472">
        <v>4</v>
      </c>
      <c r="D562" s="1776" t="s">
        <v>161</v>
      </c>
      <c r="E562" s="1761" t="s">
        <v>161</v>
      </c>
      <c r="F562" s="1762" t="s">
        <v>3221</v>
      </c>
      <c r="G562" s="1770" t="s">
        <v>3222</v>
      </c>
    </row>
    <row r="563" spans="1:7" ht="12">
      <c r="A563" s="1472" t="s">
        <v>688</v>
      </c>
      <c r="B563" s="1472" t="s">
        <v>2670</v>
      </c>
      <c r="C563" s="1472">
        <v>4</v>
      </c>
      <c r="D563" s="1776" t="s">
        <v>162</v>
      </c>
      <c r="E563" s="1761" t="s">
        <v>162</v>
      </c>
      <c r="F563" s="1762" t="s">
        <v>3223</v>
      </c>
      <c r="G563" s="1770" t="s">
        <v>3224</v>
      </c>
    </row>
    <row r="564" spans="1:7" ht="12">
      <c r="A564" s="1472" t="s">
        <v>688</v>
      </c>
      <c r="B564" s="1472" t="s">
        <v>2670</v>
      </c>
      <c r="C564" s="1472">
        <v>4</v>
      </c>
      <c r="D564" s="1776" t="s">
        <v>163</v>
      </c>
      <c r="E564" s="1761" t="s">
        <v>163</v>
      </c>
      <c r="F564" s="1762" t="s">
        <v>3225</v>
      </c>
      <c r="G564" s="1770" t="s">
        <v>3226</v>
      </c>
    </row>
    <row r="565" spans="1:7" ht="12">
      <c r="A565" s="1472" t="s">
        <v>688</v>
      </c>
      <c r="B565" s="1472" t="s">
        <v>2670</v>
      </c>
      <c r="C565" s="1472">
        <v>4</v>
      </c>
      <c r="D565" s="1776" t="s">
        <v>164</v>
      </c>
      <c r="E565" s="1761" t="s">
        <v>164</v>
      </c>
      <c r="F565" s="1762" t="s">
        <v>3227</v>
      </c>
      <c r="G565" s="1770" t="s">
        <v>3228</v>
      </c>
    </row>
    <row r="566" spans="1:7" ht="12">
      <c r="A566" s="1472" t="s">
        <v>688</v>
      </c>
      <c r="B566" s="1472" t="s">
        <v>2670</v>
      </c>
      <c r="C566" s="1472">
        <v>4</v>
      </c>
      <c r="D566" s="1776" t="s">
        <v>165</v>
      </c>
      <c r="E566" s="1761" t="s">
        <v>165</v>
      </c>
      <c r="F566" s="1762" t="s">
        <v>3229</v>
      </c>
      <c r="G566" s="1770" t="s">
        <v>3230</v>
      </c>
    </row>
    <row r="567" spans="1:7" ht="12">
      <c r="A567" s="1472" t="s">
        <v>688</v>
      </c>
      <c r="B567" s="1472" t="s">
        <v>2670</v>
      </c>
      <c r="C567" s="1472">
        <v>4</v>
      </c>
      <c r="D567" s="1776" t="s">
        <v>143</v>
      </c>
      <c r="E567" s="1761" t="s">
        <v>143</v>
      </c>
      <c r="F567" s="1762" t="s">
        <v>3231</v>
      </c>
      <c r="G567" s="1770" t="s">
        <v>3232</v>
      </c>
    </row>
    <row r="568" spans="1:7" ht="12">
      <c r="A568" s="1472" t="s">
        <v>688</v>
      </c>
      <c r="B568" s="1472" t="s">
        <v>2670</v>
      </c>
      <c r="C568" s="1472">
        <v>4</v>
      </c>
      <c r="D568" s="1776" t="s">
        <v>166</v>
      </c>
      <c r="E568" s="1761" t="s">
        <v>166</v>
      </c>
      <c r="F568" s="1762" t="s">
        <v>3233</v>
      </c>
      <c r="G568" s="1770" t="s">
        <v>3234</v>
      </c>
    </row>
    <row r="569" spans="1:7" ht="12">
      <c r="A569" s="1472" t="s">
        <v>688</v>
      </c>
      <c r="B569" s="1472" t="s">
        <v>2670</v>
      </c>
      <c r="C569" s="1472">
        <v>4</v>
      </c>
      <c r="D569" s="1776" t="s">
        <v>167</v>
      </c>
      <c r="E569" s="1761" t="s">
        <v>167</v>
      </c>
      <c r="F569" s="1762" t="s">
        <v>3235</v>
      </c>
      <c r="G569" s="1770" t="s">
        <v>3236</v>
      </c>
    </row>
    <row r="570" spans="1:7" ht="12">
      <c r="A570" s="1472" t="s">
        <v>688</v>
      </c>
      <c r="B570" s="1472" t="s">
        <v>2670</v>
      </c>
      <c r="C570" s="1472">
        <v>4</v>
      </c>
      <c r="D570" s="1776" t="s">
        <v>144</v>
      </c>
      <c r="E570" s="1761" t="s">
        <v>144</v>
      </c>
      <c r="F570" s="1762" t="s">
        <v>3237</v>
      </c>
      <c r="G570" s="1770" t="s">
        <v>144</v>
      </c>
    </row>
    <row r="571" spans="1:7" ht="12">
      <c r="A571" s="1472" t="s">
        <v>688</v>
      </c>
      <c r="B571" s="1472" t="s">
        <v>2670</v>
      </c>
      <c r="C571" s="1472">
        <v>4</v>
      </c>
      <c r="D571" s="1776" t="s">
        <v>168</v>
      </c>
      <c r="E571" s="1761" t="s">
        <v>168</v>
      </c>
      <c r="F571" s="1762" t="s">
        <v>3238</v>
      </c>
      <c r="G571" s="1770" t="s">
        <v>3239</v>
      </c>
    </row>
    <row r="572" spans="1:7" ht="12">
      <c r="A572" s="1472" t="s">
        <v>688</v>
      </c>
      <c r="B572" s="1472" t="s">
        <v>2670</v>
      </c>
      <c r="C572" s="1472">
        <v>4</v>
      </c>
      <c r="D572" s="1776" t="s">
        <v>2503</v>
      </c>
      <c r="E572" s="1761" t="s">
        <v>2503</v>
      </c>
      <c r="F572" s="1762" t="s">
        <v>3240</v>
      </c>
      <c r="G572" s="1770" t="s">
        <v>3241</v>
      </c>
    </row>
    <row r="573" spans="1:7" ht="12">
      <c r="A573" s="1472" t="s">
        <v>688</v>
      </c>
      <c r="B573" s="1472" t="s">
        <v>2670</v>
      </c>
      <c r="C573" s="1472">
        <v>4</v>
      </c>
      <c r="D573" s="1776" t="s">
        <v>2671</v>
      </c>
      <c r="E573" s="1761" t="s">
        <v>2671</v>
      </c>
      <c r="F573" s="1762" t="s">
        <v>3242</v>
      </c>
      <c r="G573" s="1770" t="s">
        <v>3243</v>
      </c>
    </row>
    <row r="574" spans="1:7" ht="180">
      <c r="A574" s="1472" t="s">
        <v>19</v>
      </c>
      <c r="B574" s="1472" t="s">
        <v>3293</v>
      </c>
      <c r="D574" s="1776" t="s">
        <v>3294</v>
      </c>
      <c r="E574" s="1761" t="s">
        <v>3294</v>
      </c>
      <c r="F574" s="1762" t="s">
        <v>3295</v>
      </c>
      <c r="G574" s="1770" t="s">
        <v>3296</v>
      </c>
    </row>
    <row r="575" spans="1:7" ht="252">
      <c r="A575" s="1472" t="s">
        <v>19</v>
      </c>
      <c r="B575" s="1472" t="s">
        <v>3293</v>
      </c>
      <c r="D575" s="1776" t="s">
        <v>3297</v>
      </c>
      <c r="E575" s="1761" t="s">
        <v>3297</v>
      </c>
      <c r="F575" s="1762" t="s">
        <v>3298</v>
      </c>
      <c r="G575" s="1770" t="s">
        <v>3299</v>
      </c>
    </row>
    <row r="576" spans="1:7" ht="180">
      <c r="A576" s="1472" t="s">
        <v>19</v>
      </c>
      <c r="B576" s="1472" t="s">
        <v>3293</v>
      </c>
      <c r="D576" s="1776" t="s">
        <v>3300</v>
      </c>
      <c r="E576" s="1761" t="s">
        <v>3300</v>
      </c>
      <c r="F576" s="1762" t="s">
        <v>3301</v>
      </c>
      <c r="G576" s="1773" t="s">
        <v>3302</v>
      </c>
    </row>
    <row r="577" spans="1:7" ht="300">
      <c r="A577" s="1472" t="s">
        <v>19</v>
      </c>
      <c r="B577" s="1472" t="s">
        <v>3293</v>
      </c>
      <c r="D577" s="1776" t="s">
        <v>3303</v>
      </c>
      <c r="E577" s="1761" t="s">
        <v>3303</v>
      </c>
      <c r="F577" s="1762" t="s">
        <v>3304</v>
      </c>
      <c r="G577" s="1770" t="s">
        <v>3305</v>
      </c>
    </row>
    <row r="578" spans="1:7" ht="12">
      <c r="A578" s="1472" t="s">
        <v>19</v>
      </c>
      <c r="B578" s="1472" t="s">
        <v>3293</v>
      </c>
      <c r="D578" s="1776"/>
      <c r="E578" s="1763"/>
      <c r="F578" s="1763"/>
      <c r="G578" s="1763"/>
    </row>
    <row r="579" spans="1:7" ht="24">
      <c r="A579" s="1472" t="s">
        <v>19</v>
      </c>
      <c r="B579" s="1472" t="s">
        <v>687</v>
      </c>
      <c r="C579" s="1472" t="s">
        <v>3174</v>
      </c>
      <c r="D579" s="1776" t="s">
        <v>2660</v>
      </c>
      <c r="E579" s="1761" t="s">
        <v>2660</v>
      </c>
      <c r="F579" s="1762" t="s">
        <v>3306</v>
      </c>
      <c r="G579" s="1770" t="s">
        <v>3307</v>
      </c>
    </row>
    <row r="580" spans="1:7" ht="12">
      <c r="A580" s="1472" t="s">
        <v>19</v>
      </c>
      <c r="B580" s="1472" t="s">
        <v>687</v>
      </c>
      <c r="C580" s="1472" t="s">
        <v>3174</v>
      </c>
      <c r="D580" s="1776" t="s">
        <v>1</v>
      </c>
      <c r="E580" s="1761" t="s">
        <v>1</v>
      </c>
      <c r="F580" s="1762" t="s">
        <v>3112</v>
      </c>
      <c r="G580" s="1770" t="s">
        <v>3113</v>
      </c>
    </row>
    <row r="581" spans="1:7" ht="12">
      <c r="A581" s="1472" t="s">
        <v>19</v>
      </c>
      <c r="B581" s="1472" t="s">
        <v>687</v>
      </c>
      <c r="C581" s="1472" t="s">
        <v>3174</v>
      </c>
      <c r="D581" s="1776" t="s">
        <v>2</v>
      </c>
      <c r="E581" s="1761" t="s">
        <v>2</v>
      </c>
      <c r="F581" s="1762" t="s">
        <v>3143</v>
      </c>
      <c r="G581" s="1770" t="s">
        <v>3144</v>
      </c>
    </row>
    <row r="582" spans="1:7" ht="12">
      <c r="A582" s="1472" t="s">
        <v>19</v>
      </c>
      <c r="B582" s="1472" t="s">
        <v>687</v>
      </c>
      <c r="C582" s="1472" t="s">
        <v>3174</v>
      </c>
      <c r="D582" s="1776" t="s">
        <v>3</v>
      </c>
      <c r="E582" s="1761" t="s">
        <v>3</v>
      </c>
      <c r="F582" s="1762" t="s">
        <v>3118</v>
      </c>
      <c r="G582" s="1770" t="s">
        <v>3119</v>
      </c>
    </row>
    <row r="583" spans="1:7" ht="12">
      <c r="A583" s="1472" t="s">
        <v>19</v>
      </c>
      <c r="B583" s="1472" t="s">
        <v>687</v>
      </c>
      <c r="C583" s="1472" t="s">
        <v>3174</v>
      </c>
      <c r="D583" s="1776" t="s">
        <v>4</v>
      </c>
      <c r="E583" s="1761" t="s">
        <v>4</v>
      </c>
      <c r="F583" s="1762" t="s">
        <v>3122</v>
      </c>
      <c r="G583" s="1770" t="s">
        <v>3123</v>
      </c>
    </row>
    <row r="584" spans="1:7" ht="204">
      <c r="A584" s="1472" t="s">
        <v>19</v>
      </c>
      <c r="B584" s="1472" t="s">
        <v>687</v>
      </c>
      <c r="C584" s="1472">
        <v>1</v>
      </c>
      <c r="D584" s="1776" t="s">
        <v>3308</v>
      </c>
      <c r="E584" s="1761" t="s">
        <v>3308</v>
      </c>
      <c r="F584" s="1762" t="s">
        <v>3309</v>
      </c>
      <c r="G584" s="1772" t="s">
        <v>3245</v>
      </c>
    </row>
    <row r="585" spans="1:7" ht="12">
      <c r="A585" s="1472" t="s">
        <v>19</v>
      </c>
      <c r="B585" s="1472" t="s">
        <v>687</v>
      </c>
      <c r="C585" s="1472">
        <v>1</v>
      </c>
      <c r="D585" s="1776" t="s">
        <v>1028</v>
      </c>
      <c r="E585" s="1761" t="s">
        <v>1028</v>
      </c>
      <c r="F585" s="1762" t="s">
        <v>3179</v>
      </c>
      <c r="G585" s="1770" t="s">
        <v>3180</v>
      </c>
    </row>
    <row r="586" spans="1:7" ht="12">
      <c r="A586" s="1472" t="s">
        <v>19</v>
      </c>
      <c r="B586" s="1472" t="s">
        <v>687</v>
      </c>
      <c r="C586" s="1472">
        <v>1</v>
      </c>
      <c r="D586" s="1776" t="s">
        <v>140</v>
      </c>
      <c r="E586" s="1761" t="s">
        <v>140</v>
      </c>
      <c r="F586" s="1762" t="s">
        <v>3181</v>
      </c>
      <c r="G586" s="1770" t="s">
        <v>3182</v>
      </c>
    </row>
    <row r="587" spans="1:7" ht="24">
      <c r="A587" s="1472" t="s">
        <v>19</v>
      </c>
      <c r="B587" s="1472" t="s">
        <v>687</v>
      </c>
      <c r="C587" s="1472">
        <v>1</v>
      </c>
      <c r="D587" s="1776" t="s">
        <v>141</v>
      </c>
      <c r="E587" s="1761" t="s">
        <v>141</v>
      </c>
      <c r="F587" s="1762" t="s">
        <v>3183</v>
      </c>
      <c r="G587" s="1770" t="s">
        <v>3184</v>
      </c>
    </row>
    <row r="588" spans="1:7" ht="12">
      <c r="A588" s="1472" t="s">
        <v>19</v>
      </c>
      <c r="B588" s="1472" t="s">
        <v>687</v>
      </c>
      <c r="C588" s="1472">
        <v>1</v>
      </c>
      <c r="D588" s="1776" t="s">
        <v>142</v>
      </c>
      <c r="E588" s="1761" t="s">
        <v>142</v>
      </c>
      <c r="F588" s="1762" t="s">
        <v>3185</v>
      </c>
      <c r="G588" s="1770" t="s">
        <v>3186</v>
      </c>
    </row>
    <row r="589" spans="1:7" ht="12">
      <c r="A589" s="1472" t="s">
        <v>19</v>
      </c>
      <c r="B589" s="1472" t="s">
        <v>687</v>
      </c>
      <c r="C589" s="1472">
        <v>1</v>
      </c>
      <c r="D589" s="1776" t="s">
        <v>49</v>
      </c>
      <c r="E589" s="1761" t="s">
        <v>49</v>
      </c>
      <c r="F589" s="1762" t="s">
        <v>3187</v>
      </c>
      <c r="G589" s="1770" t="s">
        <v>3188</v>
      </c>
    </row>
    <row r="590" spans="1:7" ht="12">
      <c r="A590" s="1472" t="s">
        <v>19</v>
      </c>
      <c r="B590" s="1472" t="s">
        <v>687</v>
      </c>
      <c r="C590" s="1472">
        <v>1</v>
      </c>
      <c r="D590" s="1776" t="s">
        <v>189</v>
      </c>
      <c r="E590" s="1761" t="s">
        <v>189</v>
      </c>
      <c r="F590" s="1762" t="s">
        <v>3189</v>
      </c>
      <c r="G590" s="1770" t="s">
        <v>3190</v>
      </c>
    </row>
    <row r="591" spans="1:7" ht="12">
      <c r="A591" s="1472" t="s">
        <v>19</v>
      </c>
      <c r="B591" s="1472" t="s">
        <v>687</v>
      </c>
      <c r="C591" s="1472">
        <v>1</v>
      </c>
      <c r="D591" s="1776" t="s">
        <v>146</v>
      </c>
      <c r="E591" s="1761" t="s">
        <v>146</v>
      </c>
      <c r="F591" s="1762" t="s">
        <v>3191</v>
      </c>
      <c r="G591" s="1770" t="s">
        <v>3192</v>
      </c>
    </row>
    <row r="592" spans="1:7" ht="12">
      <c r="A592" s="1472" t="s">
        <v>19</v>
      </c>
      <c r="B592" s="1472" t="s">
        <v>687</v>
      </c>
      <c r="C592" s="1472">
        <v>1</v>
      </c>
      <c r="D592" s="1776" t="s">
        <v>147</v>
      </c>
      <c r="E592" s="1761" t="s">
        <v>147</v>
      </c>
      <c r="F592" s="1762" t="s">
        <v>3193</v>
      </c>
      <c r="G592" s="1770" t="s">
        <v>3194</v>
      </c>
    </row>
    <row r="593" spans="1:7" ht="12">
      <c r="A593" s="1472" t="s">
        <v>19</v>
      </c>
      <c r="B593" s="1472" t="s">
        <v>687</v>
      </c>
      <c r="C593" s="1472">
        <v>1</v>
      </c>
      <c r="D593" s="1776" t="s">
        <v>148</v>
      </c>
      <c r="E593" s="1761" t="s">
        <v>148</v>
      </c>
      <c r="F593" s="1762" t="s">
        <v>3195</v>
      </c>
      <c r="G593" s="1770" t="s">
        <v>3196</v>
      </c>
    </row>
    <row r="594" spans="1:7" ht="12">
      <c r="A594" s="1472" t="s">
        <v>19</v>
      </c>
      <c r="B594" s="1472" t="s">
        <v>687</v>
      </c>
      <c r="C594" s="1472">
        <v>1</v>
      </c>
      <c r="D594" s="1776" t="s">
        <v>149</v>
      </c>
      <c r="E594" s="1761" t="s">
        <v>149</v>
      </c>
      <c r="F594" s="1762" t="s">
        <v>3197</v>
      </c>
      <c r="G594" s="1770" t="s">
        <v>3198</v>
      </c>
    </row>
    <row r="595" spans="1:7" ht="12">
      <c r="A595" s="1472" t="s">
        <v>19</v>
      </c>
      <c r="B595" s="1472" t="s">
        <v>687</v>
      </c>
      <c r="C595" s="1472">
        <v>1</v>
      </c>
      <c r="D595" s="1776" t="s">
        <v>150</v>
      </c>
      <c r="E595" s="1761" t="s">
        <v>150</v>
      </c>
      <c r="F595" s="1762" t="s">
        <v>3199</v>
      </c>
      <c r="G595" s="1770" t="s">
        <v>3200</v>
      </c>
    </row>
    <row r="596" spans="1:7" ht="12">
      <c r="A596" s="1472" t="s">
        <v>19</v>
      </c>
      <c r="B596" s="1472" t="s">
        <v>687</v>
      </c>
      <c r="C596" s="1472">
        <v>1</v>
      </c>
      <c r="D596" s="1776" t="s">
        <v>151</v>
      </c>
      <c r="E596" s="1761" t="s">
        <v>151</v>
      </c>
      <c r="F596" s="1762" t="s">
        <v>3201</v>
      </c>
      <c r="G596" s="1770" t="s">
        <v>3202</v>
      </c>
    </row>
    <row r="597" spans="1:7" ht="12">
      <c r="A597" s="1472" t="s">
        <v>19</v>
      </c>
      <c r="B597" s="1472" t="s">
        <v>687</v>
      </c>
      <c r="C597" s="1472">
        <v>1</v>
      </c>
      <c r="D597" s="1776" t="s">
        <v>152</v>
      </c>
      <c r="E597" s="1761" t="s">
        <v>152</v>
      </c>
      <c r="F597" s="1762" t="s">
        <v>3203</v>
      </c>
      <c r="G597" s="1770" t="s">
        <v>3204</v>
      </c>
    </row>
    <row r="598" spans="1:7" ht="12">
      <c r="A598" s="1472" t="s">
        <v>19</v>
      </c>
      <c r="B598" s="1472" t="s">
        <v>687</v>
      </c>
      <c r="C598" s="1472">
        <v>1</v>
      </c>
      <c r="D598" s="1776" t="s">
        <v>153</v>
      </c>
      <c r="E598" s="1761" t="s">
        <v>153</v>
      </c>
      <c r="F598" s="1762" t="s">
        <v>3205</v>
      </c>
      <c r="G598" s="1770" t="s">
        <v>3206</v>
      </c>
    </row>
    <row r="599" spans="1:7" ht="12">
      <c r="A599" s="1472" t="s">
        <v>19</v>
      </c>
      <c r="B599" s="1472" t="s">
        <v>687</v>
      </c>
      <c r="C599" s="1472">
        <v>1</v>
      </c>
      <c r="D599" s="1776" t="s">
        <v>154</v>
      </c>
      <c r="E599" s="1761" t="s">
        <v>154</v>
      </c>
      <c r="F599" s="1762" t="s">
        <v>3207</v>
      </c>
      <c r="G599" s="1770" t="s">
        <v>3208</v>
      </c>
    </row>
    <row r="600" spans="1:7" ht="12">
      <c r="A600" s="1472" t="s">
        <v>19</v>
      </c>
      <c r="B600" s="1472" t="s">
        <v>687</v>
      </c>
      <c r="C600" s="1472">
        <v>1</v>
      </c>
      <c r="D600" s="1776" t="s">
        <v>155</v>
      </c>
      <c r="E600" s="1761" t="s">
        <v>155</v>
      </c>
      <c r="F600" s="1762" t="s">
        <v>3209</v>
      </c>
      <c r="G600" s="1770" t="s">
        <v>3210</v>
      </c>
    </row>
    <row r="601" spans="1:7" ht="12">
      <c r="A601" s="1472" t="s">
        <v>19</v>
      </c>
      <c r="B601" s="1472" t="s">
        <v>687</v>
      </c>
      <c r="C601" s="1472">
        <v>1</v>
      </c>
      <c r="D601" s="1776" t="s">
        <v>156</v>
      </c>
      <c r="E601" s="1761" t="s">
        <v>156</v>
      </c>
      <c r="F601" s="1762" t="s">
        <v>3211</v>
      </c>
      <c r="G601" s="1770" t="s">
        <v>3212</v>
      </c>
    </row>
    <row r="602" spans="1:7" ht="12">
      <c r="A602" s="1472" t="s">
        <v>19</v>
      </c>
      <c r="B602" s="1472" t="s">
        <v>687</v>
      </c>
      <c r="C602" s="1472">
        <v>1</v>
      </c>
      <c r="D602" s="1776" t="s">
        <v>157</v>
      </c>
      <c r="E602" s="1761" t="s">
        <v>157</v>
      </c>
      <c r="F602" s="1762" t="s">
        <v>3213</v>
      </c>
      <c r="G602" s="1770" t="s">
        <v>3214</v>
      </c>
    </row>
    <row r="603" spans="1:7" ht="12">
      <c r="A603" s="1472" t="s">
        <v>19</v>
      </c>
      <c r="B603" s="1472" t="s">
        <v>687</v>
      </c>
      <c r="C603" s="1472">
        <v>1</v>
      </c>
      <c r="D603" s="1776" t="s">
        <v>158</v>
      </c>
      <c r="E603" s="1761" t="s">
        <v>158</v>
      </c>
      <c r="F603" s="1762" t="s">
        <v>3215</v>
      </c>
      <c r="G603" s="1770" t="s">
        <v>3216</v>
      </c>
    </row>
    <row r="604" spans="1:7" ht="12">
      <c r="A604" s="1472" t="s">
        <v>19</v>
      </c>
      <c r="B604" s="1472" t="s">
        <v>687</v>
      </c>
      <c r="C604" s="1472">
        <v>1</v>
      </c>
      <c r="D604" s="1776" t="s">
        <v>159</v>
      </c>
      <c r="E604" s="1761" t="s">
        <v>159</v>
      </c>
      <c r="F604" s="1762" t="s">
        <v>3217</v>
      </c>
      <c r="G604" s="1770" t="s">
        <v>3218</v>
      </c>
    </row>
    <row r="605" spans="1:7" ht="12">
      <c r="A605" s="1472" t="s">
        <v>19</v>
      </c>
      <c r="B605" s="1472" t="s">
        <v>687</v>
      </c>
      <c r="C605" s="1472">
        <v>1</v>
      </c>
      <c r="D605" s="1776" t="s">
        <v>160</v>
      </c>
      <c r="E605" s="1761" t="s">
        <v>160</v>
      </c>
      <c r="F605" s="1762" t="s">
        <v>3219</v>
      </c>
      <c r="G605" s="1770" t="s">
        <v>3220</v>
      </c>
    </row>
    <row r="606" spans="1:7" ht="12">
      <c r="A606" s="1472" t="s">
        <v>19</v>
      </c>
      <c r="B606" s="1472" t="s">
        <v>687</v>
      </c>
      <c r="C606" s="1472">
        <v>1</v>
      </c>
      <c r="D606" s="1776" t="s">
        <v>161</v>
      </c>
      <c r="E606" s="1761" t="s">
        <v>161</v>
      </c>
      <c r="F606" s="1762" t="s">
        <v>3221</v>
      </c>
      <c r="G606" s="1770" t="s">
        <v>3222</v>
      </c>
    </row>
    <row r="607" spans="1:7" ht="12">
      <c r="A607" s="1472" t="s">
        <v>19</v>
      </c>
      <c r="B607" s="1472" t="s">
        <v>687</v>
      </c>
      <c r="C607" s="1472">
        <v>1</v>
      </c>
      <c r="D607" s="1776" t="s">
        <v>162</v>
      </c>
      <c r="E607" s="1761" t="s">
        <v>162</v>
      </c>
      <c r="F607" s="1762" t="s">
        <v>3223</v>
      </c>
      <c r="G607" s="1770" t="s">
        <v>3224</v>
      </c>
    </row>
    <row r="608" spans="1:7" ht="12">
      <c r="A608" s="1472" t="s">
        <v>19</v>
      </c>
      <c r="B608" s="1472" t="s">
        <v>687</v>
      </c>
      <c r="C608" s="1472">
        <v>1</v>
      </c>
      <c r="D608" s="1776" t="s">
        <v>163</v>
      </c>
      <c r="E608" s="1761" t="s">
        <v>163</v>
      </c>
      <c r="F608" s="1762" t="s">
        <v>3225</v>
      </c>
      <c r="G608" s="1770" t="s">
        <v>3226</v>
      </c>
    </row>
    <row r="609" spans="1:7" ht="12">
      <c r="A609" s="1472" t="s">
        <v>19</v>
      </c>
      <c r="B609" s="1472" t="s">
        <v>687</v>
      </c>
      <c r="C609" s="1472">
        <v>1</v>
      </c>
      <c r="D609" s="1776" t="s">
        <v>164</v>
      </c>
      <c r="E609" s="1761" t="s">
        <v>164</v>
      </c>
      <c r="F609" s="1762" t="s">
        <v>3227</v>
      </c>
      <c r="G609" s="1770" t="s">
        <v>3228</v>
      </c>
    </row>
    <row r="610" spans="1:7" ht="12">
      <c r="A610" s="1472" t="s">
        <v>19</v>
      </c>
      <c r="B610" s="1472" t="s">
        <v>687</v>
      </c>
      <c r="C610" s="1472">
        <v>1</v>
      </c>
      <c r="D610" s="1776" t="s">
        <v>165</v>
      </c>
      <c r="E610" s="1761" t="s">
        <v>165</v>
      </c>
      <c r="F610" s="1762" t="s">
        <v>3229</v>
      </c>
      <c r="G610" s="1770" t="s">
        <v>3230</v>
      </c>
    </row>
    <row r="611" spans="1:7" ht="12">
      <c r="A611" s="1472" t="s">
        <v>19</v>
      </c>
      <c r="B611" s="1472" t="s">
        <v>687</v>
      </c>
      <c r="C611" s="1472">
        <v>1</v>
      </c>
      <c r="D611" s="1776" t="s">
        <v>143</v>
      </c>
      <c r="E611" s="1761" t="s">
        <v>143</v>
      </c>
      <c r="F611" s="1762" t="s">
        <v>3231</v>
      </c>
      <c r="G611" s="1770" t="s">
        <v>3232</v>
      </c>
    </row>
    <row r="612" spans="1:7" ht="12">
      <c r="A612" s="1472" t="s">
        <v>19</v>
      </c>
      <c r="B612" s="1472" t="s">
        <v>687</v>
      </c>
      <c r="C612" s="1472">
        <v>1</v>
      </c>
      <c r="D612" s="1776" t="s">
        <v>166</v>
      </c>
      <c r="E612" s="1761" t="s">
        <v>166</v>
      </c>
      <c r="F612" s="1762" t="s">
        <v>3233</v>
      </c>
      <c r="G612" s="1770" t="s">
        <v>3234</v>
      </c>
    </row>
    <row r="613" spans="1:7" ht="12">
      <c r="A613" s="1472" t="s">
        <v>19</v>
      </c>
      <c r="B613" s="1472" t="s">
        <v>687</v>
      </c>
      <c r="C613" s="1472">
        <v>1</v>
      </c>
      <c r="D613" s="1776" t="s">
        <v>167</v>
      </c>
      <c r="E613" s="1761" t="s">
        <v>167</v>
      </c>
      <c r="F613" s="1762" t="s">
        <v>3235</v>
      </c>
      <c r="G613" s="1770" t="s">
        <v>3236</v>
      </c>
    </row>
    <row r="614" spans="1:7" ht="12">
      <c r="A614" s="1472" t="s">
        <v>19</v>
      </c>
      <c r="B614" s="1472" t="s">
        <v>687</v>
      </c>
      <c r="C614" s="1472">
        <v>1</v>
      </c>
      <c r="D614" s="1776" t="s">
        <v>144</v>
      </c>
      <c r="E614" s="1761" t="s">
        <v>144</v>
      </c>
      <c r="F614" s="1762" t="s">
        <v>3237</v>
      </c>
      <c r="G614" s="1770" t="s">
        <v>144</v>
      </c>
    </row>
    <row r="615" spans="1:7" ht="12">
      <c r="A615" s="1472" t="s">
        <v>19</v>
      </c>
      <c r="B615" s="1472" t="s">
        <v>687</v>
      </c>
      <c r="C615" s="1472">
        <v>1</v>
      </c>
      <c r="D615" s="1776" t="s">
        <v>168</v>
      </c>
      <c r="E615" s="1761" t="s">
        <v>168</v>
      </c>
      <c r="F615" s="1762" t="s">
        <v>3238</v>
      </c>
      <c r="G615" s="1770" t="s">
        <v>3239</v>
      </c>
    </row>
    <row r="616" spans="1:7" ht="12">
      <c r="A616" s="1472" t="s">
        <v>19</v>
      </c>
      <c r="B616" s="1472" t="s">
        <v>687</v>
      </c>
      <c r="C616" s="1472">
        <v>1</v>
      </c>
      <c r="D616" s="1776" t="s">
        <v>2504</v>
      </c>
      <c r="E616" s="1761" t="s">
        <v>2503</v>
      </c>
      <c r="F616" s="1762" t="s">
        <v>3240</v>
      </c>
      <c r="G616" s="1770" t="s">
        <v>3241</v>
      </c>
    </row>
    <row r="617" spans="1:7" ht="12">
      <c r="A617" s="1472" t="s">
        <v>19</v>
      </c>
      <c r="B617" s="1472" t="s">
        <v>687</v>
      </c>
      <c r="C617" s="1472">
        <v>1</v>
      </c>
      <c r="D617" s="1776" t="s">
        <v>2671</v>
      </c>
      <c r="E617" s="1761" t="s">
        <v>2671</v>
      </c>
      <c r="F617" s="1762" t="s">
        <v>3242</v>
      </c>
      <c r="G617" s="1770" t="s">
        <v>3243</v>
      </c>
    </row>
    <row r="618" spans="1:7" ht="204">
      <c r="A618" s="1472" t="s">
        <v>19</v>
      </c>
      <c r="B618" s="1472" t="s">
        <v>687</v>
      </c>
      <c r="C618" s="1472">
        <v>2</v>
      </c>
      <c r="D618" s="1776" t="s">
        <v>3308</v>
      </c>
      <c r="E618" s="1761" t="s">
        <v>3308</v>
      </c>
      <c r="F618" s="1764" t="s">
        <v>3309</v>
      </c>
      <c r="G618" s="1772" t="s">
        <v>3245</v>
      </c>
    </row>
    <row r="619" spans="1:7" ht="12">
      <c r="A619" s="1472" t="s">
        <v>19</v>
      </c>
      <c r="B619" s="1472" t="s">
        <v>687</v>
      </c>
      <c r="C619" s="1472">
        <v>2</v>
      </c>
      <c r="D619" s="1776" t="s">
        <v>1028</v>
      </c>
      <c r="E619" s="1761" t="s">
        <v>1028</v>
      </c>
      <c r="F619" s="1762" t="s">
        <v>3179</v>
      </c>
      <c r="G619" s="1770" t="s">
        <v>3180</v>
      </c>
    </row>
    <row r="620" spans="1:7" ht="12">
      <c r="A620" s="1472" t="s">
        <v>19</v>
      </c>
      <c r="B620" s="1472" t="s">
        <v>687</v>
      </c>
      <c r="C620" s="1472">
        <v>2</v>
      </c>
      <c r="D620" s="1776" t="s">
        <v>140</v>
      </c>
      <c r="E620" s="1761" t="s">
        <v>140</v>
      </c>
      <c r="F620" s="1762" t="s">
        <v>3181</v>
      </c>
      <c r="G620" s="1770" t="s">
        <v>3182</v>
      </c>
    </row>
    <row r="621" spans="1:7" ht="24">
      <c r="A621" s="1472" t="s">
        <v>19</v>
      </c>
      <c r="B621" s="1472" t="s">
        <v>687</v>
      </c>
      <c r="C621" s="1472">
        <v>2</v>
      </c>
      <c r="D621" s="1776" t="s">
        <v>141</v>
      </c>
      <c r="E621" s="1761" t="s">
        <v>141</v>
      </c>
      <c r="F621" s="1762" t="s">
        <v>3183</v>
      </c>
      <c r="G621" s="1770" t="s">
        <v>3184</v>
      </c>
    </row>
    <row r="622" spans="1:7" ht="12">
      <c r="A622" s="1472" t="s">
        <v>19</v>
      </c>
      <c r="B622" s="1472" t="s">
        <v>687</v>
      </c>
      <c r="C622" s="1472">
        <v>2</v>
      </c>
      <c r="D622" s="1776" t="s">
        <v>142</v>
      </c>
      <c r="E622" s="1761" t="s">
        <v>142</v>
      </c>
      <c r="F622" s="1762" t="s">
        <v>3185</v>
      </c>
      <c r="G622" s="1770" t="s">
        <v>3186</v>
      </c>
    </row>
    <row r="623" spans="1:7" ht="12">
      <c r="A623" s="1472" t="s">
        <v>19</v>
      </c>
      <c r="B623" s="1472" t="s">
        <v>687</v>
      </c>
      <c r="C623" s="1472">
        <v>2</v>
      </c>
      <c r="D623" s="1776" t="s">
        <v>49</v>
      </c>
      <c r="E623" s="1761" t="s">
        <v>49</v>
      </c>
      <c r="F623" s="1762" t="s">
        <v>3187</v>
      </c>
      <c r="G623" s="1770" t="s">
        <v>3188</v>
      </c>
    </row>
    <row r="624" spans="1:7" ht="12">
      <c r="A624" s="1472" t="s">
        <v>19</v>
      </c>
      <c r="B624" s="1472" t="s">
        <v>687</v>
      </c>
      <c r="C624" s="1472">
        <v>2</v>
      </c>
      <c r="D624" s="1776" t="s">
        <v>189</v>
      </c>
      <c r="E624" s="1761" t="s">
        <v>189</v>
      </c>
      <c r="F624" s="1762" t="s">
        <v>3189</v>
      </c>
      <c r="G624" s="1770" t="s">
        <v>3190</v>
      </c>
    </row>
    <row r="625" spans="1:7" ht="12">
      <c r="A625" s="1472" t="s">
        <v>19</v>
      </c>
      <c r="B625" s="1472" t="s">
        <v>687</v>
      </c>
      <c r="C625" s="1472">
        <v>2</v>
      </c>
      <c r="D625" s="1776" t="s">
        <v>146</v>
      </c>
      <c r="E625" s="1761" t="s">
        <v>146</v>
      </c>
      <c r="F625" s="1762" t="s">
        <v>3191</v>
      </c>
      <c r="G625" s="1770" t="s">
        <v>3192</v>
      </c>
    </row>
    <row r="626" spans="1:7" ht="12">
      <c r="A626" s="1472" t="s">
        <v>19</v>
      </c>
      <c r="B626" s="1472" t="s">
        <v>687</v>
      </c>
      <c r="C626" s="1472">
        <v>2</v>
      </c>
      <c r="D626" s="1776" t="s">
        <v>147</v>
      </c>
      <c r="E626" s="1761" t="s">
        <v>147</v>
      </c>
      <c r="F626" s="1762" t="s">
        <v>3193</v>
      </c>
      <c r="G626" s="1770" t="s">
        <v>3194</v>
      </c>
    </row>
    <row r="627" spans="1:7" ht="12">
      <c r="A627" s="1472" t="s">
        <v>19</v>
      </c>
      <c r="B627" s="1472" t="s">
        <v>687</v>
      </c>
      <c r="C627" s="1472">
        <v>2</v>
      </c>
      <c r="D627" s="1776" t="s">
        <v>148</v>
      </c>
      <c r="E627" s="1761" t="s">
        <v>148</v>
      </c>
      <c r="F627" s="1762" t="s">
        <v>3195</v>
      </c>
      <c r="G627" s="1770" t="s">
        <v>3196</v>
      </c>
    </row>
    <row r="628" spans="1:7" ht="12">
      <c r="A628" s="1472" t="s">
        <v>19</v>
      </c>
      <c r="B628" s="1472" t="s">
        <v>687</v>
      </c>
      <c r="C628" s="1472">
        <v>2</v>
      </c>
      <c r="D628" s="1776" t="s">
        <v>149</v>
      </c>
      <c r="E628" s="1761" t="s">
        <v>149</v>
      </c>
      <c r="F628" s="1762" t="s">
        <v>3197</v>
      </c>
      <c r="G628" s="1770" t="s">
        <v>3198</v>
      </c>
    </row>
    <row r="629" spans="1:7" ht="12">
      <c r="A629" s="1472" t="s">
        <v>19</v>
      </c>
      <c r="B629" s="1472" t="s">
        <v>687</v>
      </c>
      <c r="C629" s="1472">
        <v>2</v>
      </c>
      <c r="D629" s="1776" t="s">
        <v>150</v>
      </c>
      <c r="E629" s="1761" t="s">
        <v>150</v>
      </c>
      <c r="F629" s="1762" t="s">
        <v>3199</v>
      </c>
      <c r="G629" s="1770" t="s">
        <v>3200</v>
      </c>
    </row>
    <row r="630" spans="1:7" ht="12">
      <c r="A630" s="1472" t="s">
        <v>19</v>
      </c>
      <c r="B630" s="1472" t="s">
        <v>687</v>
      </c>
      <c r="C630" s="1472">
        <v>2</v>
      </c>
      <c r="D630" s="1776" t="s">
        <v>151</v>
      </c>
      <c r="E630" s="1761" t="s">
        <v>151</v>
      </c>
      <c r="F630" s="1762" t="s">
        <v>3201</v>
      </c>
      <c r="G630" s="1770" t="s">
        <v>3202</v>
      </c>
    </row>
    <row r="631" spans="1:7" ht="12">
      <c r="A631" s="1472" t="s">
        <v>19</v>
      </c>
      <c r="B631" s="1472" t="s">
        <v>687</v>
      </c>
      <c r="C631" s="1472">
        <v>2</v>
      </c>
      <c r="D631" s="1776" t="s">
        <v>152</v>
      </c>
      <c r="E631" s="1761" t="s">
        <v>152</v>
      </c>
      <c r="F631" s="1762" t="s">
        <v>3203</v>
      </c>
      <c r="G631" s="1770" t="s">
        <v>3204</v>
      </c>
    </row>
    <row r="632" spans="1:7" ht="12">
      <c r="A632" s="1472" t="s">
        <v>19</v>
      </c>
      <c r="B632" s="1472" t="s">
        <v>687</v>
      </c>
      <c r="C632" s="1472">
        <v>2</v>
      </c>
      <c r="D632" s="1776" t="s">
        <v>153</v>
      </c>
      <c r="E632" s="1761" t="s">
        <v>153</v>
      </c>
      <c r="F632" s="1762" t="s">
        <v>3205</v>
      </c>
      <c r="G632" s="1770" t="s">
        <v>3206</v>
      </c>
    </row>
    <row r="633" spans="1:7" ht="12">
      <c r="A633" s="1472" t="s">
        <v>19</v>
      </c>
      <c r="B633" s="1472" t="s">
        <v>687</v>
      </c>
      <c r="C633" s="1472">
        <v>2</v>
      </c>
      <c r="D633" s="1776" t="s">
        <v>154</v>
      </c>
      <c r="E633" s="1761" t="s">
        <v>154</v>
      </c>
      <c r="F633" s="1762" t="s">
        <v>3207</v>
      </c>
      <c r="G633" s="1770" t="s">
        <v>3208</v>
      </c>
    </row>
    <row r="634" spans="1:7" ht="12">
      <c r="A634" s="1472" t="s">
        <v>19</v>
      </c>
      <c r="B634" s="1472" t="s">
        <v>687</v>
      </c>
      <c r="C634" s="1472">
        <v>2</v>
      </c>
      <c r="D634" s="1776" t="s">
        <v>155</v>
      </c>
      <c r="E634" s="1761" t="s">
        <v>155</v>
      </c>
      <c r="F634" s="1762" t="s">
        <v>3209</v>
      </c>
      <c r="G634" s="1770" t="s">
        <v>3210</v>
      </c>
    </row>
    <row r="635" spans="1:7" ht="12">
      <c r="A635" s="1472" t="s">
        <v>19</v>
      </c>
      <c r="B635" s="1472" t="s">
        <v>687</v>
      </c>
      <c r="C635" s="1472">
        <v>2</v>
      </c>
      <c r="D635" s="1776" t="s">
        <v>156</v>
      </c>
      <c r="E635" s="1761" t="s">
        <v>156</v>
      </c>
      <c r="F635" s="1762" t="s">
        <v>3211</v>
      </c>
      <c r="G635" s="1770" t="s">
        <v>3212</v>
      </c>
    </row>
    <row r="636" spans="1:7" ht="12">
      <c r="A636" s="1472" t="s">
        <v>19</v>
      </c>
      <c r="B636" s="1472" t="s">
        <v>687</v>
      </c>
      <c r="C636" s="1472">
        <v>2</v>
      </c>
      <c r="D636" s="1776" t="s">
        <v>157</v>
      </c>
      <c r="E636" s="1761" t="s">
        <v>157</v>
      </c>
      <c r="F636" s="1762" t="s">
        <v>3213</v>
      </c>
      <c r="G636" s="1770" t="s">
        <v>3214</v>
      </c>
    </row>
    <row r="637" spans="1:7" ht="12">
      <c r="A637" s="1472" t="s">
        <v>19</v>
      </c>
      <c r="B637" s="1472" t="s">
        <v>687</v>
      </c>
      <c r="C637" s="1472">
        <v>2</v>
      </c>
      <c r="D637" s="1776" t="s">
        <v>158</v>
      </c>
      <c r="E637" s="1761" t="s">
        <v>158</v>
      </c>
      <c r="F637" s="1762" t="s">
        <v>3215</v>
      </c>
      <c r="G637" s="1770" t="s">
        <v>3216</v>
      </c>
    </row>
    <row r="638" spans="1:7" ht="12">
      <c r="A638" s="1472" t="s">
        <v>19</v>
      </c>
      <c r="B638" s="1472" t="s">
        <v>687</v>
      </c>
      <c r="C638" s="1472">
        <v>2</v>
      </c>
      <c r="D638" s="1776" t="s">
        <v>159</v>
      </c>
      <c r="E638" s="1761" t="s">
        <v>159</v>
      </c>
      <c r="F638" s="1762" t="s">
        <v>3217</v>
      </c>
      <c r="G638" s="1770" t="s">
        <v>3218</v>
      </c>
    </row>
    <row r="639" spans="1:7" ht="12">
      <c r="A639" s="1472" t="s">
        <v>19</v>
      </c>
      <c r="B639" s="1472" t="s">
        <v>687</v>
      </c>
      <c r="C639" s="1472">
        <v>2</v>
      </c>
      <c r="D639" s="1776" t="s">
        <v>160</v>
      </c>
      <c r="E639" s="1761" t="s">
        <v>160</v>
      </c>
      <c r="F639" s="1762" t="s">
        <v>3219</v>
      </c>
      <c r="G639" s="1770" t="s">
        <v>3220</v>
      </c>
    </row>
    <row r="640" spans="1:7" ht="12">
      <c r="A640" s="1472" t="s">
        <v>19</v>
      </c>
      <c r="B640" s="1472" t="s">
        <v>687</v>
      </c>
      <c r="C640" s="1472">
        <v>2</v>
      </c>
      <c r="D640" s="1776" t="s">
        <v>161</v>
      </c>
      <c r="E640" s="1761" t="s">
        <v>161</v>
      </c>
      <c r="F640" s="1762" t="s">
        <v>3221</v>
      </c>
      <c r="G640" s="1770" t="s">
        <v>3222</v>
      </c>
    </row>
    <row r="641" spans="1:7" ht="12">
      <c r="A641" s="1472" t="s">
        <v>19</v>
      </c>
      <c r="B641" s="1472" t="s">
        <v>687</v>
      </c>
      <c r="C641" s="1472">
        <v>2</v>
      </c>
      <c r="D641" s="1776" t="s">
        <v>162</v>
      </c>
      <c r="E641" s="1761" t="s">
        <v>162</v>
      </c>
      <c r="F641" s="1762" t="s">
        <v>3223</v>
      </c>
      <c r="G641" s="1770" t="s">
        <v>3224</v>
      </c>
    </row>
    <row r="642" spans="1:7" ht="12">
      <c r="A642" s="1472" t="s">
        <v>19</v>
      </c>
      <c r="B642" s="1472" t="s">
        <v>687</v>
      </c>
      <c r="C642" s="1472">
        <v>2</v>
      </c>
      <c r="D642" s="1776" t="s">
        <v>163</v>
      </c>
      <c r="E642" s="1761" t="s">
        <v>163</v>
      </c>
      <c r="F642" s="1762" t="s">
        <v>3225</v>
      </c>
      <c r="G642" s="1770" t="s">
        <v>3226</v>
      </c>
    </row>
    <row r="643" spans="1:7" ht="12">
      <c r="A643" s="1472" t="s">
        <v>19</v>
      </c>
      <c r="B643" s="1472" t="s">
        <v>687</v>
      </c>
      <c r="C643" s="1472">
        <v>2</v>
      </c>
      <c r="D643" s="1776" t="s">
        <v>164</v>
      </c>
      <c r="E643" s="1761" t="s">
        <v>164</v>
      </c>
      <c r="F643" s="1762" t="s">
        <v>3227</v>
      </c>
      <c r="G643" s="1770" t="s">
        <v>3228</v>
      </c>
    </row>
    <row r="644" spans="1:7" ht="12">
      <c r="A644" s="1472" t="s">
        <v>19</v>
      </c>
      <c r="B644" s="1472" t="s">
        <v>687</v>
      </c>
      <c r="C644" s="1472">
        <v>2</v>
      </c>
      <c r="D644" s="1776" t="s">
        <v>165</v>
      </c>
      <c r="E644" s="1761" t="s">
        <v>165</v>
      </c>
      <c r="F644" s="1762" t="s">
        <v>3229</v>
      </c>
      <c r="G644" s="1770" t="s">
        <v>3230</v>
      </c>
    </row>
    <row r="645" spans="1:7" ht="12">
      <c r="A645" s="1472" t="s">
        <v>19</v>
      </c>
      <c r="B645" s="1472" t="s">
        <v>687</v>
      </c>
      <c r="C645" s="1472">
        <v>2</v>
      </c>
      <c r="D645" s="1776" t="s">
        <v>143</v>
      </c>
      <c r="E645" s="1761" t="s">
        <v>143</v>
      </c>
      <c r="F645" s="1762" t="s">
        <v>3231</v>
      </c>
      <c r="G645" s="1770" t="s">
        <v>3232</v>
      </c>
    </row>
    <row r="646" spans="1:7" ht="12">
      <c r="A646" s="1472" t="s">
        <v>19</v>
      </c>
      <c r="B646" s="1472" t="s">
        <v>687</v>
      </c>
      <c r="C646" s="1472">
        <v>2</v>
      </c>
      <c r="D646" s="1776" t="s">
        <v>166</v>
      </c>
      <c r="E646" s="1761" t="s">
        <v>166</v>
      </c>
      <c r="F646" s="1762" t="s">
        <v>3233</v>
      </c>
      <c r="G646" s="1770" t="s">
        <v>3234</v>
      </c>
    </row>
    <row r="647" spans="1:7" ht="12">
      <c r="A647" s="1472" t="s">
        <v>19</v>
      </c>
      <c r="B647" s="1472" t="s">
        <v>687</v>
      </c>
      <c r="C647" s="1472">
        <v>2</v>
      </c>
      <c r="D647" s="1776" t="s">
        <v>167</v>
      </c>
      <c r="E647" s="1761" t="s">
        <v>167</v>
      </c>
      <c r="F647" s="1762" t="s">
        <v>3235</v>
      </c>
      <c r="G647" s="1770" t="s">
        <v>3236</v>
      </c>
    </row>
    <row r="648" spans="1:7" ht="12">
      <c r="A648" s="1472" t="s">
        <v>19</v>
      </c>
      <c r="B648" s="1472" t="s">
        <v>687</v>
      </c>
      <c r="C648" s="1472">
        <v>2</v>
      </c>
      <c r="D648" s="1776" t="s">
        <v>144</v>
      </c>
      <c r="E648" s="1761" t="s">
        <v>144</v>
      </c>
      <c r="F648" s="1762" t="s">
        <v>3237</v>
      </c>
      <c r="G648" s="1770" t="s">
        <v>144</v>
      </c>
    </row>
    <row r="649" spans="1:7" ht="12">
      <c r="A649" s="1472" t="s">
        <v>19</v>
      </c>
      <c r="B649" s="1472" t="s">
        <v>687</v>
      </c>
      <c r="C649" s="1472">
        <v>2</v>
      </c>
      <c r="D649" s="1776" t="s">
        <v>168</v>
      </c>
      <c r="E649" s="1761" t="s">
        <v>168</v>
      </c>
      <c r="F649" s="1762" t="s">
        <v>3238</v>
      </c>
      <c r="G649" s="1770" t="s">
        <v>3239</v>
      </c>
    </row>
    <row r="650" spans="1:7" ht="12">
      <c r="A650" s="1472" t="s">
        <v>19</v>
      </c>
      <c r="B650" s="1472" t="s">
        <v>687</v>
      </c>
      <c r="C650" s="1472">
        <v>2</v>
      </c>
      <c r="D650" s="1776" t="s">
        <v>2503</v>
      </c>
      <c r="E650" s="1761" t="s">
        <v>2503</v>
      </c>
      <c r="F650" s="1762" t="s">
        <v>3240</v>
      </c>
      <c r="G650" s="1770" t="s">
        <v>3241</v>
      </c>
    </row>
    <row r="651" spans="1:7" ht="12">
      <c r="A651" s="1472" t="s">
        <v>19</v>
      </c>
      <c r="B651" s="1472" t="s">
        <v>687</v>
      </c>
      <c r="C651" s="1472">
        <v>2</v>
      </c>
      <c r="D651" s="1776" t="s">
        <v>2671</v>
      </c>
      <c r="E651" s="1761" t="s">
        <v>2671</v>
      </c>
      <c r="F651" s="1762" t="s">
        <v>3242</v>
      </c>
      <c r="G651" s="1770" t="s">
        <v>3243</v>
      </c>
    </row>
    <row r="652" spans="1:7" ht="24">
      <c r="A652" s="1472" t="s">
        <v>19</v>
      </c>
      <c r="B652" s="1472" t="s">
        <v>3053</v>
      </c>
      <c r="C652" s="1472" t="s">
        <v>3174</v>
      </c>
      <c r="D652" s="1776" t="s">
        <v>2662</v>
      </c>
      <c r="E652" s="1761" t="s">
        <v>2662</v>
      </c>
      <c r="F652" s="1764" t="s">
        <v>3310</v>
      </c>
      <c r="G652" s="1772" t="s">
        <v>3311</v>
      </c>
    </row>
    <row r="653" spans="1:7" ht="12">
      <c r="A653" s="1472" t="s">
        <v>19</v>
      </c>
      <c r="B653" s="1472" t="s">
        <v>3053</v>
      </c>
      <c r="C653" s="1472" t="s">
        <v>3174</v>
      </c>
      <c r="D653" s="1776" t="s">
        <v>1</v>
      </c>
      <c r="E653" s="1761" t="s">
        <v>1</v>
      </c>
      <c r="F653" s="1762" t="s">
        <v>3112</v>
      </c>
      <c r="G653" s="1770" t="s">
        <v>3113</v>
      </c>
    </row>
    <row r="654" spans="1:7" ht="12">
      <c r="A654" s="1472" t="s">
        <v>19</v>
      </c>
      <c r="B654" s="1472" t="s">
        <v>3053</v>
      </c>
      <c r="C654" s="1472" t="s">
        <v>3174</v>
      </c>
      <c r="D654" s="1776" t="s">
        <v>2</v>
      </c>
      <c r="E654" s="1761" t="s">
        <v>2</v>
      </c>
      <c r="F654" s="1762" t="s">
        <v>3143</v>
      </c>
      <c r="G654" s="1770" t="s">
        <v>3144</v>
      </c>
    </row>
    <row r="655" spans="1:7" ht="12">
      <c r="A655" s="1472" t="s">
        <v>19</v>
      </c>
      <c r="B655" s="1472" t="s">
        <v>3053</v>
      </c>
      <c r="C655" s="1472" t="s">
        <v>3174</v>
      </c>
      <c r="D655" s="1776" t="s">
        <v>3</v>
      </c>
      <c r="E655" s="1761" t="s">
        <v>3</v>
      </c>
      <c r="F655" s="1762" t="s">
        <v>3118</v>
      </c>
      <c r="G655" s="1770" t="s">
        <v>3119</v>
      </c>
    </row>
    <row r="656" spans="1:7" ht="12">
      <c r="A656" s="1472" t="s">
        <v>19</v>
      </c>
      <c r="B656" s="1472" t="s">
        <v>3053</v>
      </c>
      <c r="C656" s="1472" t="s">
        <v>3174</v>
      </c>
      <c r="D656" s="1776" t="s">
        <v>4</v>
      </c>
      <c r="E656" s="1761" t="s">
        <v>4</v>
      </c>
      <c r="F656" s="1762" t="s">
        <v>3122</v>
      </c>
      <c r="G656" s="1770" t="s">
        <v>3123</v>
      </c>
    </row>
    <row r="657" spans="1:7" ht="204">
      <c r="A657" s="1472" t="s">
        <v>19</v>
      </c>
      <c r="B657" s="1472" t="s">
        <v>3053</v>
      </c>
      <c r="C657" s="1472">
        <v>1</v>
      </c>
      <c r="D657" s="1776" t="s">
        <v>3260</v>
      </c>
      <c r="E657" s="1761" t="s">
        <v>3260</v>
      </c>
      <c r="F657" s="1764" t="s">
        <v>3267</v>
      </c>
      <c r="G657" s="1772" t="s">
        <v>3262</v>
      </c>
    </row>
    <row r="658" spans="1:7" ht="12">
      <c r="A658" s="1472" t="s">
        <v>19</v>
      </c>
      <c r="B658" s="1472" t="s">
        <v>3053</v>
      </c>
      <c r="C658" s="1472">
        <v>1</v>
      </c>
      <c r="D658" s="1776" t="s">
        <v>1028</v>
      </c>
      <c r="E658" s="1761" t="s">
        <v>1028</v>
      </c>
      <c r="F658" s="1762" t="s">
        <v>3252</v>
      </c>
      <c r="G658" s="1770" t="s">
        <v>3253</v>
      </c>
    </row>
    <row r="659" spans="1:7" ht="12">
      <c r="A659" s="1472" t="s">
        <v>19</v>
      </c>
      <c r="B659" s="1472" t="s">
        <v>3053</v>
      </c>
      <c r="C659" s="1472">
        <v>1</v>
      </c>
      <c r="D659" s="1776" t="s">
        <v>187</v>
      </c>
      <c r="E659" s="1761" t="s">
        <v>187</v>
      </c>
      <c r="F659" s="1762" t="s">
        <v>3263</v>
      </c>
      <c r="G659" s="1770" t="s">
        <v>3264</v>
      </c>
    </row>
    <row r="660" spans="1:7" ht="24">
      <c r="A660" s="1472" t="s">
        <v>19</v>
      </c>
      <c r="B660" s="1472" t="s">
        <v>3053</v>
      </c>
      <c r="C660" s="1472">
        <v>1</v>
      </c>
      <c r="D660" s="1776" t="s">
        <v>3277</v>
      </c>
      <c r="E660" s="1761" t="s">
        <v>3277</v>
      </c>
      <c r="F660" s="1762" t="s">
        <v>3292</v>
      </c>
      <c r="G660" s="1770" t="s">
        <v>3312</v>
      </c>
    </row>
    <row r="661" spans="1:7" ht="12">
      <c r="A661" s="1472" t="s">
        <v>19</v>
      </c>
      <c r="B661" s="1472" t="s">
        <v>3053</v>
      </c>
      <c r="C661" s="1472">
        <v>1</v>
      </c>
      <c r="D661" s="1776" t="s">
        <v>142</v>
      </c>
      <c r="E661" s="1761" t="s">
        <v>142</v>
      </c>
      <c r="F661" s="1762" t="s">
        <v>3185</v>
      </c>
      <c r="G661" s="1770" t="s">
        <v>3186</v>
      </c>
    </row>
    <row r="662" spans="1:7" ht="12">
      <c r="A662" s="1472" t="s">
        <v>19</v>
      </c>
      <c r="B662" s="1472" t="s">
        <v>3053</v>
      </c>
      <c r="C662" s="1472">
        <v>1</v>
      </c>
      <c r="D662" s="1776" t="s">
        <v>49</v>
      </c>
      <c r="E662" s="1761" t="s">
        <v>49</v>
      </c>
      <c r="F662" s="1762" t="s">
        <v>3187</v>
      </c>
      <c r="G662" s="1770" t="s">
        <v>3188</v>
      </c>
    </row>
    <row r="663" spans="1:7" ht="12">
      <c r="A663" s="1472" t="s">
        <v>19</v>
      </c>
      <c r="B663" s="1472" t="s">
        <v>3053</v>
      </c>
      <c r="C663" s="1472">
        <v>1</v>
      </c>
      <c r="D663" s="1776" t="s">
        <v>189</v>
      </c>
      <c r="E663" s="1761" t="s">
        <v>189</v>
      </c>
      <c r="F663" s="1762" t="s">
        <v>3189</v>
      </c>
      <c r="G663" s="1770" t="s">
        <v>3190</v>
      </c>
    </row>
    <row r="664" spans="1:7" ht="12">
      <c r="A664" s="1472" t="s">
        <v>19</v>
      </c>
      <c r="B664" s="1472" t="s">
        <v>3053</v>
      </c>
      <c r="C664" s="1472">
        <v>1</v>
      </c>
      <c r="D664" s="1776" t="s">
        <v>146</v>
      </c>
      <c r="E664" s="1761" t="s">
        <v>146</v>
      </c>
      <c r="F664" s="1762" t="s">
        <v>3191</v>
      </c>
      <c r="G664" s="1770" t="s">
        <v>3192</v>
      </c>
    </row>
    <row r="665" spans="1:7" ht="12">
      <c r="A665" s="1472" t="s">
        <v>19</v>
      </c>
      <c r="B665" s="1472" t="s">
        <v>3053</v>
      </c>
      <c r="C665" s="1472">
        <v>1</v>
      </c>
      <c r="D665" s="1776" t="s">
        <v>147</v>
      </c>
      <c r="E665" s="1761" t="s">
        <v>147</v>
      </c>
      <c r="F665" s="1762" t="s">
        <v>3193</v>
      </c>
      <c r="G665" s="1770" t="s">
        <v>3194</v>
      </c>
    </row>
    <row r="666" spans="1:7" ht="12">
      <c r="A666" s="1472" t="s">
        <v>19</v>
      </c>
      <c r="B666" s="1472" t="s">
        <v>3053</v>
      </c>
      <c r="C666" s="1472">
        <v>1</v>
      </c>
      <c r="D666" s="1776" t="s">
        <v>148</v>
      </c>
      <c r="E666" s="1761" t="s">
        <v>148</v>
      </c>
      <c r="F666" s="1762" t="s">
        <v>3195</v>
      </c>
      <c r="G666" s="1770" t="s">
        <v>3196</v>
      </c>
    </row>
    <row r="667" spans="1:7" ht="12">
      <c r="A667" s="1472" t="s">
        <v>19</v>
      </c>
      <c r="B667" s="1472" t="s">
        <v>3053</v>
      </c>
      <c r="C667" s="1472">
        <v>1</v>
      </c>
      <c r="D667" s="1776" t="s">
        <v>149</v>
      </c>
      <c r="E667" s="1761" t="s">
        <v>149</v>
      </c>
      <c r="F667" s="1762" t="s">
        <v>3197</v>
      </c>
      <c r="G667" s="1770" t="s">
        <v>3198</v>
      </c>
    </row>
    <row r="668" spans="1:7" ht="12">
      <c r="A668" s="1472" t="s">
        <v>19</v>
      </c>
      <c r="B668" s="1472" t="s">
        <v>3053</v>
      </c>
      <c r="C668" s="1472">
        <v>1</v>
      </c>
      <c r="D668" s="1776" t="s">
        <v>150</v>
      </c>
      <c r="E668" s="1761" t="s">
        <v>150</v>
      </c>
      <c r="F668" s="1762" t="s">
        <v>3199</v>
      </c>
      <c r="G668" s="1770" t="s">
        <v>3200</v>
      </c>
    </row>
    <row r="669" spans="1:7" ht="12">
      <c r="A669" s="1472" t="s">
        <v>19</v>
      </c>
      <c r="B669" s="1472" t="s">
        <v>3053</v>
      </c>
      <c r="C669" s="1472">
        <v>1</v>
      </c>
      <c r="D669" s="1776" t="s">
        <v>151</v>
      </c>
      <c r="E669" s="1761" t="s">
        <v>151</v>
      </c>
      <c r="F669" s="1762" t="s">
        <v>3201</v>
      </c>
      <c r="G669" s="1770" t="s">
        <v>3202</v>
      </c>
    </row>
    <row r="670" spans="1:7" ht="12">
      <c r="A670" s="1472" t="s">
        <v>19</v>
      </c>
      <c r="B670" s="1472" t="s">
        <v>3053</v>
      </c>
      <c r="C670" s="1472">
        <v>1</v>
      </c>
      <c r="D670" s="1776" t="s">
        <v>152</v>
      </c>
      <c r="E670" s="1761" t="s">
        <v>152</v>
      </c>
      <c r="F670" s="1762" t="s">
        <v>3203</v>
      </c>
      <c r="G670" s="1770" t="s">
        <v>3204</v>
      </c>
    </row>
    <row r="671" spans="1:7" ht="12">
      <c r="A671" s="1472" t="s">
        <v>19</v>
      </c>
      <c r="B671" s="1472" t="s">
        <v>3053</v>
      </c>
      <c r="C671" s="1472">
        <v>1</v>
      </c>
      <c r="D671" s="1776" t="s">
        <v>153</v>
      </c>
      <c r="E671" s="1761" t="s">
        <v>153</v>
      </c>
      <c r="F671" s="1762" t="s">
        <v>3205</v>
      </c>
      <c r="G671" s="1770" t="s">
        <v>3206</v>
      </c>
    </row>
    <row r="672" spans="1:7" ht="12">
      <c r="A672" s="1472" t="s">
        <v>19</v>
      </c>
      <c r="B672" s="1472" t="s">
        <v>3053</v>
      </c>
      <c r="C672" s="1472">
        <v>1</v>
      </c>
      <c r="D672" s="1776" t="s">
        <v>154</v>
      </c>
      <c r="E672" s="1761" t="s">
        <v>154</v>
      </c>
      <c r="F672" s="1762" t="s">
        <v>3207</v>
      </c>
      <c r="G672" s="1770" t="s">
        <v>3208</v>
      </c>
    </row>
    <row r="673" spans="1:7" ht="12">
      <c r="A673" s="1472" t="s">
        <v>19</v>
      </c>
      <c r="B673" s="1472" t="s">
        <v>3053</v>
      </c>
      <c r="C673" s="1472">
        <v>1</v>
      </c>
      <c r="D673" s="1776" t="s">
        <v>155</v>
      </c>
      <c r="E673" s="1761" t="s">
        <v>155</v>
      </c>
      <c r="F673" s="1762" t="s">
        <v>3209</v>
      </c>
      <c r="G673" s="1770" t="s">
        <v>3210</v>
      </c>
    </row>
    <row r="674" spans="1:7" ht="12">
      <c r="A674" s="1472" t="s">
        <v>19</v>
      </c>
      <c r="B674" s="1472" t="s">
        <v>3053</v>
      </c>
      <c r="C674" s="1472">
        <v>1</v>
      </c>
      <c r="D674" s="1776" t="s">
        <v>156</v>
      </c>
      <c r="E674" s="1761" t="s">
        <v>156</v>
      </c>
      <c r="F674" s="1762" t="s">
        <v>3211</v>
      </c>
      <c r="G674" s="1770" t="s">
        <v>3212</v>
      </c>
    </row>
    <row r="675" spans="1:7" ht="12">
      <c r="A675" s="1472" t="s">
        <v>19</v>
      </c>
      <c r="B675" s="1472" t="s">
        <v>3053</v>
      </c>
      <c r="C675" s="1472">
        <v>1</v>
      </c>
      <c r="D675" s="1776" t="s">
        <v>157</v>
      </c>
      <c r="E675" s="1761" t="s">
        <v>157</v>
      </c>
      <c r="F675" s="1762" t="s">
        <v>3213</v>
      </c>
      <c r="G675" s="1770" t="s">
        <v>3214</v>
      </c>
    </row>
    <row r="676" spans="1:7" ht="12">
      <c r="A676" s="1472" t="s">
        <v>19</v>
      </c>
      <c r="B676" s="1472" t="s">
        <v>3053</v>
      </c>
      <c r="C676" s="1472">
        <v>1</v>
      </c>
      <c r="D676" s="1776" t="s">
        <v>158</v>
      </c>
      <c r="E676" s="1761" t="s">
        <v>158</v>
      </c>
      <c r="F676" s="1762" t="s">
        <v>3215</v>
      </c>
      <c r="G676" s="1770" t="s">
        <v>3216</v>
      </c>
    </row>
    <row r="677" spans="1:7" ht="12">
      <c r="A677" s="1472" t="s">
        <v>19</v>
      </c>
      <c r="B677" s="1472" t="s">
        <v>3053</v>
      </c>
      <c r="C677" s="1472">
        <v>1</v>
      </c>
      <c r="D677" s="1776" t="s">
        <v>159</v>
      </c>
      <c r="E677" s="1761" t="s">
        <v>159</v>
      </c>
      <c r="F677" s="1762" t="s">
        <v>3217</v>
      </c>
      <c r="G677" s="1770" t="s">
        <v>3218</v>
      </c>
    </row>
    <row r="678" spans="1:7" ht="12">
      <c r="A678" s="1472" t="s">
        <v>19</v>
      </c>
      <c r="B678" s="1472" t="s">
        <v>3053</v>
      </c>
      <c r="C678" s="1472">
        <v>1</v>
      </c>
      <c r="D678" s="1776" t="s">
        <v>160</v>
      </c>
      <c r="E678" s="1761" t="s">
        <v>160</v>
      </c>
      <c r="F678" s="1762" t="s">
        <v>3219</v>
      </c>
      <c r="G678" s="1770" t="s">
        <v>3220</v>
      </c>
    </row>
    <row r="679" spans="1:7" ht="12">
      <c r="A679" s="1472" t="s">
        <v>19</v>
      </c>
      <c r="B679" s="1472" t="s">
        <v>3053</v>
      </c>
      <c r="C679" s="1472">
        <v>1</v>
      </c>
      <c r="D679" s="1776" t="s">
        <v>161</v>
      </c>
      <c r="E679" s="1761" t="s">
        <v>161</v>
      </c>
      <c r="F679" s="1762" t="s">
        <v>3221</v>
      </c>
      <c r="G679" s="1770" t="s">
        <v>3222</v>
      </c>
    </row>
    <row r="680" spans="1:7" ht="12">
      <c r="A680" s="1472" t="s">
        <v>19</v>
      </c>
      <c r="B680" s="1472" t="s">
        <v>3053</v>
      </c>
      <c r="C680" s="1472">
        <v>1</v>
      </c>
      <c r="D680" s="1776" t="s">
        <v>162</v>
      </c>
      <c r="E680" s="1761" t="s">
        <v>162</v>
      </c>
      <c r="F680" s="1762" t="s">
        <v>3223</v>
      </c>
      <c r="G680" s="1770" t="s">
        <v>3224</v>
      </c>
    </row>
    <row r="681" spans="1:7" ht="12">
      <c r="A681" s="1472" t="s">
        <v>19</v>
      </c>
      <c r="B681" s="1472" t="s">
        <v>3053</v>
      </c>
      <c r="C681" s="1472">
        <v>1</v>
      </c>
      <c r="D681" s="1776" t="s">
        <v>163</v>
      </c>
      <c r="E681" s="1761" t="s">
        <v>163</v>
      </c>
      <c r="F681" s="1762" t="s">
        <v>3225</v>
      </c>
      <c r="G681" s="1770" t="s">
        <v>3226</v>
      </c>
    </row>
    <row r="682" spans="1:7" ht="12">
      <c r="A682" s="1472" t="s">
        <v>19</v>
      </c>
      <c r="B682" s="1472" t="s">
        <v>3053</v>
      </c>
      <c r="C682" s="1472">
        <v>1</v>
      </c>
      <c r="D682" s="1776" t="s">
        <v>164</v>
      </c>
      <c r="E682" s="1761" t="s">
        <v>164</v>
      </c>
      <c r="F682" s="1762" t="s">
        <v>3227</v>
      </c>
      <c r="G682" s="1770" t="s">
        <v>3228</v>
      </c>
    </row>
    <row r="683" spans="1:7" ht="12">
      <c r="A683" s="1472" t="s">
        <v>19</v>
      </c>
      <c r="B683" s="1472" t="s">
        <v>3053</v>
      </c>
      <c r="C683" s="1472">
        <v>1</v>
      </c>
      <c r="D683" s="1776" t="s">
        <v>165</v>
      </c>
      <c r="E683" s="1761" t="s">
        <v>165</v>
      </c>
      <c r="F683" s="1762" t="s">
        <v>3229</v>
      </c>
      <c r="G683" s="1770" t="s">
        <v>3230</v>
      </c>
    </row>
    <row r="684" spans="1:7" ht="12">
      <c r="A684" s="1472" t="s">
        <v>19</v>
      </c>
      <c r="B684" s="1472" t="s">
        <v>3053</v>
      </c>
      <c r="C684" s="1472">
        <v>1</v>
      </c>
      <c r="D684" s="1776" t="s">
        <v>143</v>
      </c>
      <c r="E684" s="1761" t="s">
        <v>143</v>
      </c>
      <c r="F684" s="1762" t="s">
        <v>3231</v>
      </c>
      <c r="G684" s="1770" t="s">
        <v>3232</v>
      </c>
    </row>
    <row r="685" spans="1:7" ht="12">
      <c r="A685" s="1472" t="s">
        <v>19</v>
      </c>
      <c r="B685" s="1472" t="s">
        <v>3053</v>
      </c>
      <c r="C685" s="1472">
        <v>1</v>
      </c>
      <c r="D685" s="1776" t="s">
        <v>166</v>
      </c>
      <c r="E685" s="1761" t="s">
        <v>166</v>
      </c>
      <c r="F685" s="1762" t="s">
        <v>3233</v>
      </c>
      <c r="G685" s="1770" t="s">
        <v>3234</v>
      </c>
    </row>
    <row r="686" spans="1:7" ht="12">
      <c r="A686" s="1472" t="s">
        <v>19</v>
      </c>
      <c r="B686" s="1472" t="s">
        <v>3053</v>
      </c>
      <c r="C686" s="1472">
        <v>1</v>
      </c>
      <c r="D686" s="1776" t="s">
        <v>167</v>
      </c>
      <c r="E686" s="1761" t="s">
        <v>167</v>
      </c>
      <c r="F686" s="1762" t="s">
        <v>3235</v>
      </c>
      <c r="G686" s="1770" t="s">
        <v>3236</v>
      </c>
    </row>
    <row r="687" spans="1:7" ht="12">
      <c r="A687" s="1472" t="s">
        <v>19</v>
      </c>
      <c r="B687" s="1472" t="s">
        <v>3053</v>
      </c>
      <c r="C687" s="1472">
        <v>1</v>
      </c>
      <c r="D687" s="1776" t="s">
        <v>144</v>
      </c>
      <c r="E687" s="1761" t="s">
        <v>144</v>
      </c>
      <c r="F687" s="1762" t="s">
        <v>3237</v>
      </c>
      <c r="G687" s="1770" t="s">
        <v>144</v>
      </c>
    </row>
    <row r="688" spans="1:7" ht="12">
      <c r="A688" s="1472" t="s">
        <v>19</v>
      </c>
      <c r="B688" s="1472" t="s">
        <v>3053</v>
      </c>
      <c r="C688" s="1472">
        <v>1</v>
      </c>
      <c r="D688" s="1776" t="s">
        <v>168</v>
      </c>
      <c r="E688" s="1761" t="s">
        <v>168</v>
      </c>
      <c r="F688" s="1762" t="s">
        <v>3238</v>
      </c>
      <c r="G688" s="1770" t="s">
        <v>3239</v>
      </c>
    </row>
    <row r="689" spans="1:7" ht="12">
      <c r="A689" s="1472" t="s">
        <v>19</v>
      </c>
      <c r="B689" s="1472" t="s">
        <v>3053</v>
      </c>
      <c r="C689" s="1472">
        <v>1</v>
      </c>
      <c r="D689" s="1776" t="s">
        <v>2503</v>
      </c>
      <c r="E689" s="1761" t="s">
        <v>2503</v>
      </c>
      <c r="F689" s="1762" t="s">
        <v>3240</v>
      </c>
      <c r="G689" s="1770" t="s">
        <v>3241</v>
      </c>
    </row>
    <row r="690" spans="1:7" ht="12">
      <c r="A690" s="1472" t="s">
        <v>19</v>
      </c>
      <c r="B690" s="1472" t="s">
        <v>3053</v>
      </c>
      <c r="C690" s="1472">
        <v>1</v>
      </c>
      <c r="D690" s="1776" t="s">
        <v>2671</v>
      </c>
      <c r="E690" s="1761" t="s">
        <v>2671</v>
      </c>
      <c r="F690" s="1762" t="s">
        <v>3242</v>
      </c>
      <c r="G690" s="1770" t="s">
        <v>3243</v>
      </c>
    </row>
    <row r="691" spans="1:7" ht="204">
      <c r="A691" s="1472" t="s">
        <v>19</v>
      </c>
      <c r="B691" s="1472" t="s">
        <v>3053</v>
      </c>
      <c r="C691" s="1472">
        <v>2</v>
      </c>
      <c r="D691" s="1776" t="s">
        <v>3260</v>
      </c>
      <c r="E691" s="1761" t="s">
        <v>3260</v>
      </c>
      <c r="F691" s="1764" t="s">
        <v>3267</v>
      </c>
      <c r="G691" s="1772" t="s">
        <v>3262</v>
      </c>
    </row>
    <row r="692" spans="1:7" ht="12">
      <c r="A692" s="1472" t="s">
        <v>19</v>
      </c>
      <c r="B692" s="1472" t="s">
        <v>3053</v>
      </c>
      <c r="C692" s="1472">
        <v>2</v>
      </c>
      <c r="D692" s="1776" t="s">
        <v>1028</v>
      </c>
      <c r="E692" s="1761" t="s">
        <v>1028</v>
      </c>
      <c r="F692" s="1762" t="s">
        <v>3252</v>
      </c>
      <c r="G692" s="1770" t="s">
        <v>3253</v>
      </c>
    </row>
    <row r="693" spans="1:7" ht="12">
      <c r="A693" s="1472" t="s">
        <v>19</v>
      </c>
      <c r="B693" s="1472" t="s">
        <v>3053</v>
      </c>
      <c r="C693" s="1472">
        <v>2</v>
      </c>
      <c r="D693" s="1776" t="s">
        <v>187</v>
      </c>
      <c r="E693" s="1761" t="s">
        <v>187</v>
      </c>
      <c r="F693" s="1762" t="s">
        <v>3263</v>
      </c>
      <c r="G693" s="1770" t="s">
        <v>3264</v>
      </c>
    </row>
    <row r="694" spans="1:7" ht="24">
      <c r="A694" s="1472" t="s">
        <v>19</v>
      </c>
      <c r="B694" s="1472" t="s">
        <v>3053</v>
      </c>
      <c r="C694" s="1472">
        <v>2</v>
      </c>
      <c r="D694" s="1776" t="s">
        <v>3313</v>
      </c>
      <c r="E694" s="1761" t="s">
        <v>3313</v>
      </c>
      <c r="F694" s="1762" t="s">
        <v>3314</v>
      </c>
      <c r="G694" s="1770" t="s">
        <v>3315</v>
      </c>
    </row>
    <row r="695" spans="1:7" ht="12">
      <c r="A695" s="1472" t="s">
        <v>19</v>
      </c>
      <c r="B695" s="1472" t="s">
        <v>3053</v>
      </c>
      <c r="C695" s="1472">
        <v>2</v>
      </c>
      <c r="D695" s="1776" t="s">
        <v>142</v>
      </c>
      <c r="E695" s="1761" t="s">
        <v>142</v>
      </c>
      <c r="F695" s="1762" t="s">
        <v>3185</v>
      </c>
      <c r="G695" s="1770" t="s">
        <v>3186</v>
      </c>
    </row>
    <row r="696" spans="1:7" ht="12">
      <c r="A696" s="1472" t="s">
        <v>19</v>
      </c>
      <c r="B696" s="1472" t="s">
        <v>3053</v>
      </c>
      <c r="C696" s="1472">
        <v>2</v>
      </c>
      <c r="D696" s="1776" t="s">
        <v>49</v>
      </c>
      <c r="E696" s="1761" t="s">
        <v>49</v>
      </c>
      <c r="F696" s="1762" t="s">
        <v>3187</v>
      </c>
      <c r="G696" s="1770" t="s">
        <v>3188</v>
      </c>
    </row>
    <row r="697" spans="1:7" ht="12">
      <c r="A697" s="1472" t="s">
        <v>19</v>
      </c>
      <c r="B697" s="1472" t="s">
        <v>3053</v>
      </c>
      <c r="C697" s="1472">
        <v>2</v>
      </c>
      <c r="D697" s="1776" t="s">
        <v>189</v>
      </c>
      <c r="E697" s="1761" t="s">
        <v>189</v>
      </c>
      <c r="F697" s="1762" t="s">
        <v>3189</v>
      </c>
      <c r="G697" s="1770" t="s">
        <v>3190</v>
      </c>
    </row>
    <row r="698" spans="1:7" ht="12">
      <c r="A698" s="1472" t="s">
        <v>19</v>
      </c>
      <c r="B698" s="1472" t="s">
        <v>3053</v>
      </c>
      <c r="C698" s="1472">
        <v>2</v>
      </c>
      <c r="D698" s="1776" t="s">
        <v>146</v>
      </c>
      <c r="E698" s="1761" t="s">
        <v>146</v>
      </c>
      <c r="F698" s="1762" t="s">
        <v>3191</v>
      </c>
      <c r="G698" s="1770" t="s">
        <v>3192</v>
      </c>
    </row>
    <row r="699" spans="1:7" ht="12">
      <c r="A699" s="1472" t="s">
        <v>19</v>
      </c>
      <c r="B699" s="1472" t="s">
        <v>3053</v>
      </c>
      <c r="C699" s="1472">
        <v>2</v>
      </c>
      <c r="D699" s="1776" t="s">
        <v>147</v>
      </c>
      <c r="E699" s="1761" t="s">
        <v>147</v>
      </c>
      <c r="F699" s="1762" t="s">
        <v>3193</v>
      </c>
      <c r="G699" s="1770" t="s">
        <v>3194</v>
      </c>
    </row>
    <row r="700" spans="1:7" ht="12">
      <c r="A700" s="1472" t="s">
        <v>19</v>
      </c>
      <c r="B700" s="1472" t="s">
        <v>3053</v>
      </c>
      <c r="C700" s="1472">
        <v>2</v>
      </c>
      <c r="D700" s="1776" t="s">
        <v>148</v>
      </c>
      <c r="E700" s="1761" t="s">
        <v>148</v>
      </c>
      <c r="F700" s="1762" t="s">
        <v>3195</v>
      </c>
      <c r="G700" s="1770" t="s">
        <v>3196</v>
      </c>
    </row>
    <row r="701" spans="1:7" ht="12">
      <c r="A701" s="1472" t="s">
        <v>19</v>
      </c>
      <c r="B701" s="1472" t="s">
        <v>3053</v>
      </c>
      <c r="C701" s="1472">
        <v>2</v>
      </c>
      <c r="D701" s="1776" t="s">
        <v>149</v>
      </c>
      <c r="E701" s="1761" t="s">
        <v>149</v>
      </c>
      <c r="F701" s="1762" t="s">
        <v>3197</v>
      </c>
      <c r="G701" s="1770" t="s">
        <v>3198</v>
      </c>
    </row>
    <row r="702" spans="1:7" ht="12">
      <c r="A702" s="1472" t="s">
        <v>19</v>
      </c>
      <c r="B702" s="1472" t="s">
        <v>3053</v>
      </c>
      <c r="C702" s="1472">
        <v>2</v>
      </c>
      <c r="D702" s="1776" t="s">
        <v>150</v>
      </c>
      <c r="E702" s="1761" t="s">
        <v>150</v>
      </c>
      <c r="F702" s="1762" t="s">
        <v>3199</v>
      </c>
      <c r="G702" s="1770" t="s">
        <v>3200</v>
      </c>
    </row>
    <row r="703" spans="1:7" ht="12">
      <c r="A703" s="1472" t="s">
        <v>19</v>
      </c>
      <c r="B703" s="1472" t="s">
        <v>3053</v>
      </c>
      <c r="C703" s="1472">
        <v>2</v>
      </c>
      <c r="D703" s="1776" t="s">
        <v>151</v>
      </c>
      <c r="E703" s="1761" t="s">
        <v>151</v>
      </c>
      <c r="F703" s="1762" t="s">
        <v>3201</v>
      </c>
      <c r="G703" s="1770" t="s">
        <v>3202</v>
      </c>
    </row>
    <row r="704" spans="1:7" ht="12">
      <c r="A704" s="1472" t="s">
        <v>19</v>
      </c>
      <c r="B704" s="1472" t="s">
        <v>3053</v>
      </c>
      <c r="C704" s="1472">
        <v>2</v>
      </c>
      <c r="D704" s="1776" t="s">
        <v>152</v>
      </c>
      <c r="E704" s="1761" t="s">
        <v>152</v>
      </c>
      <c r="F704" s="1762" t="s">
        <v>3203</v>
      </c>
      <c r="G704" s="1770" t="s">
        <v>3204</v>
      </c>
    </row>
    <row r="705" spans="1:7" ht="12">
      <c r="A705" s="1472" t="s">
        <v>19</v>
      </c>
      <c r="B705" s="1472" t="s">
        <v>3053</v>
      </c>
      <c r="C705" s="1472">
        <v>2</v>
      </c>
      <c r="D705" s="1776" t="s">
        <v>153</v>
      </c>
      <c r="E705" s="1761" t="s">
        <v>153</v>
      </c>
      <c r="F705" s="1762" t="s">
        <v>3205</v>
      </c>
      <c r="G705" s="1770" t="s">
        <v>3206</v>
      </c>
    </row>
    <row r="706" spans="1:7" ht="12">
      <c r="A706" s="1472" t="s">
        <v>19</v>
      </c>
      <c r="B706" s="1472" t="s">
        <v>3053</v>
      </c>
      <c r="C706" s="1472">
        <v>2</v>
      </c>
      <c r="D706" s="1776" t="s">
        <v>154</v>
      </c>
      <c r="E706" s="1761" t="s">
        <v>154</v>
      </c>
      <c r="F706" s="1762" t="s">
        <v>3207</v>
      </c>
      <c r="G706" s="1770" t="s">
        <v>3208</v>
      </c>
    </row>
    <row r="707" spans="1:7" ht="12">
      <c r="A707" s="1472" t="s">
        <v>19</v>
      </c>
      <c r="B707" s="1472" t="s">
        <v>3053</v>
      </c>
      <c r="C707" s="1472">
        <v>2</v>
      </c>
      <c r="D707" s="1776" t="s">
        <v>155</v>
      </c>
      <c r="E707" s="1761" t="s">
        <v>155</v>
      </c>
      <c r="F707" s="1762" t="s">
        <v>3209</v>
      </c>
      <c r="G707" s="1770" t="s">
        <v>3210</v>
      </c>
    </row>
    <row r="708" spans="1:7" ht="12">
      <c r="A708" s="1472" t="s">
        <v>19</v>
      </c>
      <c r="B708" s="1472" t="s">
        <v>3053</v>
      </c>
      <c r="C708" s="1472">
        <v>2</v>
      </c>
      <c r="D708" s="1776" t="s">
        <v>156</v>
      </c>
      <c r="E708" s="1761" t="s">
        <v>156</v>
      </c>
      <c r="F708" s="1762" t="s">
        <v>3211</v>
      </c>
      <c r="G708" s="1770" t="s">
        <v>3212</v>
      </c>
    </row>
    <row r="709" spans="1:7" ht="12">
      <c r="A709" s="1472" t="s">
        <v>19</v>
      </c>
      <c r="B709" s="1472" t="s">
        <v>3053</v>
      </c>
      <c r="C709" s="1472">
        <v>2</v>
      </c>
      <c r="D709" s="1776" t="s">
        <v>157</v>
      </c>
      <c r="E709" s="1761" t="s">
        <v>157</v>
      </c>
      <c r="F709" s="1762" t="s">
        <v>3213</v>
      </c>
      <c r="G709" s="1770" t="s">
        <v>3214</v>
      </c>
    </row>
    <row r="710" spans="1:7" ht="12">
      <c r="A710" s="1472" t="s">
        <v>19</v>
      </c>
      <c r="B710" s="1472" t="s">
        <v>3053</v>
      </c>
      <c r="C710" s="1472">
        <v>2</v>
      </c>
      <c r="D710" s="1776" t="s">
        <v>158</v>
      </c>
      <c r="E710" s="1761" t="s">
        <v>158</v>
      </c>
      <c r="F710" s="1762" t="s">
        <v>3215</v>
      </c>
      <c r="G710" s="1770" t="s">
        <v>3216</v>
      </c>
    </row>
    <row r="711" spans="1:7" ht="12">
      <c r="A711" s="1472" t="s">
        <v>19</v>
      </c>
      <c r="B711" s="1472" t="s">
        <v>3053</v>
      </c>
      <c r="C711" s="1472">
        <v>2</v>
      </c>
      <c r="D711" s="1776" t="s">
        <v>159</v>
      </c>
      <c r="E711" s="1761" t="s">
        <v>159</v>
      </c>
      <c r="F711" s="1762" t="s">
        <v>3217</v>
      </c>
      <c r="G711" s="1770" t="s">
        <v>3218</v>
      </c>
    </row>
    <row r="712" spans="1:7" ht="12">
      <c r="A712" s="1472" t="s">
        <v>19</v>
      </c>
      <c r="B712" s="1472" t="s">
        <v>3053</v>
      </c>
      <c r="C712" s="1472">
        <v>2</v>
      </c>
      <c r="D712" s="1776" t="s">
        <v>160</v>
      </c>
      <c r="E712" s="1761" t="s">
        <v>160</v>
      </c>
      <c r="F712" s="1762" t="s">
        <v>3219</v>
      </c>
      <c r="G712" s="1770" t="s">
        <v>3220</v>
      </c>
    </row>
    <row r="713" spans="1:7" ht="12">
      <c r="A713" s="1472" t="s">
        <v>19</v>
      </c>
      <c r="B713" s="1472" t="s">
        <v>3053</v>
      </c>
      <c r="C713" s="1472">
        <v>2</v>
      </c>
      <c r="D713" s="1776" t="s">
        <v>161</v>
      </c>
      <c r="E713" s="1761" t="s">
        <v>161</v>
      </c>
      <c r="F713" s="1762" t="s">
        <v>3221</v>
      </c>
      <c r="G713" s="1770" t="s">
        <v>3222</v>
      </c>
    </row>
    <row r="714" spans="1:7" ht="12">
      <c r="A714" s="1472" t="s">
        <v>19</v>
      </c>
      <c r="B714" s="1472" t="s">
        <v>3053</v>
      </c>
      <c r="C714" s="1472">
        <v>2</v>
      </c>
      <c r="D714" s="1776" t="s">
        <v>162</v>
      </c>
      <c r="E714" s="1761" t="s">
        <v>162</v>
      </c>
      <c r="F714" s="1762" t="s">
        <v>3223</v>
      </c>
      <c r="G714" s="1770" t="s">
        <v>3224</v>
      </c>
    </row>
    <row r="715" spans="1:7" ht="12">
      <c r="A715" s="1472" t="s">
        <v>19</v>
      </c>
      <c r="B715" s="1472" t="s">
        <v>3053</v>
      </c>
      <c r="C715" s="1472">
        <v>2</v>
      </c>
      <c r="D715" s="1776" t="s">
        <v>163</v>
      </c>
      <c r="E715" s="1761" t="s">
        <v>163</v>
      </c>
      <c r="F715" s="1762" t="s">
        <v>3225</v>
      </c>
      <c r="G715" s="1770" t="s">
        <v>3226</v>
      </c>
    </row>
    <row r="716" spans="1:7" ht="12">
      <c r="A716" s="1472" t="s">
        <v>19</v>
      </c>
      <c r="B716" s="1472" t="s">
        <v>3053</v>
      </c>
      <c r="C716" s="1472">
        <v>2</v>
      </c>
      <c r="D716" s="1776" t="s">
        <v>164</v>
      </c>
      <c r="E716" s="1761" t="s">
        <v>164</v>
      </c>
      <c r="F716" s="1762" t="s">
        <v>3227</v>
      </c>
      <c r="G716" s="1770" t="s">
        <v>3228</v>
      </c>
    </row>
    <row r="717" spans="1:7" ht="12">
      <c r="A717" s="1472" t="s">
        <v>19</v>
      </c>
      <c r="B717" s="1472" t="s">
        <v>3053</v>
      </c>
      <c r="C717" s="1472">
        <v>2</v>
      </c>
      <c r="D717" s="1776" t="s">
        <v>165</v>
      </c>
      <c r="E717" s="1761" t="s">
        <v>165</v>
      </c>
      <c r="F717" s="1762" t="s">
        <v>3229</v>
      </c>
      <c r="G717" s="1770" t="s">
        <v>3230</v>
      </c>
    </row>
    <row r="718" spans="1:7" ht="12">
      <c r="A718" s="1472" t="s">
        <v>19</v>
      </c>
      <c r="B718" s="1472" t="s">
        <v>3053</v>
      </c>
      <c r="C718" s="1472">
        <v>2</v>
      </c>
      <c r="D718" s="1776" t="s">
        <v>143</v>
      </c>
      <c r="E718" s="1761" t="s">
        <v>143</v>
      </c>
      <c r="F718" s="1762" t="s">
        <v>3231</v>
      </c>
      <c r="G718" s="1770" t="s">
        <v>3232</v>
      </c>
    </row>
    <row r="719" spans="1:7" ht="12">
      <c r="A719" s="1472" t="s">
        <v>19</v>
      </c>
      <c r="B719" s="1472" t="s">
        <v>3053</v>
      </c>
      <c r="C719" s="1472">
        <v>2</v>
      </c>
      <c r="D719" s="1776" t="s">
        <v>166</v>
      </c>
      <c r="E719" s="1761" t="s">
        <v>166</v>
      </c>
      <c r="F719" s="1762" t="s">
        <v>3233</v>
      </c>
      <c r="G719" s="1770" t="s">
        <v>3234</v>
      </c>
    </row>
    <row r="720" spans="1:7" ht="12">
      <c r="A720" s="1472" t="s">
        <v>19</v>
      </c>
      <c r="B720" s="1472" t="s">
        <v>3053</v>
      </c>
      <c r="C720" s="1472">
        <v>2</v>
      </c>
      <c r="D720" s="1776" t="s">
        <v>167</v>
      </c>
      <c r="E720" s="1761" t="s">
        <v>167</v>
      </c>
      <c r="F720" s="1762" t="s">
        <v>3235</v>
      </c>
      <c r="G720" s="1770" t="s">
        <v>3236</v>
      </c>
    </row>
    <row r="721" spans="1:7" ht="12">
      <c r="A721" s="1472" t="s">
        <v>19</v>
      </c>
      <c r="B721" s="1472" t="s">
        <v>3053</v>
      </c>
      <c r="C721" s="1472">
        <v>2</v>
      </c>
      <c r="D721" s="1776" t="s">
        <v>144</v>
      </c>
      <c r="E721" s="1761" t="s">
        <v>144</v>
      </c>
      <c r="F721" s="1762" t="s">
        <v>3237</v>
      </c>
      <c r="G721" s="1770" t="s">
        <v>144</v>
      </c>
    </row>
    <row r="722" spans="1:7" ht="12">
      <c r="A722" s="1472" t="s">
        <v>19</v>
      </c>
      <c r="B722" s="1472" t="s">
        <v>3053</v>
      </c>
      <c r="C722" s="1472">
        <v>2</v>
      </c>
      <c r="D722" s="1776" t="s">
        <v>168</v>
      </c>
      <c r="E722" s="1761" t="s">
        <v>168</v>
      </c>
      <c r="F722" s="1762" t="s">
        <v>3238</v>
      </c>
      <c r="G722" s="1770" t="s">
        <v>3239</v>
      </c>
    </row>
    <row r="723" spans="1:7" ht="12">
      <c r="A723" s="1472" t="s">
        <v>19</v>
      </c>
      <c r="B723" s="1472" t="s">
        <v>3053</v>
      </c>
      <c r="C723" s="1472">
        <v>2</v>
      </c>
      <c r="D723" s="1776" t="s">
        <v>2503</v>
      </c>
      <c r="E723" s="1761" t="s">
        <v>2503</v>
      </c>
      <c r="F723" s="1762" t="s">
        <v>3240</v>
      </c>
      <c r="G723" s="1770" t="s">
        <v>3241</v>
      </c>
    </row>
    <row r="724" spans="1:7" ht="12">
      <c r="A724" s="1472" t="s">
        <v>19</v>
      </c>
      <c r="B724" s="1472" t="s">
        <v>3053</v>
      </c>
      <c r="C724" s="1472">
        <v>2</v>
      </c>
      <c r="D724" s="1776" t="s">
        <v>2671</v>
      </c>
      <c r="E724" s="1761" t="s">
        <v>2671</v>
      </c>
      <c r="F724" s="1762" t="s">
        <v>3242</v>
      </c>
      <c r="G724" s="1770" t="s">
        <v>3243</v>
      </c>
    </row>
    <row r="725" spans="1:7" ht="204">
      <c r="A725" s="1472" t="s">
        <v>19</v>
      </c>
      <c r="B725" s="1472" t="s">
        <v>3053</v>
      </c>
      <c r="C725" s="1472">
        <v>3</v>
      </c>
      <c r="D725" s="1776" t="s">
        <v>3260</v>
      </c>
      <c r="E725" s="1761" t="s">
        <v>3260</v>
      </c>
      <c r="F725" s="1764" t="s">
        <v>3267</v>
      </c>
      <c r="G725" s="1772" t="s">
        <v>3262</v>
      </c>
    </row>
    <row r="726" spans="1:7" ht="12">
      <c r="A726" s="1472" t="s">
        <v>19</v>
      </c>
      <c r="B726" s="1472" t="s">
        <v>3053</v>
      </c>
      <c r="C726" s="1472">
        <v>3</v>
      </c>
      <c r="D726" s="1776" t="s">
        <v>1028</v>
      </c>
      <c r="E726" s="1761" t="s">
        <v>1028</v>
      </c>
      <c r="F726" s="1762" t="s">
        <v>3252</v>
      </c>
      <c r="G726" s="1770" t="s">
        <v>3253</v>
      </c>
    </row>
    <row r="727" spans="1:7" ht="12">
      <c r="A727" s="1472" t="s">
        <v>19</v>
      </c>
      <c r="B727" s="1472" t="s">
        <v>3053</v>
      </c>
      <c r="C727" s="1472">
        <v>3</v>
      </c>
      <c r="D727" s="1776" t="s">
        <v>187</v>
      </c>
      <c r="E727" s="1761" t="s">
        <v>187</v>
      </c>
      <c r="F727" s="1762" t="s">
        <v>3263</v>
      </c>
      <c r="G727" s="1770" t="s">
        <v>3264</v>
      </c>
    </row>
    <row r="728" spans="1:7" ht="24">
      <c r="A728" s="1472" t="s">
        <v>19</v>
      </c>
      <c r="B728" s="1472" t="s">
        <v>3053</v>
      </c>
      <c r="C728" s="1472">
        <v>3</v>
      </c>
      <c r="D728" s="1776" t="s">
        <v>3277</v>
      </c>
      <c r="E728" s="1761" t="s">
        <v>3277</v>
      </c>
      <c r="F728" s="1762" t="s">
        <v>3292</v>
      </c>
      <c r="G728" s="1770" t="s">
        <v>3312</v>
      </c>
    </row>
    <row r="729" spans="1:7" ht="12">
      <c r="A729" s="1472" t="s">
        <v>19</v>
      </c>
      <c r="B729" s="1472" t="s">
        <v>3053</v>
      </c>
      <c r="C729" s="1472">
        <v>3</v>
      </c>
      <c r="D729" s="1776" t="s">
        <v>142</v>
      </c>
      <c r="E729" s="1761" t="s">
        <v>142</v>
      </c>
      <c r="F729" s="1762" t="s">
        <v>3185</v>
      </c>
      <c r="G729" s="1770" t="s">
        <v>3186</v>
      </c>
    </row>
    <row r="730" spans="1:7" ht="12">
      <c r="A730" s="1472" t="s">
        <v>19</v>
      </c>
      <c r="B730" s="1472" t="s">
        <v>3053</v>
      </c>
      <c r="C730" s="1472">
        <v>3</v>
      </c>
      <c r="D730" s="1776" t="s">
        <v>49</v>
      </c>
      <c r="E730" s="1761" t="s">
        <v>49</v>
      </c>
      <c r="F730" s="1762" t="s">
        <v>3187</v>
      </c>
      <c r="G730" s="1770" t="s">
        <v>3188</v>
      </c>
    </row>
    <row r="731" spans="1:7" ht="12">
      <c r="A731" s="1472" t="s">
        <v>19</v>
      </c>
      <c r="B731" s="1472" t="s">
        <v>3053</v>
      </c>
      <c r="C731" s="1472">
        <v>3</v>
      </c>
      <c r="D731" s="1776" t="s">
        <v>189</v>
      </c>
      <c r="E731" s="1761" t="s">
        <v>189</v>
      </c>
      <c r="F731" s="1762" t="s">
        <v>3189</v>
      </c>
      <c r="G731" s="1770" t="s">
        <v>3190</v>
      </c>
    </row>
    <row r="732" spans="1:7" ht="12">
      <c r="A732" s="1472" t="s">
        <v>19</v>
      </c>
      <c r="B732" s="1472" t="s">
        <v>3053</v>
      </c>
      <c r="C732" s="1472">
        <v>3</v>
      </c>
      <c r="D732" s="1776" t="s">
        <v>146</v>
      </c>
      <c r="E732" s="1761" t="s">
        <v>146</v>
      </c>
      <c r="F732" s="1762" t="s">
        <v>3191</v>
      </c>
      <c r="G732" s="1770" t="s">
        <v>3192</v>
      </c>
    </row>
    <row r="733" spans="1:7" ht="12">
      <c r="A733" s="1472" t="s">
        <v>19</v>
      </c>
      <c r="B733" s="1472" t="s">
        <v>3053</v>
      </c>
      <c r="C733" s="1472">
        <v>3</v>
      </c>
      <c r="D733" s="1776" t="s">
        <v>147</v>
      </c>
      <c r="E733" s="1761" t="s">
        <v>147</v>
      </c>
      <c r="F733" s="1762" t="s">
        <v>3193</v>
      </c>
      <c r="G733" s="1770" t="s">
        <v>3194</v>
      </c>
    </row>
    <row r="734" spans="1:7" ht="12">
      <c r="A734" s="1472" t="s">
        <v>19</v>
      </c>
      <c r="B734" s="1472" t="s">
        <v>3053</v>
      </c>
      <c r="C734" s="1472">
        <v>3</v>
      </c>
      <c r="D734" s="1776" t="s">
        <v>148</v>
      </c>
      <c r="E734" s="1761" t="s">
        <v>148</v>
      </c>
      <c r="F734" s="1762" t="s">
        <v>3195</v>
      </c>
      <c r="G734" s="1770" t="s">
        <v>3196</v>
      </c>
    </row>
    <row r="735" spans="1:7" ht="12">
      <c r="A735" s="1472" t="s">
        <v>19</v>
      </c>
      <c r="B735" s="1472" t="s">
        <v>3053</v>
      </c>
      <c r="C735" s="1472">
        <v>3</v>
      </c>
      <c r="D735" s="1776" t="s">
        <v>149</v>
      </c>
      <c r="E735" s="1761" t="s">
        <v>149</v>
      </c>
      <c r="F735" s="1762" t="s">
        <v>3197</v>
      </c>
      <c r="G735" s="1770" t="s">
        <v>3198</v>
      </c>
    </row>
    <row r="736" spans="1:7" ht="12">
      <c r="A736" s="1472" t="s">
        <v>19</v>
      </c>
      <c r="B736" s="1472" t="s">
        <v>3053</v>
      </c>
      <c r="C736" s="1472">
        <v>3</v>
      </c>
      <c r="D736" s="1776" t="s">
        <v>150</v>
      </c>
      <c r="E736" s="1761" t="s">
        <v>150</v>
      </c>
      <c r="F736" s="1762" t="s">
        <v>3199</v>
      </c>
      <c r="G736" s="1770" t="s">
        <v>3200</v>
      </c>
    </row>
    <row r="737" spans="1:7" ht="12">
      <c r="A737" s="1472" t="s">
        <v>19</v>
      </c>
      <c r="B737" s="1472" t="s">
        <v>3053</v>
      </c>
      <c r="C737" s="1472">
        <v>3</v>
      </c>
      <c r="D737" s="1776" t="s">
        <v>151</v>
      </c>
      <c r="E737" s="1761" t="s">
        <v>151</v>
      </c>
      <c r="F737" s="1762" t="s">
        <v>3201</v>
      </c>
      <c r="G737" s="1770" t="s">
        <v>3202</v>
      </c>
    </row>
    <row r="738" spans="1:7" ht="12">
      <c r="A738" s="1472" t="s">
        <v>19</v>
      </c>
      <c r="B738" s="1472" t="s">
        <v>3053</v>
      </c>
      <c r="C738" s="1472">
        <v>3</v>
      </c>
      <c r="D738" s="1776" t="s">
        <v>152</v>
      </c>
      <c r="E738" s="1761" t="s">
        <v>152</v>
      </c>
      <c r="F738" s="1762" t="s">
        <v>3203</v>
      </c>
      <c r="G738" s="1770" t="s">
        <v>3204</v>
      </c>
    </row>
    <row r="739" spans="1:7" ht="12">
      <c r="A739" s="1472" t="s">
        <v>19</v>
      </c>
      <c r="B739" s="1472" t="s">
        <v>3053</v>
      </c>
      <c r="C739" s="1472">
        <v>3</v>
      </c>
      <c r="D739" s="1776" t="s">
        <v>153</v>
      </c>
      <c r="E739" s="1761" t="s">
        <v>153</v>
      </c>
      <c r="F739" s="1762" t="s">
        <v>3205</v>
      </c>
      <c r="G739" s="1770" t="s">
        <v>3206</v>
      </c>
    </row>
    <row r="740" spans="1:7" ht="12">
      <c r="A740" s="1472" t="s">
        <v>19</v>
      </c>
      <c r="B740" s="1472" t="s">
        <v>3053</v>
      </c>
      <c r="C740" s="1472">
        <v>3</v>
      </c>
      <c r="D740" s="1776" t="s">
        <v>154</v>
      </c>
      <c r="E740" s="1761" t="s">
        <v>154</v>
      </c>
      <c r="F740" s="1762" t="s">
        <v>3207</v>
      </c>
      <c r="G740" s="1770" t="s">
        <v>3208</v>
      </c>
    </row>
    <row r="741" spans="1:7" ht="12">
      <c r="A741" s="1472" t="s">
        <v>19</v>
      </c>
      <c r="B741" s="1472" t="s">
        <v>3053</v>
      </c>
      <c r="C741" s="1472">
        <v>3</v>
      </c>
      <c r="D741" s="1776" t="s">
        <v>155</v>
      </c>
      <c r="E741" s="1761" t="s">
        <v>155</v>
      </c>
      <c r="F741" s="1762" t="s">
        <v>3209</v>
      </c>
      <c r="G741" s="1770" t="s">
        <v>3210</v>
      </c>
    </row>
    <row r="742" spans="1:7" ht="12">
      <c r="A742" s="1472" t="s">
        <v>19</v>
      </c>
      <c r="B742" s="1472" t="s">
        <v>3053</v>
      </c>
      <c r="C742" s="1472">
        <v>3</v>
      </c>
      <c r="D742" s="1776" t="s">
        <v>156</v>
      </c>
      <c r="E742" s="1761" t="s">
        <v>156</v>
      </c>
      <c r="F742" s="1762" t="s">
        <v>3211</v>
      </c>
      <c r="G742" s="1770" t="s">
        <v>3212</v>
      </c>
    </row>
    <row r="743" spans="1:7" ht="12">
      <c r="A743" s="1472" t="s">
        <v>19</v>
      </c>
      <c r="B743" s="1472" t="s">
        <v>3053</v>
      </c>
      <c r="C743" s="1472">
        <v>3</v>
      </c>
      <c r="D743" s="1776" t="s">
        <v>157</v>
      </c>
      <c r="E743" s="1761" t="s">
        <v>157</v>
      </c>
      <c r="F743" s="1762" t="s">
        <v>3213</v>
      </c>
      <c r="G743" s="1770" t="s">
        <v>3214</v>
      </c>
    </row>
    <row r="744" spans="1:7" ht="12">
      <c r="A744" s="1472" t="s">
        <v>19</v>
      </c>
      <c r="B744" s="1472" t="s">
        <v>3053</v>
      </c>
      <c r="C744" s="1472">
        <v>3</v>
      </c>
      <c r="D744" s="1776" t="s">
        <v>158</v>
      </c>
      <c r="E744" s="1761" t="s">
        <v>158</v>
      </c>
      <c r="F744" s="1762" t="s">
        <v>3215</v>
      </c>
      <c r="G744" s="1770" t="s">
        <v>3216</v>
      </c>
    </row>
    <row r="745" spans="1:7" ht="12">
      <c r="A745" s="1472" t="s">
        <v>19</v>
      </c>
      <c r="B745" s="1472" t="s">
        <v>3053</v>
      </c>
      <c r="C745" s="1472">
        <v>3</v>
      </c>
      <c r="D745" s="1776" t="s">
        <v>159</v>
      </c>
      <c r="E745" s="1761" t="s">
        <v>159</v>
      </c>
      <c r="F745" s="1762" t="s">
        <v>3217</v>
      </c>
      <c r="G745" s="1770" t="s">
        <v>3218</v>
      </c>
    </row>
    <row r="746" spans="1:7" ht="12">
      <c r="A746" s="1472" t="s">
        <v>19</v>
      </c>
      <c r="B746" s="1472" t="s">
        <v>3053</v>
      </c>
      <c r="C746" s="1472">
        <v>3</v>
      </c>
      <c r="D746" s="1776" t="s">
        <v>160</v>
      </c>
      <c r="E746" s="1761" t="s">
        <v>160</v>
      </c>
      <c r="F746" s="1762" t="s">
        <v>3219</v>
      </c>
      <c r="G746" s="1770" t="s">
        <v>3220</v>
      </c>
    </row>
    <row r="747" spans="1:7" ht="12">
      <c r="A747" s="1472" t="s">
        <v>19</v>
      </c>
      <c r="B747" s="1472" t="s">
        <v>3053</v>
      </c>
      <c r="C747" s="1472">
        <v>3</v>
      </c>
      <c r="D747" s="1776" t="s">
        <v>161</v>
      </c>
      <c r="E747" s="1761" t="s">
        <v>161</v>
      </c>
      <c r="F747" s="1762" t="s">
        <v>3221</v>
      </c>
      <c r="G747" s="1770" t="s">
        <v>3222</v>
      </c>
    </row>
    <row r="748" spans="1:7" ht="12">
      <c r="A748" s="1472" t="s">
        <v>19</v>
      </c>
      <c r="B748" s="1472" t="s">
        <v>3053</v>
      </c>
      <c r="C748" s="1472">
        <v>3</v>
      </c>
      <c r="D748" s="1776" t="s">
        <v>162</v>
      </c>
      <c r="E748" s="1761" t="s">
        <v>162</v>
      </c>
      <c r="F748" s="1762" t="s">
        <v>3223</v>
      </c>
      <c r="G748" s="1770" t="s">
        <v>3224</v>
      </c>
    </row>
    <row r="749" spans="1:7" ht="12">
      <c r="A749" s="1472" t="s">
        <v>19</v>
      </c>
      <c r="B749" s="1472" t="s">
        <v>3053</v>
      </c>
      <c r="C749" s="1472">
        <v>3</v>
      </c>
      <c r="D749" s="1776" t="s">
        <v>163</v>
      </c>
      <c r="E749" s="1761" t="s">
        <v>163</v>
      </c>
      <c r="F749" s="1762" t="s">
        <v>3225</v>
      </c>
      <c r="G749" s="1770" t="s">
        <v>3226</v>
      </c>
    </row>
    <row r="750" spans="1:7" ht="12">
      <c r="A750" s="1472" t="s">
        <v>19</v>
      </c>
      <c r="B750" s="1472" t="s">
        <v>3053</v>
      </c>
      <c r="C750" s="1472">
        <v>3</v>
      </c>
      <c r="D750" s="1776" t="s">
        <v>164</v>
      </c>
      <c r="E750" s="1761" t="s">
        <v>164</v>
      </c>
      <c r="F750" s="1762" t="s">
        <v>3227</v>
      </c>
      <c r="G750" s="1770" t="s">
        <v>3228</v>
      </c>
    </row>
    <row r="751" spans="1:7" ht="12">
      <c r="A751" s="1472" t="s">
        <v>19</v>
      </c>
      <c r="B751" s="1472" t="s">
        <v>3053</v>
      </c>
      <c r="C751" s="1472">
        <v>3</v>
      </c>
      <c r="D751" s="1776" t="s">
        <v>165</v>
      </c>
      <c r="E751" s="1761" t="s">
        <v>165</v>
      </c>
      <c r="F751" s="1762" t="s">
        <v>3229</v>
      </c>
      <c r="G751" s="1770" t="s">
        <v>3230</v>
      </c>
    </row>
    <row r="752" spans="1:7" ht="12">
      <c r="A752" s="1472" t="s">
        <v>19</v>
      </c>
      <c r="B752" s="1472" t="s">
        <v>3053</v>
      </c>
      <c r="C752" s="1472">
        <v>3</v>
      </c>
      <c r="D752" s="1776" t="s">
        <v>143</v>
      </c>
      <c r="E752" s="1761" t="s">
        <v>143</v>
      </c>
      <c r="F752" s="1762" t="s">
        <v>3231</v>
      </c>
      <c r="G752" s="1770" t="s">
        <v>3232</v>
      </c>
    </row>
    <row r="753" spans="1:7" ht="12">
      <c r="A753" s="1472" t="s">
        <v>19</v>
      </c>
      <c r="B753" s="1472" t="s">
        <v>3053</v>
      </c>
      <c r="C753" s="1472">
        <v>3</v>
      </c>
      <c r="D753" s="1776" t="s">
        <v>166</v>
      </c>
      <c r="E753" s="1761" t="s">
        <v>166</v>
      </c>
      <c r="F753" s="1762" t="s">
        <v>3233</v>
      </c>
      <c r="G753" s="1770" t="s">
        <v>3234</v>
      </c>
    </row>
    <row r="754" spans="1:7" ht="12">
      <c r="A754" s="1472" t="s">
        <v>19</v>
      </c>
      <c r="B754" s="1472" t="s">
        <v>3053</v>
      </c>
      <c r="C754" s="1472">
        <v>3</v>
      </c>
      <c r="D754" s="1776" t="s">
        <v>167</v>
      </c>
      <c r="E754" s="1761" t="s">
        <v>167</v>
      </c>
      <c r="F754" s="1762" t="s">
        <v>3235</v>
      </c>
      <c r="G754" s="1770" t="s">
        <v>3236</v>
      </c>
    </row>
    <row r="755" spans="1:7" ht="12">
      <c r="A755" s="1472" t="s">
        <v>19</v>
      </c>
      <c r="B755" s="1472" t="s">
        <v>3053</v>
      </c>
      <c r="C755" s="1472">
        <v>3</v>
      </c>
      <c r="D755" s="1776" t="s">
        <v>144</v>
      </c>
      <c r="E755" s="1761" t="s">
        <v>144</v>
      </c>
      <c r="F755" s="1762" t="s">
        <v>3237</v>
      </c>
      <c r="G755" s="1770" t="s">
        <v>144</v>
      </c>
    </row>
    <row r="756" spans="1:7" ht="12">
      <c r="A756" s="1472" t="s">
        <v>19</v>
      </c>
      <c r="B756" s="1472" t="s">
        <v>3053</v>
      </c>
      <c r="C756" s="1472">
        <v>3</v>
      </c>
      <c r="D756" s="1776" t="s">
        <v>168</v>
      </c>
      <c r="E756" s="1761" t="s">
        <v>168</v>
      </c>
      <c r="F756" s="1762" t="s">
        <v>3238</v>
      </c>
      <c r="G756" s="1770" t="s">
        <v>3239</v>
      </c>
    </row>
    <row r="757" spans="1:7" ht="12">
      <c r="A757" s="1472" t="s">
        <v>19</v>
      </c>
      <c r="B757" s="1472" t="s">
        <v>3053</v>
      </c>
      <c r="C757" s="1472">
        <v>3</v>
      </c>
      <c r="D757" s="1776" t="s">
        <v>2503</v>
      </c>
      <c r="E757" s="1761" t="s">
        <v>2503</v>
      </c>
      <c r="F757" s="1762" t="s">
        <v>3240</v>
      </c>
      <c r="G757" s="1770" t="s">
        <v>3241</v>
      </c>
    </row>
    <row r="758" spans="1:7" ht="12">
      <c r="A758" s="1472" t="s">
        <v>19</v>
      </c>
      <c r="B758" s="1472" t="s">
        <v>3053</v>
      </c>
      <c r="C758" s="1472">
        <v>3</v>
      </c>
      <c r="D758" s="1776" t="s">
        <v>2671</v>
      </c>
      <c r="E758" s="1761" t="s">
        <v>2671</v>
      </c>
      <c r="F758" s="1762" t="s">
        <v>3242</v>
      </c>
      <c r="G758" s="1770" t="s">
        <v>3243</v>
      </c>
    </row>
    <row r="759" spans="1:7" ht="204">
      <c r="A759" s="1472" t="s">
        <v>19</v>
      </c>
      <c r="B759" s="1472" t="s">
        <v>3053</v>
      </c>
      <c r="C759" s="1472">
        <v>4</v>
      </c>
      <c r="D759" s="1776" t="s">
        <v>3260</v>
      </c>
      <c r="E759" s="1761" t="s">
        <v>3260</v>
      </c>
      <c r="F759" s="1764" t="s">
        <v>3267</v>
      </c>
      <c r="G759" s="1772" t="s">
        <v>3262</v>
      </c>
    </row>
    <row r="760" spans="1:7" ht="12">
      <c r="A760" s="1472" t="s">
        <v>19</v>
      </c>
      <c r="B760" s="1472" t="s">
        <v>3053</v>
      </c>
      <c r="C760" s="1472">
        <v>4</v>
      </c>
      <c r="D760" s="1776" t="s">
        <v>1028</v>
      </c>
      <c r="E760" s="1761" t="s">
        <v>1028</v>
      </c>
      <c r="F760" s="1762" t="s">
        <v>3252</v>
      </c>
      <c r="G760" s="1770" t="s">
        <v>3253</v>
      </c>
    </row>
    <row r="761" spans="1:7" ht="12">
      <c r="A761" s="1472" t="s">
        <v>19</v>
      </c>
      <c r="B761" s="1472" t="s">
        <v>3053</v>
      </c>
      <c r="C761" s="1472">
        <v>4</v>
      </c>
      <c r="D761" s="1776" t="s">
        <v>187</v>
      </c>
      <c r="E761" s="1761" t="s">
        <v>187</v>
      </c>
      <c r="F761" s="1762" t="s">
        <v>3263</v>
      </c>
      <c r="G761" s="1770" t="s">
        <v>3264</v>
      </c>
    </row>
    <row r="762" spans="1:7" ht="24">
      <c r="A762" s="1472" t="s">
        <v>19</v>
      </c>
      <c r="B762" s="1472" t="s">
        <v>3053</v>
      </c>
      <c r="C762" s="1472">
        <v>4</v>
      </c>
      <c r="D762" s="1776" t="s">
        <v>3277</v>
      </c>
      <c r="E762" s="1761" t="s">
        <v>3277</v>
      </c>
      <c r="F762" s="1762" t="s">
        <v>3292</v>
      </c>
      <c r="G762" s="1770" t="s">
        <v>3279</v>
      </c>
    </row>
    <row r="763" spans="1:7" ht="12">
      <c r="A763" s="1472" t="s">
        <v>19</v>
      </c>
      <c r="B763" s="1472" t="s">
        <v>3053</v>
      </c>
      <c r="C763" s="1472">
        <v>4</v>
      </c>
      <c r="D763" s="1776" t="s">
        <v>142</v>
      </c>
      <c r="E763" s="1761" t="s">
        <v>142</v>
      </c>
      <c r="F763" s="1762" t="s">
        <v>3185</v>
      </c>
      <c r="G763" s="1770" t="s">
        <v>3186</v>
      </c>
    </row>
    <row r="764" spans="1:7" ht="12">
      <c r="A764" s="1472" t="s">
        <v>19</v>
      </c>
      <c r="B764" s="1472" t="s">
        <v>3053</v>
      </c>
      <c r="C764" s="1472">
        <v>4</v>
      </c>
      <c r="D764" s="1776" t="s">
        <v>49</v>
      </c>
      <c r="E764" s="1761" t="s">
        <v>49</v>
      </c>
      <c r="F764" s="1762" t="s">
        <v>3187</v>
      </c>
      <c r="G764" s="1770" t="s">
        <v>3188</v>
      </c>
    </row>
    <row r="765" spans="1:7" ht="12">
      <c r="A765" s="1472" t="s">
        <v>19</v>
      </c>
      <c r="B765" s="1472" t="s">
        <v>3053</v>
      </c>
      <c r="C765" s="1472">
        <v>4</v>
      </c>
      <c r="D765" s="1776" t="s">
        <v>189</v>
      </c>
      <c r="E765" s="1761" t="s">
        <v>189</v>
      </c>
      <c r="F765" s="1762" t="s">
        <v>3189</v>
      </c>
      <c r="G765" s="1770" t="s">
        <v>3190</v>
      </c>
    </row>
    <row r="766" spans="1:7" ht="12">
      <c r="A766" s="1472" t="s">
        <v>19</v>
      </c>
      <c r="B766" s="1472" t="s">
        <v>3053</v>
      </c>
      <c r="C766" s="1472">
        <v>4</v>
      </c>
      <c r="D766" s="1776" t="s">
        <v>146</v>
      </c>
      <c r="E766" s="1761" t="s">
        <v>146</v>
      </c>
      <c r="F766" s="1762" t="s">
        <v>3191</v>
      </c>
      <c r="G766" s="1770" t="s">
        <v>3192</v>
      </c>
    </row>
    <row r="767" spans="1:7" ht="12">
      <c r="A767" s="1472" t="s">
        <v>19</v>
      </c>
      <c r="B767" s="1472" t="s">
        <v>3053</v>
      </c>
      <c r="C767" s="1472">
        <v>4</v>
      </c>
      <c r="D767" s="1776" t="s">
        <v>147</v>
      </c>
      <c r="E767" s="1761" t="s">
        <v>147</v>
      </c>
      <c r="F767" s="1762" t="s">
        <v>3193</v>
      </c>
      <c r="G767" s="1770" t="s">
        <v>3194</v>
      </c>
    </row>
    <row r="768" spans="1:7" ht="12">
      <c r="A768" s="1472" t="s">
        <v>19</v>
      </c>
      <c r="B768" s="1472" t="s">
        <v>3053</v>
      </c>
      <c r="C768" s="1472">
        <v>4</v>
      </c>
      <c r="D768" s="1776" t="s">
        <v>148</v>
      </c>
      <c r="E768" s="1761" t="s">
        <v>148</v>
      </c>
      <c r="F768" s="1762" t="s">
        <v>3195</v>
      </c>
      <c r="G768" s="1770" t="s">
        <v>3196</v>
      </c>
    </row>
    <row r="769" spans="1:7" ht="12">
      <c r="A769" s="1472" t="s">
        <v>19</v>
      </c>
      <c r="B769" s="1472" t="s">
        <v>3053</v>
      </c>
      <c r="C769" s="1472">
        <v>4</v>
      </c>
      <c r="D769" s="1776" t="s">
        <v>149</v>
      </c>
      <c r="E769" s="1761" t="s">
        <v>149</v>
      </c>
      <c r="F769" s="1762" t="s">
        <v>3197</v>
      </c>
      <c r="G769" s="1770" t="s">
        <v>3198</v>
      </c>
    </row>
    <row r="770" spans="1:7" ht="12">
      <c r="A770" s="1472" t="s">
        <v>19</v>
      </c>
      <c r="B770" s="1472" t="s">
        <v>3053</v>
      </c>
      <c r="C770" s="1472">
        <v>4</v>
      </c>
      <c r="D770" s="1776" t="s">
        <v>150</v>
      </c>
      <c r="E770" s="1761" t="s">
        <v>150</v>
      </c>
      <c r="F770" s="1762" t="s">
        <v>3199</v>
      </c>
      <c r="G770" s="1770" t="s">
        <v>3200</v>
      </c>
    </row>
    <row r="771" spans="1:7" ht="12">
      <c r="A771" s="1472" t="s">
        <v>19</v>
      </c>
      <c r="B771" s="1472" t="s">
        <v>3053</v>
      </c>
      <c r="C771" s="1472">
        <v>4</v>
      </c>
      <c r="D771" s="1776" t="s">
        <v>151</v>
      </c>
      <c r="E771" s="1761" t="s">
        <v>151</v>
      </c>
      <c r="F771" s="1762" t="s">
        <v>3201</v>
      </c>
      <c r="G771" s="1770" t="s">
        <v>3202</v>
      </c>
    </row>
    <row r="772" spans="1:7" ht="12">
      <c r="A772" s="1472" t="s">
        <v>19</v>
      </c>
      <c r="B772" s="1472" t="s">
        <v>3053</v>
      </c>
      <c r="C772" s="1472">
        <v>4</v>
      </c>
      <c r="D772" s="1776" t="s">
        <v>152</v>
      </c>
      <c r="E772" s="1761" t="s">
        <v>152</v>
      </c>
      <c r="F772" s="1762" t="s">
        <v>3203</v>
      </c>
      <c r="G772" s="1770" t="s">
        <v>3204</v>
      </c>
    </row>
    <row r="773" spans="1:7" ht="12">
      <c r="A773" s="1472" t="s">
        <v>19</v>
      </c>
      <c r="B773" s="1472" t="s">
        <v>3053</v>
      </c>
      <c r="C773" s="1472">
        <v>4</v>
      </c>
      <c r="D773" s="1776" t="s">
        <v>153</v>
      </c>
      <c r="E773" s="1761" t="s">
        <v>153</v>
      </c>
      <c r="F773" s="1762" t="s">
        <v>3205</v>
      </c>
      <c r="G773" s="1770" t="s">
        <v>3206</v>
      </c>
    </row>
    <row r="774" spans="1:7" ht="12">
      <c r="A774" s="1472" t="s">
        <v>19</v>
      </c>
      <c r="B774" s="1472" t="s">
        <v>3053</v>
      </c>
      <c r="C774" s="1472">
        <v>4</v>
      </c>
      <c r="D774" s="1776" t="s">
        <v>154</v>
      </c>
      <c r="E774" s="1761" t="s">
        <v>154</v>
      </c>
      <c r="F774" s="1762" t="s">
        <v>3207</v>
      </c>
      <c r="G774" s="1770" t="s">
        <v>3208</v>
      </c>
    </row>
    <row r="775" spans="1:7" ht="12">
      <c r="A775" s="1472" t="s">
        <v>19</v>
      </c>
      <c r="B775" s="1472" t="s">
        <v>3053</v>
      </c>
      <c r="C775" s="1472">
        <v>4</v>
      </c>
      <c r="D775" s="1776" t="s">
        <v>155</v>
      </c>
      <c r="E775" s="1761" t="s">
        <v>155</v>
      </c>
      <c r="F775" s="1762" t="s">
        <v>3209</v>
      </c>
      <c r="G775" s="1770" t="s">
        <v>3210</v>
      </c>
    </row>
    <row r="776" spans="1:7" ht="12">
      <c r="A776" s="1472" t="s">
        <v>19</v>
      </c>
      <c r="B776" s="1472" t="s">
        <v>3053</v>
      </c>
      <c r="C776" s="1472">
        <v>4</v>
      </c>
      <c r="D776" s="1776" t="s">
        <v>156</v>
      </c>
      <c r="E776" s="1761" t="s">
        <v>156</v>
      </c>
      <c r="F776" s="1762" t="s">
        <v>3211</v>
      </c>
      <c r="G776" s="1770" t="s">
        <v>3212</v>
      </c>
    </row>
    <row r="777" spans="1:7" ht="12">
      <c r="A777" s="1472" t="s">
        <v>19</v>
      </c>
      <c r="B777" s="1472" t="s">
        <v>3053</v>
      </c>
      <c r="C777" s="1472">
        <v>4</v>
      </c>
      <c r="D777" s="1776" t="s">
        <v>157</v>
      </c>
      <c r="E777" s="1761" t="s">
        <v>157</v>
      </c>
      <c r="F777" s="1762" t="s">
        <v>3213</v>
      </c>
      <c r="G777" s="1770" t="s">
        <v>3214</v>
      </c>
    </row>
    <row r="778" spans="1:7" ht="12">
      <c r="A778" s="1472" t="s">
        <v>19</v>
      </c>
      <c r="B778" s="1472" t="s">
        <v>3053</v>
      </c>
      <c r="C778" s="1472">
        <v>4</v>
      </c>
      <c r="D778" s="1776" t="s">
        <v>158</v>
      </c>
      <c r="E778" s="1761" t="s">
        <v>158</v>
      </c>
      <c r="F778" s="1762" t="s">
        <v>3215</v>
      </c>
      <c r="G778" s="1770" t="s">
        <v>3216</v>
      </c>
    </row>
    <row r="779" spans="1:7" ht="12">
      <c r="A779" s="1472" t="s">
        <v>19</v>
      </c>
      <c r="B779" s="1472" t="s">
        <v>3053</v>
      </c>
      <c r="C779" s="1472">
        <v>4</v>
      </c>
      <c r="D779" s="1776" t="s">
        <v>159</v>
      </c>
      <c r="E779" s="1761" t="s">
        <v>159</v>
      </c>
      <c r="F779" s="1762" t="s">
        <v>3217</v>
      </c>
      <c r="G779" s="1770" t="s">
        <v>3218</v>
      </c>
    </row>
    <row r="780" spans="1:7" ht="12">
      <c r="A780" s="1472" t="s">
        <v>19</v>
      </c>
      <c r="B780" s="1472" t="s">
        <v>3053</v>
      </c>
      <c r="C780" s="1472">
        <v>4</v>
      </c>
      <c r="D780" s="1776" t="s">
        <v>160</v>
      </c>
      <c r="E780" s="1761" t="s">
        <v>160</v>
      </c>
      <c r="F780" s="1762" t="s">
        <v>3219</v>
      </c>
      <c r="G780" s="1770" t="s">
        <v>3220</v>
      </c>
    </row>
    <row r="781" spans="1:7" ht="12">
      <c r="A781" s="1472" t="s">
        <v>19</v>
      </c>
      <c r="B781" s="1472" t="s">
        <v>3053</v>
      </c>
      <c r="C781" s="1472">
        <v>4</v>
      </c>
      <c r="D781" s="1776" t="s">
        <v>161</v>
      </c>
      <c r="E781" s="1761" t="s">
        <v>161</v>
      </c>
      <c r="F781" s="1762" t="s">
        <v>3221</v>
      </c>
      <c r="G781" s="1770" t="s">
        <v>3222</v>
      </c>
    </row>
    <row r="782" spans="1:7" ht="12">
      <c r="A782" s="1472" t="s">
        <v>19</v>
      </c>
      <c r="B782" s="1472" t="s">
        <v>3053</v>
      </c>
      <c r="C782" s="1472">
        <v>4</v>
      </c>
      <c r="D782" s="1776" t="s">
        <v>162</v>
      </c>
      <c r="E782" s="1761" t="s">
        <v>162</v>
      </c>
      <c r="F782" s="1762" t="s">
        <v>3223</v>
      </c>
      <c r="G782" s="1770" t="s">
        <v>3224</v>
      </c>
    </row>
    <row r="783" spans="1:7" ht="12">
      <c r="A783" s="1472" t="s">
        <v>19</v>
      </c>
      <c r="B783" s="1472" t="s">
        <v>3053</v>
      </c>
      <c r="C783" s="1472">
        <v>4</v>
      </c>
      <c r="D783" s="1776" t="s">
        <v>163</v>
      </c>
      <c r="E783" s="1761" t="s">
        <v>163</v>
      </c>
      <c r="F783" s="1762" t="s">
        <v>3225</v>
      </c>
      <c r="G783" s="1770" t="s">
        <v>3226</v>
      </c>
    </row>
    <row r="784" spans="1:7" ht="12">
      <c r="A784" s="1472" t="s">
        <v>19</v>
      </c>
      <c r="B784" s="1472" t="s">
        <v>3053</v>
      </c>
      <c r="C784" s="1472">
        <v>4</v>
      </c>
      <c r="D784" s="1776" t="s">
        <v>164</v>
      </c>
      <c r="E784" s="1761" t="s">
        <v>164</v>
      </c>
      <c r="F784" s="1762" t="s">
        <v>3227</v>
      </c>
      <c r="G784" s="1770" t="s">
        <v>3228</v>
      </c>
    </row>
    <row r="785" spans="1:7" ht="12">
      <c r="A785" s="1472" t="s">
        <v>19</v>
      </c>
      <c r="B785" s="1472" t="s">
        <v>3053</v>
      </c>
      <c r="C785" s="1472">
        <v>4</v>
      </c>
      <c r="D785" s="1776" t="s">
        <v>165</v>
      </c>
      <c r="E785" s="1761" t="s">
        <v>165</v>
      </c>
      <c r="F785" s="1762" t="s">
        <v>3229</v>
      </c>
      <c r="G785" s="1770" t="s">
        <v>3230</v>
      </c>
    </row>
    <row r="786" spans="1:7" ht="12">
      <c r="A786" s="1472" t="s">
        <v>19</v>
      </c>
      <c r="B786" s="1472" t="s">
        <v>3053</v>
      </c>
      <c r="C786" s="1472">
        <v>4</v>
      </c>
      <c r="D786" s="1776" t="s">
        <v>143</v>
      </c>
      <c r="E786" s="1761" t="s">
        <v>143</v>
      </c>
      <c r="F786" s="1762" t="s">
        <v>3231</v>
      </c>
      <c r="G786" s="1770" t="s">
        <v>3232</v>
      </c>
    </row>
    <row r="787" spans="1:7" ht="12">
      <c r="A787" s="1472" t="s">
        <v>19</v>
      </c>
      <c r="B787" s="1472" t="s">
        <v>3053</v>
      </c>
      <c r="C787" s="1472">
        <v>4</v>
      </c>
      <c r="D787" s="1776" t="s">
        <v>166</v>
      </c>
      <c r="E787" s="1761" t="s">
        <v>166</v>
      </c>
      <c r="F787" s="1762" t="s">
        <v>3233</v>
      </c>
      <c r="G787" s="1770" t="s">
        <v>3234</v>
      </c>
    </row>
    <row r="788" spans="1:7" ht="12">
      <c r="A788" s="1472" t="s">
        <v>19</v>
      </c>
      <c r="B788" s="1472" t="s">
        <v>3053</v>
      </c>
      <c r="C788" s="1472">
        <v>4</v>
      </c>
      <c r="D788" s="1776" t="s">
        <v>167</v>
      </c>
      <c r="E788" s="1761" t="s">
        <v>167</v>
      </c>
      <c r="F788" s="1762" t="s">
        <v>3235</v>
      </c>
      <c r="G788" s="1770" t="s">
        <v>3236</v>
      </c>
    </row>
    <row r="789" spans="1:7" ht="12">
      <c r="A789" s="1472" t="s">
        <v>19</v>
      </c>
      <c r="B789" s="1472" t="s">
        <v>3053</v>
      </c>
      <c r="C789" s="1472">
        <v>4</v>
      </c>
      <c r="D789" s="1776" t="s">
        <v>144</v>
      </c>
      <c r="E789" s="1761" t="s">
        <v>144</v>
      </c>
      <c r="F789" s="1762" t="s">
        <v>3237</v>
      </c>
      <c r="G789" s="1770" t="s">
        <v>144</v>
      </c>
    </row>
    <row r="790" spans="1:7" ht="12">
      <c r="A790" s="1472" t="s">
        <v>19</v>
      </c>
      <c r="B790" s="1472" t="s">
        <v>3053</v>
      </c>
      <c r="C790" s="1472">
        <v>4</v>
      </c>
      <c r="D790" s="1776" t="s">
        <v>168</v>
      </c>
      <c r="E790" s="1761" t="s">
        <v>168</v>
      </c>
      <c r="F790" s="1762" t="s">
        <v>3238</v>
      </c>
      <c r="G790" s="1770" t="s">
        <v>3239</v>
      </c>
    </row>
    <row r="791" spans="1:7" ht="12">
      <c r="A791" s="1472" t="s">
        <v>19</v>
      </c>
      <c r="B791" s="1472" t="s">
        <v>3053</v>
      </c>
      <c r="C791" s="1472">
        <v>4</v>
      </c>
      <c r="D791" s="1776" t="s">
        <v>2504</v>
      </c>
      <c r="E791" s="1761" t="s">
        <v>2503</v>
      </c>
      <c r="F791" s="1762" t="s">
        <v>3240</v>
      </c>
      <c r="G791" s="1770" t="s">
        <v>3241</v>
      </c>
    </row>
    <row r="792" spans="1:7" ht="12">
      <c r="A792" s="1472" t="s">
        <v>19</v>
      </c>
      <c r="B792" s="1472" t="s">
        <v>3053</v>
      </c>
      <c r="C792" s="1472">
        <v>4</v>
      </c>
      <c r="D792" s="1776" t="s">
        <v>2671</v>
      </c>
      <c r="E792" s="1761" t="s">
        <v>2671</v>
      </c>
      <c r="F792" s="1762" t="s">
        <v>3242</v>
      </c>
      <c r="G792" s="1770" t="s">
        <v>3243</v>
      </c>
    </row>
    <row r="793" spans="1:7" ht="48">
      <c r="A793" s="1472" t="s">
        <v>1036</v>
      </c>
      <c r="B793" s="1472" t="s">
        <v>1036</v>
      </c>
      <c r="C793" s="1472" t="s">
        <v>3174</v>
      </c>
      <c r="D793" s="1777" t="s">
        <v>2539</v>
      </c>
      <c r="E793" s="1767" t="s">
        <v>2539</v>
      </c>
      <c r="F793" s="1764" t="s">
        <v>3316</v>
      </c>
      <c r="G793" s="1772" t="s">
        <v>3317</v>
      </c>
    </row>
    <row r="794" spans="1:7" ht="12">
      <c r="A794" s="1472" t="s">
        <v>1036</v>
      </c>
      <c r="B794" s="1472" t="s">
        <v>1036</v>
      </c>
      <c r="C794" s="1472">
        <v>1</v>
      </c>
      <c r="D794" s="1777" t="s">
        <v>433</v>
      </c>
      <c r="E794" s="1767" t="s">
        <v>433</v>
      </c>
      <c r="F794" s="1764" t="s">
        <v>3318</v>
      </c>
      <c r="G794" s="1772" t="s">
        <v>3319</v>
      </c>
    </row>
    <row r="795" spans="1:7" ht="12">
      <c r="A795" s="1472" t="s">
        <v>1036</v>
      </c>
      <c r="B795" s="1472" t="s">
        <v>1036</v>
      </c>
      <c r="C795" s="1472">
        <v>1</v>
      </c>
      <c r="D795" s="1777" t="s">
        <v>3320</v>
      </c>
      <c r="E795" s="1767" t="s">
        <v>3320</v>
      </c>
      <c r="F795" s="1764" t="s">
        <v>3321</v>
      </c>
      <c r="G795" s="1772" t="s">
        <v>3322</v>
      </c>
    </row>
    <row r="796" spans="1:7" ht="12">
      <c r="A796" s="1472" t="s">
        <v>1036</v>
      </c>
      <c r="B796" s="1472" t="s">
        <v>1036</v>
      </c>
      <c r="C796" s="1472">
        <v>1</v>
      </c>
      <c r="D796" s="1777" t="s">
        <v>173</v>
      </c>
      <c r="E796" s="1767" t="s">
        <v>173</v>
      </c>
      <c r="F796" s="1764" t="s">
        <v>3323</v>
      </c>
      <c r="G796" s="1772" t="s">
        <v>3324</v>
      </c>
    </row>
    <row r="797" spans="1:7" ht="12">
      <c r="A797" s="1472" t="s">
        <v>1036</v>
      </c>
      <c r="B797" s="1472" t="s">
        <v>1036</v>
      </c>
      <c r="C797" s="1472">
        <v>1</v>
      </c>
      <c r="D797" s="1777" t="s">
        <v>290</v>
      </c>
      <c r="E797" s="1767" t="s">
        <v>290</v>
      </c>
      <c r="F797" s="1764" t="s">
        <v>3325</v>
      </c>
      <c r="G797" s="1772" t="s">
        <v>3326</v>
      </c>
    </row>
    <row r="798" spans="1:7" ht="12">
      <c r="A798" s="1472" t="s">
        <v>1036</v>
      </c>
      <c r="B798" s="1472" t="s">
        <v>1036</v>
      </c>
      <c r="C798" s="1472">
        <v>1</v>
      </c>
      <c r="D798" s="1777" t="s">
        <v>174</v>
      </c>
      <c r="E798" s="1767" t="s">
        <v>174</v>
      </c>
      <c r="F798" s="1764" t="s">
        <v>3327</v>
      </c>
      <c r="G798" s="1772" t="s">
        <v>3328</v>
      </c>
    </row>
    <row r="799" spans="1:7" ht="12">
      <c r="A799" s="1472" t="s">
        <v>1036</v>
      </c>
      <c r="B799" s="1472" t="s">
        <v>1036</v>
      </c>
      <c r="C799" s="1472">
        <v>1</v>
      </c>
      <c r="D799" s="1777" t="s">
        <v>175</v>
      </c>
      <c r="E799" s="1767" t="s">
        <v>175</v>
      </c>
      <c r="F799" s="1764" t="s">
        <v>3329</v>
      </c>
      <c r="G799" s="1772" t="s">
        <v>3330</v>
      </c>
    </row>
    <row r="800" spans="1:7" ht="12">
      <c r="A800" s="1472" t="s">
        <v>1036</v>
      </c>
      <c r="B800" s="1472" t="s">
        <v>1036</v>
      </c>
      <c r="C800" s="1472">
        <v>1</v>
      </c>
      <c r="D800" s="1777" t="s">
        <v>151</v>
      </c>
      <c r="E800" s="1767" t="s">
        <v>151</v>
      </c>
      <c r="F800" s="1764" t="s">
        <v>3201</v>
      </c>
      <c r="G800" s="1772" t="s">
        <v>3331</v>
      </c>
    </row>
    <row r="801" spans="1:7" ht="12">
      <c r="A801" s="1472" t="s">
        <v>1036</v>
      </c>
      <c r="B801" s="1472" t="s">
        <v>1036</v>
      </c>
      <c r="C801" s="1472">
        <v>1</v>
      </c>
      <c r="D801" s="1777" t="s">
        <v>176</v>
      </c>
      <c r="E801" s="1767" t="s">
        <v>176</v>
      </c>
      <c r="F801" s="1764" t="s">
        <v>3332</v>
      </c>
      <c r="G801" s="1772" t="s">
        <v>3333</v>
      </c>
    </row>
    <row r="802" spans="1:7" ht="12">
      <c r="A802" s="1472" t="s">
        <v>1036</v>
      </c>
      <c r="B802" s="1472" t="s">
        <v>1036</v>
      </c>
      <c r="C802" s="1472">
        <v>1</v>
      </c>
      <c r="D802" s="1777" t="s">
        <v>177</v>
      </c>
      <c r="E802" s="1767" t="s">
        <v>177</v>
      </c>
      <c r="F802" s="1764" t="s">
        <v>3334</v>
      </c>
      <c r="G802" s="1772" t="s">
        <v>3335</v>
      </c>
    </row>
    <row r="803" spans="1:7" ht="12">
      <c r="A803" s="1472" t="s">
        <v>1036</v>
      </c>
      <c r="B803" s="1472" t="s">
        <v>1036</v>
      </c>
      <c r="C803" s="1472">
        <v>1</v>
      </c>
      <c r="D803" s="1777" t="s">
        <v>178</v>
      </c>
      <c r="E803" s="1767" t="s">
        <v>178</v>
      </c>
      <c r="F803" s="1764" t="s">
        <v>3336</v>
      </c>
      <c r="G803" s="1772" t="s">
        <v>3337</v>
      </c>
    </row>
    <row r="804" spans="1:7" ht="12">
      <c r="A804" s="1472" t="s">
        <v>1036</v>
      </c>
      <c r="B804" s="1472" t="s">
        <v>1036</v>
      </c>
      <c r="C804" s="1472">
        <v>1</v>
      </c>
      <c r="D804" s="1777" t="s">
        <v>179</v>
      </c>
      <c r="E804" s="1767" t="s">
        <v>179</v>
      </c>
      <c r="F804" s="1764" t="s">
        <v>3338</v>
      </c>
      <c r="G804" s="1772" t="s">
        <v>3339</v>
      </c>
    </row>
    <row r="805" spans="1:7" ht="12">
      <c r="A805" s="1472" t="s">
        <v>1036</v>
      </c>
      <c r="B805" s="1472" t="s">
        <v>1036</v>
      </c>
      <c r="C805" s="1472">
        <v>1</v>
      </c>
      <c r="D805" s="1777" t="s">
        <v>158</v>
      </c>
      <c r="E805" s="1767" t="s">
        <v>158</v>
      </c>
      <c r="F805" s="1764" t="s">
        <v>3215</v>
      </c>
      <c r="G805" s="1772" t="s">
        <v>3340</v>
      </c>
    </row>
    <row r="806" spans="1:7" ht="12">
      <c r="A806" s="1472" t="s">
        <v>1036</v>
      </c>
      <c r="B806" s="1472" t="s">
        <v>1036</v>
      </c>
      <c r="C806" s="1472">
        <v>1</v>
      </c>
      <c r="D806" s="1777" t="s">
        <v>180</v>
      </c>
      <c r="E806" s="1767" t="s">
        <v>180</v>
      </c>
      <c r="F806" s="1764" t="s">
        <v>3341</v>
      </c>
      <c r="G806" s="1772" t="s">
        <v>3342</v>
      </c>
    </row>
    <row r="807" spans="1:7" ht="12">
      <c r="A807" s="1472" t="s">
        <v>1036</v>
      </c>
      <c r="B807" s="1472" t="s">
        <v>1036</v>
      </c>
      <c r="C807" s="1472">
        <v>1</v>
      </c>
      <c r="D807" s="1777" t="s">
        <v>181</v>
      </c>
      <c r="E807" s="1767" t="s">
        <v>181</v>
      </c>
      <c r="F807" s="1764" t="s">
        <v>3343</v>
      </c>
      <c r="G807" s="1772" t="s">
        <v>3344</v>
      </c>
    </row>
    <row r="808" spans="1:7" ht="12">
      <c r="A808" s="1472" t="s">
        <v>1036</v>
      </c>
      <c r="B808" s="1472" t="s">
        <v>1036</v>
      </c>
      <c r="C808" s="1472">
        <v>1</v>
      </c>
      <c r="D808" s="1777" t="s">
        <v>182</v>
      </c>
      <c r="E808" s="1767" t="s">
        <v>182</v>
      </c>
      <c r="F808" s="1764" t="s">
        <v>3345</v>
      </c>
      <c r="G808" s="1772" t="s">
        <v>3346</v>
      </c>
    </row>
    <row r="809" spans="1:7" ht="12">
      <c r="A809" s="1472" t="s">
        <v>1036</v>
      </c>
      <c r="B809" s="1472" t="s">
        <v>1036</v>
      </c>
      <c r="C809" s="1472">
        <v>1</v>
      </c>
      <c r="D809" s="1777" t="s">
        <v>183</v>
      </c>
      <c r="E809" s="1767" t="s">
        <v>183</v>
      </c>
      <c r="F809" s="1764" t="s">
        <v>3347</v>
      </c>
      <c r="G809" s="1772" t="s">
        <v>3348</v>
      </c>
    </row>
    <row r="810" spans="1:7" ht="12">
      <c r="A810" s="1472" t="s">
        <v>1036</v>
      </c>
      <c r="B810" s="1472" t="s">
        <v>1036</v>
      </c>
      <c r="C810" s="1472">
        <v>1</v>
      </c>
      <c r="D810" s="1777" t="s">
        <v>165</v>
      </c>
      <c r="E810" s="1767" t="s">
        <v>165</v>
      </c>
      <c r="F810" s="1764" t="s">
        <v>3229</v>
      </c>
      <c r="G810" s="1772" t="s">
        <v>3349</v>
      </c>
    </row>
    <row r="811" spans="1:7" ht="12">
      <c r="A811" s="1472" t="s">
        <v>1036</v>
      </c>
      <c r="B811" s="1472" t="s">
        <v>1036</v>
      </c>
      <c r="C811" s="1472">
        <v>1</v>
      </c>
      <c r="D811" s="1777" t="s">
        <v>143</v>
      </c>
      <c r="E811" s="1767" t="s">
        <v>143</v>
      </c>
      <c r="F811" s="1764" t="s">
        <v>3231</v>
      </c>
      <c r="G811" s="1772" t="s">
        <v>3232</v>
      </c>
    </row>
    <row r="812" spans="1:7" ht="12">
      <c r="A812" s="1472" t="s">
        <v>1036</v>
      </c>
      <c r="B812" s="1472" t="s">
        <v>1036</v>
      </c>
      <c r="C812" s="1472">
        <v>1</v>
      </c>
      <c r="D812" s="1777" t="s">
        <v>234</v>
      </c>
      <c r="E812" s="1767" t="s">
        <v>167</v>
      </c>
      <c r="F812" s="1764" t="s">
        <v>3235</v>
      </c>
      <c r="G812" s="1772" t="s">
        <v>3236</v>
      </c>
    </row>
    <row r="813" spans="1:7" ht="12">
      <c r="A813" s="1472" t="s">
        <v>1036</v>
      </c>
      <c r="B813" s="1472" t="s">
        <v>1036</v>
      </c>
      <c r="C813" s="1472">
        <v>1</v>
      </c>
      <c r="D813" s="1777" t="s">
        <v>144</v>
      </c>
      <c r="E813" s="1767" t="s">
        <v>144</v>
      </c>
      <c r="F813" s="1764" t="s">
        <v>3237</v>
      </c>
      <c r="G813" s="1772" t="s">
        <v>144</v>
      </c>
    </row>
    <row r="814" spans="1:7" ht="12">
      <c r="A814" s="1472" t="s">
        <v>1036</v>
      </c>
      <c r="B814" s="1472" t="s">
        <v>1036</v>
      </c>
      <c r="C814" s="1472">
        <v>1</v>
      </c>
      <c r="D814" s="1777" t="s">
        <v>168</v>
      </c>
      <c r="E814" s="1767" t="s">
        <v>168</v>
      </c>
      <c r="F814" s="1764" t="s">
        <v>3238</v>
      </c>
      <c r="G814" s="1772" t="s">
        <v>3350</v>
      </c>
    </row>
    <row r="815" spans="1:7" ht="12">
      <c r="A815" s="1472" t="s">
        <v>1036</v>
      </c>
      <c r="B815" s="1472" t="s">
        <v>1036</v>
      </c>
      <c r="C815" s="1472">
        <v>1</v>
      </c>
      <c r="D815" s="1777" t="s">
        <v>2503</v>
      </c>
      <c r="E815" s="1767" t="s">
        <v>2503</v>
      </c>
      <c r="F815" s="1764" t="s">
        <v>3240</v>
      </c>
      <c r="G815" s="1772" t="s">
        <v>3241</v>
      </c>
    </row>
    <row r="816" spans="1:7" ht="12">
      <c r="A816" s="1472" t="s">
        <v>1036</v>
      </c>
      <c r="B816" s="1472" t="s">
        <v>1036</v>
      </c>
      <c r="C816" s="1472">
        <v>1</v>
      </c>
      <c r="D816" s="1777" t="s">
        <v>433</v>
      </c>
      <c r="E816" s="1767" t="s">
        <v>433</v>
      </c>
      <c r="F816" s="1764" t="s">
        <v>3318</v>
      </c>
      <c r="G816" s="1772" t="s">
        <v>3319</v>
      </c>
    </row>
    <row r="817" spans="1:7" ht="12">
      <c r="A817" s="1472" t="s">
        <v>1036</v>
      </c>
      <c r="B817" s="1472" t="s">
        <v>1036</v>
      </c>
      <c r="C817" s="1472">
        <v>1</v>
      </c>
      <c r="D817" s="1777" t="s">
        <v>3351</v>
      </c>
      <c r="E817" s="1767" t="s">
        <v>3351</v>
      </c>
      <c r="F817" s="1764" t="s">
        <v>3352</v>
      </c>
      <c r="G817" s="1772" t="s">
        <v>3353</v>
      </c>
    </row>
    <row r="818" spans="1:7" ht="12">
      <c r="A818" s="1472" t="s">
        <v>1036</v>
      </c>
      <c r="B818" s="1472" t="s">
        <v>1036</v>
      </c>
      <c r="C818" s="1472">
        <v>1</v>
      </c>
      <c r="D818" s="1777" t="s">
        <v>173</v>
      </c>
      <c r="E818" s="1767" t="s">
        <v>173</v>
      </c>
      <c r="F818" s="1764" t="s">
        <v>3323</v>
      </c>
      <c r="G818" s="1772" t="s">
        <v>3324</v>
      </c>
    </row>
    <row r="819" spans="1:7" ht="12">
      <c r="A819" s="1472" t="s">
        <v>1036</v>
      </c>
      <c r="B819" s="1472" t="s">
        <v>1036</v>
      </c>
      <c r="C819" s="1472">
        <v>1</v>
      </c>
      <c r="D819" s="1777" t="s">
        <v>290</v>
      </c>
      <c r="E819" s="1767" t="s">
        <v>290</v>
      </c>
      <c r="F819" s="1764" t="s">
        <v>3325</v>
      </c>
      <c r="G819" s="1772" t="s">
        <v>3326</v>
      </c>
    </row>
    <row r="820" spans="1:7" ht="12">
      <c r="A820" s="1472" t="s">
        <v>1036</v>
      </c>
      <c r="B820" s="1472" t="s">
        <v>1036</v>
      </c>
      <c r="C820" s="1472">
        <v>1</v>
      </c>
      <c r="D820" s="1777" t="s">
        <v>174</v>
      </c>
      <c r="E820" s="1767" t="s">
        <v>174</v>
      </c>
      <c r="F820" s="1764" t="s">
        <v>3327</v>
      </c>
      <c r="G820" s="1772" t="s">
        <v>3328</v>
      </c>
    </row>
    <row r="821" spans="1:7" ht="12">
      <c r="A821" s="1472" t="s">
        <v>1036</v>
      </c>
      <c r="B821" s="1472" t="s">
        <v>1036</v>
      </c>
      <c r="C821" s="1472">
        <v>1</v>
      </c>
      <c r="D821" s="1777" t="s">
        <v>175</v>
      </c>
      <c r="E821" s="1767" t="s">
        <v>175</v>
      </c>
      <c r="F821" s="1764" t="s">
        <v>3329</v>
      </c>
      <c r="G821" s="1772" t="s">
        <v>3330</v>
      </c>
    </row>
    <row r="822" spans="1:7" ht="12">
      <c r="A822" s="1472" t="s">
        <v>1036</v>
      </c>
      <c r="B822" s="1472" t="s">
        <v>1036</v>
      </c>
      <c r="C822" s="1472">
        <v>1</v>
      </c>
      <c r="D822" s="1777" t="s">
        <v>151</v>
      </c>
      <c r="E822" s="1767" t="s">
        <v>151</v>
      </c>
      <c r="F822" s="1764" t="s">
        <v>3201</v>
      </c>
      <c r="G822" s="1772" t="s">
        <v>3331</v>
      </c>
    </row>
    <row r="823" spans="1:7" ht="12">
      <c r="A823" s="1472" t="s">
        <v>1036</v>
      </c>
      <c r="B823" s="1472" t="s">
        <v>1036</v>
      </c>
      <c r="C823" s="1472">
        <v>1</v>
      </c>
      <c r="D823" s="1777" t="s">
        <v>176</v>
      </c>
      <c r="E823" s="1767" t="s">
        <v>176</v>
      </c>
      <c r="F823" s="1764" t="s">
        <v>3332</v>
      </c>
      <c r="G823" s="1772" t="s">
        <v>3333</v>
      </c>
    </row>
    <row r="824" spans="1:7" ht="12">
      <c r="A824" s="1472" t="s">
        <v>1036</v>
      </c>
      <c r="B824" s="1472" t="s">
        <v>1036</v>
      </c>
      <c r="C824" s="1472">
        <v>1</v>
      </c>
      <c r="D824" s="1777" t="s">
        <v>177</v>
      </c>
      <c r="E824" s="1767" t="s">
        <v>177</v>
      </c>
      <c r="F824" s="1764" t="s">
        <v>3334</v>
      </c>
      <c r="G824" s="1772" t="s">
        <v>3335</v>
      </c>
    </row>
    <row r="825" spans="1:7" ht="12">
      <c r="A825" s="1472" t="s">
        <v>1036</v>
      </c>
      <c r="B825" s="1472" t="s">
        <v>1036</v>
      </c>
      <c r="C825" s="1472">
        <v>1</v>
      </c>
      <c r="D825" s="1777" t="s">
        <v>178</v>
      </c>
      <c r="E825" s="1767" t="s">
        <v>178</v>
      </c>
      <c r="F825" s="1764" t="s">
        <v>3336</v>
      </c>
      <c r="G825" s="1772" t="s">
        <v>3337</v>
      </c>
    </row>
    <row r="826" spans="1:7" ht="12">
      <c r="A826" s="1472" t="s">
        <v>1036</v>
      </c>
      <c r="B826" s="1472" t="s">
        <v>1036</v>
      </c>
      <c r="C826" s="1472">
        <v>1</v>
      </c>
      <c r="D826" s="1777" t="s">
        <v>179</v>
      </c>
      <c r="E826" s="1767" t="s">
        <v>179</v>
      </c>
      <c r="F826" s="1764" t="s">
        <v>3338</v>
      </c>
      <c r="G826" s="1772" t="s">
        <v>3339</v>
      </c>
    </row>
    <row r="827" spans="1:7" ht="12">
      <c r="A827" s="1472" t="s">
        <v>1036</v>
      </c>
      <c r="B827" s="1472" t="s">
        <v>1036</v>
      </c>
      <c r="C827" s="1472">
        <v>1</v>
      </c>
      <c r="D827" s="1777" t="s">
        <v>158</v>
      </c>
      <c r="E827" s="1767" t="s">
        <v>158</v>
      </c>
      <c r="F827" s="1764" t="s">
        <v>3215</v>
      </c>
      <c r="G827" s="1772" t="s">
        <v>3340</v>
      </c>
    </row>
    <row r="828" spans="1:7" ht="12">
      <c r="A828" s="1472" t="s">
        <v>1036</v>
      </c>
      <c r="B828" s="1472" t="s">
        <v>1036</v>
      </c>
      <c r="C828" s="1472">
        <v>1</v>
      </c>
      <c r="D828" s="1777" t="s">
        <v>180</v>
      </c>
      <c r="E828" s="1767" t="s">
        <v>180</v>
      </c>
      <c r="F828" s="1764" t="s">
        <v>3341</v>
      </c>
      <c r="G828" s="1772" t="s">
        <v>3342</v>
      </c>
    </row>
    <row r="829" spans="1:7" ht="12">
      <c r="A829" s="1472" t="s">
        <v>1036</v>
      </c>
      <c r="B829" s="1472" t="s">
        <v>1036</v>
      </c>
      <c r="C829" s="1472">
        <v>1</v>
      </c>
      <c r="D829" s="1777" t="s">
        <v>181</v>
      </c>
      <c r="E829" s="1767" t="s">
        <v>181</v>
      </c>
      <c r="F829" s="1764" t="s">
        <v>3343</v>
      </c>
      <c r="G829" s="1772" t="s">
        <v>3344</v>
      </c>
    </row>
    <row r="830" spans="1:7" ht="12">
      <c r="A830" s="1472" t="s">
        <v>1036</v>
      </c>
      <c r="B830" s="1472" t="s">
        <v>1036</v>
      </c>
      <c r="C830" s="1472">
        <v>1</v>
      </c>
      <c r="D830" s="1777" t="s">
        <v>182</v>
      </c>
      <c r="E830" s="1767" t="s">
        <v>182</v>
      </c>
      <c r="F830" s="1764" t="s">
        <v>3345</v>
      </c>
      <c r="G830" s="1772" t="s">
        <v>3346</v>
      </c>
    </row>
    <row r="831" spans="1:7" ht="12">
      <c r="A831" s="1472" t="s">
        <v>1036</v>
      </c>
      <c r="B831" s="1472" t="s">
        <v>1036</v>
      </c>
      <c r="C831" s="1472">
        <v>1</v>
      </c>
      <c r="D831" s="1777" t="s">
        <v>183</v>
      </c>
      <c r="E831" s="1767" t="s">
        <v>183</v>
      </c>
      <c r="F831" s="1764" t="s">
        <v>3347</v>
      </c>
      <c r="G831" s="1772" t="s">
        <v>3348</v>
      </c>
    </row>
    <row r="832" spans="1:7" ht="12">
      <c r="A832" s="1472" t="s">
        <v>1036</v>
      </c>
      <c r="B832" s="1472" t="s">
        <v>1036</v>
      </c>
      <c r="C832" s="1472">
        <v>1</v>
      </c>
      <c r="D832" s="1777" t="s">
        <v>165</v>
      </c>
      <c r="E832" s="1767" t="s">
        <v>165</v>
      </c>
      <c r="F832" s="1764" t="s">
        <v>3229</v>
      </c>
      <c r="G832" s="1772" t="s">
        <v>3349</v>
      </c>
    </row>
    <row r="833" spans="1:7" ht="12">
      <c r="A833" s="1472" t="s">
        <v>1036</v>
      </c>
      <c r="B833" s="1472" t="s">
        <v>1036</v>
      </c>
      <c r="C833" s="1472">
        <v>1</v>
      </c>
      <c r="D833" s="1777" t="s">
        <v>143</v>
      </c>
      <c r="E833" s="1767" t="s">
        <v>143</v>
      </c>
      <c r="F833" s="1764" t="s">
        <v>3231</v>
      </c>
      <c r="G833" s="1772" t="s">
        <v>3232</v>
      </c>
    </row>
    <row r="834" spans="1:7" ht="12">
      <c r="A834" s="1472" t="s">
        <v>1036</v>
      </c>
      <c r="B834" s="1472" t="s">
        <v>1036</v>
      </c>
      <c r="C834" s="1472">
        <v>1</v>
      </c>
      <c r="D834" s="1777" t="s">
        <v>167</v>
      </c>
      <c r="E834" s="1767" t="s">
        <v>167</v>
      </c>
      <c r="F834" s="1764" t="s">
        <v>3235</v>
      </c>
      <c r="G834" s="1772" t="s">
        <v>3236</v>
      </c>
    </row>
    <row r="835" spans="1:7" ht="12">
      <c r="A835" s="1472" t="s">
        <v>1036</v>
      </c>
      <c r="B835" s="1472" t="s">
        <v>1036</v>
      </c>
      <c r="C835" s="1472">
        <v>1</v>
      </c>
      <c r="D835" s="1777" t="s">
        <v>144</v>
      </c>
      <c r="E835" s="1767" t="s">
        <v>144</v>
      </c>
      <c r="F835" s="1764" t="s">
        <v>3237</v>
      </c>
      <c r="G835" s="1772" t="s">
        <v>144</v>
      </c>
    </row>
    <row r="836" spans="1:7" ht="12">
      <c r="A836" s="1472" t="s">
        <v>1036</v>
      </c>
      <c r="B836" s="1472" t="s">
        <v>1036</v>
      </c>
      <c r="C836" s="1472">
        <v>1</v>
      </c>
      <c r="D836" s="1777" t="s">
        <v>168</v>
      </c>
      <c r="E836" s="1767" t="s">
        <v>168</v>
      </c>
      <c r="F836" s="1764" t="s">
        <v>3238</v>
      </c>
      <c r="G836" s="1772" t="s">
        <v>3350</v>
      </c>
    </row>
    <row r="837" spans="1:7" ht="12">
      <c r="A837" s="1472" t="s">
        <v>1036</v>
      </c>
      <c r="B837" s="1472" t="s">
        <v>1036</v>
      </c>
      <c r="C837" s="1472">
        <v>1</v>
      </c>
      <c r="D837" s="1777" t="s">
        <v>2503</v>
      </c>
      <c r="E837" s="1767" t="s">
        <v>2503</v>
      </c>
      <c r="F837" s="1764" t="s">
        <v>3240</v>
      </c>
      <c r="G837" s="1772" t="s">
        <v>3241</v>
      </c>
    </row>
    <row r="838" spans="1:7" ht="12">
      <c r="A838" s="1472" t="s">
        <v>1036</v>
      </c>
      <c r="B838" s="1472" t="s">
        <v>1036</v>
      </c>
      <c r="C838" s="1472">
        <v>1</v>
      </c>
      <c r="D838" s="1777" t="s">
        <v>433</v>
      </c>
      <c r="E838" s="1767" t="s">
        <v>433</v>
      </c>
      <c r="F838" s="1764" t="s">
        <v>3318</v>
      </c>
      <c r="G838" s="1772" t="s">
        <v>3319</v>
      </c>
    </row>
    <row r="839" spans="1:7" ht="12">
      <c r="A839" s="1472" t="s">
        <v>1036</v>
      </c>
      <c r="B839" s="1472" t="s">
        <v>1036</v>
      </c>
      <c r="C839" s="1472">
        <v>1</v>
      </c>
      <c r="D839" s="1777" t="s">
        <v>3354</v>
      </c>
      <c r="E839" s="1767" t="s">
        <v>3354</v>
      </c>
      <c r="F839" s="1764" t="s">
        <v>3355</v>
      </c>
      <c r="G839" s="1772" t="s">
        <v>3356</v>
      </c>
    </row>
    <row r="840" spans="1:7" ht="12">
      <c r="A840" s="1472" t="s">
        <v>1036</v>
      </c>
      <c r="B840" s="1472" t="s">
        <v>1036</v>
      </c>
      <c r="C840" s="1472">
        <v>1</v>
      </c>
      <c r="D840" s="1777" t="s">
        <v>173</v>
      </c>
      <c r="E840" s="1767" t="s">
        <v>173</v>
      </c>
      <c r="F840" s="1764" t="s">
        <v>3323</v>
      </c>
      <c r="G840" s="1772" t="s">
        <v>3324</v>
      </c>
    </row>
    <row r="841" spans="1:7" ht="12">
      <c r="A841" s="1472" t="s">
        <v>1036</v>
      </c>
      <c r="B841" s="1472" t="s">
        <v>1036</v>
      </c>
      <c r="C841" s="1472">
        <v>1</v>
      </c>
      <c r="D841" s="1777" t="s">
        <v>290</v>
      </c>
      <c r="E841" s="1767" t="s">
        <v>290</v>
      </c>
      <c r="F841" s="1764" t="s">
        <v>3325</v>
      </c>
      <c r="G841" s="1772" t="s">
        <v>3326</v>
      </c>
    </row>
    <row r="842" spans="1:7" ht="12">
      <c r="A842" s="1472" t="s">
        <v>1036</v>
      </c>
      <c r="B842" s="1472" t="s">
        <v>1036</v>
      </c>
      <c r="C842" s="1472">
        <v>1</v>
      </c>
      <c r="D842" s="1777" t="s">
        <v>174</v>
      </c>
      <c r="E842" s="1767" t="s">
        <v>174</v>
      </c>
      <c r="F842" s="1764" t="s">
        <v>3327</v>
      </c>
      <c r="G842" s="1772" t="s">
        <v>3328</v>
      </c>
    </row>
    <row r="843" spans="1:7" ht="12">
      <c r="A843" s="1472" t="s">
        <v>1036</v>
      </c>
      <c r="B843" s="1472" t="s">
        <v>1036</v>
      </c>
      <c r="C843" s="1472">
        <v>1</v>
      </c>
      <c r="D843" s="1777" t="s">
        <v>175</v>
      </c>
      <c r="E843" s="1767" t="s">
        <v>175</v>
      </c>
      <c r="F843" s="1764" t="s">
        <v>3329</v>
      </c>
      <c r="G843" s="1772" t="s">
        <v>3330</v>
      </c>
    </row>
    <row r="844" spans="1:7" ht="12">
      <c r="A844" s="1472" t="s">
        <v>1036</v>
      </c>
      <c r="B844" s="1472" t="s">
        <v>1036</v>
      </c>
      <c r="C844" s="1472">
        <v>1</v>
      </c>
      <c r="D844" s="1777" t="s">
        <v>151</v>
      </c>
      <c r="E844" s="1767" t="s">
        <v>151</v>
      </c>
      <c r="F844" s="1764" t="s">
        <v>3201</v>
      </c>
      <c r="G844" s="1772" t="s">
        <v>3331</v>
      </c>
    </row>
    <row r="845" spans="1:7" ht="12">
      <c r="A845" s="1472" t="s">
        <v>1036</v>
      </c>
      <c r="B845" s="1472" t="s">
        <v>1036</v>
      </c>
      <c r="C845" s="1472">
        <v>1</v>
      </c>
      <c r="D845" s="1777" t="s">
        <v>176</v>
      </c>
      <c r="E845" s="1767" t="s">
        <v>176</v>
      </c>
      <c r="F845" s="1764" t="s">
        <v>3332</v>
      </c>
      <c r="G845" s="1772" t="s">
        <v>3333</v>
      </c>
    </row>
    <row r="846" spans="1:7" ht="12">
      <c r="A846" s="1472" t="s">
        <v>1036</v>
      </c>
      <c r="B846" s="1472" t="s">
        <v>1036</v>
      </c>
      <c r="C846" s="1472">
        <v>1</v>
      </c>
      <c r="D846" s="1777" t="s">
        <v>177</v>
      </c>
      <c r="E846" s="1767" t="s">
        <v>177</v>
      </c>
      <c r="F846" s="1764" t="s">
        <v>3334</v>
      </c>
      <c r="G846" s="1772" t="s">
        <v>3335</v>
      </c>
    </row>
    <row r="847" spans="1:7" ht="12">
      <c r="A847" s="1472" t="s">
        <v>1036</v>
      </c>
      <c r="B847" s="1472" t="s">
        <v>1036</v>
      </c>
      <c r="C847" s="1472">
        <v>1</v>
      </c>
      <c r="D847" s="1777" t="s">
        <v>178</v>
      </c>
      <c r="E847" s="1767" t="s">
        <v>178</v>
      </c>
      <c r="F847" s="1764" t="s">
        <v>3336</v>
      </c>
      <c r="G847" s="1772" t="s">
        <v>3337</v>
      </c>
    </row>
    <row r="848" spans="1:7" ht="12">
      <c r="A848" s="1472" t="s">
        <v>1036</v>
      </c>
      <c r="B848" s="1472" t="s">
        <v>1036</v>
      </c>
      <c r="C848" s="1472">
        <v>1</v>
      </c>
      <c r="D848" s="1777" t="s">
        <v>179</v>
      </c>
      <c r="E848" s="1767" t="s">
        <v>179</v>
      </c>
      <c r="F848" s="1764" t="s">
        <v>3338</v>
      </c>
      <c r="G848" s="1772" t="s">
        <v>3339</v>
      </c>
    </row>
    <row r="849" spans="1:7" ht="12">
      <c r="A849" s="1472" t="s">
        <v>1036</v>
      </c>
      <c r="B849" s="1472" t="s">
        <v>1036</v>
      </c>
      <c r="C849" s="1472">
        <v>1</v>
      </c>
      <c r="D849" s="1777" t="s">
        <v>158</v>
      </c>
      <c r="E849" s="1767" t="s">
        <v>158</v>
      </c>
      <c r="F849" s="1764" t="s">
        <v>3215</v>
      </c>
      <c r="G849" s="1772" t="s">
        <v>3340</v>
      </c>
    </row>
    <row r="850" spans="1:7" ht="12">
      <c r="A850" s="1472" t="s">
        <v>1036</v>
      </c>
      <c r="B850" s="1472" t="s">
        <v>1036</v>
      </c>
      <c r="C850" s="1472">
        <v>1</v>
      </c>
      <c r="D850" s="1777" t="s">
        <v>180</v>
      </c>
      <c r="E850" s="1767" t="s">
        <v>180</v>
      </c>
      <c r="F850" s="1764" t="s">
        <v>3341</v>
      </c>
      <c r="G850" s="1772" t="s">
        <v>3342</v>
      </c>
    </row>
    <row r="851" spans="1:7" ht="12">
      <c r="A851" s="1472" t="s">
        <v>1036</v>
      </c>
      <c r="B851" s="1472" t="s">
        <v>1036</v>
      </c>
      <c r="C851" s="1472">
        <v>1</v>
      </c>
      <c r="D851" s="1777" t="s">
        <v>181</v>
      </c>
      <c r="E851" s="1767" t="s">
        <v>181</v>
      </c>
      <c r="F851" s="1764" t="s">
        <v>3343</v>
      </c>
      <c r="G851" s="1772" t="s">
        <v>3344</v>
      </c>
    </row>
    <row r="852" spans="1:7" ht="12">
      <c r="A852" s="1472" t="s">
        <v>1036</v>
      </c>
      <c r="B852" s="1472" t="s">
        <v>1036</v>
      </c>
      <c r="C852" s="1472">
        <v>1</v>
      </c>
      <c r="D852" s="1777" t="s">
        <v>182</v>
      </c>
      <c r="E852" s="1767" t="s">
        <v>182</v>
      </c>
      <c r="F852" s="1764" t="s">
        <v>3345</v>
      </c>
      <c r="G852" s="1772" t="s">
        <v>3346</v>
      </c>
    </row>
    <row r="853" spans="1:7" ht="12">
      <c r="A853" s="1472" t="s">
        <v>1036</v>
      </c>
      <c r="B853" s="1472" t="s">
        <v>1036</v>
      </c>
      <c r="C853" s="1472">
        <v>1</v>
      </c>
      <c r="D853" s="1777" t="s">
        <v>183</v>
      </c>
      <c r="E853" s="1767" t="s">
        <v>183</v>
      </c>
      <c r="F853" s="1764" t="s">
        <v>3347</v>
      </c>
      <c r="G853" s="1772" t="s">
        <v>3348</v>
      </c>
    </row>
    <row r="854" spans="1:7" ht="12">
      <c r="A854" s="1472" t="s">
        <v>1036</v>
      </c>
      <c r="B854" s="1472" t="s">
        <v>1036</v>
      </c>
      <c r="C854" s="1472">
        <v>1</v>
      </c>
      <c r="D854" s="1777" t="s">
        <v>165</v>
      </c>
      <c r="E854" s="1767" t="s">
        <v>165</v>
      </c>
      <c r="F854" s="1764" t="s">
        <v>3229</v>
      </c>
      <c r="G854" s="1772" t="s">
        <v>3349</v>
      </c>
    </row>
    <row r="855" spans="1:7" ht="12">
      <c r="A855" s="1472" t="s">
        <v>1036</v>
      </c>
      <c r="B855" s="1472" t="s">
        <v>1036</v>
      </c>
      <c r="C855" s="1472">
        <v>1</v>
      </c>
      <c r="D855" s="1777" t="s">
        <v>143</v>
      </c>
      <c r="E855" s="1767" t="s">
        <v>143</v>
      </c>
      <c r="F855" s="1764" t="s">
        <v>3231</v>
      </c>
      <c r="G855" s="1772" t="s">
        <v>3232</v>
      </c>
    </row>
    <row r="856" spans="1:7" ht="12">
      <c r="A856" s="1472" t="s">
        <v>1036</v>
      </c>
      <c r="B856" s="1472" t="s">
        <v>1036</v>
      </c>
      <c r="C856" s="1472">
        <v>1</v>
      </c>
      <c r="D856" s="1777" t="s">
        <v>167</v>
      </c>
      <c r="E856" s="1767" t="s">
        <v>167</v>
      </c>
      <c r="F856" s="1764" t="s">
        <v>3235</v>
      </c>
      <c r="G856" s="1772" t="s">
        <v>3236</v>
      </c>
    </row>
    <row r="857" spans="1:7" ht="12">
      <c r="A857" s="1472" t="s">
        <v>1036</v>
      </c>
      <c r="B857" s="1472" t="s">
        <v>1036</v>
      </c>
      <c r="C857" s="1472">
        <v>1</v>
      </c>
      <c r="D857" s="1777" t="s">
        <v>144</v>
      </c>
      <c r="E857" s="1767" t="s">
        <v>144</v>
      </c>
      <c r="F857" s="1764" t="s">
        <v>3237</v>
      </c>
      <c r="G857" s="1772" t="s">
        <v>144</v>
      </c>
    </row>
    <row r="858" spans="1:7" ht="12">
      <c r="A858" s="1472" t="s">
        <v>1036</v>
      </c>
      <c r="B858" s="1472" t="s">
        <v>1036</v>
      </c>
      <c r="C858" s="1472">
        <v>1</v>
      </c>
      <c r="D858" s="1777" t="s">
        <v>168</v>
      </c>
      <c r="E858" s="1767" t="s">
        <v>168</v>
      </c>
      <c r="F858" s="1764" t="s">
        <v>3238</v>
      </c>
      <c r="G858" s="1772" t="s">
        <v>3350</v>
      </c>
    </row>
    <row r="859" spans="1:7" ht="12">
      <c r="A859" s="1472" t="s">
        <v>1036</v>
      </c>
      <c r="B859" s="1472" t="s">
        <v>1036</v>
      </c>
      <c r="C859" s="1472">
        <v>1</v>
      </c>
      <c r="D859" s="1777" t="s">
        <v>2503</v>
      </c>
      <c r="E859" s="1767" t="s">
        <v>2503</v>
      </c>
      <c r="F859" s="1764" t="s">
        <v>3240</v>
      </c>
      <c r="G859" s="1772" t="s">
        <v>3241</v>
      </c>
    </row>
    <row r="860" spans="1:7" ht="12">
      <c r="A860" s="1472" t="s">
        <v>1036</v>
      </c>
      <c r="B860" s="1472" t="s">
        <v>1036</v>
      </c>
      <c r="C860" s="1472">
        <v>1</v>
      </c>
      <c r="D860" s="1777" t="s">
        <v>433</v>
      </c>
      <c r="E860" s="1767" t="s">
        <v>433</v>
      </c>
      <c r="F860" s="1764" t="s">
        <v>3318</v>
      </c>
      <c r="G860" s="1772" t="s">
        <v>3319</v>
      </c>
    </row>
    <row r="861" spans="1:7" ht="24">
      <c r="A861" s="1472" t="s">
        <v>1036</v>
      </c>
      <c r="B861" s="1472" t="s">
        <v>1036</v>
      </c>
      <c r="C861" s="1472">
        <v>1</v>
      </c>
      <c r="D861" s="1777" t="s">
        <v>3357</v>
      </c>
      <c r="E861" s="1767" t="s">
        <v>3357</v>
      </c>
      <c r="F861" s="1764" t="s">
        <v>3358</v>
      </c>
      <c r="G861" s="1772" t="s">
        <v>3359</v>
      </c>
    </row>
    <row r="862" spans="1:7" ht="12">
      <c r="A862" s="1472" t="s">
        <v>1036</v>
      </c>
      <c r="B862" s="1472" t="s">
        <v>1036</v>
      </c>
      <c r="C862" s="1472">
        <v>1</v>
      </c>
      <c r="D862" s="1777" t="s">
        <v>173</v>
      </c>
      <c r="E862" s="1767" t="s">
        <v>173</v>
      </c>
      <c r="F862" s="1764" t="s">
        <v>3323</v>
      </c>
      <c r="G862" s="1772" t="s">
        <v>3324</v>
      </c>
    </row>
    <row r="863" spans="1:7" ht="12">
      <c r="A863" s="1472" t="s">
        <v>1036</v>
      </c>
      <c r="B863" s="1472" t="s">
        <v>1036</v>
      </c>
      <c r="C863" s="1472">
        <v>1</v>
      </c>
      <c r="D863" s="1777" t="s">
        <v>290</v>
      </c>
      <c r="E863" s="1767" t="s">
        <v>290</v>
      </c>
      <c r="F863" s="1764" t="s">
        <v>3325</v>
      </c>
      <c r="G863" s="1772" t="s">
        <v>3326</v>
      </c>
    </row>
    <row r="864" spans="1:7" ht="12">
      <c r="A864" s="1472" t="s">
        <v>1036</v>
      </c>
      <c r="B864" s="1472" t="s">
        <v>1036</v>
      </c>
      <c r="C864" s="1472">
        <v>1</v>
      </c>
      <c r="D864" s="1777" t="s">
        <v>174</v>
      </c>
      <c r="E864" s="1767" t="s">
        <v>174</v>
      </c>
      <c r="F864" s="1764" t="s">
        <v>3327</v>
      </c>
      <c r="G864" s="1772" t="s">
        <v>3328</v>
      </c>
    </row>
    <row r="865" spans="1:7" ht="12">
      <c r="A865" s="1472" t="s">
        <v>1036</v>
      </c>
      <c r="B865" s="1472" t="s">
        <v>1036</v>
      </c>
      <c r="C865" s="1472">
        <v>1</v>
      </c>
      <c r="D865" s="1777" t="s">
        <v>175</v>
      </c>
      <c r="E865" s="1767" t="s">
        <v>175</v>
      </c>
      <c r="F865" s="1764" t="s">
        <v>3329</v>
      </c>
      <c r="G865" s="1772" t="s">
        <v>3330</v>
      </c>
    </row>
    <row r="866" spans="1:7" ht="12">
      <c r="A866" s="1472" t="s">
        <v>1036</v>
      </c>
      <c r="B866" s="1472" t="s">
        <v>1036</v>
      </c>
      <c r="C866" s="1472">
        <v>1</v>
      </c>
      <c r="D866" s="1777" t="s">
        <v>151</v>
      </c>
      <c r="E866" s="1767" t="s">
        <v>151</v>
      </c>
      <c r="F866" s="1764" t="s">
        <v>3201</v>
      </c>
      <c r="G866" s="1772" t="s">
        <v>3331</v>
      </c>
    </row>
    <row r="867" spans="1:7" ht="12">
      <c r="A867" s="1472" t="s">
        <v>1036</v>
      </c>
      <c r="B867" s="1472" t="s">
        <v>1036</v>
      </c>
      <c r="C867" s="1472">
        <v>1</v>
      </c>
      <c r="D867" s="1777" t="s">
        <v>176</v>
      </c>
      <c r="E867" s="1767" t="s">
        <v>176</v>
      </c>
      <c r="F867" s="1764" t="s">
        <v>3332</v>
      </c>
      <c r="G867" s="1772" t="s">
        <v>3333</v>
      </c>
    </row>
    <row r="868" spans="1:7" ht="12">
      <c r="A868" s="1472" t="s">
        <v>1036</v>
      </c>
      <c r="B868" s="1472" t="s">
        <v>1036</v>
      </c>
      <c r="C868" s="1472">
        <v>1</v>
      </c>
      <c r="D868" s="1777" t="s">
        <v>177</v>
      </c>
      <c r="E868" s="1767" t="s">
        <v>177</v>
      </c>
      <c r="F868" s="1764" t="s">
        <v>3334</v>
      </c>
      <c r="G868" s="1772" t="s">
        <v>3335</v>
      </c>
    </row>
    <row r="869" spans="1:7" ht="12">
      <c r="A869" s="1472" t="s">
        <v>1036</v>
      </c>
      <c r="B869" s="1472" t="s">
        <v>1036</v>
      </c>
      <c r="C869" s="1472">
        <v>1</v>
      </c>
      <c r="D869" s="1777" t="s">
        <v>178</v>
      </c>
      <c r="E869" s="1767" t="s">
        <v>178</v>
      </c>
      <c r="F869" s="1764" t="s">
        <v>3336</v>
      </c>
      <c r="G869" s="1772" t="s">
        <v>3337</v>
      </c>
    </row>
    <row r="870" spans="1:7" ht="12">
      <c r="A870" s="1472" t="s">
        <v>1036</v>
      </c>
      <c r="B870" s="1472" t="s">
        <v>1036</v>
      </c>
      <c r="C870" s="1472">
        <v>1</v>
      </c>
      <c r="D870" s="1777" t="s">
        <v>179</v>
      </c>
      <c r="E870" s="1767" t="s">
        <v>179</v>
      </c>
      <c r="F870" s="1764" t="s">
        <v>3338</v>
      </c>
      <c r="G870" s="1772" t="s">
        <v>3339</v>
      </c>
    </row>
    <row r="871" spans="1:7" ht="12">
      <c r="A871" s="1472" t="s">
        <v>1036</v>
      </c>
      <c r="B871" s="1472" t="s">
        <v>1036</v>
      </c>
      <c r="C871" s="1472">
        <v>1</v>
      </c>
      <c r="D871" s="1777" t="s">
        <v>158</v>
      </c>
      <c r="E871" s="1767" t="s">
        <v>158</v>
      </c>
      <c r="F871" s="1764" t="s">
        <v>3215</v>
      </c>
      <c r="G871" s="1772" t="s">
        <v>3340</v>
      </c>
    </row>
    <row r="872" spans="1:7" ht="12">
      <c r="A872" s="1472" t="s">
        <v>1036</v>
      </c>
      <c r="B872" s="1472" t="s">
        <v>1036</v>
      </c>
      <c r="C872" s="1472">
        <v>1</v>
      </c>
      <c r="D872" s="1777" t="s">
        <v>180</v>
      </c>
      <c r="E872" s="1767" t="s">
        <v>180</v>
      </c>
      <c r="F872" s="1764" t="s">
        <v>3341</v>
      </c>
      <c r="G872" s="1772" t="s">
        <v>3342</v>
      </c>
    </row>
    <row r="873" spans="1:7" ht="12">
      <c r="A873" s="1472" t="s">
        <v>1036</v>
      </c>
      <c r="B873" s="1472" t="s">
        <v>1036</v>
      </c>
      <c r="C873" s="1472">
        <v>1</v>
      </c>
      <c r="D873" s="1777" t="s">
        <v>181</v>
      </c>
      <c r="E873" s="1767" t="s">
        <v>181</v>
      </c>
      <c r="F873" s="1764" t="s">
        <v>3343</v>
      </c>
      <c r="G873" s="1772" t="s">
        <v>3344</v>
      </c>
    </row>
    <row r="874" spans="1:7" ht="12">
      <c r="A874" s="1472" t="s">
        <v>1036</v>
      </c>
      <c r="B874" s="1472" t="s">
        <v>1036</v>
      </c>
      <c r="C874" s="1472">
        <v>1</v>
      </c>
      <c r="D874" s="1777" t="s">
        <v>182</v>
      </c>
      <c r="E874" s="1767" t="s">
        <v>182</v>
      </c>
      <c r="F874" s="1764" t="s">
        <v>3345</v>
      </c>
      <c r="G874" s="1772" t="s">
        <v>3346</v>
      </c>
    </row>
    <row r="875" spans="1:7" ht="12">
      <c r="A875" s="1472" t="s">
        <v>1036</v>
      </c>
      <c r="B875" s="1472" t="s">
        <v>1036</v>
      </c>
      <c r="C875" s="1472">
        <v>1</v>
      </c>
      <c r="D875" s="1777" t="s">
        <v>183</v>
      </c>
      <c r="E875" s="1767" t="s">
        <v>183</v>
      </c>
      <c r="F875" s="1764" t="s">
        <v>3347</v>
      </c>
      <c r="G875" s="1772" t="s">
        <v>3348</v>
      </c>
    </row>
    <row r="876" spans="1:7" ht="12">
      <c r="A876" s="1472" t="s">
        <v>1036</v>
      </c>
      <c r="B876" s="1472" t="s">
        <v>1036</v>
      </c>
      <c r="C876" s="1472">
        <v>1</v>
      </c>
      <c r="D876" s="1777" t="s">
        <v>165</v>
      </c>
      <c r="E876" s="1767" t="s">
        <v>165</v>
      </c>
      <c r="F876" s="1764" t="s">
        <v>3229</v>
      </c>
      <c r="G876" s="1772" t="s">
        <v>3349</v>
      </c>
    </row>
    <row r="877" spans="1:7" ht="12">
      <c r="A877" s="1472" t="s">
        <v>1036</v>
      </c>
      <c r="B877" s="1472" t="s">
        <v>1036</v>
      </c>
      <c r="C877" s="1472">
        <v>1</v>
      </c>
      <c r="D877" s="1777" t="s">
        <v>143</v>
      </c>
      <c r="E877" s="1767" t="s">
        <v>143</v>
      </c>
      <c r="F877" s="1764" t="s">
        <v>3231</v>
      </c>
      <c r="G877" s="1772" t="s">
        <v>3232</v>
      </c>
    </row>
    <row r="878" spans="1:7" ht="12">
      <c r="A878" s="1472" t="s">
        <v>1036</v>
      </c>
      <c r="B878" s="1472" t="s">
        <v>1036</v>
      </c>
      <c r="C878" s="1472">
        <v>1</v>
      </c>
      <c r="D878" s="1777" t="s">
        <v>167</v>
      </c>
      <c r="E878" s="1767" t="s">
        <v>167</v>
      </c>
      <c r="F878" s="1764" t="s">
        <v>3235</v>
      </c>
      <c r="G878" s="1772" t="s">
        <v>3236</v>
      </c>
    </row>
    <row r="879" spans="1:7" ht="12">
      <c r="A879" s="1472" t="s">
        <v>1036</v>
      </c>
      <c r="B879" s="1472" t="s">
        <v>1036</v>
      </c>
      <c r="C879" s="1472">
        <v>1</v>
      </c>
      <c r="D879" s="1777" t="s">
        <v>144</v>
      </c>
      <c r="E879" s="1767" t="s">
        <v>144</v>
      </c>
      <c r="F879" s="1764" t="s">
        <v>3237</v>
      </c>
      <c r="G879" s="1772" t="s">
        <v>144</v>
      </c>
    </row>
    <row r="880" spans="1:7" ht="12">
      <c r="A880" s="1472" t="s">
        <v>1036</v>
      </c>
      <c r="B880" s="1472" t="s">
        <v>1036</v>
      </c>
      <c r="C880" s="1472">
        <v>1</v>
      </c>
      <c r="D880" s="1777" t="s">
        <v>168</v>
      </c>
      <c r="E880" s="1767" t="s">
        <v>168</v>
      </c>
      <c r="F880" s="1764" t="s">
        <v>3238</v>
      </c>
      <c r="G880" s="1772" t="s">
        <v>3350</v>
      </c>
    </row>
    <row r="881" spans="1:7" ht="12">
      <c r="A881" s="1472" t="s">
        <v>1036</v>
      </c>
      <c r="B881" s="1472" t="s">
        <v>1036</v>
      </c>
      <c r="C881" s="1472">
        <v>1</v>
      </c>
      <c r="D881" s="1777" t="s">
        <v>2503</v>
      </c>
      <c r="E881" s="1767" t="s">
        <v>2503</v>
      </c>
      <c r="F881" s="1764" t="s">
        <v>3240</v>
      </c>
      <c r="G881" s="1772" t="s">
        <v>3241</v>
      </c>
    </row>
    <row r="882" spans="1:7" ht="12">
      <c r="A882" s="1472" t="s">
        <v>1036</v>
      </c>
      <c r="B882" s="1925" t="s">
        <v>1036</v>
      </c>
      <c r="C882" s="1472">
        <v>2</v>
      </c>
      <c r="D882" s="1777" t="s">
        <v>464</v>
      </c>
      <c r="E882" s="1767" t="s">
        <v>464</v>
      </c>
      <c r="F882" s="1764" t="s">
        <v>3380</v>
      </c>
      <c r="G882" s="1772" t="s">
        <v>3381</v>
      </c>
    </row>
    <row r="883" spans="1:7" ht="12">
      <c r="A883" s="1472" t="s">
        <v>1036</v>
      </c>
      <c r="B883" s="1472" t="s">
        <v>1036</v>
      </c>
      <c r="C883" s="1472">
        <v>2</v>
      </c>
      <c r="D883" s="1777" t="s">
        <v>3360</v>
      </c>
      <c r="E883" s="1767" t="s">
        <v>3360</v>
      </c>
      <c r="F883" s="1764" t="s">
        <v>3361</v>
      </c>
      <c r="G883" s="1772" t="s">
        <v>3362</v>
      </c>
    </row>
    <row r="884" spans="1:7" ht="12">
      <c r="A884" s="1472" t="s">
        <v>1036</v>
      </c>
      <c r="B884" s="1472" t="s">
        <v>1036</v>
      </c>
      <c r="C884" s="1472">
        <v>2</v>
      </c>
      <c r="D884" s="1777" t="s">
        <v>173</v>
      </c>
      <c r="E884" s="1767" t="s">
        <v>173</v>
      </c>
      <c r="F884" s="1764" t="s">
        <v>3323</v>
      </c>
      <c r="G884" s="1772" t="s">
        <v>3324</v>
      </c>
    </row>
    <row r="885" spans="1:7" ht="12">
      <c r="A885" s="1472" t="s">
        <v>1036</v>
      </c>
      <c r="B885" s="1472" t="s">
        <v>1036</v>
      </c>
      <c r="C885" s="1472">
        <v>2</v>
      </c>
      <c r="D885" s="1777" t="s">
        <v>290</v>
      </c>
      <c r="E885" s="1767" t="s">
        <v>290</v>
      </c>
      <c r="F885" s="1764" t="s">
        <v>3325</v>
      </c>
      <c r="G885" s="1772" t="s">
        <v>3326</v>
      </c>
    </row>
    <row r="886" spans="1:7" ht="12">
      <c r="A886" s="1472" t="s">
        <v>1036</v>
      </c>
      <c r="B886" s="1472" t="s">
        <v>1036</v>
      </c>
      <c r="C886" s="1472">
        <v>2</v>
      </c>
      <c r="D886" s="1777" t="s">
        <v>174</v>
      </c>
      <c r="E886" s="1767" t="s">
        <v>174</v>
      </c>
      <c r="F886" s="1764" t="s">
        <v>3327</v>
      </c>
      <c r="G886" s="1772" t="s">
        <v>3328</v>
      </c>
    </row>
    <row r="887" spans="1:7" ht="12">
      <c r="A887" s="1472" t="s">
        <v>1036</v>
      </c>
      <c r="B887" s="1472" t="s">
        <v>1036</v>
      </c>
      <c r="C887" s="1472">
        <v>2</v>
      </c>
      <c r="D887" s="1777" t="s">
        <v>175</v>
      </c>
      <c r="E887" s="1767" t="s">
        <v>175</v>
      </c>
      <c r="F887" s="1764" t="s">
        <v>3329</v>
      </c>
      <c r="G887" s="1772" t="s">
        <v>3330</v>
      </c>
    </row>
    <row r="888" spans="1:7" ht="12">
      <c r="A888" s="1472" t="s">
        <v>1036</v>
      </c>
      <c r="B888" s="1472" t="s">
        <v>1036</v>
      </c>
      <c r="C888" s="1472">
        <v>2</v>
      </c>
      <c r="D888" s="1777" t="s">
        <v>151</v>
      </c>
      <c r="E888" s="1767" t="s">
        <v>151</v>
      </c>
      <c r="F888" s="1764" t="s">
        <v>3201</v>
      </c>
      <c r="G888" s="1772" t="s">
        <v>3331</v>
      </c>
    </row>
    <row r="889" spans="1:7" ht="12">
      <c r="A889" s="1472" t="s">
        <v>1036</v>
      </c>
      <c r="B889" s="1472" t="s">
        <v>1036</v>
      </c>
      <c r="C889" s="1472">
        <v>2</v>
      </c>
      <c r="D889" s="1777" t="s">
        <v>176</v>
      </c>
      <c r="E889" s="1767" t="s">
        <v>176</v>
      </c>
      <c r="F889" s="1764" t="s">
        <v>3332</v>
      </c>
      <c r="G889" s="1772" t="s">
        <v>3333</v>
      </c>
    </row>
    <row r="890" spans="1:7" ht="12">
      <c r="A890" s="1472" t="s">
        <v>1036</v>
      </c>
      <c r="B890" s="1472" t="s">
        <v>1036</v>
      </c>
      <c r="C890" s="1472">
        <v>2</v>
      </c>
      <c r="D890" s="1777" t="s">
        <v>177</v>
      </c>
      <c r="E890" s="1767" t="s">
        <v>177</v>
      </c>
      <c r="F890" s="1764" t="s">
        <v>3334</v>
      </c>
      <c r="G890" s="1772" t="s">
        <v>3335</v>
      </c>
    </row>
    <row r="891" spans="1:7" ht="12">
      <c r="A891" s="1472" t="s">
        <v>1036</v>
      </c>
      <c r="B891" s="1472" t="s">
        <v>1036</v>
      </c>
      <c r="C891" s="1472">
        <v>2</v>
      </c>
      <c r="D891" s="1777" t="s">
        <v>178</v>
      </c>
      <c r="E891" s="1767" t="s">
        <v>178</v>
      </c>
      <c r="F891" s="1764" t="s">
        <v>3336</v>
      </c>
      <c r="G891" s="1772" t="s">
        <v>3337</v>
      </c>
    </row>
    <row r="892" spans="1:7" ht="12">
      <c r="A892" s="1472" t="s">
        <v>1036</v>
      </c>
      <c r="B892" s="1472" t="s">
        <v>1036</v>
      </c>
      <c r="C892" s="1472">
        <v>2</v>
      </c>
      <c r="D892" s="1777" t="s">
        <v>179</v>
      </c>
      <c r="E892" s="1767" t="s">
        <v>179</v>
      </c>
      <c r="F892" s="1764" t="s">
        <v>3338</v>
      </c>
      <c r="G892" s="1772" t="s">
        <v>3339</v>
      </c>
    </row>
    <row r="893" spans="1:7" ht="12">
      <c r="A893" s="1472" t="s">
        <v>1036</v>
      </c>
      <c r="B893" s="1472" t="s">
        <v>1036</v>
      </c>
      <c r="C893" s="1472">
        <v>2</v>
      </c>
      <c r="D893" s="1777" t="s">
        <v>158</v>
      </c>
      <c r="E893" s="1767" t="s">
        <v>158</v>
      </c>
      <c r="F893" s="1764" t="s">
        <v>3215</v>
      </c>
      <c r="G893" s="1772" t="s">
        <v>3340</v>
      </c>
    </row>
    <row r="894" spans="1:7" ht="12">
      <c r="A894" s="1472" t="s">
        <v>1036</v>
      </c>
      <c r="B894" s="1472" t="s">
        <v>1036</v>
      </c>
      <c r="C894" s="1472">
        <v>2</v>
      </c>
      <c r="D894" s="1777" t="s">
        <v>180</v>
      </c>
      <c r="E894" s="1767" t="s">
        <v>180</v>
      </c>
      <c r="F894" s="1764" t="s">
        <v>3341</v>
      </c>
      <c r="G894" s="1772" t="s">
        <v>3342</v>
      </c>
    </row>
    <row r="895" spans="1:7" ht="12">
      <c r="A895" s="1472" t="s">
        <v>1036</v>
      </c>
      <c r="B895" s="1472" t="s">
        <v>1036</v>
      </c>
      <c r="C895" s="1472">
        <v>2</v>
      </c>
      <c r="D895" s="1777" t="s">
        <v>181</v>
      </c>
      <c r="E895" s="1767" t="s">
        <v>181</v>
      </c>
      <c r="F895" s="1764" t="s">
        <v>3343</v>
      </c>
      <c r="G895" s="1772" t="s">
        <v>3344</v>
      </c>
    </row>
    <row r="896" spans="1:7" ht="12">
      <c r="A896" s="1472" t="s">
        <v>1036</v>
      </c>
      <c r="B896" s="1472" t="s">
        <v>1036</v>
      </c>
      <c r="C896" s="1472">
        <v>2</v>
      </c>
      <c r="D896" s="1777" t="s">
        <v>182</v>
      </c>
      <c r="E896" s="1767" t="s">
        <v>182</v>
      </c>
      <c r="F896" s="1764" t="s">
        <v>3345</v>
      </c>
      <c r="G896" s="1772" t="s">
        <v>3346</v>
      </c>
    </row>
    <row r="897" spans="1:7" ht="12">
      <c r="A897" s="1472" t="s">
        <v>1036</v>
      </c>
      <c r="B897" s="1472" t="s">
        <v>1036</v>
      </c>
      <c r="C897" s="1472">
        <v>2</v>
      </c>
      <c r="D897" s="1777" t="s">
        <v>183</v>
      </c>
      <c r="E897" s="1767" t="s">
        <v>183</v>
      </c>
      <c r="F897" s="1764" t="s">
        <v>3347</v>
      </c>
      <c r="G897" s="1772" t="s">
        <v>3348</v>
      </c>
    </row>
    <row r="898" spans="1:7" ht="12">
      <c r="A898" s="1472" t="s">
        <v>1036</v>
      </c>
      <c r="B898" s="1472" t="s">
        <v>1036</v>
      </c>
      <c r="C898" s="1472">
        <v>2</v>
      </c>
      <c r="D898" s="1777" t="s">
        <v>165</v>
      </c>
      <c r="E898" s="1767" t="s">
        <v>165</v>
      </c>
      <c r="F898" s="1764" t="s">
        <v>3229</v>
      </c>
      <c r="G898" s="1772" t="s">
        <v>3349</v>
      </c>
    </row>
    <row r="899" spans="1:7" ht="12">
      <c r="A899" s="1472" t="s">
        <v>1036</v>
      </c>
      <c r="B899" s="1472" t="s">
        <v>1036</v>
      </c>
      <c r="C899" s="1472">
        <v>2</v>
      </c>
      <c r="D899" s="1777" t="s">
        <v>143</v>
      </c>
      <c r="E899" s="1767" t="s">
        <v>143</v>
      </c>
      <c r="F899" s="1764" t="s">
        <v>3231</v>
      </c>
      <c r="G899" s="1772" t="s">
        <v>3232</v>
      </c>
    </row>
    <row r="900" spans="1:7" ht="12">
      <c r="A900" s="1472" t="s">
        <v>1036</v>
      </c>
      <c r="B900" s="1472" t="s">
        <v>1036</v>
      </c>
      <c r="C900" s="1472">
        <v>2</v>
      </c>
      <c r="D900" s="1777" t="s">
        <v>167</v>
      </c>
      <c r="E900" s="1767" t="s">
        <v>167</v>
      </c>
      <c r="F900" s="1764" t="s">
        <v>3235</v>
      </c>
      <c r="G900" s="1772" t="s">
        <v>3236</v>
      </c>
    </row>
    <row r="901" spans="1:7" ht="12">
      <c r="A901" s="1472" t="s">
        <v>1036</v>
      </c>
      <c r="B901" s="1472" t="s">
        <v>1036</v>
      </c>
      <c r="C901" s="1472">
        <v>2</v>
      </c>
      <c r="D901" s="1777" t="s">
        <v>144</v>
      </c>
      <c r="E901" s="1767" t="s">
        <v>144</v>
      </c>
      <c r="F901" s="1764" t="s">
        <v>3237</v>
      </c>
      <c r="G901" s="1772" t="s">
        <v>144</v>
      </c>
    </row>
    <row r="902" spans="1:7" ht="12">
      <c r="A902" s="1472" t="s">
        <v>1036</v>
      </c>
      <c r="B902" s="1472" t="s">
        <v>1036</v>
      </c>
      <c r="C902" s="1472">
        <v>2</v>
      </c>
      <c r="D902" s="1777" t="s">
        <v>168</v>
      </c>
      <c r="E902" s="1767" t="s">
        <v>168</v>
      </c>
      <c r="F902" s="1764" t="s">
        <v>3238</v>
      </c>
      <c r="G902" s="1772" t="s">
        <v>3350</v>
      </c>
    </row>
    <row r="903" spans="1:7" ht="12">
      <c r="A903" s="1472" t="s">
        <v>1036</v>
      </c>
      <c r="B903" s="1472" t="s">
        <v>1036</v>
      </c>
      <c r="C903" s="1472">
        <v>2</v>
      </c>
      <c r="D903" s="1777" t="s">
        <v>2503</v>
      </c>
      <c r="E903" s="1767" t="s">
        <v>2503</v>
      </c>
      <c r="F903" s="1764" t="s">
        <v>3240</v>
      </c>
      <c r="G903" s="1772" t="s">
        <v>3241</v>
      </c>
    </row>
    <row r="904" spans="1:7" ht="12">
      <c r="A904" s="1472" t="s">
        <v>1036</v>
      </c>
      <c r="B904" s="1472" t="s">
        <v>1036</v>
      </c>
      <c r="C904" s="1472">
        <v>2</v>
      </c>
      <c r="D904" s="1777" t="s">
        <v>433</v>
      </c>
      <c r="E904" s="1767" t="s">
        <v>433</v>
      </c>
      <c r="F904" s="1764" t="s">
        <v>3318</v>
      </c>
      <c r="G904" s="1772" t="s">
        <v>3319</v>
      </c>
    </row>
    <row r="905" spans="1:7" ht="12">
      <c r="A905" s="1472" t="s">
        <v>1036</v>
      </c>
      <c r="B905" s="1472" t="s">
        <v>1036</v>
      </c>
      <c r="C905" s="1472">
        <v>2</v>
      </c>
      <c r="D905" s="1777" t="s">
        <v>3363</v>
      </c>
      <c r="E905" s="1767" t="s">
        <v>3363</v>
      </c>
      <c r="F905" s="1764" t="s">
        <v>3364</v>
      </c>
      <c r="G905" s="1772" t="s">
        <v>3365</v>
      </c>
    </row>
    <row r="906" spans="1:7" ht="12">
      <c r="A906" s="1472" t="s">
        <v>1036</v>
      </c>
      <c r="B906" s="1472" t="s">
        <v>1036</v>
      </c>
      <c r="C906" s="1472">
        <v>2</v>
      </c>
      <c r="D906" s="1777" t="s">
        <v>173</v>
      </c>
      <c r="E906" s="1767" t="s">
        <v>173</v>
      </c>
      <c r="F906" s="1764" t="s">
        <v>3323</v>
      </c>
      <c r="G906" s="1772" t="s">
        <v>3324</v>
      </c>
    </row>
    <row r="907" spans="1:7" ht="12">
      <c r="A907" s="1472" t="s">
        <v>1036</v>
      </c>
      <c r="B907" s="1472" t="s">
        <v>1036</v>
      </c>
      <c r="C907" s="1472">
        <v>2</v>
      </c>
      <c r="D907" s="1777" t="s">
        <v>290</v>
      </c>
      <c r="E907" s="1767" t="s">
        <v>290</v>
      </c>
      <c r="F907" s="1764" t="s">
        <v>3325</v>
      </c>
      <c r="G907" s="1772" t="s">
        <v>3326</v>
      </c>
    </row>
    <row r="908" spans="1:7" ht="12">
      <c r="A908" s="1472" t="s">
        <v>1036</v>
      </c>
      <c r="B908" s="1472" t="s">
        <v>1036</v>
      </c>
      <c r="C908" s="1472">
        <v>2</v>
      </c>
      <c r="D908" s="1777" t="s">
        <v>174</v>
      </c>
      <c r="E908" s="1767" t="s">
        <v>174</v>
      </c>
      <c r="F908" s="1764" t="s">
        <v>3327</v>
      </c>
      <c r="G908" s="1772" t="s">
        <v>3328</v>
      </c>
    </row>
    <row r="909" spans="1:7" ht="12">
      <c r="A909" s="1472" t="s">
        <v>1036</v>
      </c>
      <c r="B909" s="1472" t="s">
        <v>1036</v>
      </c>
      <c r="C909" s="1472">
        <v>2</v>
      </c>
      <c r="D909" s="1777" t="s">
        <v>175</v>
      </c>
      <c r="E909" s="1767" t="s">
        <v>175</v>
      </c>
      <c r="F909" s="1764" t="s">
        <v>3329</v>
      </c>
      <c r="G909" s="1772" t="s">
        <v>3330</v>
      </c>
    </row>
    <row r="910" spans="1:7" ht="12">
      <c r="A910" s="1472" t="s">
        <v>1036</v>
      </c>
      <c r="B910" s="1472" t="s">
        <v>1036</v>
      </c>
      <c r="C910" s="1472">
        <v>2</v>
      </c>
      <c r="D910" s="1777" t="s">
        <v>151</v>
      </c>
      <c r="E910" s="1767" t="s">
        <v>151</v>
      </c>
      <c r="F910" s="1764" t="s">
        <v>3201</v>
      </c>
      <c r="G910" s="1772" t="s">
        <v>3331</v>
      </c>
    </row>
    <row r="911" spans="1:7" ht="12">
      <c r="A911" s="1472" t="s">
        <v>1036</v>
      </c>
      <c r="B911" s="1472" t="s">
        <v>1036</v>
      </c>
      <c r="C911" s="1472">
        <v>2</v>
      </c>
      <c r="D911" s="1777" t="s">
        <v>176</v>
      </c>
      <c r="E911" s="1767" t="s">
        <v>176</v>
      </c>
      <c r="F911" s="1764" t="s">
        <v>3332</v>
      </c>
      <c r="G911" s="1772" t="s">
        <v>3333</v>
      </c>
    </row>
    <row r="912" spans="1:7" ht="12">
      <c r="A912" s="1472" t="s">
        <v>1036</v>
      </c>
      <c r="B912" s="1472" t="s">
        <v>1036</v>
      </c>
      <c r="C912" s="1472">
        <v>2</v>
      </c>
      <c r="D912" s="1777" t="s">
        <v>177</v>
      </c>
      <c r="E912" s="1767" t="s">
        <v>177</v>
      </c>
      <c r="F912" s="1764" t="s">
        <v>3334</v>
      </c>
      <c r="G912" s="1772" t="s">
        <v>3335</v>
      </c>
    </row>
    <row r="913" spans="1:7" ht="12">
      <c r="A913" s="1472" t="s">
        <v>1036</v>
      </c>
      <c r="B913" s="1472" t="s">
        <v>1036</v>
      </c>
      <c r="C913" s="1472">
        <v>2</v>
      </c>
      <c r="D913" s="1777" t="s">
        <v>178</v>
      </c>
      <c r="E913" s="1767" t="s">
        <v>178</v>
      </c>
      <c r="F913" s="1764" t="s">
        <v>3336</v>
      </c>
      <c r="G913" s="1772" t="s">
        <v>3337</v>
      </c>
    </row>
    <row r="914" spans="1:7" ht="12">
      <c r="A914" s="1472" t="s">
        <v>1036</v>
      </c>
      <c r="B914" s="1472" t="s">
        <v>1036</v>
      </c>
      <c r="C914" s="1472">
        <v>2</v>
      </c>
      <c r="D914" s="1777" t="s">
        <v>179</v>
      </c>
      <c r="E914" s="1767" t="s">
        <v>179</v>
      </c>
      <c r="F914" s="1764" t="s">
        <v>3338</v>
      </c>
      <c r="G914" s="1772" t="s">
        <v>3339</v>
      </c>
    </row>
    <row r="915" spans="1:7" ht="12">
      <c r="A915" s="1472" t="s">
        <v>1036</v>
      </c>
      <c r="B915" s="1472" t="s">
        <v>1036</v>
      </c>
      <c r="C915" s="1472">
        <v>2</v>
      </c>
      <c r="D915" s="1777" t="s">
        <v>158</v>
      </c>
      <c r="E915" s="1767" t="s">
        <v>158</v>
      </c>
      <c r="F915" s="1764" t="s">
        <v>3215</v>
      </c>
      <c r="G915" s="1772" t="s">
        <v>3340</v>
      </c>
    </row>
    <row r="916" spans="1:7" ht="12">
      <c r="A916" s="1472" t="s">
        <v>1036</v>
      </c>
      <c r="B916" s="1472" t="s">
        <v>1036</v>
      </c>
      <c r="C916" s="1472">
        <v>2</v>
      </c>
      <c r="D916" s="1777" t="s">
        <v>180</v>
      </c>
      <c r="E916" s="1767" t="s">
        <v>180</v>
      </c>
      <c r="F916" s="1764" t="s">
        <v>3341</v>
      </c>
      <c r="G916" s="1772" t="s">
        <v>3342</v>
      </c>
    </row>
    <row r="917" spans="1:7" ht="12">
      <c r="A917" s="1472" t="s">
        <v>1036</v>
      </c>
      <c r="B917" s="1472" t="s">
        <v>1036</v>
      </c>
      <c r="C917" s="1472">
        <v>2</v>
      </c>
      <c r="D917" s="1777" t="s">
        <v>181</v>
      </c>
      <c r="E917" s="1767" t="s">
        <v>181</v>
      </c>
      <c r="F917" s="1764" t="s">
        <v>3343</v>
      </c>
      <c r="G917" s="1772" t="s">
        <v>3344</v>
      </c>
    </row>
    <row r="918" spans="1:7" ht="12">
      <c r="A918" s="1472" t="s">
        <v>1036</v>
      </c>
      <c r="B918" s="1472" t="s">
        <v>1036</v>
      </c>
      <c r="C918" s="1472">
        <v>2</v>
      </c>
      <c r="D918" s="1777" t="s">
        <v>182</v>
      </c>
      <c r="E918" s="1767" t="s">
        <v>182</v>
      </c>
      <c r="F918" s="1764" t="s">
        <v>3345</v>
      </c>
      <c r="G918" s="1772" t="s">
        <v>3346</v>
      </c>
    </row>
    <row r="919" spans="1:7" ht="12">
      <c r="A919" s="1472" t="s">
        <v>1036</v>
      </c>
      <c r="B919" s="1472" t="s">
        <v>1036</v>
      </c>
      <c r="C919" s="1472">
        <v>2</v>
      </c>
      <c r="D919" s="1777" t="s">
        <v>183</v>
      </c>
      <c r="E919" s="1767" t="s">
        <v>183</v>
      </c>
      <c r="F919" s="1764" t="s">
        <v>3347</v>
      </c>
      <c r="G919" s="1772" t="s">
        <v>3348</v>
      </c>
    </row>
    <row r="920" spans="1:7" ht="12">
      <c r="A920" s="1472" t="s">
        <v>1036</v>
      </c>
      <c r="B920" s="1472" t="s">
        <v>1036</v>
      </c>
      <c r="C920" s="1472">
        <v>2</v>
      </c>
      <c r="D920" s="1777" t="s">
        <v>165</v>
      </c>
      <c r="E920" s="1767" t="s">
        <v>165</v>
      </c>
      <c r="F920" s="1764" t="s">
        <v>3229</v>
      </c>
      <c r="G920" s="1772" t="s">
        <v>3349</v>
      </c>
    </row>
    <row r="921" spans="1:7" ht="12">
      <c r="A921" s="1472" t="s">
        <v>1036</v>
      </c>
      <c r="B921" s="1472" t="s">
        <v>1036</v>
      </c>
      <c r="C921" s="1472">
        <v>2</v>
      </c>
      <c r="D921" s="1777" t="s">
        <v>143</v>
      </c>
      <c r="E921" s="1767" t="s">
        <v>143</v>
      </c>
      <c r="F921" s="1764" t="s">
        <v>3231</v>
      </c>
      <c r="G921" s="1772" t="s">
        <v>3232</v>
      </c>
    </row>
    <row r="922" spans="1:7" ht="12">
      <c r="A922" s="1472" t="s">
        <v>1036</v>
      </c>
      <c r="B922" s="1472" t="s">
        <v>1036</v>
      </c>
      <c r="C922" s="1472">
        <v>2</v>
      </c>
      <c r="D922" s="1777" t="s">
        <v>167</v>
      </c>
      <c r="E922" s="1767" t="s">
        <v>167</v>
      </c>
      <c r="F922" s="1764" t="s">
        <v>3235</v>
      </c>
      <c r="G922" s="1772" t="s">
        <v>3236</v>
      </c>
    </row>
    <row r="923" spans="1:7" ht="12">
      <c r="A923" s="1472" t="s">
        <v>1036</v>
      </c>
      <c r="B923" s="1472" t="s">
        <v>1036</v>
      </c>
      <c r="C923" s="1472">
        <v>2</v>
      </c>
      <c r="D923" s="1777" t="s">
        <v>144</v>
      </c>
      <c r="E923" s="1767" t="s">
        <v>144</v>
      </c>
      <c r="F923" s="1764" t="s">
        <v>3237</v>
      </c>
      <c r="G923" s="1772" t="s">
        <v>144</v>
      </c>
    </row>
    <row r="924" spans="1:7" ht="12">
      <c r="A924" s="1472" t="s">
        <v>1036</v>
      </c>
      <c r="B924" s="1472" t="s">
        <v>1036</v>
      </c>
      <c r="C924" s="1472">
        <v>2</v>
      </c>
      <c r="D924" s="1777" t="s">
        <v>168</v>
      </c>
      <c r="E924" s="1767" t="s">
        <v>168</v>
      </c>
      <c r="F924" s="1764" t="s">
        <v>3238</v>
      </c>
      <c r="G924" s="1772" t="s">
        <v>3350</v>
      </c>
    </row>
    <row r="925" spans="1:7" ht="12">
      <c r="A925" s="1472" t="s">
        <v>1036</v>
      </c>
      <c r="B925" s="1472" t="s">
        <v>1036</v>
      </c>
      <c r="C925" s="1472">
        <v>2</v>
      </c>
      <c r="D925" s="1777" t="s">
        <v>2503</v>
      </c>
      <c r="E925" s="1767" t="s">
        <v>2503</v>
      </c>
      <c r="F925" s="1764" t="s">
        <v>3240</v>
      </c>
      <c r="G925" s="1772" t="s">
        <v>3241</v>
      </c>
    </row>
    <row r="926" spans="1:7" ht="12">
      <c r="A926" s="1472" t="s">
        <v>1036</v>
      </c>
      <c r="B926" s="1472" t="s">
        <v>1036</v>
      </c>
      <c r="C926" s="1472">
        <v>2</v>
      </c>
      <c r="D926" s="1777" t="s">
        <v>433</v>
      </c>
      <c r="E926" s="1767" t="s">
        <v>433</v>
      </c>
      <c r="F926" s="1764" t="s">
        <v>3318</v>
      </c>
      <c r="G926" s="1772" t="s">
        <v>3319</v>
      </c>
    </row>
    <row r="927" spans="1:7" ht="12">
      <c r="A927" s="1472" t="s">
        <v>1036</v>
      </c>
      <c r="B927" s="1472" t="s">
        <v>1036</v>
      </c>
      <c r="C927" s="1472">
        <v>2</v>
      </c>
      <c r="D927" s="1777" t="s">
        <v>3366</v>
      </c>
      <c r="E927" s="1767" t="s">
        <v>3366</v>
      </c>
      <c r="F927" s="1764" t="s">
        <v>3367</v>
      </c>
      <c r="G927" s="1772" t="s">
        <v>3368</v>
      </c>
    </row>
    <row r="928" spans="1:7" ht="12">
      <c r="A928" s="1472" t="s">
        <v>1036</v>
      </c>
      <c r="B928" s="1472" t="s">
        <v>1036</v>
      </c>
      <c r="C928" s="1472">
        <v>2</v>
      </c>
      <c r="D928" s="1777" t="s">
        <v>173</v>
      </c>
      <c r="E928" s="1767" t="s">
        <v>173</v>
      </c>
      <c r="F928" s="1764" t="s">
        <v>3323</v>
      </c>
      <c r="G928" s="1772" t="s">
        <v>3324</v>
      </c>
    </row>
    <row r="929" spans="1:7" ht="12">
      <c r="A929" s="1472" t="s">
        <v>1036</v>
      </c>
      <c r="B929" s="1472" t="s">
        <v>1036</v>
      </c>
      <c r="C929" s="1472">
        <v>2</v>
      </c>
      <c r="D929" s="1777" t="s">
        <v>290</v>
      </c>
      <c r="E929" s="1767" t="s">
        <v>290</v>
      </c>
      <c r="F929" s="1764" t="s">
        <v>3325</v>
      </c>
      <c r="G929" s="1772" t="s">
        <v>3326</v>
      </c>
    </row>
    <row r="930" spans="1:7" ht="12">
      <c r="A930" s="1472" t="s">
        <v>1036</v>
      </c>
      <c r="B930" s="1472" t="s">
        <v>1036</v>
      </c>
      <c r="C930" s="1472">
        <v>2</v>
      </c>
      <c r="D930" s="1777" t="s">
        <v>174</v>
      </c>
      <c r="E930" s="1767" t="s">
        <v>174</v>
      </c>
      <c r="F930" s="1764" t="s">
        <v>3327</v>
      </c>
      <c r="G930" s="1772" t="s">
        <v>3328</v>
      </c>
    </row>
    <row r="931" spans="1:7" ht="12">
      <c r="A931" s="1472" t="s">
        <v>1036</v>
      </c>
      <c r="B931" s="1472" t="s">
        <v>1036</v>
      </c>
      <c r="C931" s="1472">
        <v>2</v>
      </c>
      <c r="D931" s="1777" t="s">
        <v>175</v>
      </c>
      <c r="E931" s="1767" t="s">
        <v>175</v>
      </c>
      <c r="F931" s="1764" t="s">
        <v>3329</v>
      </c>
      <c r="G931" s="1772" t="s">
        <v>3330</v>
      </c>
    </row>
    <row r="932" spans="1:7" ht="12">
      <c r="A932" s="1472" t="s">
        <v>1036</v>
      </c>
      <c r="B932" s="1472" t="s">
        <v>1036</v>
      </c>
      <c r="C932" s="1472">
        <v>2</v>
      </c>
      <c r="D932" s="1777" t="s">
        <v>151</v>
      </c>
      <c r="E932" s="1767" t="s">
        <v>151</v>
      </c>
      <c r="F932" s="1764" t="s">
        <v>3201</v>
      </c>
      <c r="G932" s="1772" t="s">
        <v>3331</v>
      </c>
    </row>
    <row r="933" spans="1:7" ht="12">
      <c r="A933" s="1472" t="s">
        <v>1036</v>
      </c>
      <c r="B933" s="1472" t="s">
        <v>1036</v>
      </c>
      <c r="C933" s="1472">
        <v>2</v>
      </c>
      <c r="D933" s="1777" t="s">
        <v>176</v>
      </c>
      <c r="E933" s="1767" t="s">
        <v>176</v>
      </c>
      <c r="F933" s="1764" t="s">
        <v>3332</v>
      </c>
      <c r="G933" s="1772" t="s">
        <v>3333</v>
      </c>
    </row>
    <row r="934" spans="1:7" ht="12">
      <c r="A934" s="1472" t="s">
        <v>1036</v>
      </c>
      <c r="B934" s="1472" t="s">
        <v>1036</v>
      </c>
      <c r="C934" s="1472">
        <v>2</v>
      </c>
      <c r="D934" s="1777" t="s">
        <v>177</v>
      </c>
      <c r="E934" s="1767" t="s">
        <v>177</v>
      </c>
      <c r="F934" s="1764" t="s">
        <v>3334</v>
      </c>
      <c r="G934" s="1772" t="s">
        <v>3335</v>
      </c>
    </row>
    <row r="935" spans="1:7" ht="12">
      <c r="A935" s="1472" t="s">
        <v>1036</v>
      </c>
      <c r="B935" s="1472" t="s">
        <v>1036</v>
      </c>
      <c r="C935" s="1472">
        <v>2</v>
      </c>
      <c r="D935" s="1777" t="s">
        <v>178</v>
      </c>
      <c r="E935" s="1767" t="s">
        <v>178</v>
      </c>
      <c r="F935" s="1764" t="s">
        <v>3336</v>
      </c>
      <c r="G935" s="1772" t="s">
        <v>3337</v>
      </c>
    </row>
    <row r="936" spans="1:7" ht="12">
      <c r="A936" s="1472" t="s">
        <v>1036</v>
      </c>
      <c r="B936" s="1472" t="s">
        <v>1036</v>
      </c>
      <c r="C936" s="1472">
        <v>2</v>
      </c>
      <c r="D936" s="1777" t="s">
        <v>179</v>
      </c>
      <c r="E936" s="1767" t="s">
        <v>179</v>
      </c>
      <c r="F936" s="1764" t="s">
        <v>3338</v>
      </c>
      <c r="G936" s="1772" t="s">
        <v>3339</v>
      </c>
    </row>
    <row r="937" spans="1:7" ht="12">
      <c r="A937" s="1472" t="s">
        <v>1036</v>
      </c>
      <c r="B937" s="1472" t="s">
        <v>1036</v>
      </c>
      <c r="C937" s="1472">
        <v>2</v>
      </c>
      <c r="D937" s="1777" t="s">
        <v>158</v>
      </c>
      <c r="E937" s="1767" t="s">
        <v>158</v>
      </c>
      <c r="F937" s="1764" t="s">
        <v>3215</v>
      </c>
      <c r="G937" s="1772" t="s">
        <v>3340</v>
      </c>
    </row>
    <row r="938" spans="1:7" ht="12">
      <c r="A938" s="1472" t="s">
        <v>1036</v>
      </c>
      <c r="B938" s="1472" t="s">
        <v>1036</v>
      </c>
      <c r="C938" s="1472">
        <v>2</v>
      </c>
      <c r="D938" s="1777" t="s">
        <v>180</v>
      </c>
      <c r="E938" s="1767" t="s">
        <v>180</v>
      </c>
      <c r="F938" s="1764" t="s">
        <v>3341</v>
      </c>
      <c r="G938" s="1772" t="s">
        <v>3342</v>
      </c>
    </row>
    <row r="939" spans="1:7" ht="12">
      <c r="A939" s="1472" t="s">
        <v>1036</v>
      </c>
      <c r="B939" s="1472" t="s">
        <v>1036</v>
      </c>
      <c r="C939" s="1472">
        <v>2</v>
      </c>
      <c r="D939" s="1777" t="s">
        <v>181</v>
      </c>
      <c r="E939" s="1767" t="s">
        <v>181</v>
      </c>
      <c r="F939" s="1764" t="s">
        <v>3343</v>
      </c>
      <c r="G939" s="1772" t="s">
        <v>3344</v>
      </c>
    </row>
    <row r="940" spans="1:7" ht="12">
      <c r="A940" s="1472" t="s">
        <v>1036</v>
      </c>
      <c r="B940" s="1472" t="s">
        <v>1036</v>
      </c>
      <c r="C940" s="1472">
        <v>2</v>
      </c>
      <c r="D940" s="1777" t="s">
        <v>182</v>
      </c>
      <c r="E940" s="1767" t="s">
        <v>182</v>
      </c>
      <c r="F940" s="1764" t="s">
        <v>3345</v>
      </c>
      <c r="G940" s="1772" t="s">
        <v>3346</v>
      </c>
    </row>
    <row r="941" spans="1:7" ht="12">
      <c r="A941" s="1472" t="s">
        <v>1036</v>
      </c>
      <c r="B941" s="1472" t="s">
        <v>1036</v>
      </c>
      <c r="C941" s="1472">
        <v>2</v>
      </c>
      <c r="D941" s="1777" t="s">
        <v>183</v>
      </c>
      <c r="E941" s="1767" t="s">
        <v>183</v>
      </c>
      <c r="F941" s="1764" t="s">
        <v>3347</v>
      </c>
      <c r="G941" s="1772" t="s">
        <v>3348</v>
      </c>
    </row>
    <row r="942" spans="1:7" ht="12">
      <c r="A942" s="1472" t="s">
        <v>1036</v>
      </c>
      <c r="B942" s="1472" t="s">
        <v>1036</v>
      </c>
      <c r="C942" s="1472">
        <v>2</v>
      </c>
      <c r="D942" s="1777" t="s">
        <v>165</v>
      </c>
      <c r="E942" s="1767" t="s">
        <v>165</v>
      </c>
      <c r="F942" s="1764" t="s">
        <v>3229</v>
      </c>
      <c r="G942" s="1772" t="s">
        <v>3349</v>
      </c>
    </row>
    <row r="943" spans="1:7" ht="12">
      <c r="A943" s="1472" t="s">
        <v>1036</v>
      </c>
      <c r="B943" s="1472" t="s">
        <v>1036</v>
      </c>
      <c r="C943" s="1472">
        <v>2</v>
      </c>
      <c r="D943" s="1777" t="s">
        <v>143</v>
      </c>
      <c r="E943" s="1767" t="s">
        <v>143</v>
      </c>
      <c r="F943" s="1764" t="s">
        <v>3231</v>
      </c>
      <c r="G943" s="1772" t="s">
        <v>3232</v>
      </c>
    </row>
    <row r="944" spans="1:7" ht="12">
      <c r="A944" s="1472" t="s">
        <v>1036</v>
      </c>
      <c r="B944" s="1472" t="s">
        <v>1036</v>
      </c>
      <c r="C944" s="1472">
        <v>2</v>
      </c>
      <c r="D944" s="1777" t="s">
        <v>167</v>
      </c>
      <c r="E944" s="1767" t="s">
        <v>167</v>
      </c>
      <c r="F944" s="1764" t="s">
        <v>3235</v>
      </c>
      <c r="G944" s="1772" t="s">
        <v>3236</v>
      </c>
    </row>
    <row r="945" spans="1:7" ht="12">
      <c r="A945" s="1472" t="s">
        <v>1036</v>
      </c>
      <c r="B945" s="1472" t="s">
        <v>1036</v>
      </c>
      <c r="C945" s="1472">
        <v>2</v>
      </c>
      <c r="D945" s="1777" t="s">
        <v>144</v>
      </c>
      <c r="E945" s="1767" t="s">
        <v>144</v>
      </c>
      <c r="F945" s="1764" t="s">
        <v>3237</v>
      </c>
      <c r="G945" s="1772" t="s">
        <v>144</v>
      </c>
    </row>
    <row r="946" spans="1:7" ht="12">
      <c r="A946" s="1472" t="s">
        <v>1036</v>
      </c>
      <c r="B946" s="1472" t="s">
        <v>1036</v>
      </c>
      <c r="C946" s="1472">
        <v>2</v>
      </c>
      <c r="D946" s="1777" t="s">
        <v>168</v>
      </c>
      <c r="E946" s="1767" t="s">
        <v>168</v>
      </c>
      <c r="F946" s="1764" t="s">
        <v>3238</v>
      </c>
      <c r="G946" s="1772" t="s">
        <v>3350</v>
      </c>
    </row>
    <row r="947" spans="1:7" ht="12">
      <c r="A947" s="1472" t="s">
        <v>1036</v>
      </c>
      <c r="B947" s="1472" t="s">
        <v>1036</v>
      </c>
      <c r="C947" s="1472">
        <v>2</v>
      </c>
      <c r="D947" s="1777" t="s">
        <v>2503</v>
      </c>
      <c r="E947" s="1767" t="s">
        <v>2503</v>
      </c>
      <c r="F947" s="1764" t="s">
        <v>3240</v>
      </c>
      <c r="G947" s="1772" t="s">
        <v>3241</v>
      </c>
    </row>
    <row r="948" spans="1:7" ht="12">
      <c r="A948" s="1472" t="s">
        <v>1036</v>
      </c>
      <c r="B948" s="1472" t="s">
        <v>1036</v>
      </c>
      <c r="C948" s="1472">
        <v>2</v>
      </c>
      <c r="D948" s="1777" t="s">
        <v>433</v>
      </c>
      <c r="E948" s="1767" t="s">
        <v>433</v>
      </c>
      <c r="F948" s="1764" t="s">
        <v>3318</v>
      </c>
      <c r="G948" s="1772" t="s">
        <v>3319</v>
      </c>
    </row>
    <row r="949" spans="1:7" ht="12">
      <c r="A949" s="1472" t="s">
        <v>1036</v>
      </c>
      <c r="B949" s="1472" t="s">
        <v>1036</v>
      </c>
      <c r="C949" s="1472">
        <v>2</v>
      </c>
      <c r="D949" s="1777" t="s">
        <v>3369</v>
      </c>
      <c r="E949" s="1767" t="s">
        <v>3369</v>
      </c>
      <c r="F949" s="1764" t="s">
        <v>3370</v>
      </c>
      <c r="G949" s="1772" t="s">
        <v>3371</v>
      </c>
    </row>
    <row r="950" spans="1:7" ht="12">
      <c r="A950" s="1472" t="s">
        <v>1036</v>
      </c>
      <c r="B950" s="1472" t="s">
        <v>1036</v>
      </c>
      <c r="C950" s="1472">
        <v>2</v>
      </c>
      <c r="D950" s="1777" t="s">
        <v>173</v>
      </c>
      <c r="E950" s="1767" t="s">
        <v>173</v>
      </c>
      <c r="F950" s="1764" t="s">
        <v>3323</v>
      </c>
      <c r="G950" s="1772" t="s">
        <v>3324</v>
      </c>
    </row>
    <row r="951" spans="1:7" ht="12">
      <c r="A951" s="1472" t="s">
        <v>1036</v>
      </c>
      <c r="B951" s="1472" t="s">
        <v>1036</v>
      </c>
      <c r="C951" s="1472">
        <v>2</v>
      </c>
      <c r="D951" s="1777" t="s">
        <v>290</v>
      </c>
      <c r="E951" s="1767" t="s">
        <v>290</v>
      </c>
      <c r="F951" s="1764" t="s">
        <v>3325</v>
      </c>
      <c r="G951" s="1772" t="s">
        <v>3326</v>
      </c>
    </row>
    <row r="952" spans="1:7" ht="12">
      <c r="A952" s="1472" t="s">
        <v>1036</v>
      </c>
      <c r="B952" s="1472" t="s">
        <v>1036</v>
      </c>
      <c r="C952" s="1472">
        <v>2</v>
      </c>
      <c r="D952" s="1777" t="s">
        <v>174</v>
      </c>
      <c r="E952" s="1767" t="s">
        <v>174</v>
      </c>
      <c r="F952" s="1764" t="s">
        <v>3327</v>
      </c>
      <c r="G952" s="1772" t="s">
        <v>3328</v>
      </c>
    </row>
    <row r="953" spans="1:7" ht="12">
      <c r="A953" s="1472" t="s">
        <v>1036</v>
      </c>
      <c r="B953" s="1472" t="s">
        <v>1036</v>
      </c>
      <c r="C953" s="1472">
        <v>2</v>
      </c>
      <c r="D953" s="1777" t="s">
        <v>175</v>
      </c>
      <c r="E953" s="1767" t="s">
        <v>175</v>
      </c>
      <c r="F953" s="1764" t="s">
        <v>3329</v>
      </c>
      <c r="G953" s="1772" t="s">
        <v>3330</v>
      </c>
    </row>
    <row r="954" spans="1:7" ht="12">
      <c r="A954" s="1472" t="s">
        <v>1036</v>
      </c>
      <c r="B954" s="1472" t="s">
        <v>1036</v>
      </c>
      <c r="C954" s="1472">
        <v>2</v>
      </c>
      <c r="D954" s="1777" t="s">
        <v>151</v>
      </c>
      <c r="E954" s="1767" t="s">
        <v>151</v>
      </c>
      <c r="F954" s="1764" t="s">
        <v>3201</v>
      </c>
      <c r="G954" s="1772" t="s">
        <v>3331</v>
      </c>
    </row>
    <row r="955" spans="1:7" ht="12">
      <c r="A955" s="1472" t="s">
        <v>1036</v>
      </c>
      <c r="B955" s="1472" t="s">
        <v>1036</v>
      </c>
      <c r="C955" s="1472">
        <v>2</v>
      </c>
      <c r="D955" s="1777" t="s">
        <v>176</v>
      </c>
      <c r="E955" s="1767" t="s">
        <v>176</v>
      </c>
      <c r="F955" s="1764" t="s">
        <v>3332</v>
      </c>
      <c r="G955" s="1772" t="s">
        <v>3333</v>
      </c>
    </row>
    <row r="956" spans="1:7" ht="12">
      <c r="A956" s="1472" t="s">
        <v>1036</v>
      </c>
      <c r="B956" s="1472" t="s">
        <v>1036</v>
      </c>
      <c r="C956" s="1472">
        <v>2</v>
      </c>
      <c r="D956" s="1777" t="s">
        <v>177</v>
      </c>
      <c r="E956" s="1767" t="s">
        <v>177</v>
      </c>
      <c r="F956" s="1764" t="s">
        <v>3334</v>
      </c>
      <c r="G956" s="1772" t="s">
        <v>3335</v>
      </c>
    </row>
    <row r="957" spans="1:7" ht="12">
      <c r="A957" s="1472" t="s">
        <v>1036</v>
      </c>
      <c r="B957" s="1472" t="s">
        <v>1036</v>
      </c>
      <c r="C957" s="1472">
        <v>2</v>
      </c>
      <c r="D957" s="1777" t="s">
        <v>178</v>
      </c>
      <c r="E957" s="1767" t="s">
        <v>178</v>
      </c>
      <c r="F957" s="1764" t="s">
        <v>3336</v>
      </c>
      <c r="G957" s="1772" t="s">
        <v>3337</v>
      </c>
    </row>
    <row r="958" spans="1:7" ht="12">
      <c r="A958" s="1472" t="s">
        <v>1036</v>
      </c>
      <c r="B958" s="1472" t="s">
        <v>1036</v>
      </c>
      <c r="C958" s="1472">
        <v>2</v>
      </c>
      <c r="D958" s="1777" t="s">
        <v>179</v>
      </c>
      <c r="E958" s="1767" t="s">
        <v>179</v>
      </c>
      <c r="F958" s="1764" t="s">
        <v>3338</v>
      </c>
      <c r="G958" s="1772" t="s">
        <v>3339</v>
      </c>
    </row>
    <row r="959" spans="1:7" ht="12">
      <c r="A959" s="1472" t="s">
        <v>1036</v>
      </c>
      <c r="B959" s="1472" t="s">
        <v>1036</v>
      </c>
      <c r="C959" s="1472">
        <v>2</v>
      </c>
      <c r="D959" s="1777" t="s">
        <v>158</v>
      </c>
      <c r="E959" s="1767" t="s">
        <v>158</v>
      </c>
      <c r="F959" s="1764" t="s">
        <v>3215</v>
      </c>
      <c r="G959" s="1772" t="s">
        <v>3340</v>
      </c>
    </row>
    <row r="960" spans="1:7" ht="12">
      <c r="A960" s="1472" t="s">
        <v>1036</v>
      </c>
      <c r="B960" s="1472" t="s">
        <v>1036</v>
      </c>
      <c r="C960" s="1472">
        <v>2</v>
      </c>
      <c r="D960" s="1777" t="s">
        <v>180</v>
      </c>
      <c r="E960" s="1767" t="s">
        <v>180</v>
      </c>
      <c r="F960" s="1764" t="s">
        <v>3341</v>
      </c>
      <c r="G960" s="1772" t="s">
        <v>3342</v>
      </c>
    </row>
    <row r="961" spans="1:7" ht="12">
      <c r="A961" s="1472" t="s">
        <v>1036</v>
      </c>
      <c r="B961" s="1472" t="s">
        <v>1036</v>
      </c>
      <c r="C961" s="1472">
        <v>2</v>
      </c>
      <c r="D961" s="1777" t="s">
        <v>181</v>
      </c>
      <c r="E961" s="1767" t="s">
        <v>181</v>
      </c>
      <c r="F961" s="1764" t="s">
        <v>3343</v>
      </c>
      <c r="G961" s="1772" t="s">
        <v>3344</v>
      </c>
    </row>
    <row r="962" spans="1:7" ht="12">
      <c r="A962" s="1472" t="s">
        <v>1036</v>
      </c>
      <c r="B962" s="1472" t="s">
        <v>1036</v>
      </c>
      <c r="C962" s="1472">
        <v>2</v>
      </c>
      <c r="D962" s="1777" t="s">
        <v>182</v>
      </c>
      <c r="E962" s="1767" t="s">
        <v>182</v>
      </c>
      <c r="F962" s="1764" t="s">
        <v>3345</v>
      </c>
      <c r="G962" s="1772" t="s">
        <v>3346</v>
      </c>
    </row>
    <row r="963" spans="1:7" ht="12">
      <c r="A963" s="1472" t="s">
        <v>1036</v>
      </c>
      <c r="B963" s="1472" t="s">
        <v>1036</v>
      </c>
      <c r="C963" s="1472">
        <v>2</v>
      </c>
      <c r="D963" s="1777" t="s">
        <v>183</v>
      </c>
      <c r="E963" s="1767" t="s">
        <v>183</v>
      </c>
      <c r="F963" s="1764" t="s">
        <v>3347</v>
      </c>
      <c r="G963" s="1772" t="s">
        <v>3348</v>
      </c>
    </row>
    <row r="964" spans="1:7" ht="12">
      <c r="A964" s="1472" t="s">
        <v>1036</v>
      </c>
      <c r="B964" s="1472" t="s">
        <v>1036</v>
      </c>
      <c r="C964" s="1472">
        <v>2</v>
      </c>
      <c r="D964" s="1777" t="s">
        <v>165</v>
      </c>
      <c r="E964" s="1767" t="s">
        <v>165</v>
      </c>
      <c r="F964" s="1764" t="s">
        <v>3229</v>
      </c>
      <c r="G964" s="1772" t="s">
        <v>3349</v>
      </c>
    </row>
    <row r="965" spans="1:7" ht="12">
      <c r="A965" s="1472" t="s">
        <v>1036</v>
      </c>
      <c r="B965" s="1472" t="s">
        <v>1036</v>
      </c>
      <c r="C965" s="1472">
        <v>2</v>
      </c>
      <c r="D965" s="1777" t="s">
        <v>143</v>
      </c>
      <c r="E965" s="1767" t="s">
        <v>143</v>
      </c>
      <c r="F965" s="1764" t="s">
        <v>3231</v>
      </c>
      <c r="G965" s="1772" t="s">
        <v>3232</v>
      </c>
    </row>
    <row r="966" spans="1:7" ht="12">
      <c r="A966" s="1472" t="s">
        <v>1036</v>
      </c>
      <c r="B966" s="1472" t="s">
        <v>1036</v>
      </c>
      <c r="C966" s="1472">
        <v>2</v>
      </c>
      <c r="D966" s="1777" t="s">
        <v>167</v>
      </c>
      <c r="E966" s="1767" t="s">
        <v>167</v>
      </c>
      <c r="F966" s="1764" t="s">
        <v>3235</v>
      </c>
      <c r="G966" s="1772" t="s">
        <v>3236</v>
      </c>
    </row>
    <row r="967" spans="1:7" ht="12">
      <c r="A967" s="1472" t="s">
        <v>1036</v>
      </c>
      <c r="B967" s="1472" t="s">
        <v>1036</v>
      </c>
      <c r="C967" s="1472">
        <v>2</v>
      </c>
      <c r="D967" s="1777" t="s">
        <v>144</v>
      </c>
      <c r="E967" s="1767" t="s">
        <v>144</v>
      </c>
      <c r="F967" s="1764" t="s">
        <v>3237</v>
      </c>
      <c r="G967" s="1772" t="s">
        <v>144</v>
      </c>
    </row>
    <row r="968" spans="1:7" ht="12">
      <c r="A968" s="1472" t="s">
        <v>1036</v>
      </c>
      <c r="B968" s="1472" t="s">
        <v>1036</v>
      </c>
      <c r="C968" s="1472">
        <v>2</v>
      </c>
      <c r="D968" s="1777" t="s">
        <v>168</v>
      </c>
      <c r="E968" s="1767" t="s">
        <v>168</v>
      </c>
      <c r="F968" s="1764" t="s">
        <v>3238</v>
      </c>
      <c r="G968" s="1772" t="s">
        <v>3350</v>
      </c>
    </row>
    <row r="969" spans="1:7" ht="12">
      <c r="A969" s="1472" t="s">
        <v>1036</v>
      </c>
      <c r="B969" s="1472" t="s">
        <v>1036</v>
      </c>
      <c r="C969" s="1472">
        <v>2</v>
      </c>
      <c r="D969" s="1777" t="s">
        <v>2503</v>
      </c>
      <c r="E969" s="1767" t="s">
        <v>2503</v>
      </c>
      <c r="F969" s="1764" t="s">
        <v>3240</v>
      </c>
      <c r="G969" s="1772" t="s">
        <v>3241</v>
      </c>
    </row>
    <row r="970" spans="1:7">
      <c r="A970" s="1472" t="s">
        <v>3382</v>
      </c>
      <c r="B970" s="1472" t="s">
        <v>3382</v>
      </c>
      <c r="C970" s="1472" t="s">
        <v>3382</v>
      </c>
      <c r="D970" s="1778" t="s">
        <v>3383</v>
      </c>
      <c r="E970" s="1472" t="s">
        <v>3384</v>
      </c>
      <c r="F970" s="1472" t="s">
        <v>3386</v>
      </c>
      <c r="G970" s="1472" t="s">
        <v>3385</v>
      </c>
    </row>
  </sheetData>
  <autoFilter ref="A1:G969" xr:uid="{00000000-0009-0000-0000-000014000000}"/>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tint="-0.499984740745262"/>
  </sheetPr>
  <dimension ref="A2:Z525"/>
  <sheetViews>
    <sheetView showGridLines="0" workbookViewId="0">
      <pane ySplit="2" topLeftCell="A3" activePane="bottomLeft" state="frozen"/>
      <selection pane="bottomLeft" activeCell="A3" sqref="A3"/>
    </sheetView>
  </sheetViews>
  <sheetFormatPr baseColWidth="10" defaultColWidth="9.1796875" defaultRowHeight="14.5"/>
  <cols>
    <col min="1" max="1" width="15.26953125" customWidth="1"/>
    <col min="2" max="2" width="15.7265625" customWidth="1"/>
    <col min="3" max="3" width="13.26953125" customWidth="1"/>
    <col min="4" max="4" width="11" customWidth="1"/>
    <col min="5" max="5" width="15.7265625" customWidth="1"/>
    <col min="6" max="6" width="13.54296875" customWidth="1"/>
    <col min="7" max="7" width="21.7265625" bestFit="1" customWidth="1"/>
    <col min="8" max="8" width="61.7265625" customWidth="1"/>
    <col min="9" max="9" width="21.7265625" bestFit="1" customWidth="1"/>
    <col min="10" max="10" width="18.26953125" bestFit="1" customWidth="1"/>
    <col min="16" max="16" width="9.26953125" style="7"/>
    <col min="17" max="17" width="5.54296875" bestFit="1" customWidth="1"/>
    <col min="18" max="18" width="5.54296875" customWidth="1"/>
    <col min="20" max="20" width="19" customWidth="1"/>
    <col min="21" max="21" width="13.7265625" bestFit="1" customWidth="1"/>
    <col min="22" max="22" width="50.7265625" customWidth="1"/>
    <col min="23" max="23" width="16.81640625" bestFit="1" customWidth="1"/>
    <col min="24" max="24" width="13.453125" customWidth="1"/>
    <col min="25" max="25" width="18.26953125" bestFit="1" customWidth="1"/>
  </cols>
  <sheetData>
    <row r="2" spans="1:26">
      <c r="A2" s="1941" t="s">
        <v>3435</v>
      </c>
      <c r="B2" s="1941" t="s">
        <v>3436</v>
      </c>
      <c r="C2" s="1941" t="s">
        <v>3437</v>
      </c>
      <c r="D2" s="1941" t="s">
        <v>491</v>
      </c>
      <c r="E2" s="1941" t="s">
        <v>3438</v>
      </c>
      <c r="F2" s="1941" t="s">
        <v>686</v>
      </c>
      <c r="G2" s="1941" t="s">
        <v>3439</v>
      </c>
      <c r="H2" s="1941" t="s">
        <v>3440</v>
      </c>
      <c r="I2" s="1941" t="s">
        <v>3441</v>
      </c>
      <c r="J2" s="1941" t="s">
        <v>3442</v>
      </c>
      <c r="M2" s="3" t="s">
        <v>15</v>
      </c>
      <c r="T2" s="647" t="s">
        <v>3436</v>
      </c>
      <c r="U2" s="647" t="s">
        <v>686</v>
      </c>
      <c r="V2" s="647" t="s">
        <v>3440</v>
      </c>
      <c r="W2" s="647" t="s">
        <v>3442</v>
      </c>
    </row>
    <row r="3" spans="1:26">
      <c r="A3">
        <v>151</v>
      </c>
      <c r="B3" t="s">
        <v>753</v>
      </c>
      <c r="C3">
        <v>1</v>
      </c>
      <c r="D3" t="s">
        <v>18</v>
      </c>
      <c r="E3">
        <v>1</v>
      </c>
      <c r="F3" t="s">
        <v>690</v>
      </c>
      <c r="G3" t="s">
        <v>3594</v>
      </c>
      <c r="H3" t="s">
        <v>2493</v>
      </c>
      <c r="I3" t="s">
        <v>3597</v>
      </c>
      <c r="J3" t="s">
        <v>2497</v>
      </c>
      <c r="M3" t="s">
        <v>16</v>
      </c>
      <c r="O3" t="str">
        <f>INDEX(Grant[Country],MATCH(0,INDEX(COUNTIF($O$2:O2,Grant[Country]),),0))</f>
        <v>Afghanistan</v>
      </c>
      <c r="Q3" s="2074" t="s">
        <v>18</v>
      </c>
      <c r="R3" s="2074" t="s">
        <v>688</v>
      </c>
      <c r="T3" t="s">
        <v>753</v>
      </c>
      <c r="U3" t="s">
        <v>690</v>
      </c>
      <c r="V3" t="s">
        <v>2493</v>
      </c>
      <c r="W3" t="s">
        <v>2497</v>
      </c>
      <c r="X3" s="1278">
        <f>LEN(TRIM(Grant[[#This Row],[GrantName]]))</f>
        <v>13</v>
      </c>
      <c r="Y3">
        <f>LEN(Grant[[#This Row],[GrantName]])</f>
        <v>13</v>
      </c>
      <c r="Z3" t="b">
        <f>X3=Y3</f>
        <v>1</v>
      </c>
    </row>
    <row r="4" spans="1:26">
      <c r="A4">
        <v>151</v>
      </c>
      <c r="B4" t="s">
        <v>753</v>
      </c>
      <c r="C4">
        <v>1</v>
      </c>
      <c r="D4" t="s">
        <v>18</v>
      </c>
      <c r="E4">
        <v>1</v>
      </c>
      <c r="F4" t="s">
        <v>690</v>
      </c>
      <c r="G4" t="s">
        <v>3591</v>
      </c>
      <c r="H4" t="s">
        <v>1905</v>
      </c>
      <c r="I4" t="s">
        <v>3592</v>
      </c>
      <c r="J4" t="s">
        <v>2496</v>
      </c>
      <c r="M4" t="s">
        <v>3108</v>
      </c>
      <c r="O4" t="str">
        <f>INDEX(Grant[Country],MATCH(0,INDEX(COUNTIF($O$2:O3,Grant[Country]),),0))</f>
        <v>Albania</v>
      </c>
      <c r="Q4" s="2074" t="s">
        <v>53</v>
      </c>
      <c r="R4" s="2074" t="s">
        <v>690</v>
      </c>
      <c r="T4" t="s">
        <v>753</v>
      </c>
      <c r="U4" t="s">
        <v>690</v>
      </c>
      <c r="V4" t="s">
        <v>1905</v>
      </c>
      <c r="W4" t="s">
        <v>2496</v>
      </c>
      <c r="X4" s="1278"/>
    </row>
    <row r="5" spans="1:26">
      <c r="A5">
        <v>151</v>
      </c>
      <c r="B5" t="s">
        <v>753</v>
      </c>
      <c r="C5">
        <v>1</v>
      </c>
      <c r="D5" t="s">
        <v>18</v>
      </c>
      <c r="E5">
        <v>3</v>
      </c>
      <c r="F5" t="s">
        <v>19</v>
      </c>
      <c r="G5" t="s">
        <v>3591</v>
      </c>
      <c r="H5" t="s">
        <v>1905</v>
      </c>
      <c r="I5" t="s">
        <v>3593</v>
      </c>
      <c r="J5" t="s">
        <v>2495</v>
      </c>
      <c r="M5" t="s">
        <v>764</v>
      </c>
      <c r="O5" t="str">
        <f>INDEX(Grant[Country],MATCH(0,INDEX(COUNTIF($O$2:O4,Grant[Country]),),0))</f>
        <v>Algeria</v>
      </c>
      <c r="Q5" t="e">
        <v>#N/A</v>
      </c>
      <c r="R5" s="2074" t="s">
        <v>19</v>
      </c>
      <c r="T5" t="s">
        <v>753</v>
      </c>
      <c r="U5" t="s">
        <v>19</v>
      </c>
      <c r="V5" t="s">
        <v>1905</v>
      </c>
      <c r="W5" t="s">
        <v>2495</v>
      </c>
      <c r="X5" s="1278"/>
    </row>
    <row r="6" spans="1:26">
      <c r="A6">
        <v>151</v>
      </c>
      <c r="B6" t="s">
        <v>753</v>
      </c>
      <c r="C6">
        <v>1</v>
      </c>
      <c r="D6" t="s">
        <v>18</v>
      </c>
      <c r="E6">
        <v>2</v>
      </c>
      <c r="F6" t="s">
        <v>688</v>
      </c>
      <c r="G6" t="s">
        <v>3594</v>
      </c>
      <c r="H6" t="s">
        <v>2493</v>
      </c>
      <c r="I6" t="s">
        <v>3595</v>
      </c>
      <c r="J6" t="s">
        <v>2494</v>
      </c>
      <c r="M6" t="s">
        <v>768</v>
      </c>
      <c r="O6" t="str">
        <f>INDEX(Grant[Country],MATCH(0,INDEX(COUNTIF($O$2:O5,Grant[Country]),),0))</f>
        <v>Andorra</v>
      </c>
      <c r="Q6" t="e">
        <v>#N/A</v>
      </c>
      <c r="R6" s="2074" t="s">
        <v>1911</v>
      </c>
      <c r="T6" t="s">
        <v>753</v>
      </c>
      <c r="U6" t="s">
        <v>688</v>
      </c>
      <c r="V6" t="s">
        <v>2493</v>
      </c>
      <c r="W6" t="s">
        <v>2494</v>
      </c>
      <c r="X6" s="1278"/>
    </row>
    <row r="7" spans="1:26">
      <c r="A7">
        <v>151</v>
      </c>
      <c r="B7" t="s">
        <v>753</v>
      </c>
      <c r="C7">
        <v>1</v>
      </c>
      <c r="D7" t="s">
        <v>18</v>
      </c>
      <c r="E7">
        <v>2</v>
      </c>
      <c r="F7" t="s">
        <v>688</v>
      </c>
      <c r="G7" t="s">
        <v>3591</v>
      </c>
      <c r="H7" t="s">
        <v>1905</v>
      </c>
      <c r="I7" t="s">
        <v>3596</v>
      </c>
      <c r="J7" t="s">
        <v>2492</v>
      </c>
      <c r="O7" t="str">
        <f>INDEX(Grant[Country],MATCH(0,INDEX(COUNTIF($O$2:O6,Grant[Country]),),0))</f>
        <v>Angola</v>
      </c>
      <c r="Q7">
        <f>INDEX(Grant[Currency],MATCH(0,INDEX(COUNTIF($Q$2:Q6,Grant[Currency]),),0))</f>
        <v>0</v>
      </c>
      <c r="R7">
        <f>INDEX(Grant[Component],MATCH(0,INDEX(COUNTIF($R$2:R6,Grant[Component]),0)))</f>
        <v>0</v>
      </c>
      <c r="T7" t="s">
        <v>753</v>
      </c>
      <c r="U7" t="s">
        <v>688</v>
      </c>
      <c r="V7" t="s">
        <v>1905</v>
      </c>
      <c r="W7" t="s">
        <v>2492</v>
      </c>
      <c r="X7" s="1278"/>
    </row>
    <row r="8" spans="1:26">
      <c r="A8">
        <v>198</v>
      </c>
      <c r="B8" t="s">
        <v>759</v>
      </c>
      <c r="C8">
        <v>1</v>
      </c>
      <c r="D8" t="s">
        <v>18</v>
      </c>
      <c r="E8">
        <v>4</v>
      </c>
      <c r="F8" t="s">
        <v>1911</v>
      </c>
      <c r="G8" t="s">
        <v>3985</v>
      </c>
      <c r="H8" t="s">
        <v>2345</v>
      </c>
      <c r="I8" t="s">
        <v>3986</v>
      </c>
      <c r="J8" t="s">
        <v>2485</v>
      </c>
      <c r="O8" t="str">
        <f>INDEX(Grant[Country],MATCH(0,INDEX(COUNTIF($O$2:O7,Grant[Country]),),0))</f>
        <v>Antigua and Barbuda</v>
      </c>
      <c r="Q8" t="e">
        <f>INDEX(Grant[Currency],MATCH(0,INDEX(COUNTIF($Q$2:Q7,Grant[Currency]),),0))</f>
        <v>#N/A</v>
      </c>
      <c r="R8" t="e">
        <f>INDEX(Grant[Component],MATCH(0,INDEX(COUNTIF($R$2:R7,Grant[Component]),0)))</f>
        <v>#N/A</v>
      </c>
      <c r="T8" t="s">
        <v>759</v>
      </c>
      <c r="U8" t="s">
        <v>1911</v>
      </c>
      <c r="V8" t="s">
        <v>2345</v>
      </c>
      <c r="W8" t="s">
        <v>2485</v>
      </c>
      <c r="X8" s="1278"/>
    </row>
    <row r="9" spans="1:26">
      <c r="A9">
        <v>52</v>
      </c>
      <c r="B9" t="s">
        <v>763</v>
      </c>
      <c r="C9">
        <v>1</v>
      </c>
      <c r="D9" t="s">
        <v>18</v>
      </c>
      <c r="E9">
        <v>1</v>
      </c>
      <c r="F9" t="s">
        <v>690</v>
      </c>
      <c r="G9" t="s">
        <v>3987</v>
      </c>
      <c r="H9" t="s">
        <v>2351</v>
      </c>
      <c r="I9" t="s">
        <v>3988</v>
      </c>
      <c r="J9" t="s">
        <v>2386</v>
      </c>
      <c r="O9" t="str">
        <f>INDEX(Grant[Country],MATCH(0,INDEX(COUNTIF($O$2:O8,Grant[Country]),),0))</f>
        <v>Argentina</v>
      </c>
      <c r="Q9" t="e">
        <f>INDEX(Grant[Currency],MATCH(0,INDEX(COUNTIF($Q$2:Q8,Grant[Currency]),),0))</f>
        <v>#N/A</v>
      </c>
      <c r="T9" t="s">
        <v>763</v>
      </c>
      <c r="U9" t="s">
        <v>690</v>
      </c>
      <c r="V9" t="s">
        <v>2351</v>
      </c>
      <c r="W9" t="s">
        <v>2386</v>
      </c>
      <c r="X9" s="1278"/>
    </row>
    <row r="10" spans="1:26">
      <c r="B10" t="s">
        <v>4187</v>
      </c>
      <c r="O10" t="str">
        <f>INDEX(Grant[Country],MATCH(0,INDEX(COUNTIF($O$2:O9,Grant[Country]),),0))</f>
        <v>Armenia</v>
      </c>
      <c r="Q10" t="e">
        <f>INDEX(Grant[Currency],MATCH(0,INDEX(COUNTIF($Q$2:Q9,Grant[Currency]),),0))</f>
        <v>#N/A</v>
      </c>
      <c r="T10" t="s">
        <v>4187</v>
      </c>
      <c r="U10" t="s">
        <v>4288</v>
      </c>
      <c r="V10" t="s">
        <v>4288</v>
      </c>
      <c r="W10" t="s">
        <v>4288</v>
      </c>
      <c r="X10" s="1278"/>
    </row>
    <row r="11" spans="1:26">
      <c r="A11">
        <v>43</v>
      </c>
      <c r="B11" t="s">
        <v>767</v>
      </c>
      <c r="C11">
        <v>1</v>
      </c>
      <c r="D11" t="s">
        <v>18</v>
      </c>
      <c r="E11">
        <v>1</v>
      </c>
      <c r="F11" t="s">
        <v>690</v>
      </c>
      <c r="G11" t="s">
        <v>3974</v>
      </c>
      <c r="H11" t="s">
        <v>1905</v>
      </c>
      <c r="I11" t="s">
        <v>3975</v>
      </c>
      <c r="J11" t="s">
        <v>2490</v>
      </c>
      <c r="O11" t="str">
        <f>INDEX(Grant[Country],MATCH(0,INDEX(COUNTIF($O$2:O10,Grant[Country]),),0))</f>
        <v>Aruba</v>
      </c>
      <c r="Q11" t="e">
        <f>INDEX(Grant[Currency],MATCH(0,INDEX(COUNTIF($Q$2:Q10,Grant[Currency]),),0))</f>
        <v>#N/A</v>
      </c>
      <c r="T11" t="s">
        <v>767</v>
      </c>
      <c r="U11" t="s">
        <v>690</v>
      </c>
      <c r="V11" t="s">
        <v>1905</v>
      </c>
      <c r="W11" t="s">
        <v>2490</v>
      </c>
      <c r="X11" s="1278"/>
    </row>
    <row r="12" spans="1:26">
      <c r="A12">
        <v>43</v>
      </c>
      <c r="B12" t="s">
        <v>767</v>
      </c>
      <c r="C12">
        <v>1</v>
      </c>
      <c r="D12" t="s">
        <v>18</v>
      </c>
      <c r="E12">
        <v>3</v>
      </c>
      <c r="F12" t="s">
        <v>19</v>
      </c>
      <c r="G12" t="s">
        <v>3684</v>
      </c>
      <c r="H12" t="s">
        <v>2486</v>
      </c>
      <c r="I12" t="s">
        <v>3685</v>
      </c>
      <c r="J12" t="s">
        <v>2489</v>
      </c>
      <c r="O12" t="str">
        <f>INDEX(Grant[Country],MATCH(0,INDEX(COUNTIF($O$2:O11,Grant[Country]),),0))</f>
        <v>Australia</v>
      </c>
      <c r="Q12" t="e">
        <f>INDEX(Grant[Currency],MATCH(0,INDEX(COUNTIF($Q$2:Q11,Grant[Currency]),),0))</f>
        <v>#N/A</v>
      </c>
      <c r="T12" t="s">
        <v>767</v>
      </c>
      <c r="U12" t="s">
        <v>19</v>
      </c>
      <c r="V12" t="s">
        <v>2486</v>
      </c>
      <c r="W12" t="s">
        <v>2489</v>
      </c>
      <c r="X12" s="1278"/>
    </row>
    <row r="13" spans="1:26">
      <c r="A13">
        <v>43</v>
      </c>
      <c r="B13" t="s">
        <v>767</v>
      </c>
      <c r="C13">
        <v>1</v>
      </c>
      <c r="D13" t="s">
        <v>18</v>
      </c>
      <c r="E13">
        <v>3</v>
      </c>
      <c r="F13" t="s">
        <v>19</v>
      </c>
      <c r="G13" t="s">
        <v>3989</v>
      </c>
      <c r="H13" t="s">
        <v>2027</v>
      </c>
      <c r="I13" t="s">
        <v>3990</v>
      </c>
      <c r="J13" t="s">
        <v>2488</v>
      </c>
      <c r="O13" t="str">
        <f>INDEX(Grant[Country],MATCH(0,INDEX(COUNTIF($O$2:O12,Grant[Country]),),0))</f>
        <v>Austria</v>
      </c>
      <c r="Q13" t="e">
        <f>INDEX(Grant[Currency],MATCH(0,INDEX(COUNTIF($Q$2:Q12,Grant[Currency]),),0))</f>
        <v>#N/A</v>
      </c>
      <c r="T13" t="s">
        <v>767</v>
      </c>
      <c r="U13" t="s">
        <v>19</v>
      </c>
      <c r="V13" t="s">
        <v>2027</v>
      </c>
      <c r="W13" t="s">
        <v>2488</v>
      </c>
      <c r="X13" s="1278"/>
    </row>
    <row r="14" spans="1:26">
      <c r="A14">
        <v>43</v>
      </c>
      <c r="B14" t="s">
        <v>767</v>
      </c>
      <c r="C14">
        <v>1</v>
      </c>
      <c r="D14" t="s">
        <v>18</v>
      </c>
      <c r="E14">
        <v>5</v>
      </c>
      <c r="F14" t="s">
        <v>1911</v>
      </c>
      <c r="G14" t="s">
        <v>3974</v>
      </c>
      <c r="H14" t="s">
        <v>1905</v>
      </c>
      <c r="I14" t="s">
        <v>4126</v>
      </c>
      <c r="J14" t="s">
        <v>4127</v>
      </c>
      <c r="O14" t="str">
        <f>INDEX(Grant[Country],MATCH(0,INDEX(COUNTIF($O$2:O13,Grant[Country]),),0))</f>
        <v>Azerbaijan</v>
      </c>
      <c r="Q14" t="e">
        <f>INDEX(Grant[Currency],MATCH(0,INDEX(COUNTIF($Q$2:Q13,Grant[Currency]),),0))</f>
        <v>#N/A</v>
      </c>
      <c r="T14" t="s">
        <v>767</v>
      </c>
      <c r="U14" t="s">
        <v>1911</v>
      </c>
      <c r="V14" t="s">
        <v>1905</v>
      </c>
      <c r="W14" t="s">
        <v>4127</v>
      </c>
      <c r="X14" s="1278"/>
    </row>
    <row r="15" spans="1:26">
      <c r="A15">
        <v>43</v>
      </c>
      <c r="B15" t="s">
        <v>767</v>
      </c>
      <c r="C15">
        <v>1</v>
      </c>
      <c r="D15" t="s">
        <v>18</v>
      </c>
      <c r="E15">
        <v>2</v>
      </c>
      <c r="F15" t="s">
        <v>688</v>
      </c>
      <c r="G15" t="s">
        <v>3684</v>
      </c>
      <c r="H15" t="s">
        <v>2486</v>
      </c>
      <c r="I15" t="s">
        <v>3686</v>
      </c>
      <c r="J15" t="s">
        <v>2491</v>
      </c>
      <c r="O15" t="str">
        <f>INDEX(Grant[Country],MATCH(0,INDEX(COUNTIF($O$2:O14,Grant[Country]),),0))</f>
        <v>Bahamas</v>
      </c>
      <c r="Q15" t="e">
        <f>INDEX(Grant[Currency],MATCH(0,INDEX(COUNTIF($Q$2:Q14,Grant[Currency]),),0))</f>
        <v>#N/A</v>
      </c>
      <c r="T15" t="s">
        <v>767</v>
      </c>
      <c r="U15" t="s">
        <v>688</v>
      </c>
      <c r="V15" t="s">
        <v>2486</v>
      </c>
      <c r="W15" t="s">
        <v>2491</v>
      </c>
      <c r="X15" s="1278"/>
    </row>
    <row r="16" spans="1:26">
      <c r="A16">
        <v>43</v>
      </c>
      <c r="B16" t="s">
        <v>767</v>
      </c>
      <c r="C16">
        <v>1</v>
      </c>
      <c r="D16" t="s">
        <v>18</v>
      </c>
      <c r="E16">
        <v>2</v>
      </c>
      <c r="F16" t="s">
        <v>688</v>
      </c>
      <c r="G16" t="s">
        <v>3684</v>
      </c>
      <c r="H16" t="s">
        <v>2486</v>
      </c>
      <c r="I16" t="s">
        <v>3991</v>
      </c>
      <c r="J16" t="s">
        <v>2487</v>
      </c>
      <c r="O16" t="str">
        <f>INDEX(Grant[Country],MATCH(0,INDEX(COUNTIF($O$2:O15,Grant[Country]),),0))</f>
        <v>Bahrain</v>
      </c>
      <c r="Q16" t="e">
        <f>INDEX(Grant[Currency],MATCH(0,INDEX(COUNTIF($Q$2:Q15,Grant[Currency]),),0))</f>
        <v>#N/A</v>
      </c>
      <c r="T16" t="s">
        <v>767</v>
      </c>
      <c r="U16" t="s">
        <v>688</v>
      </c>
      <c r="V16" t="s">
        <v>2486</v>
      </c>
      <c r="W16" t="s">
        <v>2487</v>
      </c>
      <c r="X16" s="1278"/>
    </row>
    <row r="17" spans="1:24">
      <c r="B17" t="s">
        <v>4188</v>
      </c>
      <c r="O17" t="str">
        <f>INDEX(Grant[Country],MATCH(0,INDEX(COUNTIF($O$2:O16,Grant[Country]),),0))</f>
        <v>Bangladesh</v>
      </c>
      <c r="Q17" t="e">
        <f>INDEX(Grant[Currency],MATCH(0,INDEX(COUNTIF($Q$2:Q16,Grant[Currency]),),0))</f>
        <v>#N/A</v>
      </c>
      <c r="T17" t="s">
        <v>4188</v>
      </c>
      <c r="U17" t="s">
        <v>4288</v>
      </c>
      <c r="V17" t="s">
        <v>4288</v>
      </c>
      <c r="W17" t="s">
        <v>4288</v>
      </c>
      <c r="X17" s="1278"/>
    </row>
    <row r="18" spans="1:24">
      <c r="B18" t="s">
        <v>771</v>
      </c>
      <c r="O18" t="str">
        <f>INDEX(Grant[Country],MATCH(0,INDEX(COUNTIF($O$2:O17,Grant[Country]),),0))</f>
        <v>Barbados</v>
      </c>
      <c r="T18" t="s">
        <v>771</v>
      </c>
      <c r="U18" t="s">
        <v>4288</v>
      </c>
      <c r="V18" t="s">
        <v>4288</v>
      </c>
      <c r="W18" t="s">
        <v>4288</v>
      </c>
      <c r="X18" s="1278"/>
    </row>
    <row r="19" spans="1:24">
      <c r="A19">
        <v>160</v>
      </c>
      <c r="B19" t="s">
        <v>773</v>
      </c>
      <c r="C19">
        <v>1</v>
      </c>
      <c r="D19" t="s">
        <v>18</v>
      </c>
      <c r="E19">
        <v>1</v>
      </c>
      <c r="F19" t="s">
        <v>690</v>
      </c>
      <c r="G19" t="s">
        <v>3945</v>
      </c>
      <c r="H19" t="s">
        <v>2343</v>
      </c>
      <c r="I19" t="s">
        <v>3946</v>
      </c>
      <c r="J19" t="s">
        <v>2483</v>
      </c>
      <c r="O19" t="str">
        <f>INDEX(Grant[Country],MATCH(0,INDEX(COUNTIF($O$2:O18,Grant[Country]),),0))</f>
        <v>Belarus</v>
      </c>
      <c r="T19" t="s">
        <v>773</v>
      </c>
      <c r="U19" t="s">
        <v>690</v>
      </c>
      <c r="V19" t="s">
        <v>2343</v>
      </c>
      <c r="W19" t="s">
        <v>2483</v>
      </c>
      <c r="X19" s="1278"/>
    </row>
    <row r="20" spans="1:24">
      <c r="A20">
        <v>160</v>
      </c>
      <c r="B20" t="s">
        <v>773</v>
      </c>
      <c r="C20">
        <v>1</v>
      </c>
      <c r="D20" t="s">
        <v>18</v>
      </c>
      <c r="E20">
        <v>4</v>
      </c>
      <c r="F20" t="s">
        <v>1911</v>
      </c>
      <c r="G20" t="s">
        <v>3945</v>
      </c>
      <c r="H20" t="s">
        <v>2343</v>
      </c>
      <c r="I20" t="s">
        <v>4111</v>
      </c>
      <c r="J20" t="s">
        <v>2484</v>
      </c>
      <c r="O20" t="str">
        <f>INDEX(Grant[Country],MATCH(0,INDEX(COUNTIF($O$2:O19,Grant[Country]),),0))</f>
        <v>Belgium</v>
      </c>
      <c r="T20" t="s">
        <v>773</v>
      </c>
      <c r="U20" t="s">
        <v>1911</v>
      </c>
      <c r="V20" t="s">
        <v>2343</v>
      </c>
      <c r="W20" t="s">
        <v>2484</v>
      </c>
      <c r="X20" s="1278"/>
    </row>
    <row r="21" spans="1:24">
      <c r="B21" t="s">
        <v>4189</v>
      </c>
      <c r="O21" t="str">
        <f>INDEX(Grant[Country],MATCH(0,INDEX(COUNTIF($O$2:O20,Grant[Country]),),0))</f>
        <v>Belize</v>
      </c>
      <c r="T21" t="s">
        <v>4189</v>
      </c>
      <c r="U21" t="s">
        <v>4288</v>
      </c>
      <c r="V21" t="s">
        <v>4288</v>
      </c>
      <c r="W21" t="s">
        <v>4288</v>
      </c>
      <c r="X21" s="1278"/>
    </row>
    <row r="22" spans="1:24">
      <c r="B22" t="s">
        <v>4190</v>
      </c>
      <c r="O22" t="str">
        <f>INDEX(Grant[Country],MATCH(0,INDEX(COUNTIF($O$2:O21,Grant[Country]),),0))</f>
        <v>Benin</v>
      </c>
      <c r="T22" t="s">
        <v>4190</v>
      </c>
      <c r="U22" t="s">
        <v>4288</v>
      </c>
      <c r="V22" t="s">
        <v>4288</v>
      </c>
      <c r="W22" t="s">
        <v>4288</v>
      </c>
      <c r="X22" s="1278"/>
    </row>
    <row r="23" spans="1:24">
      <c r="B23" t="s">
        <v>4191</v>
      </c>
      <c r="O23" t="str">
        <f>INDEX(Grant[Country],MATCH(0,INDEX(COUNTIF($O$2:O22,Grant[Country]),),0))</f>
        <v>Bhutan</v>
      </c>
      <c r="T23" t="s">
        <v>4191</v>
      </c>
      <c r="U23" t="s">
        <v>4288</v>
      </c>
      <c r="V23" t="s">
        <v>4288</v>
      </c>
      <c r="W23" t="s">
        <v>4288</v>
      </c>
      <c r="X23" s="1278"/>
    </row>
    <row r="24" spans="1:24">
      <c r="A24">
        <v>161</v>
      </c>
      <c r="B24" t="s">
        <v>776</v>
      </c>
      <c r="C24">
        <v>1</v>
      </c>
      <c r="D24" t="s">
        <v>18</v>
      </c>
      <c r="E24">
        <v>1</v>
      </c>
      <c r="F24" t="s">
        <v>690</v>
      </c>
      <c r="G24" t="s">
        <v>3947</v>
      </c>
      <c r="H24" t="s">
        <v>2355</v>
      </c>
      <c r="I24" t="s">
        <v>3948</v>
      </c>
      <c r="J24" t="s">
        <v>2482</v>
      </c>
      <c r="O24" t="str">
        <f>INDEX(Grant[Country],MATCH(0,INDEX(COUNTIF($O$2:O23,Grant[Country]),),0))</f>
        <v>Bolivia (Plurinational State)</v>
      </c>
      <c r="T24" t="s">
        <v>776</v>
      </c>
      <c r="U24" t="s">
        <v>690</v>
      </c>
      <c r="V24" t="s">
        <v>2355</v>
      </c>
      <c r="W24" t="s">
        <v>2482</v>
      </c>
      <c r="X24" s="1278"/>
    </row>
    <row r="25" spans="1:24">
      <c r="A25">
        <v>161</v>
      </c>
      <c r="B25" t="s">
        <v>776</v>
      </c>
      <c r="C25">
        <v>1</v>
      </c>
      <c r="D25" t="s">
        <v>18</v>
      </c>
      <c r="E25">
        <v>4</v>
      </c>
      <c r="F25" t="s">
        <v>1911</v>
      </c>
      <c r="G25" t="s">
        <v>3947</v>
      </c>
      <c r="H25" t="s">
        <v>2355</v>
      </c>
      <c r="I25" t="s">
        <v>4134</v>
      </c>
      <c r="J25" t="s">
        <v>4135</v>
      </c>
      <c r="O25" t="str">
        <f>INDEX(Grant[Country],MATCH(0,INDEX(COUNTIF($O$2:O24,Grant[Country]),),0))</f>
        <v>Bosnia and Herzegovina</v>
      </c>
      <c r="T25" t="s">
        <v>776</v>
      </c>
      <c r="U25" t="s">
        <v>1911</v>
      </c>
      <c r="V25" t="s">
        <v>2355</v>
      </c>
      <c r="W25" t="s">
        <v>4135</v>
      </c>
      <c r="X25" s="1278"/>
    </row>
    <row r="26" spans="1:24">
      <c r="A26">
        <v>161</v>
      </c>
      <c r="B26" t="s">
        <v>776</v>
      </c>
      <c r="C26">
        <v>1</v>
      </c>
      <c r="D26" t="s">
        <v>18</v>
      </c>
      <c r="E26">
        <v>2</v>
      </c>
      <c r="F26" t="s">
        <v>688</v>
      </c>
      <c r="G26" t="s">
        <v>3947</v>
      </c>
      <c r="H26" t="s">
        <v>2355</v>
      </c>
      <c r="I26" t="s">
        <v>3949</v>
      </c>
      <c r="J26" t="s">
        <v>2481</v>
      </c>
      <c r="O26" t="str">
        <f>INDEX(Grant[Country],MATCH(0,INDEX(COUNTIF($O$2:O25,Grant[Country]),),0))</f>
        <v>Botswana</v>
      </c>
      <c r="T26" t="s">
        <v>776</v>
      </c>
      <c r="U26" t="s">
        <v>688</v>
      </c>
      <c r="V26" t="s">
        <v>2355</v>
      </c>
      <c r="W26" t="s">
        <v>2481</v>
      </c>
      <c r="X26" s="1278"/>
    </row>
    <row r="27" spans="1:24">
      <c r="B27" t="s">
        <v>4192</v>
      </c>
      <c r="O27" t="str">
        <f>INDEX(Grant[Country],MATCH(0,INDEX(COUNTIF($O$2:O26,Grant[Country]),),0))</f>
        <v>Brazil</v>
      </c>
      <c r="T27" t="s">
        <v>4192</v>
      </c>
      <c r="U27" t="s">
        <v>4288</v>
      </c>
      <c r="V27" t="s">
        <v>4288</v>
      </c>
      <c r="W27" t="s">
        <v>4288</v>
      </c>
      <c r="X27" s="1278"/>
    </row>
    <row r="28" spans="1:24">
      <c r="B28" t="s">
        <v>4193</v>
      </c>
      <c r="O28" t="str">
        <f>INDEX(Grant[Country],MATCH(0,INDEX(COUNTIF($O$2:O27,Grant[Country]),),0))</f>
        <v>Brunei Darussalam</v>
      </c>
      <c r="T28" t="s">
        <v>4193</v>
      </c>
      <c r="U28" t="s">
        <v>4288</v>
      </c>
      <c r="V28" t="s">
        <v>4288</v>
      </c>
      <c r="W28" t="s">
        <v>4288</v>
      </c>
      <c r="X28" s="1278"/>
    </row>
    <row r="29" spans="1:24">
      <c r="A29">
        <v>152</v>
      </c>
      <c r="B29" t="s">
        <v>780</v>
      </c>
      <c r="C29">
        <v>1</v>
      </c>
      <c r="D29" t="s">
        <v>18</v>
      </c>
      <c r="E29">
        <v>1</v>
      </c>
      <c r="F29" t="s">
        <v>690</v>
      </c>
      <c r="G29" t="s">
        <v>3600</v>
      </c>
      <c r="H29" t="s">
        <v>2371</v>
      </c>
      <c r="I29" t="s">
        <v>3607</v>
      </c>
      <c r="J29" t="s">
        <v>2461</v>
      </c>
      <c r="O29" t="str">
        <f>INDEX(Grant[Country],MATCH(0,INDEX(COUNTIF($O$2:O28,Grant[Country]),),0))</f>
        <v>Bulgaria</v>
      </c>
      <c r="T29" t="s">
        <v>780</v>
      </c>
      <c r="U29" t="s">
        <v>690</v>
      </c>
      <c r="V29" t="s">
        <v>2371</v>
      </c>
      <c r="W29" t="s">
        <v>2461</v>
      </c>
      <c r="X29" s="1278"/>
    </row>
    <row r="30" spans="1:24">
      <c r="A30">
        <v>152</v>
      </c>
      <c r="B30" t="s">
        <v>780</v>
      </c>
      <c r="C30">
        <v>1</v>
      </c>
      <c r="D30" t="s">
        <v>18</v>
      </c>
      <c r="E30">
        <v>1</v>
      </c>
      <c r="F30" t="s">
        <v>690</v>
      </c>
      <c r="G30" t="s">
        <v>3604</v>
      </c>
      <c r="H30" t="s">
        <v>3605</v>
      </c>
      <c r="I30" t="s">
        <v>3606</v>
      </c>
      <c r="J30" t="s">
        <v>2462</v>
      </c>
      <c r="O30" t="str">
        <f>INDEX(Grant[Country],MATCH(0,INDEX(COUNTIF($O$2:O29,Grant[Country]),),0))</f>
        <v>Burkina Faso</v>
      </c>
      <c r="T30" t="s">
        <v>780</v>
      </c>
      <c r="U30" t="s">
        <v>690</v>
      </c>
      <c r="V30" t="s">
        <v>3605</v>
      </c>
      <c r="W30" t="s">
        <v>2462</v>
      </c>
      <c r="X30" s="1278"/>
    </row>
    <row r="31" spans="1:24">
      <c r="A31">
        <v>152</v>
      </c>
      <c r="B31" t="s">
        <v>780</v>
      </c>
      <c r="C31">
        <v>1</v>
      </c>
      <c r="D31" t="s">
        <v>18</v>
      </c>
      <c r="E31">
        <v>1</v>
      </c>
      <c r="F31" t="s">
        <v>690</v>
      </c>
      <c r="G31" t="s">
        <v>3576</v>
      </c>
      <c r="H31" t="s">
        <v>1965</v>
      </c>
      <c r="I31" t="s">
        <v>3608</v>
      </c>
      <c r="J31" t="s">
        <v>2460</v>
      </c>
      <c r="O31" t="str">
        <f>INDEX(Grant[Country],MATCH(0,INDEX(COUNTIF($O$2:O30,Grant[Country]),),0))</f>
        <v>Burundi</v>
      </c>
      <c r="T31" t="s">
        <v>780</v>
      </c>
      <c r="U31" t="s">
        <v>690</v>
      </c>
      <c r="V31" t="s">
        <v>1965</v>
      </c>
      <c r="W31" t="s">
        <v>2460</v>
      </c>
      <c r="X31" s="1278"/>
    </row>
    <row r="32" spans="1:24">
      <c r="A32">
        <v>152</v>
      </c>
      <c r="B32" t="s">
        <v>780</v>
      </c>
      <c r="C32">
        <v>1</v>
      </c>
      <c r="D32" t="s">
        <v>18</v>
      </c>
      <c r="E32">
        <v>3</v>
      </c>
      <c r="F32" t="s">
        <v>19</v>
      </c>
      <c r="G32" t="s">
        <v>3598</v>
      </c>
      <c r="H32" t="s">
        <v>2456</v>
      </c>
      <c r="I32" t="s">
        <v>3599</v>
      </c>
      <c r="J32" t="s">
        <v>2459</v>
      </c>
      <c r="O32" t="str">
        <f>INDEX(Grant[Country],MATCH(0,INDEX(COUNTIF($O$2:O31,Grant[Country]),),0))</f>
        <v>Cabo Verde</v>
      </c>
      <c r="T32" t="s">
        <v>780</v>
      </c>
      <c r="U32" t="s">
        <v>19</v>
      </c>
      <c r="V32" t="s">
        <v>2456</v>
      </c>
      <c r="W32" t="s">
        <v>2459</v>
      </c>
      <c r="X32" s="1278"/>
    </row>
    <row r="33" spans="1:24">
      <c r="A33">
        <v>152</v>
      </c>
      <c r="B33" t="s">
        <v>780</v>
      </c>
      <c r="C33">
        <v>1</v>
      </c>
      <c r="D33" t="s">
        <v>18</v>
      </c>
      <c r="E33">
        <v>3</v>
      </c>
      <c r="F33" t="s">
        <v>19</v>
      </c>
      <c r="G33" t="s">
        <v>3600</v>
      </c>
      <c r="H33" t="s">
        <v>2371</v>
      </c>
      <c r="I33" t="s">
        <v>3601</v>
      </c>
      <c r="J33" t="s">
        <v>2458</v>
      </c>
      <c r="O33" t="str">
        <f>INDEX(Grant[Country],MATCH(0,INDEX(COUNTIF($O$2:O32,Grant[Country]),),0))</f>
        <v>Cambodia</v>
      </c>
      <c r="T33" t="s">
        <v>780</v>
      </c>
      <c r="U33" t="s">
        <v>19</v>
      </c>
      <c r="V33" t="s">
        <v>2371</v>
      </c>
      <c r="W33" t="s">
        <v>2458</v>
      </c>
      <c r="X33" s="1278"/>
    </row>
    <row r="34" spans="1:24">
      <c r="A34">
        <v>152</v>
      </c>
      <c r="B34" t="s">
        <v>780</v>
      </c>
      <c r="C34">
        <v>1</v>
      </c>
      <c r="D34" t="s">
        <v>18</v>
      </c>
      <c r="E34">
        <v>2</v>
      </c>
      <c r="F34" t="s">
        <v>688</v>
      </c>
      <c r="G34" t="s">
        <v>3598</v>
      </c>
      <c r="H34" t="s">
        <v>2456</v>
      </c>
      <c r="I34" t="s">
        <v>3603</v>
      </c>
      <c r="J34" t="s">
        <v>2457</v>
      </c>
      <c r="O34" t="str">
        <f>INDEX(Grant[Country],MATCH(0,INDEX(COUNTIF($O$2:O33,Grant[Country]),),0))</f>
        <v>Cameroon</v>
      </c>
      <c r="T34" t="s">
        <v>780</v>
      </c>
      <c r="U34" t="s">
        <v>688</v>
      </c>
      <c r="V34" t="s">
        <v>2456</v>
      </c>
      <c r="W34" t="s">
        <v>2457</v>
      </c>
      <c r="X34" s="1278"/>
    </row>
    <row r="35" spans="1:24">
      <c r="A35">
        <v>152</v>
      </c>
      <c r="B35" t="s">
        <v>780</v>
      </c>
      <c r="C35">
        <v>1</v>
      </c>
      <c r="D35" t="s">
        <v>18</v>
      </c>
      <c r="E35">
        <v>2</v>
      </c>
      <c r="F35" t="s">
        <v>688</v>
      </c>
      <c r="G35" t="s">
        <v>3600</v>
      </c>
      <c r="H35" t="s">
        <v>2371</v>
      </c>
      <c r="I35" t="s">
        <v>3602</v>
      </c>
      <c r="J35" t="s">
        <v>2455</v>
      </c>
      <c r="O35" t="str">
        <f>INDEX(Grant[Country],MATCH(0,INDEX(COUNTIF($O$2:O34,Grant[Country]),),0))</f>
        <v>Canada</v>
      </c>
      <c r="T35" t="s">
        <v>780</v>
      </c>
      <c r="U35" t="s">
        <v>688</v>
      </c>
      <c r="V35" t="s">
        <v>2371</v>
      </c>
      <c r="W35" t="s">
        <v>2455</v>
      </c>
      <c r="X35" s="1278"/>
    </row>
    <row r="36" spans="1:24">
      <c r="B36" t="s">
        <v>4194</v>
      </c>
      <c r="O36" t="str">
        <f>INDEX(Grant[Country],MATCH(0,INDEX(COUNTIF($O$2:O35,Grant[Country]),),0))</f>
        <v>Central African Republic</v>
      </c>
      <c r="T36" t="s">
        <v>4194</v>
      </c>
      <c r="U36" t="s">
        <v>4288</v>
      </c>
      <c r="V36" t="s">
        <v>4288</v>
      </c>
      <c r="W36" t="s">
        <v>4288</v>
      </c>
      <c r="X36" s="1278"/>
    </row>
    <row r="37" spans="1:24">
      <c r="A37">
        <v>178</v>
      </c>
      <c r="B37" t="s">
        <v>782</v>
      </c>
      <c r="C37">
        <v>1</v>
      </c>
      <c r="D37" t="s">
        <v>18</v>
      </c>
      <c r="E37">
        <v>4</v>
      </c>
      <c r="F37" t="s">
        <v>1911</v>
      </c>
      <c r="G37" t="s">
        <v>3955</v>
      </c>
      <c r="H37" t="s">
        <v>2341</v>
      </c>
      <c r="I37" t="s">
        <v>4112</v>
      </c>
      <c r="J37" t="s">
        <v>2454</v>
      </c>
      <c r="O37" t="str">
        <f>INDEX(Grant[Country],MATCH(0,INDEX(COUNTIF($O$2:O36,Grant[Country]),),0))</f>
        <v>Chad</v>
      </c>
      <c r="T37" t="s">
        <v>782</v>
      </c>
      <c r="U37" t="s">
        <v>1911</v>
      </c>
      <c r="V37" t="s">
        <v>2341</v>
      </c>
      <c r="W37" t="s">
        <v>2454</v>
      </c>
      <c r="X37" s="1278"/>
    </row>
    <row r="38" spans="1:24">
      <c r="A38">
        <v>178</v>
      </c>
      <c r="B38" t="s">
        <v>782</v>
      </c>
      <c r="C38">
        <v>1</v>
      </c>
      <c r="D38" t="s">
        <v>18</v>
      </c>
      <c r="E38">
        <v>2</v>
      </c>
      <c r="F38" t="s">
        <v>688</v>
      </c>
      <c r="G38" t="s">
        <v>3955</v>
      </c>
      <c r="H38" t="s">
        <v>2341</v>
      </c>
      <c r="I38" t="s">
        <v>3956</v>
      </c>
      <c r="J38" t="s">
        <v>2453</v>
      </c>
      <c r="O38" t="str">
        <f>INDEX(Grant[Country],MATCH(0,INDEX(COUNTIF($O$2:O37,Grant[Country]),),0))</f>
        <v>Chile</v>
      </c>
      <c r="T38" t="s">
        <v>782</v>
      </c>
      <c r="U38" t="s">
        <v>688</v>
      </c>
      <c r="V38" t="s">
        <v>2341</v>
      </c>
      <c r="W38" t="s">
        <v>2453</v>
      </c>
      <c r="X38" s="1278"/>
    </row>
    <row r="39" spans="1:24">
      <c r="B39" t="s">
        <v>4195</v>
      </c>
      <c r="O39" t="str">
        <f>INDEX(Grant[Country],MATCH(0,INDEX(COUNTIF($O$2:O38,Grant[Country]),),0))</f>
        <v>China</v>
      </c>
      <c r="T39" t="s">
        <v>4195</v>
      </c>
      <c r="U39" t="s">
        <v>4288</v>
      </c>
      <c r="V39" t="s">
        <v>4288</v>
      </c>
      <c r="W39" t="s">
        <v>4288</v>
      </c>
      <c r="X39" s="1278"/>
    </row>
    <row r="40" spans="1:24">
      <c r="A40">
        <v>80</v>
      </c>
      <c r="B40" t="s">
        <v>784</v>
      </c>
      <c r="C40">
        <v>1</v>
      </c>
      <c r="D40" t="s">
        <v>18</v>
      </c>
      <c r="E40">
        <v>4</v>
      </c>
      <c r="F40" t="s">
        <v>1911</v>
      </c>
      <c r="G40" t="s">
        <v>3834</v>
      </c>
      <c r="H40" t="s">
        <v>1905</v>
      </c>
      <c r="I40" t="s">
        <v>3835</v>
      </c>
      <c r="J40" t="s">
        <v>2452</v>
      </c>
      <c r="O40" t="str">
        <f>INDEX(Grant[Country],MATCH(0,INDEX(COUNTIF($O$2:O39,Grant[Country]),),0))</f>
        <v>Colombia</v>
      </c>
      <c r="T40" t="s">
        <v>784</v>
      </c>
      <c r="U40" t="s">
        <v>1911</v>
      </c>
      <c r="V40" t="s">
        <v>1905</v>
      </c>
      <c r="W40" t="s">
        <v>2452</v>
      </c>
      <c r="X40" s="1278"/>
    </row>
    <row r="41" spans="1:24">
      <c r="A41">
        <v>64</v>
      </c>
      <c r="B41" t="s">
        <v>786</v>
      </c>
      <c r="C41">
        <v>2</v>
      </c>
      <c r="D41" t="s">
        <v>53</v>
      </c>
      <c r="E41">
        <v>1</v>
      </c>
      <c r="F41" t="s">
        <v>690</v>
      </c>
      <c r="G41" t="s">
        <v>3754</v>
      </c>
      <c r="H41" t="s">
        <v>1992</v>
      </c>
      <c r="I41" t="s">
        <v>3755</v>
      </c>
      <c r="J41" t="s">
        <v>2473</v>
      </c>
      <c r="O41" t="str">
        <f>INDEX(Grant[Country],MATCH(0,INDEX(COUNTIF($O$2:O40,Grant[Country]),),0))</f>
        <v>Comoros</v>
      </c>
      <c r="T41" t="s">
        <v>786</v>
      </c>
      <c r="U41" t="s">
        <v>690</v>
      </c>
      <c r="V41" t="s">
        <v>1992</v>
      </c>
      <c r="W41" t="s">
        <v>2473</v>
      </c>
      <c r="X41" s="1278"/>
    </row>
    <row r="42" spans="1:24">
      <c r="A42">
        <v>64</v>
      </c>
      <c r="B42" t="s">
        <v>786</v>
      </c>
      <c r="C42">
        <v>2</v>
      </c>
      <c r="D42" t="s">
        <v>53</v>
      </c>
      <c r="E42">
        <v>1</v>
      </c>
      <c r="F42" t="s">
        <v>690</v>
      </c>
      <c r="G42" t="s">
        <v>3749</v>
      </c>
      <c r="H42" t="s">
        <v>3750</v>
      </c>
      <c r="I42" t="s">
        <v>3751</v>
      </c>
      <c r="J42" t="s">
        <v>2472</v>
      </c>
      <c r="O42" t="str">
        <f>INDEX(Grant[Country],MATCH(0,INDEX(COUNTIF($O$2:O41,Grant[Country]),),0))</f>
        <v>Congo</v>
      </c>
      <c r="T42" t="s">
        <v>786</v>
      </c>
      <c r="U42" t="s">
        <v>690</v>
      </c>
      <c r="V42" t="s">
        <v>3750</v>
      </c>
      <c r="W42" t="s">
        <v>2472</v>
      </c>
      <c r="X42" s="1278"/>
    </row>
    <row r="43" spans="1:24">
      <c r="A43">
        <v>64</v>
      </c>
      <c r="B43" t="s">
        <v>786</v>
      </c>
      <c r="C43">
        <v>2</v>
      </c>
      <c r="D43" t="s">
        <v>53</v>
      </c>
      <c r="E43">
        <v>3</v>
      </c>
      <c r="F43" t="s">
        <v>19</v>
      </c>
      <c r="G43" t="s">
        <v>3758</v>
      </c>
      <c r="H43" t="s">
        <v>2368</v>
      </c>
      <c r="I43" t="s">
        <v>3759</v>
      </c>
      <c r="J43" t="s">
        <v>2471</v>
      </c>
      <c r="O43" t="str">
        <f>INDEX(Grant[Country],MATCH(0,INDEX(COUNTIF($O$2:O42,Grant[Country]),),0))</f>
        <v>Congo (Democratic Republic)</v>
      </c>
      <c r="T43" t="s">
        <v>786</v>
      </c>
      <c r="U43" t="s">
        <v>19</v>
      </c>
      <c r="V43" t="s">
        <v>2368</v>
      </c>
      <c r="W43" t="s">
        <v>2471</v>
      </c>
      <c r="X43" s="1278"/>
    </row>
    <row r="44" spans="1:24">
      <c r="A44">
        <v>64</v>
      </c>
      <c r="B44" t="s">
        <v>786</v>
      </c>
      <c r="C44">
        <v>2</v>
      </c>
      <c r="D44" t="s">
        <v>53</v>
      </c>
      <c r="E44">
        <v>6</v>
      </c>
      <c r="F44" t="s">
        <v>1911</v>
      </c>
      <c r="G44" t="s">
        <v>3477</v>
      </c>
      <c r="H44" t="s">
        <v>2353</v>
      </c>
      <c r="I44" t="s">
        <v>3478</v>
      </c>
      <c r="J44" t="s">
        <v>2470</v>
      </c>
      <c r="O44" t="str">
        <f>INDEX(Grant[Country],MATCH(0,INDEX(COUNTIF($O$2:O43,Grant[Country]),),0))</f>
        <v>Cook Islands</v>
      </c>
      <c r="T44" t="s">
        <v>786</v>
      </c>
      <c r="U44" t="s">
        <v>1911</v>
      </c>
      <c r="V44" t="s">
        <v>2353</v>
      </c>
      <c r="W44" t="s">
        <v>2470</v>
      </c>
      <c r="X44" s="1278"/>
    </row>
    <row r="45" spans="1:24">
      <c r="A45">
        <v>64</v>
      </c>
      <c r="B45" t="s">
        <v>786</v>
      </c>
      <c r="C45">
        <v>2</v>
      </c>
      <c r="D45" t="s">
        <v>53</v>
      </c>
      <c r="E45">
        <v>6</v>
      </c>
      <c r="F45" t="s">
        <v>1911</v>
      </c>
      <c r="G45" t="s">
        <v>3756</v>
      </c>
      <c r="H45" t="s">
        <v>2468</v>
      </c>
      <c r="I45" t="s">
        <v>3757</v>
      </c>
      <c r="J45" t="s">
        <v>2469</v>
      </c>
      <c r="O45" t="str">
        <f>INDEX(Grant[Country],MATCH(0,INDEX(COUNTIF($O$2:O44,Grant[Country]),),0))</f>
        <v>Costa Rica</v>
      </c>
      <c r="T45" t="s">
        <v>786</v>
      </c>
      <c r="U45" t="s">
        <v>1911</v>
      </c>
      <c r="V45" t="s">
        <v>2468</v>
      </c>
      <c r="W45" t="s">
        <v>2469</v>
      </c>
      <c r="X45" s="1278"/>
    </row>
    <row r="46" spans="1:24">
      <c r="A46">
        <v>64</v>
      </c>
      <c r="B46" t="s">
        <v>786</v>
      </c>
      <c r="C46">
        <v>2</v>
      </c>
      <c r="D46" t="s">
        <v>53</v>
      </c>
      <c r="E46">
        <v>2</v>
      </c>
      <c r="F46" t="s">
        <v>688</v>
      </c>
      <c r="G46" t="s">
        <v>3752</v>
      </c>
      <c r="H46" t="s">
        <v>2075</v>
      </c>
      <c r="I46" t="s">
        <v>3753</v>
      </c>
      <c r="J46" t="s">
        <v>2467</v>
      </c>
      <c r="O46" t="str">
        <f>INDEX(Grant[Country],MATCH(0,INDEX(COUNTIF($O$2:O45,Grant[Country]),),0))</f>
        <v>Côte d'Ivoire</v>
      </c>
      <c r="T46" t="s">
        <v>786</v>
      </c>
      <c r="U46" t="s">
        <v>688</v>
      </c>
      <c r="V46" t="s">
        <v>2075</v>
      </c>
      <c r="W46" t="s">
        <v>2467</v>
      </c>
      <c r="X46" s="1278"/>
    </row>
    <row r="47" spans="1:24">
      <c r="A47">
        <v>153</v>
      </c>
      <c r="B47" t="s">
        <v>788</v>
      </c>
      <c r="C47">
        <v>1</v>
      </c>
      <c r="D47" t="s">
        <v>18</v>
      </c>
      <c r="E47">
        <v>1</v>
      </c>
      <c r="F47" t="s">
        <v>690</v>
      </c>
      <c r="G47" t="s">
        <v>3911</v>
      </c>
      <c r="H47" t="s">
        <v>2350</v>
      </c>
      <c r="I47" t="s">
        <v>3912</v>
      </c>
      <c r="J47" t="s">
        <v>2443</v>
      </c>
      <c r="O47" t="str">
        <f>INDEX(Grant[Country],MATCH(0,INDEX(COUNTIF($O$2:O46,Grant[Country]),),0))</f>
        <v>Croatia</v>
      </c>
      <c r="T47" t="s">
        <v>788</v>
      </c>
      <c r="U47" t="s">
        <v>690</v>
      </c>
      <c r="V47" t="s">
        <v>2350</v>
      </c>
      <c r="W47" t="s">
        <v>2443</v>
      </c>
      <c r="X47" s="1278"/>
    </row>
    <row r="48" spans="1:24">
      <c r="A48">
        <v>153</v>
      </c>
      <c r="B48" t="s">
        <v>788</v>
      </c>
      <c r="C48">
        <v>1</v>
      </c>
      <c r="D48" t="s">
        <v>18</v>
      </c>
      <c r="E48">
        <v>3</v>
      </c>
      <c r="F48" t="s">
        <v>19</v>
      </c>
      <c r="G48" t="s">
        <v>3911</v>
      </c>
      <c r="H48" t="s">
        <v>2350</v>
      </c>
      <c r="I48" t="s">
        <v>3913</v>
      </c>
      <c r="J48" t="s">
        <v>2442</v>
      </c>
      <c r="O48" t="str">
        <f>INDEX(Grant[Country],MATCH(0,INDEX(COUNTIF($O$2:O47,Grant[Country]),),0))</f>
        <v>Cuba</v>
      </c>
      <c r="T48" t="s">
        <v>788</v>
      </c>
      <c r="U48" t="s">
        <v>19</v>
      </c>
      <c r="V48" t="s">
        <v>2350</v>
      </c>
      <c r="W48" t="s">
        <v>2442</v>
      </c>
      <c r="X48" s="1278"/>
    </row>
    <row r="49" spans="1:24">
      <c r="A49">
        <v>153</v>
      </c>
      <c r="B49" t="s">
        <v>788</v>
      </c>
      <c r="C49">
        <v>1</v>
      </c>
      <c r="D49" t="s">
        <v>18</v>
      </c>
      <c r="E49">
        <v>2</v>
      </c>
      <c r="F49" t="s">
        <v>688</v>
      </c>
      <c r="G49" t="s">
        <v>3911</v>
      </c>
      <c r="H49" t="s">
        <v>2350</v>
      </c>
      <c r="I49" t="s">
        <v>3914</v>
      </c>
      <c r="J49" t="s">
        <v>2441</v>
      </c>
      <c r="O49" t="str">
        <f>INDEX(Grant[Country],MATCH(0,INDEX(COUNTIF($O$2:O48,Grant[Country]),),0))</f>
        <v>Curacao</v>
      </c>
      <c r="T49" t="s">
        <v>788</v>
      </c>
      <c r="U49" t="s">
        <v>688</v>
      </c>
      <c r="V49" t="s">
        <v>2350</v>
      </c>
      <c r="W49" t="s">
        <v>2441</v>
      </c>
      <c r="X49" s="1278"/>
    </row>
    <row r="50" spans="1:24">
      <c r="A50">
        <v>93</v>
      </c>
      <c r="B50" t="s">
        <v>791</v>
      </c>
      <c r="C50">
        <v>1</v>
      </c>
      <c r="D50" t="s">
        <v>18</v>
      </c>
      <c r="E50">
        <v>1</v>
      </c>
      <c r="F50" t="s">
        <v>690</v>
      </c>
      <c r="G50" t="s">
        <v>3973</v>
      </c>
      <c r="H50" t="s">
        <v>2068</v>
      </c>
      <c r="I50" t="s">
        <v>3992</v>
      </c>
      <c r="J50" t="s">
        <v>2451</v>
      </c>
      <c r="O50" t="str">
        <f>INDEX(Grant[Country],MATCH(0,INDEX(COUNTIF($O$2:O49,Grant[Country]),),0))</f>
        <v>Cyprus</v>
      </c>
      <c r="T50" t="s">
        <v>791</v>
      </c>
      <c r="U50" t="s">
        <v>690</v>
      </c>
      <c r="V50" t="s">
        <v>2068</v>
      </c>
      <c r="W50" t="s">
        <v>2451</v>
      </c>
      <c r="X50" s="1278"/>
    </row>
    <row r="51" spans="1:24">
      <c r="A51">
        <v>93</v>
      </c>
      <c r="B51" t="s">
        <v>791</v>
      </c>
      <c r="C51">
        <v>1</v>
      </c>
      <c r="D51" t="s">
        <v>18</v>
      </c>
      <c r="E51">
        <v>3</v>
      </c>
      <c r="F51" t="s">
        <v>19</v>
      </c>
      <c r="G51" t="s">
        <v>3851</v>
      </c>
      <c r="H51" t="s">
        <v>1905</v>
      </c>
      <c r="I51" t="s">
        <v>3852</v>
      </c>
      <c r="J51" t="s">
        <v>2450</v>
      </c>
      <c r="O51" t="str">
        <f>INDEX(Grant[Country],MATCH(0,INDEX(COUNTIF($O$2:O50,Grant[Country]),),0))</f>
        <v>Czechia</v>
      </c>
      <c r="T51" t="s">
        <v>791</v>
      </c>
      <c r="U51" t="s">
        <v>19</v>
      </c>
      <c r="V51" t="s">
        <v>1905</v>
      </c>
      <c r="W51" t="s">
        <v>2450</v>
      </c>
      <c r="X51" s="1278"/>
    </row>
    <row r="52" spans="1:24">
      <c r="A52">
        <v>93</v>
      </c>
      <c r="B52" t="s">
        <v>791</v>
      </c>
      <c r="C52">
        <v>1</v>
      </c>
      <c r="D52" t="s">
        <v>18</v>
      </c>
      <c r="E52">
        <v>2</v>
      </c>
      <c r="F52" t="s">
        <v>688</v>
      </c>
      <c r="G52" t="s">
        <v>3851</v>
      </c>
      <c r="H52" t="s">
        <v>1905</v>
      </c>
      <c r="I52" t="s">
        <v>3993</v>
      </c>
      <c r="J52" t="s">
        <v>2449</v>
      </c>
      <c r="O52" t="str">
        <f>INDEX(Grant[Country],MATCH(0,INDEX(COUNTIF($O$2:O51,Grant[Country]),),0))</f>
        <v>Denmark</v>
      </c>
      <c r="T52" t="s">
        <v>791</v>
      </c>
      <c r="U52" t="s">
        <v>688</v>
      </c>
      <c r="V52" t="s">
        <v>1905</v>
      </c>
      <c r="W52" t="s">
        <v>2449</v>
      </c>
      <c r="X52" s="1278"/>
    </row>
    <row r="53" spans="1:24">
      <c r="B53" t="s">
        <v>794</v>
      </c>
      <c r="O53" t="str">
        <f>INDEX(Grant[Country],MATCH(0,INDEX(COUNTIF($O$2:O52,Grant[Country]),),0))</f>
        <v>Djibouti</v>
      </c>
      <c r="T53" t="s">
        <v>794</v>
      </c>
      <c r="U53" t="s">
        <v>4288</v>
      </c>
      <c r="V53" t="s">
        <v>4288</v>
      </c>
      <c r="W53" t="s">
        <v>4288</v>
      </c>
      <c r="X53" s="1278"/>
    </row>
    <row r="54" spans="1:24">
      <c r="A54">
        <v>59</v>
      </c>
      <c r="B54" t="s">
        <v>797</v>
      </c>
      <c r="C54">
        <v>1</v>
      </c>
      <c r="D54" t="s">
        <v>18</v>
      </c>
      <c r="E54">
        <v>3</v>
      </c>
      <c r="F54" t="s">
        <v>19</v>
      </c>
      <c r="G54" t="s">
        <v>3726</v>
      </c>
      <c r="H54" t="s">
        <v>2363</v>
      </c>
      <c r="I54" t="s">
        <v>3730</v>
      </c>
      <c r="J54" t="s">
        <v>2436</v>
      </c>
      <c r="O54" t="str">
        <f>INDEX(Grant[Country],MATCH(0,INDEX(COUNTIF($O$2:O53,Grant[Country]),),0))</f>
        <v>Dominica</v>
      </c>
      <c r="T54" t="s">
        <v>797</v>
      </c>
      <c r="U54" t="s">
        <v>19</v>
      </c>
      <c r="V54" t="s">
        <v>2363</v>
      </c>
      <c r="W54" t="s">
        <v>2436</v>
      </c>
      <c r="X54" s="1278"/>
    </row>
    <row r="55" spans="1:24">
      <c r="A55">
        <v>59</v>
      </c>
      <c r="B55" t="s">
        <v>797</v>
      </c>
      <c r="C55">
        <v>1</v>
      </c>
      <c r="D55" t="s">
        <v>18</v>
      </c>
      <c r="E55">
        <v>4</v>
      </c>
      <c r="F55" t="s">
        <v>1911</v>
      </c>
      <c r="G55" t="s">
        <v>3728</v>
      </c>
      <c r="H55" t="s">
        <v>2347</v>
      </c>
      <c r="I55" t="s">
        <v>3729</v>
      </c>
      <c r="J55" t="s">
        <v>2438</v>
      </c>
      <c r="O55" t="str">
        <f>INDEX(Grant[Country],MATCH(0,INDEX(COUNTIF($O$2:O54,Grant[Country]),),0))</f>
        <v>Dominican Republic</v>
      </c>
      <c r="T55" t="s">
        <v>797</v>
      </c>
      <c r="U55" t="s">
        <v>1911</v>
      </c>
      <c r="V55" t="s">
        <v>2347</v>
      </c>
      <c r="W55" t="s">
        <v>2438</v>
      </c>
      <c r="X55" s="1278"/>
    </row>
    <row r="56" spans="1:24">
      <c r="A56">
        <v>59</v>
      </c>
      <c r="B56" t="s">
        <v>797</v>
      </c>
      <c r="C56">
        <v>1</v>
      </c>
      <c r="D56" t="s">
        <v>18</v>
      </c>
      <c r="E56">
        <v>4</v>
      </c>
      <c r="F56" t="s">
        <v>1911</v>
      </c>
      <c r="G56" t="s">
        <v>3726</v>
      </c>
      <c r="H56" t="s">
        <v>2363</v>
      </c>
      <c r="I56" t="s">
        <v>3727</v>
      </c>
      <c r="J56" t="s">
        <v>2437</v>
      </c>
      <c r="O56" t="str">
        <f>INDEX(Grant[Country],MATCH(0,INDEX(COUNTIF($O$2:O55,Grant[Country]),),0))</f>
        <v>Ecuador</v>
      </c>
      <c r="T56" t="s">
        <v>797</v>
      </c>
      <c r="U56" t="s">
        <v>1911</v>
      </c>
      <c r="V56" t="s">
        <v>2363</v>
      </c>
      <c r="W56" t="s">
        <v>2437</v>
      </c>
      <c r="X56" s="1278"/>
    </row>
    <row r="57" spans="1:24">
      <c r="B57" t="s">
        <v>800</v>
      </c>
      <c r="O57" t="str">
        <f>INDEX(Grant[Country],MATCH(0,INDEX(COUNTIF($O$2:O56,Grant[Country]),),0))</f>
        <v>Egypt</v>
      </c>
      <c r="T57" t="s">
        <v>800</v>
      </c>
      <c r="U57" t="s">
        <v>4288</v>
      </c>
      <c r="V57" t="s">
        <v>4288</v>
      </c>
      <c r="W57" t="s">
        <v>4288</v>
      </c>
      <c r="X57" s="1278"/>
    </row>
    <row r="58" spans="1:24">
      <c r="B58" t="s">
        <v>4196</v>
      </c>
      <c r="O58" t="str">
        <f>INDEX(Grant[Country],MATCH(0,INDEX(COUNTIF($O$2:O57,Grant[Country]),),0))</f>
        <v>El Salvador</v>
      </c>
      <c r="T58" t="s">
        <v>4196</v>
      </c>
      <c r="U58" t="s">
        <v>4288</v>
      </c>
      <c r="V58" t="s">
        <v>4288</v>
      </c>
      <c r="W58" t="s">
        <v>4288</v>
      </c>
      <c r="X58" s="1278"/>
    </row>
    <row r="59" spans="1:24">
      <c r="B59" t="s">
        <v>802</v>
      </c>
      <c r="O59" t="str">
        <f>INDEX(Grant[Country],MATCH(0,INDEX(COUNTIF($O$2:O58,Grant[Country]),),0))</f>
        <v>Equatorial Guinea</v>
      </c>
      <c r="T59" t="s">
        <v>802</v>
      </c>
      <c r="U59" t="s">
        <v>4288</v>
      </c>
      <c r="V59" t="s">
        <v>4288</v>
      </c>
      <c r="W59" t="s">
        <v>4288</v>
      </c>
      <c r="X59" s="1278"/>
    </row>
    <row r="60" spans="1:24">
      <c r="A60">
        <v>65</v>
      </c>
      <c r="B60" t="s">
        <v>805</v>
      </c>
      <c r="C60">
        <v>2</v>
      </c>
      <c r="D60" t="s">
        <v>53</v>
      </c>
      <c r="E60">
        <v>1</v>
      </c>
      <c r="F60" t="s">
        <v>690</v>
      </c>
      <c r="G60" t="s">
        <v>3765</v>
      </c>
      <c r="H60" t="s">
        <v>2366</v>
      </c>
      <c r="I60" t="s">
        <v>3766</v>
      </c>
      <c r="J60" t="s">
        <v>2465</v>
      </c>
      <c r="O60" t="str">
        <f>INDEX(Grant[Country],MATCH(0,INDEX(COUNTIF($O$2:O59,Grant[Country]),),0))</f>
        <v>Eritrea</v>
      </c>
      <c r="T60" t="s">
        <v>805</v>
      </c>
      <c r="U60" t="s">
        <v>690</v>
      </c>
      <c r="V60" t="s">
        <v>2366</v>
      </c>
      <c r="W60" t="s">
        <v>2465</v>
      </c>
      <c r="X60" s="1278"/>
    </row>
    <row r="61" spans="1:24">
      <c r="A61">
        <v>65</v>
      </c>
      <c r="B61" t="s">
        <v>805</v>
      </c>
      <c r="C61">
        <v>2</v>
      </c>
      <c r="D61" t="s">
        <v>53</v>
      </c>
      <c r="E61">
        <v>3</v>
      </c>
      <c r="F61" t="s">
        <v>19</v>
      </c>
      <c r="G61" t="s">
        <v>3760</v>
      </c>
      <c r="H61" t="s">
        <v>3761</v>
      </c>
      <c r="I61" t="s">
        <v>3767</v>
      </c>
      <c r="J61" t="s">
        <v>2464</v>
      </c>
      <c r="O61" t="str">
        <f>INDEX(Grant[Country],MATCH(0,INDEX(COUNTIF($O$2:O60,Grant[Country]),),0))</f>
        <v>Estonia</v>
      </c>
      <c r="T61" t="s">
        <v>805</v>
      </c>
      <c r="U61" t="s">
        <v>19</v>
      </c>
      <c r="V61" t="s">
        <v>3761</v>
      </c>
      <c r="W61" t="s">
        <v>2464</v>
      </c>
      <c r="X61" s="1278"/>
    </row>
    <row r="62" spans="1:24">
      <c r="A62">
        <v>65</v>
      </c>
      <c r="B62" t="s">
        <v>805</v>
      </c>
      <c r="C62">
        <v>2</v>
      </c>
      <c r="D62" t="s">
        <v>53</v>
      </c>
      <c r="E62">
        <v>3</v>
      </c>
      <c r="F62" t="s">
        <v>19</v>
      </c>
      <c r="G62" t="s">
        <v>3760</v>
      </c>
      <c r="H62" t="s">
        <v>3761</v>
      </c>
      <c r="I62" t="s">
        <v>3994</v>
      </c>
      <c r="J62" t="s">
        <v>2440</v>
      </c>
      <c r="O62" t="str">
        <f>INDEX(Grant[Country],MATCH(0,INDEX(COUNTIF($O$2:O61,Grant[Country]),),0))</f>
        <v>Eswatini</v>
      </c>
      <c r="T62" t="s">
        <v>805</v>
      </c>
      <c r="U62" t="s">
        <v>19</v>
      </c>
      <c r="V62" t="s">
        <v>3761</v>
      </c>
      <c r="W62" t="s">
        <v>2440</v>
      </c>
      <c r="X62" s="1278"/>
    </row>
    <row r="63" spans="1:24">
      <c r="A63">
        <v>65</v>
      </c>
      <c r="B63" t="s">
        <v>805</v>
      </c>
      <c r="C63">
        <v>2</v>
      </c>
      <c r="D63" t="s">
        <v>53</v>
      </c>
      <c r="E63">
        <v>4</v>
      </c>
      <c r="F63" t="s">
        <v>1911</v>
      </c>
      <c r="G63" t="s">
        <v>3763</v>
      </c>
      <c r="H63" t="s">
        <v>2439</v>
      </c>
      <c r="I63" t="s">
        <v>3764</v>
      </c>
      <c r="J63" t="s">
        <v>2466</v>
      </c>
      <c r="O63" t="str">
        <f>INDEX(Grant[Country],MATCH(0,INDEX(COUNTIF($O$2:O62,Grant[Country]),),0))</f>
        <v>Ethiopia</v>
      </c>
      <c r="T63" t="s">
        <v>805</v>
      </c>
      <c r="U63" t="s">
        <v>1911</v>
      </c>
      <c r="V63" t="s">
        <v>2439</v>
      </c>
      <c r="W63" t="s">
        <v>2466</v>
      </c>
      <c r="X63" s="1278"/>
    </row>
    <row r="64" spans="1:24">
      <c r="A64">
        <v>65</v>
      </c>
      <c r="B64" t="s">
        <v>805</v>
      </c>
      <c r="C64">
        <v>2</v>
      </c>
      <c r="D64" t="s">
        <v>53</v>
      </c>
      <c r="E64">
        <v>2</v>
      </c>
      <c r="F64" t="s">
        <v>688</v>
      </c>
      <c r="G64" t="s">
        <v>3760</v>
      </c>
      <c r="H64" t="s">
        <v>3761</v>
      </c>
      <c r="I64" t="s">
        <v>3762</v>
      </c>
      <c r="J64" t="s">
        <v>2463</v>
      </c>
      <c r="O64" t="str">
        <f>INDEX(Grant[Country],MATCH(0,INDEX(COUNTIF($O$2:O63,Grant[Country]),),0))</f>
        <v>Faeroe Islands</v>
      </c>
      <c r="T64" t="s">
        <v>805</v>
      </c>
      <c r="U64" t="s">
        <v>688</v>
      </c>
      <c r="V64" t="s">
        <v>3761</v>
      </c>
      <c r="W64" t="s">
        <v>2463</v>
      </c>
      <c r="X64" s="1278"/>
    </row>
    <row r="65" spans="1:24">
      <c r="A65">
        <v>24</v>
      </c>
      <c r="B65" t="s">
        <v>806</v>
      </c>
      <c r="C65">
        <v>1</v>
      </c>
      <c r="D65" t="s">
        <v>18</v>
      </c>
      <c r="E65">
        <v>1</v>
      </c>
      <c r="F65" t="s">
        <v>690</v>
      </c>
      <c r="G65" t="s">
        <v>3637</v>
      </c>
      <c r="H65" t="s">
        <v>2474</v>
      </c>
      <c r="I65" t="s">
        <v>3638</v>
      </c>
      <c r="J65" t="s">
        <v>2479</v>
      </c>
      <c r="O65" t="str">
        <f>INDEX(Grant[Country],MATCH(0,INDEX(COUNTIF($O$2:O64,Grant[Country]),),0))</f>
        <v>Fiji</v>
      </c>
      <c r="T65" t="s">
        <v>806</v>
      </c>
      <c r="U65" t="s">
        <v>690</v>
      </c>
      <c r="V65" t="s">
        <v>2474</v>
      </c>
      <c r="W65" t="s">
        <v>2479</v>
      </c>
      <c r="X65" s="1278"/>
    </row>
    <row r="66" spans="1:24">
      <c r="A66">
        <v>24</v>
      </c>
      <c r="B66" t="s">
        <v>806</v>
      </c>
      <c r="C66">
        <v>1</v>
      </c>
      <c r="D66" t="s">
        <v>18</v>
      </c>
      <c r="E66">
        <v>1</v>
      </c>
      <c r="F66" t="s">
        <v>690</v>
      </c>
      <c r="G66" t="s">
        <v>3631</v>
      </c>
      <c r="H66" t="s">
        <v>2444</v>
      </c>
      <c r="I66" t="s">
        <v>3632</v>
      </c>
      <c r="J66" t="s">
        <v>2446</v>
      </c>
      <c r="O66" t="str">
        <f>INDEX(Grant[Country],MATCH(0,INDEX(COUNTIF($O$2:O65,Grant[Country]),),0))</f>
        <v>Finland</v>
      </c>
      <c r="T66" t="s">
        <v>806</v>
      </c>
      <c r="U66" t="s">
        <v>690</v>
      </c>
      <c r="V66" t="s">
        <v>2444</v>
      </c>
      <c r="W66" t="s">
        <v>2446</v>
      </c>
      <c r="X66" s="1278"/>
    </row>
    <row r="67" spans="1:24">
      <c r="A67">
        <v>24</v>
      </c>
      <c r="B67" t="s">
        <v>806</v>
      </c>
      <c r="C67">
        <v>1</v>
      </c>
      <c r="D67" t="s">
        <v>18</v>
      </c>
      <c r="E67">
        <v>1</v>
      </c>
      <c r="F67" t="s">
        <v>690</v>
      </c>
      <c r="G67" t="s">
        <v>3631</v>
      </c>
      <c r="H67" t="s">
        <v>2444</v>
      </c>
      <c r="I67" t="s">
        <v>3633</v>
      </c>
      <c r="J67" t="s">
        <v>2445</v>
      </c>
      <c r="O67" t="str">
        <f>INDEX(Grant[Country],MATCH(0,INDEX(COUNTIF($O$2:O66,Grant[Country]),),0))</f>
        <v>France</v>
      </c>
      <c r="T67" t="s">
        <v>806</v>
      </c>
      <c r="U67" t="s">
        <v>690</v>
      </c>
      <c r="V67" t="s">
        <v>2444</v>
      </c>
      <c r="W67" t="s">
        <v>2445</v>
      </c>
      <c r="X67" s="1278"/>
    </row>
    <row r="68" spans="1:24">
      <c r="A68">
        <v>24</v>
      </c>
      <c r="B68" t="s">
        <v>806</v>
      </c>
      <c r="C68">
        <v>1</v>
      </c>
      <c r="D68" t="s">
        <v>18</v>
      </c>
      <c r="E68">
        <v>3</v>
      </c>
      <c r="F68" t="s">
        <v>19</v>
      </c>
      <c r="G68" t="s">
        <v>3635</v>
      </c>
      <c r="H68" t="s">
        <v>2474</v>
      </c>
      <c r="I68" t="s">
        <v>3636</v>
      </c>
      <c r="J68" t="s">
        <v>2478</v>
      </c>
      <c r="O68" t="str">
        <f>INDEX(Grant[Country],MATCH(0,INDEX(COUNTIF($O$2:O67,Grant[Country]),),0))</f>
        <v>Gabon</v>
      </c>
      <c r="T68" t="s">
        <v>806</v>
      </c>
      <c r="U68" t="s">
        <v>19</v>
      </c>
      <c r="V68" t="s">
        <v>2474</v>
      </c>
      <c r="W68" t="s">
        <v>2478</v>
      </c>
      <c r="X68" s="1278"/>
    </row>
    <row r="69" spans="1:24">
      <c r="A69">
        <v>24</v>
      </c>
      <c r="B69" t="s">
        <v>806</v>
      </c>
      <c r="C69">
        <v>1</v>
      </c>
      <c r="D69" t="s">
        <v>18</v>
      </c>
      <c r="E69">
        <v>3</v>
      </c>
      <c r="F69" t="s">
        <v>19</v>
      </c>
      <c r="G69" t="s">
        <v>3631</v>
      </c>
      <c r="H69" t="s">
        <v>2444</v>
      </c>
      <c r="I69" t="s">
        <v>3634</v>
      </c>
      <c r="J69" t="s">
        <v>2477</v>
      </c>
      <c r="O69" t="str">
        <f>INDEX(Grant[Country],MATCH(0,INDEX(COUNTIF($O$2:O68,Grant[Country]),),0))</f>
        <v>Gambia</v>
      </c>
      <c r="T69" t="s">
        <v>806</v>
      </c>
      <c r="U69" t="s">
        <v>19</v>
      </c>
      <c r="V69" t="s">
        <v>2444</v>
      </c>
      <c r="W69" t="s">
        <v>2477</v>
      </c>
      <c r="X69" s="1278"/>
    </row>
    <row r="70" spans="1:24">
      <c r="A70">
        <v>24</v>
      </c>
      <c r="B70" t="s">
        <v>806</v>
      </c>
      <c r="C70">
        <v>1</v>
      </c>
      <c r="D70" t="s">
        <v>18</v>
      </c>
      <c r="E70">
        <v>3</v>
      </c>
      <c r="F70" t="s">
        <v>19</v>
      </c>
      <c r="G70" t="s">
        <v>4079</v>
      </c>
      <c r="H70" t="s">
        <v>1905</v>
      </c>
      <c r="I70" t="s">
        <v>4080</v>
      </c>
      <c r="J70" t="s">
        <v>2476</v>
      </c>
      <c r="O70" t="str">
        <f>INDEX(Grant[Country],MATCH(0,INDEX(COUNTIF($O$2:O69,Grant[Country]),),0))</f>
        <v>Georgia</v>
      </c>
      <c r="T70" t="s">
        <v>806</v>
      </c>
      <c r="U70" t="s">
        <v>19</v>
      </c>
      <c r="V70" t="s">
        <v>1905</v>
      </c>
      <c r="W70" t="s">
        <v>2476</v>
      </c>
      <c r="X70" s="1278"/>
    </row>
    <row r="71" spans="1:24">
      <c r="A71">
        <v>24</v>
      </c>
      <c r="B71" t="s">
        <v>806</v>
      </c>
      <c r="C71">
        <v>1</v>
      </c>
      <c r="D71" t="s">
        <v>18</v>
      </c>
      <c r="E71">
        <v>4</v>
      </c>
      <c r="F71" t="s">
        <v>1911</v>
      </c>
      <c r="G71" t="s">
        <v>4079</v>
      </c>
      <c r="H71" t="s">
        <v>1905</v>
      </c>
      <c r="I71" t="s">
        <v>4081</v>
      </c>
      <c r="J71" t="s">
        <v>2480</v>
      </c>
      <c r="O71" t="str">
        <f>INDEX(Grant[Country],MATCH(0,INDEX(COUNTIF($O$2:O70,Grant[Country]),),0))</f>
        <v>Germany</v>
      </c>
      <c r="T71" t="s">
        <v>806</v>
      </c>
      <c r="U71" t="s">
        <v>1911</v>
      </c>
      <c r="V71" t="s">
        <v>1905</v>
      </c>
      <c r="W71" t="s">
        <v>2480</v>
      </c>
      <c r="X71" s="1278"/>
    </row>
    <row r="72" spans="1:24">
      <c r="A72">
        <v>24</v>
      </c>
      <c r="B72" t="s">
        <v>806</v>
      </c>
      <c r="C72">
        <v>1</v>
      </c>
      <c r="D72" t="s">
        <v>18</v>
      </c>
      <c r="E72">
        <v>2</v>
      </c>
      <c r="F72" t="s">
        <v>688</v>
      </c>
      <c r="G72" t="s">
        <v>3639</v>
      </c>
      <c r="H72" t="s">
        <v>2474</v>
      </c>
      <c r="I72" t="s">
        <v>3640</v>
      </c>
      <c r="J72" t="s">
        <v>2475</v>
      </c>
      <c r="O72" t="str">
        <f>INDEX(Grant[Country],MATCH(0,INDEX(COUNTIF($O$2:O71,Grant[Country]),),0))</f>
        <v>Ghana</v>
      </c>
      <c r="T72" t="s">
        <v>806</v>
      </c>
      <c r="U72" t="s">
        <v>688</v>
      </c>
      <c r="V72" t="s">
        <v>2474</v>
      </c>
      <c r="W72" t="s">
        <v>2475</v>
      </c>
      <c r="X72" s="1278"/>
    </row>
    <row r="73" spans="1:24">
      <c r="A73">
        <v>24</v>
      </c>
      <c r="B73" t="s">
        <v>806</v>
      </c>
      <c r="C73">
        <v>1</v>
      </c>
      <c r="D73" t="s">
        <v>18</v>
      </c>
      <c r="E73">
        <v>2</v>
      </c>
      <c r="F73" t="s">
        <v>688</v>
      </c>
      <c r="G73" t="s">
        <v>3629</v>
      </c>
      <c r="H73" t="s">
        <v>2447</v>
      </c>
      <c r="I73" t="s">
        <v>3630</v>
      </c>
      <c r="J73" t="s">
        <v>2448</v>
      </c>
      <c r="O73" t="str">
        <f>INDEX(Grant[Country],MATCH(0,INDEX(COUNTIF($O$2:O72,Grant[Country]),),0))</f>
        <v>Greece</v>
      </c>
      <c r="T73" t="s">
        <v>806</v>
      </c>
      <c r="U73" t="s">
        <v>688</v>
      </c>
      <c r="V73" t="s">
        <v>2447</v>
      </c>
      <c r="W73" t="s">
        <v>2448</v>
      </c>
      <c r="X73" s="1278"/>
    </row>
    <row r="74" spans="1:24">
      <c r="A74">
        <v>66</v>
      </c>
      <c r="B74" t="s">
        <v>2360</v>
      </c>
      <c r="C74">
        <v>2</v>
      </c>
      <c r="D74" t="s">
        <v>53</v>
      </c>
      <c r="E74">
        <v>5</v>
      </c>
      <c r="F74" t="s">
        <v>1911</v>
      </c>
      <c r="G74" t="s">
        <v>4043</v>
      </c>
      <c r="H74" t="s">
        <v>2359</v>
      </c>
      <c r="I74" t="s">
        <v>4044</v>
      </c>
      <c r="J74" t="s">
        <v>2395</v>
      </c>
      <c r="O74" t="str">
        <f>INDEX(Grant[Country],MATCH(0,INDEX(COUNTIF($O$2:O73,Grant[Country]),),0))</f>
        <v>Greenland</v>
      </c>
      <c r="T74" t="s">
        <v>2360</v>
      </c>
      <c r="U74" t="s">
        <v>1911</v>
      </c>
      <c r="V74" t="s">
        <v>2359</v>
      </c>
      <c r="W74" t="s">
        <v>2395</v>
      </c>
      <c r="X74" s="1278"/>
    </row>
    <row r="75" spans="1:24">
      <c r="A75">
        <v>141</v>
      </c>
      <c r="B75" t="s">
        <v>808</v>
      </c>
      <c r="C75">
        <v>1</v>
      </c>
      <c r="D75" t="s">
        <v>18</v>
      </c>
      <c r="E75">
        <v>4</v>
      </c>
      <c r="F75" t="s">
        <v>1911</v>
      </c>
      <c r="G75" t="s">
        <v>4055</v>
      </c>
      <c r="H75" t="s">
        <v>2235</v>
      </c>
      <c r="I75" t="s">
        <v>4056</v>
      </c>
      <c r="J75" t="s">
        <v>2236</v>
      </c>
      <c r="O75" t="str">
        <f>INDEX(Grant[Country],MATCH(0,INDEX(COUNTIF($O$2:O74,Grant[Country]),),0))</f>
        <v>Grenada</v>
      </c>
      <c r="T75" t="s">
        <v>808</v>
      </c>
      <c r="U75" t="s">
        <v>1911</v>
      </c>
      <c r="V75" t="s">
        <v>2235</v>
      </c>
      <c r="W75" t="s">
        <v>2236</v>
      </c>
      <c r="X75" s="1278"/>
    </row>
    <row r="76" spans="1:24">
      <c r="A76">
        <v>141</v>
      </c>
      <c r="B76" t="s">
        <v>808</v>
      </c>
      <c r="C76">
        <v>1</v>
      </c>
      <c r="D76" t="s">
        <v>18</v>
      </c>
      <c r="E76">
        <v>6</v>
      </c>
      <c r="F76" t="s">
        <v>1911</v>
      </c>
      <c r="G76" t="s">
        <v>4055</v>
      </c>
      <c r="H76" t="s">
        <v>2235</v>
      </c>
      <c r="I76" t="s">
        <v>4151</v>
      </c>
      <c r="J76" t="s">
        <v>4152</v>
      </c>
      <c r="O76" t="str">
        <f>INDEX(Grant[Country],MATCH(0,INDEX(COUNTIF($O$2:O75,Grant[Country]),),0))</f>
        <v>Guatemala</v>
      </c>
      <c r="T76" t="s">
        <v>808</v>
      </c>
      <c r="U76" t="s">
        <v>1911</v>
      </c>
      <c r="V76" t="s">
        <v>2235</v>
      </c>
      <c r="W76" t="s">
        <v>4152</v>
      </c>
      <c r="X76" s="1278"/>
    </row>
    <row r="77" spans="1:24">
      <c r="A77">
        <v>44</v>
      </c>
      <c r="B77" t="s">
        <v>810</v>
      </c>
      <c r="C77">
        <v>2</v>
      </c>
      <c r="D77" t="s">
        <v>53</v>
      </c>
      <c r="E77">
        <v>1</v>
      </c>
      <c r="F77" t="s">
        <v>690</v>
      </c>
      <c r="G77" t="s">
        <v>3689</v>
      </c>
      <c r="H77" t="s">
        <v>2364</v>
      </c>
      <c r="I77" t="s">
        <v>3690</v>
      </c>
      <c r="J77" t="s">
        <v>2422</v>
      </c>
      <c r="O77" t="str">
        <f>INDEX(Grant[Country],MATCH(0,INDEX(COUNTIF($O$2:O76,Grant[Country]),),0))</f>
        <v>Guinea</v>
      </c>
      <c r="T77" t="s">
        <v>810</v>
      </c>
      <c r="U77" t="s">
        <v>690</v>
      </c>
      <c r="V77" t="s">
        <v>2364</v>
      </c>
      <c r="W77" t="s">
        <v>2422</v>
      </c>
      <c r="X77" s="1278"/>
    </row>
    <row r="78" spans="1:24">
      <c r="A78">
        <v>44</v>
      </c>
      <c r="B78" t="s">
        <v>810</v>
      </c>
      <c r="C78">
        <v>2</v>
      </c>
      <c r="D78" t="s">
        <v>53</v>
      </c>
      <c r="E78">
        <v>1</v>
      </c>
      <c r="F78" t="s">
        <v>690</v>
      </c>
      <c r="G78" t="s">
        <v>3691</v>
      </c>
      <c r="H78" t="s">
        <v>2361</v>
      </c>
      <c r="I78" t="s">
        <v>3692</v>
      </c>
      <c r="J78" t="s">
        <v>2421</v>
      </c>
      <c r="O78" t="str">
        <f>INDEX(Grant[Country],MATCH(0,INDEX(COUNTIF($O$2:O77,Grant[Country]),),0))</f>
        <v>Guinea-Bissau</v>
      </c>
      <c r="T78" t="s">
        <v>810</v>
      </c>
      <c r="U78" t="s">
        <v>690</v>
      </c>
      <c r="V78" t="s">
        <v>2361</v>
      </c>
      <c r="W78" t="s">
        <v>2423</v>
      </c>
      <c r="X78" s="1278"/>
    </row>
    <row r="79" spans="1:24">
      <c r="A79">
        <v>44</v>
      </c>
      <c r="B79" t="s">
        <v>810</v>
      </c>
      <c r="C79">
        <v>2</v>
      </c>
      <c r="D79" t="s">
        <v>53</v>
      </c>
      <c r="E79">
        <v>1</v>
      </c>
      <c r="F79" t="s">
        <v>690</v>
      </c>
      <c r="G79" t="s">
        <v>3691</v>
      </c>
      <c r="H79" t="s">
        <v>2361</v>
      </c>
      <c r="I79" t="s">
        <v>3995</v>
      </c>
      <c r="J79" t="s">
        <v>2423</v>
      </c>
      <c r="O79" t="str">
        <f>INDEX(Grant[Country],MATCH(0,INDEX(COUNTIF($O$2:O78,Grant[Country]),),0))</f>
        <v>Guyana</v>
      </c>
      <c r="T79" t="s">
        <v>810</v>
      </c>
      <c r="U79" t="s">
        <v>690</v>
      </c>
      <c r="V79" t="s">
        <v>2361</v>
      </c>
      <c r="W79" t="s">
        <v>2421</v>
      </c>
      <c r="X79" s="1278"/>
    </row>
    <row r="80" spans="1:24">
      <c r="A80">
        <v>44</v>
      </c>
      <c r="B80" t="s">
        <v>810</v>
      </c>
      <c r="C80">
        <v>2</v>
      </c>
      <c r="D80" t="s">
        <v>53</v>
      </c>
      <c r="E80">
        <v>3</v>
      </c>
      <c r="F80" t="s">
        <v>19</v>
      </c>
      <c r="G80" t="s">
        <v>3687</v>
      </c>
      <c r="H80" t="s">
        <v>2361</v>
      </c>
      <c r="I80" t="s">
        <v>3688</v>
      </c>
      <c r="J80" t="s">
        <v>2420</v>
      </c>
      <c r="O80" t="str">
        <f>INDEX(Grant[Country],MATCH(0,INDEX(COUNTIF($O$2:O79,Grant[Country]),),0))</f>
        <v>Haiti</v>
      </c>
      <c r="T80" t="s">
        <v>810</v>
      </c>
      <c r="U80" t="s">
        <v>19</v>
      </c>
      <c r="V80" t="s">
        <v>2361</v>
      </c>
      <c r="W80" t="s">
        <v>2420</v>
      </c>
      <c r="X80" s="1278"/>
    </row>
    <row r="81" spans="1:24">
      <c r="A81">
        <v>44</v>
      </c>
      <c r="B81" t="s">
        <v>810</v>
      </c>
      <c r="C81">
        <v>2</v>
      </c>
      <c r="D81" t="s">
        <v>53</v>
      </c>
      <c r="E81">
        <v>4</v>
      </c>
      <c r="F81" t="s">
        <v>1911</v>
      </c>
      <c r="G81" t="s">
        <v>3689</v>
      </c>
      <c r="H81" t="s">
        <v>2364</v>
      </c>
      <c r="I81" t="s">
        <v>4163</v>
      </c>
      <c r="J81" t="s">
        <v>4164</v>
      </c>
      <c r="O81" t="str">
        <f>INDEX(Grant[Country],MATCH(0,INDEX(COUNTIF($O$2:O80,Grant[Country]),),0))</f>
        <v>Holy See</v>
      </c>
      <c r="T81" t="s">
        <v>810</v>
      </c>
      <c r="U81" t="s">
        <v>1911</v>
      </c>
      <c r="V81" t="s">
        <v>2364</v>
      </c>
      <c r="W81" t="s">
        <v>4164</v>
      </c>
      <c r="X81" s="1278"/>
    </row>
    <row r="82" spans="1:24">
      <c r="A82">
        <v>44</v>
      </c>
      <c r="B82" t="s">
        <v>810</v>
      </c>
      <c r="C82">
        <v>2</v>
      </c>
      <c r="D82" t="s">
        <v>53</v>
      </c>
      <c r="E82">
        <v>2</v>
      </c>
      <c r="F82" t="s">
        <v>688</v>
      </c>
      <c r="G82" t="s">
        <v>3693</v>
      </c>
      <c r="H82" t="s">
        <v>2361</v>
      </c>
      <c r="I82" t="s">
        <v>3694</v>
      </c>
      <c r="J82" t="s">
        <v>2419</v>
      </c>
      <c r="O82" t="str">
        <f>INDEX(Grant[Country],MATCH(0,INDEX(COUNTIF($O$2:O81,Grant[Country]),),0))</f>
        <v>Honduras</v>
      </c>
      <c r="T82" t="s">
        <v>810</v>
      </c>
      <c r="U82" t="s">
        <v>688</v>
      </c>
      <c r="V82" t="s">
        <v>2361</v>
      </c>
      <c r="W82" t="s">
        <v>2419</v>
      </c>
      <c r="X82" s="1278"/>
    </row>
    <row r="83" spans="1:24">
      <c r="B83" t="s">
        <v>4197</v>
      </c>
      <c r="O83" t="str">
        <f>INDEX(Grant[Country],MATCH(0,INDEX(COUNTIF($O$2:O82,Grant[Country]),),0))</f>
        <v>Hungary</v>
      </c>
      <c r="T83" t="s">
        <v>4197</v>
      </c>
      <c r="U83" t="s">
        <v>4288</v>
      </c>
      <c r="V83" t="s">
        <v>4288</v>
      </c>
      <c r="W83" t="s">
        <v>4288</v>
      </c>
      <c r="X83" s="1278"/>
    </row>
    <row r="84" spans="1:24">
      <c r="A84">
        <v>45</v>
      </c>
      <c r="B84" t="s">
        <v>815</v>
      </c>
      <c r="C84">
        <v>1</v>
      </c>
      <c r="D84" t="s">
        <v>18</v>
      </c>
      <c r="E84">
        <v>1</v>
      </c>
      <c r="F84" t="s">
        <v>690</v>
      </c>
      <c r="G84" t="s">
        <v>3996</v>
      </c>
      <c r="H84" t="s">
        <v>3997</v>
      </c>
      <c r="I84" t="s">
        <v>3998</v>
      </c>
      <c r="J84" t="s">
        <v>2435</v>
      </c>
      <c r="O84" t="str">
        <f>INDEX(Grant[Country],MATCH(0,INDEX(COUNTIF($O$2:O83,Grant[Country]),),0))</f>
        <v>Iceland</v>
      </c>
      <c r="T84" t="s">
        <v>815</v>
      </c>
      <c r="U84" t="s">
        <v>690</v>
      </c>
      <c r="V84" t="s">
        <v>3997</v>
      </c>
      <c r="W84" t="s">
        <v>2435</v>
      </c>
      <c r="X84" s="1278"/>
    </row>
    <row r="85" spans="1:24">
      <c r="A85">
        <v>45</v>
      </c>
      <c r="B85" t="s">
        <v>815</v>
      </c>
      <c r="C85">
        <v>2</v>
      </c>
      <c r="D85" t="s">
        <v>53</v>
      </c>
      <c r="E85">
        <v>3</v>
      </c>
      <c r="F85" t="s">
        <v>19</v>
      </c>
      <c r="G85" t="s">
        <v>4085</v>
      </c>
      <c r="H85" t="s">
        <v>2357</v>
      </c>
      <c r="I85" t="s">
        <v>4086</v>
      </c>
      <c r="J85" t="s">
        <v>2431</v>
      </c>
      <c r="O85" t="str">
        <f>INDEX(Grant[Country],MATCH(0,INDEX(COUNTIF($O$2:O84,Grant[Country]),),0))</f>
        <v>India</v>
      </c>
      <c r="T85" t="s">
        <v>815</v>
      </c>
      <c r="U85" t="s">
        <v>19</v>
      </c>
      <c r="V85" t="s">
        <v>2357</v>
      </c>
      <c r="W85" t="s">
        <v>2431</v>
      </c>
      <c r="X85" s="1278"/>
    </row>
    <row r="86" spans="1:24">
      <c r="A86">
        <v>45</v>
      </c>
      <c r="B86" t="s">
        <v>815</v>
      </c>
      <c r="C86">
        <v>2</v>
      </c>
      <c r="D86" t="s">
        <v>53</v>
      </c>
      <c r="E86">
        <v>4</v>
      </c>
      <c r="F86" t="s">
        <v>1911</v>
      </c>
      <c r="G86" t="s">
        <v>3704</v>
      </c>
      <c r="H86" t="s">
        <v>2358</v>
      </c>
      <c r="I86" t="s">
        <v>4060</v>
      </c>
      <c r="J86" t="s">
        <v>2432</v>
      </c>
      <c r="O86" t="str">
        <f>INDEX(Grant[Country],MATCH(0,INDEX(COUNTIF($O$2:O85,Grant[Country]),),0))</f>
        <v>Indonesia</v>
      </c>
      <c r="T86" t="s">
        <v>815</v>
      </c>
      <c r="U86" t="s">
        <v>1911</v>
      </c>
      <c r="V86" t="s">
        <v>2358</v>
      </c>
      <c r="W86" t="s">
        <v>2432</v>
      </c>
      <c r="X86" s="1278"/>
    </row>
    <row r="87" spans="1:24">
      <c r="A87">
        <v>45</v>
      </c>
      <c r="B87" t="s">
        <v>815</v>
      </c>
      <c r="C87">
        <v>2</v>
      </c>
      <c r="D87" t="s">
        <v>53</v>
      </c>
      <c r="E87">
        <v>2</v>
      </c>
      <c r="F87" t="s">
        <v>688</v>
      </c>
      <c r="G87" t="s">
        <v>3695</v>
      </c>
      <c r="H87" t="s">
        <v>2433</v>
      </c>
      <c r="I87" t="s">
        <v>3696</v>
      </c>
      <c r="J87" t="s">
        <v>2434</v>
      </c>
      <c r="O87" t="str">
        <f>INDEX(Grant[Country],MATCH(0,INDEX(COUNTIF($O$2:O86,Grant[Country]),),0))</f>
        <v>Iran (Islamic Republic)</v>
      </c>
      <c r="T87" t="s">
        <v>815</v>
      </c>
      <c r="U87" t="s">
        <v>688</v>
      </c>
      <c r="V87" t="s">
        <v>2433</v>
      </c>
      <c r="W87" t="s">
        <v>2434</v>
      </c>
      <c r="X87" s="1278"/>
    </row>
    <row r="88" spans="1:24">
      <c r="A88">
        <v>46</v>
      </c>
      <c r="B88" t="s">
        <v>817</v>
      </c>
      <c r="C88">
        <v>2</v>
      </c>
      <c r="D88" t="s">
        <v>53</v>
      </c>
      <c r="E88">
        <v>1</v>
      </c>
      <c r="F88" t="s">
        <v>690</v>
      </c>
      <c r="G88" t="s">
        <v>4000</v>
      </c>
      <c r="H88" t="s">
        <v>4001</v>
      </c>
      <c r="I88" t="s">
        <v>4002</v>
      </c>
      <c r="J88" t="s">
        <v>2004</v>
      </c>
      <c r="O88" t="str">
        <f>INDEX(Grant[Country],MATCH(0,INDEX(COUNTIF($O$2:O87,Grant[Country]),),0))</f>
        <v>Iraq</v>
      </c>
      <c r="T88" t="s">
        <v>817</v>
      </c>
      <c r="U88" t="s">
        <v>690</v>
      </c>
      <c r="V88" t="s">
        <v>4001</v>
      </c>
      <c r="W88" t="s">
        <v>2004</v>
      </c>
      <c r="X88" s="1278"/>
    </row>
    <row r="89" spans="1:24">
      <c r="A89">
        <v>46</v>
      </c>
      <c r="B89" t="s">
        <v>817</v>
      </c>
      <c r="C89">
        <v>2</v>
      </c>
      <c r="D89" t="s">
        <v>53</v>
      </c>
      <c r="E89">
        <v>1</v>
      </c>
      <c r="F89" t="s">
        <v>690</v>
      </c>
      <c r="G89" t="s">
        <v>3699</v>
      </c>
      <c r="H89" t="s">
        <v>1995</v>
      </c>
      <c r="I89" t="s">
        <v>3700</v>
      </c>
      <c r="J89" t="s">
        <v>2003</v>
      </c>
      <c r="O89" t="str">
        <f>INDEX(Grant[Country],MATCH(0,INDEX(COUNTIF($O$2:O88,Grant[Country]),),0))</f>
        <v>Ireland</v>
      </c>
      <c r="T89" t="s">
        <v>817</v>
      </c>
      <c r="U89" t="s">
        <v>690</v>
      </c>
      <c r="V89" t="s">
        <v>1995</v>
      </c>
      <c r="W89" t="s">
        <v>2003</v>
      </c>
      <c r="X89" s="1278"/>
    </row>
    <row r="90" spans="1:24">
      <c r="A90">
        <v>46</v>
      </c>
      <c r="B90" t="s">
        <v>817</v>
      </c>
      <c r="C90">
        <v>2</v>
      </c>
      <c r="D90" t="s">
        <v>53</v>
      </c>
      <c r="E90">
        <v>1</v>
      </c>
      <c r="F90" t="s">
        <v>690</v>
      </c>
      <c r="G90" t="s">
        <v>3699</v>
      </c>
      <c r="H90" t="s">
        <v>1995</v>
      </c>
      <c r="I90" t="s">
        <v>3702</v>
      </c>
      <c r="J90" t="s">
        <v>2000</v>
      </c>
      <c r="O90" t="str">
        <f>INDEX(Grant[Country],MATCH(0,INDEX(COUNTIF($O$2:O89,Grant[Country]),),0))</f>
        <v>Israel</v>
      </c>
      <c r="T90" t="s">
        <v>817</v>
      </c>
      <c r="U90" t="s">
        <v>690</v>
      </c>
      <c r="V90" t="s">
        <v>1995</v>
      </c>
      <c r="W90" t="s">
        <v>2000</v>
      </c>
      <c r="X90" s="1278"/>
    </row>
    <row r="91" spans="1:24">
      <c r="A91">
        <v>46</v>
      </c>
      <c r="B91" t="s">
        <v>817</v>
      </c>
      <c r="C91">
        <v>2</v>
      </c>
      <c r="D91" t="s">
        <v>53</v>
      </c>
      <c r="E91">
        <v>1</v>
      </c>
      <c r="F91" t="s">
        <v>690</v>
      </c>
      <c r="G91" t="s">
        <v>3474</v>
      </c>
      <c r="H91" t="s">
        <v>1993</v>
      </c>
      <c r="I91" t="s">
        <v>3476</v>
      </c>
      <c r="J91" t="s">
        <v>1999</v>
      </c>
      <c r="O91" t="str">
        <f>INDEX(Grant[Country],MATCH(0,INDEX(COUNTIF($O$2:O90,Grant[Country]),),0))</f>
        <v>Italy</v>
      </c>
      <c r="T91" t="s">
        <v>817</v>
      </c>
      <c r="U91" t="s">
        <v>690</v>
      </c>
      <c r="V91" t="s">
        <v>1993</v>
      </c>
      <c r="W91" t="s">
        <v>1999</v>
      </c>
      <c r="X91" s="1278"/>
    </row>
    <row r="92" spans="1:24">
      <c r="A92">
        <v>46</v>
      </c>
      <c r="B92" t="s">
        <v>817</v>
      </c>
      <c r="C92">
        <v>2</v>
      </c>
      <c r="D92" t="s">
        <v>53</v>
      </c>
      <c r="E92">
        <v>1</v>
      </c>
      <c r="F92" t="s">
        <v>690</v>
      </c>
      <c r="G92" t="s">
        <v>4003</v>
      </c>
      <c r="H92" t="s">
        <v>4004</v>
      </c>
      <c r="I92" t="s">
        <v>4005</v>
      </c>
      <c r="J92" t="s">
        <v>2002</v>
      </c>
      <c r="O92" t="str">
        <f>INDEX(Grant[Country],MATCH(0,INDEX(COUNTIF($O$2:O91,Grant[Country]),),0))</f>
        <v>Jamaica</v>
      </c>
      <c r="T92" t="s">
        <v>817</v>
      </c>
      <c r="U92" t="s">
        <v>690</v>
      </c>
      <c r="V92" t="s">
        <v>4004</v>
      </c>
      <c r="W92" t="s">
        <v>2002</v>
      </c>
      <c r="X92" s="1278"/>
    </row>
    <row r="93" spans="1:24">
      <c r="A93">
        <v>46</v>
      </c>
      <c r="B93" t="s">
        <v>817</v>
      </c>
      <c r="C93">
        <v>2</v>
      </c>
      <c r="D93" t="s">
        <v>53</v>
      </c>
      <c r="E93">
        <v>3</v>
      </c>
      <c r="F93" t="s">
        <v>19</v>
      </c>
      <c r="G93" t="s">
        <v>3699</v>
      </c>
      <c r="H93" t="s">
        <v>1995</v>
      </c>
      <c r="I93" t="s">
        <v>3999</v>
      </c>
      <c r="J93" t="s">
        <v>1997</v>
      </c>
      <c r="O93" t="str">
        <f>INDEX(Grant[Country],MATCH(0,INDEX(COUNTIF($O$2:O92,Grant[Country]),),0))</f>
        <v>Japan</v>
      </c>
      <c r="T93" t="s">
        <v>817</v>
      </c>
      <c r="U93" t="s">
        <v>19</v>
      </c>
      <c r="V93" t="s">
        <v>1995</v>
      </c>
      <c r="W93" t="s">
        <v>1997</v>
      </c>
      <c r="X93" s="1278"/>
    </row>
    <row r="94" spans="1:24">
      <c r="A94">
        <v>46</v>
      </c>
      <c r="B94" t="s">
        <v>817</v>
      </c>
      <c r="C94">
        <v>2</v>
      </c>
      <c r="D94" t="s">
        <v>53</v>
      </c>
      <c r="E94">
        <v>3</v>
      </c>
      <c r="F94" t="s">
        <v>19</v>
      </c>
      <c r="G94" t="s">
        <v>3697</v>
      </c>
      <c r="H94" t="s">
        <v>1905</v>
      </c>
      <c r="I94" t="s">
        <v>3698</v>
      </c>
      <c r="J94" t="s">
        <v>1998</v>
      </c>
      <c r="O94" t="str">
        <f>INDEX(Grant[Country],MATCH(0,INDEX(COUNTIF($O$2:O93,Grant[Country]),),0))</f>
        <v>Jordan</v>
      </c>
      <c r="T94" t="s">
        <v>817</v>
      </c>
      <c r="U94" t="s">
        <v>19</v>
      </c>
      <c r="V94" t="s">
        <v>1905</v>
      </c>
      <c r="W94" t="s">
        <v>1998</v>
      </c>
      <c r="X94" s="1278"/>
    </row>
    <row r="95" spans="1:24">
      <c r="A95">
        <v>46</v>
      </c>
      <c r="B95" t="s">
        <v>817</v>
      </c>
      <c r="C95">
        <v>2</v>
      </c>
      <c r="D95" t="s">
        <v>53</v>
      </c>
      <c r="E95">
        <v>2</v>
      </c>
      <c r="F95" t="s">
        <v>688</v>
      </c>
      <c r="G95" t="s">
        <v>3699</v>
      </c>
      <c r="H95" t="s">
        <v>1995</v>
      </c>
      <c r="I95" t="s">
        <v>3701</v>
      </c>
      <c r="J95" t="s">
        <v>2001</v>
      </c>
      <c r="O95" t="str">
        <f>INDEX(Grant[Country],MATCH(0,INDEX(COUNTIF($O$2:O94,Grant[Country]),),0))</f>
        <v>Kazakhstan</v>
      </c>
      <c r="T95" t="s">
        <v>817</v>
      </c>
      <c r="U95" t="s">
        <v>688</v>
      </c>
      <c r="V95" t="s">
        <v>1995</v>
      </c>
      <c r="W95" t="s">
        <v>2001</v>
      </c>
      <c r="X95" s="1278"/>
    </row>
    <row r="96" spans="1:24">
      <c r="A96">
        <v>46</v>
      </c>
      <c r="B96" t="s">
        <v>817</v>
      </c>
      <c r="C96">
        <v>2</v>
      </c>
      <c r="D96" t="s">
        <v>53</v>
      </c>
      <c r="E96">
        <v>2</v>
      </c>
      <c r="F96" t="s">
        <v>688</v>
      </c>
      <c r="G96" t="s">
        <v>3699</v>
      </c>
      <c r="H96" t="s">
        <v>1995</v>
      </c>
      <c r="I96" t="s">
        <v>3703</v>
      </c>
      <c r="J96" t="s">
        <v>1996</v>
      </c>
      <c r="O96" t="str">
        <f>INDEX(Grant[Country],MATCH(0,INDEX(COUNTIF($O$2:O95,Grant[Country]),),0))</f>
        <v>Kenya</v>
      </c>
      <c r="T96" t="s">
        <v>817</v>
      </c>
      <c r="U96" t="s">
        <v>688</v>
      </c>
      <c r="V96" t="s">
        <v>1995</v>
      </c>
      <c r="W96" t="s">
        <v>1996</v>
      </c>
      <c r="X96" s="1278"/>
    </row>
    <row r="97" spans="1:24">
      <c r="A97">
        <v>46</v>
      </c>
      <c r="B97" t="s">
        <v>817</v>
      </c>
      <c r="C97">
        <v>2</v>
      </c>
      <c r="D97" t="s">
        <v>53</v>
      </c>
      <c r="E97">
        <v>2</v>
      </c>
      <c r="F97" t="s">
        <v>688</v>
      </c>
      <c r="G97" t="s">
        <v>3474</v>
      </c>
      <c r="H97" t="s">
        <v>1993</v>
      </c>
      <c r="I97" t="s">
        <v>3475</v>
      </c>
      <c r="J97" t="s">
        <v>1994</v>
      </c>
      <c r="O97" t="str">
        <f>INDEX(Grant[Country],MATCH(0,INDEX(COUNTIF($O$2:O96,Grant[Country]),),0))</f>
        <v>Kiribati</v>
      </c>
      <c r="T97" t="s">
        <v>817</v>
      </c>
      <c r="U97" t="s">
        <v>688</v>
      </c>
      <c r="V97" t="s">
        <v>1993</v>
      </c>
      <c r="W97" t="s">
        <v>1994</v>
      </c>
      <c r="X97" s="1278"/>
    </row>
    <row r="98" spans="1:24">
      <c r="B98" t="s">
        <v>818</v>
      </c>
      <c r="O98" t="str">
        <f>INDEX(Grant[Country],MATCH(0,INDEX(COUNTIF($O$2:O97,Grant[Country]),),0))</f>
        <v>Korea (Democratic Peoples Republic)</v>
      </c>
      <c r="T98" t="s">
        <v>818</v>
      </c>
      <c r="U98" t="s">
        <v>4288</v>
      </c>
      <c r="V98" t="s">
        <v>4288</v>
      </c>
      <c r="W98" t="s">
        <v>4288</v>
      </c>
      <c r="X98" s="1278"/>
    </row>
    <row r="99" spans="1:24">
      <c r="B99" t="s">
        <v>819</v>
      </c>
      <c r="O99" t="str">
        <f>INDEX(Grant[Country],MATCH(0,INDEX(COUNTIF($O$2:O98,Grant[Country]),),0))</f>
        <v>Korea (Republic)</v>
      </c>
      <c r="T99" t="s">
        <v>819</v>
      </c>
      <c r="U99" t="s">
        <v>4288</v>
      </c>
      <c r="V99" t="s">
        <v>4288</v>
      </c>
      <c r="W99" t="s">
        <v>4288</v>
      </c>
      <c r="X99" s="1278"/>
    </row>
    <row r="100" spans="1:24">
      <c r="A100">
        <v>96</v>
      </c>
      <c r="B100" t="s">
        <v>820</v>
      </c>
      <c r="C100">
        <v>1</v>
      </c>
      <c r="D100" t="s">
        <v>18</v>
      </c>
      <c r="E100">
        <v>1</v>
      </c>
      <c r="F100" t="s">
        <v>690</v>
      </c>
      <c r="G100" t="s">
        <v>3853</v>
      </c>
      <c r="H100" t="s">
        <v>3854</v>
      </c>
      <c r="I100" t="s">
        <v>3855</v>
      </c>
      <c r="J100" t="s">
        <v>2403</v>
      </c>
      <c r="O100" t="str">
        <f>INDEX(Grant[Country],MATCH(0,INDEX(COUNTIF($O$2:O99,Grant[Country]),),0))</f>
        <v>Kosovo</v>
      </c>
      <c r="T100" t="s">
        <v>820</v>
      </c>
      <c r="U100" t="s">
        <v>690</v>
      </c>
      <c r="V100" t="s">
        <v>3854</v>
      </c>
      <c r="W100" t="s">
        <v>2403</v>
      </c>
      <c r="X100" s="1278"/>
    </row>
    <row r="101" spans="1:24">
      <c r="A101">
        <v>25</v>
      </c>
      <c r="B101" t="s">
        <v>821</v>
      </c>
      <c r="C101">
        <v>2</v>
      </c>
      <c r="D101" t="s">
        <v>53</v>
      </c>
      <c r="E101">
        <v>1</v>
      </c>
      <c r="F101" t="s">
        <v>690</v>
      </c>
      <c r="G101" t="s">
        <v>3643</v>
      </c>
      <c r="H101" t="s">
        <v>2352</v>
      </c>
      <c r="I101" t="s">
        <v>3644</v>
      </c>
      <c r="J101" t="s">
        <v>2400</v>
      </c>
      <c r="O101" t="str">
        <f>INDEX(Grant[Country],MATCH(0,INDEX(COUNTIF($O$2:O100,Grant[Country]),),0))</f>
        <v>Kuwait</v>
      </c>
      <c r="T101" t="s">
        <v>821</v>
      </c>
      <c r="U101" t="s">
        <v>690</v>
      </c>
      <c r="V101" t="s">
        <v>2352</v>
      </c>
      <c r="W101" t="s">
        <v>2401</v>
      </c>
      <c r="X101" s="1278"/>
    </row>
    <row r="102" spans="1:24">
      <c r="A102">
        <v>25</v>
      </c>
      <c r="B102" t="s">
        <v>821</v>
      </c>
      <c r="C102">
        <v>2</v>
      </c>
      <c r="D102" t="s">
        <v>53</v>
      </c>
      <c r="E102">
        <v>1</v>
      </c>
      <c r="F102" t="s">
        <v>690</v>
      </c>
      <c r="G102" t="s">
        <v>3643</v>
      </c>
      <c r="H102" t="s">
        <v>2352</v>
      </c>
      <c r="I102" t="s">
        <v>3648</v>
      </c>
      <c r="J102" t="s">
        <v>2401</v>
      </c>
      <c r="O102" t="str">
        <f>INDEX(Grant[Country],MATCH(0,INDEX(COUNTIF($O$2:O101,Grant[Country]),),0))</f>
        <v>Kyrgyzstan</v>
      </c>
      <c r="T102" t="s">
        <v>821</v>
      </c>
      <c r="U102" t="s">
        <v>690</v>
      </c>
      <c r="V102" t="s">
        <v>2352</v>
      </c>
      <c r="W102" t="s">
        <v>2400</v>
      </c>
      <c r="X102" s="1278"/>
    </row>
    <row r="103" spans="1:24">
      <c r="A103">
        <v>25</v>
      </c>
      <c r="B103" t="s">
        <v>821</v>
      </c>
      <c r="C103">
        <v>2</v>
      </c>
      <c r="D103" t="s">
        <v>53</v>
      </c>
      <c r="E103">
        <v>3</v>
      </c>
      <c r="F103" t="s">
        <v>19</v>
      </c>
      <c r="G103" t="s">
        <v>3645</v>
      </c>
      <c r="H103" t="s">
        <v>2397</v>
      </c>
      <c r="I103" t="s">
        <v>3647</v>
      </c>
      <c r="J103" t="s">
        <v>2402</v>
      </c>
      <c r="O103" t="str">
        <f>INDEX(Grant[Country],MATCH(0,INDEX(COUNTIF($O$2:O102,Grant[Country]),),0))</f>
        <v>Lao (Peoples Democratic Republic)</v>
      </c>
      <c r="T103" t="s">
        <v>821</v>
      </c>
      <c r="U103" t="s">
        <v>19</v>
      </c>
      <c r="V103" t="s">
        <v>2397</v>
      </c>
      <c r="W103" t="s">
        <v>2402</v>
      </c>
      <c r="X103" s="1278"/>
    </row>
    <row r="104" spans="1:24">
      <c r="A104">
        <v>25</v>
      </c>
      <c r="B104" t="s">
        <v>821</v>
      </c>
      <c r="C104">
        <v>2</v>
      </c>
      <c r="D104" t="s">
        <v>53</v>
      </c>
      <c r="E104">
        <v>3</v>
      </c>
      <c r="F104" t="s">
        <v>19</v>
      </c>
      <c r="G104" t="s">
        <v>3641</v>
      </c>
      <c r="H104" t="s">
        <v>2352</v>
      </c>
      <c r="I104" t="s">
        <v>3642</v>
      </c>
      <c r="J104" t="s">
        <v>2399</v>
      </c>
      <c r="O104" t="str">
        <f>INDEX(Grant[Country],MATCH(0,INDEX(COUNTIF($O$2:O103,Grant[Country]),),0))</f>
        <v>Latvia</v>
      </c>
      <c r="T104" t="s">
        <v>821</v>
      </c>
      <c r="U104" t="s">
        <v>19</v>
      </c>
      <c r="V104" t="s">
        <v>2352</v>
      </c>
      <c r="W104" t="s">
        <v>2399</v>
      </c>
      <c r="X104" s="1278"/>
    </row>
    <row r="105" spans="1:24">
      <c r="A105">
        <v>25</v>
      </c>
      <c r="B105" t="s">
        <v>821</v>
      </c>
      <c r="C105">
        <v>2</v>
      </c>
      <c r="D105" t="s">
        <v>53</v>
      </c>
      <c r="E105">
        <v>2</v>
      </c>
      <c r="F105" t="s">
        <v>688</v>
      </c>
      <c r="G105" t="s">
        <v>3645</v>
      </c>
      <c r="H105" t="s">
        <v>2397</v>
      </c>
      <c r="I105" t="s">
        <v>3646</v>
      </c>
      <c r="J105" t="s">
        <v>2398</v>
      </c>
      <c r="O105" t="str">
        <f>INDEX(Grant[Country],MATCH(0,INDEX(COUNTIF($O$2:O104,Grant[Country]),),0))</f>
        <v>Lebanon</v>
      </c>
      <c r="T105" t="s">
        <v>821</v>
      </c>
      <c r="U105" t="s">
        <v>688</v>
      </c>
      <c r="V105" t="s">
        <v>2397</v>
      </c>
      <c r="W105" t="s">
        <v>2398</v>
      </c>
      <c r="X105" s="1278"/>
    </row>
    <row r="106" spans="1:24">
      <c r="A106">
        <v>25</v>
      </c>
      <c r="B106" t="s">
        <v>821</v>
      </c>
      <c r="C106">
        <v>2</v>
      </c>
      <c r="D106" t="s">
        <v>53</v>
      </c>
      <c r="E106">
        <v>2</v>
      </c>
      <c r="F106" t="s">
        <v>688</v>
      </c>
      <c r="G106" t="s">
        <v>4124</v>
      </c>
      <c r="H106" t="s">
        <v>2354</v>
      </c>
      <c r="I106" t="s">
        <v>4125</v>
      </c>
      <c r="J106" t="s">
        <v>2396</v>
      </c>
      <c r="O106" t="str">
        <f>INDEX(Grant[Country],MATCH(0,INDEX(COUNTIF($O$2:O105,Grant[Country]),),0))</f>
        <v>Lesotho</v>
      </c>
      <c r="T106" t="s">
        <v>821</v>
      </c>
      <c r="U106" t="s">
        <v>688</v>
      </c>
      <c r="V106" t="s">
        <v>2354</v>
      </c>
      <c r="W106" t="s">
        <v>2396</v>
      </c>
      <c r="X106" s="1278"/>
    </row>
    <row r="107" spans="1:24">
      <c r="A107">
        <v>47</v>
      </c>
      <c r="B107" t="s">
        <v>822</v>
      </c>
      <c r="C107">
        <v>2</v>
      </c>
      <c r="D107" t="s">
        <v>53</v>
      </c>
      <c r="E107">
        <v>1</v>
      </c>
      <c r="F107" t="s">
        <v>690</v>
      </c>
      <c r="G107" t="s">
        <v>3704</v>
      </c>
      <c r="H107" t="s">
        <v>2358</v>
      </c>
      <c r="I107" t="s">
        <v>3705</v>
      </c>
      <c r="J107" t="s">
        <v>2407</v>
      </c>
      <c r="O107" t="str">
        <f>INDEX(Grant[Country],MATCH(0,INDEX(COUNTIF($O$2:O106,Grant[Country]),),0))</f>
        <v>Liberia</v>
      </c>
      <c r="T107" t="s">
        <v>822</v>
      </c>
      <c r="U107" t="s">
        <v>690</v>
      </c>
      <c r="V107" t="s">
        <v>2358</v>
      </c>
      <c r="W107" t="s">
        <v>2407</v>
      </c>
      <c r="X107" s="1278"/>
    </row>
    <row r="108" spans="1:24">
      <c r="A108">
        <v>47</v>
      </c>
      <c r="B108" t="s">
        <v>822</v>
      </c>
      <c r="C108">
        <v>2</v>
      </c>
      <c r="D108" t="s">
        <v>53</v>
      </c>
      <c r="E108">
        <v>3</v>
      </c>
      <c r="F108" t="s">
        <v>19</v>
      </c>
      <c r="G108" t="s">
        <v>4101</v>
      </c>
      <c r="H108" t="s">
        <v>2365</v>
      </c>
      <c r="I108" t="s">
        <v>4102</v>
      </c>
      <c r="J108" t="s">
        <v>2406</v>
      </c>
      <c r="O108" t="str">
        <f>INDEX(Grant[Country],MATCH(0,INDEX(COUNTIF($O$2:O107,Grant[Country]),),0))</f>
        <v>Libya</v>
      </c>
      <c r="T108" t="s">
        <v>822</v>
      </c>
      <c r="U108" t="s">
        <v>19</v>
      </c>
      <c r="V108" t="s">
        <v>2365</v>
      </c>
      <c r="W108" t="s">
        <v>2406</v>
      </c>
      <c r="X108" s="1278"/>
    </row>
    <row r="109" spans="1:24">
      <c r="A109">
        <v>47</v>
      </c>
      <c r="B109" t="s">
        <v>822</v>
      </c>
      <c r="C109">
        <v>2</v>
      </c>
      <c r="D109" t="s">
        <v>53</v>
      </c>
      <c r="E109">
        <v>4</v>
      </c>
      <c r="F109" t="s">
        <v>1911</v>
      </c>
      <c r="G109" t="s">
        <v>3704</v>
      </c>
      <c r="H109" t="s">
        <v>2358</v>
      </c>
      <c r="I109" t="s">
        <v>4061</v>
      </c>
      <c r="J109" t="s">
        <v>2408</v>
      </c>
      <c r="O109" t="str">
        <f>INDEX(Grant[Country],MATCH(0,INDEX(COUNTIF($O$2:O108,Grant[Country]),),0))</f>
        <v>Liechtenstein</v>
      </c>
      <c r="T109" t="s">
        <v>822</v>
      </c>
      <c r="U109" t="s">
        <v>1911</v>
      </c>
      <c r="V109" t="s">
        <v>2358</v>
      </c>
      <c r="W109" t="s">
        <v>2408</v>
      </c>
      <c r="X109" s="1278"/>
    </row>
    <row r="110" spans="1:24">
      <c r="A110">
        <v>47</v>
      </c>
      <c r="B110" t="s">
        <v>822</v>
      </c>
      <c r="C110">
        <v>2</v>
      </c>
      <c r="D110" t="s">
        <v>53</v>
      </c>
      <c r="E110">
        <v>2</v>
      </c>
      <c r="F110" t="s">
        <v>688</v>
      </c>
      <c r="G110" t="s">
        <v>3706</v>
      </c>
      <c r="H110" t="s">
        <v>2404</v>
      </c>
      <c r="I110" t="s">
        <v>3707</v>
      </c>
      <c r="J110" t="s">
        <v>2405</v>
      </c>
      <c r="O110" t="str">
        <f>INDEX(Grant[Country],MATCH(0,INDEX(COUNTIF($O$2:O109,Grant[Country]),),0))</f>
        <v>Lithuania</v>
      </c>
      <c r="T110" t="s">
        <v>822</v>
      </c>
      <c r="U110" t="s">
        <v>688</v>
      </c>
      <c r="V110" t="s">
        <v>2404</v>
      </c>
      <c r="W110" t="s">
        <v>2405</v>
      </c>
      <c r="X110" s="1278"/>
    </row>
    <row r="111" spans="1:24">
      <c r="A111">
        <v>48</v>
      </c>
      <c r="B111" t="s">
        <v>823</v>
      </c>
      <c r="C111">
        <v>1</v>
      </c>
      <c r="D111" t="s">
        <v>18</v>
      </c>
      <c r="E111">
        <v>1</v>
      </c>
      <c r="F111" t="s">
        <v>690</v>
      </c>
      <c r="G111" t="s">
        <v>3708</v>
      </c>
      <c r="H111" t="s">
        <v>1914</v>
      </c>
      <c r="I111" t="s">
        <v>3718</v>
      </c>
      <c r="J111" t="s">
        <v>2415</v>
      </c>
      <c r="O111" t="str">
        <f>INDEX(Grant[Country],MATCH(0,INDEX(COUNTIF($O$2:O110,Grant[Country]),),0))</f>
        <v>Luxembourg</v>
      </c>
      <c r="T111" t="s">
        <v>823</v>
      </c>
      <c r="U111" t="s">
        <v>690</v>
      </c>
      <c r="V111" t="s">
        <v>1914</v>
      </c>
      <c r="W111" t="s">
        <v>2415</v>
      </c>
      <c r="X111" s="1278"/>
    </row>
    <row r="112" spans="1:24">
      <c r="A112">
        <v>48</v>
      </c>
      <c r="B112" t="s">
        <v>823</v>
      </c>
      <c r="C112">
        <v>1</v>
      </c>
      <c r="D112" t="s">
        <v>18</v>
      </c>
      <c r="E112">
        <v>1</v>
      </c>
      <c r="F112" t="s">
        <v>690</v>
      </c>
      <c r="G112" t="s">
        <v>3712</v>
      </c>
      <c r="H112" t="s">
        <v>2410</v>
      </c>
      <c r="I112" t="s">
        <v>3714</v>
      </c>
      <c r="J112" t="s">
        <v>2414</v>
      </c>
      <c r="O112" t="str">
        <f>INDEX(Grant[Country],MATCH(0,INDEX(COUNTIF($O$2:O111,Grant[Country]),),0))</f>
        <v>Madagascar</v>
      </c>
      <c r="T112" t="s">
        <v>823</v>
      </c>
      <c r="U112" t="s">
        <v>690</v>
      </c>
      <c r="V112" t="s">
        <v>2410</v>
      </c>
      <c r="W112" t="s">
        <v>2414</v>
      </c>
      <c r="X112" s="1278"/>
    </row>
    <row r="113" spans="1:24">
      <c r="A113">
        <v>48</v>
      </c>
      <c r="B113" t="s">
        <v>823</v>
      </c>
      <c r="C113">
        <v>1</v>
      </c>
      <c r="D113" t="s">
        <v>18</v>
      </c>
      <c r="E113">
        <v>1</v>
      </c>
      <c r="F113" t="s">
        <v>690</v>
      </c>
      <c r="G113" t="s">
        <v>3710</v>
      </c>
      <c r="H113" t="s">
        <v>2416</v>
      </c>
      <c r="I113" t="s">
        <v>3711</v>
      </c>
      <c r="J113" t="s">
        <v>2417</v>
      </c>
      <c r="O113" t="str">
        <f>INDEX(Grant[Country],MATCH(0,INDEX(COUNTIF($O$2:O112,Grant[Country]),),0))</f>
        <v>Malawi</v>
      </c>
      <c r="T113" t="s">
        <v>823</v>
      </c>
      <c r="U113" t="s">
        <v>690</v>
      </c>
      <c r="V113" t="s">
        <v>2416</v>
      </c>
      <c r="W113" t="s">
        <v>2417</v>
      </c>
      <c r="X113" s="1278"/>
    </row>
    <row r="114" spans="1:24">
      <c r="A114">
        <v>48</v>
      </c>
      <c r="B114" t="s">
        <v>823</v>
      </c>
      <c r="C114">
        <v>1</v>
      </c>
      <c r="D114" t="s">
        <v>18</v>
      </c>
      <c r="E114">
        <v>3</v>
      </c>
      <c r="F114" t="s">
        <v>19</v>
      </c>
      <c r="G114" t="s">
        <v>3708</v>
      </c>
      <c r="H114" t="s">
        <v>1914</v>
      </c>
      <c r="I114" t="s">
        <v>3715</v>
      </c>
      <c r="J114" t="s">
        <v>2413</v>
      </c>
      <c r="O114" t="str">
        <f>INDEX(Grant[Country],MATCH(0,INDEX(COUNTIF($O$2:O113,Grant[Country]),),0))</f>
        <v>Malaysia</v>
      </c>
      <c r="T114" t="s">
        <v>823</v>
      </c>
      <c r="U114" t="s">
        <v>19</v>
      </c>
      <c r="V114" t="s">
        <v>1914</v>
      </c>
      <c r="W114" t="s">
        <v>2413</v>
      </c>
      <c r="X114" s="1278"/>
    </row>
    <row r="115" spans="1:24">
      <c r="A115">
        <v>48</v>
      </c>
      <c r="B115" t="s">
        <v>823</v>
      </c>
      <c r="C115">
        <v>1</v>
      </c>
      <c r="D115" t="s">
        <v>18</v>
      </c>
      <c r="E115">
        <v>3</v>
      </c>
      <c r="F115" t="s">
        <v>19</v>
      </c>
      <c r="G115" t="s">
        <v>3708</v>
      </c>
      <c r="H115" t="s">
        <v>1914</v>
      </c>
      <c r="I115" t="s">
        <v>4006</v>
      </c>
      <c r="J115" t="s">
        <v>1916</v>
      </c>
      <c r="O115" t="str">
        <f>INDEX(Grant[Country],MATCH(0,INDEX(COUNTIF($O$2:O114,Grant[Country]),),0))</f>
        <v>Maldives</v>
      </c>
      <c r="T115" t="s">
        <v>823</v>
      </c>
      <c r="U115" t="s">
        <v>19</v>
      </c>
      <c r="V115" t="s">
        <v>1914</v>
      </c>
      <c r="W115" t="s">
        <v>1916</v>
      </c>
      <c r="X115" s="1278"/>
    </row>
    <row r="116" spans="1:24">
      <c r="A116">
        <v>48</v>
      </c>
      <c r="B116" t="s">
        <v>823</v>
      </c>
      <c r="C116">
        <v>1</v>
      </c>
      <c r="D116" t="s">
        <v>18</v>
      </c>
      <c r="E116">
        <v>3</v>
      </c>
      <c r="F116" t="s">
        <v>19</v>
      </c>
      <c r="G116" t="s">
        <v>3556</v>
      </c>
      <c r="H116" t="s">
        <v>1974</v>
      </c>
      <c r="I116" t="s">
        <v>3716</v>
      </c>
      <c r="J116" t="s">
        <v>2412</v>
      </c>
      <c r="O116" t="str">
        <f>INDEX(Grant[Country],MATCH(0,INDEX(COUNTIF($O$2:O115,Grant[Country]),),0))</f>
        <v>Mali</v>
      </c>
      <c r="T116" t="s">
        <v>823</v>
      </c>
      <c r="U116" t="s">
        <v>19</v>
      </c>
      <c r="V116" t="s">
        <v>1974</v>
      </c>
      <c r="W116" t="s">
        <v>2412</v>
      </c>
      <c r="X116" s="1278"/>
    </row>
    <row r="117" spans="1:24">
      <c r="A117">
        <v>48</v>
      </c>
      <c r="B117" t="s">
        <v>823</v>
      </c>
      <c r="C117">
        <v>1</v>
      </c>
      <c r="D117" t="s">
        <v>18</v>
      </c>
      <c r="E117">
        <v>3</v>
      </c>
      <c r="F117" t="s">
        <v>19</v>
      </c>
      <c r="G117" t="s">
        <v>3712</v>
      </c>
      <c r="H117" t="s">
        <v>2410</v>
      </c>
      <c r="I117" t="s">
        <v>3713</v>
      </c>
      <c r="J117" t="s">
        <v>2411</v>
      </c>
      <c r="O117" t="str">
        <f>INDEX(Grant[Country],MATCH(0,INDEX(COUNTIF($O$2:O116,Grant[Country]),),0))</f>
        <v>Malta</v>
      </c>
      <c r="T117" t="s">
        <v>823</v>
      </c>
      <c r="U117" t="s">
        <v>19</v>
      </c>
      <c r="V117" t="s">
        <v>2410</v>
      </c>
      <c r="W117" t="s">
        <v>2411</v>
      </c>
      <c r="X117" s="1278"/>
    </row>
    <row r="118" spans="1:24">
      <c r="A118">
        <v>48</v>
      </c>
      <c r="B118" t="s">
        <v>823</v>
      </c>
      <c r="C118">
        <v>1</v>
      </c>
      <c r="D118" t="s">
        <v>18</v>
      </c>
      <c r="E118">
        <v>6</v>
      </c>
      <c r="F118" t="s">
        <v>1911</v>
      </c>
      <c r="G118" t="s">
        <v>3708</v>
      </c>
      <c r="H118" t="s">
        <v>1914</v>
      </c>
      <c r="I118" t="s">
        <v>3709</v>
      </c>
      <c r="J118" t="s">
        <v>1915</v>
      </c>
      <c r="O118" t="str">
        <f>INDEX(Grant[Country],MATCH(0,INDEX(COUNTIF($O$2:O117,Grant[Country]),),0))</f>
        <v>Marshall Islands</v>
      </c>
      <c r="T118" t="s">
        <v>823</v>
      </c>
      <c r="U118" t="s">
        <v>1911</v>
      </c>
      <c r="V118" t="s">
        <v>1914</v>
      </c>
      <c r="W118" t="s">
        <v>1915</v>
      </c>
      <c r="X118" s="1278"/>
    </row>
    <row r="119" spans="1:24">
      <c r="A119">
        <v>48</v>
      </c>
      <c r="B119" t="s">
        <v>823</v>
      </c>
      <c r="C119">
        <v>1</v>
      </c>
      <c r="D119" t="s">
        <v>18</v>
      </c>
      <c r="E119">
        <v>4</v>
      </c>
      <c r="F119" t="s">
        <v>1911</v>
      </c>
      <c r="G119" t="s">
        <v>3710</v>
      </c>
      <c r="H119" t="s">
        <v>2416</v>
      </c>
      <c r="I119" t="s">
        <v>4047</v>
      </c>
      <c r="J119" t="s">
        <v>2418</v>
      </c>
      <c r="O119" t="str">
        <f>INDEX(Grant[Country],MATCH(0,INDEX(COUNTIF($O$2:O118,Grant[Country]),),0))</f>
        <v>Mauritania</v>
      </c>
      <c r="T119" t="s">
        <v>823</v>
      </c>
      <c r="U119" t="s">
        <v>1911</v>
      </c>
      <c r="V119" t="s">
        <v>2416</v>
      </c>
      <c r="W119" t="s">
        <v>2418</v>
      </c>
      <c r="X119" s="1278"/>
    </row>
    <row r="120" spans="1:24">
      <c r="A120">
        <v>48</v>
      </c>
      <c r="B120" t="s">
        <v>823</v>
      </c>
      <c r="C120">
        <v>1</v>
      </c>
      <c r="D120" t="s">
        <v>18</v>
      </c>
      <c r="E120">
        <v>2</v>
      </c>
      <c r="F120" t="s">
        <v>688</v>
      </c>
      <c r="G120" t="s">
        <v>3708</v>
      </c>
      <c r="H120" t="s">
        <v>1914</v>
      </c>
      <c r="I120" t="s">
        <v>3717</v>
      </c>
      <c r="J120" t="s">
        <v>2409</v>
      </c>
      <c r="O120" t="str">
        <f>INDEX(Grant[Country],MATCH(0,INDEX(COUNTIF($O$2:O119,Grant[Country]),),0))</f>
        <v>Mauritius</v>
      </c>
      <c r="T120" t="s">
        <v>823</v>
      </c>
      <c r="U120" t="s">
        <v>688</v>
      </c>
      <c r="V120" t="s">
        <v>1914</v>
      </c>
      <c r="W120" t="s">
        <v>2409</v>
      </c>
      <c r="X120" s="1278"/>
    </row>
    <row r="121" spans="1:24">
      <c r="A121">
        <v>48</v>
      </c>
      <c r="B121" t="s">
        <v>823</v>
      </c>
      <c r="C121">
        <v>1</v>
      </c>
      <c r="D121" t="s">
        <v>18</v>
      </c>
      <c r="E121">
        <v>2</v>
      </c>
      <c r="F121" t="s">
        <v>688</v>
      </c>
      <c r="G121" t="s">
        <v>3708</v>
      </c>
      <c r="H121" t="s">
        <v>1914</v>
      </c>
      <c r="I121" t="s">
        <v>4007</v>
      </c>
      <c r="J121" t="s">
        <v>1917</v>
      </c>
      <c r="O121" t="str">
        <f>INDEX(Grant[Country],MATCH(0,INDEX(COUNTIF($O$2:O120,Grant[Country]),),0))</f>
        <v>Mexico</v>
      </c>
      <c r="T121" t="s">
        <v>823</v>
      </c>
      <c r="U121" t="s">
        <v>688</v>
      </c>
      <c r="V121" t="s">
        <v>1914</v>
      </c>
      <c r="W121" t="s">
        <v>1917</v>
      </c>
      <c r="X121" s="1278"/>
    </row>
    <row r="122" spans="1:24">
      <c r="B122" t="s">
        <v>4198</v>
      </c>
      <c r="O122" t="str">
        <f>INDEX(Grant[Country],MATCH(0,INDEX(COUNTIF($O$2:O121,Grant[Country]),),0))</f>
        <v>Micronesia (Federated States)</v>
      </c>
      <c r="T122" t="s">
        <v>4198</v>
      </c>
      <c r="U122" t="s">
        <v>4288</v>
      </c>
      <c r="V122" t="s">
        <v>4288</v>
      </c>
      <c r="W122" t="s">
        <v>4288</v>
      </c>
      <c r="X122" s="1278"/>
    </row>
    <row r="123" spans="1:24">
      <c r="A123">
        <v>81</v>
      </c>
      <c r="B123" t="s">
        <v>824</v>
      </c>
      <c r="C123">
        <v>1</v>
      </c>
      <c r="D123" t="s">
        <v>18</v>
      </c>
      <c r="E123">
        <v>1</v>
      </c>
      <c r="F123" t="s">
        <v>690</v>
      </c>
      <c r="G123" t="s">
        <v>3443</v>
      </c>
      <c r="H123" t="s">
        <v>2068</v>
      </c>
      <c r="I123" t="s">
        <v>3836</v>
      </c>
      <c r="J123" t="s">
        <v>2394</v>
      </c>
      <c r="O123" t="str">
        <f>INDEX(Grant[Country],MATCH(0,INDEX(COUNTIF($O$2:O122,Grant[Country]),),0))</f>
        <v>Moldova</v>
      </c>
      <c r="T123" t="s">
        <v>824</v>
      </c>
      <c r="U123" t="s">
        <v>690</v>
      </c>
      <c r="V123" t="s">
        <v>2068</v>
      </c>
      <c r="W123" t="s">
        <v>2394</v>
      </c>
      <c r="X123" s="1278"/>
    </row>
    <row r="124" spans="1:24">
      <c r="A124">
        <v>67</v>
      </c>
      <c r="B124" t="s">
        <v>825</v>
      </c>
      <c r="C124">
        <v>2</v>
      </c>
      <c r="D124" t="s">
        <v>53</v>
      </c>
      <c r="E124">
        <v>1</v>
      </c>
      <c r="F124" t="s">
        <v>690</v>
      </c>
      <c r="G124" t="s">
        <v>3769</v>
      </c>
      <c r="H124" t="s">
        <v>3770</v>
      </c>
      <c r="I124" t="s">
        <v>3775</v>
      </c>
      <c r="J124" t="s">
        <v>2430</v>
      </c>
      <c r="O124" t="str">
        <f>INDEX(Grant[Country],MATCH(0,INDEX(COUNTIF($O$2:O123,Grant[Country]),),0))</f>
        <v>Monaco</v>
      </c>
      <c r="T124" t="s">
        <v>825</v>
      </c>
      <c r="U124" t="s">
        <v>690</v>
      </c>
      <c r="V124" t="s">
        <v>3770</v>
      </c>
      <c r="W124" t="s">
        <v>2430</v>
      </c>
      <c r="X124" s="1278"/>
    </row>
    <row r="125" spans="1:24">
      <c r="A125">
        <v>67</v>
      </c>
      <c r="B125" t="s">
        <v>825</v>
      </c>
      <c r="C125">
        <v>2</v>
      </c>
      <c r="D125" t="s">
        <v>53</v>
      </c>
      <c r="E125">
        <v>1</v>
      </c>
      <c r="F125" t="s">
        <v>690</v>
      </c>
      <c r="G125" t="s">
        <v>3769</v>
      </c>
      <c r="H125" t="s">
        <v>3770</v>
      </c>
      <c r="I125" t="s">
        <v>4099</v>
      </c>
      <c r="J125" t="s">
        <v>2429</v>
      </c>
      <c r="O125" t="str">
        <f>INDEX(Grant[Country],MATCH(0,INDEX(COUNTIF($O$2:O124,Grant[Country]),),0))</f>
        <v>Mongolia</v>
      </c>
      <c r="T125" t="s">
        <v>825</v>
      </c>
      <c r="U125" t="s">
        <v>690</v>
      </c>
      <c r="V125" t="s">
        <v>3770</v>
      </c>
      <c r="W125" t="s">
        <v>2429</v>
      </c>
      <c r="X125" s="1278"/>
    </row>
    <row r="126" spans="1:24">
      <c r="A126">
        <v>67</v>
      </c>
      <c r="B126" t="s">
        <v>825</v>
      </c>
      <c r="C126">
        <v>2</v>
      </c>
      <c r="D126" t="s">
        <v>53</v>
      </c>
      <c r="E126">
        <v>1</v>
      </c>
      <c r="F126" t="s">
        <v>690</v>
      </c>
      <c r="G126" t="s">
        <v>4062</v>
      </c>
      <c r="H126" t="s">
        <v>4063</v>
      </c>
      <c r="I126" t="s">
        <v>4064</v>
      </c>
      <c r="J126" t="s">
        <v>2428</v>
      </c>
      <c r="O126" t="str">
        <f>INDEX(Grant[Country],MATCH(0,INDEX(COUNTIF($O$2:O125,Grant[Country]),),0))</f>
        <v>Montenegro</v>
      </c>
      <c r="T126" t="s">
        <v>825</v>
      </c>
      <c r="U126" t="s">
        <v>690</v>
      </c>
      <c r="V126" t="s">
        <v>4063</v>
      </c>
      <c r="W126" t="s">
        <v>2428</v>
      </c>
      <c r="X126" s="1278"/>
    </row>
    <row r="127" spans="1:24">
      <c r="A127">
        <v>67</v>
      </c>
      <c r="B127" t="s">
        <v>825</v>
      </c>
      <c r="C127">
        <v>2</v>
      </c>
      <c r="D127" t="s">
        <v>53</v>
      </c>
      <c r="E127">
        <v>3</v>
      </c>
      <c r="F127" t="s">
        <v>19</v>
      </c>
      <c r="G127" t="s">
        <v>3772</v>
      </c>
      <c r="H127" t="s">
        <v>3773</v>
      </c>
      <c r="I127" t="s">
        <v>3774</v>
      </c>
      <c r="J127" t="s">
        <v>2427</v>
      </c>
      <c r="O127" t="str">
        <f>INDEX(Grant[Country],MATCH(0,INDEX(COUNTIF($O$2:O126,Grant[Country]),),0))</f>
        <v>Morocco</v>
      </c>
      <c r="T127" t="s">
        <v>825</v>
      </c>
      <c r="U127" t="s">
        <v>19</v>
      </c>
      <c r="V127" t="s">
        <v>3773</v>
      </c>
      <c r="W127" t="s">
        <v>2427</v>
      </c>
      <c r="X127" s="1278"/>
    </row>
    <row r="128" spans="1:24">
      <c r="A128">
        <v>67</v>
      </c>
      <c r="B128" t="s">
        <v>825</v>
      </c>
      <c r="C128">
        <v>2</v>
      </c>
      <c r="D128" t="s">
        <v>53</v>
      </c>
      <c r="E128">
        <v>3</v>
      </c>
      <c r="F128" t="s">
        <v>19</v>
      </c>
      <c r="G128" t="s">
        <v>3576</v>
      </c>
      <c r="H128" t="s">
        <v>1965</v>
      </c>
      <c r="I128" t="s">
        <v>3768</v>
      </c>
      <c r="J128" t="s">
        <v>2426</v>
      </c>
      <c r="O128" t="str">
        <f>INDEX(Grant[Country],MATCH(0,INDEX(COUNTIF($O$2:O127,Grant[Country]),),0))</f>
        <v>Mozambique</v>
      </c>
      <c r="T128" t="s">
        <v>825</v>
      </c>
      <c r="U128" t="s">
        <v>19</v>
      </c>
      <c r="V128" t="s">
        <v>1965</v>
      </c>
      <c r="W128" t="s">
        <v>2426</v>
      </c>
      <c r="X128" s="1278"/>
    </row>
    <row r="129" spans="1:24">
      <c r="A129">
        <v>67</v>
      </c>
      <c r="B129" t="s">
        <v>825</v>
      </c>
      <c r="C129">
        <v>2</v>
      </c>
      <c r="D129" t="s">
        <v>53</v>
      </c>
      <c r="E129">
        <v>4</v>
      </c>
      <c r="F129" t="s">
        <v>1911</v>
      </c>
      <c r="G129" t="s">
        <v>3769</v>
      </c>
      <c r="H129" t="s">
        <v>3770</v>
      </c>
      <c r="I129" t="s">
        <v>4159</v>
      </c>
      <c r="J129" t="s">
        <v>4160</v>
      </c>
      <c r="O129" t="str">
        <f>INDEX(Grant[Country],MATCH(0,INDEX(COUNTIF($O$2:O128,Grant[Country]),),0))</f>
        <v>Myanmar</v>
      </c>
      <c r="T129" t="s">
        <v>825</v>
      </c>
      <c r="U129" t="s">
        <v>1911</v>
      </c>
      <c r="V129" t="s">
        <v>3770</v>
      </c>
      <c r="W129" t="s">
        <v>4160</v>
      </c>
      <c r="X129" s="1278"/>
    </row>
    <row r="130" spans="1:24">
      <c r="A130">
        <v>67</v>
      </c>
      <c r="B130" t="s">
        <v>825</v>
      </c>
      <c r="C130">
        <v>2</v>
      </c>
      <c r="D130" t="s">
        <v>53</v>
      </c>
      <c r="E130">
        <v>2</v>
      </c>
      <c r="F130" t="s">
        <v>688</v>
      </c>
      <c r="G130" t="s">
        <v>3769</v>
      </c>
      <c r="H130" t="s">
        <v>3770</v>
      </c>
      <c r="I130" t="s">
        <v>3771</v>
      </c>
      <c r="J130" t="s">
        <v>2425</v>
      </c>
      <c r="O130" t="str">
        <f>INDEX(Grant[Country],MATCH(0,INDEX(COUNTIF($O$2:O129,Grant[Country]),),0))</f>
        <v>Namibia</v>
      </c>
      <c r="T130" t="s">
        <v>825</v>
      </c>
      <c r="U130" t="s">
        <v>688</v>
      </c>
      <c r="V130" t="s">
        <v>3770</v>
      </c>
      <c r="W130" t="s">
        <v>2425</v>
      </c>
      <c r="X130" s="1278"/>
    </row>
    <row r="131" spans="1:24">
      <c r="A131">
        <v>67</v>
      </c>
      <c r="B131" t="s">
        <v>825</v>
      </c>
      <c r="C131">
        <v>2</v>
      </c>
      <c r="D131" t="s">
        <v>53</v>
      </c>
      <c r="E131">
        <v>2</v>
      </c>
      <c r="F131" t="s">
        <v>688</v>
      </c>
      <c r="G131" t="s">
        <v>3776</v>
      </c>
      <c r="H131" t="s">
        <v>3777</v>
      </c>
      <c r="I131" t="s">
        <v>3778</v>
      </c>
      <c r="J131" t="s">
        <v>2424</v>
      </c>
      <c r="O131" t="str">
        <f>INDEX(Grant[Country],MATCH(0,INDEX(COUNTIF($O$2:O130,Grant[Country]),),0))</f>
        <v>Nauru</v>
      </c>
      <c r="T131" t="s">
        <v>825</v>
      </c>
      <c r="U131" t="s">
        <v>688</v>
      </c>
      <c r="V131" t="s">
        <v>3777</v>
      </c>
      <c r="W131" t="s">
        <v>2424</v>
      </c>
      <c r="X131" s="1278"/>
    </row>
    <row r="132" spans="1:24">
      <c r="B132" t="s">
        <v>826</v>
      </c>
      <c r="O132" t="str">
        <f>INDEX(Grant[Country],MATCH(0,INDEX(COUNTIF($O$2:O131,Grant[Country]),),0))</f>
        <v>Nepal</v>
      </c>
      <c r="T132" t="s">
        <v>826</v>
      </c>
      <c r="U132" t="s">
        <v>4288</v>
      </c>
      <c r="V132" t="s">
        <v>4288</v>
      </c>
      <c r="W132" t="s">
        <v>4288</v>
      </c>
      <c r="X132" s="1278"/>
    </row>
    <row r="133" spans="1:24">
      <c r="A133">
        <v>113</v>
      </c>
      <c r="B133" t="s">
        <v>827</v>
      </c>
      <c r="C133">
        <v>1</v>
      </c>
      <c r="D133" t="s">
        <v>18</v>
      </c>
      <c r="E133">
        <v>1</v>
      </c>
      <c r="F133" t="s">
        <v>690</v>
      </c>
      <c r="G133" t="s">
        <v>3868</v>
      </c>
      <c r="H133" t="s">
        <v>1905</v>
      </c>
      <c r="I133" t="s">
        <v>3869</v>
      </c>
      <c r="J133" t="s">
        <v>2393</v>
      </c>
      <c r="O133" t="str">
        <f>INDEX(Grant[Country],MATCH(0,INDEX(COUNTIF($O$2:O132,Grant[Country]),),0))</f>
        <v>Netherlands</v>
      </c>
      <c r="T133" t="s">
        <v>827</v>
      </c>
      <c r="U133" t="s">
        <v>690</v>
      </c>
      <c r="V133" t="s">
        <v>1905</v>
      </c>
      <c r="W133" t="s">
        <v>2393</v>
      </c>
      <c r="X133" s="1278"/>
    </row>
    <row r="134" spans="1:24">
      <c r="B134" t="s">
        <v>4199</v>
      </c>
      <c r="O134" t="str">
        <f>INDEX(Grant[Country],MATCH(0,INDEX(COUNTIF($O$2:O133,Grant[Country]),),0))</f>
        <v>New Zealand</v>
      </c>
      <c r="T134" t="s">
        <v>4199</v>
      </c>
      <c r="U134" t="s">
        <v>4288</v>
      </c>
      <c r="V134" t="s">
        <v>4288</v>
      </c>
      <c r="W134" t="s">
        <v>4288</v>
      </c>
      <c r="X134" s="1278"/>
    </row>
    <row r="135" spans="1:24">
      <c r="B135" t="s">
        <v>4200</v>
      </c>
      <c r="O135" t="str">
        <f>INDEX(Grant[Country],MATCH(0,INDEX(COUNTIF($O$2:O134,Grant[Country]),),0))</f>
        <v>Nicaragua</v>
      </c>
      <c r="T135" t="s">
        <v>4200</v>
      </c>
      <c r="U135" t="s">
        <v>4288</v>
      </c>
      <c r="V135" t="s">
        <v>4288</v>
      </c>
      <c r="W135" t="s">
        <v>4288</v>
      </c>
      <c r="X135" s="1278"/>
    </row>
    <row r="136" spans="1:24">
      <c r="B136" t="s">
        <v>4201</v>
      </c>
      <c r="O136" t="str">
        <f>INDEX(Grant[Country],MATCH(0,INDEX(COUNTIF($O$2:O135,Grant[Country]),),0))</f>
        <v>Niger</v>
      </c>
      <c r="T136" t="s">
        <v>4201</v>
      </c>
      <c r="U136" t="s">
        <v>4288</v>
      </c>
      <c r="V136" t="s">
        <v>4288</v>
      </c>
      <c r="W136" t="s">
        <v>4288</v>
      </c>
      <c r="X136" s="1278"/>
    </row>
    <row r="137" spans="1:24">
      <c r="B137" t="s">
        <v>4202</v>
      </c>
      <c r="O137" t="str">
        <f>INDEX(Grant[Country],MATCH(0,INDEX(COUNTIF($O$2:O136,Grant[Country]),),0))</f>
        <v>Nigeria</v>
      </c>
      <c r="T137" t="s">
        <v>4202</v>
      </c>
      <c r="U137" t="s">
        <v>4288</v>
      </c>
      <c r="V137" t="s">
        <v>4288</v>
      </c>
      <c r="W137" t="s">
        <v>4288</v>
      </c>
      <c r="X137" s="1278"/>
    </row>
    <row r="138" spans="1:24">
      <c r="A138">
        <v>26</v>
      </c>
      <c r="B138" t="s">
        <v>828</v>
      </c>
      <c r="C138">
        <v>1</v>
      </c>
      <c r="D138" t="s">
        <v>18</v>
      </c>
      <c r="E138">
        <v>3</v>
      </c>
      <c r="F138" t="s">
        <v>19</v>
      </c>
      <c r="G138" t="s">
        <v>3649</v>
      </c>
      <c r="H138" t="s">
        <v>1905</v>
      </c>
      <c r="I138" t="s">
        <v>3650</v>
      </c>
      <c r="J138" t="s">
        <v>2391</v>
      </c>
      <c r="O138" t="str">
        <f>INDEX(Grant[Country],MATCH(0,INDEX(COUNTIF($O$2:O137,Grant[Country]),),0))</f>
        <v>Niue</v>
      </c>
      <c r="T138" t="s">
        <v>828</v>
      </c>
      <c r="U138" t="s">
        <v>19</v>
      </c>
      <c r="V138" t="s">
        <v>1905</v>
      </c>
      <c r="W138" t="s">
        <v>2391</v>
      </c>
      <c r="X138" s="1278"/>
    </row>
    <row r="139" spans="1:24">
      <c r="A139">
        <v>26</v>
      </c>
      <c r="B139" t="s">
        <v>828</v>
      </c>
      <c r="C139">
        <v>1</v>
      </c>
      <c r="D139" t="s">
        <v>18</v>
      </c>
      <c r="E139">
        <v>4</v>
      </c>
      <c r="F139" t="s">
        <v>1911</v>
      </c>
      <c r="G139" t="s">
        <v>3649</v>
      </c>
      <c r="H139" t="s">
        <v>1905</v>
      </c>
      <c r="I139" t="s">
        <v>3651</v>
      </c>
      <c r="J139" t="s">
        <v>2392</v>
      </c>
      <c r="O139" t="str">
        <f>INDEX(Grant[Country],MATCH(0,INDEX(COUNTIF($O$2:O138,Grant[Country]),),0))</f>
        <v>North Macedonia</v>
      </c>
      <c r="T139" t="s">
        <v>828</v>
      </c>
      <c r="U139" t="s">
        <v>1911</v>
      </c>
      <c r="V139" t="s">
        <v>1905</v>
      </c>
      <c r="W139" t="s">
        <v>2392</v>
      </c>
      <c r="X139" s="1278"/>
    </row>
    <row r="140" spans="1:24">
      <c r="B140" t="s">
        <v>4203</v>
      </c>
      <c r="O140" t="str">
        <f>INDEX(Grant[Country],MATCH(0,INDEX(COUNTIF($O$2:O139,Grant[Country]),),0))</f>
        <v>Norway</v>
      </c>
      <c r="T140" t="s">
        <v>4203</v>
      </c>
      <c r="U140" t="s">
        <v>4288</v>
      </c>
      <c r="V140" t="s">
        <v>4288</v>
      </c>
      <c r="W140" t="s">
        <v>4288</v>
      </c>
      <c r="X140" s="1278"/>
    </row>
    <row r="141" spans="1:24">
      <c r="A141">
        <v>115</v>
      </c>
      <c r="B141" t="s">
        <v>829</v>
      </c>
      <c r="C141">
        <v>1</v>
      </c>
      <c r="D141" t="s">
        <v>18</v>
      </c>
      <c r="E141">
        <v>1</v>
      </c>
      <c r="F141" t="s">
        <v>690</v>
      </c>
      <c r="G141" t="s">
        <v>3870</v>
      </c>
      <c r="H141" t="s">
        <v>2389</v>
      </c>
      <c r="I141" t="s">
        <v>3871</v>
      </c>
      <c r="J141" t="s">
        <v>2390</v>
      </c>
      <c r="O141" t="str">
        <f>INDEX(Grant[Country],MATCH(0,INDEX(COUNTIF($O$2:O140,Grant[Country]),),0))</f>
        <v>Oman</v>
      </c>
      <c r="T141" t="s">
        <v>829</v>
      </c>
      <c r="U141" t="s">
        <v>690</v>
      </c>
      <c r="V141" t="s">
        <v>2389</v>
      </c>
      <c r="W141" t="s">
        <v>2390</v>
      </c>
      <c r="X141" s="1278"/>
    </row>
    <row r="142" spans="1:24">
      <c r="A142">
        <v>115</v>
      </c>
      <c r="B142" t="s">
        <v>829</v>
      </c>
      <c r="C142">
        <v>1</v>
      </c>
      <c r="D142" t="s">
        <v>18</v>
      </c>
      <c r="E142">
        <v>1</v>
      </c>
      <c r="F142" t="s">
        <v>690</v>
      </c>
      <c r="G142" t="s">
        <v>3872</v>
      </c>
      <c r="H142" t="s">
        <v>2349</v>
      </c>
      <c r="I142" t="s">
        <v>3873</v>
      </c>
      <c r="J142" t="s">
        <v>2388</v>
      </c>
      <c r="O142" t="str">
        <f>INDEX(Grant[Country],MATCH(0,INDEX(COUNTIF($O$2:O141,Grant[Country]),),0))</f>
        <v>Pakistan</v>
      </c>
      <c r="T142" t="s">
        <v>829</v>
      </c>
      <c r="U142" t="s">
        <v>690</v>
      </c>
      <c r="V142" t="s">
        <v>2349</v>
      </c>
      <c r="W142" t="s">
        <v>2388</v>
      </c>
      <c r="X142" s="1278"/>
    </row>
    <row r="143" spans="1:24">
      <c r="A143">
        <v>115</v>
      </c>
      <c r="B143" t="s">
        <v>829</v>
      </c>
      <c r="C143">
        <v>1</v>
      </c>
      <c r="D143" t="s">
        <v>18</v>
      </c>
      <c r="E143">
        <v>2</v>
      </c>
      <c r="F143" t="s">
        <v>688</v>
      </c>
      <c r="G143" t="s">
        <v>3874</v>
      </c>
      <c r="H143" t="s">
        <v>2370</v>
      </c>
      <c r="I143" t="s">
        <v>3875</v>
      </c>
      <c r="J143" t="s">
        <v>2387</v>
      </c>
      <c r="O143" t="str">
        <f>INDEX(Grant[Country],MATCH(0,INDEX(COUNTIF($O$2:O142,Grant[Country]),),0))</f>
        <v>Palau</v>
      </c>
      <c r="T143" t="s">
        <v>829</v>
      </c>
      <c r="U143" t="s">
        <v>688</v>
      </c>
      <c r="V143" t="s">
        <v>2370</v>
      </c>
      <c r="W143" t="s">
        <v>2387</v>
      </c>
      <c r="X143" s="1278"/>
    </row>
    <row r="144" spans="1:24">
      <c r="A144">
        <v>97</v>
      </c>
      <c r="B144" t="s">
        <v>830</v>
      </c>
      <c r="C144">
        <v>1</v>
      </c>
      <c r="D144" t="s">
        <v>18</v>
      </c>
      <c r="E144">
        <v>1</v>
      </c>
      <c r="F144" t="s">
        <v>690</v>
      </c>
      <c r="G144" t="s">
        <v>4008</v>
      </c>
      <c r="H144" t="s">
        <v>2384</v>
      </c>
      <c r="I144" t="s">
        <v>4009</v>
      </c>
      <c r="J144" t="s">
        <v>2385</v>
      </c>
      <c r="O144" t="str">
        <f>INDEX(Grant[Country],MATCH(0,INDEX(COUNTIF($O$2:O143,Grant[Country]),),0))</f>
        <v>Palestine</v>
      </c>
      <c r="T144" t="s">
        <v>830</v>
      </c>
      <c r="U144" t="s">
        <v>690</v>
      </c>
      <c r="V144" t="s">
        <v>2384</v>
      </c>
      <c r="W144" t="s">
        <v>2385</v>
      </c>
      <c r="X144" s="1278"/>
    </row>
    <row r="145" spans="1:24">
      <c r="A145">
        <v>97</v>
      </c>
      <c r="B145" t="s">
        <v>830</v>
      </c>
      <c r="C145">
        <v>1</v>
      </c>
      <c r="D145" t="s">
        <v>18</v>
      </c>
      <c r="E145">
        <v>1</v>
      </c>
      <c r="F145" t="s">
        <v>690</v>
      </c>
      <c r="G145" t="s">
        <v>4041</v>
      </c>
      <c r="H145" t="s">
        <v>2348</v>
      </c>
      <c r="I145" t="s">
        <v>4042</v>
      </c>
      <c r="J145" t="s">
        <v>2383</v>
      </c>
      <c r="O145" t="str">
        <f>INDEX(Grant[Country],MATCH(0,INDEX(COUNTIF($O$2:O144,Grant[Country]),),0))</f>
        <v>Panama</v>
      </c>
      <c r="T145" t="s">
        <v>830</v>
      </c>
      <c r="U145" t="s">
        <v>690</v>
      </c>
      <c r="V145" t="s">
        <v>2348</v>
      </c>
      <c r="W145" t="s">
        <v>2383</v>
      </c>
      <c r="X145" s="1278"/>
    </row>
    <row r="146" spans="1:24">
      <c r="A146">
        <v>53</v>
      </c>
      <c r="B146" t="s">
        <v>831</v>
      </c>
      <c r="C146">
        <v>1</v>
      </c>
      <c r="D146" t="s">
        <v>18</v>
      </c>
      <c r="E146">
        <v>4</v>
      </c>
      <c r="F146" t="s">
        <v>1911</v>
      </c>
      <c r="G146" t="s">
        <v>3460</v>
      </c>
      <c r="H146" t="s">
        <v>1905</v>
      </c>
      <c r="I146" t="s">
        <v>3461</v>
      </c>
      <c r="J146" t="s">
        <v>2382</v>
      </c>
      <c r="O146" t="str">
        <f>INDEX(Grant[Country],MATCH(0,INDEX(COUNTIF($O$2:O145,Grant[Country]),),0))</f>
        <v>Papua New Guinea</v>
      </c>
      <c r="T146" t="s">
        <v>831</v>
      </c>
      <c r="U146" t="s">
        <v>1911</v>
      </c>
      <c r="V146" t="s">
        <v>1905</v>
      </c>
      <c r="W146" t="s">
        <v>2382</v>
      </c>
      <c r="X146" s="1278"/>
    </row>
    <row r="147" spans="1:24">
      <c r="A147">
        <v>82</v>
      </c>
      <c r="B147" t="s">
        <v>832</v>
      </c>
      <c r="C147">
        <v>1</v>
      </c>
      <c r="D147" t="s">
        <v>18</v>
      </c>
      <c r="E147">
        <v>1</v>
      </c>
      <c r="F147" t="s">
        <v>690</v>
      </c>
      <c r="G147" t="s">
        <v>3837</v>
      </c>
      <c r="H147" t="s">
        <v>2035</v>
      </c>
      <c r="I147" t="s">
        <v>3839</v>
      </c>
      <c r="J147" t="s">
        <v>2038</v>
      </c>
      <c r="O147" t="str">
        <f>INDEX(Grant[Country],MATCH(0,INDEX(COUNTIF($O$2:O146,Grant[Country]),),0))</f>
        <v>Paraguay</v>
      </c>
      <c r="T147" t="s">
        <v>832</v>
      </c>
      <c r="U147" t="s">
        <v>690</v>
      </c>
      <c r="V147" t="s">
        <v>2035</v>
      </c>
      <c r="W147" t="s">
        <v>2038</v>
      </c>
      <c r="X147" s="1278"/>
    </row>
    <row r="148" spans="1:24">
      <c r="A148">
        <v>82</v>
      </c>
      <c r="B148" t="s">
        <v>832</v>
      </c>
      <c r="C148">
        <v>1</v>
      </c>
      <c r="D148" t="s">
        <v>18</v>
      </c>
      <c r="E148">
        <v>3</v>
      </c>
      <c r="F148" t="s">
        <v>19</v>
      </c>
      <c r="G148" t="s">
        <v>3837</v>
      </c>
      <c r="H148" t="s">
        <v>2035</v>
      </c>
      <c r="I148" t="s">
        <v>4010</v>
      </c>
      <c r="J148" t="s">
        <v>2037</v>
      </c>
      <c r="O148" t="str">
        <f>INDEX(Grant[Country],MATCH(0,INDEX(COUNTIF($O$2:O147,Grant[Country]),),0))</f>
        <v>Peru</v>
      </c>
      <c r="T148" t="s">
        <v>832</v>
      </c>
      <c r="U148" t="s">
        <v>19</v>
      </c>
      <c r="V148" t="s">
        <v>2035</v>
      </c>
      <c r="W148" t="s">
        <v>2037</v>
      </c>
      <c r="X148" s="1278"/>
    </row>
    <row r="149" spans="1:24">
      <c r="A149">
        <v>82</v>
      </c>
      <c r="B149" t="s">
        <v>832</v>
      </c>
      <c r="C149">
        <v>1</v>
      </c>
      <c r="D149" t="s">
        <v>18</v>
      </c>
      <c r="E149">
        <v>2</v>
      </c>
      <c r="F149" t="s">
        <v>688</v>
      </c>
      <c r="G149" t="s">
        <v>3837</v>
      </c>
      <c r="H149" t="s">
        <v>2035</v>
      </c>
      <c r="I149" t="s">
        <v>3838</v>
      </c>
      <c r="J149" t="s">
        <v>2036</v>
      </c>
      <c r="O149" t="str">
        <f>INDEX(Grant[Country],MATCH(0,INDEX(COUNTIF($O$2:O148,Grant[Country]),),0))</f>
        <v>Philippines</v>
      </c>
      <c r="T149" t="s">
        <v>832</v>
      </c>
      <c r="U149" t="s">
        <v>688</v>
      </c>
      <c r="V149" t="s">
        <v>2035</v>
      </c>
      <c r="W149" t="s">
        <v>2036</v>
      </c>
      <c r="X149" s="1278"/>
    </row>
    <row r="150" spans="1:24">
      <c r="A150">
        <v>49</v>
      </c>
      <c r="B150" t="s">
        <v>833</v>
      </c>
      <c r="C150">
        <v>1</v>
      </c>
      <c r="D150" t="s">
        <v>18</v>
      </c>
      <c r="E150">
        <v>3</v>
      </c>
      <c r="F150" t="s">
        <v>19</v>
      </c>
      <c r="G150" t="s">
        <v>4011</v>
      </c>
      <c r="H150" t="s">
        <v>4012</v>
      </c>
      <c r="I150" t="s">
        <v>4013</v>
      </c>
      <c r="J150" t="s">
        <v>2299</v>
      </c>
      <c r="O150" t="str">
        <f>INDEX(Grant[Country],MATCH(0,INDEX(COUNTIF($O$2:O149,Grant[Country]),),0))</f>
        <v>Poland</v>
      </c>
      <c r="T150" t="s">
        <v>833</v>
      </c>
      <c r="U150" t="s">
        <v>19</v>
      </c>
      <c r="V150" t="s">
        <v>4012</v>
      </c>
      <c r="W150" t="s">
        <v>2299</v>
      </c>
      <c r="X150" s="1278"/>
    </row>
    <row r="151" spans="1:24">
      <c r="A151">
        <v>27</v>
      </c>
      <c r="B151" t="s">
        <v>834</v>
      </c>
      <c r="C151">
        <v>1</v>
      </c>
      <c r="D151" t="s">
        <v>18</v>
      </c>
      <c r="E151">
        <v>1</v>
      </c>
      <c r="F151" t="s">
        <v>690</v>
      </c>
      <c r="G151" t="s">
        <v>3479</v>
      </c>
      <c r="H151" t="s">
        <v>2346</v>
      </c>
      <c r="I151" t="s">
        <v>3481</v>
      </c>
      <c r="J151" t="s">
        <v>2381</v>
      </c>
      <c r="O151" t="str">
        <f>INDEX(Grant[Country],MATCH(0,INDEX(COUNTIF($O$2:O150,Grant[Country]),),0))</f>
        <v>Portugal</v>
      </c>
      <c r="T151" t="s">
        <v>834</v>
      </c>
      <c r="U151" t="s">
        <v>690</v>
      </c>
      <c r="V151" t="s">
        <v>2346</v>
      </c>
      <c r="W151" t="s">
        <v>2381</v>
      </c>
      <c r="X151" s="1278"/>
    </row>
    <row r="152" spans="1:24">
      <c r="A152">
        <v>27</v>
      </c>
      <c r="B152" t="s">
        <v>834</v>
      </c>
      <c r="C152">
        <v>1</v>
      </c>
      <c r="D152" t="s">
        <v>18</v>
      </c>
      <c r="E152">
        <v>3</v>
      </c>
      <c r="F152" t="s">
        <v>19</v>
      </c>
      <c r="G152" t="s">
        <v>3479</v>
      </c>
      <c r="H152" t="s">
        <v>2346</v>
      </c>
      <c r="I152" t="s">
        <v>3480</v>
      </c>
      <c r="J152" t="s">
        <v>2380</v>
      </c>
      <c r="O152" t="str">
        <f>INDEX(Grant[Country],MATCH(0,INDEX(COUNTIF($O$2:O151,Grant[Country]),),0))</f>
        <v>Qatar</v>
      </c>
      <c r="T152" t="s">
        <v>834</v>
      </c>
      <c r="U152" t="s">
        <v>19</v>
      </c>
      <c r="V152" t="s">
        <v>2346</v>
      </c>
      <c r="W152" t="s">
        <v>2380</v>
      </c>
      <c r="X152" s="1278"/>
    </row>
    <row r="153" spans="1:24">
      <c r="A153">
        <v>27</v>
      </c>
      <c r="B153" t="s">
        <v>834</v>
      </c>
      <c r="C153">
        <v>1</v>
      </c>
      <c r="D153" t="s">
        <v>18</v>
      </c>
      <c r="E153">
        <v>2</v>
      </c>
      <c r="F153" t="s">
        <v>688</v>
      </c>
      <c r="G153" t="s">
        <v>3479</v>
      </c>
      <c r="H153" t="s">
        <v>2346</v>
      </c>
      <c r="I153" t="s">
        <v>3482</v>
      </c>
      <c r="J153" t="s">
        <v>2379</v>
      </c>
      <c r="O153" t="str">
        <f>INDEX(Grant[Country],MATCH(0,INDEX(COUNTIF($O$2:O152,Grant[Country]),),0))</f>
        <v>Romania</v>
      </c>
      <c r="T153" t="s">
        <v>834</v>
      </c>
      <c r="U153" t="s">
        <v>688</v>
      </c>
      <c r="V153" t="s">
        <v>2346</v>
      </c>
      <c r="W153" t="s">
        <v>2379</v>
      </c>
      <c r="X153" s="1278"/>
    </row>
    <row r="154" spans="1:24">
      <c r="B154" t="s">
        <v>835</v>
      </c>
      <c r="O154" t="str">
        <f>INDEX(Grant[Country],MATCH(0,INDEX(COUNTIF($O$2:O153,Grant[Country]),),0))</f>
        <v>Russian Federation</v>
      </c>
      <c r="T154" t="s">
        <v>835</v>
      </c>
      <c r="U154" t="s">
        <v>4288</v>
      </c>
      <c r="V154" t="s">
        <v>4288</v>
      </c>
      <c r="W154" t="s">
        <v>4288</v>
      </c>
      <c r="X154" s="1278"/>
    </row>
    <row r="155" spans="1:24">
      <c r="A155">
        <v>63</v>
      </c>
      <c r="B155" t="s">
        <v>2006</v>
      </c>
      <c r="C155">
        <v>1</v>
      </c>
      <c r="D155" t="s">
        <v>18</v>
      </c>
      <c r="E155">
        <v>1</v>
      </c>
      <c r="F155" t="s">
        <v>690</v>
      </c>
      <c r="G155" t="s">
        <v>3535</v>
      </c>
      <c r="H155" t="s">
        <v>2010</v>
      </c>
      <c r="I155" t="s">
        <v>3536</v>
      </c>
      <c r="J155" t="s">
        <v>2011</v>
      </c>
      <c r="O155" t="str">
        <f>INDEX(Grant[Country],MATCH(0,INDEX(COUNTIF($O$2:O154,Grant[Country]),),0))</f>
        <v>Rwanda</v>
      </c>
      <c r="T155" t="s">
        <v>2006</v>
      </c>
      <c r="U155" t="s">
        <v>690</v>
      </c>
      <c r="V155" t="s">
        <v>2010</v>
      </c>
      <c r="W155" t="s">
        <v>2011</v>
      </c>
      <c r="X155" s="1278"/>
    </row>
    <row r="156" spans="1:24">
      <c r="A156">
        <v>63</v>
      </c>
      <c r="B156" t="s">
        <v>2006</v>
      </c>
      <c r="C156">
        <v>1</v>
      </c>
      <c r="D156" t="s">
        <v>18</v>
      </c>
      <c r="E156">
        <v>1</v>
      </c>
      <c r="F156" t="s">
        <v>690</v>
      </c>
      <c r="G156" t="s">
        <v>3533</v>
      </c>
      <c r="H156" t="s">
        <v>2005</v>
      </c>
      <c r="I156" t="s">
        <v>3537</v>
      </c>
      <c r="J156" t="s">
        <v>2009</v>
      </c>
      <c r="O156" t="str">
        <f>INDEX(Grant[Country],MATCH(0,INDEX(COUNTIF($O$2:O155,Grant[Country]),),0))</f>
        <v>Saint Kitts and Nevis</v>
      </c>
      <c r="T156" t="s">
        <v>2006</v>
      </c>
      <c r="U156" t="s">
        <v>690</v>
      </c>
      <c r="V156" t="s">
        <v>2005</v>
      </c>
      <c r="W156" t="s">
        <v>2009</v>
      </c>
      <c r="X156" s="1278"/>
    </row>
    <row r="157" spans="1:24">
      <c r="A157">
        <v>63</v>
      </c>
      <c r="B157" t="s">
        <v>2006</v>
      </c>
      <c r="C157">
        <v>1</v>
      </c>
      <c r="D157" t="s">
        <v>18</v>
      </c>
      <c r="E157">
        <v>3</v>
      </c>
      <c r="F157" t="s">
        <v>19</v>
      </c>
      <c r="G157" t="s">
        <v>3533</v>
      </c>
      <c r="H157" t="s">
        <v>2005</v>
      </c>
      <c r="I157" t="s">
        <v>3534</v>
      </c>
      <c r="J157" t="s">
        <v>2008</v>
      </c>
      <c r="O157" t="str">
        <f>INDEX(Grant[Country],MATCH(0,INDEX(COUNTIF($O$2:O156,Grant[Country]),),0))</f>
        <v>Saint Lucia</v>
      </c>
      <c r="T157" t="s">
        <v>2006</v>
      </c>
      <c r="U157" t="s">
        <v>19</v>
      </c>
      <c r="V157" t="s">
        <v>2005</v>
      </c>
      <c r="W157" t="s">
        <v>2008</v>
      </c>
      <c r="X157" s="1278"/>
    </row>
    <row r="158" spans="1:24">
      <c r="A158">
        <v>63</v>
      </c>
      <c r="B158" t="s">
        <v>2006</v>
      </c>
      <c r="C158">
        <v>1</v>
      </c>
      <c r="D158" t="s">
        <v>18</v>
      </c>
      <c r="E158">
        <v>4</v>
      </c>
      <c r="F158" t="s">
        <v>1911</v>
      </c>
      <c r="G158" t="s">
        <v>3535</v>
      </c>
      <c r="H158" t="s">
        <v>2010</v>
      </c>
      <c r="I158" t="s">
        <v>4097</v>
      </c>
      <c r="J158" t="s">
        <v>2013</v>
      </c>
      <c r="O158" t="str">
        <f>INDEX(Grant[Country],MATCH(0,INDEX(COUNTIF($O$2:O157,Grant[Country]),),0))</f>
        <v>Saint Vincent and Grenadines</v>
      </c>
      <c r="T158" t="s">
        <v>2006</v>
      </c>
      <c r="U158" t="s">
        <v>1911</v>
      </c>
      <c r="V158" t="s">
        <v>2010</v>
      </c>
      <c r="W158" t="s">
        <v>2013</v>
      </c>
      <c r="X158" s="1278"/>
    </row>
    <row r="159" spans="1:24">
      <c r="A159">
        <v>63</v>
      </c>
      <c r="B159" t="s">
        <v>2006</v>
      </c>
      <c r="C159">
        <v>1</v>
      </c>
      <c r="D159" t="s">
        <v>18</v>
      </c>
      <c r="E159">
        <v>4</v>
      </c>
      <c r="F159" t="s">
        <v>1911</v>
      </c>
      <c r="G159" t="s">
        <v>3533</v>
      </c>
      <c r="H159" t="s">
        <v>2005</v>
      </c>
      <c r="I159" t="s">
        <v>4096</v>
      </c>
      <c r="J159" t="s">
        <v>2012</v>
      </c>
      <c r="O159" t="str">
        <f>INDEX(Grant[Country],MATCH(0,INDEX(COUNTIF($O$2:O158,Grant[Country]),),0))</f>
        <v>Samoa</v>
      </c>
      <c r="T159" t="s">
        <v>2006</v>
      </c>
      <c r="U159" t="s">
        <v>1911</v>
      </c>
      <c r="V159" t="s">
        <v>2005</v>
      </c>
      <c r="W159" t="s">
        <v>2012</v>
      </c>
      <c r="X159" s="1278"/>
    </row>
    <row r="160" spans="1:24">
      <c r="A160">
        <v>63</v>
      </c>
      <c r="B160" t="s">
        <v>2006</v>
      </c>
      <c r="C160">
        <v>1</v>
      </c>
      <c r="D160" t="s">
        <v>18</v>
      </c>
      <c r="E160">
        <v>2</v>
      </c>
      <c r="F160" t="s">
        <v>688</v>
      </c>
      <c r="G160" t="s">
        <v>3533</v>
      </c>
      <c r="H160" t="s">
        <v>2005</v>
      </c>
      <c r="I160" t="s">
        <v>3538</v>
      </c>
      <c r="J160" t="s">
        <v>2007</v>
      </c>
      <c r="O160" t="str">
        <f>INDEX(Grant[Country],MATCH(0,INDEX(COUNTIF($O$2:O159,Grant[Country]),),0))</f>
        <v>San Marino</v>
      </c>
      <c r="T160" t="s">
        <v>2006</v>
      </c>
      <c r="U160" t="s">
        <v>688</v>
      </c>
      <c r="V160" t="s">
        <v>2005</v>
      </c>
      <c r="W160" t="s">
        <v>2007</v>
      </c>
      <c r="X160" s="1278"/>
    </row>
    <row r="161" spans="1:24">
      <c r="A161">
        <v>28</v>
      </c>
      <c r="B161" t="s">
        <v>836</v>
      </c>
      <c r="C161">
        <v>1</v>
      </c>
      <c r="D161" t="s">
        <v>18</v>
      </c>
      <c r="E161">
        <v>1</v>
      </c>
      <c r="F161" t="s">
        <v>690</v>
      </c>
      <c r="G161" t="s">
        <v>3656</v>
      </c>
      <c r="H161" t="s">
        <v>2356</v>
      </c>
      <c r="I161" t="s">
        <v>3657</v>
      </c>
      <c r="J161" t="s">
        <v>2378</v>
      </c>
      <c r="O161" t="str">
        <f>INDEX(Grant[Country],MATCH(0,INDEX(COUNTIF($O$2:O160,Grant[Country]),),0))</f>
        <v>Sao Tome and Principe</v>
      </c>
      <c r="T161" t="s">
        <v>836</v>
      </c>
      <c r="U161" t="s">
        <v>690</v>
      </c>
      <c r="V161" t="s">
        <v>2356</v>
      </c>
      <c r="W161" t="s">
        <v>2378</v>
      </c>
      <c r="X161" s="1278"/>
    </row>
    <row r="162" spans="1:24">
      <c r="A162">
        <v>28</v>
      </c>
      <c r="B162" t="s">
        <v>836</v>
      </c>
      <c r="C162">
        <v>1</v>
      </c>
      <c r="D162" t="s">
        <v>18</v>
      </c>
      <c r="E162">
        <v>3</v>
      </c>
      <c r="F162" t="s">
        <v>19</v>
      </c>
      <c r="G162" t="s">
        <v>3652</v>
      </c>
      <c r="H162" t="s">
        <v>2362</v>
      </c>
      <c r="I162" t="s">
        <v>3654</v>
      </c>
      <c r="J162" t="s">
        <v>2377</v>
      </c>
      <c r="O162" t="str">
        <f>INDEX(Grant[Country],MATCH(0,INDEX(COUNTIF($O$2:O161,Grant[Country]),),0))</f>
        <v>Saudi Arabia</v>
      </c>
      <c r="T162" t="s">
        <v>836</v>
      </c>
      <c r="U162" t="s">
        <v>19</v>
      </c>
      <c r="V162" t="s">
        <v>2362</v>
      </c>
      <c r="W162" t="s">
        <v>2377</v>
      </c>
      <c r="X162" s="1278"/>
    </row>
    <row r="163" spans="1:24">
      <c r="A163">
        <v>28</v>
      </c>
      <c r="B163" t="s">
        <v>836</v>
      </c>
      <c r="C163">
        <v>1</v>
      </c>
      <c r="D163" t="s">
        <v>18</v>
      </c>
      <c r="E163">
        <v>3</v>
      </c>
      <c r="F163" t="s">
        <v>19</v>
      </c>
      <c r="G163" t="s">
        <v>3451</v>
      </c>
      <c r="H163" t="s">
        <v>2342</v>
      </c>
      <c r="I163" t="s">
        <v>3452</v>
      </c>
      <c r="J163" t="s">
        <v>2376</v>
      </c>
      <c r="O163" t="str">
        <f>INDEX(Grant[Country],MATCH(0,INDEX(COUNTIF($O$2:O162,Grant[Country]),),0))</f>
        <v>Senegal</v>
      </c>
      <c r="T163" t="s">
        <v>836</v>
      </c>
      <c r="U163" t="s">
        <v>19</v>
      </c>
      <c r="V163" t="s">
        <v>2342</v>
      </c>
      <c r="W163" t="s">
        <v>2376</v>
      </c>
      <c r="X163" s="1278"/>
    </row>
    <row r="164" spans="1:24">
      <c r="A164">
        <v>28</v>
      </c>
      <c r="B164" t="s">
        <v>836</v>
      </c>
      <c r="C164">
        <v>1</v>
      </c>
      <c r="D164" t="s">
        <v>18</v>
      </c>
      <c r="E164">
        <v>6</v>
      </c>
      <c r="F164" t="s">
        <v>1911</v>
      </c>
      <c r="G164" t="s">
        <v>3652</v>
      </c>
      <c r="H164" t="s">
        <v>2362</v>
      </c>
      <c r="I164" t="s">
        <v>3655</v>
      </c>
      <c r="J164" t="s">
        <v>2375</v>
      </c>
      <c r="O164" t="str">
        <f>INDEX(Grant[Country],MATCH(0,INDEX(COUNTIF($O$2:O163,Grant[Country]),),0))</f>
        <v>Serbia</v>
      </c>
      <c r="T164" t="s">
        <v>836</v>
      </c>
      <c r="U164" t="s">
        <v>1911</v>
      </c>
      <c r="V164" t="s">
        <v>2362</v>
      </c>
      <c r="W164" t="s">
        <v>2375</v>
      </c>
      <c r="X164" s="1278"/>
    </row>
    <row r="165" spans="1:24">
      <c r="A165">
        <v>28</v>
      </c>
      <c r="B165" t="s">
        <v>836</v>
      </c>
      <c r="C165">
        <v>1</v>
      </c>
      <c r="D165" t="s">
        <v>18</v>
      </c>
      <c r="E165">
        <v>2</v>
      </c>
      <c r="F165" t="s">
        <v>688</v>
      </c>
      <c r="G165" t="s">
        <v>3652</v>
      </c>
      <c r="H165" t="s">
        <v>2362</v>
      </c>
      <c r="I165" t="s">
        <v>3653</v>
      </c>
      <c r="J165" t="s">
        <v>2374</v>
      </c>
      <c r="O165" t="str">
        <f>INDEX(Grant[Country],MATCH(0,INDEX(COUNTIF($O$2:O164,Grant[Country]),),0))</f>
        <v>Seychelles</v>
      </c>
      <c r="T165" t="s">
        <v>836</v>
      </c>
      <c r="U165" t="s">
        <v>688</v>
      </c>
      <c r="V165" t="s">
        <v>2362</v>
      </c>
      <c r="W165" t="s">
        <v>2374</v>
      </c>
      <c r="X165" s="1278"/>
    </row>
    <row r="166" spans="1:24">
      <c r="B166" t="s">
        <v>4204</v>
      </c>
      <c r="O166" t="str">
        <f>INDEX(Grant[Country],MATCH(0,INDEX(COUNTIF($O$2:O165,Grant[Country]),),0))</f>
        <v>Sierra Leone</v>
      </c>
      <c r="T166" t="s">
        <v>4204</v>
      </c>
      <c r="U166" t="s">
        <v>4288</v>
      </c>
      <c r="V166" t="s">
        <v>4288</v>
      </c>
      <c r="W166" t="s">
        <v>4288</v>
      </c>
      <c r="X166" s="1278"/>
    </row>
    <row r="167" spans="1:24">
      <c r="A167">
        <v>224</v>
      </c>
      <c r="B167" t="s">
        <v>837</v>
      </c>
      <c r="C167">
        <v>1</v>
      </c>
      <c r="D167" t="s">
        <v>18</v>
      </c>
      <c r="E167">
        <v>2</v>
      </c>
      <c r="F167" t="s">
        <v>688</v>
      </c>
      <c r="G167" t="s">
        <v>3965</v>
      </c>
      <c r="H167" t="s">
        <v>2372</v>
      </c>
      <c r="I167" t="s">
        <v>3966</v>
      </c>
      <c r="J167" t="s">
        <v>2373</v>
      </c>
      <c r="O167" t="str">
        <f>INDEX(Grant[Country],MATCH(0,INDEX(COUNTIF($O$2:O166,Grant[Country]),),0))</f>
        <v>Singapore</v>
      </c>
      <c r="T167" t="s">
        <v>837</v>
      </c>
      <c r="U167" t="s">
        <v>688</v>
      </c>
      <c r="V167" t="s">
        <v>2372</v>
      </c>
      <c r="W167" t="s">
        <v>2373</v>
      </c>
      <c r="X167" s="1278"/>
    </row>
    <row r="168" spans="1:24">
      <c r="B168" t="s">
        <v>4205</v>
      </c>
      <c r="O168" t="str">
        <f>INDEX(Grant[Country],MATCH(0,INDEX(COUNTIF($O$2:O167,Grant[Country]),),0))</f>
        <v>Sint Maarten (Dutch part)</v>
      </c>
      <c r="T168" t="s">
        <v>4205</v>
      </c>
      <c r="U168" t="s">
        <v>4288</v>
      </c>
      <c r="V168" t="s">
        <v>4288</v>
      </c>
      <c r="W168" t="s">
        <v>4288</v>
      </c>
      <c r="X168" s="1278"/>
    </row>
    <row r="169" spans="1:24">
      <c r="B169" t="s">
        <v>4206</v>
      </c>
      <c r="O169" t="str">
        <f>INDEX(Grant[Country],MATCH(0,INDEX(COUNTIF($O$2:O168,Grant[Country]),),0))</f>
        <v>Slovakia</v>
      </c>
      <c r="T169" t="s">
        <v>4206</v>
      </c>
      <c r="U169" t="s">
        <v>4288</v>
      </c>
      <c r="V169" t="s">
        <v>4288</v>
      </c>
      <c r="W169" t="s">
        <v>4288</v>
      </c>
      <c r="X169" s="1278"/>
    </row>
    <row r="170" spans="1:24">
      <c r="A170">
        <v>50</v>
      </c>
      <c r="B170" t="s">
        <v>838</v>
      </c>
      <c r="C170">
        <v>2</v>
      </c>
      <c r="D170" t="s">
        <v>53</v>
      </c>
      <c r="E170">
        <v>2</v>
      </c>
      <c r="F170" t="s">
        <v>688</v>
      </c>
      <c r="G170" t="s">
        <v>4103</v>
      </c>
      <c r="H170" t="s">
        <v>2338</v>
      </c>
      <c r="I170" t="s">
        <v>4104</v>
      </c>
      <c r="J170" t="s">
        <v>2339</v>
      </c>
      <c r="O170" t="str">
        <f>INDEX(Grant[Country],MATCH(0,INDEX(COUNTIF($O$2:O169,Grant[Country]),),0))</f>
        <v>Slovenia</v>
      </c>
      <c r="T170" t="s">
        <v>838</v>
      </c>
      <c r="U170" t="s">
        <v>688</v>
      </c>
      <c r="V170" t="s">
        <v>2338</v>
      </c>
      <c r="W170" t="s">
        <v>2339</v>
      </c>
      <c r="X170" s="1278"/>
    </row>
    <row r="171" spans="1:24">
      <c r="A171">
        <v>50</v>
      </c>
      <c r="B171" t="s">
        <v>838</v>
      </c>
      <c r="C171">
        <v>2</v>
      </c>
      <c r="D171" t="s">
        <v>53</v>
      </c>
      <c r="E171">
        <v>2</v>
      </c>
      <c r="F171" t="s">
        <v>688</v>
      </c>
      <c r="G171" t="s">
        <v>3719</v>
      </c>
      <c r="H171" t="s">
        <v>2336</v>
      </c>
      <c r="I171" t="s">
        <v>3720</v>
      </c>
      <c r="J171" t="s">
        <v>2337</v>
      </c>
      <c r="O171" t="str">
        <f>INDEX(Grant[Country],MATCH(0,INDEX(COUNTIF($O$2:O170,Grant[Country]),),0))</f>
        <v>Solomon Islands</v>
      </c>
      <c r="T171" t="s">
        <v>838</v>
      </c>
      <c r="U171" t="s">
        <v>688</v>
      </c>
      <c r="V171" t="s">
        <v>2336</v>
      </c>
      <c r="W171" t="s">
        <v>2337</v>
      </c>
      <c r="X171" s="1278"/>
    </row>
    <row r="172" spans="1:24">
      <c r="A172">
        <v>68</v>
      </c>
      <c r="B172" t="s">
        <v>839</v>
      </c>
      <c r="C172">
        <v>1</v>
      </c>
      <c r="D172" t="s">
        <v>18</v>
      </c>
      <c r="E172">
        <v>1</v>
      </c>
      <c r="F172" t="s">
        <v>690</v>
      </c>
      <c r="G172" t="s">
        <v>3783</v>
      </c>
      <c r="H172" t="s">
        <v>2312</v>
      </c>
      <c r="I172" t="s">
        <v>3784</v>
      </c>
      <c r="J172" t="s">
        <v>2313</v>
      </c>
      <c r="O172" t="str">
        <f>INDEX(Grant[Country],MATCH(0,INDEX(COUNTIF($O$2:O171,Grant[Country]),),0))</f>
        <v>Somalia</v>
      </c>
      <c r="T172" t="s">
        <v>839</v>
      </c>
      <c r="U172" t="s">
        <v>690</v>
      </c>
      <c r="V172" t="s">
        <v>2312</v>
      </c>
      <c r="W172" t="s">
        <v>2313</v>
      </c>
      <c r="X172" s="1278"/>
    </row>
    <row r="173" spans="1:24">
      <c r="A173">
        <v>68</v>
      </c>
      <c r="B173" t="s">
        <v>839</v>
      </c>
      <c r="C173">
        <v>1</v>
      </c>
      <c r="D173" t="s">
        <v>18</v>
      </c>
      <c r="E173">
        <v>1</v>
      </c>
      <c r="F173" t="s">
        <v>690</v>
      </c>
      <c r="G173" t="s">
        <v>3785</v>
      </c>
      <c r="H173" t="s">
        <v>2310</v>
      </c>
      <c r="I173" t="s">
        <v>3786</v>
      </c>
      <c r="J173" t="s">
        <v>2311</v>
      </c>
      <c r="O173" t="str">
        <f>INDEX(Grant[Country],MATCH(0,INDEX(COUNTIF($O$2:O172,Grant[Country]),),0))</f>
        <v>South Africa</v>
      </c>
      <c r="T173" t="s">
        <v>839</v>
      </c>
      <c r="U173" t="s">
        <v>690</v>
      </c>
      <c r="V173" t="s">
        <v>2310</v>
      </c>
      <c r="W173" t="s">
        <v>2311</v>
      </c>
      <c r="X173" s="1278"/>
    </row>
    <row r="174" spans="1:24">
      <c r="A174">
        <v>68</v>
      </c>
      <c r="B174" t="s">
        <v>839</v>
      </c>
      <c r="C174">
        <v>1</v>
      </c>
      <c r="D174" t="s">
        <v>18</v>
      </c>
      <c r="E174">
        <v>3</v>
      </c>
      <c r="F174" t="s">
        <v>19</v>
      </c>
      <c r="G174" t="s">
        <v>3781</v>
      </c>
      <c r="H174" t="s">
        <v>2042</v>
      </c>
      <c r="I174" t="s">
        <v>3782</v>
      </c>
      <c r="J174" t="s">
        <v>2309</v>
      </c>
      <c r="O174" t="str">
        <f>INDEX(Grant[Country],MATCH(0,INDEX(COUNTIF($O$2:O173,Grant[Country]),),0))</f>
        <v>South Sudan</v>
      </c>
      <c r="T174" t="s">
        <v>839</v>
      </c>
      <c r="U174" t="s">
        <v>19</v>
      </c>
      <c r="V174" t="s">
        <v>2042</v>
      </c>
      <c r="W174" t="s">
        <v>2309</v>
      </c>
      <c r="X174" s="1278"/>
    </row>
    <row r="175" spans="1:24">
      <c r="A175">
        <v>68</v>
      </c>
      <c r="B175" t="s">
        <v>839</v>
      </c>
      <c r="C175">
        <v>1</v>
      </c>
      <c r="D175" t="s">
        <v>18</v>
      </c>
      <c r="E175">
        <v>3</v>
      </c>
      <c r="F175" t="s">
        <v>19</v>
      </c>
      <c r="G175" t="s">
        <v>3779</v>
      </c>
      <c r="H175" t="s">
        <v>2307</v>
      </c>
      <c r="I175" t="s">
        <v>3780</v>
      </c>
      <c r="J175" t="s">
        <v>2308</v>
      </c>
      <c r="O175" t="str">
        <f>INDEX(Grant[Country],MATCH(0,INDEX(COUNTIF($O$2:O174,Grant[Country]),),0))</f>
        <v>Spain</v>
      </c>
      <c r="T175" t="s">
        <v>839</v>
      </c>
      <c r="U175" t="s">
        <v>19</v>
      </c>
      <c r="V175" t="s">
        <v>2307</v>
      </c>
      <c r="W175" t="s">
        <v>2308</v>
      </c>
      <c r="X175" s="1278"/>
    </row>
    <row r="176" spans="1:24">
      <c r="A176">
        <v>68</v>
      </c>
      <c r="B176" t="s">
        <v>839</v>
      </c>
      <c r="C176">
        <v>1</v>
      </c>
      <c r="D176" t="s">
        <v>18</v>
      </c>
      <c r="E176">
        <v>4</v>
      </c>
      <c r="F176" t="s">
        <v>1911</v>
      </c>
      <c r="G176" t="s">
        <v>3783</v>
      </c>
      <c r="H176" t="s">
        <v>2312</v>
      </c>
      <c r="I176" t="s">
        <v>4049</v>
      </c>
      <c r="J176" t="s">
        <v>2315</v>
      </c>
      <c r="O176" t="str">
        <f>INDEX(Grant[Country],MATCH(0,INDEX(COUNTIF($O$2:O175,Grant[Country]),),0))</f>
        <v>Sri Lanka</v>
      </c>
      <c r="T176" t="s">
        <v>839</v>
      </c>
      <c r="U176" t="s">
        <v>1911</v>
      </c>
      <c r="V176" t="s">
        <v>2312</v>
      </c>
      <c r="W176" t="s">
        <v>2315</v>
      </c>
      <c r="X176" s="1278"/>
    </row>
    <row r="177" spans="1:24">
      <c r="A177">
        <v>68</v>
      </c>
      <c r="B177" t="s">
        <v>839</v>
      </c>
      <c r="C177">
        <v>1</v>
      </c>
      <c r="D177" t="s">
        <v>18</v>
      </c>
      <c r="E177">
        <v>4</v>
      </c>
      <c r="F177" t="s">
        <v>1911</v>
      </c>
      <c r="G177" t="s">
        <v>3785</v>
      </c>
      <c r="H177" t="s">
        <v>2310</v>
      </c>
      <c r="I177" t="s">
        <v>4046</v>
      </c>
      <c r="J177" t="s">
        <v>2314</v>
      </c>
      <c r="O177" t="str">
        <f>INDEX(Grant[Country],MATCH(0,INDEX(COUNTIF($O$2:O176,Grant[Country]),),0))</f>
        <v>Sudan</v>
      </c>
      <c r="T177" t="s">
        <v>839</v>
      </c>
      <c r="U177" t="s">
        <v>1911</v>
      </c>
      <c r="V177" t="s">
        <v>2310</v>
      </c>
      <c r="W177" t="s">
        <v>2314</v>
      </c>
      <c r="X177" s="1278"/>
    </row>
    <row r="178" spans="1:24">
      <c r="A178">
        <v>164</v>
      </c>
      <c r="B178" t="s">
        <v>840</v>
      </c>
      <c r="C178">
        <v>1</v>
      </c>
      <c r="D178" t="s">
        <v>18</v>
      </c>
      <c r="E178">
        <v>1</v>
      </c>
      <c r="F178" t="s">
        <v>690</v>
      </c>
      <c r="G178" t="s">
        <v>3950</v>
      </c>
      <c r="H178" t="s">
        <v>2333</v>
      </c>
      <c r="I178" t="s">
        <v>3952</v>
      </c>
      <c r="J178" t="s">
        <v>2335</v>
      </c>
      <c r="O178" t="str">
        <f>INDEX(Grant[Country],MATCH(0,INDEX(COUNTIF($O$2:O177,Grant[Country]),),0))</f>
        <v>Suriname</v>
      </c>
      <c r="T178" t="s">
        <v>840</v>
      </c>
      <c r="U178" t="s">
        <v>690</v>
      </c>
      <c r="V178" t="s">
        <v>2333</v>
      </c>
      <c r="W178" t="s">
        <v>2335</v>
      </c>
      <c r="X178" s="1278"/>
    </row>
    <row r="179" spans="1:24">
      <c r="A179">
        <v>164</v>
      </c>
      <c r="B179" t="s">
        <v>840</v>
      </c>
      <c r="C179">
        <v>1</v>
      </c>
      <c r="D179" t="s">
        <v>18</v>
      </c>
      <c r="E179">
        <v>2</v>
      </c>
      <c r="F179" t="s">
        <v>688</v>
      </c>
      <c r="G179" t="s">
        <v>3950</v>
      </c>
      <c r="H179" t="s">
        <v>2333</v>
      </c>
      <c r="I179" t="s">
        <v>3951</v>
      </c>
      <c r="J179" t="s">
        <v>2334</v>
      </c>
      <c r="O179" t="str">
        <f>INDEX(Grant[Country],MATCH(0,INDEX(COUNTIF($O$2:O178,Grant[Country]),),0))</f>
        <v>Sweden</v>
      </c>
      <c r="T179" t="s">
        <v>840</v>
      </c>
      <c r="U179" t="s">
        <v>688</v>
      </c>
      <c r="V179" t="s">
        <v>2333</v>
      </c>
      <c r="W179" t="s">
        <v>2334</v>
      </c>
      <c r="X179" s="1278"/>
    </row>
    <row r="180" spans="1:24">
      <c r="B180" t="s">
        <v>4207</v>
      </c>
      <c r="O180" t="str">
        <f>INDEX(Grant[Country],MATCH(0,INDEX(COUNTIF($O$2:O179,Grant[Country]),),0))</f>
        <v>Switzerland</v>
      </c>
      <c r="T180" t="s">
        <v>4207</v>
      </c>
      <c r="U180" t="s">
        <v>4288</v>
      </c>
      <c r="V180" t="s">
        <v>4288</v>
      </c>
      <c r="W180" t="s">
        <v>4288</v>
      </c>
      <c r="X180" s="1278"/>
    </row>
    <row r="181" spans="1:24">
      <c r="A181">
        <v>69</v>
      </c>
      <c r="B181" t="s">
        <v>841</v>
      </c>
      <c r="C181">
        <v>1</v>
      </c>
      <c r="D181" t="s">
        <v>18</v>
      </c>
      <c r="E181">
        <v>1</v>
      </c>
      <c r="F181" t="s">
        <v>690</v>
      </c>
      <c r="G181" t="s">
        <v>3539</v>
      </c>
      <c r="H181" t="s">
        <v>2330</v>
      </c>
      <c r="I181" t="s">
        <v>3540</v>
      </c>
      <c r="J181" t="s">
        <v>2331</v>
      </c>
      <c r="O181" t="str">
        <f>INDEX(Grant[Country],MATCH(0,INDEX(COUNTIF($O$2:O180,Grant[Country]),),0))</f>
        <v>Syrian Arab Republic</v>
      </c>
      <c r="T181" t="s">
        <v>841</v>
      </c>
      <c r="U181" t="s">
        <v>690</v>
      </c>
      <c r="V181" t="s">
        <v>2330</v>
      </c>
      <c r="W181" t="s">
        <v>2331</v>
      </c>
      <c r="X181" s="1278"/>
    </row>
    <row r="182" spans="1:24">
      <c r="A182">
        <v>69</v>
      </c>
      <c r="B182" t="s">
        <v>841</v>
      </c>
      <c r="C182">
        <v>1</v>
      </c>
      <c r="D182" t="s">
        <v>18</v>
      </c>
      <c r="E182">
        <v>1</v>
      </c>
      <c r="F182" t="s">
        <v>690</v>
      </c>
      <c r="G182" t="s">
        <v>3541</v>
      </c>
      <c r="H182" t="s">
        <v>2322</v>
      </c>
      <c r="I182" t="s">
        <v>3542</v>
      </c>
      <c r="J182" t="s">
        <v>2329</v>
      </c>
      <c r="O182" t="str">
        <f>INDEX(Grant[Country],MATCH(0,INDEX(COUNTIF($O$2:O181,Grant[Country]),),0))</f>
        <v>Taiwan</v>
      </c>
      <c r="T182" t="s">
        <v>841</v>
      </c>
      <c r="U182" t="s">
        <v>690</v>
      </c>
      <c r="V182" t="s">
        <v>2322</v>
      </c>
      <c r="W182" t="s">
        <v>2329</v>
      </c>
      <c r="X182" s="1278"/>
    </row>
    <row r="183" spans="1:24">
      <c r="A183">
        <v>69</v>
      </c>
      <c r="B183" t="s">
        <v>841</v>
      </c>
      <c r="C183">
        <v>1</v>
      </c>
      <c r="D183" t="s">
        <v>18</v>
      </c>
      <c r="E183">
        <v>1</v>
      </c>
      <c r="F183" t="s">
        <v>690</v>
      </c>
      <c r="G183" t="s">
        <v>4057</v>
      </c>
      <c r="H183" t="s">
        <v>2327</v>
      </c>
      <c r="I183" t="s">
        <v>4058</v>
      </c>
      <c r="J183" t="s">
        <v>2328</v>
      </c>
      <c r="O183" t="str">
        <f>INDEX(Grant[Country],MATCH(0,INDEX(COUNTIF($O$2:O182,Grant[Country]),),0))</f>
        <v>Tajikistan</v>
      </c>
      <c r="T183" t="s">
        <v>841</v>
      </c>
      <c r="U183" t="s">
        <v>690</v>
      </c>
      <c r="V183" t="s">
        <v>2327</v>
      </c>
      <c r="W183" t="s">
        <v>2328</v>
      </c>
      <c r="X183" s="1278"/>
    </row>
    <row r="184" spans="1:24">
      <c r="A184">
        <v>69</v>
      </c>
      <c r="B184" t="s">
        <v>841</v>
      </c>
      <c r="C184">
        <v>1</v>
      </c>
      <c r="D184" t="s">
        <v>18</v>
      </c>
      <c r="E184">
        <v>3</v>
      </c>
      <c r="F184" t="s">
        <v>19</v>
      </c>
      <c r="G184" t="s">
        <v>3543</v>
      </c>
      <c r="H184" t="s">
        <v>2325</v>
      </c>
      <c r="I184" t="s">
        <v>3544</v>
      </c>
      <c r="J184" t="s">
        <v>2326</v>
      </c>
      <c r="O184" t="str">
        <f>INDEX(Grant[Country],MATCH(0,INDEX(COUNTIF($O$2:O183,Grant[Country]),),0))</f>
        <v>Tanzania (United Republic)</v>
      </c>
      <c r="T184" t="s">
        <v>841</v>
      </c>
      <c r="U184" t="s">
        <v>19</v>
      </c>
      <c r="V184" t="s">
        <v>2325</v>
      </c>
      <c r="W184" t="s">
        <v>2326</v>
      </c>
      <c r="X184" s="1278"/>
    </row>
    <row r="185" spans="1:24">
      <c r="A185">
        <v>69</v>
      </c>
      <c r="B185" t="s">
        <v>841</v>
      </c>
      <c r="C185">
        <v>1</v>
      </c>
      <c r="D185" t="s">
        <v>18</v>
      </c>
      <c r="E185">
        <v>3</v>
      </c>
      <c r="F185" t="s">
        <v>19</v>
      </c>
      <c r="G185" t="s">
        <v>3541</v>
      </c>
      <c r="H185" t="s">
        <v>2322</v>
      </c>
      <c r="I185" t="s">
        <v>3545</v>
      </c>
      <c r="J185" t="s">
        <v>2324</v>
      </c>
      <c r="O185" t="str">
        <f>INDEX(Grant[Country],MATCH(0,INDEX(COUNTIF($O$2:O184,Grant[Country]),),0))</f>
        <v>Thailand</v>
      </c>
      <c r="T185" t="s">
        <v>841</v>
      </c>
      <c r="U185" t="s">
        <v>19</v>
      </c>
      <c r="V185" t="s">
        <v>2322</v>
      </c>
      <c r="W185" t="s">
        <v>2324</v>
      </c>
      <c r="X185" s="1278"/>
    </row>
    <row r="186" spans="1:24">
      <c r="A186">
        <v>69</v>
      </c>
      <c r="B186" t="s">
        <v>841</v>
      </c>
      <c r="C186">
        <v>1</v>
      </c>
      <c r="D186" t="s">
        <v>18</v>
      </c>
      <c r="E186">
        <v>4</v>
      </c>
      <c r="F186" t="s">
        <v>1911</v>
      </c>
      <c r="G186" t="s">
        <v>3541</v>
      </c>
      <c r="H186" t="s">
        <v>2322</v>
      </c>
      <c r="I186" t="s">
        <v>4059</v>
      </c>
      <c r="J186" t="s">
        <v>2332</v>
      </c>
      <c r="O186" t="str">
        <f>INDEX(Grant[Country],MATCH(0,INDEX(COUNTIF($O$2:O185,Grant[Country]),),0))</f>
        <v>Timor-Leste</v>
      </c>
      <c r="T186" t="s">
        <v>841</v>
      </c>
      <c r="U186" t="s">
        <v>1911</v>
      </c>
      <c r="V186" t="s">
        <v>2322</v>
      </c>
      <c r="W186" t="s">
        <v>2332</v>
      </c>
      <c r="X186" s="1278"/>
    </row>
    <row r="187" spans="1:24">
      <c r="A187">
        <v>69</v>
      </c>
      <c r="B187" t="s">
        <v>841</v>
      </c>
      <c r="C187">
        <v>1</v>
      </c>
      <c r="D187" t="s">
        <v>18</v>
      </c>
      <c r="E187">
        <v>2</v>
      </c>
      <c r="F187" t="s">
        <v>688</v>
      </c>
      <c r="G187" t="s">
        <v>3541</v>
      </c>
      <c r="H187" t="s">
        <v>2322</v>
      </c>
      <c r="I187" t="s">
        <v>3546</v>
      </c>
      <c r="J187" t="s">
        <v>2323</v>
      </c>
      <c r="O187" t="str">
        <f>INDEX(Grant[Country],MATCH(0,INDEX(COUNTIF($O$2:O186,Grant[Country]),),0))</f>
        <v>Togo</v>
      </c>
      <c r="T187" t="s">
        <v>841</v>
      </c>
      <c r="U187" t="s">
        <v>688</v>
      </c>
      <c r="V187" t="s">
        <v>2322</v>
      </c>
      <c r="W187" t="s">
        <v>2323</v>
      </c>
      <c r="X187" s="1278"/>
    </row>
    <row r="188" spans="1:24">
      <c r="B188" t="s">
        <v>4208</v>
      </c>
      <c r="O188" t="str">
        <f>INDEX(Grant[Country],MATCH(0,INDEX(COUNTIF($O$2:O187,Grant[Country]),),0))</f>
        <v>Tokelau</v>
      </c>
      <c r="T188" t="s">
        <v>4208</v>
      </c>
      <c r="U188" t="s">
        <v>4288</v>
      </c>
      <c r="V188" t="s">
        <v>4288</v>
      </c>
      <c r="W188" t="s">
        <v>4288</v>
      </c>
      <c r="X188" s="1278"/>
    </row>
    <row r="189" spans="1:24">
      <c r="B189" t="s">
        <v>4209</v>
      </c>
      <c r="O189" t="str">
        <f>INDEX(Grant[Country],MATCH(0,INDEX(COUNTIF($O$2:O188,Grant[Country]),),0))</f>
        <v>Tonga</v>
      </c>
      <c r="T189" t="s">
        <v>4209</v>
      </c>
      <c r="U189" t="s">
        <v>4288</v>
      </c>
      <c r="V189" t="s">
        <v>4288</v>
      </c>
      <c r="W189" t="s">
        <v>4288</v>
      </c>
      <c r="X189" s="1278"/>
    </row>
    <row r="190" spans="1:24">
      <c r="B190" t="s">
        <v>4210</v>
      </c>
      <c r="O190" t="str">
        <f>INDEX(Grant[Country],MATCH(0,INDEX(COUNTIF($O$2:O189,Grant[Country]),),0))</f>
        <v>Trinidad and Tobago</v>
      </c>
      <c r="T190" t="s">
        <v>4210</v>
      </c>
      <c r="U190" t="s">
        <v>4288</v>
      </c>
      <c r="V190" t="s">
        <v>4288</v>
      </c>
      <c r="W190" t="s">
        <v>4288</v>
      </c>
      <c r="X190" s="1278"/>
    </row>
    <row r="191" spans="1:24">
      <c r="A191">
        <v>83</v>
      </c>
      <c r="B191" t="s">
        <v>842</v>
      </c>
      <c r="C191">
        <v>1</v>
      </c>
      <c r="D191" t="s">
        <v>18</v>
      </c>
      <c r="E191">
        <v>1</v>
      </c>
      <c r="F191" t="s">
        <v>690</v>
      </c>
      <c r="G191" t="s">
        <v>4107</v>
      </c>
      <c r="H191" t="s">
        <v>2297</v>
      </c>
      <c r="I191" t="s">
        <v>4108</v>
      </c>
      <c r="J191" t="s">
        <v>2298</v>
      </c>
      <c r="O191" t="str">
        <f>INDEX(Grant[Country],MATCH(0,INDEX(COUNTIF($O$2:O190,Grant[Country]),),0))</f>
        <v>Tunisia</v>
      </c>
      <c r="T191" t="s">
        <v>842</v>
      </c>
      <c r="U191" t="s">
        <v>690</v>
      </c>
      <c r="V191" t="s">
        <v>2297</v>
      </c>
      <c r="W191" t="s">
        <v>2298</v>
      </c>
      <c r="X191" s="1278"/>
    </row>
    <row r="192" spans="1:24">
      <c r="A192">
        <v>83</v>
      </c>
      <c r="B192" t="s">
        <v>842</v>
      </c>
      <c r="C192">
        <v>1</v>
      </c>
      <c r="D192" t="s">
        <v>18</v>
      </c>
      <c r="E192">
        <v>3</v>
      </c>
      <c r="F192" t="s">
        <v>19</v>
      </c>
      <c r="G192" t="s">
        <v>3840</v>
      </c>
      <c r="H192" t="s">
        <v>2294</v>
      </c>
      <c r="I192" t="s">
        <v>3841</v>
      </c>
      <c r="J192" t="s">
        <v>2296</v>
      </c>
      <c r="O192" t="str">
        <f>INDEX(Grant[Country],MATCH(0,INDEX(COUNTIF($O$2:O191,Grant[Country]),),0))</f>
        <v>Turkey</v>
      </c>
      <c r="T192" t="s">
        <v>842</v>
      </c>
      <c r="U192" t="s">
        <v>19</v>
      </c>
      <c r="V192" t="s">
        <v>2294</v>
      </c>
      <c r="W192" t="s">
        <v>2296</v>
      </c>
      <c r="X192" s="1278"/>
    </row>
    <row r="193" spans="1:24">
      <c r="A193">
        <v>83</v>
      </c>
      <c r="B193" t="s">
        <v>842</v>
      </c>
      <c r="C193">
        <v>1</v>
      </c>
      <c r="D193" t="s">
        <v>18</v>
      </c>
      <c r="E193">
        <v>2</v>
      </c>
      <c r="F193" t="s">
        <v>688</v>
      </c>
      <c r="G193" t="s">
        <v>3840</v>
      </c>
      <c r="H193" t="s">
        <v>2294</v>
      </c>
      <c r="I193" t="s">
        <v>3842</v>
      </c>
      <c r="J193" t="s">
        <v>2295</v>
      </c>
      <c r="O193" t="str">
        <f>INDEX(Grant[Country],MATCH(0,INDEX(COUNTIF($O$2:O192,Grant[Country]),),0))</f>
        <v>Turkmenistan</v>
      </c>
      <c r="T193" t="s">
        <v>842</v>
      </c>
      <c r="U193" t="s">
        <v>688</v>
      </c>
      <c r="V193" t="s">
        <v>2294</v>
      </c>
      <c r="W193" t="s">
        <v>2295</v>
      </c>
      <c r="X193" s="1278"/>
    </row>
    <row r="194" spans="1:24">
      <c r="A194">
        <v>70</v>
      </c>
      <c r="B194" t="s">
        <v>843</v>
      </c>
      <c r="C194">
        <v>1</v>
      </c>
      <c r="D194" t="s">
        <v>18</v>
      </c>
      <c r="E194">
        <v>1</v>
      </c>
      <c r="F194" t="s">
        <v>690</v>
      </c>
      <c r="G194" t="s">
        <v>3790</v>
      </c>
      <c r="H194" t="s">
        <v>2319</v>
      </c>
      <c r="I194" t="s">
        <v>3791</v>
      </c>
      <c r="J194" t="s">
        <v>2320</v>
      </c>
      <c r="O194" t="str">
        <f>INDEX(Grant[Country],MATCH(0,INDEX(COUNTIF($O$2:O193,Grant[Country]),),0))</f>
        <v>Tuvalu</v>
      </c>
      <c r="T194" t="s">
        <v>843</v>
      </c>
      <c r="U194" t="s">
        <v>690</v>
      </c>
      <c r="V194" t="s">
        <v>2319</v>
      </c>
      <c r="W194" t="s">
        <v>2320</v>
      </c>
      <c r="X194" s="1278"/>
    </row>
    <row r="195" spans="1:24">
      <c r="A195">
        <v>70</v>
      </c>
      <c r="B195" t="s">
        <v>843</v>
      </c>
      <c r="C195">
        <v>1</v>
      </c>
      <c r="D195" t="s">
        <v>18</v>
      </c>
      <c r="E195">
        <v>1</v>
      </c>
      <c r="F195" t="s">
        <v>690</v>
      </c>
      <c r="G195" t="s">
        <v>4065</v>
      </c>
      <c r="H195" t="s">
        <v>2316</v>
      </c>
      <c r="I195" t="s">
        <v>4066</v>
      </c>
      <c r="J195" t="s">
        <v>2318</v>
      </c>
      <c r="O195" t="str">
        <f>INDEX(Grant[Country],MATCH(0,INDEX(COUNTIF($O$2:O194,Grant[Country]),),0))</f>
        <v>Uganda</v>
      </c>
      <c r="T195" t="s">
        <v>843</v>
      </c>
      <c r="U195" t="s">
        <v>690</v>
      </c>
      <c r="V195" t="s">
        <v>2316</v>
      </c>
      <c r="W195" t="s">
        <v>2318</v>
      </c>
      <c r="X195" s="1278"/>
    </row>
    <row r="196" spans="1:24">
      <c r="A196">
        <v>70</v>
      </c>
      <c r="B196" t="s">
        <v>843</v>
      </c>
      <c r="C196">
        <v>1</v>
      </c>
      <c r="D196" t="s">
        <v>18</v>
      </c>
      <c r="E196">
        <v>3</v>
      </c>
      <c r="F196" t="s">
        <v>19</v>
      </c>
      <c r="G196" t="s">
        <v>3787</v>
      </c>
      <c r="H196" t="s">
        <v>3788</v>
      </c>
      <c r="I196" t="s">
        <v>3789</v>
      </c>
      <c r="J196" t="s">
        <v>2317</v>
      </c>
      <c r="O196" t="str">
        <f>INDEX(Grant[Country],MATCH(0,INDEX(COUNTIF($O$2:O195,Grant[Country]),),0))</f>
        <v>Ukraine</v>
      </c>
      <c r="T196" t="s">
        <v>843</v>
      </c>
      <c r="U196" t="s">
        <v>19</v>
      </c>
      <c r="V196" t="s">
        <v>3788</v>
      </c>
      <c r="W196" t="s">
        <v>2317</v>
      </c>
      <c r="X196" s="1278"/>
    </row>
    <row r="197" spans="1:24">
      <c r="A197">
        <v>70</v>
      </c>
      <c r="B197" t="s">
        <v>843</v>
      </c>
      <c r="C197">
        <v>1</v>
      </c>
      <c r="D197" t="s">
        <v>18</v>
      </c>
      <c r="E197">
        <v>4</v>
      </c>
      <c r="F197" t="s">
        <v>1911</v>
      </c>
      <c r="G197" t="s">
        <v>4077</v>
      </c>
      <c r="H197" t="s">
        <v>1992</v>
      </c>
      <c r="I197" t="s">
        <v>4078</v>
      </c>
      <c r="J197" t="s">
        <v>2321</v>
      </c>
      <c r="O197" t="str">
        <f>INDEX(Grant[Country],MATCH(0,INDEX(COUNTIF($O$2:O196,Grant[Country]),),0))</f>
        <v>United Arab Emirates</v>
      </c>
      <c r="T197" t="s">
        <v>843</v>
      </c>
      <c r="U197" t="s">
        <v>1911</v>
      </c>
      <c r="V197" t="s">
        <v>1992</v>
      </c>
      <c r="W197" t="s">
        <v>2321</v>
      </c>
      <c r="X197" s="1278"/>
    </row>
    <row r="198" spans="1:24">
      <c r="A198">
        <v>71</v>
      </c>
      <c r="B198" t="s">
        <v>844</v>
      </c>
      <c r="C198">
        <v>1</v>
      </c>
      <c r="D198" t="s">
        <v>18</v>
      </c>
      <c r="E198">
        <v>1</v>
      </c>
      <c r="F198" t="s">
        <v>690</v>
      </c>
      <c r="G198" t="s">
        <v>3794</v>
      </c>
      <c r="H198" t="s">
        <v>2303</v>
      </c>
      <c r="I198" t="s">
        <v>3795</v>
      </c>
      <c r="J198" t="s">
        <v>2306</v>
      </c>
      <c r="O198" t="str">
        <f>INDEX(Grant[Country],MATCH(0,INDEX(COUNTIF($O$2:O197,Grant[Country]),),0))</f>
        <v>United Kingdom</v>
      </c>
      <c r="T198" t="s">
        <v>844</v>
      </c>
      <c r="U198" t="s">
        <v>690</v>
      </c>
      <c r="V198" t="s">
        <v>2303</v>
      </c>
      <c r="W198" t="s">
        <v>2306</v>
      </c>
      <c r="X198" s="1278"/>
    </row>
    <row r="199" spans="1:24">
      <c r="A199">
        <v>71</v>
      </c>
      <c r="B199" t="s">
        <v>844</v>
      </c>
      <c r="C199">
        <v>2</v>
      </c>
      <c r="D199" t="s">
        <v>53</v>
      </c>
      <c r="E199">
        <v>1</v>
      </c>
      <c r="F199" t="s">
        <v>690</v>
      </c>
      <c r="G199" t="s">
        <v>3794</v>
      </c>
      <c r="H199" t="s">
        <v>2303</v>
      </c>
      <c r="I199" t="s">
        <v>4014</v>
      </c>
      <c r="J199" t="s">
        <v>2304</v>
      </c>
      <c r="O199" t="str">
        <f>INDEX(Grant[Country],MATCH(0,INDEX(COUNTIF($O$2:O198,Grant[Country]),),0))</f>
        <v>United States</v>
      </c>
      <c r="T199" t="s">
        <v>844</v>
      </c>
      <c r="U199" t="s">
        <v>690</v>
      </c>
      <c r="V199" t="s">
        <v>2303</v>
      </c>
      <c r="W199" t="s">
        <v>2304</v>
      </c>
      <c r="X199" s="1278"/>
    </row>
    <row r="200" spans="1:24">
      <c r="A200">
        <v>71</v>
      </c>
      <c r="B200" t="s">
        <v>844</v>
      </c>
      <c r="C200">
        <v>2</v>
      </c>
      <c r="D200" t="s">
        <v>53</v>
      </c>
      <c r="E200">
        <v>3</v>
      </c>
      <c r="F200" t="s">
        <v>19</v>
      </c>
      <c r="G200" t="s">
        <v>3796</v>
      </c>
      <c r="H200" t="s">
        <v>1905</v>
      </c>
      <c r="I200" t="s">
        <v>3797</v>
      </c>
      <c r="J200" t="s">
        <v>2302</v>
      </c>
      <c r="O200" t="str">
        <f>INDEX(Grant[Country],MATCH(0,INDEX(COUNTIF($O$2:O199,Grant[Country]),),0))</f>
        <v>Uruguay</v>
      </c>
      <c r="T200" t="s">
        <v>844</v>
      </c>
      <c r="U200" t="s">
        <v>19</v>
      </c>
      <c r="V200" t="s">
        <v>1905</v>
      </c>
      <c r="W200" t="s">
        <v>2302</v>
      </c>
      <c r="X200" s="1278"/>
    </row>
    <row r="201" spans="1:24">
      <c r="A201">
        <v>71</v>
      </c>
      <c r="B201" t="s">
        <v>844</v>
      </c>
      <c r="C201">
        <v>2</v>
      </c>
      <c r="D201" t="s">
        <v>53</v>
      </c>
      <c r="E201">
        <v>4</v>
      </c>
      <c r="F201" t="s">
        <v>1911</v>
      </c>
      <c r="G201" t="s">
        <v>3792</v>
      </c>
      <c r="H201" t="s">
        <v>2300</v>
      </c>
      <c r="I201" t="s">
        <v>4045</v>
      </c>
      <c r="J201" t="s">
        <v>2305</v>
      </c>
      <c r="O201" t="str">
        <f>INDEX(Grant[Country],MATCH(0,INDEX(COUNTIF($O$2:O200,Grant[Country]),),0))</f>
        <v>Uzbekistan</v>
      </c>
      <c r="T201" t="s">
        <v>844</v>
      </c>
      <c r="U201" t="s">
        <v>1911</v>
      </c>
      <c r="V201" t="s">
        <v>2300</v>
      </c>
      <c r="W201" t="s">
        <v>2305</v>
      </c>
      <c r="X201" s="1278"/>
    </row>
    <row r="202" spans="1:24">
      <c r="A202">
        <v>71</v>
      </c>
      <c r="B202" t="s">
        <v>844</v>
      </c>
      <c r="C202">
        <v>2</v>
      </c>
      <c r="D202" t="s">
        <v>53</v>
      </c>
      <c r="E202">
        <v>2</v>
      </c>
      <c r="F202" t="s">
        <v>688</v>
      </c>
      <c r="G202" t="s">
        <v>3792</v>
      </c>
      <c r="H202" t="s">
        <v>2300</v>
      </c>
      <c r="I202" t="s">
        <v>3793</v>
      </c>
      <c r="J202" t="s">
        <v>2301</v>
      </c>
      <c r="O202" t="str">
        <f>INDEX(Grant[Country],MATCH(0,INDEX(COUNTIF($O$2:O201,Grant[Country]),),0))</f>
        <v>Vanuatu</v>
      </c>
      <c r="T202" t="s">
        <v>844</v>
      </c>
      <c r="U202" t="s">
        <v>688</v>
      </c>
      <c r="V202" t="s">
        <v>2300</v>
      </c>
      <c r="W202" t="s">
        <v>2301</v>
      </c>
      <c r="X202" s="1278"/>
    </row>
    <row r="203" spans="1:24">
      <c r="A203">
        <v>100</v>
      </c>
      <c r="B203" t="s">
        <v>845</v>
      </c>
      <c r="C203">
        <v>1</v>
      </c>
      <c r="D203" t="s">
        <v>18</v>
      </c>
      <c r="E203">
        <v>1</v>
      </c>
      <c r="F203" t="s">
        <v>690</v>
      </c>
      <c r="G203" t="s">
        <v>3856</v>
      </c>
      <c r="H203" t="s">
        <v>3857</v>
      </c>
      <c r="I203" t="s">
        <v>3858</v>
      </c>
      <c r="J203" t="s">
        <v>2290</v>
      </c>
      <c r="O203" t="str">
        <f>INDEX(Grant[Country],MATCH(0,INDEX(COUNTIF($O$2:O202,Grant[Country]),),0))</f>
        <v>Venezuela</v>
      </c>
      <c r="T203" t="s">
        <v>845</v>
      </c>
      <c r="U203" t="s">
        <v>690</v>
      </c>
      <c r="V203" t="s">
        <v>3857</v>
      </c>
      <c r="W203" t="s">
        <v>2293</v>
      </c>
      <c r="X203" s="1278"/>
    </row>
    <row r="204" spans="1:24">
      <c r="A204">
        <v>100</v>
      </c>
      <c r="B204" t="s">
        <v>845</v>
      </c>
      <c r="C204">
        <v>1</v>
      </c>
      <c r="D204" t="s">
        <v>18</v>
      </c>
      <c r="E204">
        <v>1</v>
      </c>
      <c r="F204" t="s">
        <v>690</v>
      </c>
      <c r="G204" t="s">
        <v>3856</v>
      </c>
      <c r="H204" t="s">
        <v>3857</v>
      </c>
      <c r="I204" t="s">
        <v>4040</v>
      </c>
      <c r="J204" t="s">
        <v>2293</v>
      </c>
      <c r="O204" t="str">
        <f>INDEX(Grant[Country],MATCH(0,INDEX(COUNTIF($O$2:O203,Grant[Country]),),0))</f>
        <v>Viet Nam</v>
      </c>
      <c r="T204" t="s">
        <v>845</v>
      </c>
      <c r="U204" t="s">
        <v>690</v>
      </c>
      <c r="V204" t="s">
        <v>3857</v>
      </c>
      <c r="W204" t="s">
        <v>2290</v>
      </c>
      <c r="X204" s="1278"/>
    </row>
    <row r="205" spans="1:24">
      <c r="A205">
        <v>100</v>
      </c>
      <c r="B205" t="s">
        <v>845</v>
      </c>
      <c r="C205">
        <v>1</v>
      </c>
      <c r="D205" t="s">
        <v>18</v>
      </c>
      <c r="E205">
        <v>3</v>
      </c>
      <c r="F205" t="s">
        <v>19</v>
      </c>
      <c r="G205" t="s">
        <v>3856</v>
      </c>
      <c r="H205" t="s">
        <v>3857</v>
      </c>
      <c r="I205" t="s">
        <v>3859</v>
      </c>
      <c r="J205" t="s">
        <v>2292</v>
      </c>
      <c r="O205" t="str">
        <f>INDEX(Grant[Country],MATCH(0,INDEX(COUNTIF($O$2:O204,Grant[Country]),),0))</f>
        <v>Western Sahara</v>
      </c>
      <c r="T205" t="s">
        <v>845</v>
      </c>
      <c r="U205" t="s">
        <v>19</v>
      </c>
      <c r="V205" t="s">
        <v>3857</v>
      </c>
      <c r="W205" t="s">
        <v>2292</v>
      </c>
      <c r="X205" s="1278"/>
    </row>
    <row r="206" spans="1:24">
      <c r="A206">
        <v>100</v>
      </c>
      <c r="B206" t="s">
        <v>845</v>
      </c>
      <c r="C206">
        <v>1</v>
      </c>
      <c r="D206" t="s">
        <v>18</v>
      </c>
      <c r="E206">
        <v>2</v>
      </c>
      <c r="F206" t="s">
        <v>688</v>
      </c>
      <c r="G206" t="s">
        <v>3856</v>
      </c>
      <c r="H206" t="s">
        <v>3857</v>
      </c>
      <c r="I206" t="s">
        <v>3860</v>
      </c>
      <c r="J206" t="s">
        <v>2291</v>
      </c>
      <c r="O206" t="str">
        <f>INDEX(Grant[Country],MATCH(0,INDEX(COUNTIF($O$2:O205,Grant[Country]),),0))</f>
        <v>Yemen</v>
      </c>
      <c r="T206" t="s">
        <v>845</v>
      </c>
      <c r="U206" t="s">
        <v>688</v>
      </c>
      <c r="V206" t="s">
        <v>3857</v>
      </c>
      <c r="W206" t="s">
        <v>2291</v>
      </c>
      <c r="X206" s="1278"/>
    </row>
    <row r="207" spans="1:24">
      <c r="A207">
        <v>118</v>
      </c>
      <c r="B207" t="s">
        <v>846</v>
      </c>
      <c r="C207">
        <v>1</v>
      </c>
      <c r="D207" t="s">
        <v>18</v>
      </c>
      <c r="E207">
        <v>3</v>
      </c>
      <c r="F207" t="s">
        <v>19</v>
      </c>
      <c r="G207" t="s">
        <v>3556</v>
      </c>
      <c r="H207" t="s">
        <v>1974</v>
      </c>
      <c r="I207" t="s">
        <v>3877</v>
      </c>
      <c r="J207" t="s">
        <v>2282</v>
      </c>
      <c r="O207" t="str">
        <f>INDEX(Grant[Country],MATCH(0,INDEX(COUNTIF($O$2:O206,Grant[Country]),),0))</f>
        <v>Zambia</v>
      </c>
      <c r="T207" t="s">
        <v>846</v>
      </c>
      <c r="U207" t="s">
        <v>19</v>
      </c>
      <c r="V207" t="s">
        <v>1974</v>
      </c>
      <c r="W207" t="s">
        <v>2282</v>
      </c>
      <c r="X207" s="1278"/>
    </row>
    <row r="208" spans="1:24">
      <c r="A208">
        <v>118</v>
      </c>
      <c r="B208" t="s">
        <v>846</v>
      </c>
      <c r="C208">
        <v>1</v>
      </c>
      <c r="D208" t="s">
        <v>18</v>
      </c>
      <c r="E208">
        <v>3</v>
      </c>
      <c r="F208" t="s">
        <v>19</v>
      </c>
      <c r="G208" t="s">
        <v>4144</v>
      </c>
      <c r="H208" t="s">
        <v>1905</v>
      </c>
      <c r="I208" t="s">
        <v>4145</v>
      </c>
      <c r="J208" t="s">
        <v>4146</v>
      </c>
      <c r="O208" t="str">
        <f>INDEX(Grant[Country],MATCH(0,INDEX(COUNTIF($O$2:O207,Grant[Country]),),0))</f>
        <v>Zanzibar</v>
      </c>
      <c r="T208" t="s">
        <v>846</v>
      </c>
      <c r="U208" t="s">
        <v>19</v>
      </c>
      <c r="V208" t="s">
        <v>1905</v>
      </c>
      <c r="W208" t="s">
        <v>4146</v>
      </c>
      <c r="X208" s="1278"/>
    </row>
    <row r="209" spans="1:24">
      <c r="A209">
        <v>118</v>
      </c>
      <c r="B209" t="s">
        <v>846</v>
      </c>
      <c r="C209">
        <v>1</v>
      </c>
      <c r="D209" t="s">
        <v>18</v>
      </c>
      <c r="E209">
        <v>6</v>
      </c>
      <c r="F209" t="s">
        <v>1911</v>
      </c>
      <c r="G209" t="s">
        <v>4140</v>
      </c>
      <c r="H209" t="s">
        <v>4141</v>
      </c>
      <c r="I209" t="s">
        <v>4142</v>
      </c>
      <c r="J209" t="s">
        <v>4143</v>
      </c>
      <c r="O209" t="str">
        <f>INDEX(Grant[Country],MATCH(0,INDEX(COUNTIF($O$2:O208,Grant[Country]),),0))</f>
        <v>Zimbabwe</v>
      </c>
      <c r="T209" t="s">
        <v>846</v>
      </c>
      <c r="U209" t="s">
        <v>1911</v>
      </c>
      <c r="V209" t="s">
        <v>4141</v>
      </c>
      <c r="W209" t="s">
        <v>4143</v>
      </c>
      <c r="X209" s="1278"/>
    </row>
    <row r="210" spans="1:24">
      <c r="A210">
        <v>118</v>
      </c>
      <c r="B210" t="s">
        <v>846</v>
      </c>
      <c r="C210">
        <v>1</v>
      </c>
      <c r="D210" t="s">
        <v>18</v>
      </c>
      <c r="E210">
        <v>4</v>
      </c>
      <c r="F210" t="s">
        <v>1911</v>
      </c>
      <c r="G210" t="s">
        <v>3556</v>
      </c>
      <c r="H210" t="s">
        <v>1974</v>
      </c>
      <c r="I210" t="s">
        <v>3876</v>
      </c>
      <c r="J210" t="s">
        <v>2283</v>
      </c>
      <c r="O210" t="e">
        <f>INDEX(Grant[Country],MATCH(0,INDEX(COUNTIF($O$2:O209,Grant[Country]),),0))</f>
        <v>#N/A</v>
      </c>
      <c r="T210" t="s">
        <v>846</v>
      </c>
      <c r="U210" t="s">
        <v>1911</v>
      </c>
      <c r="V210" t="s">
        <v>1974</v>
      </c>
      <c r="W210" t="s">
        <v>2283</v>
      </c>
      <c r="X210" s="1278"/>
    </row>
    <row r="211" spans="1:24">
      <c r="A211">
        <v>118</v>
      </c>
      <c r="B211" t="s">
        <v>846</v>
      </c>
      <c r="C211">
        <v>1</v>
      </c>
      <c r="D211" t="s">
        <v>18</v>
      </c>
      <c r="E211">
        <v>4</v>
      </c>
      <c r="F211" t="s">
        <v>1911</v>
      </c>
      <c r="G211" t="s">
        <v>3989</v>
      </c>
      <c r="H211" t="s">
        <v>2027</v>
      </c>
      <c r="I211" t="s">
        <v>4138</v>
      </c>
      <c r="J211" t="s">
        <v>4139</v>
      </c>
      <c r="O211" t="e">
        <f>INDEX(Grant[Country],MATCH(0,INDEX(COUNTIF($O$2:O210,Grant[Country]),),0))</f>
        <v>#N/A</v>
      </c>
      <c r="T211" t="s">
        <v>846</v>
      </c>
      <c r="U211" t="s">
        <v>1911</v>
      </c>
      <c r="V211" t="s">
        <v>2027</v>
      </c>
      <c r="W211" t="s">
        <v>4139</v>
      </c>
      <c r="X211" s="1278"/>
    </row>
    <row r="212" spans="1:24">
      <c r="B212" t="s">
        <v>4211</v>
      </c>
      <c r="O212" t="e">
        <f>INDEX(Grant[Country],MATCH(0,INDEX(COUNTIF($O$2:O211,Grant[Country]),),0))</f>
        <v>#N/A</v>
      </c>
      <c r="T212" t="s">
        <v>4211</v>
      </c>
      <c r="U212" t="s">
        <v>4288</v>
      </c>
      <c r="V212" t="s">
        <v>4288</v>
      </c>
      <c r="W212" t="s">
        <v>4288</v>
      </c>
      <c r="X212" s="1278"/>
    </row>
    <row r="213" spans="1:24">
      <c r="A213">
        <v>84</v>
      </c>
      <c r="B213" t="s">
        <v>847</v>
      </c>
      <c r="C213">
        <v>1</v>
      </c>
      <c r="D213" t="s">
        <v>18</v>
      </c>
      <c r="E213">
        <v>1</v>
      </c>
      <c r="F213" t="s">
        <v>690</v>
      </c>
      <c r="G213" t="s">
        <v>3472</v>
      </c>
      <c r="H213" t="s">
        <v>2286</v>
      </c>
      <c r="I213" t="s">
        <v>3844</v>
      </c>
      <c r="J213" t="s">
        <v>2288</v>
      </c>
      <c r="O213" t="e">
        <f>INDEX(Grant[Country],MATCH(0,INDEX(COUNTIF($O$2:O212,Grant[Country]),),0))</f>
        <v>#N/A</v>
      </c>
      <c r="T213" t="s">
        <v>847</v>
      </c>
      <c r="U213" t="s">
        <v>690</v>
      </c>
      <c r="V213" t="s">
        <v>2286</v>
      </c>
      <c r="W213" t="s">
        <v>2288</v>
      </c>
      <c r="X213" s="1278"/>
    </row>
    <row r="214" spans="1:24">
      <c r="A214">
        <v>84</v>
      </c>
      <c r="B214" t="s">
        <v>847</v>
      </c>
      <c r="C214">
        <v>1</v>
      </c>
      <c r="D214" t="s">
        <v>18</v>
      </c>
      <c r="E214">
        <v>3</v>
      </c>
      <c r="F214" t="s">
        <v>19</v>
      </c>
      <c r="G214" t="s">
        <v>3472</v>
      </c>
      <c r="H214" t="s">
        <v>2286</v>
      </c>
      <c r="I214" t="s">
        <v>3843</v>
      </c>
      <c r="J214" t="s">
        <v>2287</v>
      </c>
      <c r="O214" t="e">
        <f>INDEX(Grant[Country],MATCH(0,INDEX(COUNTIF($O$2:O213,Grant[Country]),),0))</f>
        <v>#N/A</v>
      </c>
      <c r="T214" t="s">
        <v>847</v>
      </c>
      <c r="U214" t="s">
        <v>19</v>
      </c>
      <c r="V214" t="s">
        <v>2286</v>
      </c>
      <c r="W214" t="s">
        <v>2287</v>
      </c>
      <c r="X214" s="1278"/>
    </row>
    <row r="215" spans="1:24">
      <c r="A215">
        <v>84</v>
      </c>
      <c r="B215" t="s">
        <v>847</v>
      </c>
      <c r="C215">
        <v>1</v>
      </c>
      <c r="D215" t="s">
        <v>18</v>
      </c>
      <c r="E215">
        <v>4</v>
      </c>
      <c r="F215" t="s">
        <v>1911</v>
      </c>
      <c r="G215" t="s">
        <v>3472</v>
      </c>
      <c r="H215" t="s">
        <v>2286</v>
      </c>
      <c r="I215" t="s">
        <v>3473</v>
      </c>
      <c r="J215" t="s">
        <v>2289</v>
      </c>
      <c r="O215" t="e">
        <f>INDEX(Grant[Country],MATCH(0,INDEX(COUNTIF($O$2:O214,Grant[Country]),),0))</f>
        <v>#N/A</v>
      </c>
      <c r="T215" t="s">
        <v>847</v>
      </c>
      <c r="U215" t="s">
        <v>1911</v>
      </c>
      <c r="V215" t="s">
        <v>2286</v>
      </c>
      <c r="W215" t="s">
        <v>2289</v>
      </c>
      <c r="X215" s="1278"/>
    </row>
    <row r="216" spans="1:24">
      <c r="A216">
        <v>84</v>
      </c>
      <c r="B216" t="s">
        <v>847</v>
      </c>
      <c r="C216">
        <v>1</v>
      </c>
      <c r="D216" t="s">
        <v>18</v>
      </c>
      <c r="E216">
        <v>2</v>
      </c>
      <c r="F216" t="s">
        <v>688</v>
      </c>
      <c r="G216" t="s">
        <v>3845</v>
      </c>
      <c r="H216" t="s">
        <v>2284</v>
      </c>
      <c r="I216" t="s">
        <v>3846</v>
      </c>
      <c r="J216" t="s">
        <v>2285</v>
      </c>
      <c r="O216" t="e">
        <f>INDEX(Grant[Country],MATCH(0,INDEX(COUNTIF($O$2:O215,Grant[Country]),),0))</f>
        <v>#N/A</v>
      </c>
      <c r="T216" t="s">
        <v>847</v>
      </c>
      <c r="U216" t="s">
        <v>688</v>
      </c>
      <c r="V216" t="s">
        <v>2284</v>
      </c>
      <c r="W216" t="s">
        <v>2285</v>
      </c>
      <c r="X216" s="1278"/>
    </row>
    <row r="217" spans="1:24">
      <c r="B217" t="s">
        <v>4212</v>
      </c>
      <c r="O217" t="e">
        <f>INDEX(Grant[Country],MATCH(0,INDEX(COUNTIF($O$2:O216,Grant[Country]),),0))</f>
        <v>#N/A</v>
      </c>
      <c r="T217" t="s">
        <v>4212</v>
      </c>
      <c r="U217" t="s">
        <v>4288</v>
      </c>
      <c r="V217" t="s">
        <v>4288</v>
      </c>
      <c r="W217" t="s">
        <v>4288</v>
      </c>
      <c r="X217" s="1278"/>
    </row>
    <row r="218" spans="1:24">
      <c r="B218" t="s">
        <v>4213</v>
      </c>
      <c r="O218" t="e">
        <f>INDEX(Grant[Country],MATCH(0,INDEX(COUNTIF($O$2:O217,Grant[Country]),),0))</f>
        <v>#N/A</v>
      </c>
      <c r="T218" t="s">
        <v>4213</v>
      </c>
      <c r="U218" t="s">
        <v>4288</v>
      </c>
      <c r="V218" t="s">
        <v>4288</v>
      </c>
      <c r="W218" t="s">
        <v>4288</v>
      </c>
      <c r="X218" s="1278"/>
    </row>
    <row r="219" spans="1:24">
      <c r="A219">
        <v>154</v>
      </c>
      <c r="B219" t="s">
        <v>848</v>
      </c>
      <c r="C219">
        <v>1</v>
      </c>
      <c r="D219" t="s">
        <v>18</v>
      </c>
      <c r="E219">
        <v>1</v>
      </c>
      <c r="F219" t="s">
        <v>690</v>
      </c>
      <c r="G219" t="s">
        <v>3921</v>
      </c>
      <c r="H219" t="s">
        <v>2257</v>
      </c>
      <c r="I219" t="s">
        <v>3922</v>
      </c>
      <c r="J219" t="s">
        <v>2266</v>
      </c>
      <c r="O219" t="e">
        <f>INDEX(Grant[Country],MATCH(0,INDEX(COUNTIF($O$2:O218,Grant[Country]),),0))</f>
        <v>#N/A</v>
      </c>
      <c r="T219" t="s">
        <v>848</v>
      </c>
      <c r="U219" t="s">
        <v>690</v>
      </c>
      <c r="V219" t="s">
        <v>2257</v>
      </c>
      <c r="W219" t="s">
        <v>2266</v>
      </c>
      <c r="X219" s="1278"/>
    </row>
    <row r="220" spans="1:24">
      <c r="A220">
        <v>154</v>
      </c>
      <c r="B220" t="s">
        <v>848</v>
      </c>
      <c r="C220">
        <v>1</v>
      </c>
      <c r="D220" t="s">
        <v>18</v>
      </c>
      <c r="E220">
        <v>1</v>
      </c>
      <c r="F220" t="s">
        <v>690</v>
      </c>
      <c r="G220" t="s">
        <v>3927</v>
      </c>
      <c r="H220" t="s">
        <v>2067</v>
      </c>
      <c r="I220" t="s">
        <v>3928</v>
      </c>
      <c r="J220" t="s">
        <v>2269</v>
      </c>
      <c r="O220" t="e">
        <f>INDEX(Grant[Country],MATCH(0,INDEX(COUNTIF($O$2:O219,Grant[Country]),),0))</f>
        <v>#N/A</v>
      </c>
      <c r="T220" t="s">
        <v>848</v>
      </c>
      <c r="U220" t="s">
        <v>690</v>
      </c>
      <c r="V220" t="s">
        <v>2067</v>
      </c>
      <c r="W220" t="s">
        <v>2269</v>
      </c>
      <c r="X220" s="1278"/>
    </row>
    <row r="221" spans="1:24">
      <c r="A221">
        <v>154</v>
      </c>
      <c r="B221" t="s">
        <v>848</v>
      </c>
      <c r="C221">
        <v>1</v>
      </c>
      <c r="D221" t="s">
        <v>18</v>
      </c>
      <c r="E221">
        <v>1</v>
      </c>
      <c r="F221" t="s">
        <v>690</v>
      </c>
      <c r="G221" t="s">
        <v>3917</v>
      </c>
      <c r="H221" t="s">
        <v>2264</v>
      </c>
      <c r="I221" t="s">
        <v>3918</v>
      </c>
      <c r="J221" t="s">
        <v>2265</v>
      </c>
      <c r="O221" t="e">
        <f>INDEX(Grant[Country],MATCH(0,INDEX(COUNTIF($O$2:O220,Grant[Country]),),0))</f>
        <v>#N/A</v>
      </c>
      <c r="T221" t="s">
        <v>848</v>
      </c>
      <c r="U221" t="s">
        <v>690</v>
      </c>
      <c r="V221" t="s">
        <v>2264</v>
      </c>
      <c r="W221" t="s">
        <v>2265</v>
      </c>
      <c r="X221" s="1278"/>
    </row>
    <row r="222" spans="1:24">
      <c r="A222">
        <v>154</v>
      </c>
      <c r="B222" t="s">
        <v>848</v>
      </c>
      <c r="C222">
        <v>1</v>
      </c>
      <c r="D222" t="s">
        <v>18</v>
      </c>
      <c r="E222">
        <v>1</v>
      </c>
      <c r="F222" t="s">
        <v>690</v>
      </c>
      <c r="G222" t="s">
        <v>3919</v>
      </c>
      <c r="H222" t="s">
        <v>2262</v>
      </c>
      <c r="I222" t="s">
        <v>3920</v>
      </c>
      <c r="J222" t="s">
        <v>2263</v>
      </c>
      <c r="O222" t="e">
        <f>INDEX(Grant[Country],MATCH(0,INDEX(COUNTIF($O$2:O221,Grant[Country]),),0))</f>
        <v>#N/A</v>
      </c>
      <c r="T222" t="s">
        <v>848</v>
      </c>
      <c r="U222" t="s">
        <v>690</v>
      </c>
      <c r="V222" t="s">
        <v>2262</v>
      </c>
      <c r="W222" t="s">
        <v>2263</v>
      </c>
      <c r="X222" s="1278"/>
    </row>
    <row r="223" spans="1:24">
      <c r="A223">
        <v>154</v>
      </c>
      <c r="B223" t="s">
        <v>848</v>
      </c>
      <c r="C223">
        <v>1</v>
      </c>
      <c r="D223" t="s">
        <v>18</v>
      </c>
      <c r="E223">
        <v>3</v>
      </c>
      <c r="F223" t="s">
        <v>19</v>
      </c>
      <c r="G223" t="s">
        <v>3915</v>
      </c>
      <c r="H223" t="s">
        <v>2257</v>
      </c>
      <c r="I223" t="s">
        <v>3916</v>
      </c>
      <c r="J223" t="s">
        <v>2261</v>
      </c>
      <c r="O223" t="e">
        <f>INDEX(Grant[Country],MATCH(0,INDEX(COUNTIF($O$2:O222,Grant[Country]),),0))</f>
        <v>#N/A</v>
      </c>
      <c r="T223" t="s">
        <v>848</v>
      </c>
      <c r="U223" t="s">
        <v>19</v>
      </c>
      <c r="V223" t="s">
        <v>2257</v>
      </c>
      <c r="W223" t="s">
        <v>2261</v>
      </c>
      <c r="X223" s="1278"/>
    </row>
    <row r="224" spans="1:24">
      <c r="A224">
        <v>154</v>
      </c>
      <c r="B224" t="s">
        <v>848</v>
      </c>
      <c r="C224">
        <v>1</v>
      </c>
      <c r="D224" t="s">
        <v>18</v>
      </c>
      <c r="E224">
        <v>4</v>
      </c>
      <c r="F224" t="s">
        <v>1911</v>
      </c>
      <c r="G224" t="s">
        <v>4053</v>
      </c>
      <c r="H224" t="s">
        <v>2270</v>
      </c>
      <c r="I224" t="s">
        <v>4054</v>
      </c>
      <c r="J224" t="s">
        <v>2271</v>
      </c>
      <c r="O224" t="e">
        <f>INDEX(Grant[Country],MATCH(0,INDEX(COUNTIF($O$2:O223,Grant[Country]),),0))</f>
        <v>#N/A</v>
      </c>
      <c r="T224" t="s">
        <v>848</v>
      </c>
      <c r="U224" t="s">
        <v>1911</v>
      </c>
      <c r="V224" t="s">
        <v>2270</v>
      </c>
      <c r="W224" t="s">
        <v>2271</v>
      </c>
      <c r="X224" s="1278"/>
    </row>
    <row r="225" spans="1:24">
      <c r="A225">
        <v>154</v>
      </c>
      <c r="B225" t="s">
        <v>848</v>
      </c>
      <c r="C225">
        <v>1</v>
      </c>
      <c r="D225" t="s">
        <v>18</v>
      </c>
      <c r="E225">
        <v>2</v>
      </c>
      <c r="F225" t="s">
        <v>688</v>
      </c>
      <c r="G225" t="s">
        <v>4083</v>
      </c>
      <c r="H225" t="s">
        <v>2259</v>
      </c>
      <c r="I225" t="s">
        <v>4084</v>
      </c>
      <c r="J225" t="s">
        <v>2260</v>
      </c>
      <c r="O225" t="e">
        <f>INDEX(Grant[Country],MATCH(0,INDEX(COUNTIF($O$2:O224,Grant[Country]),),0))</f>
        <v>#N/A</v>
      </c>
      <c r="T225" t="s">
        <v>848</v>
      </c>
      <c r="U225" t="s">
        <v>688</v>
      </c>
      <c r="V225" t="s">
        <v>2259</v>
      </c>
      <c r="W225" t="s">
        <v>2260</v>
      </c>
      <c r="X225" s="1278"/>
    </row>
    <row r="226" spans="1:24">
      <c r="A226">
        <v>154</v>
      </c>
      <c r="B226" t="s">
        <v>848</v>
      </c>
      <c r="C226">
        <v>1</v>
      </c>
      <c r="D226" t="s">
        <v>18</v>
      </c>
      <c r="E226">
        <v>2</v>
      </c>
      <c r="F226" t="s">
        <v>688</v>
      </c>
      <c r="G226" t="s">
        <v>3925</v>
      </c>
      <c r="H226" t="s">
        <v>2257</v>
      </c>
      <c r="I226" t="s">
        <v>3926</v>
      </c>
      <c r="J226" t="s">
        <v>2258</v>
      </c>
      <c r="O226" t="e">
        <f>INDEX(Grant[Country],MATCH(0,INDEX(COUNTIF($O$2:O225,Grant[Country]),),0))</f>
        <v>#N/A</v>
      </c>
      <c r="T226" t="s">
        <v>848</v>
      </c>
      <c r="U226" t="s">
        <v>688</v>
      </c>
      <c r="V226" t="s">
        <v>2257</v>
      </c>
      <c r="W226" t="s">
        <v>2258</v>
      </c>
      <c r="X226" s="1278"/>
    </row>
    <row r="227" spans="1:24">
      <c r="A227">
        <v>154</v>
      </c>
      <c r="B227" t="s">
        <v>848</v>
      </c>
      <c r="C227">
        <v>1</v>
      </c>
      <c r="D227" t="s">
        <v>18</v>
      </c>
      <c r="E227">
        <v>2</v>
      </c>
      <c r="F227" t="s">
        <v>688</v>
      </c>
      <c r="G227" t="s">
        <v>4089</v>
      </c>
      <c r="H227" t="s">
        <v>4090</v>
      </c>
      <c r="I227" t="s">
        <v>4091</v>
      </c>
      <c r="J227" t="s">
        <v>2256</v>
      </c>
      <c r="O227" t="e">
        <f>INDEX(Grant[Country],MATCH(0,INDEX(COUNTIF($O$2:O226,Grant[Country]),),0))</f>
        <v>#N/A</v>
      </c>
      <c r="T227" t="s">
        <v>848</v>
      </c>
      <c r="U227" t="s">
        <v>688</v>
      </c>
      <c r="V227" t="s">
        <v>4090</v>
      </c>
      <c r="W227" t="s">
        <v>2256</v>
      </c>
      <c r="X227" s="1278"/>
    </row>
    <row r="228" spans="1:24">
      <c r="A228">
        <v>154</v>
      </c>
      <c r="B228" t="s">
        <v>848</v>
      </c>
      <c r="C228">
        <v>1</v>
      </c>
      <c r="D228" t="s">
        <v>18</v>
      </c>
      <c r="E228">
        <v>2</v>
      </c>
      <c r="F228" t="s">
        <v>688</v>
      </c>
      <c r="G228" t="s">
        <v>3468</v>
      </c>
      <c r="H228" t="s">
        <v>2254</v>
      </c>
      <c r="I228" t="s">
        <v>3469</v>
      </c>
      <c r="J228" t="s">
        <v>2255</v>
      </c>
      <c r="O228" t="e">
        <f>INDEX(Grant[Country],MATCH(0,INDEX(COUNTIF($O$2:O227,Grant[Country]),),0))</f>
        <v>#N/A</v>
      </c>
      <c r="T228" t="s">
        <v>848</v>
      </c>
      <c r="U228" t="s">
        <v>688</v>
      </c>
      <c r="V228" t="s">
        <v>2254</v>
      </c>
      <c r="W228" t="s">
        <v>2255</v>
      </c>
      <c r="X228" s="1278"/>
    </row>
    <row r="229" spans="1:24">
      <c r="A229">
        <v>154</v>
      </c>
      <c r="B229" t="s">
        <v>848</v>
      </c>
      <c r="C229">
        <v>1</v>
      </c>
      <c r="D229" t="s">
        <v>18</v>
      </c>
      <c r="E229">
        <v>2</v>
      </c>
      <c r="F229" t="s">
        <v>688</v>
      </c>
      <c r="G229" t="s">
        <v>3923</v>
      </c>
      <c r="H229" t="s">
        <v>2252</v>
      </c>
      <c r="I229" t="s">
        <v>3924</v>
      </c>
      <c r="J229" t="s">
        <v>2253</v>
      </c>
      <c r="O229" t="e">
        <f>INDEX(Grant[Country],MATCH(0,INDEX(COUNTIF($O$2:O228,Grant[Country]),),0))</f>
        <v>#N/A</v>
      </c>
      <c r="T229" t="s">
        <v>848</v>
      </c>
      <c r="U229" t="s">
        <v>688</v>
      </c>
      <c r="V229" t="s">
        <v>2252</v>
      </c>
      <c r="W229" t="s">
        <v>2253</v>
      </c>
      <c r="X229" s="1278"/>
    </row>
    <row r="230" spans="1:24">
      <c r="A230">
        <v>142</v>
      </c>
      <c r="B230" t="s">
        <v>849</v>
      </c>
      <c r="C230">
        <v>1</v>
      </c>
      <c r="D230" t="s">
        <v>18</v>
      </c>
      <c r="E230">
        <v>1</v>
      </c>
      <c r="F230" t="s">
        <v>690</v>
      </c>
      <c r="G230" t="s">
        <v>3567</v>
      </c>
      <c r="H230" t="s">
        <v>2272</v>
      </c>
      <c r="I230" t="s">
        <v>3568</v>
      </c>
      <c r="J230" t="s">
        <v>2281</v>
      </c>
      <c r="O230" t="e">
        <f>INDEX(Grant[Country],MATCH(0,INDEX(COUNTIF($O$2:O229,Grant[Country]),),0))</f>
        <v>#N/A</v>
      </c>
      <c r="T230" t="s">
        <v>849</v>
      </c>
      <c r="U230" t="s">
        <v>690</v>
      </c>
      <c r="V230" t="s">
        <v>2272</v>
      </c>
      <c r="W230" t="s">
        <v>2281</v>
      </c>
      <c r="X230" s="1278"/>
    </row>
    <row r="231" spans="1:24">
      <c r="A231">
        <v>142</v>
      </c>
      <c r="B231" t="s">
        <v>849</v>
      </c>
      <c r="C231">
        <v>1</v>
      </c>
      <c r="D231" t="s">
        <v>18</v>
      </c>
      <c r="E231">
        <v>1</v>
      </c>
      <c r="F231" t="s">
        <v>690</v>
      </c>
      <c r="G231" t="s">
        <v>4015</v>
      </c>
      <c r="H231" t="s">
        <v>2267</v>
      </c>
      <c r="I231" t="s">
        <v>4016</v>
      </c>
      <c r="J231" t="s">
        <v>2268</v>
      </c>
      <c r="O231" t="e">
        <f>INDEX(Grant[Country],MATCH(0,INDEX(COUNTIF($O$2:O230,Grant[Country]),),0))</f>
        <v>#N/A</v>
      </c>
      <c r="T231" t="s">
        <v>849</v>
      </c>
      <c r="U231" t="s">
        <v>690</v>
      </c>
      <c r="V231" t="s">
        <v>2267</v>
      </c>
      <c r="W231" t="s">
        <v>2268</v>
      </c>
      <c r="X231" s="1278"/>
    </row>
    <row r="232" spans="1:24">
      <c r="A232">
        <v>142</v>
      </c>
      <c r="B232" t="s">
        <v>849</v>
      </c>
      <c r="C232">
        <v>1</v>
      </c>
      <c r="D232" t="s">
        <v>18</v>
      </c>
      <c r="E232">
        <v>1</v>
      </c>
      <c r="F232" t="s">
        <v>690</v>
      </c>
      <c r="G232" t="s">
        <v>3565</v>
      </c>
      <c r="H232" t="s">
        <v>2279</v>
      </c>
      <c r="I232" t="s">
        <v>3566</v>
      </c>
      <c r="J232" t="s">
        <v>2280</v>
      </c>
      <c r="O232" t="e">
        <f>INDEX(Grant[Country],MATCH(0,INDEX(COUNTIF($O$2:O231,Grant[Country]),),0))</f>
        <v>#N/A</v>
      </c>
      <c r="T232" t="s">
        <v>849</v>
      </c>
      <c r="U232" t="s">
        <v>690</v>
      </c>
      <c r="V232" t="s">
        <v>2279</v>
      </c>
      <c r="W232" t="s">
        <v>2280</v>
      </c>
      <c r="X232" s="1278"/>
    </row>
    <row r="233" spans="1:24">
      <c r="A233">
        <v>142</v>
      </c>
      <c r="B233" t="s">
        <v>849</v>
      </c>
      <c r="C233">
        <v>1</v>
      </c>
      <c r="D233" t="s">
        <v>18</v>
      </c>
      <c r="E233">
        <v>3</v>
      </c>
      <c r="F233" t="s">
        <v>19</v>
      </c>
      <c r="G233" t="s">
        <v>3567</v>
      </c>
      <c r="H233" t="s">
        <v>2272</v>
      </c>
      <c r="I233" t="s">
        <v>3569</v>
      </c>
      <c r="J233" t="s">
        <v>2278</v>
      </c>
      <c r="O233" t="e">
        <f>INDEX(Grant[Country],MATCH(0,INDEX(COUNTIF($O$2:O232,Grant[Country]),),0))</f>
        <v>#N/A</v>
      </c>
      <c r="T233" t="s">
        <v>849</v>
      </c>
      <c r="U233" t="s">
        <v>19</v>
      </c>
      <c r="V233" t="s">
        <v>2272</v>
      </c>
      <c r="W233" t="s">
        <v>2278</v>
      </c>
      <c r="X233" s="1278"/>
    </row>
    <row r="234" spans="1:24">
      <c r="A234">
        <v>142</v>
      </c>
      <c r="B234" t="s">
        <v>849</v>
      </c>
      <c r="C234">
        <v>1</v>
      </c>
      <c r="D234" t="s">
        <v>18</v>
      </c>
      <c r="E234">
        <v>3</v>
      </c>
      <c r="F234" t="s">
        <v>19</v>
      </c>
      <c r="G234" t="s">
        <v>3563</v>
      </c>
      <c r="H234" t="s">
        <v>2276</v>
      </c>
      <c r="I234" t="s">
        <v>3564</v>
      </c>
      <c r="J234" t="s">
        <v>2277</v>
      </c>
      <c r="O234" t="e">
        <f>INDEX(Grant[Country],MATCH(0,INDEX(COUNTIF($O$2:O233,Grant[Country]),),0))</f>
        <v>#N/A</v>
      </c>
      <c r="T234" t="s">
        <v>849</v>
      </c>
      <c r="U234" t="s">
        <v>19</v>
      </c>
      <c r="V234" t="s">
        <v>2276</v>
      </c>
      <c r="W234" t="s">
        <v>2277</v>
      </c>
      <c r="X234" s="1278"/>
    </row>
    <row r="235" spans="1:24">
      <c r="A235">
        <v>142</v>
      </c>
      <c r="B235" t="s">
        <v>849</v>
      </c>
      <c r="C235">
        <v>1</v>
      </c>
      <c r="D235" t="s">
        <v>18</v>
      </c>
      <c r="E235">
        <v>2</v>
      </c>
      <c r="F235" t="s">
        <v>688</v>
      </c>
      <c r="G235" t="s">
        <v>3570</v>
      </c>
      <c r="H235" t="s">
        <v>2274</v>
      </c>
      <c r="I235" t="s">
        <v>3571</v>
      </c>
      <c r="J235" t="s">
        <v>2275</v>
      </c>
      <c r="O235" t="e">
        <f>INDEX(Grant[Country],MATCH(0,INDEX(COUNTIF($O$2:O234,Grant[Country]),),0))</f>
        <v>#N/A</v>
      </c>
      <c r="T235" t="s">
        <v>849</v>
      </c>
      <c r="U235" t="s">
        <v>688</v>
      </c>
      <c r="V235" t="s">
        <v>2274</v>
      </c>
      <c r="W235" t="s">
        <v>2275</v>
      </c>
      <c r="X235" s="1278"/>
    </row>
    <row r="236" spans="1:24">
      <c r="A236">
        <v>142</v>
      </c>
      <c r="B236" t="s">
        <v>849</v>
      </c>
      <c r="C236">
        <v>1</v>
      </c>
      <c r="D236" t="s">
        <v>18</v>
      </c>
      <c r="E236">
        <v>2</v>
      </c>
      <c r="F236" t="s">
        <v>688</v>
      </c>
      <c r="G236" t="s">
        <v>3567</v>
      </c>
      <c r="H236" t="s">
        <v>2272</v>
      </c>
      <c r="I236" t="s">
        <v>3572</v>
      </c>
      <c r="J236" t="s">
        <v>2273</v>
      </c>
      <c r="O236" t="e">
        <f>INDEX(Grant[Country],MATCH(0,INDEX(COUNTIF($O$2:O235,Grant[Country]),),0))</f>
        <v>#N/A</v>
      </c>
      <c r="T236" t="s">
        <v>849</v>
      </c>
      <c r="U236" t="s">
        <v>688</v>
      </c>
      <c r="V236" t="s">
        <v>2272</v>
      </c>
      <c r="W236" t="s">
        <v>2273</v>
      </c>
      <c r="X236" s="1278"/>
    </row>
    <row r="237" spans="1:24">
      <c r="A237">
        <v>155</v>
      </c>
      <c r="B237" t="s">
        <v>850</v>
      </c>
      <c r="C237">
        <v>1</v>
      </c>
      <c r="D237" t="s">
        <v>18</v>
      </c>
      <c r="E237">
        <v>1</v>
      </c>
      <c r="F237" t="s">
        <v>690</v>
      </c>
      <c r="G237" t="s">
        <v>3929</v>
      </c>
      <c r="H237" t="s">
        <v>1905</v>
      </c>
      <c r="I237" t="s">
        <v>3930</v>
      </c>
      <c r="J237" t="s">
        <v>2251</v>
      </c>
      <c r="O237" t="e">
        <f>INDEX(Grant[Country],MATCH(0,INDEX(COUNTIF($O$2:O236,Grant[Country]),),0))</f>
        <v>#N/A</v>
      </c>
      <c r="T237" t="s">
        <v>850</v>
      </c>
      <c r="U237" t="s">
        <v>690</v>
      </c>
      <c r="V237" t="s">
        <v>1905</v>
      </c>
      <c r="W237" t="s">
        <v>2251</v>
      </c>
      <c r="X237" s="1278"/>
    </row>
    <row r="238" spans="1:24">
      <c r="B238" t="s">
        <v>851</v>
      </c>
      <c r="O238" t="e">
        <f>INDEX(Grant[Country],MATCH(0,INDEX(COUNTIF($O$2:O237,Grant[Country]),),0))</f>
        <v>#N/A</v>
      </c>
      <c r="T238" t="s">
        <v>851</v>
      </c>
      <c r="U238" t="s">
        <v>4288</v>
      </c>
      <c r="V238" t="s">
        <v>4288</v>
      </c>
      <c r="W238" t="s">
        <v>4288</v>
      </c>
      <c r="X238" s="1278"/>
    </row>
    <row r="239" spans="1:24">
      <c r="B239" t="s">
        <v>4214</v>
      </c>
      <c r="O239" t="e">
        <f>INDEX(Grant[Country],MATCH(0,INDEX(COUNTIF($O$2:O238,Grant[Country]),),0))</f>
        <v>#N/A</v>
      </c>
      <c r="T239" t="s">
        <v>4214</v>
      </c>
      <c r="U239" t="s">
        <v>4288</v>
      </c>
      <c r="V239" t="s">
        <v>4288</v>
      </c>
      <c r="W239" t="s">
        <v>4288</v>
      </c>
      <c r="X239" s="1278"/>
    </row>
    <row r="240" spans="1:24">
      <c r="B240" t="s">
        <v>4215</v>
      </c>
      <c r="O240" t="e">
        <f>INDEX(Grant[Country],MATCH(0,INDEX(COUNTIF($O$2:O239,Grant[Country]),),0))</f>
        <v>#N/A</v>
      </c>
      <c r="T240" t="s">
        <v>4215</v>
      </c>
      <c r="U240" t="s">
        <v>4288</v>
      </c>
      <c r="V240" t="s">
        <v>4288</v>
      </c>
      <c r="W240" t="s">
        <v>4288</v>
      </c>
      <c r="X240" s="1278"/>
    </row>
    <row r="241" spans="1:24">
      <c r="B241" t="s">
        <v>4216</v>
      </c>
      <c r="O241" t="e">
        <f>INDEX(Grant[Country],MATCH(0,INDEX(COUNTIF($O$2:O240,Grant[Country]),),0))</f>
        <v>#N/A</v>
      </c>
      <c r="T241" t="s">
        <v>4216</v>
      </c>
      <c r="U241" t="s">
        <v>4288</v>
      </c>
      <c r="V241" t="s">
        <v>4288</v>
      </c>
      <c r="W241" t="s">
        <v>4288</v>
      </c>
      <c r="X241" s="1278"/>
    </row>
    <row r="242" spans="1:24">
      <c r="A242">
        <v>119</v>
      </c>
      <c r="B242" t="s">
        <v>852</v>
      </c>
      <c r="C242">
        <v>1</v>
      </c>
      <c r="D242" t="s">
        <v>18</v>
      </c>
      <c r="E242">
        <v>1</v>
      </c>
      <c r="F242" t="s">
        <v>690</v>
      </c>
      <c r="G242" t="s">
        <v>3878</v>
      </c>
      <c r="H242" t="s">
        <v>4173</v>
      </c>
      <c r="I242" t="s">
        <v>3879</v>
      </c>
      <c r="J242" t="s">
        <v>2250</v>
      </c>
      <c r="O242" t="e">
        <f>INDEX(Grant[Country],MATCH(0,INDEX(COUNTIF($O$2:O241,Grant[Country]),),0))</f>
        <v>#N/A</v>
      </c>
      <c r="T242" t="s">
        <v>852</v>
      </c>
      <c r="U242" t="s">
        <v>690</v>
      </c>
      <c r="V242" t="s">
        <v>4173</v>
      </c>
      <c r="W242" t="s">
        <v>2250</v>
      </c>
      <c r="X242" s="1278"/>
    </row>
    <row r="243" spans="1:24">
      <c r="B243" t="s">
        <v>4217</v>
      </c>
      <c r="O243" t="e">
        <f>INDEX(Grant[Country],MATCH(0,INDEX(COUNTIF($O$2:O242,Grant[Country]),),0))</f>
        <v>#N/A</v>
      </c>
      <c r="T243" t="s">
        <v>4217</v>
      </c>
      <c r="U243" t="s">
        <v>4288</v>
      </c>
      <c r="V243" t="s">
        <v>4288</v>
      </c>
      <c r="W243" t="s">
        <v>4288</v>
      </c>
      <c r="X243" s="1278"/>
    </row>
    <row r="244" spans="1:24">
      <c r="B244" t="s">
        <v>853</v>
      </c>
      <c r="O244" t="e">
        <f>INDEX(Grant[Country],MATCH(0,INDEX(COUNTIF($O$2:O243,Grant[Country]),),0))</f>
        <v>#N/A</v>
      </c>
      <c r="T244" t="s">
        <v>853</v>
      </c>
      <c r="U244" t="s">
        <v>4288</v>
      </c>
      <c r="V244" t="s">
        <v>4288</v>
      </c>
      <c r="W244" t="s">
        <v>4288</v>
      </c>
      <c r="X244" s="1278"/>
    </row>
    <row r="245" spans="1:24">
      <c r="A245">
        <v>130</v>
      </c>
      <c r="B245" t="s">
        <v>854</v>
      </c>
      <c r="C245">
        <v>1</v>
      </c>
      <c r="D245" t="s">
        <v>18</v>
      </c>
      <c r="E245">
        <v>1</v>
      </c>
      <c r="F245" t="s">
        <v>690</v>
      </c>
      <c r="G245" t="s">
        <v>3880</v>
      </c>
      <c r="H245" t="s">
        <v>2248</v>
      </c>
      <c r="I245" t="s">
        <v>3881</v>
      </c>
      <c r="J245" t="s">
        <v>2249</v>
      </c>
      <c r="O245" t="e">
        <f>INDEX(Grant[Country],MATCH(0,INDEX(COUNTIF($O$2:O244,Grant[Country]),),0))</f>
        <v>#N/A</v>
      </c>
      <c r="T245" t="s">
        <v>854</v>
      </c>
      <c r="U245" t="s">
        <v>690</v>
      </c>
      <c r="V245" t="s">
        <v>2248</v>
      </c>
      <c r="W245" t="s">
        <v>2249</v>
      </c>
      <c r="X245" s="1278"/>
    </row>
    <row r="246" spans="1:24">
      <c r="A246">
        <v>130</v>
      </c>
      <c r="B246" t="s">
        <v>854</v>
      </c>
      <c r="C246">
        <v>1</v>
      </c>
      <c r="D246" t="s">
        <v>18</v>
      </c>
      <c r="E246">
        <v>2</v>
      </c>
      <c r="F246" t="s">
        <v>688</v>
      </c>
      <c r="G246" t="s">
        <v>4017</v>
      </c>
      <c r="H246" t="s">
        <v>4176</v>
      </c>
      <c r="I246" t="s">
        <v>4018</v>
      </c>
      <c r="J246" t="s">
        <v>2247</v>
      </c>
      <c r="O246" t="e">
        <f>INDEX(Grant[Country],MATCH(0,INDEX(COUNTIF($O$2:O245,Grant[Country]),),0))</f>
        <v>#N/A</v>
      </c>
      <c r="T246" t="s">
        <v>854</v>
      </c>
      <c r="U246" t="s">
        <v>688</v>
      </c>
      <c r="V246" t="s">
        <v>4176</v>
      </c>
      <c r="W246" t="s">
        <v>2247</v>
      </c>
      <c r="X246" s="1278"/>
    </row>
    <row r="247" spans="1:24">
      <c r="A247">
        <v>29</v>
      </c>
      <c r="B247" t="s">
        <v>855</v>
      </c>
      <c r="C247">
        <v>1</v>
      </c>
      <c r="D247" t="s">
        <v>18</v>
      </c>
      <c r="E247">
        <v>1</v>
      </c>
      <c r="F247" t="s">
        <v>690</v>
      </c>
      <c r="G247" t="s">
        <v>3662</v>
      </c>
      <c r="H247" t="s">
        <v>2245</v>
      </c>
      <c r="I247" t="s">
        <v>3663</v>
      </c>
      <c r="J247" t="s">
        <v>2246</v>
      </c>
      <c r="O247" t="e">
        <f>INDEX(Grant[Country],MATCH(0,INDEX(COUNTIF($O$2:O246,Grant[Country]),),0))</f>
        <v>#N/A</v>
      </c>
      <c r="T247" t="s">
        <v>855</v>
      </c>
      <c r="U247" t="s">
        <v>690</v>
      </c>
      <c r="V247" t="s">
        <v>2245</v>
      </c>
      <c r="W247" t="s">
        <v>2246</v>
      </c>
      <c r="X247" s="1278"/>
    </row>
    <row r="248" spans="1:24">
      <c r="A248">
        <v>29</v>
      </c>
      <c r="B248" t="s">
        <v>855</v>
      </c>
      <c r="C248">
        <v>1</v>
      </c>
      <c r="D248" t="s">
        <v>18</v>
      </c>
      <c r="E248">
        <v>1</v>
      </c>
      <c r="F248" t="s">
        <v>690</v>
      </c>
      <c r="G248" t="s">
        <v>3660</v>
      </c>
      <c r="H248" t="s">
        <v>2238</v>
      </c>
      <c r="I248" t="s">
        <v>3664</v>
      </c>
      <c r="J248" t="s">
        <v>2244</v>
      </c>
      <c r="O248" t="e">
        <f>INDEX(Grant[Country],MATCH(0,INDEX(COUNTIF($O$2:O247,Grant[Country]),),0))</f>
        <v>#N/A</v>
      </c>
      <c r="T248" t="s">
        <v>855</v>
      </c>
      <c r="U248" t="s">
        <v>690</v>
      </c>
      <c r="V248" t="s">
        <v>2238</v>
      </c>
      <c r="W248" t="s">
        <v>2244</v>
      </c>
      <c r="X248" s="1278"/>
    </row>
    <row r="249" spans="1:24">
      <c r="A249">
        <v>29</v>
      </c>
      <c r="B249" t="s">
        <v>855</v>
      </c>
      <c r="C249">
        <v>1</v>
      </c>
      <c r="D249" t="s">
        <v>18</v>
      </c>
      <c r="E249">
        <v>3</v>
      </c>
      <c r="F249" t="s">
        <v>19</v>
      </c>
      <c r="G249" t="s">
        <v>3658</v>
      </c>
      <c r="H249" t="s">
        <v>2240</v>
      </c>
      <c r="I249" t="s">
        <v>3659</v>
      </c>
      <c r="J249" t="s">
        <v>2243</v>
      </c>
      <c r="O249" t="e">
        <f>INDEX(Grant[Country],MATCH(0,INDEX(COUNTIF($O$2:O248,Grant[Country]),),0))</f>
        <v>#N/A</v>
      </c>
      <c r="T249" t="s">
        <v>855</v>
      </c>
      <c r="U249" t="s">
        <v>19</v>
      </c>
      <c r="V249" t="s">
        <v>2240</v>
      </c>
      <c r="W249" t="s">
        <v>2243</v>
      </c>
      <c r="X249" s="1278"/>
    </row>
    <row r="250" spans="1:24">
      <c r="A250">
        <v>29</v>
      </c>
      <c r="B250" t="s">
        <v>855</v>
      </c>
      <c r="C250">
        <v>1</v>
      </c>
      <c r="D250" t="s">
        <v>18</v>
      </c>
      <c r="E250">
        <v>3</v>
      </c>
      <c r="F250" t="s">
        <v>19</v>
      </c>
      <c r="G250" t="s">
        <v>3660</v>
      </c>
      <c r="H250" t="s">
        <v>2238</v>
      </c>
      <c r="I250" t="s">
        <v>3661</v>
      </c>
      <c r="J250" t="s">
        <v>2242</v>
      </c>
      <c r="O250" t="e">
        <f>INDEX(Grant[Country],MATCH(0,INDEX(COUNTIF($O$2:O249,Grant[Country]),),0))</f>
        <v>#N/A</v>
      </c>
      <c r="T250" t="s">
        <v>855</v>
      </c>
      <c r="U250" t="s">
        <v>19</v>
      </c>
      <c r="V250" t="s">
        <v>2238</v>
      </c>
      <c r="W250" t="s">
        <v>2242</v>
      </c>
      <c r="X250" s="1278"/>
    </row>
    <row r="251" spans="1:24">
      <c r="A251">
        <v>29</v>
      </c>
      <c r="B251" t="s">
        <v>855</v>
      </c>
      <c r="C251">
        <v>1</v>
      </c>
      <c r="D251" t="s">
        <v>18</v>
      </c>
      <c r="E251">
        <v>2</v>
      </c>
      <c r="F251" t="s">
        <v>688</v>
      </c>
      <c r="G251" t="s">
        <v>3658</v>
      </c>
      <c r="H251" t="s">
        <v>2240</v>
      </c>
      <c r="I251" t="s">
        <v>3665</v>
      </c>
      <c r="J251" t="s">
        <v>2241</v>
      </c>
      <c r="O251" t="e">
        <f>INDEX(Grant[Country],MATCH(0,INDEX(COUNTIF($O$2:O250,Grant[Country]),),0))</f>
        <v>#N/A</v>
      </c>
      <c r="T251" t="s">
        <v>855</v>
      </c>
      <c r="U251" t="s">
        <v>688</v>
      </c>
      <c r="V251" t="s">
        <v>2240</v>
      </c>
      <c r="W251" t="s">
        <v>2241</v>
      </c>
      <c r="X251" s="1278"/>
    </row>
    <row r="252" spans="1:24">
      <c r="A252">
        <v>29</v>
      </c>
      <c r="B252" t="s">
        <v>855</v>
      </c>
      <c r="C252">
        <v>1</v>
      </c>
      <c r="D252" t="s">
        <v>18</v>
      </c>
      <c r="E252">
        <v>2</v>
      </c>
      <c r="F252" t="s">
        <v>688</v>
      </c>
      <c r="G252" t="s">
        <v>3660</v>
      </c>
      <c r="H252" t="s">
        <v>2238</v>
      </c>
      <c r="I252" t="s">
        <v>3666</v>
      </c>
      <c r="J252" t="s">
        <v>2239</v>
      </c>
      <c r="O252" t="e">
        <f>INDEX(Grant[Country],MATCH(0,INDEX(COUNTIF($O$2:O251,Grant[Country]),),0))</f>
        <v>#N/A</v>
      </c>
      <c r="T252" t="s">
        <v>855</v>
      </c>
      <c r="U252" t="s">
        <v>688</v>
      </c>
      <c r="V252" t="s">
        <v>2238</v>
      </c>
      <c r="W252" t="s">
        <v>2239</v>
      </c>
      <c r="X252" s="1278"/>
    </row>
    <row r="253" spans="1:24">
      <c r="B253" t="s">
        <v>4218</v>
      </c>
      <c r="O253" t="e">
        <f>INDEX(Grant[Country],MATCH(0,INDEX(COUNTIF($O$2:O252,Grant[Country]),),0))</f>
        <v>#N/A</v>
      </c>
      <c r="T253" t="s">
        <v>4218</v>
      </c>
      <c r="U253" t="s">
        <v>4288</v>
      </c>
      <c r="V253" t="s">
        <v>4288</v>
      </c>
      <c r="W253" t="s">
        <v>4288</v>
      </c>
      <c r="X253" s="1278"/>
    </row>
    <row r="254" spans="1:24">
      <c r="A254">
        <v>136</v>
      </c>
      <c r="B254" t="s">
        <v>856</v>
      </c>
      <c r="C254">
        <v>1</v>
      </c>
      <c r="D254" t="s">
        <v>18</v>
      </c>
      <c r="E254">
        <v>5</v>
      </c>
      <c r="F254" t="s">
        <v>1911</v>
      </c>
      <c r="G254" t="s">
        <v>3449</v>
      </c>
      <c r="H254" t="s">
        <v>1946</v>
      </c>
      <c r="I254" t="s">
        <v>3450</v>
      </c>
      <c r="J254" t="s">
        <v>2081</v>
      </c>
      <c r="O254" t="e">
        <f>INDEX(Grant[Country],MATCH(0,INDEX(COUNTIF($O$2:O253,Grant[Country]),),0))</f>
        <v>#N/A</v>
      </c>
      <c r="T254" t="s">
        <v>856</v>
      </c>
      <c r="U254" t="s">
        <v>1911</v>
      </c>
      <c r="V254" t="s">
        <v>1946</v>
      </c>
      <c r="W254" t="s">
        <v>2081</v>
      </c>
      <c r="X254" s="1278"/>
    </row>
    <row r="255" spans="1:24">
      <c r="B255" t="s">
        <v>4219</v>
      </c>
      <c r="O255" t="e">
        <f>INDEX(Grant[Country],MATCH(0,INDEX(COUNTIF($O$2:O254,Grant[Country]),),0))</f>
        <v>#N/A</v>
      </c>
      <c r="T255" t="s">
        <v>4219</v>
      </c>
      <c r="U255" t="s">
        <v>4288</v>
      </c>
      <c r="V255" t="s">
        <v>4288</v>
      </c>
      <c r="W255" t="s">
        <v>4288</v>
      </c>
      <c r="X255" s="1278"/>
    </row>
    <row r="256" spans="1:24">
      <c r="A256">
        <v>243</v>
      </c>
      <c r="B256" t="s">
        <v>857</v>
      </c>
      <c r="C256">
        <v>2</v>
      </c>
      <c r="D256" t="s">
        <v>53</v>
      </c>
      <c r="E256">
        <v>1</v>
      </c>
      <c r="F256" t="s">
        <v>690</v>
      </c>
      <c r="G256" t="s">
        <v>3968</v>
      </c>
      <c r="H256" t="s">
        <v>2072</v>
      </c>
      <c r="I256" t="s">
        <v>3976</v>
      </c>
      <c r="J256" t="s">
        <v>2074</v>
      </c>
      <c r="O256" t="e">
        <f>INDEX(Grant[Country],MATCH(0,INDEX(COUNTIF($O$2:O255,Grant[Country]),),0))</f>
        <v>#N/A</v>
      </c>
      <c r="T256" t="s">
        <v>857</v>
      </c>
      <c r="U256" t="s">
        <v>690</v>
      </c>
      <c r="V256" t="s">
        <v>2072</v>
      </c>
      <c r="W256" t="s">
        <v>2074</v>
      </c>
      <c r="X256" s="1278"/>
    </row>
    <row r="257" spans="1:24">
      <c r="A257">
        <v>243</v>
      </c>
      <c r="B257" t="s">
        <v>857</v>
      </c>
      <c r="C257">
        <v>2</v>
      </c>
      <c r="D257" t="s">
        <v>53</v>
      </c>
      <c r="E257">
        <v>2</v>
      </c>
      <c r="F257" t="s">
        <v>688</v>
      </c>
      <c r="G257" t="s">
        <v>3968</v>
      </c>
      <c r="H257" t="s">
        <v>2072</v>
      </c>
      <c r="I257" t="s">
        <v>3969</v>
      </c>
      <c r="J257" t="s">
        <v>2073</v>
      </c>
      <c r="O257" t="e">
        <f>INDEX(Grant[Country],MATCH(0,INDEX(COUNTIF($O$2:O256,Grant[Country]),),0))</f>
        <v>#N/A</v>
      </c>
      <c r="T257" t="s">
        <v>857</v>
      </c>
      <c r="U257" t="s">
        <v>688</v>
      </c>
      <c r="V257" t="s">
        <v>2072</v>
      </c>
      <c r="W257" t="s">
        <v>2073</v>
      </c>
      <c r="X257" s="1278"/>
    </row>
    <row r="258" spans="1:24">
      <c r="B258" t="s">
        <v>4220</v>
      </c>
      <c r="O258" t="e">
        <f>INDEX(Grant[Country],MATCH(0,INDEX(COUNTIF($O$2:O257,Grant[Country]),),0))</f>
        <v>#N/A</v>
      </c>
      <c r="T258" t="s">
        <v>4220</v>
      </c>
      <c r="U258" t="s">
        <v>4288</v>
      </c>
      <c r="V258" t="s">
        <v>4288</v>
      </c>
      <c r="W258" t="s">
        <v>4288</v>
      </c>
      <c r="X258" s="1278"/>
    </row>
    <row r="259" spans="1:24">
      <c r="A259">
        <v>131</v>
      </c>
      <c r="B259" t="s">
        <v>858</v>
      </c>
      <c r="C259">
        <v>1</v>
      </c>
      <c r="D259" t="s">
        <v>18</v>
      </c>
      <c r="E259">
        <v>4</v>
      </c>
      <c r="F259" t="s">
        <v>1911</v>
      </c>
      <c r="G259" t="s">
        <v>3882</v>
      </c>
      <c r="H259" t="s">
        <v>1905</v>
      </c>
      <c r="I259" t="s">
        <v>3883</v>
      </c>
      <c r="J259" t="s">
        <v>2237</v>
      </c>
      <c r="O259" t="e">
        <f>INDEX(Grant[Country],MATCH(0,INDEX(COUNTIF($O$2:O258,Grant[Country]),),0))</f>
        <v>#N/A</v>
      </c>
      <c r="T259" t="s">
        <v>858</v>
      </c>
      <c r="U259" t="s">
        <v>1911</v>
      </c>
      <c r="V259" t="s">
        <v>1905</v>
      </c>
      <c r="W259" t="s">
        <v>2237</v>
      </c>
      <c r="X259" s="1278"/>
    </row>
    <row r="260" spans="1:24">
      <c r="A260">
        <v>143</v>
      </c>
      <c r="B260" t="s">
        <v>859</v>
      </c>
      <c r="C260">
        <v>1</v>
      </c>
      <c r="D260" t="s">
        <v>18</v>
      </c>
      <c r="E260">
        <v>1</v>
      </c>
      <c r="F260" t="s">
        <v>690</v>
      </c>
      <c r="G260" t="s">
        <v>3897</v>
      </c>
      <c r="H260" t="s">
        <v>2231</v>
      </c>
      <c r="I260" t="s">
        <v>3899</v>
      </c>
      <c r="J260" t="s">
        <v>2234</v>
      </c>
      <c r="O260" t="e">
        <f>INDEX(Grant[Country],MATCH(0,INDEX(COUNTIF($O$2:O259,Grant[Country]),),0))</f>
        <v>#N/A</v>
      </c>
      <c r="T260" t="s">
        <v>859</v>
      </c>
      <c r="U260" t="s">
        <v>690</v>
      </c>
      <c r="V260" t="s">
        <v>2231</v>
      </c>
      <c r="W260" t="s">
        <v>2234</v>
      </c>
      <c r="X260" s="1278"/>
    </row>
    <row r="261" spans="1:24">
      <c r="A261">
        <v>143</v>
      </c>
      <c r="B261" t="s">
        <v>859</v>
      </c>
      <c r="C261">
        <v>1</v>
      </c>
      <c r="D261" t="s">
        <v>18</v>
      </c>
      <c r="E261">
        <v>3</v>
      </c>
      <c r="F261" t="s">
        <v>19</v>
      </c>
      <c r="G261" t="s">
        <v>3897</v>
      </c>
      <c r="H261" t="s">
        <v>2231</v>
      </c>
      <c r="I261" t="s">
        <v>3900</v>
      </c>
      <c r="J261" t="s">
        <v>2233</v>
      </c>
      <c r="O261" t="e">
        <f>INDEX(Grant[Country],MATCH(0,INDEX(COUNTIF($O$2:O260,Grant[Country]),),0))</f>
        <v>#N/A</v>
      </c>
      <c r="T261" t="s">
        <v>859</v>
      </c>
      <c r="U261" t="s">
        <v>19</v>
      </c>
      <c r="V261" t="s">
        <v>2231</v>
      </c>
      <c r="W261" t="s">
        <v>2233</v>
      </c>
      <c r="X261" s="1278"/>
    </row>
    <row r="262" spans="1:24">
      <c r="A262">
        <v>143</v>
      </c>
      <c r="B262" t="s">
        <v>859</v>
      </c>
      <c r="C262">
        <v>1</v>
      </c>
      <c r="D262" t="s">
        <v>18</v>
      </c>
      <c r="E262">
        <v>4</v>
      </c>
      <c r="F262" t="s">
        <v>1911</v>
      </c>
      <c r="G262" t="s">
        <v>3897</v>
      </c>
      <c r="H262" t="s">
        <v>2231</v>
      </c>
      <c r="I262" t="s">
        <v>4132</v>
      </c>
      <c r="J262" t="s">
        <v>4133</v>
      </c>
      <c r="O262" t="e">
        <f>INDEX(Grant[Country],MATCH(0,INDEX(COUNTIF($O$2:O261,Grant[Country]),),0))</f>
        <v>#N/A</v>
      </c>
      <c r="T262" t="s">
        <v>859</v>
      </c>
      <c r="U262" t="s">
        <v>1911</v>
      </c>
      <c r="V262" t="s">
        <v>2231</v>
      </c>
      <c r="W262" t="s">
        <v>4133</v>
      </c>
      <c r="X262" s="1278"/>
    </row>
    <row r="263" spans="1:24">
      <c r="A263">
        <v>143</v>
      </c>
      <c r="B263" t="s">
        <v>859</v>
      </c>
      <c r="C263">
        <v>1</v>
      </c>
      <c r="D263" t="s">
        <v>18</v>
      </c>
      <c r="E263">
        <v>2</v>
      </c>
      <c r="F263" t="s">
        <v>688</v>
      </c>
      <c r="G263" t="s">
        <v>3897</v>
      </c>
      <c r="H263" t="s">
        <v>2231</v>
      </c>
      <c r="I263" t="s">
        <v>3898</v>
      </c>
      <c r="J263" t="s">
        <v>2232</v>
      </c>
      <c r="O263" t="e">
        <f>INDEX(Grant[Country],MATCH(0,INDEX(COUNTIF($O$2:O262,Grant[Country]),),0))</f>
        <v>#N/A</v>
      </c>
      <c r="T263" t="s">
        <v>859</v>
      </c>
      <c r="U263" t="s">
        <v>688</v>
      </c>
      <c r="V263" t="s">
        <v>2231</v>
      </c>
      <c r="W263" t="s">
        <v>2232</v>
      </c>
      <c r="X263" s="1278"/>
    </row>
    <row r="264" spans="1:24">
      <c r="B264" t="s">
        <v>4221</v>
      </c>
      <c r="O264" t="e">
        <f>INDEX(Grant[Country],MATCH(0,INDEX(COUNTIF($O$2:O263,Grant[Country]),),0))</f>
        <v>#N/A</v>
      </c>
      <c r="T264" t="s">
        <v>4221</v>
      </c>
      <c r="U264" t="s">
        <v>4288</v>
      </c>
      <c r="V264" t="s">
        <v>4288</v>
      </c>
      <c r="W264" t="s">
        <v>4288</v>
      </c>
      <c r="X264" s="1278"/>
    </row>
    <row r="265" spans="1:24">
      <c r="B265" t="s">
        <v>4222</v>
      </c>
      <c r="O265" t="e">
        <f>INDEX(Grant[Country],MATCH(0,INDEX(COUNTIF($O$2:O264,Grant[Country]),),0))</f>
        <v>#N/A</v>
      </c>
      <c r="T265" t="s">
        <v>4222</v>
      </c>
      <c r="U265" t="s">
        <v>4288</v>
      </c>
      <c r="V265" t="s">
        <v>4288</v>
      </c>
      <c r="W265" t="s">
        <v>4288</v>
      </c>
      <c r="X265" s="1278"/>
    </row>
    <row r="266" spans="1:24">
      <c r="A266">
        <v>60</v>
      </c>
      <c r="B266" t="s">
        <v>860</v>
      </c>
      <c r="C266">
        <v>1</v>
      </c>
      <c r="D266" t="s">
        <v>18</v>
      </c>
      <c r="E266">
        <v>4</v>
      </c>
      <c r="F266" t="s">
        <v>1911</v>
      </c>
      <c r="G266" t="s">
        <v>3731</v>
      </c>
      <c r="H266" t="s">
        <v>2216</v>
      </c>
      <c r="I266" t="s">
        <v>3732</v>
      </c>
      <c r="J266" t="s">
        <v>2218</v>
      </c>
      <c r="O266" t="e">
        <f>INDEX(Grant[Country],MATCH(0,INDEX(COUNTIF($O$2:O265,Grant[Country]),),0))</f>
        <v>#N/A</v>
      </c>
      <c r="T266" t="s">
        <v>860</v>
      </c>
      <c r="U266" t="s">
        <v>1911</v>
      </c>
      <c r="V266" t="s">
        <v>2216</v>
      </c>
      <c r="W266" t="s">
        <v>2218</v>
      </c>
      <c r="X266" s="1278"/>
    </row>
    <row r="267" spans="1:24">
      <c r="A267">
        <v>60</v>
      </c>
      <c r="B267" t="s">
        <v>860</v>
      </c>
      <c r="C267">
        <v>1</v>
      </c>
      <c r="D267" t="s">
        <v>18</v>
      </c>
      <c r="E267">
        <v>4</v>
      </c>
      <c r="F267" t="s">
        <v>1911</v>
      </c>
      <c r="G267" t="s">
        <v>3733</v>
      </c>
      <c r="H267" t="s">
        <v>2215</v>
      </c>
      <c r="I267" t="s">
        <v>3734</v>
      </c>
      <c r="J267" t="s">
        <v>2217</v>
      </c>
      <c r="O267" t="e">
        <f>INDEX(Grant[Country],MATCH(0,INDEX(COUNTIF($O$2:O266,Grant[Country]),),0))</f>
        <v>#N/A</v>
      </c>
      <c r="T267" t="s">
        <v>860</v>
      </c>
      <c r="U267" t="s">
        <v>1911</v>
      </c>
      <c r="V267" t="s">
        <v>2215</v>
      </c>
      <c r="W267" t="s">
        <v>2217</v>
      </c>
      <c r="X267" s="1278"/>
    </row>
    <row r="268" spans="1:24">
      <c r="A268">
        <v>72</v>
      </c>
      <c r="B268" t="s">
        <v>861</v>
      </c>
      <c r="C268">
        <v>1</v>
      </c>
      <c r="D268" t="s">
        <v>18</v>
      </c>
      <c r="E268">
        <v>1</v>
      </c>
      <c r="F268" t="s">
        <v>690</v>
      </c>
      <c r="G268" t="s">
        <v>3549</v>
      </c>
      <c r="H268" t="s">
        <v>2224</v>
      </c>
      <c r="I268" t="s">
        <v>3552</v>
      </c>
      <c r="J268" t="s">
        <v>2230</v>
      </c>
      <c r="O268" t="e">
        <f>INDEX(Grant[Country],MATCH(0,INDEX(COUNTIF($O$2:O267,Grant[Country]),),0))</f>
        <v>#N/A</v>
      </c>
      <c r="T268" t="s">
        <v>861</v>
      </c>
      <c r="U268" t="s">
        <v>690</v>
      </c>
      <c r="V268" t="s">
        <v>2224</v>
      </c>
      <c r="W268" t="s">
        <v>2230</v>
      </c>
      <c r="X268" s="1278"/>
    </row>
    <row r="269" spans="1:24">
      <c r="A269">
        <v>72</v>
      </c>
      <c r="B269" t="s">
        <v>861</v>
      </c>
      <c r="C269">
        <v>1</v>
      </c>
      <c r="D269" t="s">
        <v>18</v>
      </c>
      <c r="E269">
        <v>1</v>
      </c>
      <c r="F269" t="s">
        <v>690</v>
      </c>
      <c r="G269" t="s">
        <v>3556</v>
      </c>
      <c r="H269" t="s">
        <v>1974</v>
      </c>
      <c r="I269" t="s">
        <v>3557</v>
      </c>
      <c r="J269" t="s">
        <v>2228</v>
      </c>
      <c r="O269" t="e">
        <f>INDEX(Grant[Country],MATCH(0,INDEX(COUNTIF($O$2:O268,Grant[Country]),),0))</f>
        <v>#N/A</v>
      </c>
      <c r="T269" t="s">
        <v>861</v>
      </c>
      <c r="U269" t="s">
        <v>690</v>
      </c>
      <c r="V269" t="s">
        <v>1974</v>
      </c>
      <c r="W269" t="s">
        <v>2228</v>
      </c>
      <c r="X269" s="1278"/>
    </row>
    <row r="270" spans="1:24">
      <c r="A270">
        <v>72</v>
      </c>
      <c r="B270" t="s">
        <v>861</v>
      </c>
      <c r="C270">
        <v>1</v>
      </c>
      <c r="D270" t="s">
        <v>18</v>
      </c>
      <c r="E270">
        <v>3</v>
      </c>
      <c r="F270" t="s">
        <v>19</v>
      </c>
      <c r="G270" t="s">
        <v>3549</v>
      </c>
      <c r="H270" t="s">
        <v>2224</v>
      </c>
      <c r="I270" t="s">
        <v>3550</v>
      </c>
      <c r="J270" t="s">
        <v>2227</v>
      </c>
      <c r="O270" t="e">
        <f>INDEX(Grant[Country],MATCH(0,INDEX(COUNTIF($O$2:O269,Grant[Country]),),0))</f>
        <v>#N/A</v>
      </c>
      <c r="T270" t="s">
        <v>861</v>
      </c>
      <c r="U270" t="s">
        <v>19</v>
      </c>
      <c r="V270" t="s">
        <v>2224</v>
      </c>
      <c r="W270" t="s">
        <v>2227</v>
      </c>
      <c r="X270" s="1278"/>
    </row>
    <row r="271" spans="1:24">
      <c r="A271">
        <v>72</v>
      </c>
      <c r="B271" t="s">
        <v>861</v>
      </c>
      <c r="C271">
        <v>1</v>
      </c>
      <c r="D271" t="s">
        <v>18</v>
      </c>
      <c r="E271">
        <v>3</v>
      </c>
      <c r="F271" t="s">
        <v>19</v>
      </c>
      <c r="G271" t="s">
        <v>3547</v>
      </c>
      <c r="H271" t="s">
        <v>1992</v>
      </c>
      <c r="I271" t="s">
        <v>3548</v>
      </c>
      <c r="J271" t="s">
        <v>2226</v>
      </c>
      <c r="O271" t="e">
        <f>INDEX(Grant[Country],MATCH(0,INDEX(COUNTIF($O$2:O270,Grant[Country]),),0))</f>
        <v>#N/A</v>
      </c>
      <c r="T271" t="s">
        <v>861</v>
      </c>
      <c r="U271" t="s">
        <v>19</v>
      </c>
      <c r="V271" t="s">
        <v>1992</v>
      </c>
      <c r="W271" t="s">
        <v>2226</v>
      </c>
      <c r="X271" s="1278"/>
    </row>
    <row r="272" spans="1:24">
      <c r="A272">
        <v>72</v>
      </c>
      <c r="B272" t="s">
        <v>861</v>
      </c>
      <c r="C272">
        <v>1</v>
      </c>
      <c r="D272" t="s">
        <v>18</v>
      </c>
      <c r="E272">
        <v>4</v>
      </c>
      <c r="F272" t="s">
        <v>1911</v>
      </c>
      <c r="G272" t="s">
        <v>3549</v>
      </c>
      <c r="H272" t="s">
        <v>2224</v>
      </c>
      <c r="I272" t="s">
        <v>3553</v>
      </c>
      <c r="J272" t="s">
        <v>2229</v>
      </c>
      <c r="O272" t="e">
        <f>INDEX(Grant[Country],MATCH(0,INDEX(COUNTIF($O$2:O271,Grant[Country]),),0))</f>
        <v>#N/A</v>
      </c>
      <c r="T272" t="s">
        <v>861</v>
      </c>
      <c r="U272" t="s">
        <v>1911</v>
      </c>
      <c r="V272" t="s">
        <v>2224</v>
      </c>
      <c r="W272" t="s">
        <v>2229</v>
      </c>
      <c r="X272" s="1278"/>
    </row>
    <row r="273" spans="1:24">
      <c r="A273">
        <v>72</v>
      </c>
      <c r="B273" t="s">
        <v>861</v>
      </c>
      <c r="C273">
        <v>1</v>
      </c>
      <c r="D273" t="s">
        <v>18</v>
      </c>
      <c r="E273">
        <v>4</v>
      </c>
      <c r="F273" t="s">
        <v>1911</v>
      </c>
      <c r="G273" t="s">
        <v>3547</v>
      </c>
      <c r="H273" t="s">
        <v>1992</v>
      </c>
      <c r="I273" t="s">
        <v>4153</v>
      </c>
      <c r="J273" t="s">
        <v>4154</v>
      </c>
      <c r="O273" t="e">
        <f>INDEX(Grant[Country],MATCH(0,INDEX(COUNTIF($O$2:O272,Grant[Country]),),0))</f>
        <v>#N/A</v>
      </c>
      <c r="T273" t="s">
        <v>861</v>
      </c>
      <c r="U273" t="s">
        <v>1911</v>
      </c>
      <c r="V273" t="s">
        <v>1992</v>
      </c>
      <c r="W273" t="s">
        <v>4154</v>
      </c>
      <c r="X273" s="1278"/>
    </row>
    <row r="274" spans="1:24">
      <c r="A274">
        <v>72</v>
      </c>
      <c r="B274" t="s">
        <v>861</v>
      </c>
      <c r="C274">
        <v>1</v>
      </c>
      <c r="D274" t="s">
        <v>18</v>
      </c>
      <c r="E274">
        <v>2</v>
      </c>
      <c r="F274" t="s">
        <v>688</v>
      </c>
      <c r="G274" t="s">
        <v>3549</v>
      </c>
      <c r="H274" t="s">
        <v>2224</v>
      </c>
      <c r="I274" t="s">
        <v>3551</v>
      </c>
      <c r="J274" t="s">
        <v>2225</v>
      </c>
      <c r="O274" t="e">
        <f>INDEX(Grant[Country],MATCH(0,INDEX(COUNTIF($O$2:O273,Grant[Country]),),0))</f>
        <v>#N/A</v>
      </c>
      <c r="T274" t="s">
        <v>861</v>
      </c>
      <c r="U274" t="s">
        <v>688</v>
      </c>
      <c r="V274" t="s">
        <v>2224</v>
      </c>
      <c r="W274" t="s">
        <v>2225</v>
      </c>
      <c r="X274" s="1278"/>
    </row>
    <row r="275" spans="1:24">
      <c r="B275" t="s">
        <v>4223</v>
      </c>
      <c r="O275" t="e">
        <f>INDEX(Grant[Country],MATCH(0,INDEX(COUNTIF($O$2:O274,Grant[Country]),),0))</f>
        <v>#N/A</v>
      </c>
      <c r="T275" t="s">
        <v>4223</v>
      </c>
      <c r="U275" t="s">
        <v>4288</v>
      </c>
      <c r="V275" t="s">
        <v>4288</v>
      </c>
      <c r="W275" t="s">
        <v>4288</v>
      </c>
      <c r="X275" s="1278"/>
    </row>
    <row r="276" spans="1:24">
      <c r="B276" t="s">
        <v>4224</v>
      </c>
      <c r="O276" t="e">
        <f>INDEX(Grant[Country],MATCH(0,INDEX(COUNTIF($O$2:O275,Grant[Country]),),0))</f>
        <v>#N/A</v>
      </c>
      <c r="T276" t="s">
        <v>4224</v>
      </c>
      <c r="U276" t="s">
        <v>4288</v>
      </c>
      <c r="V276" t="s">
        <v>4288</v>
      </c>
      <c r="W276" t="s">
        <v>4288</v>
      </c>
      <c r="X276" s="1278"/>
    </row>
    <row r="277" spans="1:24">
      <c r="B277" t="s">
        <v>4225</v>
      </c>
      <c r="O277" t="e">
        <f>INDEX(Grant[Country],MATCH(0,INDEX(COUNTIF($O$2:O276,Grant[Country]),),0))</f>
        <v>#N/A</v>
      </c>
      <c r="T277" t="s">
        <v>4225</v>
      </c>
      <c r="U277" t="s">
        <v>4288</v>
      </c>
      <c r="V277" t="s">
        <v>4288</v>
      </c>
      <c r="W277" t="s">
        <v>4288</v>
      </c>
      <c r="X277" s="1278"/>
    </row>
    <row r="278" spans="1:24">
      <c r="B278" t="s">
        <v>4226</v>
      </c>
      <c r="O278" t="e">
        <f>INDEX(Grant[Country],MATCH(0,INDEX(COUNTIF($O$2:O277,Grant[Country]),),0))</f>
        <v>#N/A</v>
      </c>
      <c r="T278" t="s">
        <v>4226</v>
      </c>
      <c r="U278" t="s">
        <v>4288</v>
      </c>
      <c r="V278" t="s">
        <v>4288</v>
      </c>
      <c r="W278" t="s">
        <v>4288</v>
      </c>
      <c r="X278" s="1278"/>
    </row>
    <row r="279" spans="1:24">
      <c r="A279">
        <v>30</v>
      </c>
      <c r="B279" t="s">
        <v>864</v>
      </c>
      <c r="C279">
        <v>1</v>
      </c>
      <c r="D279" t="s">
        <v>18</v>
      </c>
      <c r="E279">
        <v>1</v>
      </c>
      <c r="F279" t="s">
        <v>690</v>
      </c>
      <c r="G279" t="s">
        <v>3556</v>
      </c>
      <c r="H279" t="s">
        <v>1974</v>
      </c>
      <c r="I279" t="s">
        <v>4019</v>
      </c>
      <c r="J279" t="s">
        <v>2206</v>
      </c>
      <c r="O279" t="e">
        <f>INDEX(Grant[Country],MATCH(0,INDEX(COUNTIF($O$2:O278,Grant[Country]),),0))</f>
        <v>#N/A</v>
      </c>
      <c r="T279" t="s">
        <v>864</v>
      </c>
      <c r="U279" t="s">
        <v>690</v>
      </c>
      <c r="V279" t="s">
        <v>1974</v>
      </c>
      <c r="W279" t="s">
        <v>2206</v>
      </c>
      <c r="X279" s="1278"/>
    </row>
    <row r="280" spans="1:24">
      <c r="A280">
        <v>30</v>
      </c>
      <c r="B280" t="s">
        <v>864</v>
      </c>
      <c r="C280">
        <v>1</v>
      </c>
      <c r="D280" t="s">
        <v>18</v>
      </c>
      <c r="E280">
        <v>1</v>
      </c>
      <c r="F280" t="s">
        <v>690</v>
      </c>
      <c r="G280" t="s">
        <v>4022</v>
      </c>
      <c r="H280" t="s">
        <v>2204</v>
      </c>
      <c r="I280" t="s">
        <v>4023</v>
      </c>
      <c r="J280" t="s">
        <v>2205</v>
      </c>
      <c r="O280" t="e">
        <f>INDEX(Grant[Country],MATCH(0,INDEX(COUNTIF($O$2:O279,Grant[Country]),),0))</f>
        <v>#N/A</v>
      </c>
      <c r="T280" t="s">
        <v>864</v>
      </c>
      <c r="U280" t="s">
        <v>690</v>
      </c>
      <c r="V280" t="s">
        <v>2204</v>
      </c>
      <c r="W280" t="s">
        <v>2205</v>
      </c>
      <c r="X280" s="1278"/>
    </row>
    <row r="281" spans="1:24">
      <c r="A281">
        <v>30</v>
      </c>
      <c r="B281" t="s">
        <v>864</v>
      </c>
      <c r="C281">
        <v>1</v>
      </c>
      <c r="D281" t="s">
        <v>18</v>
      </c>
      <c r="E281">
        <v>3</v>
      </c>
      <c r="F281" t="s">
        <v>19</v>
      </c>
      <c r="G281" t="s">
        <v>4020</v>
      </c>
      <c r="H281" t="s">
        <v>2202</v>
      </c>
      <c r="I281" t="s">
        <v>4021</v>
      </c>
      <c r="J281" t="s">
        <v>2203</v>
      </c>
      <c r="O281" t="e">
        <f>INDEX(Grant[Country],MATCH(0,INDEX(COUNTIF($O$2:O280,Grant[Country]),),0))</f>
        <v>#N/A</v>
      </c>
      <c r="T281" t="s">
        <v>864</v>
      </c>
      <c r="U281" t="s">
        <v>19</v>
      </c>
      <c r="V281" t="s">
        <v>2202</v>
      </c>
      <c r="W281" t="s">
        <v>2203</v>
      </c>
      <c r="X281" s="1278"/>
    </row>
    <row r="282" spans="1:24">
      <c r="A282">
        <v>30</v>
      </c>
      <c r="B282" t="s">
        <v>864</v>
      </c>
      <c r="C282">
        <v>1</v>
      </c>
      <c r="D282" t="s">
        <v>18</v>
      </c>
      <c r="E282">
        <v>3</v>
      </c>
      <c r="F282" t="s">
        <v>19</v>
      </c>
      <c r="G282" t="s">
        <v>3556</v>
      </c>
      <c r="H282" t="s">
        <v>1974</v>
      </c>
      <c r="I282" t="s">
        <v>3667</v>
      </c>
      <c r="J282" t="s">
        <v>2201</v>
      </c>
      <c r="O282" t="e">
        <f>INDEX(Grant[Country],MATCH(0,INDEX(COUNTIF($O$2:O281,Grant[Country]),),0))</f>
        <v>#N/A</v>
      </c>
      <c r="T282" t="s">
        <v>864</v>
      </c>
      <c r="U282" t="s">
        <v>19</v>
      </c>
      <c r="V282" t="s">
        <v>1974</v>
      </c>
      <c r="W282" t="s">
        <v>2201</v>
      </c>
      <c r="X282" s="1278"/>
    </row>
    <row r="283" spans="1:24">
      <c r="A283">
        <v>30</v>
      </c>
      <c r="B283" t="s">
        <v>864</v>
      </c>
      <c r="C283">
        <v>1</v>
      </c>
      <c r="D283" t="s">
        <v>18</v>
      </c>
      <c r="E283">
        <v>2</v>
      </c>
      <c r="F283" t="s">
        <v>688</v>
      </c>
      <c r="G283" t="s">
        <v>4101</v>
      </c>
      <c r="H283" t="s">
        <v>2365</v>
      </c>
      <c r="I283" t="s">
        <v>4167</v>
      </c>
      <c r="J283" t="s">
        <v>4168</v>
      </c>
      <c r="O283" t="e">
        <f>INDEX(Grant[Country],MATCH(0,INDEX(COUNTIF($O$2:O282,Grant[Country]),),0))</f>
        <v>#N/A</v>
      </c>
      <c r="T283" t="s">
        <v>864</v>
      </c>
      <c r="U283" t="s">
        <v>688</v>
      </c>
      <c r="V283" t="s">
        <v>2365</v>
      </c>
      <c r="W283" t="s">
        <v>4168</v>
      </c>
      <c r="X283" s="1278"/>
    </row>
    <row r="284" spans="1:24">
      <c r="A284">
        <v>30</v>
      </c>
      <c r="B284" t="s">
        <v>864</v>
      </c>
      <c r="C284">
        <v>1</v>
      </c>
      <c r="D284" t="s">
        <v>18</v>
      </c>
      <c r="E284">
        <v>2</v>
      </c>
      <c r="F284" t="s">
        <v>688</v>
      </c>
      <c r="G284" t="s">
        <v>3668</v>
      </c>
      <c r="H284" t="s">
        <v>2199</v>
      </c>
      <c r="I284" t="s">
        <v>3669</v>
      </c>
      <c r="J284" t="s">
        <v>2200</v>
      </c>
      <c r="O284" t="e">
        <f>INDEX(Grant[Country],MATCH(0,INDEX(COUNTIF($O$2:O283,Grant[Country]),),0))</f>
        <v>#N/A</v>
      </c>
      <c r="T284" t="s">
        <v>864</v>
      </c>
      <c r="U284" t="s">
        <v>688</v>
      </c>
      <c r="V284" t="s">
        <v>2199</v>
      </c>
      <c r="W284" t="s">
        <v>2200</v>
      </c>
      <c r="X284" s="1278"/>
    </row>
    <row r="285" spans="1:24">
      <c r="A285">
        <v>31</v>
      </c>
      <c r="B285" t="s">
        <v>865</v>
      </c>
      <c r="C285">
        <v>1</v>
      </c>
      <c r="D285" t="s">
        <v>18</v>
      </c>
      <c r="E285">
        <v>1</v>
      </c>
      <c r="F285" t="s">
        <v>690</v>
      </c>
      <c r="G285" t="s">
        <v>3490</v>
      </c>
      <c r="H285" t="s">
        <v>2193</v>
      </c>
      <c r="I285" t="s">
        <v>3491</v>
      </c>
      <c r="J285" t="s">
        <v>2194</v>
      </c>
      <c r="O285" t="e">
        <f>INDEX(Grant[Country],MATCH(0,INDEX(COUNTIF($O$2:O284,Grant[Country]),),0))</f>
        <v>#N/A</v>
      </c>
      <c r="T285" t="s">
        <v>865</v>
      </c>
      <c r="U285" t="s">
        <v>690</v>
      </c>
      <c r="V285" t="s">
        <v>2193</v>
      </c>
      <c r="W285" t="s">
        <v>2194</v>
      </c>
      <c r="X285" s="1278"/>
    </row>
    <row r="286" spans="1:24">
      <c r="A286">
        <v>31</v>
      </c>
      <c r="B286" t="s">
        <v>865</v>
      </c>
      <c r="C286">
        <v>1</v>
      </c>
      <c r="D286" t="s">
        <v>18</v>
      </c>
      <c r="E286">
        <v>3</v>
      </c>
      <c r="F286" t="s">
        <v>19</v>
      </c>
      <c r="G286" t="s">
        <v>3485</v>
      </c>
      <c r="H286" t="s">
        <v>2156</v>
      </c>
      <c r="I286" t="s">
        <v>3486</v>
      </c>
      <c r="J286" t="s">
        <v>2157</v>
      </c>
      <c r="O286" t="e">
        <f>INDEX(Grant[Country],MATCH(0,INDEX(COUNTIF($O$2:O285,Grant[Country]),),0))</f>
        <v>#N/A</v>
      </c>
      <c r="T286" t="s">
        <v>865</v>
      </c>
      <c r="U286" t="s">
        <v>19</v>
      </c>
      <c r="V286" t="s">
        <v>2156</v>
      </c>
      <c r="W286" t="s">
        <v>2157</v>
      </c>
      <c r="X286" s="1278"/>
    </row>
    <row r="287" spans="1:24">
      <c r="A287">
        <v>31</v>
      </c>
      <c r="B287" t="s">
        <v>865</v>
      </c>
      <c r="C287">
        <v>1</v>
      </c>
      <c r="D287" t="s">
        <v>18</v>
      </c>
      <c r="E287">
        <v>3</v>
      </c>
      <c r="F287" t="s">
        <v>19</v>
      </c>
      <c r="G287" t="s">
        <v>3483</v>
      </c>
      <c r="H287" t="s">
        <v>2154</v>
      </c>
      <c r="I287" t="s">
        <v>3484</v>
      </c>
      <c r="J287" t="s">
        <v>2155</v>
      </c>
      <c r="O287" t="e">
        <f>INDEX(Grant[Country],MATCH(0,INDEX(COUNTIF($O$2:O286,Grant[Country]),),0))</f>
        <v>#N/A</v>
      </c>
      <c r="T287" t="s">
        <v>865</v>
      </c>
      <c r="U287" t="s">
        <v>19</v>
      </c>
      <c r="V287" t="s">
        <v>2154</v>
      </c>
      <c r="W287" t="s">
        <v>2155</v>
      </c>
      <c r="X287" s="1278"/>
    </row>
    <row r="288" spans="1:24">
      <c r="A288">
        <v>31</v>
      </c>
      <c r="B288" t="s">
        <v>865</v>
      </c>
      <c r="C288">
        <v>1</v>
      </c>
      <c r="D288" t="s">
        <v>18</v>
      </c>
      <c r="E288">
        <v>4</v>
      </c>
      <c r="F288" t="s">
        <v>1911</v>
      </c>
      <c r="G288" t="s">
        <v>3487</v>
      </c>
      <c r="H288" t="s">
        <v>2159</v>
      </c>
      <c r="I288" t="s">
        <v>3488</v>
      </c>
      <c r="J288" t="s">
        <v>2160</v>
      </c>
      <c r="O288" t="e">
        <f>INDEX(Grant[Country],MATCH(0,INDEX(COUNTIF($O$2:O287,Grant[Country]),),0))</f>
        <v>#N/A</v>
      </c>
      <c r="T288" t="s">
        <v>865</v>
      </c>
      <c r="U288" t="s">
        <v>1911</v>
      </c>
      <c r="V288" t="s">
        <v>2159</v>
      </c>
      <c r="W288" t="s">
        <v>2160</v>
      </c>
      <c r="X288" s="1278"/>
    </row>
    <row r="289" spans="1:24">
      <c r="A289">
        <v>31</v>
      </c>
      <c r="B289" t="s">
        <v>865</v>
      </c>
      <c r="C289">
        <v>1</v>
      </c>
      <c r="D289" t="s">
        <v>18</v>
      </c>
      <c r="E289">
        <v>4</v>
      </c>
      <c r="F289" t="s">
        <v>1911</v>
      </c>
      <c r="G289" t="s">
        <v>3485</v>
      </c>
      <c r="H289" t="s">
        <v>2156</v>
      </c>
      <c r="I289" t="s">
        <v>3489</v>
      </c>
      <c r="J289" t="s">
        <v>2158</v>
      </c>
      <c r="O289" t="e">
        <f>INDEX(Grant[Country],MATCH(0,INDEX(COUNTIF($O$2:O288,Grant[Country]),),0))</f>
        <v>#N/A</v>
      </c>
      <c r="T289" t="s">
        <v>865</v>
      </c>
      <c r="U289" t="s">
        <v>1911</v>
      </c>
      <c r="V289" t="s">
        <v>2156</v>
      </c>
      <c r="W289" t="s">
        <v>2158</v>
      </c>
      <c r="X289" s="1278"/>
    </row>
    <row r="290" spans="1:24">
      <c r="A290">
        <v>31</v>
      </c>
      <c r="B290" t="s">
        <v>865</v>
      </c>
      <c r="C290">
        <v>1</v>
      </c>
      <c r="D290" t="s">
        <v>18</v>
      </c>
      <c r="E290">
        <v>4</v>
      </c>
      <c r="F290" t="s">
        <v>1911</v>
      </c>
      <c r="G290" t="s">
        <v>3483</v>
      </c>
      <c r="H290" t="s">
        <v>2154</v>
      </c>
      <c r="I290" t="s">
        <v>4149</v>
      </c>
      <c r="J290" t="s">
        <v>4150</v>
      </c>
      <c r="O290" t="e">
        <f>INDEX(Grant[Country],MATCH(0,INDEX(COUNTIF($O$2:O289,Grant[Country]),),0))</f>
        <v>#N/A</v>
      </c>
      <c r="T290" t="s">
        <v>865</v>
      </c>
      <c r="U290" t="s">
        <v>1911</v>
      </c>
      <c r="V290" t="s">
        <v>2154</v>
      </c>
      <c r="W290" t="s">
        <v>4150</v>
      </c>
      <c r="X290" s="1278"/>
    </row>
    <row r="291" spans="1:24">
      <c r="A291">
        <v>144</v>
      </c>
      <c r="B291" t="s">
        <v>866</v>
      </c>
      <c r="C291">
        <v>1</v>
      </c>
      <c r="D291" t="s">
        <v>18</v>
      </c>
      <c r="E291">
        <v>1</v>
      </c>
      <c r="F291" t="s">
        <v>690</v>
      </c>
      <c r="G291" t="s">
        <v>3901</v>
      </c>
      <c r="H291" t="s">
        <v>2152</v>
      </c>
      <c r="I291" t="s">
        <v>3902</v>
      </c>
      <c r="J291" t="s">
        <v>2153</v>
      </c>
      <c r="O291" t="e">
        <f>INDEX(Grant[Country],MATCH(0,INDEX(COUNTIF($O$2:O290,Grant[Country]),),0))</f>
        <v>#N/A</v>
      </c>
      <c r="T291" t="s">
        <v>866</v>
      </c>
      <c r="U291" t="s">
        <v>690</v>
      </c>
      <c r="V291" t="s">
        <v>2152</v>
      </c>
      <c r="W291" t="s">
        <v>2153</v>
      </c>
      <c r="X291" s="1278"/>
    </row>
    <row r="292" spans="1:24">
      <c r="B292" t="s">
        <v>867</v>
      </c>
      <c r="O292" t="e">
        <f>INDEX(Grant[Country],MATCH(0,INDEX(COUNTIF($O$2:O291,Grant[Country]),),0))</f>
        <v>#N/A</v>
      </c>
      <c r="T292" t="s">
        <v>867</v>
      </c>
      <c r="U292" t="s">
        <v>4288</v>
      </c>
      <c r="V292" t="s">
        <v>4288</v>
      </c>
      <c r="W292" t="s">
        <v>4288</v>
      </c>
      <c r="X292" s="1278"/>
    </row>
    <row r="293" spans="1:24">
      <c r="A293">
        <v>73</v>
      </c>
      <c r="B293" t="s">
        <v>868</v>
      </c>
      <c r="C293">
        <v>2</v>
      </c>
      <c r="D293" t="s">
        <v>53</v>
      </c>
      <c r="E293">
        <v>1</v>
      </c>
      <c r="F293" t="s">
        <v>690</v>
      </c>
      <c r="G293" t="s">
        <v>4026</v>
      </c>
      <c r="H293" t="s">
        <v>4027</v>
      </c>
      <c r="I293" t="s">
        <v>4028</v>
      </c>
      <c r="J293" t="s">
        <v>2212</v>
      </c>
      <c r="O293" t="e">
        <f>INDEX(Grant[Country],MATCH(0,INDEX(COUNTIF($O$2:O292,Grant[Country]),),0))</f>
        <v>#N/A</v>
      </c>
      <c r="T293" t="s">
        <v>868</v>
      </c>
      <c r="U293" t="s">
        <v>690</v>
      </c>
      <c r="V293" t="s">
        <v>4027</v>
      </c>
      <c r="W293" t="s">
        <v>2214</v>
      </c>
      <c r="X293" s="1278"/>
    </row>
    <row r="294" spans="1:24">
      <c r="A294">
        <v>73</v>
      </c>
      <c r="B294" t="s">
        <v>868</v>
      </c>
      <c r="C294">
        <v>1</v>
      </c>
      <c r="D294" t="s">
        <v>18</v>
      </c>
      <c r="E294">
        <v>1</v>
      </c>
      <c r="F294" t="s">
        <v>690</v>
      </c>
      <c r="G294" t="s">
        <v>4026</v>
      </c>
      <c r="H294" t="s">
        <v>4027</v>
      </c>
      <c r="I294" t="s">
        <v>4029</v>
      </c>
      <c r="J294" t="s">
        <v>2214</v>
      </c>
      <c r="O294" t="e">
        <f>INDEX(Grant[Country],MATCH(0,INDEX(COUNTIF($O$2:O293,Grant[Country]),),0))</f>
        <v>#N/A</v>
      </c>
      <c r="T294" t="s">
        <v>868</v>
      </c>
      <c r="U294" t="s">
        <v>690</v>
      </c>
      <c r="V294" t="s">
        <v>4027</v>
      </c>
      <c r="W294" t="s">
        <v>2212</v>
      </c>
      <c r="X294" s="1278"/>
    </row>
    <row r="295" spans="1:24">
      <c r="A295">
        <v>73</v>
      </c>
      <c r="B295" t="s">
        <v>868</v>
      </c>
      <c r="C295">
        <v>2</v>
      </c>
      <c r="D295" t="s">
        <v>53</v>
      </c>
      <c r="E295">
        <v>1</v>
      </c>
      <c r="F295" t="s">
        <v>690</v>
      </c>
      <c r="G295" t="s">
        <v>4026</v>
      </c>
      <c r="H295" t="s">
        <v>4027</v>
      </c>
      <c r="I295" t="s">
        <v>4048</v>
      </c>
      <c r="J295" t="s">
        <v>2198</v>
      </c>
      <c r="O295" t="e">
        <f>INDEX(Grant[Country],MATCH(0,INDEX(COUNTIF($O$2:O294,Grant[Country]),),0))</f>
        <v>#N/A</v>
      </c>
      <c r="T295" t="s">
        <v>868</v>
      </c>
      <c r="U295" t="s">
        <v>690</v>
      </c>
      <c r="V295" t="s">
        <v>4027</v>
      </c>
      <c r="W295" t="s">
        <v>2198</v>
      </c>
      <c r="X295" s="1278"/>
    </row>
    <row r="296" spans="1:24">
      <c r="A296">
        <v>73</v>
      </c>
      <c r="B296" t="s">
        <v>868</v>
      </c>
      <c r="C296">
        <v>2</v>
      </c>
      <c r="D296" t="s">
        <v>53</v>
      </c>
      <c r="E296">
        <v>1</v>
      </c>
      <c r="F296" t="s">
        <v>690</v>
      </c>
      <c r="G296" t="s">
        <v>4024</v>
      </c>
      <c r="H296" t="s">
        <v>1992</v>
      </c>
      <c r="I296" t="s">
        <v>4025</v>
      </c>
      <c r="J296" t="s">
        <v>2197</v>
      </c>
      <c r="O296" t="e">
        <f>INDEX(Grant[Country],MATCH(0,INDEX(COUNTIF($O$2:O295,Grant[Country]),),0))</f>
        <v>#N/A</v>
      </c>
      <c r="T296" t="s">
        <v>868</v>
      </c>
      <c r="U296" t="s">
        <v>690</v>
      </c>
      <c r="V296" t="s">
        <v>1992</v>
      </c>
      <c r="W296" t="s">
        <v>2197</v>
      </c>
      <c r="X296" s="1278"/>
    </row>
    <row r="297" spans="1:24">
      <c r="A297">
        <v>73</v>
      </c>
      <c r="B297" t="s">
        <v>868</v>
      </c>
      <c r="C297">
        <v>2</v>
      </c>
      <c r="D297" t="s">
        <v>53</v>
      </c>
      <c r="E297">
        <v>3</v>
      </c>
      <c r="F297" t="s">
        <v>19</v>
      </c>
      <c r="G297" t="s">
        <v>3556</v>
      </c>
      <c r="H297" t="s">
        <v>1974</v>
      </c>
      <c r="I297" t="s">
        <v>3800</v>
      </c>
      <c r="J297" t="s">
        <v>2196</v>
      </c>
      <c r="O297" t="e">
        <f>INDEX(Grant[Country],MATCH(0,INDEX(COUNTIF($O$2:O296,Grant[Country]),),0))</f>
        <v>#N/A</v>
      </c>
      <c r="T297" t="s">
        <v>868</v>
      </c>
      <c r="U297" t="s">
        <v>19</v>
      </c>
      <c r="V297" t="s">
        <v>1974</v>
      </c>
      <c r="W297" t="s">
        <v>2196</v>
      </c>
      <c r="X297" s="1278"/>
    </row>
    <row r="298" spans="1:24">
      <c r="A298">
        <v>73</v>
      </c>
      <c r="B298" t="s">
        <v>868</v>
      </c>
      <c r="C298">
        <v>2</v>
      </c>
      <c r="D298" t="s">
        <v>53</v>
      </c>
      <c r="E298">
        <v>4</v>
      </c>
      <c r="F298" t="s">
        <v>1911</v>
      </c>
      <c r="G298" t="s">
        <v>3462</v>
      </c>
      <c r="H298" t="s">
        <v>2213</v>
      </c>
      <c r="I298" t="s">
        <v>3463</v>
      </c>
      <c r="J298" t="s">
        <v>3464</v>
      </c>
      <c r="O298" t="e">
        <f>INDEX(Grant[Country],MATCH(0,INDEX(COUNTIF($O$2:O297,Grant[Country]),),0))</f>
        <v>#N/A</v>
      </c>
      <c r="T298" t="s">
        <v>868</v>
      </c>
      <c r="U298" t="s">
        <v>1911</v>
      </c>
      <c r="V298" t="s">
        <v>2213</v>
      </c>
      <c r="W298" t="s">
        <v>3464</v>
      </c>
      <c r="X298" s="1278"/>
    </row>
    <row r="299" spans="1:24">
      <c r="A299">
        <v>73</v>
      </c>
      <c r="B299" t="s">
        <v>868</v>
      </c>
      <c r="C299">
        <v>2</v>
      </c>
      <c r="D299" t="s">
        <v>53</v>
      </c>
      <c r="E299">
        <v>6</v>
      </c>
      <c r="F299" t="s">
        <v>1911</v>
      </c>
      <c r="G299" t="s">
        <v>3462</v>
      </c>
      <c r="H299" t="s">
        <v>2213</v>
      </c>
      <c r="I299" t="s">
        <v>3470</v>
      </c>
      <c r="J299" t="s">
        <v>3471</v>
      </c>
      <c r="O299" t="e">
        <f>INDEX(Grant[Country],MATCH(0,INDEX(COUNTIF($O$2:O298,Grant[Country]),),0))</f>
        <v>#N/A</v>
      </c>
      <c r="T299" t="s">
        <v>868</v>
      </c>
      <c r="U299" t="s">
        <v>1911</v>
      </c>
      <c r="V299" t="s">
        <v>2213</v>
      </c>
      <c r="W299" t="s">
        <v>3471</v>
      </c>
      <c r="X299" s="1278"/>
    </row>
    <row r="300" spans="1:24">
      <c r="A300">
        <v>73</v>
      </c>
      <c r="B300" t="s">
        <v>868</v>
      </c>
      <c r="C300">
        <v>2</v>
      </c>
      <c r="D300" t="s">
        <v>53</v>
      </c>
      <c r="E300">
        <v>2</v>
      </c>
      <c r="F300" t="s">
        <v>688</v>
      </c>
      <c r="G300" t="s">
        <v>3798</v>
      </c>
      <c r="H300" t="s">
        <v>2042</v>
      </c>
      <c r="I300" t="s">
        <v>3799</v>
      </c>
      <c r="J300" t="s">
        <v>2195</v>
      </c>
      <c r="O300" t="e">
        <f>INDEX(Grant[Country],MATCH(0,INDEX(COUNTIF($O$2:O299,Grant[Country]),),0))</f>
        <v>#N/A</v>
      </c>
      <c r="T300" t="s">
        <v>868</v>
      </c>
      <c r="U300" t="s">
        <v>688</v>
      </c>
      <c r="V300" t="s">
        <v>2042</v>
      </c>
      <c r="W300" t="s">
        <v>2195</v>
      </c>
      <c r="X300" s="1278"/>
    </row>
    <row r="301" spans="1:24">
      <c r="B301" t="s">
        <v>4227</v>
      </c>
      <c r="O301" t="e">
        <f>INDEX(Grant[Country],MATCH(0,INDEX(COUNTIF($O$2:O300,Grant[Country]),),0))</f>
        <v>#N/A</v>
      </c>
      <c r="T301" t="s">
        <v>4227</v>
      </c>
      <c r="U301" t="s">
        <v>4288</v>
      </c>
      <c r="V301" t="s">
        <v>4288</v>
      </c>
      <c r="W301" t="s">
        <v>4288</v>
      </c>
      <c r="X301" s="1278"/>
    </row>
    <row r="302" spans="1:24">
      <c r="B302" t="s">
        <v>4228</v>
      </c>
      <c r="O302" t="e">
        <f>INDEX(Grant[Country],MATCH(0,INDEX(COUNTIF($O$2:O301,Grant[Country]),),0))</f>
        <v>#N/A</v>
      </c>
      <c r="T302" t="s">
        <v>4228</v>
      </c>
      <c r="U302" t="s">
        <v>4288</v>
      </c>
      <c r="V302" t="s">
        <v>4288</v>
      </c>
      <c r="W302" t="s">
        <v>4288</v>
      </c>
      <c r="X302" s="1278"/>
    </row>
    <row r="303" spans="1:24">
      <c r="A303">
        <v>74</v>
      </c>
      <c r="B303" t="s">
        <v>869</v>
      </c>
      <c r="C303">
        <v>1</v>
      </c>
      <c r="D303" t="s">
        <v>18</v>
      </c>
      <c r="E303">
        <v>1</v>
      </c>
      <c r="F303" t="s">
        <v>690</v>
      </c>
      <c r="G303" t="s">
        <v>3444</v>
      </c>
      <c r="H303" t="s">
        <v>2165</v>
      </c>
      <c r="I303" t="s">
        <v>3977</v>
      </c>
      <c r="J303" t="s">
        <v>2169</v>
      </c>
      <c r="O303" t="e">
        <f>INDEX(Grant[Country],MATCH(0,INDEX(COUNTIF($O$2:O302,Grant[Country]),),0))</f>
        <v>#N/A</v>
      </c>
      <c r="T303" t="s">
        <v>869</v>
      </c>
      <c r="U303" t="s">
        <v>690</v>
      </c>
      <c r="V303" t="s">
        <v>2165</v>
      </c>
      <c r="W303" t="s">
        <v>2169</v>
      </c>
      <c r="X303" s="1278"/>
    </row>
    <row r="304" spans="1:24">
      <c r="A304">
        <v>74</v>
      </c>
      <c r="B304" t="s">
        <v>869</v>
      </c>
      <c r="C304">
        <v>1</v>
      </c>
      <c r="D304" t="s">
        <v>18</v>
      </c>
      <c r="E304">
        <v>3</v>
      </c>
      <c r="F304" t="s">
        <v>19</v>
      </c>
      <c r="G304" t="s">
        <v>3444</v>
      </c>
      <c r="H304" t="s">
        <v>2165</v>
      </c>
      <c r="I304" t="s">
        <v>3978</v>
      </c>
      <c r="J304" t="s">
        <v>2168</v>
      </c>
      <c r="O304" t="e">
        <f>INDEX(Grant[Country],MATCH(0,INDEX(COUNTIF($O$2:O303,Grant[Country]),),0))</f>
        <v>#N/A</v>
      </c>
      <c r="T304" t="s">
        <v>869</v>
      </c>
      <c r="U304" t="s">
        <v>19</v>
      </c>
      <c r="V304" t="s">
        <v>2165</v>
      </c>
      <c r="W304" t="s">
        <v>2168</v>
      </c>
      <c r="X304" s="1278"/>
    </row>
    <row r="305" spans="1:24">
      <c r="A305">
        <v>74</v>
      </c>
      <c r="B305" t="s">
        <v>869</v>
      </c>
      <c r="C305">
        <v>1</v>
      </c>
      <c r="D305" t="s">
        <v>18</v>
      </c>
      <c r="E305">
        <v>5</v>
      </c>
      <c r="F305" t="s">
        <v>1911</v>
      </c>
      <c r="G305" t="s">
        <v>3444</v>
      </c>
      <c r="H305" t="s">
        <v>2165</v>
      </c>
      <c r="I305" t="s">
        <v>3445</v>
      </c>
      <c r="J305" t="s">
        <v>2166</v>
      </c>
      <c r="O305" t="e">
        <f>INDEX(Grant[Country],MATCH(0,INDEX(COUNTIF($O$2:O304,Grant[Country]),),0))</f>
        <v>#N/A</v>
      </c>
      <c r="T305" t="s">
        <v>869</v>
      </c>
      <c r="U305" t="s">
        <v>1911</v>
      </c>
      <c r="V305" t="s">
        <v>2165</v>
      </c>
      <c r="W305" t="s">
        <v>2166</v>
      </c>
      <c r="X305" s="1278"/>
    </row>
    <row r="306" spans="1:24">
      <c r="A306">
        <v>74</v>
      </c>
      <c r="B306" t="s">
        <v>869</v>
      </c>
      <c r="C306">
        <v>1</v>
      </c>
      <c r="D306" t="s">
        <v>18</v>
      </c>
      <c r="E306">
        <v>2</v>
      </c>
      <c r="F306" t="s">
        <v>688</v>
      </c>
      <c r="G306" t="s">
        <v>3444</v>
      </c>
      <c r="H306" t="s">
        <v>2165</v>
      </c>
      <c r="I306" t="s">
        <v>4030</v>
      </c>
      <c r="J306" t="s">
        <v>2167</v>
      </c>
      <c r="O306" t="e">
        <f>INDEX(Grant[Country],MATCH(0,INDEX(COUNTIF($O$2:O305,Grant[Country]),),0))</f>
        <v>#N/A</v>
      </c>
      <c r="T306" t="s">
        <v>869</v>
      </c>
      <c r="U306" t="s">
        <v>688</v>
      </c>
      <c r="V306" t="s">
        <v>2165</v>
      </c>
      <c r="W306" t="s">
        <v>2167</v>
      </c>
      <c r="X306" s="1278"/>
    </row>
    <row r="307" spans="1:24">
      <c r="A307">
        <v>32</v>
      </c>
      <c r="B307" t="s">
        <v>870</v>
      </c>
      <c r="C307">
        <v>1</v>
      </c>
      <c r="D307" t="s">
        <v>18</v>
      </c>
      <c r="E307">
        <v>1</v>
      </c>
      <c r="F307" t="s">
        <v>690</v>
      </c>
      <c r="G307" t="s">
        <v>3670</v>
      </c>
      <c r="H307" t="s">
        <v>2163</v>
      </c>
      <c r="I307" t="s">
        <v>3671</v>
      </c>
      <c r="J307" t="s">
        <v>2164</v>
      </c>
      <c r="O307" t="e">
        <f>INDEX(Grant[Country],MATCH(0,INDEX(COUNTIF($O$2:O306,Grant[Country]),),0))</f>
        <v>#N/A</v>
      </c>
      <c r="T307" t="s">
        <v>870</v>
      </c>
      <c r="U307" t="s">
        <v>690</v>
      </c>
      <c r="V307" t="s">
        <v>2163</v>
      </c>
      <c r="W307" t="s">
        <v>2164</v>
      </c>
      <c r="X307" s="1278"/>
    </row>
    <row r="308" spans="1:24">
      <c r="A308">
        <v>32</v>
      </c>
      <c r="B308" t="s">
        <v>870</v>
      </c>
      <c r="C308">
        <v>1</v>
      </c>
      <c r="D308" t="s">
        <v>18</v>
      </c>
      <c r="E308">
        <v>1</v>
      </c>
      <c r="F308" t="s">
        <v>690</v>
      </c>
      <c r="G308" t="s">
        <v>3672</v>
      </c>
      <c r="H308" t="s">
        <v>2161</v>
      </c>
      <c r="I308" t="s">
        <v>3673</v>
      </c>
      <c r="J308" t="s">
        <v>2162</v>
      </c>
      <c r="T308" t="s">
        <v>870</v>
      </c>
      <c r="U308" t="s">
        <v>690</v>
      </c>
      <c r="V308" t="s">
        <v>2161</v>
      </c>
      <c r="W308" t="s">
        <v>2162</v>
      </c>
      <c r="X308" s="1278"/>
    </row>
    <row r="309" spans="1:24">
      <c r="B309" t="s">
        <v>871</v>
      </c>
      <c r="T309" t="s">
        <v>871</v>
      </c>
      <c r="U309" t="s">
        <v>4288</v>
      </c>
      <c r="V309" t="s">
        <v>4288</v>
      </c>
      <c r="W309" t="s">
        <v>4288</v>
      </c>
      <c r="X309" s="1278"/>
    </row>
    <row r="310" spans="1:24">
      <c r="B310" t="s">
        <v>4229</v>
      </c>
      <c r="T310" t="s">
        <v>4229</v>
      </c>
      <c r="U310" t="s">
        <v>4288</v>
      </c>
      <c r="V310" t="s">
        <v>4288</v>
      </c>
      <c r="W310" t="s">
        <v>4288</v>
      </c>
      <c r="X310" s="1278"/>
    </row>
    <row r="311" spans="1:24">
      <c r="A311">
        <v>183</v>
      </c>
      <c r="B311" t="s">
        <v>872</v>
      </c>
      <c r="C311">
        <v>2</v>
      </c>
      <c r="D311" t="s">
        <v>53</v>
      </c>
      <c r="E311">
        <v>4</v>
      </c>
      <c r="F311" t="s">
        <v>1911</v>
      </c>
      <c r="G311" t="s">
        <v>4075</v>
      </c>
      <c r="H311" t="s">
        <v>4174</v>
      </c>
      <c r="I311" t="s">
        <v>4076</v>
      </c>
      <c r="J311" t="s">
        <v>2208</v>
      </c>
      <c r="T311" t="s">
        <v>872</v>
      </c>
      <c r="U311" t="s">
        <v>1911</v>
      </c>
      <c r="V311" t="s">
        <v>4174</v>
      </c>
      <c r="W311" t="s">
        <v>2208</v>
      </c>
      <c r="X311" s="1278"/>
    </row>
    <row r="312" spans="1:24">
      <c r="A312">
        <v>183</v>
      </c>
      <c r="B312" t="s">
        <v>872</v>
      </c>
      <c r="C312">
        <v>2</v>
      </c>
      <c r="D312" t="s">
        <v>53</v>
      </c>
      <c r="E312">
        <v>2</v>
      </c>
      <c r="F312" t="s">
        <v>688</v>
      </c>
      <c r="G312" t="s">
        <v>3957</v>
      </c>
      <c r="H312" t="s">
        <v>2076</v>
      </c>
      <c r="I312" t="s">
        <v>3958</v>
      </c>
      <c r="J312" t="s">
        <v>2207</v>
      </c>
      <c r="T312" t="s">
        <v>872</v>
      </c>
      <c r="U312" t="s">
        <v>688</v>
      </c>
      <c r="V312" t="s">
        <v>2076</v>
      </c>
      <c r="W312" t="s">
        <v>2207</v>
      </c>
      <c r="X312" s="1278"/>
    </row>
    <row r="313" spans="1:24">
      <c r="B313" t="s">
        <v>4230</v>
      </c>
      <c r="T313" t="s">
        <v>4230</v>
      </c>
      <c r="U313" t="s">
        <v>4288</v>
      </c>
      <c r="V313" t="s">
        <v>4288</v>
      </c>
      <c r="W313" t="s">
        <v>4288</v>
      </c>
      <c r="X313" s="1278"/>
    </row>
    <row r="314" spans="1:24">
      <c r="A314">
        <v>139</v>
      </c>
      <c r="B314" t="s">
        <v>873</v>
      </c>
      <c r="C314">
        <v>1</v>
      </c>
      <c r="D314" t="s">
        <v>18</v>
      </c>
      <c r="E314">
        <v>1</v>
      </c>
      <c r="F314" t="s">
        <v>690</v>
      </c>
      <c r="G314" t="s">
        <v>3894</v>
      </c>
      <c r="H314" t="s">
        <v>2184</v>
      </c>
      <c r="I314" t="s">
        <v>3895</v>
      </c>
      <c r="J314" t="s">
        <v>2186</v>
      </c>
      <c r="T314" t="s">
        <v>873</v>
      </c>
      <c r="U314" t="s">
        <v>690</v>
      </c>
      <c r="V314" t="s">
        <v>2184</v>
      </c>
      <c r="W314" t="s">
        <v>2186</v>
      </c>
      <c r="X314" s="1278"/>
    </row>
    <row r="315" spans="1:24">
      <c r="A315">
        <v>139</v>
      </c>
      <c r="B315" t="s">
        <v>873</v>
      </c>
      <c r="C315">
        <v>1</v>
      </c>
      <c r="D315" t="s">
        <v>18</v>
      </c>
      <c r="E315">
        <v>4</v>
      </c>
      <c r="F315" t="s">
        <v>1911</v>
      </c>
      <c r="G315" t="s">
        <v>3894</v>
      </c>
      <c r="H315" t="s">
        <v>2184</v>
      </c>
      <c r="I315" t="s">
        <v>4130</v>
      </c>
      <c r="J315" t="s">
        <v>4131</v>
      </c>
      <c r="T315" t="s">
        <v>873</v>
      </c>
      <c r="U315" t="s">
        <v>1911</v>
      </c>
      <c r="V315" t="s">
        <v>2184</v>
      </c>
      <c r="W315" t="s">
        <v>4131</v>
      </c>
      <c r="X315" s="1278"/>
    </row>
    <row r="316" spans="1:24">
      <c r="A316">
        <v>139</v>
      </c>
      <c r="B316" t="s">
        <v>873</v>
      </c>
      <c r="C316">
        <v>1</v>
      </c>
      <c r="D316" t="s">
        <v>18</v>
      </c>
      <c r="E316">
        <v>2</v>
      </c>
      <c r="F316" t="s">
        <v>688</v>
      </c>
      <c r="G316" t="s">
        <v>3894</v>
      </c>
      <c r="H316" t="s">
        <v>2184</v>
      </c>
      <c r="I316" t="s">
        <v>3896</v>
      </c>
      <c r="J316" t="s">
        <v>2185</v>
      </c>
      <c r="T316" t="s">
        <v>873</v>
      </c>
      <c r="U316" t="s">
        <v>688</v>
      </c>
      <c r="V316" t="s">
        <v>2184</v>
      </c>
      <c r="W316" t="s">
        <v>2185</v>
      </c>
      <c r="X316" s="1278"/>
    </row>
    <row r="317" spans="1:24">
      <c r="A317">
        <v>246</v>
      </c>
      <c r="B317" t="s">
        <v>874</v>
      </c>
      <c r="C317">
        <v>2</v>
      </c>
      <c r="D317" t="s">
        <v>53</v>
      </c>
      <c r="E317">
        <v>1</v>
      </c>
      <c r="F317" t="s">
        <v>690</v>
      </c>
      <c r="G317" t="s">
        <v>4105</v>
      </c>
      <c r="H317" t="s">
        <v>2187</v>
      </c>
      <c r="I317" t="s">
        <v>4106</v>
      </c>
      <c r="J317" t="s">
        <v>2188</v>
      </c>
      <c r="T317" t="s">
        <v>874</v>
      </c>
      <c r="U317" t="s">
        <v>690</v>
      </c>
      <c r="V317" t="s">
        <v>2187</v>
      </c>
      <c r="W317" t="s">
        <v>2188</v>
      </c>
      <c r="X317" s="1278"/>
    </row>
    <row r="318" spans="1:24">
      <c r="A318">
        <v>55</v>
      </c>
      <c r="B318" t="s">
        <v>875</v>
      </c>
      <c r="C318">
        <v>2</v>
      </c>
      <c r="D318" t="s">
        <v>53</v>
      </c>
      <c r="E318">
        <v>1</v>
      </c>
      <c r="F318" t="s">
        <v>690</v>
      </c>
      <c r="G318" t="s">
        <v>3455</v>
      </c>
      <c r="H318" t="s">
        <v>2183</v>
      </c>
      <c r="I318" t="s">
        <v>4094</v>
      </c>
      <c r="J318" t="s">
        <v>2211</v>
      </c>
      <c r="T318" t="s">
        <v>875</v>
      </c>
      <c r="U318" t="s">
        <v>690</v>
      </c>
      <c r="V318" t="s">
        <v>2183</v>
      </c>
      <c r="W318" t="s">
        <v>2211</v>
      </c>
      <c r="X318" s="1278"/>
    </row>
    <row r="319" spans="1:24">
      <c r="A319">
        <v>55</v>
      </c>
      <c r="B319" t="s">
        <v>875</v>
      </c>
      <c r="C319">
        <v>2</v>
      </c>
      <c r="D319" t="s">
        <v>53</v>
      </c>
      <c r="E319">
        <v>4</v>
      </c>
      <c r="F319" t="s">
        <v>1911</v>
      </c>
      <c r="G319" t="s">
        <v>3455</v>
      </c>
      <c r="H319" t="s">
        <v>2183</v>
      </c>
      <c r="I319" t="s">
        <v>3456</v>
      </c>
      <c r="J319" t="s">
        <v>3457</v>
      </c>
      <c r="T319" t="s">
        <v>875</v>
      </c>
      <c r="U319" t="s">
        <v>1911</v>
      </c>
      <c r="V319" t="s">
        <v>2183</v>
      </c>
      <c r="W319" t="s">
        <v>3457</v>
      </c>
      <c r="X319" s="1278"/>
    </row>
    <row r="320" spans="1:24">
      <c r="A320">
        <v>55</v>
      </c>
      <c r="B320" t="s">
        <v>875</v>
      </c>
      <c r="C320">
        <v>2</v>
      </c>
      <c r="D320" t="s">
        <v>53</v>
      </c>
      <c r="E320">
        <v>6</v>
      </c>
      <c r="F320" t="s">
        <v>1911</v>
      </c>
      <c r="G320" t="s">
        <v>3455</v>
      </c>
      <c r="H320" t="s">
        <v>2183</v>
      </c>
      <c r="I320" t="s">
        <v>4031</v>
      </c>
      <c r="J320" t="s">
        <v>2210</v>
      </c>
      <c r="T320" t="s">
        <v>875</v>
      </c>
      <c r="U320" t="s">
        <v>1911</v>
      </c>
      <c r="V320" t="s">
        <v>2183</v>
      </c>
      <c r="W320" t="s">
        <v>2210</v>
      </c>
      <c r="X320" s="1278"/>
    </row>
    <row r="321" spans="1:24">
      <c r="A321">
        <v>55</v>
      </c>
      <c r="B321" t="s">
        <v>875</v>
      </c>
      <c r="C321">
        <v>2</v>
      </c>
      <c r="D321" t="s">
        <v>53</v>
      </c>
      <c r="E321">
        <v>2</v>
      </c>
      <c r="F321" t="s">
        <v>688</v>
      </c>
      <c r="G321" t="s">
        <v>3455</v>
      </c>
      <c r="H321" t="s">
        <v>2183</v>
      </c>
      <c r="I321" t="s">
        <v>4095</v>
      </c>
      <c r="J321" t="s">
        <v>2209</v>
      </c>
      <c r="T321" t="s">
        <v>875</v>
      </c>
      <c r="U321" t="s">
        <v>688</v>
      </c>
      <c r="V321" t="s">
        <v>2183</v>
      </c>
      <c r="W321" t="s">
        <v>2209</v>
      </c>
      <c r="X321" s="1278"/>
    </row>
    <row r="322" spans="1:24">
      <c r="A322">
        <v>34</v>
      </c>
      <c r="B322" t="s">
        <v>14</v>
      </c>
      <c r="C322">
        <v>1</v>
      </c>
      <c r="D322" t="s">
        <v>18</v>
      </c>
      <c r="E322">
        <v>1</v>
      </c>
      <c r="F322" t="s">
        <v>690</v>
      </c>
      <c r="G322" t="s">
        <v>3492</v>
      </c>
      <c r="H322" t="s">
        <v>2176</v>
      </c>
      <c r="I322" t="s">
        <v>4092</v>
      </c>
      <c r="J322" t="s">
        <v>2177</v>
      </c>
      <c r="T322" t="s">
        <v>14</v>
      </c>
      <c r="U322" t="s">
        <v>690</v>
      </c>
      <c r="V322" t="s">
        <v>2176</v>
      </c>
      <c r="W322" t="s">
        <v>2177</v>
      </c>
      <c r="X322" s="1278"/>
    </row>
    <row r="323" spans="1:24">
      <c r="A323">
        <v>34</v>
      </c>
      <c r="B323" t="s">
        <v>14</v>
      </c>
      <c r="C323">
        <v>1</v>
      </c>
      <c r="D323" t="s">
        <v>18</v>
      </c>
      <c r="E323">
        <v>1</v>
      </c>
      <c r="F323" t="s">
        <v>690</v>
      </c>
      <c r="G323" t="s">
        <v>3496</v>
      </c>
      <c r="H323" t="s">
        <v>2170</v>
      </c>
      <c r="I323" t="s">
        <v>3497</v>
      </c>
      <c r="J323" t="s">
        <v>2175</v>
      </c>
      <c r="T323" t="s">
        <v>14</v>
      </c>
      <c r="U323" t="s">
        <v>690</v>
      </c>
      <c r="V323" t="s">
        <v>2170</v>
      </c>
      <c r="W323" t="s">
        <v>2175</v>
      </c>
      <c r="X323" s="1278"/>
    </row>
    <row r="324" spans="1:24">
      <c r="A324">
        <v>34</v>
      </c>
      <c r="B324" t="s">
        <v>14</v>
      </c>
      <c r="C324">
        <v>1</v>
      </c>
      <c r="D324" t="s">
        <v>18</v>
      </c>
      <c r="E324">
        <v>3</v>
      </c>
      <c r="F324" t="s">
        <v>19</v>
      </c>
      <c r="G324" t="s">
        <v>3496</v>
      </c>
      <c r="H324" t="s">
        <v>2170</v>
      </c>
      <c r="I324" t="s">
        <v>3499</v>
      </c>
      <c r="J324" t="s">
        <v>2174</v>
      </c>
      <c r="T324" t="s">
        <v>14</v>
      </c>
      <c r="U324" t="s">
        <v>19</v>
      </c>
      <c r="V324" t="s">
        <v>2170</v>
      </c>
      <c r="W324" t="s">
        <v>2174</v>
      </c>
      <c r="X324" s="1278"/>
    </row>
    <row r="325" spans="1:24">
      <c r="A325">
        <v>34</v>
      </c>
      <c r="B325" t="s">
        <v>14</v>
      </c>
      <c r="C325">
        <v>1</v>
      </c>
      <c r="D325" t="s">
        <v>18</v>
      </c>
      <c r="E325">
        <v>3</v>
      </c>
      <c r="F325" t="s">
        <v>19</v>
      </c>
      <c r="G325" t="s">
        <v>3494</v>
      </c>
      <c r="H325" t="s">
        <v>2172</v>
      </c>
      <c r="I325" t="s">
        <v>3495</v>
      </c>
      <c r="J325" t="s">
        <v>2173</v>
      </c>
      <c r="T325" t="s">
        <v>14</v>
      </c>
      <c r="U325" t="s">
        <v>19</v>
      </c>
      <c r="V325" t="s">
        <v>2172</v>
      </c>
      <c r="W325" t="s">
        <v>2173</v>
      </c>
      <c r="X325" s="1278"/>
    </row>
    <row r="326" spans="1:24">
      <c r="A326">
        <v>34</v>
      </c>
      <c r="B326" t="s">
        <v>14</v>
      </c>
      <c r="C326">
        <v>1</v>
      </c>
      <c r="D326" t="s">
        <v>18</v>
      </c>
      <c r="E326">
        <v>4</v>
      </c>
      <c r="F326" t="s">
        <v>1911</v>
      </c>
      <c r="G326" t="s">
        <v>4073</v>
      </c>
      <c r="H326" t="s">
        <v>2179</v>
      </c>
      <c r="I326" t="s">
        <v>4074</v>
      </c>
      <c r="J326" t="s">
        <v>2180</v>
      </c>
      <c r="T326" t="s">
        <v>14</v>
      </c>
      <c r="U326" t="s">
        <v>1911</v>
      </c>
      <c r="V326" t="s">
        <v>2179</v>
      </c>
      <c r="W326" t="s">
        <v>2180</v>
      </c>
      <c r="X326" s="1278"/>
    </row>
    <row r="327" spans="1:24">
      <c r="A327">
        <v>34</v>
      </c>
      <c r="B327" t="s">
        <v>14</v>
      </c>
      <c r="C327">
        <v>1</v>
      </c>
      <c r="D327" t="s">
        <v>18</v>
      </c>
      <c r="E327">
        <v>4</v>
      </c>
      <c r="F327" t="s">
        <v>1911</v>
      </c>
      <c r="G327" t="s">
        <v>3492</v>
      </c>
      <c r="H327" t="s">
        <v>2176</v>
      </c>
      <c r="I327" t="s">
        <v>3493</v>
      </c>
      <c r="J327" t="s">
        <v>2178</v>
      </c>
      <c r="T327" t="s">
        <v>14</v>
      </c>
      <c r="U327" t="s">
        <v>1911</v>
      </c>
      <c r="V327" t="s">
        <v>2176</v>
      </c>
      <c r="W327" t="s">
        <v>2178</v>
      </c>
      <c r="X327" s="1278"/>
    </row>
    <row r="328" spans="1:24">
      <c r="A328">
        <v>34</v>
      </c>
      <c r="B328" t="s">
        <v>14</v>
      </c>
      <c r="C328">
        <v>1</v>
      </c>
      <c r="D328" t="s">
        <v>18</v>
      </c>
      <c r="E328">
        <v>6</v>
      </c>
      <c r="F328" t="s">
        <v>1911</v>
      </c>
      <c r="G328" t="s">
        <v>3496</v>
      </c>
      <c r="H328" t="s">
        <v>2170</v>
      </c>
      <c r="I328" t="s">
        <v>3500</v>
      </c>
      <c r="J328" t="s">
        <v>2181</v>
      </c>
      <c r="T328" t="s">
        <v>14</v>
      </c>
      <c r="U328" t="s">
        <v>1911</v>
      </c>
      <c r="V328" t="s">
        <v>2170</v>
      </c>
      <c r="W328" t="s">
        <v>2181</v>
      </c>
      <c r="X328" s="1278"/>
    </row>
    <row r="329" spans="1:24">
      <c r="A329">
        <v>34</v>
      </c>
      <c r="B329" t="s">
        <v>14</v>
      </c>
      <c r="C329">
        <v>1</v>
      </c>
      <c r="D329" t="s">
        <v>18</v>
      </c>
      <c r="E329">
        <v>2</v>
      </c>
      <c r="F329" t="s">
        <v>688</v>
      </c>
      <c r="G329" t="s">
        <v>3496</v>
      </c>
      <c r="H329" t="s">
        <v>2170</v>
      </c>
      <c r="I329" t="s">
        <v>3498</v>
      </c>
      <c r="J329" t="s">
        <v>2171</v>
      </c>
      <c r="T329" t="s">
        <v>14</v>
      </c>
      <c r="U329" t="s">
        <v>688</v>
      </c>
      <c r="V329" t="s">
        <v>2170</v>
      </c>
      <c r="W329" t="s">
        <v>2182</v>
      </c>
      <c r="X329" s="1278"/>
    </row>
    <row r="330" spans="1:24">
      <c r="A330">
        <v>34</v>
      </c>
      <c r="B330" t="s">
        <v>14</v>
      </c>
      <c r="C330">
        <v>1</v>
      </c>
      <c r="D330" t="s">
        <v>18</v>
      </c>
      <c r="E330">
        <v>2</v>
      </c>
      <c r="F330" t="s">
        <v>688</v>
      </c>
      <c r="G330" t="s">
        <v>3496</v>
      </c>
      <c r="H330" t="s">
        <v>2170</v>
      </c>
      <c r="I330" t="s">
        <v>4032</v>
      </c>
      <c r="J330" t="s">
        <v>2182</v>
      </c>
      <c r="T330" t="s">
        <v>14</v>
      </c>
      <c r="U330" t="s">
        <v>688</v>
      </c>
      <c r="V330" t="s">
        <v>2170</v>
      </c>
      <c r="W330" t="s">
        <v>2171</v>
      </c>
      <c r="X330" s="1278"/>
    </row>
    <row r="331" spans="1:24">
      <c r="A331">
        <v>145</v>
      </c>
      <c r="B331" t="s">
        <v>910</v>
      </c>
      <c r="C331">
        <v>1</v>
      </c>
      <c r="D331" t="s">
        <v>18</v>
      </c>
      <c r="E331">
        <v>1</v>
      </c>
      <c r="F331" t="s">
        <v>690</v>
      </c>
      <c r="G331" t="s">
        <v>3576</v>
      </c>
      <c r="H331" t="s">
        <v>1965</v>
      </c>
      <c r="I331" t="s">
        <v>3579</v>
      </c>
      <c r="J331" t="s">
        <v>2192</v>
      </c>
      <c r="T331" t="s">
        <v>910</v>
      </c>
      <c r="U331" t="s">
        <v>690</v>
      </c>
      <c r="V331" t="s">
        <v>1965</v>
      </c>
      <c r="W331" t="s">
        <v>2192</v>
      </c>
      <c r="X331" s="1278"/>
    </row>
    <row r="332" spans="1:24">
      <c r="A332">
        <v>145</v>
      </c>
      <c r="B332" t="s">
        <v>910</v>
      </c>
      <c r="C332">
        <v>1</v>
      </c>
      <c r="D332" t="s">
        <v>18</v>
      </c>
      <c r="E332">
        <v>1</v>
      </c>
      <c r="F332" t="s">
        <v>690</v>
      </c>
      <c r="G332" t="s">
        <v>3573</v>
      </c>
      <c r="H332" t="s">
        <v>3574</v>
      </c>
      <c r="I332" t="s">
        <v>3578</v>
      </c>
      <c r="J332" t="s">
        <v>2191</v>
      </c>
      <c r="T332" t="s">
        <v>910</v>
      </c>
      <c r="U332" t="s">
        <v>690</v>
      </c>
      <c r="V332" t="s">
        <v>3574</v>
      </c>
      <c r="W332" t="s">
        <v>2191</v>
      </c>
      <c r="X332" s="1278"/>
    </row>
    <row r="333" spans="1:24">
      <c r="A333">
        <v>145</v>
      </c>
      <c r="B333" t="s">
        <v>910</v>
      </c>
      <c r="C333">
        <v>1</v>
      </c>
      <c r="D333" t="s">
        <v>18</v>
      </c>
      <c r="E333">
        <v>2</v>
      </c>
      <c r="F333" t="s">
        <v>688</v>
      </c>
      <c r="G333" t="s">
        <v>3576</v>
      </c>
      <c r="H333" t="s">
        <v>1965</v>
      </c>
      <c r="I333" t="s">
        <v>3577</v>
      </c>
      <c r="J333" t="s">
        <v>2190</v>
      </c>
      <c r="T333" t="s">
        <v>910</v>
      </c>
      <c r="U333" t="s">
        <v>688</v>
      </c>
      <c r="V333" t="s">
        <v>1965</v>
      </c>
      <c r="W333" t="s">
        <v>2190</v>
      </c>
      <c r="X333" s="1278"/>
    </row>
    <row r="334" spans="1:24">
      <c r="A334">
        <v>145</v>
      </c>
      <c r="B334" t="s">
        <v>910</v>
      </c>
      <c r="C334">
        <v>1</v>
      </c>
      <c r="D334" t="s">
        <v>18</v>
      </c>
      <c r="E334">
        <v>2</v>
      </c>
      <c r="F334" t="s">
        <v>688</v>
      </c>
      <c r="G334" t="s">
        <v>3573</v>
      </c>
      <c r="H334" t="s">
        <v>3574</v>
      </c>
      <c r="I334" t="s">
        <v>3575</v>
      </c>
      <c r="J334" t="s">
        <v>2189</v>
      </c>
      <c r="T334" t="s">
        <v>910</v>
      </c>
      <c r="U334" t="s">
        <v>688</v>
      </c>
      <c r="V334" t="s">
        <v>3574</v>
      </c>
      <c r="W334" t="s">
        <v>2189</v>
      </c>
      <c r="X334" s="1278"/>
    </row>
    <row r="335" spans="1:24">
      <c r="A335">
        <v>61</v>
      </c>
      <c r="B335" t="s">
        <v>911</v>
      </c>
      <c r="C335">
        <v>1</v>
      </c>
      <c r="D335" t="s">
        <v>18</v>
      </c>
      <c r="E335">
        <v>1</v>
      </c>
      <c r="F335" t="s">
        <v>690</v>
      </c>
      <c r="G335" t="s">
        <v>3735</v>
      </c>
      <c r="H335" t="s">
        <v>2113</v>
      </c>
      <c r="I335" t="s">
        <v>3736</v>
      </c>
      <c r="J335" t="s">
        <v>2114</v>
      </c>
      <c r="T335" t="s">
        <v>911</v>
      </c>
      <c r="U335" t="s">
        <v>690</v>
      </c>
      <c r="V335" t="s">
        <v>2113</v>
      </c>
      <c r="W335" t="s">
        <v>2114</v>
      </c>
      <c r="X335" s="1278"/>
    </row>
    <row r="336" spans="1:24">
      <c r="A336">
        <v>61</v>
      </c>
      <c r="B336" t="s">
        <v>911</v>
      </c>
      <c r="C336">
        <v>1</v>
      </c>
      <c r="D336" t="s">
        <v>18</v>
      </c>
      <c r="E336">
        <v>3</v>
      </c>
      <c r="F336" t="s">
        <v>19</v>
      </c>
      <c r="G336" t="s">
        <v>4067</v>
      </c>
      <c r="H336" t="s">
        <v>2112</v>
      </c>
      <c r="I336" t="s">
        <v>4100</v>
      </c>
      <c r="J336" t="s">
        <v>2149</v>
      </c>
      <c r="T336" t="s">
        <v>911</v>
      </c>
      <c r="U336" t="s">
        <v>19</v>
      </c>
      <c r="V336" t="s">
        <v>2112</v>
      </c>
      <c r="W336" t="s">
        <v>2149</v>
      </c>
      <c r="X336" s="1278"/>
    </row>
    <row r="337" spans="1:24">
      <c r="A337">
        <v>61</v>
      </c>
      <c r="B337" t="s">
        <v>911</v>
      </c>
      <c r="C337">
        <v>1</v>
      </c>
      <c r="D337" t="s">
        <v>18</v>
      </c>
      <c r="E337">
        <v>4</v>
      </c>
      <c r="F337" t="s">
        <v>1911</v>
      </c>
      <c r="G337" t="s">
        <v>4067</v>
      </c>
      <c r="H337" t="s">
        <v>2112</v>
      </c>
      <c r="I337" t="s">
        <v>4068</v>
      </c>
      <c r="J337" t="s">
        <v>2151</v>
      </c>
      <c r="T337" t="s">
        <v>911</v>
      </c>
      <c r="U337" t="s">
        <v>1911</v>
      </c>
      <c r="V337" t="s">
        <v>2112</v>
      </c>
      <c r="W337" t="s">
        <v>2151</v>
      </c>
      <c r="X337" s="1278"/>
    </row>
    <row r="338" spans="1:24">
      <c r="A338">
        <v>61</v>
      </c>
      <c r="B338" t="s">
        <v>911</v>
      </c>
      <c r="C338">
        <v>1</v>
      </c>
      <c r="D338" t="s">
        <v>18</v>
      </c>
      <c r="E338">
        <v>5</v>
      </c>
      <c r="F338" t="s">
        <v>1911</v>
      </c>
      <c r="G338" t="s">
        <v>4067</v>
      </c>
      <c r="H338" t="s">
        <v>2112</v>
      </c>
      <c r="I338" t="s">
        <v>4136</v>
      </c>
      <c r="J338" t="s">
        <v>4137</v>
      </c>
      <c r="T338" t="s">
        <v>911</v>
      </c>
      <c r="U338" t="s">
        <v>1911</v>
      </c>
      <c r="V338" t="s">
        <v>2112</v>
      </c>
      <c r="W338" t="s">
        <v>4137</v>
      </c>
      <c r="X338" s="1278"/>
    </row>
    <row r="339" spans="1:24">
      <c r="A339">
        <v>61</v>
      </c>
      <c r="B339" t="s">
        <v>911</v>
      </c>
      <c r="C339">
        <v>1</v>
      </c>
      <c r="D339" t="s">
        <v>18</v>
      </c>
      <c r="E339">
        <v>4</v>
      </c>
      <c r="F339" t="s">
        <v>1911</v>
      </c>
      <c r="G339" t="s">
        <v>3735</v>
      </c>
      <c r="H339" t="s">
        <v>2113</v>
      </c>
      <c r="I339" t="s">
        <v>4093</v>
      </c>
      <c r="J339" t="s">
        <v>2150</v>
      </c>
      <c r="T339" t="s">
        <v>911</v>
      </c>
      <c r="U339" t="s">
        <v>1911</v>
      </c>
      <c r="V339" t="s">
        <v>2113</v>
      </c>
      <c r="W339" t="s">
        <v>2150</v>
      </c>
      <c r="X339" s="1278"/>
    </row>
    <row r="340" spans="1:24">
      <c r="B340" t="s">
        <v>4231</v>
      </c>
      <c r="T340" t="s">
        <v>4231</v>
      </c>
      <c r="U340" t="s">
        <v>4288</v>
      </c>
      <c r="V340" t="s">
        <v>4288</v>
      </c>
      <c r="W340" t="s">
        <v>4288</v>
      </c>
      <c r="X340" s="1278"/>
    </row>
    <row r="341" spans="1:24">
      <c r="A341">
        <v>157</v>
      </c>
      <c r="B341" t="s">
        <v>912</v>
      </c>
      <c r="C341">
        <v>1</v>
      </c>
      <c r="D341" t="s">
        <v>18</v>
      </c>
      <c r="E341">
        <v>1</v>
      </c>
      <c r="F341" t="s">
        <v>690</v>
      </c>
      <c r="G341" t="s">
        <v>3576</v>
      </c>
      <c r="H341" t="s">
        <v>1965</v>
      </c>
      <c r="I341" t="s">
        <v>3935</v>
      </c>
      <c r="J341" t="s">
        <v>2111</v>
      </c>
      <c r="T341" t="s">
        <v>912</v>
      </c>
      <c r="U341" t="s">
        <v>690</v>
      </c>
      <c r="V341" t="s">
        <v>1965</v>
      </c>
      <c r="W341" t="s">
        <v>2111</v>
      </c>
      <c r="X341" s="1278"/>
    </row>
    <row r="342" spans="1:24">
      <c r="A342">
        <v>157</v>
      </c>
      <c r="B342" t="s">
        <v>912</v>
      </c>
      <c r="C342">
        <v>1</v>
      </c>
      <c r="D342" t="s">
        <v>18</v>
      </c>
      <c r="E342">
        <v>1</v>
      </c>
      <c r="F342" t="s">
        <v>690</v>
      </c>
      <c r="G342" t="s">
        <v>3933</v>
      </c>
      <c r="H342" t="s">
        <v>2145</v>
      </c>
      <c r="I342" t="s">
        <v>3936</v>
      </c>
      <c r="J342" t="s">
        <v>2148</v>
      </c>
      <c r="T342" t="s">
        <v>912</v>
      </c>
      <c r="U342" t="s">
        <v>690</v>
      </c>
      <c r="V342" t="s">
        <v>2145</v>
      </c>
      <c r="W342" t="s">
        <v>2148</v>
      </c>
      <c r="X342" s="1278"/>
    </row>
    <row r="343" spans="1:24">
      <c r="A343">
        <v>157</v>
      </c>
      <c r="B343" t="s">
        <v>912</v>
      </c>
      <c r="C343">
        <v>1</v>
      </c>
      <c r="D343" t="s">
        <v>18</v>
      </c>
      <c r="E343">
        <v>3</v>
      </c>
      <c r="F343" t="s">
        <v>19</v>
      </c>
      <c r="G343" t="s">
        <v>3576</v>
      </c>
      <c r="H343" t="s">
        <v>1965</v>
      </c>
      <c r="I343" t="s">
        <v>3932</v>
      </c>
      <c r="J343" t="s">
        <v>2110</v>
      </c>
      <c r="T343" t="s">
        <v>912</v>
      </c>
      <c r="U343" t="s">
        <v>19</v>
      </c>
      <c r="V343" t="s">
        <v>1965</v>
      </c>
      <c r="W343" t="s">
        <v>2110</v>
      </c>
      <c r="X343" s="1278"/>
    </row>
    <row r="344" spans="1:24">
      <c r="A344">
        <v>157</v>
      </c>
      <c r="B344" t="s">
        <v>912</v>
      </c>
      <c r="C344">
        <v>1</v>
      </c>
      <c r="D344" t="s">
        <v>18</v>
      </c>
      <c r="E344">
        <v>3</v>
      </c>
      <c r="F344" t="s">
        <v>19</v>
      </c>
      <c r="G344" t="s">
        <v>3933</v>
      </c>
      <c r="H344" t="s">
        <v>2145</v>
      </c>
      <c r="I344" t="s">
        <v>3934</v>
      </c>
      <c r="J344" t="s">
        <v>2147</v>
      </c>
      <c r="T344" t="s">
        <v>912</v>
      </c>
      <c r="U344" t="s">
        <v>19</v>
      </c>
      <c r="V344" t="s">
        <v>2145</v>
      </c>
      <c r="W344" t="s">
        <v>2147</v>
      </c>
      <c r="X344" s="1278"/>
    </row>
    <row r="345" spans="1:24">
      <c r="A345">
        <v>157</v>
      </c>
      <c r="B345" t="s">
        <v>912</v>
      </c>
      <c r="C345">
        <v>1</v>
      </c>
      <c r="D345" t="s">
        <v>18</v>
      </c>
      <c r="E345">
        <v>2</v>
      </c>
      <c r="F345" t="s">
        <v>688</v>
      </c>
      <c r="G345" t="s">
        <v>3576</v>
      </c>
      <c r="H345" t="s">
        <v>1965</v>
      </c>
      <c r="I345" t="s">
        <v>3931</v>
      </c>
      <c r="J345" t="s">
        <v>2109</v>
      </c>
      <c r="T345" t="s">
        <v>912</v>
      </c>
      <c r="U345" t="s">
        <v>688</v>
      </c>
      <c r="V345" t="s">
        <v>1965</v>
      </c>
      <c r="W345" t="s">
        <v>2109</v>
      </c>
      <c r="X345" s="1278"/>
    </row>
    <row r="346" spans="1:24">
      <c r="A346">
        <v>157</v>
      </c>
      <c r="B346" t="s">
        <v>912</v>
      </c>
      <c r="C346">
        <v>1</v>
      </c>
      <c r="D346" t="s">
        <v>18</v>
      </c>
      <c r="E346">
        <v>2</v>
      </c>
      <c r="F346" t="s">
        <v>688</v>
      </c>
      <c r="G346" t="s">
        <v>3933</v>
      </c>
      <c r="H346" t="s">
        <v>2145</v>
      </c>
      <c r="I346" t="s">
        <v>3937</v>
      </c>
      <c r="J346" t="s">
        <v>2146</v>
      </c>
      <c r="T346" t="s">
        <v>912</v>
      </c>
      <c r="U346" t="s">
        <v>688</v>
      </c>
      <c r="V346" t="s">
        <v>2145</v>
      </c>
      <c r="W346" t="s">
        <v>2146</v>
      </c>
      <c r="X346" s="1278"/>
    </row>
    <row r="347" spans="1:24">
      <c r="B347" t="s">
        <v>4232</v>
      </c>
      <c r="T347" t="s">
        <v>4232</v>
      </c>
      <c r="U347" t="s">
        <v>4288</v>
      </c>
      <c r="V347" t="s">
        <v>4288</v>
      </c>
      <c r="W347" t="s">
        <v>4288</v>
      </c>
      <c r="X347" s="1278"/>
    </row>
    <row r="348" spans="1:24">
      <c r="B348" t="s">
        <v>4233</v>
      </c>
      <c r="T348" t="s">
        <v>4233</v>
      </c>
      <c r="U348" t="s">
        <v>4288</v>
      </c>
      <c r="V348" t="s">
        <v>4288</v>
      </c>
      <c r="W348" t="s">
        <v>4288</v>
      </c>
      <c r="X348" s="1278"/>
    </row>
    <row r="349" spans="1:24">
      <c r="A349">
        <v>86</v>
      </c>
      <c r="B349" t="s">
        <v>913</v>
      </c>
      <c r="C349">
        <v>1</v>
      </c>
      <c r="D349" t="s">
        <v>18</v>
      </c>
      <c r="E349">
        <v>1</v>
      </c>
      <c r="F349" t="s">
        <v>690</v>
      </c>
      <c r="G349" t="s">
        <v>3446</v>
      </c>
      <c r="H349" t="s">
        <v>2115</v>
      </c>
      <c r="I349" t="s">
        <v>3447</v>
      </c>
      <c r="J349" t="s">
        <v>2119</v>
      </c>
      <c r="T349" t="s">
        <v>913</v>
      </c>
      <c r="U349" t="s">
        <v>690</v>
      </c>
      <c r="V349" t="s">
        <v>2115</v>
      </c>
      <c r="W349" t="s">
        <v>2119</v>
      </c>
      <c r="X349" s="1278"/>
    </row>
    <row r="350" spans="1:24">
      <c r="A350">
        <v>86</v>
      </c>
      <c r="B350" t="s">
        <v>913</v>
      </c>
      <c r="C350">
        <v>1</v>
      </c>
      <c r="D350" t="s">
        <v>18</v>
      </c>
      <c r="E350">
        <v>3</v>
      </c>
      <c r="F350" t="s">
        <v>19</v>
      </c>
      <c r="G350" t="s">
        <v>3847</v>
      </c>
      <c r="H350" t="s">
        <v>2117</v>
      </c>
      <c r="I350" t="s">
        <v>3848</v>
      </c>
      <c r="J350" t="s">
        <v>2118</v>
      </c>
      <c r="T350" t="s">
        <v>913</v>
      </c>
      <c r="U350" t="s">
        <v>19</v>
      </c>
      <c r="V350" t="s">
        <v>2117</v>
      </c>
      <c r="W350" t="s">
        <v>2118</v>
      </c>
      <c r="X350" s="1278"/>
    </row>
    <row r="351" spans="1:24">
      <c r="A351">
        <v>86</v>
      </c>
      <c r="B351" t="s">
        <v>913</v>
      </c>
      <c r="C351">
        <v>1</v>
      </c>
      <c r="D351" t="s">
        <v>18</v>
      </c>
      <c r="E351">
        <v>2</v>
      </c>
      <c r="F351" t="s">
        <v>688</v>
      </c>
      <c r="G351" t="s">
        <v>3446</v>
      </c>
      <c r="H351" t="s">
        <v>2115</v>
      </c>
      <c r="I351" t="s">
        <v>3448</v>
      </c>
      <c r="J351" t="s">
        <v>2116</v>
      </c>
      <c r="T351" t="s">
        <v>913</v>
      </c>
      <c r="U351" t="s">
        <v>688</v>
      </c>
      <c r="V351" t="s">
        <v>2115</v>
      </c>
      <c r="W351" t="s">
        <v>2116</v>
      </c>
      <c r="X351" s="1278"/>
    </row>
    <row r="352" spans="1:24">
      <c r="A352">
        <v>75</v>
      </c>
      <c r="B352" t="s">
        <v>914</v>
      </c>
      <c r="C352">
        <v>2</v>
      </c>
      <c r="D352" t="s">
        <v>53</v>
      </c>
      <c r="E352">
        <v>1</v>
      </c>
      <c r="F352" t="s">
        <v>690</v>
      </c>
      <c r="G352" t="s">
        <v>3807</v>
      </c>
      <c r="H352" t="s">
        <v>3808</v>
      </c>
      <c r="I352" t="s">
        <v>3809</v>
      </c>
      <c r="J352" t="s">
        <v>2144</v>
      </c>
      <c r="T352" t="s">
        <v>914</v>
      </c>
      <c r="U352" t="s">
        <v>690</v>
      </c>
      <c r="V352" t="s">
        <v>3808</v>
      </c>
      <c r="W352" t="s">
        <v>2144</v>
      </c>
      <c r="X352" s="1278"/>
    </row>
    <row r="353" spans="1:24">
      <c r="A353">
        <v>75</v>
      </c>
      <c r="B353" t="s">
        <v>914</v>
      </c>
      <c r="C353">
        <v>2</v>
      </c>
      <c r="D353" t="s">
        <v>53</v>
      </c>
      <c r="E353">
        <v>1</v>
      </c>
      <c r="F353" t="s">
        <v>690</v>
      </c>
      <c r="G353" t="s">
        <v>4113</v>
      </c>
      <c r="H353" t="s">
        <v>2344</v>
      </c>
      <c r="I353" t="s">
        <v>4157</v>
      </c>
      <c r="J353" t="s">
        <v>4158</v>
      </c>
      <c r="T353" t="s">
        <v>914</v>
      </c>
      <c r="U353" t="s">
        <v>690</v>
      </c>
      <c r="V353" t="s">
        <v>2344</v>
      </c>
      <c r="W353" t="s">
        <v>4158</v>
      </c>
      <c r="X353" s="1278"/>
    </row>
    <row r="354" spans="1:24">
      <c r="A354">
        <v>75</v>
      </c>
      <c r="B354" t="s">
        <v>914</v>
      </c>
      <c r="C354">
        <v>2</v>
      </c>
      <c r="D354" t="s">
        <v>53</v>
      </c>
      <c r="E354">
        <v>3</v>
      </c>
      <c r="F354" t="s">
        <v>19</v>
      </c>
      <c r="G354" t="s">
        <v>3804</v>
      </c>
      <c r="H354" t="s">
        <v>2042</v>
      </c>
      <c r="I354" t="s">
        <v>3805</v>
      </c>
      <c r="J354" t="s">
        <v>2143</v>
      </c>
      <c r="T354" t="s">
        <v>914</v>
      </c>
      <c r="U354" t="s">
        <v>19</v>
      </c>
      <c r="V354" t="s">
        <v>2042</v>
      </c>
      <c r="W354" t="s">
        <v>2143</v>
      </c>
      <c r="X354" s="1278"/>
    </row>
    <row r="355" spans="1:24">
      <c r="A355">
        <v>75</v>
      </c>
      <c r="B355" t="s">
        <v>914</v>
      </c>
      <c r="C355">
        <v>1</v>
      </c>
      <c r="D355" t="s">
        <v>18</v>
      </c>
      <c r="E355">
        <v>3</v>
      </c>
      <c r="F355" t="s">
        <v>19</v>
      </c>
      <c r="G355" t="s">
        <v>3801</v>
      </c>
      <c r="H355" t="s">
        <v>1905</v>
      </c>
      <c r="I355" t="s">
        <v>3802</v>
      </c>
      <c r="J355" t="s">
        <v>2121</v>
      </c>
      <c r="T355" t="s">
        <v>914</v>
      </c>
      <c r="U355" t="s">
        <v>19</v>
      </c>
      <c r="V355" t="s">
        <v>1905</v>
      </c>
      <c r="W355" t="s">
        <v>2121</v>
      </c>
      <c r="X355" s="1278"/>
    </row>
    <row r="356" spans="1:24">
      <c r="A356">
        <v>75</v>
      </c>
      <c r="B356" t="s">
        <v>914</v>
      </c>
      <c r="C356">
        <v>2</v>
      </c>
      <c r="D356" t="s">
        <v>53</v>
      </c>
      <c r="E356">
        <v>2</v>
      </c>
      <c r="F356" t="s">
        <v>688</v>
      </c>
      <c r="G356" t="s">
        <v>4113</v>
      </c>
      <c r="H356" t="s">
        <v>2344</v>
      </c>
      <c r="I356" t="s">
        <v>4114</v>
      </c>
      <c r="J356" t="s">
        <v>2142</v>
      </c>
      <c r="T356" t="s">
        <v>914</v>
      </c>
      <c r="U356" t="s">
        <v>688</v>
      </c>
      <c r="V356" t="s">
        <v>2344</v>
      </c>
      <c r="W356" t="s">
        <v>2142</v>
      </c>
      <c r="X356" s="1278"/>
    </row>
    <row r="357" spans="1:24">
      <c r="A357">
        <v>75</v>
      </c>
      <c r="B357" t="s">
        <v>914</v>
      </c>
      <c r="C357">
        <v>2</v>
      </c>
      <c r="D357" t="s">
        <v>53</v>
      </c>
      <c r="E357">
        <v>2</v>
      </c>
      <c r="F357" t="s">
        <v>688</v>
      </c>
      <c r="G357" t="s">
        <v>3576</v>
      </c>
      <c r="H357" t="s">
        <v>1965</v>
      </c>
      <c r="I357" t="s">
        <v>3806</v>
      </c>
      <c r="J357" t="s">
        <v>2141</v>
      </c>
      <c r="T357" t="s">
        <v>914</v>
      </c>
      <c r="U357" t="s">
        <v>688</v>
      </c>
      <c r="V357" t="s">
        <v>1965</v>
      </c>
      <c r="W357" t="s">
        <v>2141</v>
      </c>
      <c r="X357" s="1278"/>
    </row>
    <row r="358" spans="1:24">
      <c r="A358">
        <v>75</v>
      </c>
      <c r="B358" t="s">
        <v>914</v>
      </c>
      <c r="C358">
        <v>2</v>
      </c>
      <c r="D358" t="s">
        <v>53</v>
      </c>
      <c r="E358">
        <v>2</v>
      </c>
      <c r="F358" t="s">
        <v>688</v>
      </c>
      <c r="G358" t="s">
        <v>3801</v>
      </c>
      <c r="H358" t="s">
        <v>1905</v>
      </c>
      <c r="I358" t="s">
        <v>3803</v>
      </c>
      <c r="J358" t="s">
        <v>2120</v>
      </c>
      <c r="T358" t="s">
        <v>914</v>
      </c>
      <c r="U358" t="s">
        <v>688</v>
      </c>
      <c r="V358" t="s">
        <v>1905</v>
      </c>
      <c r="W358" t="s">
        <v>2120</v>
      </c>
      <c r="X358" s="1278"/>
    </row>
    <row r="359" spans="1:24">
      <c r="A359">
        <v>76</v>
      </c>
      <c r="B359" t="s">
        <v>915</v>
      </c>
      <c r="C359">
        <v>1</v>
      </c>
      <c r="D359" t="s">
        <v>18</v>
      </c>
      <c r="E359">
        <v>1</v>
      </c>
      <c r="F359" t="s">
        <v>690</v>
      </c>
      <c r="G359" t="s">
        <v>4038</v>
      </c>
      <c r="H359" t="s">
        <v>2138</v>
      </c>
      <c r="I359" t="s">
        <v>4039</v>
      </c>
      <c r="J359" t="s">
        <v>2139</v>
      </c>
      <c r="T359" t="s">
        <v>915</v>
      </c>
      <c r="U359" t="s">
        <v>690</v>
      </c>
      <c r="V359" t="s">
        <v>2138</v>
      </c>
      <c r="W359" t="s">
        <v>2139</v>
      </c>
      <c r="X359" s="1278"/>
    </row>
    <row r="360" spans="1:24">
      <c r="A360">
        <v>76</v>
      </c>
      <c r="B360" t="s">
        <v>915</v>
      </c>
      <c r="C360">
        <v>1</v>
      </c>
      <c r="D360" t="s">
        <v>18</v>
      </c>
      <c r="E360">
        <v>1</v>
      </c>
      <c r="F360" t="s">
        <v>690</v>
      </c>
      <c r="G360" t="s">
        <v>3812</v>
      </c>
      <c r="H360" t="s">
        <v>2135</v>
      </c>
      <c r="I360" t="s">
        <v>3813</v>
      </c>
      <c r="J360" t="s">
        <v>2136</v>
      </c>
      <c r="T360" t="s">
        <v>915</v>
      </c>
      <c r="U360" t="s">
        <v>690</v>
      </c>
      <c r="V360" t="s">
        <v>2135</v>
      </c>
      <c r="W360" t="s">
        <v>2136</v>
      </c>
      <c r="X360" s="1278"/>
    </row>
    <row r="361" spans="1:24">
      <c r="A361">
        <v>76</v>
      </c>
      <c r="B361" t="s">
        <v>915</v>
      </c>
      <c r="C361">
        <v>1</v>
      </c>
      <c r="D361" t="s">
        <v>18</v>
      </c>
      <c r="E361">
        <v>1</v>
      </c>
      <c r="F361" t="s">
        <v>690</v>
      </c>
      <c r="G361" t="s">
        <v>3814</v>
      </c>
      <c r="H361" t="s">
        <v>2130</v>
      </c>
      <c r="I361" t="s">
        <v>3815</v>
      </c>
      <c r="J361" t="s">
        <v>2134</v>
      </c>
      <c r="T361" t="s">
        <v>915</v>
      </c>
      <c r="U361" t="s">
        <v>690</v>
      </c>
      <c r="V361" t="s">
        <v>2130</v>
      </c>
      <c r="W361" t="s">
        <v>2134</v>
      </c>
      <c r="X361" s="1278"/>
    </row>
    <row r="362" spans="1:24">
      <c r="A362">
        <v>76</v>
      </c>
      <c r="B362" t="s">
        <v>915</v>
      </c>
      <c r="C362">
        <v>1</v>
      </c>
      <c r="D362" t="s">
        <v>18</v>
      </c>
      <c r="E362">
        <v>3</v>
      </c>
      <c r="F362" t="s">
        <v>19</v>
      </c>
      <c r="G362" t="s">
        <v>4051</v>
      </c>
      <c r="H362" t="s">
        <v>2042</v>
      </c>
      <c r="I362" t="s">
        <v>4052</v>
      </c>
      <c r="J362" t="s">
        <v>2133</v>
      </c>
      <c r="T362" t="s">
        <v>915</v>
      </c>
      <c r="U362" t="s">
        <v>19</v>
      </c>
      <c r="V362" t="s">
        <v>2042</v>
      </c>
      <c r="W362" t="s">
        <v>2133</v>
      </c>
      <c r="X362" s="1278"/>
    </row>
    <row r="363" spans="1:24">
      <c r="A363">
        <v>76</v>
      </c>
      <c r="B363" t="s">
        <v>915</v>
      </c>
      <c r="C363">
        <v>1</v>
      </c>
      <c r="D363" t="s">
        <v>18</v>
      </c>
      <c r="E363">
        <v>3</v>
      </c>
      <c r="F363" t="s">
        <v>19</v>
      </c>
      <c r="G363" t="s">
        <v>3810</v>
      </c>
      <c r="H363" t="s">
        <v>2131</v>
      </c>
      <c r="I363" t="s">
        <v>3811</v>
      </c>
      <c r="J363" t="s">
        <v>2132</v>
      </c>
      <c r="T363" t="s">
        <v>915</v>
      </c>
      <c r="U363" t="s">
        <v>19</v>
      </c>
      <c r="V363" t="s">
        <v>2131</v>
      </c>
      <c r="W363" t="s">
        <v>2132</v>
      </c>
      <c r="X363" s="1278"/>
    </row>
    <row r="364" spans="1:24">
      <c r="A364">
        <v>76</v>
      </c>
      <c r="B364" t="s">
        <v>915</v>
      </c>
      <c r="C364">
        <v>1</v>
      </c>
      <c r="D364" t="s">
        <v>18</v>
      </c>
      <c r="E364">
        <v>4</v>
      </c>
      <c r="F364" t="s">
        <v>1911</v>
      </c>
      <c r="G364" t="s">
        <v>4117</v>
      </c>
      <c r="H364" t="s">
        <v>2137</v>
      </c>
      <c r="I364" t="s">
        <v>4118</v>
      </c>
      <c r="J364" t="s">
        <v>2140</v>
      </c>
      <c r="T364" t="s">
        <v>915</v>
      </c>
      <c r="U364" t="s">
        <v>1911</v>
      </c>
      <c r="V364" t="s">
        <v>2137</v>
      </c>
      <c r="W364" t="s">
        <v>2140</v>
      </c>
      <c r="X364" s="1278"/>
    </row>
    <row r="365" spans="1:24">
      <c r="A365">
        <v>76</v>
      </c>
      <c r="B365" t="s">
        <v>915</v>
      </c>
      <c r="C365">
        <v>1</v>
      </c>
      <c r="D365" t="s">
        <v>18</v>
      </c>
      <c r="E365">
        <v>6</v>
      </c>
      <c r="F365" t="s">
        <v>1911</v>
      </c>
      <c r="G365" t="s">
        <v>3453</v>
      </c>
      <c r="H365" t="s">
        <v>2128</v>
      </c>
      <c r="I365" t="s">
        <v>3454</v>
      </c>
      <c r="J365" t="s">
        <v>2129</v>
      </c>
      <c r="T365" t="s">
        <v>915</v>
      </c>
      <c r="U365" t="s">
        <v>1911</v>
      </c>
      <c r="V365" t="s">
        <v>2128</v>
      </c>
      <c r="W365" t="s">
        <v>2129</v>
      </c>
      <c r="X365" s="1278"/>
    </row>
    <row r="366" spans="1:24">
      <c r="A366">
        <v>76</v>
      </c>
      <c r="B366" t="s">
        <v>915</v>
      </c>
      <c r="C366">
        <v>1</v>
      </c>
      <c r="D366" t="s">
        <v>18</v>
      </c>
      <c r="E366">
        <v>2</v>
      </c>
      <c r="F366" t="s">
        <v>688</v>
      </c>
      <c r="G366" t="s">
        <v>3816</v>
      </c>
      <c r="H366" t="s">
        <v>2126</v>
      </c>
      <c r="I366" t="s">
        <v>3817</v>
      </c>
      <c r="J366" t="s">
        <v>2127</v>
      </c>
      <c r="T366" t="s">
        <v>915</v>
      </c>
      <c r="U366" t="s">
        <v>688</v>
      </c>
      <c r="V366" t="s">
        <v>2126</v>
      </c>
      <c r="W366" t="s">
        <v>2127</v>
      </c>
      <c r="X366" s="1278"/>
    </row>
    <row r="367" spans="1:24">
      <c r="A367">
        <v>76</v>
      </c>
      <c r="B367" t="s">
        <v>915</v>
      </c>
      <c r="C367">
        <v>1</v>
      </c>
      <c r="D367" t="s">
        <v>18</v>
      </c>
      <c r="E367">
        <v>2</v>
      </c>
      <c r="F367" t="s">
        <v>688</v>
      </c>
      <c r="G367" t="s">
        <v>3818</v>
      </c>
      <c r="H367" t="s">
        <v>2124</v>
      </c>
      <c r="I367" t="s">
        <v>3819</v>
      </c>
      <c r="J367" t="s">
        <v>2125</v>
      </c>
      <c r="T367" t="s">
        <v>915</v>
      </c>
      <c r="U367" t="s">
        <v>688</v>
      </c>
      <c r="V367" t="s">
        <v>2124</v>
      </c>
      <c r="W367" t="s">
        <v>2125</v>
      </c>
      <c r="X367" s="1278"/>
    </row>
    <row r="368" spans="1:24">
      <c r="A368">
        <v>76</v>
      </c>
      <c r="B368" t="s">
        <v>915</v>
      </c>
      <c r="C368">
        <v>1</v>
      </c>
      <c r="D368" t="s">
        <v>18</v>
      </c>
      <c r="E368">
        <v>2</v>
      </c>
      <c r="F368" t="s">
        <v>688</v>
      </c>
      <c r="G368" t="s">
        <v>4117</v>
      </c>
      <c r="H368" t="s">
        <v>2137</v>
      </c>
      <c r="I368" t="s">
        <v>4147</v>
      </c>
      <c r="J368" t="s">
        <v>4148</v>
      </c>
      <c r="T368" t="s">
        <v>915</v>
      </c>
      <c r="U368" t="s">
        <v>688</v>
      </c>
      <c r="V368" t="s">
        <v>2137</v>
      </c>
      <c r="W368" t="s">
        <v>4148</v>
      </c>
      <c r="X368" s="1278"/>
    </row>
    <row r="369" spans="1:24">
      <c r="A369">
        <v>76</v>
      </c>
      <c r="B369" t="s">
        <v>915</v>
      </c>
      <c r="C369">
        <v>1</v>
      </c>
      <c r="D369" t="s">
        <v>18</v>
      </c>
      <c r="E369">
        <v>2</v>
      </c>
      <c r="F369" t="s">
        <v>688</v>
      </c>
      <c r="G369" t="s">
        <v>4119</v>
      </c>
      <c r="H369" t="s">
        <v>2122</v>
      </c>
      <c r="I369" t="s">
        <v>4120</v>
      </c>
      <c r="J369" t="s">
        <v>2123</v>
      </c>
      <c r="T369" t="s">
        <v>915</v>
      </c>
      <c r="U369" t="s">
        <v>688</v>
      </c>
      <c r="V369" t="s">
        <v>2122</v>
      </c>
      <c r="W369" t="s">
        <v>2123</v>
      </c>
      <c r="X369" s="1278"/>
    </row>
    <row r="370" spans="1:24">
      <c r="B370" t="s">
        <v>4234</v>
      </c>
      <c r="T370" t="s">
        <v>4234</v>
      </c>
      <c r="U370" t="s">
        <v>4288</v>
      </c>
      <c r="V370" t="s">
        <v>4288</v>
      </c>
      <c r="W370" t="s">
        <v>4288</v>
      </c>
      <c r="X370" s="1278"/>
    </row>
    <row r="371" spans="1:24">
      <c r="B371" t="s">
        <v>4235</v>
      </c>
      <c r="T371" t="s">
        <v>4235</v>
      </c>
      <c r="U371" t="s">
        <v>4288</v>
      </c>
      <c r="V371" t="s">
        <v>4288</v>
      </c>
      <c r="W371" t="s">
        <v>4288</v>
      </c>
      <c r="X371" s="1278"/>
    </row>
    <row r="372" spans="1:24">
      <c r="B372" t="s">
        <v>4236</v>
      </c>
      <c r="T372" t="s">
        <v>4236</v>
      </c>
      <c r="U372" t="s">
        <v>4288</v>
      </c>
      <c r="V372" t="s">
        <v>4288</v>
      </c>
      <c r="W372" t="s">
        <v>4288</v>
      </c>
      <c r="X372" s="1278"/>
    </row>
    <row r="373" spans="1:24">
      <c r="B373" t="s">
        <v>4237</v>
      </c>
      <c r="T373" t="s">
        <v>4237</v>
      </c>
      <c r="U373" t="s">
        <v>4288</v>
      </c>
      <c r="V373" t="s">
        <v>4288</v>
      </c>
      <c r="W373" t="s">
        <v>4288</v>
      </c>
      <c r="X373" s="1278"/>
    </row>
    <row r="374" spans="1:24">
      <c r="A374">
        <v>158</v>
      </c>
      <c r="B374" t="s">
        <v>916</v>
      </c>
      <c r="C374">
        <v>1</v>
      </c>
      <c r="D374" t="s">
        <v>18</v>
      </c>
      <c r="E374">
        <v>1</v>
      </c>
      <c r="F374" t="s">
        <v>690</v>
      </c>
      <c r="G374" t="s">
        <v>3612</v>
      </c>
      <c r="H374" t="s">
        <v>2102</v>
      </c>
      <c r="I374" t="s">
        <v>3613</v>
      </c>
      <c r="J374" t="s">
        <v>2108</v>
      </c>
      <c r="T374" t="s">
        <v>916</v>
      </c>
      <c r="U374" t="s">
        <v>690</v>
      </c>
      <c r="V374" t="s">
        <v>2102</v>
      </c>
      <c r="W374" t="s">
        <v>2108</v>
      </c>
      <c r="X374" s="1278"/>
    </row>
    <row r="375" spans="1:24">
      <c r="A375">
        <v>158</v>
      </c>
      <c r="B375" t="s">
        <v>916</v>
      </c>
      <c r="C375">
        <v>1</v>
      </c>
      <c r="D375" t="s">
        <v>18</v>
      </c>
      <c r="E375">
        <v>1</v>
      </c>
      <c r="F375" t="s">
        <v>690</v>
      </c>
      <c r="G375" t="s">
        <v>3614</v>
      </c>
      <c r="H375" t="s">
        <v>2106</v>
      </c>
      <c r="I375" t="s">
        <v>3615</v>
      </c>
      <c r="J375" t="s">
        <v>2107</v>
      </c>
      <c r="T375" t="s">
        <v>916</v>
      </c>
      <c r="U375" t="s">
        <v>690</v>
      </c>
      <c r="V375" t="s">
        <v>2106</v>
      </c>
      <c r="W375" t="s">
        <v>2107</v>
      </c>
      <c r="X375" s="1278"/>
    </row>
    <row r="376" spans="1:24">
      <c r="A376">
        <v>158</v>
      </c>
      <c r="B376" t="s">
        <v>916</v>
      </c>
      <c r="C376">
        <v>1</v>
      </c>
      <c r="D376" t="s">
        <v>18</v>
      </c>
      <c r="E376">
        <v>3</v>
      </c>
      <c r="F376" t="s">
        <v>19</v>
      </c>
      <c r="G376" t="s">
        <v>3609</v>
      </c>
      <c r="H376" t="s">
        <v>3610</v>
      </c>
      <c r="I376" t="s">
        <v>3611</v>
      </c>
      <c r="J376" t="s">
        <v>2105</v>
      </c>
      <c r="T376" t="s">
        <v>916</v>
      </c>
      <c r="U376" t="s">
        <v>19</v>
      </c>
      <c r="V376" t="s">
        <v>3610</v>
      </c>
      <c r="W376" t="s">
        <v>2105</v>
      </c>
      <c r="X376" s="1278"/>
    </row>
    <row r="377" spans="1:24">
      <c r="A377">
        <v>158</v>
      </c>
      <c r="B377" t="s">
        <v>916</v>
      </c>
      <c r="C377">
        <v>1</v>
      </c>
      <c r="D377" t="s">
        <v>18</v>
      </c>
      <c r="E377">
        <v>3</v>
      </c>
      <c r="F377" t="s">
        <v>19</v>
      </c>
      <c r="G377" t="s">
        <v>3620</v>
      </c>
      <c r="H377" t="s">
        <v>2096</v>
      </c>
      <c r="I377" t="s">
        <v>3621</v>
      </c>
      <c r="J377" t="s">
        <v>2104</v>
      </c>
      <c r="T377" t="s">
        <v>916</v>
      </c>
      <c r="U377" t="s">
        <v>19</v>
      </c>
      <c r="V377" t="s">
        <v>2096</v>
      </c>
      <c r="W377" t="s">
        <v>2104</v>
      </c>
      <c r="X377" s="1278"/>
    </row>
    <row r="378" spans="1:24">
      <c r="A378">
        <v>158</v>
      </c>
      <c r="B378" t="s">
        <v>916</v>
      </c>
      <c r="C378">
        <v>1</v>
      </c>
      <c r="D378" t="s">
        <v>18</v>
      </c>
      <c r="E378">
        <v>6</v>
      </c>
      <c r="F378" t="s">
        <v>1911</v>
      </c>
      <c r="G378" t="s">
        <v>4033</v>
      </c>
      <c r="H378" t="s">
        <v>2102</v>
      </c>
      <c r="I378" t="s">
        <v>4034</v>
      </c>
      <c r="J378" t="s">
        <v>2103</v>
      </c>
      <c r="T378" t="s">
        <v>916</v>
      </c>
      <c r="U378" t="s">
        <v>1911</v>
      </c>
      <c r="V378" t="s">
        <v>2102</v>
      </c>
      <c r="W378" t="s">
        <v>2103</v>
      </c>
      <c r="X378" s="1278"/>
    </row>
    <row r="379" spans="1:24">
      <c r="A379">
        <v>158</v>
      </c>
      <c r="B379" t="s">
        <v>916</v>
      </c>
      <c r="C379">
        <v>1</v>
      </c>
      <c r="D379" t="s">
        <v>18</v>
      </c>
      <c r="E379">
        <v>2</v>
      </c>
      <c r="F379" t="s">
        <v>688</v>
      </c>
      <c r="G379" t="s">
        <v>3616</v>
      </c>
      <c r="H379" t="s">
        <v>2100</v>
      </c>
      <c r="I379" t="s">
        <v>3617</v>
      </c>
      <c r="J379" t="s">
        <v>2101</v>
      </c>
      <c r="T379" t="s">
        <v>916</v>
      </c>
      <c r="U379" t="s">
        <v>688</v>
      </c>
      <c r="V379" t="s">
        <v>2100</v>
      </c>
      <c r="W379" t="s">
        <v>2101</v>
      </c>
      <c r="X379" s="1278"/>
    </row>
    <row r="380" spans="1:24">
      <c r="A380">
        <v>158</v>
      </c>
      <c r="B380" t="s">
        <v>916</v>
      </c>
      <c r="C380">
        <v>1</v>
      </c>
      <c r="D380" t="s">
        <v>18</v>
      </c>
      <c r="E380">
        <v>2</v>
      </c>
      <c r="F380" t="s">
        <v>688</v>
      </c>
      <c r="G380" t="s">
        <v>3618</v>
      </c>
      <c r="H380" t="s">
        <v>2098</v>
      </c>
      <c r="I380" t="s">
        <v>3619</v>
      </c>
      <c r="J380" t="s">
        <v>2099</v>
      </c>
      <c r="T380" t="s">
        <v>916</v>
      </c>
      <c r="U380" t="s">
        <v>688</v>
      </c>
      <c r="V380" t="s">
        <v>2098</v>
      </c>
      <c r="W380" t="s">
        <v>2099</v>
      </c>
      <c r="X380" s="1278"/>
    </row>
    <row r="381" spans="1:24">
      <c r="A381">
        <v>158</v>
      </c>
      <c r="B381" t="s">
        <v>916</v>
      </c>
      <c r="C381">
        <v>1</v>
      </c>
      <c r="D381" t="s">
        <v>18</v>
      </c>
      <c r="E381">
        <v>2</v>
      </c>
      <c r="F381" t="s">
        <v>688</v>
      </c>
      <c r="G381" t="s">
        <v>3620</v>
      </c>
      <c r="H381" t="s">
        <v>2096</v>
      </c>
      <c r="I381" t="s">
        <v>3622</v>
      </c>
      <c r="J381" t="s">
        <v>2097</v>
      </c>
      <c r="T381" t="s">
        <v>916</v>
      </c>
      <c r="U381" t="s">
        <v>688</v>
      </c>
      <c r="V381" t="s">
        <v>2096</v>
      </c>
      <c r="W381" t="s">
        <v>2097</v>
      </c>
      <c r="X381" s="1278"/>
    </row>
    <row r="382" spans="1:24">
      <c r="B382" t="s">
        <v>4238</v>
      </c>
      <c r="T382" t="s">
        <v>4238</v>
      </c>
      <c r="U382" t="s">
        <v>4288</v>
      </c>
      <c r="V382" t="s">
        <v>4288</v>
      </c>
      <c r="W382" t="s">
        <v>4288</v>
      </c>
      <c r="X382" s="1278"/>
    </row>
    <row r="383" spans="1:24">
      <c r="B383" t="s">
        <v>917</v>
      </c>
      <c r="T383" t="s">
        <v>917</v>
      </c>
      <c r="U383" t="s">
        <v>4288</v>
      </c>
      <c r="V383" t="s">
        <v>4288</v>
      </c>
      <c r="W383" t="s">
        <v>4288</v>
      </c>
      <c r="X383" s="1278"/>
    </row>
    <row r="384" spans="1:24">
      <c r="A384">
        <v>87</v>
      </c>
      <c r="B384" t="s">
        <v>918</v>
      </c>
      <c r="C384">
        <v>1</v>
      </c>
      <c r="D384" t="s">
        <v>18</v>
      </c>
      <c r="E384">
        <v>4</v>
      </c>
      <c r="F384" t="s">
        <v>1911</v>
      </c>
      <c r="G384" t="s">
        <v>3849</v>
      </c>
      <c r="H384" t="s">
        <v>1905</v>
      </c>
      <c r="I384" t="s">
        <v>3850</v>
      </c>
      <c r="J384" t="s">
        <v>2095</v>
      </c>
      <c r="T384" t="s">
        <v>918</v>
      </c>
      <c r="U384" t="s">
        <v>1911</v>
      </c>
      <c r="V384" t="s">
        <v>1905</v>
      </c>
      <c r="W384" t="s">
        <v>2095</v>
      </c>
      <c r="X384" s="1278"/>
    </row>
    <row r="385" spans="1:24">
      <c r="A385">
        <v>226</v>
      </c>
      <c r="B385" t="s">
        <v>919</v>
      </c>
      <c r="C385">
        <v>1</v>
      </c>
      <c r="D385" t="s">
        <v>18</v>
      </c>
      <c r="E385">
        <v>3</v>
      </c>
      <c r="F385" t="s">
        <v>19</v>
      </c>
      <c r="G385" t="s">
        <v>3623</v>
      </c>
      <c r="H385" t="s">
        <v>2083</v>
      </c>
      <c r="I385" t="s">
        <v>3624</v>
      </c>
      <c r="J385" t="s">
        <v>2084</v>
      </c>
      <c r="T385" t="s">
        <v>919</v>
      </c>
      <c r="U385" t="s">
        <v>19</v>
      </c>
      <c r="V385" t="s">
        <v>2083</v>
      </c>
      <c r="W385" t="s">
        <v>2084</v>
      </c>
      <c r="X385" s="1278"/>
    </row>
    <row r="386" spans="1:24">
      <c r="A386">
        <v>226</v>
      </c>
      <c r="B386" t="s">
        <v>919</v>
      </c>
      <c r="C386">
        <v>1</v>
      </c>
      <c r="D386" t="s">
        <v>18</v>
      </c>
      <c r="E386">
        <v>4</v>
      </c>
      <c r="F386" t="s">
        <v>1911</v>
      </c>
      <c r="G386" t="s">
        <v>4071</v>
      </c>
      <c r="H386" t="s">
        <v>2082</v>
      </c>
      <c r="I386" t="s">
        <v>4072</v>
      </c>
      <c r="J386" t="s">
        <v>2085</v>
      </c>
      <c r="T386" t="s">
        <v>919</v>
      </c>
      <c r="U386" t="s">
        <v>1911</v>
      </c>
      <c r="V386" t="s">
        <v>2082</v>
      </c>
      <c r="W386" t="s">
        <v>2085</v>
      </c>
      <c r="X386" s="1278"/>
    </row>
    <row r="387" spans="1:24">
      <c r="A387">
        <v>101</v>
      </c>
      <c r="B387" t="s">
        <v>920</v>
      </c>
      <c r="C387">
        <v>1</v>
      </c>
      <c r="D387" t="s">
        <v>18</v>
      </c>
      <c r="E387">
        <v>1</v>
      </c>
      <c r="F387" t="s">
        <v>690</v>
      </c>
      <c r="G387" t="s">
        <v>3861</v>
      </c>
      <c r="H387" t="s">
        <v>2079</v>
      </c>
      <c r="I387" t="s">
        <v>3862</v>
      </c>
      <c r="J387" t="s">
        <v>2080</v>
      </c>
      <c r="T387" t="s">
        <v>920</v>
      </c>
      <c r="U387" t="s">
        <v>690</v>
      </c>
      <c r="V387" t="s">
        <v>2079</v>
      </c>
      <c r="W387" t="s">
        <v>2080</v>
      </c>
      <c r="X387" s="1278"/>
    </row>
    <row r="388" spans="1:24">
      <c r="A388">
        <v>101</v>
      </c>
      <c r="B388" t="s">
        <v>920</v>
      </c>
      <c r="C388">
        <v>1</v>
      </c>
      <c r="D388" t="s">
        <v>18</v>
      </c>
      <c r="E388">
        <v>2</v>
      </c>
      <c r="F388" t="s">
        <v>688</v>
      </c>
      <c r="G388" t="s">
        <v>3863</v>
      </c>
      <c r="H388" t="s">
        <v>2077</v>
      </c>
      <c r="I388" t="s">
        <v>3864</v>
      </c>
      <c r="J388" t="s">
        <v>2078</v>
      </c>
      <c r="T388" t="s">
        <v>920</v>
      </c>
      <c r="U388" t="s">
        <v>688</v>
      </c>
      <c r="V388" t="s">
        <v>2077</v>
      </c>
      <c r="W388" t="s">
        <v>2078</v>
      </c>
      <c r="X388" s="1278"/>
    </row>
    <row r="389" spans="1:24">
      <c r="A389">
        <v>102</v>
      </c>
      <c r="B389" t="s">
        <v>921</v>
      </c>
      <c r="C389">
        <v>1</v>
      </c>
      <c r="D389" t="s">
        <v>18</v>
      </c>
      <c r="E389">
        <v>1</v>
      </c>
      <c r="F389" t="s">
        <v>690</v>
      </c>
      <c r="G389" t="s">
        <v>4121</v>
      </c>
      <c r="H389" t="s">
        <v>4122</v>
      </c>
      <c r="I389" t="s">
        <v>4123</v>
      </c>
      <c r="J389" t="s">
        <v>2094</v>
      </c>
      <c r="T389" t="s">
        <v>921</v>
      </c>
      <c r="U389" t="s">
        <v>690</v>
      </c>
      <c r="V389" t="s">
        <v>4122</v>
      </c>
      <c r="W389" t="s">
        <v>2094</v>
      </c>
      <c r="X389" s="1278"/>
    </row>
    <row r="390" spans="1:24">
      <c r="A390">
        <v>102</v>
      </c>
      <c r="B390" t="s">
        <v>921</v>
      </c>
      <c r="C390">
        <v>1</v>
      </c>
      <c r="D390" t="s">
        <v>18</v>
      </c>
      <c r="E390">
        <v>1</v>
      </c>
      <c r="F390" t="s">
        <v>690</v>
      </c>
      <c r="G390" t="s">
        <v>3979</v>
      </c>
      <c r="H390" t="s">
        <v>2092</v>
      </c>
      <c r="I390" t="s">
        <v>3980</v>
      </c>
      <c r="J390" t="s">
        <v>2093</v>
      </c>
      <c r="T390" t="s">
        <v>921</v>
      </c>
      <c r="U390" t="s">
        <v>690</v>
      </c>
      <c r="V390" t="s">
        <v>2092</v>
      </c>
      <c r="W390" t="s">
        <v>2093</v>
      </c>
      <c r="X390" s="1278"/>
    </row>
    <row r="391" spans="1:24">
      <c r="A391">
        <v>102</v>
      </c>
      <c r="B391" t="s">
        <v>921</v>
      </c>
      <c r="C391">
        <v>1</v>
      </c>
      <c r="D391" t="s">
        <v>18</v>
      </c>
      <c r="E391">
        <v>2</v>
      </c>
      <c r="F391" t="s">
        <v>688</v>
      </c>
      <c r="G391" t="s">
        <v>3981</v>
      </c>
      <c r="H391" t="s">
        <v>2090</v>
      </c>
      <c r="I391" t="s">
        <v>3982</v>
      </c>
      <c r="J391" t="s">
        <v>2091</v>
      </c>
      <c r="T391" t="s">
        <v>921</v>
      </c>
      <c r="U391" t="s">
        <v>688</v>
      </c>
      <c r="V391" t="s">
        <v>2090</v>
      </c>
      <c r="W391" t="s">
        <v>2091</v>
      </c>
      <c r="X391" s="1278"/>
    </row>
    <row r="392" spans="1:24">
      <c r="A392">
        <v>146</v>
      </c>
      <c r="B392" t="s">
        <v>922</v>
      </c>
      <c r="C392">
        <v>1</v>
      </c>
      <c r="D392" t="s">
        <v>18</v>
      </c>
      <c r="E392">
        <v>1</v>
      </c>
      <c r="F392" t="s">
        <v>690</v>
      </c>
      <c r="G392" t="s">
        <v>3583</v>
      </c>
      <c r="H392" t="s">
        <v>2087</v>
      </c>
      <c r="I392" t="s">
        <v>4128</v>
      </c>
      <c r="J392" t="s">
        <v>4129</v>
      </c>
      <c r="T392" t="s">
        <v>922</v>
      </c>
      <c r="U392" t="s">
        <v>690</v>
      </c>
      <c r="V392" t="s">
        <v>2087</v>
      </c>
      <c r="W392" t="s">
        <v>4129</v>
      </c>
      <c r="X392" s="1278"/>
    </row>
    <row r="393" spans="1:24">
      <c r="A393">
        <v>146</v>
      </c>
      <c r="B393" t="s">
        <v>922</v>
      </c>
      <c r="C393">
        <v>1</v>
      </c>
      <c r="D393" t="s">
        <v>18</v>
      </c>
      <c r="E393">
        <v>1</v>
      </c>
      <c r="F393" t="s">
        <v>690</v>
      </c>
      <c r="G393" t="s">
        <v>3576</v>
      </c>
      <c r="H393" t="s">
        <v>1965</v>
      </c>
      <c r="I393" t="s">
        <v>3582</v>
      </c>
      <c r="J393" t="s">
        <v>2089</v>
      </c>
      <c r="T393" t="s">
        <v>922</v>
      </c>
      <c r="U393" t="s">
        <v>690</v>
      </c>
      <c r="V393" t="s">
        <v>1965</v>
      </c>
      <c r="W393" t="s">
        <v>2089</v>
      </c>
      <c r="X393" s="1278"/>
    </row>
    <row r="394" spans="1:24">
      <c r="A394">
        <v>146</v>
      </c>
      <c r="B394" t="s">
        <v>922</v>
      </c>
      <c r="C394">
        <v>1</v>
      </c>
      <c r="D394" t="s">
        <v>18</v>
      </c>
      <c r="E394">
        <v>3</v>
      </c>
      <c r="F394" t="s">
        <v>19</v>
      </c>
      <c r="G394" t="s">
        <v>3583</v>
      </c>
      <c r="H394" t="s">
        <v>2087</v>
      </c>
      <c r="I394" t="s">
        <v>3584</v>
      </c>
      <c r="J394" t="s">
        <v>2088</v>
      </c>
      <c r="T394" t="s">
        <v>922</v>
      </c>
      <c r="U394" t="s">
        <v>19</v>
      </c>
      <c r="V394" t="s">
        <v>2087</v>
      </c>
      <c r="W394" t="s">
        <v>2088</v>
      </c>
      <c r="X394" s="1278"/>
    </row>
    <row r="395" spans="1:24">
      <c r="A395">
        <v>146</v>
      </c>
      <c r="B395" t="s">
        <v>922</v>
      </c>
      <c r="C395">
        <v>1</v>
      </c>
      <c r="D395" t="s">
        <v>18</v>
      </c>
      <c r="E395">
        <v>2</v>
      </c>
      <c r="F395" t="s">
        <v>688</v>
      </c>
      <c r="G395" t="s">
        <v>3580</v>
      </c>
      <c r="H395" t="s">
        <v>2367</v>
      </c>
      <c r="I395" t="s">
        <v>3581</v>
      </c>
      <c r="J395" t="s">
        <v>2086</v>
      </c>
      <c r="T395" t="s">
        <v>922</v>
      </c>
      <c r="U395" t="s">
        <v>688</v>
      </c>
      <c r="V395" t="s">
        <v>2367</v>
      </c>
      <c r="W395" t="s">
        <v>2086</v>
      </c>
      <c r="X395" s="1278"/>
    </row>
    <row r="396" spans="1:24">
      <c r="B396" t="s">
        <v>4239</v>
      </c>
      <c r="T396" t="s">
        <v>4239</v>
      </c>
      <c r="U396" t="s">
        <v>4288</v>
      </c>
      <c r="V396" t="s">
        <v>4288</v>
      </c>
      <c r="W396" t="s">
        <v>4288</v>
      </c>
      <c r="X396" s="1278"/>
    </row>
    <row r="397" spans="1:24">
      <c r="B397" t="s">
        <v>4240</v>
      </c>
      <c r="T397" t="s">
        <v>4240</v>
      </c>
      <c r="U397" t="s">
        <v>4288</v>
      </c>
      <c r="V397" t="s">
        <v>4288</v>
      </c>
      <c r="W397" t="s">
        <v>4288</v>
      </c>
      <c r="X397" s="1278"/>
    </row>
    <row r="398" spans="1:24">
      <c r="B398" t="s">
        <v>4241</v>
      </c>
      <c r="T398" t="s">
        <v>4241</v>
      </c>
      <c r="U398" t="s">
        <v>4288</v>
      </c>
      <c r="V398" t="s">
        <v>4288</v>
      </c>
      <c r="W398" t="s">
        <v>4288</v>
      </c>
      <c r="X398" s="1278"/>
    </row>
    <row r="399" spans="1:24">
      <c r="A399">
        <v>184</v>
      </c>
      <c r="B399" t="s">
        <v>923</v>
      </c>
      <c r="C399">
        <v>2</v>
      </c>
      <c r="D399" t="s">
        <v>53</v>
      </c>
      <c r="E399">
        <v>2</v>
      </c>
      <c r="F399" t="s">
        <v>688</v>
      </c>
      <c r="G399" t="s">
        <v>4115</v>
      </c>
      <c r="H399" t="s">
        <v>2065</v>
      </c>
      <c r="I399" t="s">
        <v>4116</v>
      </c>
      <c r="J399" t="s">
        <v>2066</v>
      </c>
      <c r="T399" t="s">
        <v>923</v>
      </c>
      <c r="U399" t="s">
        <v>688</v>
      </c>
      <c r="V399" t="s">
        <v>2065</v>
      </c>
      <c r="W399" t="s">
        <v>2066</v>
      </c>
      <c r="X399" s="1278"/>
    </row>
    <row r="400" spans="1:24">
      <c r="B400" t="s">
        <v>924</v>
      </c>
      <c r="T400" t="s">
        <v>924</v>
      </c>
      <c r="U400" t="s">
        <v>4288</v>
      </c>
      <c r="V400" t="s">
        <v>4288</v>
      </c>
      <c r="W400" t="s">
        <v>4288</v>
      </c>
      <c r="X400" s="1278"/>
    </row>
    <row r="401" spans="1:24">
      <c r="A401">
        <v>36</v>
      </c>
      <c r="B401" t="s">
        <v>925</v>
      </c>
      <c r="C401">
        <v>1</v>
      </c>
      <c r="D401" t="s">
        <v>18</v>
      </c>
      <c r="E401">
        <v>1</v>
      </c>
      <c r="F401" t="s">
        <v>690</v>
      </c>
      <c r="G401" t="s">
        <v>3674</v>
      </c>
      <c r="H401" t="s">
        <v>2061</v>
      </c>
      <c r="I401" t="s">
        <v>3676</v>
      </c>
      <c r="J401" t="s">
        <v>2064</v>
      </c>
      <c r="T401" t="s">
        <v>925</v>
      </c>
      <c r="U401" t="s">
        <v>690</v>
      </c>
      <c r="V401" t="s">
        <v>2061</v>
      </c>
      <c r="W401" t="s">
        <v>2064</v>
      </c>
      <c r="X401" s="1278"/>
    </row>
    <row r="402" spans="1:24">
      <c r="A402">
        <v>36</v>
      </c>
      <c r="B402" t="s">
        <v>925</v>
      </c>
      <c r="C402">
        <v>1</v>
      </c>
      <c r="D402" t="s">
        <v>18</v>
      </c>
      <c r="E402">
        <v>3</v>
      </c>
      <c r="F402" t="s">
        <v>19</v>
      </c>
      <c r="G402" t="s">
        <v>3674</v>
      </c>
      <c r="H402" t="s">
        <v>2061</v>
      </c>
      <c r="I402" t="s">
        <v>3677</v>
      </c>
      <c r="J402" t="s">
        <v>2063</v>
      </c>
      <c r="T402" t="s">
        <v>925</v>
      </c>
      <c r="U402" t="s">
        <v>19</v>
      </c>
      <c r="V402" t="s">
        <v>2061</v>
      </c>
      <c r="W402" t="s">
        <v>2063</v>
      </c>
      <c r="X402" s="1278"/>
    </row>
    <row r="403" spans="1:24">
      <c r="A403">
        <v>36</v>
      </c>
      <c r="B403" t="s">
        <v>925</v>
      </c>
      <c r="C403">
        <v>1</v>
      </c>
      <c r="D403" t="s">
        <v>18</v>
      </c>
      <c r="E403">
        <v>4</v>
      </c>
      <c r="F403" t="s">
        <v>1911</v>
      </c>
      <c r="G403" t="s">
        <v>3674</v>
      </c>
      <c r="H403" t="s">
        <v>2061</v>
      </c>
      <c r="I403" t="s">
        <v>4165</v>
      </c>
      <c r="J403" t="s">
        <v>4166</v>
      </c>
      <c r="T403" t="s">
        <v>925</v>
      </c>
      <c r="U403" t="s">
        <v>1911</v>
      </c>
      <c r="V403" t="s">
        <v>2061</v>
      </c>
      <c r="W403" t="s">
        <v>4166</v>
      </c>
      <c r="X403" s="1278"/>
    </row>
    <row r="404" spans="1:24">
      <c r="A404">
        <v>36</v>
      </c>
      <c r="B404" t="s">
        <v>925</v>
      </c>
      <c r="C404">
        <v>1</v>
      </c>
      <c r="D404" t="s">
        <v>18</v>
      </c>
      <c r="E404">
        <v>2</v>
      </c>
      <c r="F404" t="s">
        <v>688</v>
      </c>
      <c r="G404" t="s">
        <v>3674</v>
      </c>
      <c r="H404" t="s">
        <v>2061</v>
      </c>
      <c r="I404" t="s">
        <v>3675</v>
      </c>
      <c r="J404" t="s">
        <v>2062</v>
      </c>
      <c r="T404" t="s">
        <v>925</v>
      </c>
      <c r="U404" t="s">
        <v>688</v>
      </c>
      <c r="V404" t="s">
        <v>2061</v>
      </c>
      <c r="W404" t="s">
        <v>2062</v>
      </c>
      <c r="X404" s="1278"/>
    </row>
    <row r="405" spans="1:24">
      <c r="B405" t="s">
        <v>4242</v>
      </c>
      <c r="T405" t="s">
        <v>4242</v>
      </c>
      <c r="U405" t="s">
        <v>4288</v>
      </c>
      <c r="V405" t="s">
        <v>4288</v>
      </c>
      <c r="W405" t="s">
        <v>4288</v>
      </c>
      <c r="X405" s="1278"/>
    </row>
    <row r="406" spans="1:24">
      <c r="B406" t="s">
        <v>4243</v>
      </c>
      <c r="T406" t="s">
        <v>4243</v>
      </c>
      <c r="U406" t="s">
        <v>4288</v>
      </c>
      <c r="V406" t="s">
        <v>4288</v>
      </c>
      <c r="W406" t="s">
        <v>4288</v>
      </c>
      <c r="X406" s="1278"/>
    </row>
    <row r="407" spans="1:24">
      <c r="B407" t="s">
        <v>4244</v>
      </c>
      <c r="T407" t="s">
        <v>4244</v>
      </c>
      <c r="U407" t="s">
        <v>4288</v>
      </c>
      <c r="V407" t="s">
        <v>4288</v>
      </c>
      <c r="W407" t="s">
        <v>4288</v>
      </c>
      <c r="X407" s="1278"/>
    </row>
    <row r="408" spans="1:24">
      <c r="B408" t="s">
        <v>4245</v>
      </c>
      <c r="T408" t="s">
        <v>4245</v>
      </c>
      <c r="U408" t="s">
        <v>4288</v>
      </c>
      <c r="V408" t="s">
        <v>4288</v>
      </c>
      <c r="W408" t="s">
        <v>4288</v>
      </c>
      <c r="X408" s="1278"/>
    </row>
    <row r="409" spans="1:24">
      <c r="B409" t="s">
        <v>4246</v>
      </c>
      <c r="T409" t="s">
        <v>4246</v>
      </c>
      <c r="U409" t="s">
        <v>4288</v>
      </c>
      <c r="V409" t="s">
        <v>4288</v>
      </c>
      <c r="W409" t="s">
        <v>4288</v>
      </c>
      <c r="X409" s="1278"/>
    </row>
    <row r="410" spans="1:24">
      <c r="A410">
        <v>51</v>
      </c>
      <c r="B410" t="s">
        <v>926</v>
      </c>
      <c r="C410">
        <v>2</v>
      </c>
      <c r="D410" t="s">
        <v>53</v>
      </c>
      <c r="E410">
        <v>5</v>
      </c>
      <c r="F410" t="s">
        <v>1911</v>
      </c>
      <c r="G410" t="s">
        <v>4069</v>
      </c>
      <c r="H410" t="s">
        <v>1905</v>
      </c>
      <c r="I410" t="s">
        <v>4070</v>
      </c>
      <c r="J410" t="s">
        <v>2021</v>
      </c>
      <c r="T410" t="s">
        <v>926</v>
      </c>
      <c r="U410" t="s">
        <v>1911</v>
      </c>
      <c r="V410" t="s">
        <v>1905</v>
      </c>
      <c r="W410" t="s">
        <v>2021</v>
      </c>
      <c r="X410" s="1278"/>
    </row>
    <row r="411" spans="1:24">
      <c r="B411" t="s">
        <v>4247</v>
      </c>
      <c r="T411" t="s">
        <v>4247</v>
      </c>
      <c r="U411" t="s">
        <v>4288</v>
      </c>
      <c r="V411" t="s">
        <v>4288</v>
      </c>
      <c r="W411" t="s">
        <v>4288</v>
      </c>
      <c r="X411" s="1278"/>
    </row>
    <row r="412" spans="1:24">
      <c r="A412">
        <v>77</v>
      </c>
      <c r="B412" t="s">
        <v>927</v>
      </c>
      <c r="C412">
        <v>2</v>
      </c>
      <c r="D412" t="s">
        <v>53</v>
      </c>
      <c r="E412">
        <v>1</v>
      </c>
      <c r="F412" t="s">
        <v>690</v>
      </c>
      <c r="G412" t="s">
        <v>3824</v>
      </c>
      <c r="H412" t="s">
        <v>2340</v>
      </c>
      <c r="I412" t="s">
        <v>3825</v>
      </c>
      <c r="J412" t="s">
        <v>2054</v>
      </c>
      <c r="T412" t="s">
        <v>927</v>
      </c>
      <c r="U412" t="s">
        <v>690</v>
      </c>
      <c r="V412" t="s">
        <v>2340</v>
      </c>
      <c r="W412" t="s">
        <v>2054</v>
      </c>
      <c r="X412" s="1278"/>
    </row>
    <row r="413" spans="1:24">
      <c r="A413">
        <v>77</v>
      </c>
      <c r="B413" t="s">
        <v>927</v>
      </c>
      <c r="C413">
        <v>2</v>
      </c>
      <c r="D413" t="s">
        <v>53</v>
      </c>
      <c r="E413">
        <v>1</v>
      </c>
      <c r="F413" t="s">
        <v>690</v>
      </c>
      <c r="G413" t="s">
        <v>3822</v>
      </c>
      <c r="H413" t="s">
        <v>2052</v>
      </c>
      <c r="I413" t="s">
        <v>3823</v>
      </c>
      <c r="J413" t="s">
        <v>2053</v>
      </c>
      <c r="T413" t="s">
        <v>927</v>
      </c>
      <c r="U413" t="s">
        <v>690</v>
      </c>
      <c r="V413" t="s">
        <v>2052</v>
      </c>
      <c r="W413" t="s">
        <v>2053</v>
      </c>
      <c r="X413" s="1278"/>
    </row>
    <row r="414" spans="1:24">
      <c r="A414">
        <v>77</v>
      </c>
      <c r="B414" t="s">
        <v>927</v>
      </c>
      <c r="C414">
        <v>2</v>
      </c>
      <c r="D414" t="s">
        <v>53</v>
      </c>
      <c r="E414">
        <v>1</v>
      </c>
      <c r="F414" t="s">
        <v>690</v>
      </c>
      <c r="G414" t="s">
        <v>3826</v>
      </c>
      <c r="H414" t="s">
        <v>2033</v>
      </c>
      <c r="I414" t="s">
        <v>3827</v>
      </c>
      <c r="J414" t="s">
        <v>2034</v>
      </c>
      <c r="T414" t="s">
        <v>927</v>
      </c>
      <c r="U414" t="s">
        <v>690</v>
      </c>
      <c r="V414" t="s">
        <v>2033</v>
      </c>
      <c r="W414" t="s">
        <v>2034</v>
      </c>
      <c r="X414" s="1278"/>
    </row>
    <row r="415" spans="1:24">
      <c r="A415">
        <v>77</v>
      </c>
      <c r="B415" t="s">
        <v>927</v>
      </c>
      <c r="C415">
        <v>2</v>
      </c>
      <c r="D415" t="s">
        <v>53</v>
      </c>
      <c r="E415">
        <v>3</v>
      </c>
      <c r="F415" t="s">
        <v>19</v>
      </c>
      <c r="G415" t="s">
        <v>3820</v>
      </c>
      <c r="H415" t="s">
        <v>2031</v>
      </c>
      <c r="I415" t="s">
        <v>3828</v>
      </c>
      <c r="J415" t="s">
        <v>2051</v>
      </c>
      <c r="T415" t="s">
        <v>927</v>
      </c>
      <c r="U415" t="s">
        <v>19</v>
      </c>
      <c r="V415" t="s">
        <v>2031</v>
      </c>
      <c r="W415" t="s">
        <v>2051</v>
      </c>
      <c r="X415" s="1278"/>
    </row>
    <row r="416" spans="1:24">
      <c r="A416">
        <v>77</v>
      </c>
      <c r="B416" t="s">
        <v>927</v>
      </c>
      <c r="C416">
        <v>2</v>
      </c>
      <c r="D416" t="s">
        <v>53</v>
      </c>
      <c r="E416">
        <v>6</v>
      </c>
      <c r="F416" t="s">
        <v>1911</v>
      </c>
      <c r="G416" t="s">
        <v>3820</v>
      </c>
      <c r="H416" t="s">
        <v>2031</v>
      </c>
      <c r="I416" t="s">
        <v>3829</v>
      </c>
      <c r="J416" t="s">
        <v>2050</v>
      </c>
      <c r="T416" t="s">
        <v>927</v>
      </c>
      <c r="U416" t="s">
        <v>1911</v>
      </c>
      <c r="V416" t="s">
        <v>2031</v>
      </c>
      <c r="W416" t="s">
        <v>2050</v>
      </c>
      <c r="X416" s="1278"/>
    </row>
    <row r="417" spans="1:24">
      <c r="A417">
        <v>77</v>
      </c>
      <c r="B417" t="s">
        <v>927</v>
      </c>
      <c r="C417">
        <v>2</v>
      </c>
      <c r="D417" t="s">
        <v>53</v>
      </c>
      <c r="E417">
        <v>5</v>
      </c>
      <c r="F417" t="s">
        <v>1911</v>
      </c>
      <c r="G417" t="s">
        <v>3820</v>
      </c>
      <c r="H417" t="s">
        <v>2031</v>
      </c>
      <c r="I417" t="s">
        <v>4098</v>
      </c>
      <c r="J417" t="s">
        <v>2049</v>
      </c>
      <c r="T417" t="s">
        <v>927</v>
      </c>
      <c r="U417" t="s">
        <v>1911</v>
      </c>
      <c r="V417" t="s">
        <v>2031</v>
      </c>
      <c r="W417" t="s">
        <v>2049</v>
      </c>
      <c r="X417" s="1278"/>
    </row>
    <row r="418" spans="1:24">
      <c r="A418">
        <v>77</v>
      </c>
      <c r="B418" t="s">
        <v>927</v>
      </c>
      <c r="C418">
        <v>2</v>
      </c>
      <c r="D418" t="s">
        <v>53</v>
      </c>
      <c r="E418">
        <v>2</v>
      </c>
      <c r="F418" t="s">
        <v>688</v>
      </c>
      <c r="G418" t="s">
        <v>3820</v>
      </c>
      <c r="H418" t="s">
        <v>2031</v>
      </c>
      <c r="I418" t="s">
        <v>3821</v>
      </c>
      <c r="J418" t="s">
        <v>2032</v>
      </c>
      <c r="T418" t="s">
        <v>927</v>
      </c>
      <c r="U418" t="s">
        <v>688</v>
      </c>
      <c r="V418" t="s">
        <v>2031</v>
      </c>
      <c r="W418" t="s">
        <v>2032</v>
      </c>
      <c r="X418" s="1278"/>
    </row>
    <row r="419" spans="1:24">
      <c r="A419">
        <v>245</v>
      </c>
      <c r="B419" t="s">
        <v>928</v>
      </c>
      <c r="C419">
        <v>2</v>
      </c>
      <c r="D419" t="s">
        <v>53</v>
      </c>
      <c r="E419">
        <v>1</v>
      </c>
      <c r="F419" t="s">
        <v>690</v>
      </c>
      <c r="G419" t="s">
        <v>4109</v>
      </c>
      <c r="H419" t="s">
        <v>2025</v>
      </c>
      <c r="I419" t="s">
        <v>4110</v>
      </c>
      <c r="J419" t="s">
        <v>2026</v>
      </c>
      <c r="T419" t="s">
        <v>928</v>
      </c>
      <c r="U419" t="s">
        <v>690</v>
      </c>
      <c r="V419" t="s">
        <v>2025</v>
      </c>
      <c r="W419" t="s">
        <v>2026</v>
      </c>
      <c r="X419" s="1278"/>
    </row>
    <row r="420" spans="1:24">
      <c r="B420" t="s">
        <v>4248</v>
      </c>
      <c r="T420" t="s">
        <v>4248</v>
      </c>
      <c r="U420" t="s">
        <v>4288</v>
      </c>
      <c r="V420" t="s">
        <v>4288</v>
      </c>
      <c r="W420" t="s">
        <v>4288</v>
      </c>
      <c r="X420" s="1278"/>
    </row>
    <row r="421" spans="1:24">
      <c r="A421">
        <v>78</v>
      </c>
      <c r="B421" t="s">
        <v>929</v>
      </c>
      <c r="C421">
        <v>1</v>
      </c>
      <c r="D421" t="s">
        <v>18</v>
      </c>
      <c r="E421">
        <v>1</v>
      </c>
      <c r="F421" t="s">
        <v>690</v>
      </c>
      <c r="G421" t="s">
        <v>3558</v>
      </c>
      <c r="H421" t="s">
        <v>2044</v>
      </c>
      <c r="I421" t="s">
        <v>3559</v>
      </c>
      <c r="J421" t="s">
        <v>2045</v>
      </c>
      <c r="T421" t="s">
        <v>929</v>
      </c>
      <c r="U421" t="s">
        <v>690</v>
      </c>
      <c r="V421" t="s">
        <v>2044</v>
      </c>
      <c r="W421" t="s">
        <v>2045</v>
      </c>
      <c r="X421" s="1278"/>
    </row>
    <row r="422" spans="1:24">
      <c r="A422">
        <v>78</v>
      </c>
      <c r="B422" t="s">
        <v>929</v>
      </c>
      <c r="C422">
        <v>1</v>
      </c>
      <c r="D422" t="s">
        <v>18</v>
      </c>
      <c r="E422">
        <v>3</v>
      </c>
      <c r="F422" t="s">
        <v>19</v>
      </c>
      <c r="G422" t="s">
        <v>3560</v>
      </c>
      <c r="H422" t="s">
        <v>2042</v>
      </c>
      <c r="I422" t="s">
        <v>3561</v>
      </c>
      <c r="J422" t="s">
        <v>2043</v>
      </c>
      <c r="T422" t="s">
        <v>929</v>
      </c>
      <c r="U422" t="s">
        <v>19</v>
      </c>
      <c r="V422" t="s">
        <v>2042</v>
      </c>
      <c r="W422" t="s">
        <v>2043</v>
      </c>
      <c r="X422" s="1278"/>
    </row>
    <row r="423" spans="1:24">
      <c r="A423">
        <v>78</v>
      </c>
      <c r="B423" t="s">
        <v>929</v>
      </c>
      <c r="C423">
        <v>1</v>
      </c>
      <c r="D423" t="s">
        <v>18</v>
      </c>
      <c r="E423">
        <v>3</v>
      </c>
      <c r="F423" t="s">
        <v>19</v>
      </c>
      <c r="G423" t="s">
        <v>3554</v>
      </c>
      <c r="H423" t="s">
        <v>2039</v>
      </c>
      <c r="I423" t="s">
        <v>3562</v>
      </c>
      <c r="J423" t="s">
        <v>2041</v>
      </c>
      <c r="T423" t="s">
        <v>929</v>
      </c>
      <c r="U423" t="s">
        <v>19</v>
      </c>
      <c r="V423" t="s">
        <v>2039</v>
      </c>
      <c r="W423" t="s">
        <v>2041</v>
      </c>
      <c r="X423" s="1278"/>
    </row>
    <row r="424" spans="1:24">
      <c r="A424">
        <v>78</v>
      </c>
      <c r="B424" t="s">
        <v>929</v>
      </c>
      <c r="C424">
        <v>1</v>
      </c>
      <c r="D424" t="s">
        <v>18</v>
      </c>
      <c r="E424">
        <v>5</v>
      </c>
      <c r="F424" t="s">
        <v>1911</v>
      </c>
      <c r="G424" t="s">
        <v>3554</v>
      </c>
      <c r="H424" t="s">
        <v>2039</v>
      </c>
      <c r="I424" t="s">
        <v>3555</v>
      </c>
      <c r="J424" t="s">
        <v>2040</v>
      </c>
      <c r="T424" t="s">
        <v>929</v>
      </c>
      <c r="U424" t="s">
        <v>1911</v>
      </c>
      <c r="V424" t="s">
        <v>2039</v>
      </c>
      <c r="W424" t="s">
        <v>2040</v>
      </c>
      <c r="X424" s="1278"/>
    </row>
    <row r="425" spans="1:24">
      <c r="B425" t="s">
        <v>4249</v>
      </c>
      <c r="T425" t="s">
        <v>4249</v>
      </c>
      <c r="U425" t="s">
        <v>4288</v>
      </c>
      <c r="V425" t="s">
        <v>4288</v>
      </c>
      <c r="W425" t="s">
        <v>4288</v>
      </c>
      <c r="X425" s="1278"/>
    </row>
    <row r="426" spans="1:24">
      <c r="B426" t="s">
        <v>4250</v>
      </c>
      <c r="T426" t="s">
        <v>4250</v>
      </c>
      <c r="U426" t="s">
        <v>4288</v>
      </c>
      <c r="V426" t="s">
        <v>4288</v>
      </c>
      <c r="W426" t="s">
        <v>4288</v>
      </c>
      <c r="X426" s="1278"/>
    </row>
    <row r="427" spans="1:24">
      <c r="B427" t="s">
        <v>4251</v>
      </c>
      <c r="T427" t="s">
        <v>4251</v>
      </c>
      <c r="U427" t="s">
        <v>4288</v>
      </c>
      <c r="V427" t="s">
        <v>4288</v>
      </c>
      <c r="W427" t="s">
        <v>4288</v>
      </c>
      <c r="X427" s="1278"/>
    </row>
    <row r="428" spans="1:24">
      <c r="B428" t="s">
        <v>4252</v>
      </c>
      <c r="T428" t="s">
        <v>4252</v>
      </c>
      <c r="U428" t="s">
        <v>4288</v>
      </c>
      <c r="V428" t="s">
        <v>4288</v>
      </c>
      <c r="W428" t="s">
        <v>4288</v>
      </c>
      <c r="X428" s="1278"/>
    </row>
    <row r="429" spans="1:24">
      <c r="A429">
        <v>227</v>
      </c>
      <c r="B429" t="s">
        <v>930</v>
      </c>
      <c r="C429">
        <v>1</v>
      </c>
      <c r="D429" t="s">
        <v>18</v>
      </c>
      <c r="E429">
        <v>3</v>
      </c>
      <c r="F429" t="s">
        <v>19</v>
      </c>
      <c r="G429" t="s">
        <v>3465</v>
      </c>
      <c r="H429" t="s">
        <v>2046</v>
      </c>
      <c r="I429" t="s">
        <v>3967</v>
      </c>
      <c r="J429" t="s">
        <v>2047</v>
      </c>
      <c r="T429" t="s">
        <v>930</v>
      </c>
      <c r="U429" t="s">
        <v>19</v>
      </c>
      <c r="V429" t="s">
        <v>2046</v>
      </c>
      <c r="W429" t="s">
        <v>2047</v>
      </c>
      <c r="X429" s="1278"/>
    </row>
    <row r="430" spans="1:24">
      <c r="A430">
        <v>227</v>
      </c>
      <c r="B430" t="s">
        <v>930</v>
      </c>
      <c r="C430">
        <v>1</v>
      </c>
      <c r="D430" t="s">
        <v>18</v>
      </c>
      <c r="E430">
        <v>4</v>
      </c>
      <c r="F430" t="s">
        <v>1911</v>
      </c>
      <c r="G430" t="s">
        <v>3465</v>
      </c>
      <c r="H430" t="s">
        <v>2046</v>
      </c>
      <c r="I430" t="s">
        <v>4050</v>
      </c>
      <c r="J430" t="s">
        <v>2048</v>
      </c>
      <c r="T430" t="s">
        <v>930</v>
      </c>
      <c r="U430" t="s">
        <v>1911</v>
      </c>
      <c r="V430" t="s">
        <v>2046</v>
      </c>
      <c r="W430" t="s">
        <v>2048</v>
      </c>
      <c r="X430" s="1278"/>
    </row>
    <row r="431" spans="1:24">
      <c r="A431">
        <v>227</v>
      </c>
      <c r="B431" t="s">
        <v>930</v>
      </c>
      <c r="C431">
        <v>1</v>
      </c>
      <c r="D431" t="s">
        <v>18</v>
      </c>
      <c r="E431">
        <v>2</v>
      </c>
      <c r="F431" t="s">
        <v>688</v>
      </c>
      <c r="G431" t="s">
        <v>3465</v>
      </c>
      <c r="H431" t="s">
        <v>2046</v>
      </c>
      <c r="I431" t="s">
        <v>3466</v>
      </c>
      <c r="J431" t="s">
        <v>3467</v>
      </c>
      <c r="T431" t="s">
        <v>930</v>
      </c>
      <c r="U431" t="s">
        <v>688</v>
      </c>
      <c r="V431" t="s">
        <v>2046</v>
      </c>
      <c r="W431" t="s">
        <v>3467</v>
      </c>
      <c r="X431" s="1278"/>
    </row>
    <row r="432" spans="1:24">
      <c r="A432">
        <v>38</v>
      </c>
      <c r="B432" t="s">
        <v>931</v>
      </c>
      <c r="C432">
        <v>1</v>
      </c>
      <c r="D432" t="s">
        <v>18</v>
      </c>
      <c r="E432">
        <v>1</v>
      </c>
      <c r="F432" t="s">
        <v>690</v>
      </c>
      <c r="G432" t="s">
        <v>3449</v>
      </c>
      <c r="H432" t="s">
        <v>1946</v>
      </c>
      <c r="I432" t="s">
        <v>3501</v>
      </c>
      <c r="J432" t="s">
        <v>2030</v>
      </c>
      <c r="T432" t="s">
        <v>931</v>
      </c>
      <c r="U432" t="s">
        <v>690</v>
      </c>
      <c r="V432" t="s">
        <v>1946</v>
      </c>
      <c r="W432" t="s">
        <v>2030</v>
      </c>
      <c r="X432" s="1278"/>
    </row>
    <row r="433" spans="1:24">
      <c r="A433">
        <v>38</v>
      </c>
      <c r="B433" t="s">
        <v>931</v>
      </c>
      <c r="C433">
        <v>1</v>
      </c>
      <c r="D433" t="s">
        <v>18</v>
      </c>
      <c r="E433">
        <v>3</v>
      </c>
      <c r="F433" t="s">
        <v>19</v>
      </c>
      <c r="G433" t="s">
        <v>3449</v>
      </c>
      <c r="H433" t="s">
        <v>1946</v>
      </c>
      <c r="I433" t="s">
        <v>3502</v>
      </c>
      <c r="J433" t="s">
        <v>2029</v>
      </c>
      <c r="T433" t="s">
        <v>931</v>
      </c>
      <c r="U433" t="s">
        <v>19</v>
      </c>
      <c r="V433" t="s">
        <v>1946</v>
      </c>
      <c r="W433" t="s">
        <v>2029</v>
      </c>
      <c r="X433" s="1278"/>
    </row>
    <row r="434" spans="1:24">
      <c r="A434">
        <v>38</v>
      </c>
      <c r="B434" t="s">
        <v>931</v>
      </c>
      <c r="C434">
        <v>1</v>
      </c>
      <c r="D434" t="s">
        <v>18</v>
      </c>
      <c r="E434">
        <v>2</v>
      </c>
      <c r="F434" t="s">
        <v>688</v>
      </c>
      <c r="G434" t="s">
        <v>3503</v>
      </c>
      <c r="H434" t="s">
        <v>2369</v>
      </c>
      <c r="I434" t="s">
        <v>3504</v>
      </c>
      <c r="J434" t="s">
        <v>2028</v>
      </c>
      <c r="T434" t="s">
        <v>931</v>
      </c>
      <c r="U434" t="s">
        <v>688</v>
      </c>
      <c r="V434" t="s">
        <v>2369</v>
      </c>
      <c r="W434" t="s">
        <v>2028</v>
      </c>
      <c r="X434" s="1278"/>
    </row>
    <row r="435" spans="1:24">
      <c r="A435">
        <v>62</v>
      </c>
      <c r="B435" t="s">
        <v>932</v>
      </c>
      <c r="C435">
        <v>1</v>
      </c>
      <c r="D435" t="s">
        <v>18</v>
      </c>
      <c r="E435">
        <v>4</v>
      </c>
      <c r="F435" t="s">
        <v>1911</v>
      </c>
      <c r="G435" t="s">
        <v>3743</v>
      </c>
      <c r="H435" t="s">
        <v>1931</v>
      </c>
      <c r="I435" t="s">
        <v>3744</v>
      </c>
      <c r="J435" t="s">
        <v>1932</v>
      </c>
      <c r="T435" t="s">
        <v>932</v>
      </c>
      <c r="U435" t="s">
        <v>1911</v>
      </c>
      <c r="V435" t="s">
        <v>1931</v>
      </c>
      <c r="W435" t="s">
        <v>1932</v>
      </c>
      <c r="X435" s="1278"/>
    </row>
    <row r="436" spans="1:24">
      <c r="A436">
        <v>62</v>
      </c>
      <c r="B436" t="s">
        <v>932</v>
      </c>
      <c r="C436">
        <v>1</v>
      </c>
      <c r="D436" t="s">
        <v>18</v>
      </c>
      <c r="E436">
        <v>4</v>
      </c>
      <c r="F436" t="s">
        <v>1911</v>
      </c>
      <c r="G436" t="s">
        <v>3458</v>
      </c>
      <c r="H436" t="s">
        <v>1929</v>
      </c>
      <c r="I436" t="s">
        <v>3459</v>
      </c>
      <c r="J436" t="s">
        <v>1930</v>
      </c>
      <c r="T436" t="s">
        <v>932</v>
      </c>
      <c r="U436" t="s">
        <v>1911</v>
      </c>
      <c r="V436" t="s">
        <v>1929</v>
      </c>
      <c r="W436" t="s">
        <v>1930</v>
      </c>
      <c r="X436" s="1278"/>
    </row>
    <row r="437" spans="1:24">
      <c r="A437">
        <v>62</v>
      </c>
      <c r="B437" t="s">
        <v>932</v>
      </c>
      <c r="C437">
        <v>1</v>
      </c>
      <c r="D437" t="s">
        <v>18</v>
      </c>
      <c r="E437">
        <v>4</v>
      </c>
      <c r="F437" t="s">
        <v>1911</v>
      </c>
      <c r="G437" t="s">
        <v>3745</v>
      </c>
      <c r="H437" t="s">
        <v>1927</v>
      </c>
      <c r="I437" t="s">
        <v>3746</v>
      </c>
      <c r="J437" t="s">
        <v>1928</v>
      </c>
      <c r="T437" t="s">
        <v>932</v>
      </c>
      <c r="U437" t="s">
        <v>1911</v>
      </c>
      <c r="V437" t="s">
        <v>1927</v>
      </c>
      <c r="W437" t="s">
        <v>1928</v>
      </c>
      <c r="X437" s="1278"/>
    </row>
    <row r="438" spans="1:24">
      <c r="A438">
        <v>62</v>
      </c>
      <c r="B438" t="s">
        <v>932</v>
      </c>
      <c r="C438">
        <v>1</v>
      </c>
      <c r="D438" t="s">
        <v>18</v>
      </c>
      <c r="E438">
        <v>4</v>
      </c>
      <c r="F438" t="s">
        <v>1911</v>
      </c>
      <c r="G438" t="s">
        <v>3739</v>
      </c>
      <c r="H438" t="s">
        <v>1925</v>
      </c>
      <c r="I438" t="s">
        <v>3740</v>
      </c>
      <c r="J438" t="s">
        <v>1926</v>
      </c>
      <c r="T438" t="s">
        <v>932</v>
      </c>
      <c r="U438" t="s">
        <v>1911</v>
      </c>
      <c r="V438" t="s">
        <v>1925</v>
      </c>
      <c r="W438" t="s">
        <v>1926</v>
      </c>
      <c r="X438" s="1278"/>
    </row>
    <row r="439" spans="1:24">
      <c r="A439">
        <v>62</v>
      </c>
      <c r="B439" t="s">
        <v>932</v>
      </c>
      <c r="C439">
        <v>1</v>
      </c>
      <c r="D439" t="s">
        <v>18</v>
      </c>
      <c r="E439">
        <v>4</v>
      </c>
      <c r="F439" t="s">
        <v>1911</v>
      </c>
      <c r="G439" t="s">
        <v>3747</v>
      </c>
      <c r="H439" t="s">
        <v>1921</v>
      </c>
      <c r="I439" t="s">
        <v>3748</v>
      </c>
      <c r="J439" t="s">
        <v>1922</v>
      </c>
      <c r="T439" t="s">
        <v>932</v>
      </c>
      <c r="U439" t="s">
        <v>1911</v>
      </c>
      <c r="V439" t="s">
        <v>1921</v>
      </c>
      <c r="W439" t="s">
        <v>1922</v>
      </c>
      <c r="X439" s="1278"/>
    </row>
    <row r="440" spans="1:24">
      <c r="A440">
        <v>62</v>
      </c>
      <c r="B440" t="s">
        <v>932</v>
      </c>
      <c r="C440">
        <v>1</v>
      </c>
      <c r="D440" t="s">
        <v>18</v>
      </c>
      <c r="E440">
        <v>4</v>
      </c>
      <c r="F440" t="s">
        <v>1911</v>
      </c>
      <c r="G440" t="s">
        <v>3741</v>
      </c>
      <c r="H440" t="s">
        <v>1923</v>
      </c>
      <c r="I440" t="s">
        <v>3742</v>
      </c>
      <c r="J440" t="s">
        <v>1924</v>
      </c>
      <c r="T440" t="s">
        <v>932</v>
      </c>
      <c r="U440" t="s">
        <v>1911</v>
      </c>
      <c r="V440" t="s">
        <v>1923</v>
      </c>
      <c r="W440" t="s">
        <v>1924</v>
      </c>
      <c r="X440" s="1278"/>
    </row>
    <row r="441" spans="1:24">
      <c r="A441">
        <v>62</v>
      </c>
      <c r="B441" t="s">
        <v>932</v>
      </c>
      <c r="C441">
        <v>1</v>
      </c>
      <c r="D441" t="s">
        <v>18</v>
      </c>
      <c r="E441">
        <v>4</v>
      </c>
      <c r="F441" t="s">
        <v>1911</v>
      </c>
      <c r="G441" t="s">
        <v>3737</v>
      </c>
      <c r="H441" t="s">
        <v>1919</v>
      </c>
      <c r="I441" t="s">
        <v>3738</v>
      </c>
      <c r="J441" t="s">
        <v>1920</v>
      </c>
      <c r="T441" t="s">
        <v>932</v>
      </c>
      <c r="U441" t="s">
        <v>1911</v>
      </c>
      <c r="V441" t="s">
        <v>1919</v>
      </c>
      <c r="W441" t="s">
        <v>1920</v>
      </c>
      <c r="X441" s="1278"/>
    </row>
    <row r="442" spans="1:24">
      <c r="A442">
        <v>247</v>
      </c>
      <c r="B442" t="s">
        <v>933</v>
      </c>
      <c r="C442">
        <v>1</v>
      </c>
      <c r="D442" t="s">
        <v>18</v>
      </c>
      <c r="E442">
        <v>1</v>
      </c>
      <c r="F442" t="s">
        <v>690</v>
      </c>
      <c r="G442" t="s">
        <v>3626</v>
      </c>
      <c r="H442" t="s">
        <v>1905</v>
      </c>
      <c r="I442" t="s">
        <v>3627</v>
      </c>
      <c r="J442" t="s">
        <v>2024</v>
      </c>
      <c r="T442" t="s">
        <v>933</v>
      </c>
      <c r="U442" t="s">
        <v>690</v>
      </c>
      <c r="V442" t="s">
        <v>1905</v>
      </c>
      <c r="W442" t="s">
        <v>2024</v>
      </c>
      <c r="X442" s="1278"/>
    </row>
    <row r="443" spans="1:24">
      <c r="A443">
        <v>247</v>
      </c>
      <c r="B443" t="s">
        <v>933</v>
      </c>
      <c r="C443">
        <v>1</v>
      </c>
      <c r="D443" t="s">
        <v>18</v>
      </c>
      <c r="E443">
        <v>3</v>
      </c>
      <c r="F443" t="s">
        <v>19</v>
      </c>
      <c r="G443" t="s">
        <v>3556</v>
      </c>
      <c r="H443" t="s">
        <v>1974</v>
      </c>
      <c r="I443" t="s">
        <v>3625</v>
      </c>
      <c r="J443" t="s">
        <v>2023</v>
      </c>
      <c r="T443" t="s">
        <v>933</v>
      </c>
      <c r="U443" t="s">
        <v>19</v>
      </c>
      <c r="V443" t="s">
        <v>1974</v>
      </c>
      <c r="W443" t="s">
        <v>2023</v>
      </c>
      <c r="X443" s="1278"/>
    </row>
    <row r="444" spans="1:24">
      <c r="A444">
        <v>247</v>
      </c>
      <c r="B444" t="s">
        <v>933</v>
      </c>
      <c r="C444">
        <v>1</v>
      </c>
      <c r="D444" t="s">
        <v>18</v>
      </c>
      <c r="E444">
        <v>4</v>
      </c>
      <c r="F444" t="s">
        <v>1911</v>
      </c>
      <c r="G444" t="s">
        <v>3626</v>
      </c>
      <c r="H444" t="s">
        <v>1905</v>
      </c>
      <c r="I444" t="s">
        <v>4161</v>
      </c>
      <c r="J444" t="s">
        <v>4162</v>
      </c>
      <c r="T444" t="s">
        <v>933</v>
      </c>
      <c r="U444" t="s">
        <v>1911</v>
      </c>
      <c r="V444" t="s">
        <v>1905</v>
      </c>
      <c r="W444" t="s">
        <v>4162</v>
      </c>
      <c r="X444" s="1278"/>
    </row>
    <row r="445" spans="1:24">
      <c r="A445">
        <v>247</v>
      </c>
      <c r="B445" t="s">
        <v>933</v>
      </c>
      <c r="C445">
        <v>1</v>
      </c>
      <c r="D445" t="s">
        <v>18</v>
      </c>
      <c r="E445">
        <v>2</v>
      </c>
      <c r="F445" t="s">
        <v>688</v>
      </c>
      <c r="G445" t="s">
        <v>3626</v>
      </c>
      <c r="H445" t="s">
        <v>1905</v>
      </c>
      <c r="I445" t="s">
        <v>3628</v>
      </c>
      <c r="J445" t="s">
        <v>2022</v>
      </c>
      <c r="T445" t="s">
        <v>933</v>
      </c>
      <c r="U445" t="s">
        <v>688</v>
      </c>
      <c r="V445" t="s">
        <v>1905</v>
      </c>
      <c r="W445" t="s">
        <v>2022</v>
      </c>
      <c r="X445" s="1278"/>
    </row>
    <row r="446" spans="1:24">
      <c r="B446" t="s">
        <v>4253</v>
      </c>
      <c r="T446" t="s">
        <v>4253</v>
      </c>
      <c r="U446" t="s">
        <v>4288</v>
      </c>
      <c r="V446" t="s">
        <v>4288</v>
      </c>
      <c r="W446" t="s">
        <v>4288</v>
      </c>
      <c r="X446" s="1278"/>
    </row>
    <row r="447" spans="1:24">
      <c r="A447">
        <v>159</v>
      </c>
      <c r="B447" t="s">
        <v>934</v>
      </c>
      <c r="C447">
        <v>1</v>
      </c>
      <c r="D447" t="s">
        <v>18</v>
      </c>
      <c r="E447">
        <v>1</v>
      </c>
      <c r="F447" t="s">
        <v>690</v>
      </c>
      <c r="G447" t="s">
        <v>3940</v>
      </c>
      <c r="H447" t="s">
        <v>3941</v>
      </c>
      <c r="I447" t="s">
        <v>3942</v>
      </c>
      <c r="J447" t="s">
        <v>2221</v>
      </c>
      <c r="T447" t="s">
        <v>934</v>
      </c>
      <c r="U447" t="s">
        <v>690</v>
      </c>
      <c r="V447" t="s">
        <v>3941</v>
      </c>
      <c r="W447" t="s">
        <v>2221</v>
      </c>
      <c r="X447" s="1278"/>
    </row>
    <row r="448" spans="1:24">
      <c r="A448">
        <v>159</v>
      </c>
      <c r="B448" t="s">
        <v>934</v>
      </c>
      <c r="C448">
        <v>1</v>
      </c>
      <c r="D448" t="s">
        <v>18</v>
      </c>
      <c r="E448">
        <v>1</v>
      </c>
      <c r="F448" t="s">
        <v>690</v>
      </c>
      <c r="G448" t="s">
        <v>3938</v>
      </c>
      <c r="H448" t="s">
        <v>2222</v>
      </c>
      <c r="I448" t="s">
        <v>3939</v>
      </c>
      <c r="J448" t="s">
        <v>2223</v>
      </c>
      <c r="T448" t="s">
        <v>934</v>
      </c>
      <c r="U448" t="s">
        <v>690</v>
      </c>
      <c r="V448" t="s">
        <v>2222</v>
      </c>
      <c r="W448" t="s">
        <v>2223</v>
      </c>
      <c r="X448" s="1278"/>
    </row>
    <row r="449" spans="1:24">
      <c r="A449">
        <v>159</v>
      </c>
      <c r="B449" t="s">
        <v>934</v>
      </c>
      <c r="C449">
        <v>1</v>
      </c>
      <c r="D449" t="s">
        <v>18</v>
      </c>
      <c r="E449">
        <v>3</v>
      </c>
      <c r="F449" t="s">
        <v>19</v>
      </c>
      <c r="G449" t="s">
        <v>3940</v>
      </c>
      <c r="H449" t="s">
        <v>3941</v>
      </c>
      <c r="I449" t="s">
        <v>3944</v>
      </c>
      <c r="J449" t="s">
        <v>2220</v>
      </c>
      <c r="T449" t="s">
        <v>934</v>
      </c>
      <c r="U449" t="s">
        <v>19</v>
      </c>
      <c r="V449" t="s">
        <v>3941</v>
      </c>
      <c r="W449" t="s">
        <v>2220</v>
      </c>
      <c r="X449" s="1278"/>
    </row>
    <row r="450" spans="1:24">
      <c r="A450">
        <v>159</v>
      </c>
      <c r="B450" t="s">
        <v>934</v>
      </c>
      <c r="C450">
        <v>1</v>
      </c>
      <c r="D450" t="s">
        <v>18</v>
      </c>
      <c r="E450">
        <v>2</v>
      </c>
      <c r="F450" t="s">
        <v>688</v>
      </c>
      <c r="G450" t="s">
        <v>3940</v>
      </c>
      <c r="H450" t="s">
        <v>3941</v>
      </c>
      <c r="I450" t="s">
        <v>3943</v>
      </c>
      <c r="J450" t="s">
        <v>2219</v>
      </c>
      <c r="T450" t="s">
        <v>934</v>
      </c>
      <c r="U450" t="s">
        <v>688</v>
      </c>
      <c r="V450" t="s">
        <v>3941</v>
      </c>
      <c r="W450" t="s">
        <v>2219</v>
      </c>
      <c r="X450" s="1278"/>
    </row>
    <row r="451" spans="1:24">
      <c r="A451">
        <v>56</v>
      </c>
      <c r="B451" t="s">
        <v>935</v>
      </c>
      <c r="C451">
        <v>1</v>
      </c>
      <c r="D451" t="s">
        <v>18</v>
      </c>
      <c r="E451">
        <v>1</v>
      </c>
      <c r="F451" t="s">
        <v>690</v>
      </c>
      <c r="G451" t="s">
        <v>3526</v>
      </c>
      <c r="H451" t="s">
        <v>1905</v>
      </c>
      <c r="I451" t="s">
        <v>3528</v>
      </c>
      <c r="J451" t="s">
        <v>2060</v>
      </c>
      <c r="T451" t="s">
        <v>935</v>
      </c>
      <c r="U451" t="s">
        <v>690</v>
      </c>
      <c r="V451" t="s">
        <v>1905</v>
      </c>
      <c r="W451" t="s">
        <v>2060</v>
      </c>
      <c r="X451" s="1278"/>
    </row>
    <row r="452" spans="1:24">
      <c r="A452">
        <v>56</v>
      </c>
      <c r="B452" t="s">
        <v>935</v>
      </c>
      <c r="C452">
        <v>1</v>
      </c>
      <c r="D452" t="s">
        <v>18</v>
      </c>
      <c r="E452">
        <v>1</v>
      </c>
      <c r="F452" t="s">
        <v>690</v>
      </c>
      <c r="G452" t="s">
        <v>3526</v>
      </c>
      <c r="H452" t="s">
        <v>1905</v>
      </c>
      <c r="I452" t="s">
        <v>4035</v>
      </c>
      <c r="J452" t="s">
        <v>2020</v>
      </c>
      <c r="T452" t="s">
        <v>935</v>
      </c>
      <c r="U452" t="s">
        <v>690</v>
      </c>
      <c r="V452" t="s">
        <v>1905</v>
      </c>
      <c r="W452" t="s">
        <v>2020</v>
      </c>
      <c r="X452" s="1278"/>
    </row>
    <row r="453" spans="1:24">
      <c r="A453">
        <v>56</v>
      </c>
      <c r="B453" t="s">
        <v>935</v>
      </c>
      <c r="C453">
        <v>1</v>
      </c>
      <c r="D453" t="s">
        <v>18</v>
      </c>
      <c r="E453">
        <v>3</v>
      </c>
      <c r="F453" t="s">
        <v>19</v>
      </c>
      <c r="G453" t="s">
        <v>3531</v>
      </c>
      <c r="H453" t="s">
        <v>2056</v>
      </c>
      <c r="I453" t="s">
        <v>4082</v>
      </c>
      <c r="J453" t="s">
        <v>2059</v>
      </c>
      <c r="T453" t="s">
        <v>935</v>
      </c>
      <c r="U453" t="s">
        <v>19</v>
      </c>
      <c r="V453" t="s">
        <v>2056</v>
      </c>
      <c r="W453" t="s">
        <v>2059</v>
      </c>
      <c r="X453" s="1278"/>
    </row>
    <row r="454" spans="1:24">
      <c r="A454">
        <v>56</v>
      </c>
      <c r="B454" t="s">
        <v>935</v>
      </c>
      <c r="C454">
        <v>1</v>
      </c>
      <c r="D454" t="s">
        <v>18</v>
      </c>
      <c r="E454">
        <v>3</v>
      </c>
      <c r="F454" t="s">
        <v>19</v>
      </c>
      <c r="G454" t="s">
        <v>3526</v>
      </c>
      <c r="H454" t="s">
        <v>1905</v>
      </c>
      <c r="I454" t="s">
        <v>3529</v>
      </c>
      <c r="J454" t="s">
        <v>2058</v>
      </c>
      <c r="T454" t="s">
        <v>935</v>
      </c>
      <c r="U454" t="s">
        <v>19</v>
      </c>
      <c r="V454" t="s">
        <v>1905</v>
      </c>
      <c r="W454" t="s">
        <v>2058</v>
      </c>
      <c r="X454" s="1278"/>
    </row>
    <row r="455" spans="1:24">
      <c r="A455">
        <v>56</v>
      </c>
      <c r="B455" t="s">
        <v>935</v>
      </c>
      <c r="C455">
        <v>1</v>
      </c>
      <c r="D455" t="s">
        <v>18</v>
      </c>
      <c r="E455">
        <v>3</v>
      </c>
      <c r="F455" t="s">
        <v>19</v>
      </c>
      <c r="G455" t="s">
        <v>3526</v>
      </c>
      <c r="H455" t="s">
        <v>1905</v>
      </c>
      <c r="I455" t="s">
        <v>4036</v>
      </c>
      <c r="J455" t="s">
        <v>2019</v>
      </c>
      <c r="T455" t="s">
        <v>935</v>
      </c>
      <c r="U455" t="s">
        <v>19</v>
      </c>
      <c r="V455" t="s">
        <v>1905</v>
      </c>
      <c r="W455" t="s">
        <v>2019</v>
      </c>
      <c r="X455" s="1278"/>
    </row>
    <row r="456" spans="1:24">
      <c r="A456">
        <v>56</v>
      </c>
      <c r="B456" t="s">
        <v>935</v>
      </c>
      <c r="C456">
        <v>1</v>
      </c>
      <c r="D456" t="s">
        <v>18</v>
      </c>
      <c r="E456">
        <v>3</v>
      </c>
      <c r="F456" t="s">
        <v>19</v>
      </c>
      <c r="G456" t="s">
        <v>3526</v>
      </c>
      <c r="H456" t="s">
        <v>1905</v>
      </c>
      <c r="I456" t="s">
        <v>4037</v>
      </c>
      <c r="J456" t="s">
        <v>2018</v>
      </c>
      <c r="T456" t="s">
        <v>935</v>
      </c>
      <c r="U456" t="s">
        <v>19</v>
      </c>
      <c r="V456" t="s">
        <v>1905</v>
      </c>
      <c r="W456" t="s">
        <v>2018</v>
      </c>
      <c r="X456" s="1278"/>
    </row>
    <row r="457" spans="1:24">
      <c r="A457">
        <v>56</v>
      </c>
      <c r="B457" t="s">
        <v>935</v>
      </c>
      <c r="C457">
        <v>1</v>
      </c>
      <c r="D457" t="s">
        <v>18</v>
      </c>
      <c r="E457">
        <v>6</v>
      </c>
      <c r="F457" t="s">
        <v>1911</v>
      </c>
      <c r="G457" t="s">
        <v>3531</v>
      </c>
      <c r="H457" t="s">
        <v>2056</v>
      </c>
      <c r="I457" t="s">
        <v>3532</v>
      </c>
      <c r="J457" t="s">
        <v>2057</v>
      </c>
      <c r="T457" t="s">
        <v>935</v>
      </c>
      <c r="U457" t="s">
        <v>1911</v>
      </c>
      <c r="V457" t="s">
        <v>2056</v>
      </c>
      <c r="W457" t="s">
        <v>2057</v>
      </c>
      <c r="X457" s="1278"/>
    </row>
    <row r="458" spans="1:24">
      <c r="A458">
        <v>56</v>
      </c>
      <c r="B458" t="s">
        <v>935</v>
      </c>
      <c r="C458">
        <v>1</v>
      </c>
      <c r="D458" t="s">
        <v>18</v>
      </c>
      <c r="E458">
        <v>2</v>
      </c>
      <c r="F458" t="s">
        <v>688</v>
      </c>
      <c r="G458" t="s">
        <v>3526</v>
      </c>
      <c r="H458" t="s">
        <v>1905</v>
      </c>
      <c r="I458" t="s">
        <v>3527</v>
      </c>
      <c r="J458" t="s">
        <v>2017</v>
      </c>
      <c r="T458" t="s">
        <v>935</v>
      </c>
      <c r="U458" t="s">
        <v>688</v>
      </c>
      <c r="V458" t="s">
        <v>1905</v>
      </c>
      <c r="W458" t="s">
        <v>2055</v>
      </c>
      <c r="X458" s="1278"/>
    </row>
    <row r="459" spans="1:24">
      <c r="A459">
        <v>56</v>
      </c>
      <c r="B459" t="s">
        <v>935</v>
      </c>
      <c r="C459">
        <v>1</v>
      </c>
      <c r="D459" t="s">
        <v>18</v>
      </c>
      <c r="E459">
        <v>2</v>
      </c>
      <c r="F459" t="s">
        <v>688</v>
      </c>
      <c r="G459" t="s">
        <v>3526</v>
      </c>
      <c r="H459" t="s">
        <v>1905</v>
      </c>
      <c r="I459" t="s">
        <v>3530</v>
      </c>
      <c r="J459" t="s">
        <v>2055</v>
      </c>
      <c r="T459" t="s">
        <v>935</v>
      </c>
      <c r="U459" t="s">
        <v>688</v>
      </c>
      <c r="V459" t="s">
        <v>1905</v>
      </c>
      <c r="W459" t="s">
        <v>2017</v>
      </c>
      <c r="X459" s="1278"/>
    </row>
    <row r="460" spans="1:24">
      <c r="A460">
        <v>103</v>
      </c>
      <c r="B460" t="s">
        <v>936</v>
      </c>
      <c r="C460">
        <v>1</v>
      </c>
      <c r="D460" t="s">
        <v>18</v>
      </c>
      <c r="E460">
        <v>3</v>
      </c>
      <c r="F460" t="s">
        <v>19</v>
      </c>
      <c r="G460" t="s">
        <v>3865</v>
      </c>
      <c r="H460" t="s">
        <v>2014</v>
      </c>
      <c r="I460" t="s">
        <v>3866</v>
      </c>
      <c r="J460" t="s">
        <v>2015</v>
      </c>
      <c r="T460" t="s">
        <v>936</v>
      </c>
      <c r="U460" t="s">
        <v>19</v>
      </c>
      <c r="V460" t="s">
        <v>2014</v>
      </c>
      <c r="W460" t="s">
        <v>2015</v>
      </c>
      <c r="X460" s="1278"/>
    </row>
    <row r="461" spans="1:24">
      <c r="A461">
        <v>103</v>
      </c>
      <c r="B461" t="s">
        <v>936</v>
      </c>
      <c r="C461">
        <v>1</v>
      </c>
      <c r="D461" t="s">
        <v>18</v>
      </c>
      <c r="E461">
        <v>4</v>
      </c>
      <c r="F461" t="s">
        <v>1911</v>
      </c>
      <c r="G461" t="s">
        <v>3865</v>
      </c>
      <c r="H461" t="s">
        <v>2014</v>
      </c>
      <c r="I461" t="s">
        <v>3867</v>
      </c>
      <c r="J461" t="s">
        <v>2016</v>
      </c>
      <c r="T461" t="s">
        <v>936</v>
      </c>
      <c r="U461" t="s">
        <v>1911</v>
      </c>
      <c r="V461" t="s">
        <v>2014</v>
      </c>
      <c r="W461" t="s">
        <v>2016</v>
      </c>
      <c r="X461" s="1278"/>
    </row>
    <row r="462" spans="1:24">
      <c r="B462" t="s">
        <v>4254</v>
      </c>
      <c r="T462" t="s">
        <v>4254</v>
      </c>
      <c r="U462" t="s">
        <v>4288</v>
      </c>
      <c r="V462" t="s">
        <v>4288</v>
      </c>
      <c r="W462" t="s">
        <v>4288</v>
      </c>
      <c r="X462" s="1278"/>
    </row>
    <row r="463" spans="1:24">
      <c r="B463" t="s">
        <v>938</v>
      </c>
      <c r="T463" t="s">
        <v>938</v>
      </c>
      <c r="U463" t="s">
        <v>4288</v>
      </c>
      <c r="V463" t="s">
        <v>4288</v>
      </c>
      <c r="W463" t="s">
        <v>4288</v>
      </c>
      <c r="X463" s="1278"/>
    </row>
    <row r="464" spans="1:24">
      <c r="B464" t="s">
        <v>939</v>
      </c>
      <c r="T464" t="s">
        <v>939</v>
      </c>
      <c r="U464" t="s">
        <v>4288</v>
      </c>
      <c r="V464" t="s">
        <v>4288</v>
      </c>
      <c r="W464" t="s">
        <v>4288</v>
      </c>
      <c r="X464" s="1278"/>
    </row>
    <row r="465" spans="1:24">
      <c r="B465" t="s">
        <v>4255</v>
      </c>
      <c r="T465" t="s">
        <v>4255</v>
      </c>
      <c r="U465" t="s">
        <v>4288</v>
      </c>
      <c r="V465" t="s">
        <v>4288</v>
      </c>
      <c r="W465" t="s">
        <v>4288</v>
      </c>
      <c r="X465" s="1278"/>
    </row>
    <row r="466" spans="1:24">
      <c r="A466">
        <v>132</v>
      </c>
      <c r="B466" t="s">
        <v>940</v>
      </c>
      <c r="C466">
        <v>1</v>
      </c>
      <c r="D466" t="s">
        <v>18</v>
      </c>
      <c r="E466">
        <v>1</v>
      </c>
      <c r="F466" t="s">
        <v>690</v>
      </c>
      <c r="G466" t="s">
        <v>3886</v>
      </c>
      <c r="H466" t="s">
        <v>1905</v>
      </c>
      <c r="I466" t="s">
        <v>3887</v>
      </c>
      <c r="J466" t="s">
        <v>1983</v>
      </c>
      <c r="T466" t="s">
        <v>940</v>
      </c>
      <c r="U466" t="s">
        <v>690</v>
      </c>
      <c r="V466" t="s">
        <v>1905</v>
      </c>
      <c r="W466" t="s">
        <v>1983</v>
      </c>
      <c r="X466" s="1278"/>
    </row>
    <row r="467" spans="1:24">
      <c r="A467">
        <v>132</v>
      </c>
      <c r="B467" t="s">
        <v>940</v>
      </c>
      <c r="C467">
        <v>1</v>
      </c>
      <c r="D467" t="s">
        <v>18</v>
      </c>
      <c r="E467">
        <v>4</v>
      </c>
      <c r="F467" t="s">
        <v>1911</v>
      </c>
      <c r="G467" t="s">
        <v>3886</v>
      </c>
      <c r="H467" t="s">
        <v>1905</v>
      </c>
      <c r="I467" t="s">
        <v>4155</v>
      </c>
      <c r="J467" t="s">
        <v>4156</v>
      </c>
      <c r="T467" t="s">
        <v>940</v>
      </c>
      <c r="U467" t="s">
        <v>1911</v>
      </c>
      <c r="V467" t="s">
        <v>1905</v>
      </c>
      <c r="W467" t="s">
        <v>4156</v>
      </c>
      <c r="X467" s="1278"/>
    </row>
    <row r="468" spans="1:24">
      <c r="A468">
        <v>132</v>
      </c>
      <c r="B468" t="s">
        <v>940</v>
      </c>
      <c r="C468">
        <v>1</v>
      </c>
      <c r="D468" t="s">
        <v>18</v>
      </c>
      <c r="E468">
        <v>2</v>
      </c>
      <c r="F468" t="s">
        <v>688</v>
      </c>
      <c r="G468" t="s">
        <v>3884</v>
      </c>
      <c r="H468" t="s">
        <v>1981</v>
      </c>
      <c r="I468" t="s">
        <v>3885</v>
      </c>
      <c r="J468" t="s">
        <v>1982</v>
      </c>
      <c r="T468" t="s">
        <v>940</v>
      </c>
      <c r="U468" t="s">
        <v>688</v>
      </c>
      <c r="V468" t="s">
        <v>1981</v>
      </c>
      <c r="W468" t="s">
        <v>1982</v>
      </c>
    </row>
    <row r="469" spans="1:24">
      <c r="A469">
        <v>40</v>
      </c>
      <c r="B469" t="s">
        <v>941</v>
      </c>
      <c r="C469">
        <v>1</v>
      </c>
      <c r="D469" t="s">
        <v>18</v>
      </c>
      <c r="E469">
        <v>1</v>
      </c>
      <c r="F469" t="s">
        <v>690</v>
      </c>
      <c r="G469" t="s">
        <v>3679</v>
      </c>
      <c r="H469" t="s">
        <v>1961</v>
      </c>
      <c r="I469" t="s">
        <v>3680</v>
      </c>
      <c r="J469" t="s">
        <v>1964</v>
      </c>
      <c r="T469" t="s">
        <v>941</v>
      </c>
      <c r="U469" t="s">
        <v>690</v>
      </c>
      <c r="V469" t="s">
        <v>1961</v>
      </c>
      <c r="W469" t="s">
        <v>1964</v>
      </c>
    </row>
    <row r="470" spans="1:24">
      <c r="A470">
        <v>40</v>
      </c>
      <c r="B470" t="s">
        <v>941</v>
      </c>
      <c r="C470">
        <v>1</v>
      </c>
      <c r="D470" t="s">
        <v>18</v>
      </c>
      <c r="E470">
        <v>1</v>
      </c>
      <c r="F470" t="s">
        <v>690</v>
      </c>
      <c r="G470" t="s">
        <v>3556</v>
      </c>
      <c r="H470" t="s">
        <v>1974</v>
      </c>
      <c r="I470" t="s">
        <v>3682</v>
      </c>
      <c r="J470" t="s">
        <v>1975</v>
      </c>
      <c r="T470" t="s">
        <v>941</v>
      </c>
      <c r="U470" t="s">
        <v>690</v>
      </c>
      <c r="V470" t="s">
        <v>1974</v>
      </c>
      <c r="W470" t="s">
        <v>1975</v>
      </c>
    </row>
    <row r="471" spans="1:24">
      <c r="A471">
        <v>40</v>
      </c>
      <c r="B471" t="s">
        <v>941</v>
      </c>
      <c r="C471">
        <v>1</v>
      </c>
      <c r="D471" t="s">
        <v>18</v>
      </c>
      <c r="E471">
        <v>3</v>
      </c>
      <c r="F471" t="s">
        <v>19</v>
      </c>
      <c r="G471" t="s">
        <v>3679</v>
      </c>
      <c r="H471" t="s">
        <v>1961</v>
      </c>
      <c r="I471" t="s">
        <v>3683</v>
      </c>
      <c r="J471" t="s">
        <v>1963</v>
      </c>
      <c r="T471" t="s">
        <v>941</v>
      </c>
      <c r="U471" t="s">
        <v>19</v>
      </c>
      <c r="V471" t="s">
        <v>1961</v>
      </c>
      <c r="W471" t="s">
        <v>1963</v>
      </c>
    </row>
    <row r="472" spans="1:24">
      <c r="A472">
        <v>40</v>
      </c>
      <c r="B472" t="s">
        <v>941</v>
      </c>
      <c r="C472">
        <v>1</v>
      </c>
      <c r="D472" t="s">
        <v>18</v>
      </c>
      <c r="E472">
        <v>4</v>
      </c>
      <c r="F472" t="s">
        <v>1911</v>
      </c>
      <c r="G472" t="s">
        <v>4087</v>
      </c>
      <c r="H472" t="s">
        <v>1967</v>
      </c>
      <c r="I472" t="s">
        <v>4088</v>
      </c>
      <c r="J472" t="s">
        <v>1968</v>
      </c>
      <c r="T472" t="s">
        <v>941</v>
      </c>
      <c r="U472" t="s">
        <v>1911</v>
      </c>
      <c r="V472" t="s">
        <v>1967</v>
      </c>
      <c r="W472" t="s">
        <v>1968</v>
      </c>
    </row>
    <row r="473" spans="1:24">
      <c r="A473">
        <v>40</v>
      </c>
      <c r="B473" t="s">
        <v>941</v>
      </c>
      <c r="C473">
        <v>1</v>
      </c>
      <c r="D473" t="s">
        <v>18</v>
      </c>
      <c r="E473">
        <v>4</v>
      </c>
      <c r="F473" t="s">
        <v>1911</v>
      </c>
      <c r="G473" t="s">
        <v>3576</v>
      </c>
      <c r="H473" t="s">
        <v>1965</v>
      </c>
      <c r="I473" t="s">
        <v>3678</v>
      </c>
      <c r="J473" t="s">
        <v>1966</v>
      </c>
      <c r="T473" t="s">
        <v>941</v>
      </c>
      <c r="U473" t="s">
        <v>1911</v>
      </c>
      <c r="V473" t="s">
        <v>1965</v>
      </c>
      <c r="W473" t="s">
        <v>1966</v>
      </c>
    </row>
    <row r="474" spans="1:24">
      <c r="A474">
        <v>40</v>
      </c>
      <c r="B474" t="s">
        <v>941</v>
      </c>
      <c r="C474">
        <v>1</v>
      </c>
      <c r="D474" t="s">
        <v>18</v>
      </c>
      <c r="E474">
        <v>2</v>
      </c>
      <c r="F474" t="s">
        <v>688</v>
      </c>
      <c r="G474" t="s">
        <v>3679</v>
      </c>
      <c r="H474" t="s">
        <v>1961</v>
      </c>
      <c r="I474" t="s">
        <v>3681</v>
      </c>
      <c r="J474" t="s">
        <v>1962</v>
      </c>
      <c r="T474" t="s">
        <v>941</v>
      </c>
      <c r="U474" t="s">
        <v>688</v>
      </c>
      <c r="V474" t="s">
        <v>1961</v>
      </c>
      <c r="W474" t="s">
        <v>1962</v>
      </c>
    </row>
    <row r="475" spans="1:24">
      <c r="A475">
        <v>148</v>
      </c>
      <c r="B475" t="s">
        <v>942</v>
      </c>
      <c r="C475">
        <v>1</v>
      </c>
      <c r="D475" t="s">
        <v>18</v>
      </c>
      <c r="E475">
        <v>4</v>
      </c>
      <c r="F475" t="s">
        <v>1911</v>
      </c>
      <c r="G475" t="s">
        <v>3903</v>
      </c>
      <c r="H475" t="s">
        <v>1984</v>
      </c>
      <c r="I475" t="s">
        <v>3904</v>
      </c>
      <c r="J475" t="s">
        <v>1987</v>
      </c>
      <c r="T475" t="s">
        <v>942</v>
      </c>
      <c r="U475" t="s">
        <v>1911</v>
      </c>
      <c r="V475" t="s">
        <v>1984</v>
      </c>
      <c r="W475" t="s">
        <v>1987</v>
      </c>
    </row>
    <row r="476" spans="1:24">
      <c r="A476">
        <v>148</v>
      </c>
      <c r="B476" t="s">
        <v>942</v>
      </c>
      <c r="C476">
        <v>1</v>
      </c>
      <c r="D476" t="s">
        <v>18</v>
      </c>
      <c r="E476">
        <v>4</v>
      </c>
      <c r="F476" t="s">
        <v>1911</v>
      </c>
      <c r="G476" t="s">
        <v>3905</v>
      </c>
      <c r="H476" t="s">
        <v>1985</v>
      </c>
      <c r="I476" t="s">
        <v>3906</v>
      </c>
      <c r="J476" t="s">
        <v>1986</v>
      </c>
      <c r="T476" t="s">
        <v>942</v>
      </c>
      <c r="U476" t="s">
        <v>1911</v>
      </c>
      <c r="V476" t="s">
        <v>1985</v>
      </c>
      <c r="W476" t="s">
        <v>1986</v>
      </c>
    </row>
    <row r="477" spans="1:24">
      <c r="A477">
        <v>149</v>
      </c>
      <c r="B477" t="s">
        <v>943</v>
      </c>
      <c r="C477">
        <v>1</v>
      </c>
      <c r="D477" t="s">
        <v>18</v>
      </c>
      <c r="E477">
        <v>1</v>
      </c>
      <c r="F477" t="s">
        <v>690</v>
      </c>
      <c r="G477" t="s">
        <v>3907</v>
      </c>
      <c r="H477" t="s">
        <v>1976</v>
      </c>
      <c r="I477" t="s">
        <v>3908</v>
      </c>
      <c r="J477" t="s">
        <v>1979</v>
      </c>
      <c r="T477" t="s">
        <v>943</v>
      </c>
      <c r="U477" t="s">
        <v>690</v>
      </c>
      <c r="V477" t="s">
        <v>1976</v>
      </c>
      <c r="W477" t="s">
        <v>1979</v>
      </c>
    </row>
    <row r="478" spans="1:24">
      <c r="A478">
        <v>149</v>
      </c>
      <c r="B478" t="s">
        <v>943</v>
      </c>
      <c r="C478">
        <v>1</v>
      </c>
      <c r="D478" t="s">
        <v>18</v>
      </c>
      <c r="E478">
        <v>3</v>
      </c>
      <c r="F478" t="s">
        <v>19</v>
      </c>
      <c r="G478" t="s">
        <v>3907</v>
      </c>
      <c r="H478" t="s">
        <v>1976</v>
      </c>
      <c r="I478" t="s">
        <v>3909</v>
      </c>
      <c r="J478" t="s">
        <v>1978</v>
      </c>
      <c r="T478" t="s">
        <v>943</v>
      </c>
      <c r="U478" t="s">
        <v>19</v>
      </c>
      <c r="V478" t="s">
        <v>1976</v>
      </c>
      <c r="W478" t="s">
        <v>1978</v>
      </c>
    </row>
    <row r="479" spans="1:24">
      <c r="A479">
        <v>149</v>
      </c>
      <c r="B479" t="s">
        <v>943</v>
      </c>
      <c r="C479">
        <v>1</v>
      </c>
      <c r="D479" t="s">
        <v>18</v>
      </c>
      <c r="E479">
        <v>2</v>
      </c>
      <c r="F479" t="s">
        <v>688</v>
      </c>
      <c r="G479" t="s">
        <v>3907</v>
      </c>
      <c r="H479" t="s">
        <v>1976</v>
      </c>
      <c r="I479" t="s">
        <v>3910</v>
      </c>
      <c r="J479" t="s">
        <v>1977</v>
      </c>
      <c r="T479" t="s">
        <v>943</v>
      </c>
      <c r="U479" t="s">
        <v>688</v>
      </c>
      <c r="V479" t="s">
        <v>1976</v>
      </c>
      <c r="W479" t="s">
        <v>1977</v>
      </c>
    </row>
    <row r="480" spans="1:24">
      <c r="A480">
        <v>79</v>
      </c>
      <c r="B480" t="s">
        <v>944</v>
      </c>
      <c r="C480">
        <v>2</v>
      </c>
      <c r="D480" t="s">
        <v>53</v>
      </c>
      <c r="E480">
        <v>1</v>
      </c>
      <c r="F480" t="s">
        <v>690</v>
      </c>
      <c r="G480" t="s">
        <v>3830</v>
      </c>
      <c r="H480" t="s">
        <v>1988</v>
      </c>
      <c r="I480" t="s">
        <v>3832</v>
      </c>
      <c r="J480" t="s">
        <v>1991</v>
      </c>
      <c r="T480" t="s">
        <v>944</v>
      </c>
      <c r="U480" t="s">
        <v>690</v>
      </c>
      <c r="V480" t="s">
        <v>1988</v>
      </c>
      <c r="W480" t="s">
        <v>1991</v>
      </c>
    </row>
    <row r="481" spans="1:23">
      <c r="A481">
        <v>79</v>
      </c>
      <c r="B481" t="s">
        <v>944</v>
      </c>
      <c r="C481">
        <v>2</v>
      </c>
      <c r="D481" t="s">
        <v>53</v>
      </c>
      <c r="E481">
        <v>3</v>
      </c>
      <c r="F481" t="s">
        <v>19</v>
      </c>
      <c r="G481" t="s">
        <v>3830</v>
      </c>
      <c r="H481" t="s">
        <v>1988</v>
      </c>
      <c r="I481" t="s">
        <v>3831</v>
      </c>
      <c r="J481" t="s">
        <v>1990</v>
      </c>
      <c r="T481" t="s">
        <v>944</v>
      </c>
      <c r="U481" t="s">
        <v>19</v>
      </c>
      <c r="V481" t="s">
        <v>1988</v>
      </c>
      <c r="W481" t="s">
        <v>1990</v>
      </c>
    </row>
    <row r="482" spans="1:23">
      <c r="A482">
        <v>79</v>
      </c>
      <c r="B482" t="s">
        <v>944</v>
      </c>
      <c r="C482">
        <v>2</v>
      </c>
      <c r="D482" t="s">
        <v>53</v>
      </c>
      <c r="E482">
        <v>2</v>
      </c>
      <c r="F482" t="s">
        <v>688</v>
      </c>
      <c r="G482" t="s">
        <v>3830</v>
      </c>
      <c r="H482" t="s">
        <v>1988</v>
      </c>
      <c r="I482" t="s">
        <v>3833</v>
      </c>
      <c r="J482" t="s">
        <v>1989</v>
      </c>
      <c r="T482" t="s">
        <v>944</v>
      </c>
      <c r="U482" t="s">
        <v>688</v>
      </c>
      <c r="V482" t="s">
        <v>1988</v>
      </c>
      <c r="W482" t="s">
        <v>1989</v>
      </c>
    </row>
    <row r="483" spans="1:23">
      <c r="B483" t="s">
        <v>4256</v>
      </c>
      <c r="T483" t="s">
        <v>4256</v>
      </c>
      <c r="U483" t="s">
        <v>4288</v>
      </c>
      <c r="V483" t="s">
        <v>4288</v>
      </c>
      <c r="W483" t="s">
        <v>4288</v>
      </c>
    </row>
    <row r="484" spans="1:23">
      <c r="B484" t="s">
        <v>4257</v>
      </c>
      <c r="T484" t="s">
        <v>4257</v>
      </c>
      <c r="U484" t="s">
        <v>4288</v>
      </c>
      <c r="V484" t="s">
        <v>4288</v>
      </c>
      <c r="W484" t="s">
        <v>4288</v>
      </c>
    </row>
    <row r="485" spans="1:23">
      <c r="B485" t="s">
        <v>4258</v>
      </c>
      <c r="T485" t="s">
        <v>4258</v>
      </c>
      <c r="U485" t="s">
        <v>4288</v>
      </c>
      <c r="V485" t="s">
        <v>4288</v>
      </c>
      <c r="W485" t="s">
        <v>4288</v>
      </c>
    </row>
    <row r="486" spans="1:23">
      <c r="A486">
        <v>57</v>
      </c>
      <c r="B486" t="s">
        <v>945</v>
      </c>
      <c r="C486">
        <v>1</v>
      </c>
      <c r="D486" t="s">
        <v>18</v>
      </c>
      <c r="E486">
        <v>1</v>
      </c>
      <c r="F486" t="s">
        <v>690</v>
      </c>
      <c r="G486" t="s">
        <v>3721</v>
      </c>
      <c r="H486" t="s">
        <v>1969</v>
      </c>
      <c r="I486" t="s">
        <v>3722</v>
      </c>
      <c r="J486" t="s">
        <v>1970</v>
      </c>
      <c r="T486" t="s">
        <v>945</v>
      </c>
      <c r="U486" t="s">
        <v>690</v>
      </c>
      <c r="V486" t="s">
        <v>1969</v>
      </c>
      <c r="W486" t="s">
        <v>1973</v>
      </c>
    </row>
    <row r="487" spans="1:23">
      <c r="A487">
        <v>57</v>
      </c>
      <c r="B487" t="s">
        <v>945</v>
      </c>
      <c r="C487">
        <v>1</v>
      </c>
      <c r="D487" t="s">
        <v>18</v>
      </c>
      <c r="E487">
        <v>1</v>
      </c>
      <c r="F487" t="s">
        <v>690</v>
      </c>
      <c r="G487" t="s">
        <v>3721</v>
      </c>
      <c r="H487" t="s">
        <v>1969</v>
      </c>
      <c r="I487" t="s">
        <v>3723</v>
      </c>
      <c r="J487" t="s">
        <v>1973</v>
      </c>
      <c r="T487" t="s">
        <v>945</v>
      </c>
      <c r="U487" t="s">
        <v>690</v>
      </c>
      <c r="V487" t="s">
        <v>1969</v>
      </c>
      <c r="W487" t="s">
        <v>1970</v>
      </c>
    </row>
    <row r="488" spans="1:23">
      <c r="A488">
        <v>57</v>
      </c>
      <c r="B488" t="s">
        <v>945</v>
      </c>
      <c r="C488">
        <v>1</v>
      </c>
      <c r="D488" t="s">
        <v>18</v>
      </c>
      <c r="E488">
        <v>2</v>
      </c>
      <c r="F488" t="s">
        <v>688</v>
      </c>
      <c r="G488" t="s">
        <v>3724</v>
      </c>
      <c r="H488" t="s">
        <v>1971</v>
      </c>
      <c r="I488" t="s">
        <v>3725</v>
      </c>
      <c r="J488" t="s">
        <v>1972</v>
      </c>
      <c r="T488" t="s">
        <v>945</v>
      </c>
      <c r="U488" t="s">
        <v>688</v>
      </c>
      <c r="V488" t="s">
        <v>1971</v>
      </c>
      <c r="W488" t="s">
        <v>1972</v>
      </c>
    </row>
    <row r="489" spans="1:23">
      <c r="B489" t="s">
        <v>946</v>
      </c>
      <c r="T489" t="s">
        <v>946</v>
      </c>
      <c r="U489" t="s">
        <v>4288</v>
      </c>
      <c r="V489" t="s">
        <v>4288</v>
      </c>
      <c r="W489" t="s">
        <v>4288</v>
      </c>
    </row>
    <row r="490" spans="1:23">
      <c r="A490">
        <v>133</v>
      </c>
      <c r="B490" t="s">
        <v>947</v>
      </c>
      <c r="C490">
        <v>1</v>
      </c>
      <c r="D490" t="s">
        <v>18</v>
      </c>
      <c r="E490">
        <v>2</v>
      </c>
      <c r="F490" t="s">
        <v>688</v>
      </c>
      <c r="G490" t="s">
        <v>3888</v>
      </c>
      <c r="H490" t="s">
        <v>1905</v>
      </c>
      <c r="I490" t="s">
        <v>3889</v>
      </c>
      <c r="J490" t="s">
        <v>1980</v>
      </c>
      <c r="T490" t="s">
        <v>947</v>
      </c>
      <c r="U490" t="s">
        <v>688</v>
      </c>
      <c r="V490" t="s">
        <v>1905</v>
      </c>
      <c r="W490" t="s">
        <v>1980</v>
      </c>
    </row>
    <row r="491" spans="1:23">
      <c r="B491" t="s">
        <v>4259</v>
      </c>
      <c r="T491" t="s">
        <v>4259</v>
      </c>
      <c r="U491" t="s">
        <v>4288</v>
      </c>
      <c r="V491" t="s">
        <v>4288</v>
      </c>
      <c r="W491" t="s">
        <v>4288</v>
      </c>
    </row>
    <row r="492" spans="1:23">
      <c r="A492">
        <v>39</v>
      </c>
      <c r="B492" t="s">
        <v>948</v>
      </c>
      <c r="C492">
        <v>1</v>
      </c>
      <c r="D492" t="s">
        <v>18</v>
      </c>
      <c r="E492">
        <v>1</v>
      </c>
      <c r="F492" t="s">
        <v>690</v>
      </c>
      <c r="G492" t="s">
        <v>3505</v>
      </c>
      <c r="H492" t="s">
        <v>1953</v>
      </c>
      <c r="I492" t="s">
        <v>3510</v>
      </c>
      <c r="J492" t="s">
        <v>1959</v>
      </c>
      <c r="T492" t="s">
        <v>948</v>
      </c>
      <c r="U492" t="s">
        <v>690</v>
      </c>
      <c r="V492" t="s">
        <v>1953</v>
      </c>
      <c r="W492" t="s">
        <v>1959</v>
      </c>
    </row>
    <row r="493" spans="1:23">
      <c r="A493">
        <v>39</v>
      </c>
      <c r="B493" t="s">
        <v>948</v>
      </c>
      <c r="C493">
        <v>1</v>
      </c>
      <c r="D493" t="s">
        <v>18</v>
      </c>
      <c r="E493">
        <v>3</v>
      </c>
      <c r="F493" t="s">
        <v>19</v>
      </c>
      <c r="G493" t="s">
        <v>3505</v>
      </c>
      <c r="H493" t="s">
        <v>1953</v>
      </c>
      <c r="I493" t="s">
        <v>3507</v>
      </c>
      <c r="J493" t="s">
        <v>1958</v>
      </c>
      <c r="T493" t="s">
        <v>948</v>
      </c>
      <c r="U493" t="s">
        <v>19</v>
      </c>
      <c r="V493" t="s">
        <v>1953</v>
      </c>
      <c r="W493" t="s">
        <v>1958</v>
      </c>
    </row>
    <row r="494" spans="1:23">
      <c r="A494">
        <v>39</v>
      </c>
      <c r="B494" t="s">
        <v>948</v>
      </c>
      <c r="C494">
        <v>1</v>
      </c>
      <c r="D494" t="s">
        <v>18</v>
      </c>
      <c r="E494">
        <v>3</v>
      </c>
      <c r="F494" t="s">
        <v>19</v>
      </c>
      <c r="G494" t="s">
        <v>3508</v>
      </c>
      <c r="H494" t="s">
        <v>1955</v>
      </c>
      <c r="I494" t="s">
        <v>3509</v>
      </c>
      <c r="J494" t="s">
        <v>1957</v>
      </c>
      <c r="T494" t="s">
        <v>948</v>
      </c>
      <c r="U494" t="s">
        <v>19</v>
      </c>
      <c r="V494" t="s">
        <v>1955</v>
      </c>
      <c r="W494" t="s">
        <v>1957</v>
      </c>
    </row>
    <row r="495" spans="1:23">
      <c r="A495">
        <v>39</v>
      </c>
      <c r="B495" t="s">
        <v>948</v>
      </c>
      <c r="C495">
        <v>1</v>
      </c>
      <c r="D495" t="s">
        <v>18</v>
      </c>
      <c r="E495">
        <v>4</v>
      </c>
      <c r="F495" t="s">
        <v>1911</v>
      </c>
      <c r="G495" t="s">
        <v>3508</v>
      </c>
      <c r="H495" t="s">
        <v>1955</v>
      </c>
      <c r="I495" t="s">
        <v>3511</v>
      </c>
      <c r="J495" t="s">
        <v>1960</v>
      </c>
      <c r="T495" t="s">
        <v>948</v>
      </c>
      <c r="U495" t="s">
        <v>1911</v>
      </c>
      <c r="V495" t="s">
        <v>1955</v>
      </c>
      <c r="W495" t="s">
        <v>1960</v>
      </c>
    </row>
    <row r="496" spans="1:23">
      <c r="A496">
        <v>39</v>
      </c>
      <c r="B496" t="s">
        <v>948</v>
      </c>
      <c r="C496">
        <v>1</v>
      </c>
      <c r="D496" t="s">
        <v>18</v>
      </c>
      <c r="E496">
        <v>6</v>
      </c>
      <c r="F496" t="s">
        <v>1911</v>
      </c>
      <c r="G496" t="s">
        <v>3508</v>
      </c>
      <c r="H496" t="s">
        <v>1955</v>
      </c>
      <c r="I496" t="s">
        <v>3512</v>
      </c>
      <c r="J496" t="s">
        <v>1956</v>
      </c>
      <c r="T496" t="s">
        <v>948</v>
      </c>
      <c r="U496" t="s">
        <v>1911</v>
      </c>
      <c r="V496" t="s">
        <v>1955</v>
      </c>
      <c r="W496" t="s">
        <v>1956</v>
      </c>
    </row>
    <row r="497" spans="1:23">
      <c r="A497">
        <v>39</v>
      </c>
      <c r="B497" t="s">
        <v>948</v>
      </c>
      <c r="C497">
        <v>1</v>
      </c>
      <c r="D497" t="s">
        <v>18</v>
      </c>
      <c r="E497">
        <v>2</v>
      </c>
      <c r="F497" t="s">
        <v>688</v>
      </c>
      <c r="G497" t="s">
        <v>3505</v>
      </c>
      <c r="H497" t="s">
        <v>1953</v>
      </c>
      <c r="I497" t="s">
        <v>3506</v>
      </c>
      <c r="J497" t="s">
        <v>1954</v>
      </c>
      <c r="T497" t="s">
        <v>948</v>
      </c>
      <c r="U497" t="s">
        <v>688</v>
      </c>
      <c r="V497" t="s">
        <v>1953</v>
      </c>
      <c r="W497" t="s">
        <v>1954</v>
      </c>
    </row>
    <row r="498" spans="1:23">
      <c r="A498">
        <v>187</v>
      </c>
      <c r="B498" t="s">
        <v>949</v>
      </c>
      <c r="C498">
        <v>1</v>
      </c>
      <c r="D498" t="s">
        <v>18</v>
      </c>
      <c r="E498">
        <v>4</v>
      </c>
      <c r="F498" t="s">
        <v>1911</v>
      </c>
      <c r="G498" t="s">
        <v>3961</v>
      </c>
      <c r="H498" t="s">
        <v>1949</v>
      </c>
      <c r="I498" t="s">
        <v>3962</v>
      </c>
      <c r="J498" t="s">
        <v>1950</v>
      </c>
      <c r="T498" t="s">
        <v>949</v>
      </c>
      <c r="U498" t="s">
        <v>1911</v>
      </c>
      <c r="V498" t="s">
        <v>1949</v>
      </c>
      <c r="W498" t="s">
        <v>1950</v>
      </c>
    </row>
    <row r="499" spans="1:23">
      <c r="A499">
        <v>187</v>
      </c>
      <c r="B499" t="s">
        <v>949</v>
      </c>
      <c r="C499">
        <v>1</v>
      </c>
      <c r="D499" t="s">
        <v>18</v>
      </c>
      <c r="E499">
        <v>4</v>
      </c>
      <c r="F499" t="s">
        <v>1911</v>
      </c>
      <c r="G499" t="s">
        <v>3959</v>
      </c>
      <c r="H499" t="s">
        <v>1951</v>
      </c>
      <c r="I499" t="s">
        <v>3960</v>
      </c>
      <c r="J499" t="s">
        <v>1952</v>
      </c>
      <c r="T499" t="s">
        <v>949</v>
      </c>
      <c r="U499" t="s">
        <v>1911</v>
      </c>
      <c r="V499" t="s">
        <v>1951</v>
      </c>
      <c r="W499" t="s">
        <v>1952</v>
      </c>
    </row>
    <row r="500" spans="1:23">
      <c r="A500">
        <v>187</v>
      </c>
      <c r="B500" t="s">
        <v>949</v>
      </c>
      <c r="C500">
        <v>1</v>
      </c>
      <c r="D500" t="s">
        <v>18</v>
      </c>
      <c r="E500">
        <v>4</v>
      </c>
      <c r="F500" t="s">
        <v>1911</v>
      </c>
      <c r="G500" t="s">
        <v>3963</v>
      </c>
      <c r="H500" t="s">
        <v>1947</v>
      </c>
      <c r="I500" t="s">
        <v>3964</v>
      </c>
      <c r="J500" t="s">
        <v>1948</v>
      </c>
      <c r="T500" t="s">
        <v>949</v>
      </c>
      <c r="U500" t="s">
        <v>1911</v>
      </c>
      <c r="V500" t="s">
        <v>1947</v>
      </c>
      <c r="W500" t="s">
        <v>1948</v>
      </c>
    </row>
    <row r="501" spans="1:23">
      <c r="B501" t="s">
        <v>4260</v>
      </c>
      <c r="T501" t="s">
        <v>4260</v>
      </c>
      <c r="U501" t="s">
        <v>4288</v>
      </c>
      <c r="V501" t="s">
        <v>4288</v>
      </c>
      <c r="W501" t="s">
        <v>4288</v>
      </c>
    </row>
    <row r="502" spans="1:23">
      <c r="B502" t="s">
        <v>4261</v>
      </c>
      <c r="T502" t="s">
        <v>4261</v>
      </c>
      <c r="U502" t="s">
        <v>4288</v>
      </c>
      <c r="V502" t="s">
        <v>4288</v>
      </c>
      <c r="W502" t="s">
        <v>4288</v>
      </c>
    </row>
    <row r="503" spans="1:23">
      <c r="B503" t="s">
        <v>4262</v>
      </c>
      <c r="T503" t="s">
        <v>4262</v>
      </c>
      <c r="U503" t="s">
        <v>4288</v>
      </c>
      <c r="V503" t="s">
        <v>4288</v>
      </c>
      <c r="W503" t="s">
        <v>4288</v>
      </c>
    </row>
    <row r="504" spans="1:23">
      <c r="B504" t="s">
        <v>950</v>
      </c>
      <c r="T504" t="s">
        <v>950</v>
      </c>
      <c r="U504" t="s">
        <v>4288</v>
      </c>
      <c r="V504" t="s">
        <v>4288</v>
      </c>
      <c r="W504" t="s">
        <v>4288</v>
      </c>
    </row>
    <row r="505" spans="1:23">
      <c r="A505">
        <v>134</v>
      </c>
      <c r="B505" t="s">
        <v>951</v>
      </c>
      <c r="C505">
        <v>1</v>
      </c>
      <c r="D505" t="s">
        <v>18</v>
      </c>
      <c r="E505">
        <v>1</v>
      </c>
      <c r="F505" t="s">
        <v>690</v>
      </c>
      <c r="G505" t="s">
        <v>3983</v>
      </c>
      <c r="H505" t="s">
        <v>1944</v>
      </c>
      <c r="I505" t="s">
        <v>3984</v>
      </c>
      <c r="J505" t="s">
        <v>1945</v>
      </c>
      <c r="T505" t="s">
        <v>951</v>
      </c>
      <c r="U505" t="s">
        <v>690</v>
      </c>
      <c r="V505" t="s">
        <v>1944</v>
      </c>
      <c r="W505" t="s">
        <v>1945</v>
      </c>
    </row>
    <row r="506" spans="1:23">
      <c r="A506">
        <v>134</v>
      </c>
      <c r="B506" t="s">
        <v>951</v>
      </c>
      <c r="C506">
        <v>1</v>
      </c>
      <c r="D506" t="s">
        <v>18</v>
      </c>
      <c r="E506">
        <v>3</v>
      </c>
      <c r="F506" t="s">
        <v>19</v>
      </c>
      <c r="G506" t="s">
        <v>3890</v>
      </c>
      <c r="H506" t="s">
        <v>1942</v>
      </c>
      <c r="I506" t="s">
        <v>3891</v>
      </c>
      <c r="J506" t="s">
        <v>1943</v>
      </c>
      <c r="T506" t="s">
        <v>951</v>
      </c>
      <c r="U506" t="s">
        <v>19</v>
      </c>
      <c r="V506" t="s">
        <v>1942</v>
      </c>
      <c r="W506" t="s">
        <v>1943</v>
      </c>
    </row>
    <row r="507" spans="1:23">
      <c r="A507">
        <v>134</v>
      </c>
      <c r="B507" t="s">
        <v>951</v>
      </c>
      <c r="C507">
        <v>1</v>
      </c>
      <c r="D507" t="s">
        <v>18</v>
      </c>
      <c r="E507">
        <v>2</v>
      </c>
      <c r="F507" t="s">
        <v>688</v>
      </c>
      <c r="G507" t="s">
        <v>3892</v>
      </c>
      <c r="H507" t="s">
        <v>4175</v>
      </c>
      <c r="I507" t="s">
        <v>3893</v>
      </c>
      <c r="J507" t="s">
        <v>1941</v>
      </c>
      <c r="T507" t="s">
        <v>951</v>
      </c>
      <c r="U507" t="s">
        <v>688</v>
      </c>
      <c r="V507" t="s">
        <v>4175</v>
      </c>
      <c r="W507" t="s">
        <v>1941</v>
      </c>
    </row>
    <row r="508" spans="1:23">
      <c r="B508" t="s">
        <v>4263</v>
      </c>
      <c r="T508" t="s">
        <v>4263</v>
      </c>
      <c r="U508" t="s">
        <v>4288</v>
      </c>
      <c r="V508" t="s">
        <v>4288</v>
      </c>
      <c r="W508" t="s">
        <v>4288</v>
      </c>
    </row>
    <row r="509" spans="1:23">
      <c r="B509" t="s">
        <v>4264</v>
      </c>
      <c r="T509" t="s">
        <v>4264</v>
      </c>
      <c r="U509" t="s">
        <v>4288</v>
      </c>
      <c r="V509" t="s">
        <v>4288</v>
      </c>
      <c r="W509" t="s">
        <v>4288</v>
      </c>
    </row>
    <row r="510" spans="1:23">
      <c r="A510">
        <v>150</v>
      </c>
      <c r="B510" t="s">
        <v>952</v>
      </c>
      <c r="C510">
        <v>1</v>
      </c>
      <c r="D510" t="s">
        <v>18</v>
      </c>
      <c r="E510">
        <v>1</v>
      </c>
      <c r="F510" t="s">
        <v>690</v>
      </c>
      <c r="G510" t="s">
        <v>3585</v>
      </c>
      <c r="H510" t="s">
        <v>1939</v>
      </c>
      <c r="I510" t="s">
        <v>3586</v>
      </c>
      <c r="J510" t="s">
        <v>1940</v>
      </c>
      <c r="T510" t="s">
        <v>952</v>
      </c>
      <c r="U510" t="s">
        <v>690</v>
      </c>
      <c r="V510" t="s">
        <v>1939</v>
      </c>
      <c r="W510" t="s">
        <v>1940</v>
      </c>
    </row>
    <row r="511" spans="1:23">
      <c r="A511">
        <v>150</v>
      </c>
      <c r="B511" t="s">
        <v>952</v>
      </c>
      <c r="C511">
        <v>1</v>
      </c>
      <c r="D511" t="s">
        <v>18</v>
      </c>
      <c r="E511">
        <v>1</v>
      </c>
      <c r="F511" t="s">
        <v>690</v>
      </c>
      <c r="G511" t="s">
        <v>3587</v>
      </c>
      <c r="H511" t="s">
        <v>1937</v>
      </c>
      <c r="I511" t="s">
        <v>3588</v>
      </c>
      <c r="J511" t="s">
        <v>1938</v>
      </c>
      <c r="T511" t="s">
        <v>952</v>
      </c>
      <c r="U511" t="s">
        <v>690</v>
      </c>
      <c r="V511" t="s">
        <v>1937</v>
      </c>
      <c r="W511" t="s">
        <v>1938</v>
      </c>
    </row>
    <row r="512" spans="1:23">
      <c r="A512">
        <v>150</v>
      </c>
      <c r="B512" t="s">
        <v>952</v>
      </c>
      <c r="C512">
        <v>1</v>
      </c>
      <c r="D512" t="s">
        <v>18</v>
      </c>
      <c r="E512">
        <v>2</v>
      </c>
      <c r="F512" t="s">
        <v>688</v>
      </c>
      <c r="G512" t="s">
        <v>3589</v>
      </c>
      <c r="H512" t="s">
        <v>1935</v>
      </c>
      <c r="I512" t="s">
        <v>3590</v>
      </c>
      <c r="J512" t="s">
        <v>1936</v>
      </c>
      <c r="T512" t="s">
        <v>952</v>
      </c>
      <c r="U512" t="s">
        <v>688</v>
      </c>
      <c r="V512" t="s">
        <v>1935</v>
      </c>
      <c r="W512" t="s">
        <v>1936</v>
      </c>
    </row>
    <row r="513" spans="1:23">
      <c r="B513" t="s">
        <v>4265</v>
      </c>
      <c r="T513" t="s">
        <v>4265</v>
      </c>
      <c r="U513" t="s">
        <v>4288</v>
      </c>
      <c r="V513" t="s">
        <v>4288</v>
      </c>
      <c r="W513" t="s">
        <v>4288</v>
      </c>
    </row>
    <row r="514" spans="1:23">
      <c r="A514">
        <v>177</v>
      </c>
      <c r="B514" t="s">
        <v>953</v>
      </c>
      <c r="C514">
        <v>1</v>
      </c>
      <c r="D514" t="s">
        <v>18</v>
      </c>
      <c r="E514">
        <v>2</v>
      </c>
      <c r="F514" t="s">
        <v>688</v>
      </c>
      <c r="G514" t="s">
        <v>3953</v>
      </c>
      <c r="H514" t="s">
        <v>1933</v>
      </c>
      <c r="I514" t="s">
        <v>3954</v>
      </c>
      <c r="J514" t="s">
        <v>1934</v>
      </c>
      <c r="T514" t="s">
        <v>953</v>
      </c>
      <c r="U514" t="s">
        <v>688</v>
      </c>
      <c r="V514" t="s">
        <v>1933</v>
      </c>
      <c r="W514" t="s">
        <v>1934</v>
      </c>
    </row>
    <row r="515" spans="1:23">
      <c r="A515">
        <v>41</v>
      </c>
      <c r="B515" t="s">
        <v>954</v>
      </c>
      <c r="C515">
        <v>1</v>
      </c>
      <c r="D515" t="s">
        <v>18</v>
      </c>
      <c r="E515">
        <v>1</v>
      </c>
      <c r="F515" t="s">
        <v>690</v>
      </c>
      <c r="G515" t="s">
        <v>3513</v>
      </c>
      <c r="H515" t="s">
        <v>1905</v>
      </c>
      <c r="I515" t="s">
        <v>3514</v>
      </c>
      <c r="J515" t="s">
        <v>1918</v>
      </c>
      <c r="T515" t="s">
        <v>954</v>
      </c>
      <c r="U515" t="s">
        <v>690</v>
      </c>
      <c r="V515" t="s">
        <v>1905</v>
      </c>
      <c r="W515" t="s">
        <v>1918</v>
      </c>
    </row>
    <row r="516" spans="1:23">
      <c r="A516">
        <v>41</v>
      </c>
      <c r="B516" t="s">
        <v>954</v>
      </c>
      <c r="C516">
        <v>1</v>
      </c>
      <c r="D516" t="s">
        <v>18</v>
      </c>
      <c r="E516">
        <v>3</v>
      </c>
      <c r="F516" t="s">
        <v>19</v>
      </c>
      <c r="G516" t="s">
        <v>3518</v>
      </c>
      <c r="H516" t="s">
        <v>1909</v>
      </c>
      <c r="I516" t="s">
        <v>3520</v>
      </c>
      <c r="J516" t="s">
        <v>1910</v>
      </c>
      <c r="T516" t="s">
        <v>954</v>
      </c>
      <c r="U516" t="s">
        <v>19</v>
      </c>
      <c r="V516" t="s">
        <v>1909</v>
      </c>
      <c r="W516" t="s">
        <v>1910</v>
      </c>
    </row>
    <row r="517" spans="1:23">
      <c r="A517">
        <v>41</v>
      </c>
      <c r="B517" t="s">
        <v>954</v>
      </c>
      <c r="C517">
        <v>1</v>
      </c>
      <c r="D517" t="s">
        <v>18</v>
      </c>
      <c r="E517">
        <v>3</v>
      </c>
      <c r="F517" t="s">
        <v>19</v>
      </c>
      <c r="G517" t="s">
        <v>3515</v>
      </c>
      <c r="H517" t="s">
        <v>1907</v>
      </c>
      <c r="I517" t="s">
        <v>3517</v>
      </c>
      <c r="J517" t="s">
        <v>1908</v>
      </c>
      <c r="T517" t="s">
        <v>954</v>
      </c>
      <c r="U517" t="s">
        <v>19</v>
      </c>
      <c r="V517" t="s">
        <v>1907</v>
      </c>
      <c r="W517" t="s">
        <v>1908</v>
      </c>
    </row>
    <row r="518" spans="1:23">
      <c r="A518">
        <v>41</v>
      </c>
      <c r="B518" t="s">
        <v>954</v>
      </c>
      <c r="C518">
        <v>1</v>
      </c>
      <c r="D518" t="s">
        <v>18</v>
      </c>
      <c r="E518">
        <v>4</v>
      </c>
      <c r="F518" t="s">
        <v>1911</v>
      </c>
      <c r="G518" t="s">
        <v>3518</v>
      </c>
      <c r="H518" t="s">
        <v>1909</v>
      </c>
      <c r="I518" t="s">
        <v>3519</v>
      </c>
      <c r="J518" t="s">
        <v>1913</v>
      </c>
      <c r="T518" t="s">
        <v>954</v>
      </c>
      <c r="U518" t="s">
        <v>1911</v>
      </c>
      <c r="V518" t="s">
        <v>1909</v>
      </c>
      <c r="W518" t="s">
        <v>1913</v>
      </c>
    </row>
    <row r="519" spans="1:23">
      <c r="A519">
        <v>41</v>
      </c>
      <c r="B519" t="s">
        <v>954</v>
      </c>
      <c r="C519">
        <v>1</v>
      </c>
      <c r="D519" t="s">
        <v>18</v>
      </c>
      <c r="E519">
        <v>4</v>
      </c>
      <c r="F519" t="s">
        <v>1911</v>
      </c>
      <c r="G519" t="s">
        <v>3515</v>
      </c>
      <c r="H519" t="s">
        <v>1907</v>
      </c>
      <c r="I519" t="s">
        <v>3516</v>
      </c>
      <c r="J519" t="s">
        <v>1912</v>
      </c>
      <c r="T519" t="s">
        <v>954</v>
      </c>
      <c r="U519" t="s">
        <v>1911</v>
      </c>
      <c r="V519" t="s">
        <v>1907</v>
      </c>
      <c r="W519" t="s">
        <v>1912</v>
      </c>
    </row>
    <row r="520" spans="1:23">
      <c r="A520">
        <v>244</v>
      </c>
      <c r="B520" t="s">
        <v>955</v>
      </c>
      <c r="C520">
        <v>1</v>
      </c>
      <c r="D520" t="s">
        <v>18</v>
      </c>
      <c r="E520">
        <v>3</v>
      </c>
      <c r="F520" t="s">
        <v>19</v>
      </c>
      <c r="G520" t="s">
        <v>3970</v>
      </c>
      <c r="H520" t="s">
        <v>2069</v>
      </c>
      <c r="I520" t="s">
        <v>3971</v>
      </c>
      <c r="J520" t="s">
        <v>2070</v>
      </c>
      <c r="T520" t="s">
        <v>955</v>
      </c>
      <c r="U520" t="s">
        <v>19</v>
      </c>
      <c r="V520" t="s">
        <v>2069</v>
      </c>
      <c r="W520" t="s">
        <v>2070</v>
      </c>
    </row>
    <row r="521" spans="1:23">
      <c r="A521">
        <v>244</v>
      </c>
      <c r="B521" t="s">
        <v>955</v>
      </c>
      <c r="C521">
        <v>1</v>
      </c>
      <c r="D521" t="s">
        <v>18</v>
      </c>
      <c r="E521">
        <v>4</v>
      </c>
      <c r="F521" t="s">
        <v>1911</v>
      </c>
      <c r="G521" t="s">
        <v>3970</v>
      </c>
      <c r="H521" t="s">
        <v>2069</v>
      </c>
      <c r="I521" t="s">
        <v>3972</v>
      </c>
      <c r="J521" t="s">
        <v>2071</v>
      </c>
      <c r="T521" t="s">
        <v>955</v>
      </c>
      <c r="U521" t="s">
        <v>1911</v>
      </c>
      <c r="V521" t="s">
        <v>2069</v>
      </c>
      <c r="W521" t="s">
        <v>2071</v>
      </c>
    </row>
    <row r="522" spans="1:23">
      <c r="A522">
        <v>42</v>
      </c>
      <c r="B522" t="s">
        <v>956</v>
      </c>
      <c r="C522">
        <v>1</v>
      </c>
      <c r="D522" t="s">
        <v>18</v>
      </c>
      <c r="E522">
        <v>1</v>
      </c>
      <c r="F522" t="s">
        <v>690</v>
      </c>
      <c r="G522" t="s">
        <v>3524</v>
      </c>
      <c r="H522" t="s">
        <v>1905</v>
      </c>
      <c r="I522" t="s">
        <v>3525</v>
      </c>
      <c r="J522" t="s">
        <v>1906</v>
      </c>
      <c r="T522" t="s">
        <v>956</v>
      </c>
      <c r="U522" t="s">
        <v>690</v>
      </c>
      <c r="V522" t="s">
        <v>1905</v>
      </c>
      <c r="W522" t="s">
        <v>1906</v>
      </c>
    </row>
    <row r="523" spans="1:23">
      <c r="A523">
        <v>42</v>
      </c>
      <c r="B523" t="s">
        <v>956</v>
      </c>
      <c r="C523">
        <v>1</v>
      </c>
      <c r="D523" t="s">
        <v>18</v>
      </c>
      <c r="E523">
        <v>3</v>
      </c>
      <c r="F523" t="s">
        <v>19</v>
      </c>
      <c r="G523" t="s">
        <v>3521</v>
      </c>
      <c r="H523" t="s">
        <v>1902</v>
      </c>
      <c r="I523" t="s">
        <v>3522</v>
      </c>
      <c r="J523" t="s">
        <v>1904</v>
      </c>
      <c r="T523" t="s">
        <v>956</v>
      </c>
      <c r="U523" t="s">
        <v>19</v>
      </c>
      <c r="V523" t="s">
        <v>1902</v>
      </c>
      <c r="W523" t="s">
        <v>1904</v>
      </c>
    </row>
    <row r="524" spans="1:23">
      <c r="A524">
        <v>42</v>
      </c>
      <c r="B524" t="s">
        <v>956</v>
      </c>
      <c r="C524">
        <v>1</v>
      </c>
      <c r="D524" t="s">
        <v>18</v>
      </c>
      <c r="E524">
        <v>2</v>
      </c>
      <c r="F524" t="s">
        <v>688</v>
      </c>
      <c r="G524" t="s">
        <v>3521</v>
      </c>
      <c r="H524" t="s">
        <v>1902</v>
      </c>
      <c r="I524" t="s">
        <v>3523</v>
      </c>
      <c r="J524" t="s">
        <v>1903</v>
      </c>
      <c r="T524" t="s">
        <v>956</v>
      </c>
      <c r="U524" t="s">
        <v>688</v>
      </c>
      <c r="V524" t="s">
        <v>1902</v>
      </c>
      <c r="W524" t="s">
        <v>1903</v>
      </c>
    </row>
    <row r="525" spans="1:23">
      <c r="T525" t="s">
        <v>4286</v>
      </c>
    </row>
  </sheetData>
  <autoFilter ref="T2:Z467" xr:uid="{00000000-0009-0000-0000-000015000000}"/>
  <pageMargins left="0.7" right="0.7" top="0.75" bottom="0.75" header="0.3" footer="0.3"/>
  <pageSetup orientation="portrait" horizontalDpi="90" verticalDpi="90"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499984740745262"/>
  </sheetPr>
  <dimension ref="A1:T43"/>
  <sheetViews>
    <sheetView showGridLines="0" topLeftCell="D1" zoomScale="58" zoomScaleNormal="58" workbookViewId="0">
      <selection activeCell="L12" sqref="L12"/>
    </sheetView>
  </sheetViews>
  <sheetFormatPr baseColWidth="10" defaultColWidth="11.26953125" defaultRowHeight="13"/>
  <cols>
    <col min="1" max="1" width="49.90625" style="7" bestFit="1" customWidth="1"/>
    <col min="2" max="3" width="18.453125" style="7" bestFit="1" customWidth="1"/>
    <col min="4" max="5" width="17.6328125" style="7" bestFit="1" customWidth="1"/>
    <col min="6" max="6" width="24.36328125" style="7" bestFit="1" customWidth="1"/>
    <col min="7" max="10" width="17.6328125" style="7" bestFit="1" customWidth="1"/>
    <col min="11" max="11" width="24.36328125" style="7" bestFit="1" customWidth="1"/>
    <col min="12" max="12" width="17.6328125" style="7" bestFit="1" customWidth="1"/>
    <col min="13" max="15" width="18.54296875" style="7" bestFit="1" customWidth="1"/>
    <col min="16" max="16" width="24.36328125" style="7" bestFit="1" customWidth="1"/>
    <col min="17" max="17" width="25.90625" style="7" bestFit="1" customWidth="1"/>
    <col min="18" max="18" width="10.26953125" style="1646" bestFit="1" customWidth="1"/>
    <col min="19" max="19" width="14.26953125" style="1646" bestFit="1" customWidth="1"/>
    <col min="20" max="20" width="14.453125" style="1646" bestFit="1" customWidth="1"/>
    <col min="21" max="16384" width="11.26953125" style="7"/>
  </cols>
  <sheetData>
    <row r="1" spans="1:17">
      <c r="A1" s="1587" t="s">
        <v>686</v>
      </c>
      <c r="B1" s="7" t="s">
        <v>4287</v>
      </c>
    </row>
    <row r="3" spans="1:17">
      <c r="A3" s="1587" t="s">
        <v>4285</v>
      </c>
      <c r="B3" s="7" t="s">
        <v>2645</v>
      </c>
      <c r="C3" s="7" t="s">
        <v>2646</v>
      </c>
      <c r="D3" s="7" t="s">
        <v>2647</v>
      </c>
      <c r="E3" s="7" t="s">
        <v>2648</v>
      </c>
      <c r="F3" s="7" t="s">
        <v>2543</v>
      </c>
      <c r="G3" s="7" t="s">
        <v>2649</v>
      </c>
      <c r="H3" s="7" t="s">
        <v>2650</v>
      </c>
      <c r="I3" s="7" t="s">
        <v>2651</v>
      </c>
      <c r="J3" s="7" t="s">
        <v>2652</v>
      </c>
      <c r="K3" s="7" t="s">
        <v>2544</v>
      </c>
      <c r="L3" s="7" t="s">
        <v>2653</v>
      </c>
      <c r="M3" s="7" t="s">
        <v>2654</v>
      </c>
      <c r="N3" s="7" t="s">
        <v>2655</v>
      </c>
      <c r="O3" s="7" t="s">
        <v>2656</v>
      </c>
      <c r="P3" s="7" t="s">
        <v>2545</v>
      </c>
      <c r="Q3" s="7" t="s">
        <v>2546</v>
      </c>
    </row>
    <row r="4" spans="1:17">
      <c r="A4" s="1588" t="s">
        <v>655</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588" t="s">
        <v>649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588" t="s">
        <v>600</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588" t="s">
        <v>664</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588" t="s">
        <v>656</v>
      </c>
      <c r="B8" s="1589">
        <v>0</v>
      </c>
      <c r="C8" s="1589">
        <v>88680</v>
      </c>
      <c r="D8" s="1589">
        <v>0</v>
      </c>
      <c r="E8" s="1589">
        <v>0</v>
      </c>
      <c r="F8" s="1589">
        <v>88680</v>
      </c>
      <c r="G8" s="1589">
        <v>0</v>
      </c>
      <c r="H8" s="1589">
        <v>88680</v>
      </c>
      <c r="I8" s="1589">
        <v>0</v>
      </c>
      <c r="J8" s="1589">
        <v>0</v>
      </c>
      <c r="K8" s="1589">
        <v>88680</v>
      </c>
      <c r="L8" s="1589">
        <v>0</v>
      </c>
      <c r="M8" s="1589">
        <v>88680</v>
      </c>
      <c r="N8" s="1589">
        <v>0</v>
      </c>
      <c r="O8" s="1589">
        <v>0</v>
      </c>
      <c r="P8" s="1589">
        <v>88680</v>
      </c>
      <c r="Q8" s="1589">
        <v>266040</v>
      </c>
    </row>
    <row r="9" spans="1:17">
      <c r="A9" s="1588" t="s">
        <v>651</v>
      </c>
      <c r="B9" s="1589">
        <v>0</v>
      </c>
      <c r="C9" s="1589">
        <v>63432.5</v>
      </c>
      <c r="D9" s="1589">
        <v>0</v>
      </c>
      <c r="E9" s="1589">
        <v>0</v>
      </c>
      <c r="F9" s="1589">
        <v>63432.5</v>
      </c>
      <c r="G9" s="1589">
        <v>0</v>
      </c>
      <c r="H9" s="1589">
        <v>63432.5</v>
      </c>
      <c r="I9" s="1589">
        <v>0</v>
      </c>
      <c r="J9" s="1589">
        <v>0</v>
      </c>
      <c r="K9" s="1589">
        <v>63432.5</v>
      </c>
      <c r="L9" s="1589">
        <v>0</v>
      </c>
      <c r="M9" s="1589">
        <v>63432.5</v>
      </c>
      <c r="N9" s="1589">
        <v>0</v>
      </c>
      <c r="O9" s="1589">
        <v>0</v>
      </c>
      <c r="P9" s="1589">
        <v>63432.5</v>
      </c>
      <c r="Q9" s="1589">
        <v>190297.5</v>
      </c>
    </row>
    <row r="10" spans="1:17">
      <c r="A10" s="1588" t="s">
        <v>525</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588" t="s">
        <v>663</v>
      </c>
      <c r="B11" s="1589">
        <v>0</v>
      </c>
      <c r="C11" s="1589">
        <v>0</v>
      </c>
      <c r="D11" s="1589">
        <v>0</v>
      </c>
      <c r="E11" s="1589">
        <v>0</v>
      </c>
      <c r="F11" s="1589">
        <v>0</v>
      </c>
      <c r="G11" s="1589">
        <v>0</v>
      </c>
      <c r="H11" s="1589">
        <v>0</v>
      </c>
      <c r="I11" s="1589">
        <v>0</v>
      </c>
      <c r="J11" s="1589">
        <v>0</v>
      </c>
      <c r="K11" s="1589">
        <v>0</v>
      </c>
      <c r="L11" s="1589">
        <v>0</v>
      </c>
      <c r="M11" s="1589">
        <v>0</v>
      </c>
      <c r="N11" s="1589">
        <v>0</v>
      </c>
      <c r="O11" s="1589">
        <v>0</v>
      </c>
      <c r="P11" s="1589">
        <v>0</v>
      </c>
      <c r="Q11" s="1589">
        <v>0</v>
      </c>
    </row>
    <row r="12" spans="1:17">
      <c r="A12" s="1588" t="s">
        <v>665</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588" t="s">
        <v>603</v>
      </c>
      <c r="B13" s="1589">
        <v>0</v>
      </c>
      <c r="C13" s="1589">
        <v>248401.00000000003</v>
      </c>
      <c r="D13" s="1589">
        <v>0</v>
      </c>
      <c r="E13" s="1589">
        <v>0</v>
      </c>
      <c r="F13" s="1589">
        <v>248401.00000000003</v>
      </c>
      <c r="G13" s="1589">
        <v>0</v>
      </c>
      <c r="H13" s="1589">
        <v>259310.03000000003</v>
      </c>
      <c r="I13" s="1589">
        <v>0</v>
      </c>
      <c r="J13" s="1589">
        <v>0</v>
      </c>
      <c r="K13" s="1589">
        <v>259310.03000000003</v>
      </c>
      <c r="L13" s="1589">
        <v>0</v>
      </c>
      <c r="M13" s="1589">
        <v>276055.73</v>
      </c>
      <c r="N13" s="1589">
        <v>0</v>
      </c>
      <c r="O13" s="1589">
        <v>0</v>
      </c>
      <c r="P13" s="1589">
        <v>276055.73</v>
      </c>
      <c r="Q13" s="1589">
        <v>783766.75999999989</v>
      </c>
    </row>
    <row r="14" spans="1:17">
      <c r="A14" s="1588" t="s">
        <v>585</v>
      </c>
      <c r="B14" s="1589">
        <v>0</v>
      </c>
      <c r="C14" s="1589">
        <v>0</v>
      </c>
      <c r="D14" s="1589">
        <v>0</v>
      </c>
      <c r="E14" s="1589">
        <v>0</v>
      </c>
      <c r="F14" s="1589">
        <v>0</v>
      </c>
      <c r="G14" s="1589">
        <v>0</v>
      </c>
      <c r="H14" s="1589">
        <v>0</v>
      </c>
      <c r="I14" s="1589">
        <v>0</v>
      </c>
      <c r="J14" s="1589">
        <v>0</v>
      </c>
      <c r="K14" s="1589">
        <v>0</v>
      </c>
      <c r="L14" s="1589">
        <v>0</v>
      </c>
      <c r="M14" s="1589">
        <v>0</v>
      </c>
      <c r="N14" s="1589">
        <v>0</v>
      </c>
      <c r="O14" s="1589">
        <v>0</v>
      </c>
      <c r="P14" s="1589">
        <v>0</v>
      </c>
      <c r="Q14" s="1589">
        <v>0</v>
      </c>
    </row>
    <row r="15" spans="1:17">
      <c r="A15" s="1588" t="s">
        <v>595</v>
      </c>
      <c r="B15" s="1589">
        <v>0</v>
      </c>
      <c r="C15" s="1589">
        <v>380413.43999999994</v>
      </c>
      <c r="D15" s="1589">
        <v>1136451</v>
      </c>
      <c r="E15" s="1589">
        <v>0</v>
      </c>
      <c r="F15" s="1589">
        <v>1516864.44</v>
      </c>
      <c r="G15" s="1589">
        <v>0</v>
      </c>
      <c r="H15" s="1589">
        <v>1644015.38</v>
      </c>
      <c r="I15" s="1589">
        <v>0</v>
      </c>
      <c r="J15" s="1589">
        <v>0</v>
      </c>
      <c r="K15" s="1589">
        <v>1644015.38</v>
      </c>
      <c r="L15" s="1589">
        <v>0</v>
      </c>
      <c r="M15" s="1589">
        <v>1789812.6</v>
      </c>
      <c r="N15" s="1589">
        <v>0</v>
      </c>
      <c r="O15" s="1589">
        <v>0</v>
      </c>
      <c r="P15" s="1589">
        <v>1789812.6</v>
      </c>
      <c r="Q15" s="1589">
        <v>4950692.42</v>
      </c>
    </row>
    <row r="16" spans="1:17">
      <c r="A16" s="1588" t="s">
        <v>653</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20">
      <c r="A17" s="1588" t="s">
        <v>597</v>
      </c>
      <c r="B17" s="1589">
        <v>0</v>
      </c>
      <c r="C17" s="1589">
        <v>0</v>
      </c>
      <c r="D17" s="1589">
        <v>185894</v>
      </c>
      <c r="E17" s="1589">
        <v>0</v>
      </c>
      <c r="F17" s="1589">
        <v>185894</v>
      </c>
      <c r="G17" s="1589">
        <v>0</v>
      </c>
      <c r="H17" s="1589">
        <v>187954</v>
      </c>
      <c r="I17" s="1589">
        <v>0</v>
      </c>
      <c r="J17" s="1589">
        <v>0</v>
      </c>
      <c r="K17" s="1589">
        <v>187954</v>
      </c>
      <c r="L17" s="1589">
        <v>0</v>
      </c>
      <c r="M17" s="1589">
        <v>191044</v>
      </c>
      <c r="N17" s="1589">
        <v>0</v>
      </c>
      <c r="O17" s="1589">
        <v>0</v>
      </c>
      <c r="P17" s="1589">
        <v>191044</v>
      </c>
      <c r="Q17" s="1589">
        <v>564892</v>
      </c>
    </row>
    <row r="18" spans="1:20">
      <c r="A18" s="1588" t="s">
        <v>678</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c r="R18" s="1647"/>
      <c r="S18" s="1648"/>
    </row>
    <row r="19" spans="1:20">
      <c r="A19" s="1588" t="s">
        <v>671</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c r="R19" s="1649"/>
      <c r="S19" s="1591"/>
    </row>
    <row r="20" spans="1:20">
      <c r="A20" s="1588" t="s">
        <v>1896</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c r="R20" s="1647"/>
      <c r="S20" s="1648"/>
    </row>
    <row r="21" spans="1:20">
      <c r="A21" s="1588" t="s">
        <v>654</v>
      </c>
      <c r="B21" s="1589">
        <v>0</v>
      </c>
      <c r="C21" s="1589">
        <v>0</v>
      </c>
      <c r="D21" s="1589">
        <v>0</v>
      </c>
      <c r="E21" s="1589">
        <v>0</v>
      </c>
      <c r="F21" s="1589">
        <v>0</v>
      </c>
      <c r="G21" s="1589">
        <v>0</v>
      </c>
      <c r="H21" s="1589">
        <v>0</v>
      </c>
      <c r="I21" s="1589">
        <v>0</v>
      </c>
      <c r="J21" s="1589">
        <v>0</v>
      </c>
      <c r="K21" s="1589">
        <v>0</v>
      </c>
      <c r="L21" s="1589">
        <v>0</v>
      </c>
      <c r="M21" s="1589">
        <v>0</v>
      </c>
      <c r="N21" s="1589">
        <v>0</v>
      </c>
      <c r="O21" s="1589">
        <v>0</v>
      </c>
      <c r="P21" s="1589">
        <v>0</v>
      </c>
      <c r="Q21" s="1589">
        <v>0</v>
      </c>
      <c r="R21" s="1649"/>
      <c r="S21" s="1591"/>
    </row>
    <row r="22" spans="1:20">
      <c r="A22" s="1588" t="s">
        <v>593</v>
      </c>
      <c r="B22" s="1589">
        <v>0</v>
      </c>
      <c r="C22" s="1589">
        <v>0</v>
      </c>
      <c r="D22" s="1589">
        <v>0</v>
      </c>
      <c r="E22" s="1589">
        <v>0</v>
      </c>
      <c r="F22" s="1589">
        <v>0</v>
      </c>
      <c r="G22" s="1589">
        <v>0</v>
      </c>
      <c r="H22" s="1589">
        <v>0</v>
      </c>
      <c r="I22" s="1589">
        <v>0</v>
      </c>
      <c r="J22" s="1589">
        <v>0</v>
      </c>
      <c r="K22" s="1589">
        <v>0</v>
      </c>
      <c r="L22" s="1589">
        <v>0</v>
      </c>
      <c r="M22" s="1589">
        <v>0</v>
      </c>
      <c r="N22" s="1589">
        <v>0</v>
      </c>
      <c r="O22" s="1589">
        <v>0</v>
      </c>
      <c r="P22" s="1589">
        <v>0</v>
      </c>
      <c r="Q22" s="1589">
        <v>0</v>
      </c>
      <c r="R22" s="1647"/>
      <c r="S22" s="1648"/>
    </row>
    <row r="23" spans="1:20">
      <c r="A23" s="1588" t="s">
        <v>586</v>
      </c>
      <c r="B23" s="1589">
        <v>0</v>
      </c>
      <c r="C23" s="1589">
        <v>255000</v>
      </c>
      <c r="D23" s="1589">
        <v>0</v>
      </c>
      <c r="E23" s="1589">
        <v>0</v>
      </c>
      <c r="F23" s="1589">
        <v>255000</v>
      </c>
      <c r="G23" s="1589">
        <v>0</v>
      </c>
      <c r="H23" s="1589">
        <v>0</v>
      </c>
      <c r="I23" s="1589">
        <v>0</v>
      </c>
      <c r="J23" s="1589">
        <v>0</v>
      </c>
      <c r="K23" s="1589">
        <v>0</v>
      </c>
      <c r="L23" s="1589">
        <v>0</v>
      </c>
      <c r="M23" s="1589">
        <v>0</v>
      </c>
      <c r="N23" s="1589">
        <v>0</v>
      </c>
      <c r="O23" s="1589">
        <v>0</v>
      </c>
      <c r="P23" s="1589">
        <v>0</v>
      </c>
      <c r="Q23" s="1589">
        <v>255000</v>
      </c>
      <c r="R23" s="1649"/>
      <c r="S23" s="1591"/>
    </row>
    <row r="24" spans="1:20">
      <c r="A24" s="1588" t="s">
        <v>528</v>
      </c>
      <c r="B24" s="1589">
        <v>0</v>
      </c>
      <c r="C24" s="1589">
        <v>62155.616399999992</v>
      </c>
      <c r="D24" s="1589">
        <v>79340.7</v>
      </c>
      <c r="E24" s="1589">
        <v>0</v>
      </c>
      <c r="F24" s="1589">
        <v>141496.31639999998</v>
      </c>
      <c r="G24" s="1589">
        <v>0</v>
      </c>
      <c r="H24" s="1589">
        <v>134603.51459999999</v>
      </c>
      <c r="I24" s="1589">
        <v>0</v>
      </c>
      <c r="J24" s="1589">
        <v>0</v>
      </c>
      <c r="K24" s="1589">
        <v>134603.51459999999</v>
      </c>
      <c r="L24" s="1589">
        <v>0</v>
      </c>
      <c r="M24" s="1589">
        <v>144541.48979999998</v>
      </c>
      <c r="N24" s="1589">
        <v>0</v>
      </c>
      <c r="O24" s="1589">
        <v>0</v>
      </c>
      <c r="P24" s="1589">
        <v>144541.48979999998</v>
      </c>
      <c r="Q24" s="1589">
        <v>420641.32079999993</v>
      </c>
      <c r="R24" s="1647"/>
      <c r="S24" s="1591"/>
      <c r="T24" s="1716"/>
    </row>
    <row r="25" spans="1:20">
      <c r="A25" s="1588" t="s">
        <v>530</v>
      </c>
      <c r="B25" s="1589">
        <v>0</v>
      </c>
      <c r="C25" s="1589">
        <v>1.0359269399999999E-10</v>
      </c>
      <c r="D25" s="1589">
        <v>1.322345E-10</v>
      </c>
      <c r="E25" s="1589">
        <v>0</v>
      </c>
      <c r="F25" s="1589">
        <v>2.3582719399999997E-10</v>
      </c>
      <c r="G25" s="1589">
        <v>0</v>
      </c>
      <c r="H25" s="1589">
        <v>2.2433919099999998E-10</v>
      </c>
      <c r="I25" s="1589">
        <v>0</v>
      </c>
      <c r="J25" s="1589">
        <v>0</v>
      </c>
      <c r="K25" s="1589">
        <v>2.2433919099999998E-10</v>
      </c>
      <c r="L25" s="1589">
        <v>0</v>
      </c>
      <c r="M25" s="1589">
        <v>2.4090248299999998E-10</v>
      </c>
      <c r="N25" s="1589">
        <v>0</v>
      </c>
      <c r="O25" s="1589">
        <v>0</v>
      </c>
      <c r="P25" s="1589">
        <v>2.4090248299999998E-10</v>
      </c>
      <c r="Q25" s="1589">
        <v>7.0106886799999998E-10</v>
      </c>
      <c r="R25" s="1647"/>
      <c r="S25" s="1591"/>
      <c r="T25" s="1716"/>
    </row>
    <row r="26" spans="1:20">
      <c r="A26" s="1588" t="s">
        <v>532</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c r="R26" s="1647"/>
      <c r="S26" s="1591"/>
      <c r="T26" s="1716"/>
    </row>
    <row r="27" spans="1:20">
      <c r="A27" s="1588" t="s">
        <v>534</v>
      </c>
      <c r="B27" s="1589">
        <v>0</v>
      </c>
      <c r="C27" s="1589">
        <v>0</v>
      </c>
      <c r="D27" s="1589">
        <v>0</v>
      </c>
      <c r="E27" s="1589">
        <v>0</v>
      </c>
      <c r="F27" s="1589">
        <v>0</v>
      </c>
      <c r="G27" s="1589">
        <v>0</v>
      </c>
      <c r="H27" s="1589">
        <v>0</v>
      </c>
      <c r="I27" s="1589">
        <v>0</v>
      </c>
      <c r="J27" s="1589">
        <v>0</v>
      </c>
      <c r="K27" s="1589">
        <v>0</v>
      </c>
      <c r="L27" s="1589">
        <v>0</v>
      </c>
      <c r="M27" s="1589">
        <v>0</v>
      </c>
      <c r="N27" s="1589">
        <v>0</v>
      </c>
      <c r="O27" s="1589">
        <v>0</v>
      </c>
      <c r="P27" s="1589">
        <v>0</v>
      </c>
      <c r="Q27" s="1589">
        <v>0</v>
      </c>
      <c r="R27" s="1647"/>
      <c r="S27" s="1591"/>
      <c r="T27" s="1716"/>
    </row>
    <row r="28" spans="1:20">
      <c r="A28" s="1588" t="s">
        <v>536</v>
      </c>
      <c r="B28" s="1589">
        <v>0</v>
      </c>
      <c r="C28" s="1589">
        <v>0</v>
      </c>
      <c r="D28" s="1589">
        <v>0</v>
      </c>
      <c r="E28" s="1589">
        <v>0</v>
      </c>
      <c r="F28" s="1589">
        <v>0</v>
      </c>
      <c r="G28" s="1589">
        <v>0</v>
      </c>
      <c r="H28" s="1589">
        <v>0</v>
      </c>
      <c r="I28" s="1589">
        <v>0</v>
      </c>
      <c r="J28" s="1589">
        <v>0</v>
      </c>
      <c r="K28" s="1589">
        <v>0</v>
      </c>
      <c r="L28" s="1589">
        <v>0</v>
      </c>
      <c r="M28" s="1589">
        <v>0</v>
      </c>
      <c r="N28" s="1589">
        <v>0</v>
      </c>
      <c r="O28" s="1589">
        <v>0</v>
      </c>
      <c r="P28" s="1589">
        <v>0</v>
      </c>
      <c r="Q28" s="1589">
        <v>0</v>
      </c>
      <c r="R28" s="1647"/>
      <c r="S28" s="1591"/>
      <c r="T28" s="1716"/>
    </row>
    <row r="29" spans="1:20">
      <c r="A29" s="1588" t="s">
        <v>538</v>
      </c>
      <c r="B29" s="1589">
        <v>0</v>
      </c>
      <c r="C29" s="1589">
        <v>0</v>
      </c>
      <c r="D29" s="1589">
        <v>0</v>
      </c>
      <c r="E29" s="1589">
        <v>0</v>
      </c>
      <c r="F29" s="1589">
        <v>0</v>
      </c>
      <c r="G29" s="1589">
        <v>0</v>
      </c>
      <c r="H29" s="1589">
        <v>0</v>
      </c>
      <c r="I29" s="1589">
        <v>0</v>
      </c>
      <c r="J29" s="1589">
        <v>0</v>
      </c>
      <c r="K29" s="1589">
        <v>0</v>
      </c>
      <c r="L29" s="1589">
        <v>0</v>
      </c>
      <c r="M29" s="1589">
        <v>0</v>
      </c>
      <c r="N29" s="1589">
        <v>0</v>
      </c>
      <c r="O29" s="1589">
        <v>0</v>
      </c>
      <c r="P29" s="1589">
        <v>0</v>
      </c>
      <c r="Q29" s="1589">
        <v>0</v>
      </c>
      <c r="R29" s="1647"/>
      <c r="S29" s="1591"/>
      <c r="T29" s="1716"/>
    </row>
    <row r="30" spans="1:20">
      <c r="A30" s="1588" t="s">
        <v>540</v>
      </c>
      <c r="B30" s="1589">
        <v>0</v>
      </c>
      <c r="C30" s="1589">
        <v>0</v>
      </c>
      <c r="D30" s="1589">
        <v>0</v>
      </c>
      <c r="E30" s="1589">
        <v>0</v>
      </c>
      <c r="F30" s="1589">
        <v>0</v>
      </c>
      <c r="G30" s="1589">
        <v>0</v>
      </c>
      <c r="H30" s="1589">
        <v>0</v>
      </c>
      <c r="I30" s="1589">
        <v>0</v>
      </c>
      <c r="J30" s="1589">
        <v>0</v>
      </c>
      <c r="K30" s="1589">
        <v>0</v>
      </c>
      <c r="L30" s="1589">
        <v>0</v>
      </c>
      <c r="M30" s="1589">
        <v>0</v>
      </c>
      <c r="N30" s="1589">
        <v>0</v>
      </c>
      <c r="O30" s="1589">
        <v>0</v>
      </c>
      <c r="P30" s="1589">
        <v>0</v>
      </c>
      <c r="Q30" s="1589">
        <v>0</v>
      </c>
      <c r="R30" s="1647"/>
      <c r="S30" s="1591"/>
      <c r="T30" s="1716"/>
    </row>
    <row r="31" spans="1:20">
      <c r="A31" s="1588" t="s">
        <v>4286</v>
      </c>
      <c r="B31" s="1589">
        <v>0</v>
      </c>
      <c r="C31" s="1589">
        <v>1098082.5563999999</v>
      </c>
      <c r="D31" s="1589">
        <v>1401685.7000000002</v>
      </c>
      <c r="E31" s="1589">
        <v>0</v>
      </c>
      <c r="F31" s="1589">
        <v>2499768.2564000003</v>
      </c>
      <c r="G31" s="1589">
        <v>0</v>
      </c>
      <c r="H31" s="1589">
        <v>2377995.4246</v>
      </c>
      <c r="I31" s="1589">
        <v>0</v>
      </c>
      <c r="J31" s="1589">
        <v>0</v>
      </c>
      <c r="K31" s="1589">
        <v>2377995.4246</v>
      </c>
      <c r="L31" s="1589">
        <v>0</v>
      </c>
      <c r="M31" s="1589">
        <v>2553566.3198000006</v>
      </c>
      <c r="N31" s="1589">
        <v>0</v>
      </c>
      <c r="O31" s="1589">
        <v>0</v>
      </c>
      <c r="P31" s="1589">
        <v>2553566.3198000006</v>
      </c>
      <c r="Q31" s="1589">
        <v>7431330.0008000005</v>
      </c>
      <c r="S31" s="1648"/>
      <c r="T31" s="1717"/>
    </row>
    <row r="32" spans="1:20" ht="14.5">
      <c r="A32"/>
      <c r="B32"/>
      <c r="C32"/>
      <c r="D32"/>
      <c r="E32"/>
      <c r="F32"/>
      <c r="G32"/>
      <c r="H32"/>
      <c r="I32"/>
      <c r="J32"/>
      <c r="K32"/>
      <c r="L32"/>
      <c r="M32"/>
      <c r="N32"/>
      <c r="O32"/>
      <c r="P32"/>
      <c r="Q32"/>
      <c r="T32" s="1648"/>
    </row>
    <row r="33" spans="1:17" ht="14.5">
      <c r="A33"/>
      <c r="B33"/>
      <c r="C33"/>
      <c r="D33"/>
      <c r="E33"/>
      <c r="F33"/>
      <c r="G33"/>
      <c r="H33"/>
      <c r="I33"/>
      <c r="J33"/>
      <c r="K33"/>
      <c r="L33"/>
      <c r="M33"/>
      <c r="N33"/>
      <c r="O33"/>
      <c r="P33"/>
      <c r="Q33"/>
    </row>
    <row r="34" spans="1:17" ht="14.5">
      <c r="A34"/>
      <c r="B34"/>
      <c r="C34"/>
      <c r="D34"/>
      <c r="E34"/>
      <c r="F34"/>
      <c r="G34"/>
      <c r="H34"/>
      <c r="I34"/>
      <c r="J34"/>
      <c r="K34"/>
      <c r="L34"/>
      <c r="M34"/>
      <c r="N34"/>
      <c r="O34"/>
      <c r="P34"/>
      <c r="Q34"/>
    </row>
    <row r="35" spans="1:17" ht="14.5">
      <c r="A35"/>
      <c r="B35"/>
      <c r="C35"/>
      <c r="D35"/>
      <c r="E35"/>
      <c r="F35"/>
      <c r="G35"/>
      <c r="H35"/>
      <c r="I35"/>
      <c r="J35"/>
      <c r="K35"/>
      <c r="L35"/>
      <c r="M35"/>
      <c r="N35"/>
      <c r="O35"/>
      <c r="P35"/>
      <c r="Q35"/>
    </row>
    <row r="36" spans="1:17" ht="14.5">
      <c r="A36"/>
      <c r="B36"/>
      <c r="C36"/>
      <c r="D36"/>
      <c r="E36"/>
      <c r="F36"/>
      <c r="G36"/>
      <c r="H36"/>
      <c r="I36"/>
      <c r="J36"/>
      <c r="K36"/>
      <c r="L36"/>
      <c r="M36"/>
      <c r="N36"/>
      <c r="O36"/>
      <c r="P36"/>
      <c r="Q36"/>
    </row>
    <row r="37" spans="1:17" ht="14.5">
      <c r="A37"/>
      <c r="B37"/>
      <c r="C37"/>
      <c r="D37"/>
      <c r="E37"/>
      <c r="F37"/>
      <c r="G37"/>
      <c r="H37"/>
      <c r="I37"/>
      <c r="J37"/>
      <c r="K37"/>
      <c r="L37"/>
      <c r="M37"/>
      <c r="N37"/>
      <c r="O37"/>
      <c r="P37"/>
      <c r="Q37"/>
    </row>
    <row r="38" spans="1:17" ht="14.5">
      <c r="A38"/>
      <c r="B38"/>
      <c r="C38"/>
      <c r="D38"/>
      <c r="E38"/>
      <c r="F38"/>
      <c r="G38"/>
      <c r="H38"/>
      <c r="I38"/>
      <c r="J38"/>
      <c r="K38"/>
      <c r="L38"/>
      <c r="M38"/>
      <c r="N38"/>
      <c r="O38"/>
      <c r="P38"/>
      <c r="Q38"/>
    </row>
    <row r="39" spans="1:17" ht="14.5">
      <c r="A39"/>
      <c r="B39"/>
      <c r="C39"/>
      <c r="D39"/>
      <c r="E39"/>
      <c r="F39"/>
      <c r="G39"/>
      <c r="H39"/>
      <c r="I39"/>
      <c r="J39"/>
      <c r="K39"/>
      <c r="L39"/>
      <c r="M39"/>
      <c r="N39"/>
      <c r="O39"/>
      <c r="P39"/>
      <c r="Q39"/>
    </row>
    <row r="40" spans="1:17" ht="14.5">
      <c r="A40"/>
      <c r="B40"/>
      <c r="C40"/>
      <c r="D40"/>
      <c r="E40"/>
      <c r="F40"/>
      <c r="G40"/>
      <c r="H40"/>
      <c r="I40"/>
      <c r="J40"/>
      <c r="K40"/>
      <c r="L40"/>
      <c r="M40"/>
      <c r="N40"/>
      <c r="O40"/>
      <c r="P40"/>
      <c r="Q40"/>
    </row>
    <row r="41" spans="1:17" ht="14.5">
      <c r="A41"/>
      <c r="B41"/>
      <c r="C41"/>
      <c r="D41"/>
      <c r="E41"/>
      <c r="F41"/>
      <c r="G41"/>
      <c r="H41"/>
      <c r="I41"/>
      <c r="J41"/>
      <c r="K41"/>
      <c r="L41"/>
      <c r="M41"/>
      <c r="N41"/>
      <c r="O41"/>
      <c r="P41"/>
      <c r="Q41"/>
    </row>
    <row r="42" spans="1:17" ht="14.5">
      <c r="A42"/>
      <c r="B42"/>
      <c r="C42"/>
      <c r="D42"/>
      <c r="E42"/>
      <c r="F42"/>
      <c r="G42"/>
      <c r="H42"/>
      <c r="I42"/>
      <c r="J42"/>
      <c r="K42"/>
      <c r="L42"/>
      <c r="M42"/>
      <c r="N42"/>
      <c r="O42"/>
      <c r="P42"/>
      <c r="Q42"/>
    </row>
    <row r="43" spans="1:17" ht="14.5">
      <c r="A43"/>
      <c r="B43"/>
      <c r="C43"/>
      <c r="D43"/>
      <c r="E43"/>
      <c r="F43"/>
      <c r="G43"/>
      <c r="H43"/>
      <c r="I43"/>
      <c r="J43"/>
      <c r="K43"/>
      <c r="L43"/>
      <c r="M43"/>
      <c r="N43"/>
      <c r="O43"/>
      <c r="P43"/>
      <c r="Q43"/>
    </row>
  </sheetData>
  <pageMargins left="0.7" right="0.7" top="0.75" bottom="0.75" header="0.3" footer="0.3"/>
  <pageSetup orientation="portrait" horizontalDpi="90" verticalDpi="9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0" tint="-0.499984740745262"/>
  </sheetPr>
  <dimension ref="A1:Q321"/>
  <sheetViews>
    <sheetView showGridLines="0" topLeftCell="A298" zoomScale="54" zoomScaleNormal="54" workbookViewId="0">
      <selection activeCell="N308" sqref="N308"/>
    </sheetView>
  </sheetViews>
  <sheetFormatPr baseColWidth="10" defaultColWidth="11.26953125" defaultRowHeight="13"/>
  <cols>
    <col min="1" max="1" width="94.54296875" style="7" bestFit="1" customWidth="1"/>
    <col min="2" max="2" width="24.81640625" style="7" bestFit="1" customWidth="1"/>
    <col min="3" max="3" width="25.1796875" style="7" bestFit="1" customWidth="1"/>
    <col min="4" max="5" width="24" style="7" bestFit="1" customWidth="1"/>
    <col min="6" max="6" width="32.90625" style="7" bestFit="1" customWidth="1"/>
    <col min="7" max="10" width="24" style="7" bestFit="1" customWidth="1"/>
    <col min="11" max="11" width="33.26953125" style="7" bestFit="1" customWidth="1"/>
    <col min="12" max="12" width="24" style="7" bestFit="1" customWidth="1"/>
    <col min="13" max="13" width="24.81640625" style="7" bestFit="1" customWidth="1"/>
    <col min="14" max="14" width="24.54296875" style="7" bestFit="1" customWidth="1"/>
    <col min="15" max="15" width="24.81640625" style="7" bestFit="1" customWidth="1"/>
    <col min="16" max="16" width="33.26953125" style="7" bestFit="1" customWidth="1"/>
    <col min="17" max="17" width="34.90625" style="7" bestFit="1" customWidth="1"/>
    <col min="18" max="16384" width="11.26953125" style="7"/>
  </cols>
  <sheetData>
    <row r="1" spans="1:17">
      <c r="A1" s="1587" t="s">
        <v>686</v>
      </c>
      <c r="B1" s="7" t="s">
        <v>4287</v>
      </c>
    </row>
    <row r="3" spans="1:17">
      <c r="A3" s="1587" t="s">
        <v>4285</v>
      </c>
      <c r="B3" s="7" t="s">
        <v>2645</v>
      </c>
      <c r="C3" s="7" t="s">
        <v>2646</v>
      </c>
      <c r="D3" s="7" t="s">
        <v>2647</v>
      </c>
      <c r="E3" s="7" t="s">
        <v>2648</v>
      </c>
      <c r="F3" s="7" t="s">
        <v>2543</v>
      </c>
      <c r="G3" s="7" t="s">
        <v>2649</v>
      </c>
      <c r="H3" s="7" t="s">
        <v>2650</v>
      </c>
      <c r="I3" s="7" t="s">
        <v>2651</v>
      </c>
      <c r="J3" s="7" t="s">
        <v>2652</v>
      </c>
      <c r="K3" s="7" t="s">
        <v>2544</v>
      </c>
      <c r="L3" s="7" t="s">
        <v>2653</v>
      </c>
      <c r="M3" s="7" t="s">
        <v>2654</v>
      </c>
      <c r="N3" s="7" t="s">
        <v>2655</v>
      </c>
      <c r="O3" s="7" t="s">
        <v>2656</v>
      </c>
      <c r="P3" s="7" t="s">
        <v>2545</v>
      </c>
      <c r="Q3" s="7" t="s">
        <v>2546</v>
      </c>
    </row>
    <row r="4" spans="1:17">
      <c r="A4" s="1588" t="s">
        <v>598</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725" t="s">
        <v>599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726" t="s">
        <v>600</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726" t="s">
        <v>603</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726" t="s">
        <v>595</v>
      </c>
      <c r="B8" s="1589">
        <v>0</v>
      </c>
      <c r="C8" s="1589">
        <v>0</v>
      </c>
      <c r="D8" s="1589">
        <v>0</v>
      </c>
      <c r="E8" s="1589">
        <v>0</v>
      </c>
      <c r="F8" s="1589">
        <v>0</v>
      </c>
      <c r="G8" s="1589">
        <v>0</v>
      </c>
      <c r="H8" s="1589">
        <v>0</v>
      </c>
      <c r="I8" s="1589">
        <v>0</v>
      </c>
      <c r="J8" s="1589">
        <v>0</v>
      </c>
      <c r="K8" s="1589">
        <v>0</v>
      </c>
      <c r="L8" s="1589">
        <v>0</v>
      </c>
      <c r="M8" s="1589">
        <v>0</v>
      </c>
      <c r="N8" s="1589">
        <v>0</v>
      </c>
      <c r="O8" s="1589">
        <v>0</v>
      </c>
      <c r="P8" s="1589">
        <v>0</v>
      </c>
      <c r="Q8" s="1589">
        <v>0</v>
      </c>
    </row>
    <row r="9" spans="1:17">
      <c r="A9" s="1726" t="s">
        <v>597</v>
      </c>
      <c r="B9" s="1589">
        <v>0</v>
      </c>
      <c r="C9" s="1589">
        <v>0</v>
      </c>
      <c r="D9" s="1589">
        <v>0</v>
      </c>
      <c r="E9" s="1589">
        <v>0</v>
      </c>
      <c r="F9" s="1589">
        <v>0</v>
      </c>
      <c r="G9" s="1589">
        <v>0</v>
      </c>
      <c r="H9" s="1589">
        <v>0</v>
      </c>
      <c r="I9" s="1589">
        <v>0</v>
      </c>
      <c r="J9" s="1589">
        <v>0</v>
      </c>
      <c r="K9" s="1589">
        <v>0</v>
      </c>
      <c r="L9" s="1589">
        <v>0</v>
      </c>
      <c r="M9" s="1589">
        <v>0</v>
      </c>
      <c r="N9" s="1589">
        <v>0</v>
      </c>
      <c r="O9" s="1589">
        <v>0</v>
      </c>
      <c r="P9" s="1589">
        <v>0</v>
      </c>
      <c r="Q9" s="1589">
        <v>0</v>
      </c>
    </row>
    <row r="10" spans="1:17">
      <c r="A10" s="1726" t="s">
        <v>1896</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726" t="s">
        <v>593</v>
      </c>
      <c r="B11" s="1589">
        <v>0</v>
      </c>
      <c r="C11" s="1589">
        <v>0</v>
      </c>
      <c r="D11" s="1589">
        <v>0</v>
      </c>
      <c r="E11" s="1589">
        <v>0</v>
      </c>
      <c r="F11" s="1589">
        <v>0</v>
      </c>
      <c r="G11" s="1589">
        <v>0</v>
      </c>
      <c r="H11" s="1589">
        <v>0</v>
      </c>
      <c r="I11" s="1589">
        <v>0</v>
      </c>
      <c r="J11" s="1589">
        <v>0</v>
      </c>
      <c r="K11" s="1589">
        <v>0</v>
      </c>
      <c r="L11" s="1589">
        <v>0</v>
      </c>
      <c r="M11" s="1589">
        <v>0</v>
      </c>
      <c r="N11" s="1589">
        <v>0</v>
      </c>
      <c r="O11" s="1589">
        <v>0</v>
      </c>
      <c r="P11" s="1589">
        <v>0</v>
      </c>
      <c r="Q11" s="1589">
        <v>0</v>
      </c>
    </row>
    <row r="12" spans="1:17">
      <c r="A12" s="1726" t="s">
        <v>586</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726" t="s">
        <v>528</v>
      </c>
      <c r="B13" s="1589">
        <v>0</v>
      </c>
      <c r="C13" s="1589">
        <v>0</v>
      </c>
      <c r="D13" s="1589">
        <v>0</v>
      </c>
      <c r="E13" s="1589">
        <v>0</v>
      </c>
      <c r="F13" s="1589">
        <v>0</v>
      </c>
      <c r="G13" s="1589">
        <v>0</v>
      </c>
      <c r="H13" s="1589">
        <v>0</v>
      </c>
      <c r="I13" s="1589">
        <v>0</v>
      </c>
      <c r="J13" s="1589">
        <v>0</v>
      </c>
      <c r="K13" s="1589">
        <v>0</v>
      </c>
      <c r="L13" s="1589">
        <v>0</v>
      </c>
      <c r="M13" s="1589">
        <v>0</v>
      </c>
      <c r="N13" s="1589">
        <v>0</v>
      </c>
      <c r="O13" s="1589">
        <v>0</v>
      </c>
      <c r="P13" s="1589">
        <v>0</v>
      </c>
      <c r="Q13" s="1589">
        <v>0</v>
      </c>
    </row>
    <row r="14" spans="1:17">
      <c r="A14" s="1726" t="s">
        <v>530</v>
      </c>
      <c r="B14" s="1589">
        <v>0</v>
      </c>
      <c r="C14" s="1589">
        <v>0</v>
      </c>
      <c r="D14" s="1589">
        <v>0</v>
      </c>
      <c r="E14" s="1589">
        <v>0</v>
      </c>
      <c r="F14" s="1589">
        <v>0</v>
      </c>
      <c r="G14" s="1589">
        <v>0</v>
      </c>
      <c r="H14" s="1589">
        <v>0</v>
      </c>
      <c r="I14" s="1589">
        <v>0</v>
      </c>
      <c r="J14" s="1589">
        <v>0</v>
      </c>
      <c r="K14" s="1589">
        <v>0</v>
      </c>
      <c r="L14" s="1589">
        <v>0</v>
      </c>
      <c r="M14" s="1589">
        <v>0</v>
      </c>
      <c r="N14" s="1589">
        <v>0</v>
      </c>
      <c r="O14" s="1589">
        <v>0</v>
      </c>
      <c r="P14" s="1589">
        <v>0</v>
      </c>
      <c r="Q14" s="1589">
        <v>0</v>
      </c>
    </row>
    <row r="15" spans="1:17">
      <c r="A15" s="1726" t="s">
        <v>532</v>
      </c>
      <c r="B15" s="1589">
        <v>0</v>
      </c>
      <c r="C15" s="1589">
        <v>0</v>
      </c>
      <c r="D15" s="1589">
        <v>0</v>
      </c>
      <c r="E15" s="1589">
        <v>0</v>
      </c>
      <c r="F15" s="1589">
        <v>0</v>
      </c>
      <c r="G15" s="1589">
        <v>0</v>
      </c>
      <c r="H15" s="1589">
        <v>0</v>
      </c>
      <c r="I15" s="1589">
        <v>0</v>
      </c>
      <c r="J15" s="1589">
        <v>0</v>
      </c>
      <c r="K15" s="1589">
        <v>0</v>
      </c>
      <c r="L15" s="1589">
        <v>0</v>
      </c>
      <c r="M15" s="1589">
        <v>0</v>
      </c>
      <c r="N15" s="1589">
        <v>0</v>
      </c>
      <c r="O15" s="1589">
        <v>0</v>
      </c>
      <c r="P15" s="1589">
        <v>0</v>
      </c>
      <c r="Q15" s="1589">
        <v>0</v>
      </c>
    </row>
    <row r="16" spans="1:17">
      <c r="A16" s="1726" t="s">
        <v>534</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17">
      <c r="A17" s="1726" t="s">
        <v>536</v>
      </c>
      <c r="B17" s="1589">
        <v>0</v>
      </c>
      <c r="C17" s="1589">
        <v>0</v>
      </c>
      <c r="D17" s="1589">
        <v>0</v>
      </c>
      <c r="E17" s="1589">
        <v>0</v>
      </c>
      <c r="F17" s="1589">
        <v>0</v>
      </c>
      <c r="G17" s="1589">
        <v>0</v>
      </c>
      <c r="H17" s="1589">
        <v>0</v>
      </c>
      <c r="I17" s="1589">
        <v>0</v>
      </c>
      <c r="J17" s="1589">
        <v>0</v>
      </c>
      <c r="K17" s="1589">
        <v>0</v>
      </c>
      <c r="L17" s="1589">
        <v>0</v>
      </c>
      <c r="M17" s="1589">
        <v>0</v>
      </c>
      <c r="N17" s="1589">
        <v>0</v>
      </c>
      <c r="O17" s="1589">
        <v>0</v>
      </c>
      <c r="P17" s="1589">
        <v>0</v>
      </c>
      <c r="Q17" s="1589">
        <v>0</v>
      </c>
    </row>
    <row r="18" spans="1:17">
      <c r="A18" s="1726" t="s">
        <v>538</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row>
    <row r="19" spans="1:17">
      <c r="A19" s="1726" t="s">
        <v>540</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row>
    <row r="20" spans="1:17">
      <c r="A20" s="1725" t="s">
        <v>606</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row>
    <row r="21" spans="1:17">
      <c r="A21" s="1726" t="s">
        <v>600</v>
      </c>
      <c r="B21" s="1589">
        <v>0</v>
      </c>
      <c r="C21" s="1589">
        <v>0</v>
      </c>
      <c r="D21" s="1589">
        <v>0</v>
      </c>
      <c r="E21" s="1589">
        <v>0</v>
      </c>
      <c r="F21" s="1589">
        <v>0</v>
      </c>
      <c r="G21" s="1589">
        <v>0</v>
      </c>
      <c r="H21" s="1589">
        <v>0</v>
      </c>
      <c r="I21" s="1589">
        <v>0</v>
      </c>
      <c r="J21" s="1589">
        <v>0</v>
      </c>
      <c r="K21" s="1589">
        <v>0</v>
      </c>
      <c r="L21" s="1589">
        <v>0</v>
      </c>
      <c r="M21" s="1589">
        <v>0</v>
      </c>
      <c r="N21" s="1589">
        <v>0</v>
      </c>
      <c r="O21" s="1589">
        <v>0</v>
      </c>
      <c r="P21" s="1589">
        <v>0</v>
      </c>
      <c r="Q21" s="1589">
        <v>0</v>
      </c>
    </row>
    <row r="22" spans="1:17">
      <c r="A22" s="1726" t="s">
        <v>603</v>
      </c>
      <c r="B22" s="1589">
        <v>0</v>
      </c>
      <c r="C22" s="1589">
        <v>0</v>
      </c>
      <c r="D22" s="1589">
        <v>0</v>
      </c>
      <c r="E22" s="1589">
        <v>0</v>
      </c>
      <c r="F22" s="1589">
        <v>0</v>
      </c>
      <c r="G22" s="1589">
        <v>0</v>
      </c>
      <c r="H22" s="1589">
        <v>0</v>
      </c>
      <c r="I22" s="1589">
        <v>0</v>
      </c>
      <c r="J22" s="1589">
        <v>0</v>
      </c>
      <c r="K22" s="1589">
        <v>0</v>
      </c>
      <c r="L22" s="1589">
        <v>0</v>
      </c>
      <c r="M22" s="1589">
        <v>0</v>
      </c>
      <c r="N22" s="1589">
        <v>0</v>
      </c>
      <c r="O22" s="1589">
        <v>0</v>
      </c>
      <c r="P22" s="1589">
        <v>0</v>
      </c>
      <c r="Q22" s="1589">
        <v>0</v>
      </c>
    </row>
    <row r="23" spans="1:17">
      <c r="A23" s="1726" t="s">
        <v>528</v>
      </c>
      <c r="B23" s="1589">
        <v>0</v>
      </c>
      <c r="C23" s="1589">
        <v>0</v>
      </c>
      <c r="D23" s="1589">
        <v>0</v>
      </c>
      <c r="E23" s="1589">
        <v>0</v>
      </c>
      <c r="F23" s="1589">
        <v>0</v>
      </c>
      <c r="G23" s="1589">
        <v>0</v>
      </c>
      <c r="H23" s="1589">
        <v>0</v>
      </c>
      <c r="I23" s="1589">
        <v>0</v>
      </c>
      <c r="J23" s="1589">
        <v>0</v>
      </c>
      <c r="K23" s="1589">
        <v>0</v>
      </c>
      <c r="L23" s="1589">
        <v>0</v>
      </c>
      <c r="M23" s="1589">
        <v>0</v>
      </c>
      <c r="N23" s="1589">
        <v>0</v>
      </c>
      <c r="O23" s="1589">
        <v>0</v>
      </c>
      <c r="P23" s="1589">
        <v>0</v>
      </c>
      <c r="Q23" s="1589">
        <v>0</v>
      </c>
    </row>
    <row r="24" spans="1:17">
      <c r="A24" s="1726" t="s">
        <v>530</v>
      </c>
      <c r="B24" s="1589">
        <v>0</v>
      </c>
      <c r="C24" s="1589">
        <v>0</v>
      </c>
      <c r="D24" s="1589">
        <v>0</v>
      </c>
      <c r="E24" s="1589">
        <v>0</v>
      </c>
      <c r="F24" s="1589">
        <v>0</v>
      </c>
      <c r="G24" s="1589">
        <v>0</v>
      </c>
      <c r="H24" s="1589">
        <v>0</v>
      </c>
      <c r="I24" s="1589">
        <v>0</v>
      </c>
      <c r="J24" s="1589">
        <v>0</v>
      </c>
      <c r="K24" s="1589">
        <v>0</v>
      </c>
      <c r="L24" s="1589">
        <v>0</v>
      </c>
      <c r="M24" s="1589">
        <v>0</v>
      </c>
      <c r="N24" s="1589">
        <v>0</v>
      </c>
      <c r="O24" s="1589">
        <v>0</v>
      </c>
      <c r="P24" s="1589">
        <v>0</v>
      </c>
      <c r="Q24" s="1589">
        <v>0</v>
      </c>
    </row>
    <row r="25" spans="1:17">
      <c r="A25" s="1726" t="s">
        <v>532</v>
      </c>
      <c r="B25" s="1589">
        <v>0</v>
      </c>
      <c r="C25" s="1589">
        <v>0</v>
      </c>
      <c r="D25" s="1589">
        <v>0</v>
      </c>
      <c r="E25" s="1589">
        <v>0</v>
      </c>
      <c r="F25" s="1589">
        <v>0</v>
      </c>
      <c r="G25" s="1589">
        <v>0</v>
      </c>
      <c r="H25" s="1589">
        <v>0</v>
      </c>
      <c r="I25" s="1589">
        <v>0</v>
      </c>
      <c r="J25" s="1589">
        <v>0</v>
      </c>
      <c r="K25" s="1589">
        <v>0</v>
      </c>
      <c r="L25" s="1589">
        <v>0</v>
      </c>
      <c r="M25" s="1589">
        <v>0</v>
      </c>
      <c r="N25" s="1589">
        <v>0</v>
      </c>
      <c r="O25" s="1589">
        <v>0</v>
      </c>
      <c r="P25" s="1589">
        <v>0</v>
      </c>
      <c r="Q25" s="1589">
        <v>0</v>
      </c>
    </row>
    <row r="26" spans="1:17">
      <c r="A26" s="1726" t="s">
        <v>534</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row>
    <row r="27" spans="1:17">
      <c r="A27" s="1726" t="s">
        <v>536</v>
      </c>
      <c r="B27" s="1589">
        <v>0</v>
      </c>
      <c r="C27" s="1589">
        <v>0</v>
      </c>
      <c r="D27" s="1589">
        <v>0</v>
      </c>
      <c r="E27" s="1589">
        <v>0</v>
      </c>
      <c r="F27" s="1589">
        <v>0</v>
      </c>
      <c r="G27" s="1589">
        <v>0</v>
      </c>
      <c r="H27" s="1589">
        <v>0</v>
      </c>
      <c r="I27" s="1589">
        <v>0</v>
      </c>
      <c r="J27" s="1589">
        <v>0</v>
      </c>
      <c r="K27" s="1589">
        <v>0</v>
      </c>
      <c r="L27" s="1589">
        <v>0</v>
      </c>
      <c r="M27" s="1589">
        <v>0</v>
      </c>
      <c r="N27" s="1589">
        <v>0</v>
      </c>
      <c r="O27" s="1589">
        <v>0</v>
      </c>
      <c r="P27" s="1589">
        <v>0</v>
      </c>
      <c r="Q27" s="1589">
        <v>0</v>
      </c>
    </row>
    <row r="28" spans="1:17">
      <c r="A28" s="1726" t="s">
        <v>538</v>
      </c>
      <c r="B28" s="1589">
        <v>0</v>
      </c>
      <c r="C28" s="1589">
        <v>0</v>
      </c>
      <c r="D28" s="1589">
        <v>0</v>
      </c>
      <c r="E28" s="1589">
        <v>0</v>
      </c>
      <c r="F28" s="1589">
        <v>0</v>
      </c>
      <c r="G28" s="1589">
        <v>0</v>
      </c>
      <c r="H28" s="1589">
        <v>0</v>
      </c>
      <c r="I28" s="1589">
        <v>0</v>
      </c>
      <c r="J28" s="1589">
        <v>0</v>
      </c>
      <c r="K28" s="1589">
        <v>0</v>
      </c>
      <c r="L28" s="1589">
        <v>0</v>
      </c>
      <c r="M28" s="1589">
        <v>0</v>
      </c>
      <c r="N28" s="1589">
        <v>0</v>
      </c>
      <c r="O28" s="1589">
        <v>0</v>
      </c>
      <c r="P28" s="1589">
        <v>0</v>
      </c>
      <c r="Q28" s="1589">
        <v>0</v>
      </c>
    </row>
    <row r="29" spans="1:17">
      <c r="A29" s="1726" t="s">
        <v>540</v>
      </c>
      <c r="B29" s="1589">
        <v>0</v>
      </c>
      <c r="C29" s="1589">
        <v>0</v>
      </c>
      <c r="D29" s="1589">
        <v>0</v>
      </c>
      <c r="E29" s="1589">
        <v>0</v>
      </c>
      <c r="F29" s="1589">
        <v>0</v>
      </c>
      <c r="G29" s="1589">
        <v>0</v>
      </c>
      <c r="H29" s="1589">
        <v>0</v>
      </c>
      <c r="I29" s="1589">
        <v>0</v>
      </c>
      <c r="J29" s="1589">
        <v>0</v>
      </c>
      <c r="K29" s="1589">
        <v>0</v>
      </c>
      <c r="L29" s="1589">
        <v>0</v>
      </c>
      <c r="M29" s="1589">
        <v>0</v>
      </c>
      <c r="N29" s="1589">
        <v>0</v>
      </c>
      <c r="O29" s="1589">
        <v>0</v>
      </c>
      <c r="P29" s="1589">
        <v>0</v>
      </c>
      <c r="Q29" s="1589">
        <v>0</v>
      </c>
    </row>
    <row r="30" spans="1:17">
      <c r="A30" s="1725" t="s">
        <v>609</v>
      </c>
      <c r="B30" s="1589">
        <v>0</v>
      </c>
      <c r="C30" s="1589">
        <v>0</v>
      </c>
      <c r="D30" s="1589">
        <v>0</v>
      </c>
      <c r="E30" s="1589">
        <v>0</v>
      </c>
      <c r="F30" s="1589">
        <v>0</v>
      </c>
      <c r="G30" s="1589">
        <v>0</v>
      </c>
      <c r="H30" s="1589">
        <v>0</v>
      </c>
      <c r="I30" s="1589">
        <v>0</v>
      </c>
      <c r="J30" s="1589">
        <v>0</v>
      </c>
      <c r="K30" s="1589">
        <v>0</v>
      </c>
      <c r="L30" s="1589">
        <v>0</v>
      </c>
      <c r="M30" s="1589">
        <v>0</v>
      </c>
      <c r="N30" s="1589">
        <v>0</v>
      </c>
      <c r="O30" s="1589">
        <v>0</v>
      </c>
      <c r="P30" s="1589">
        <v>0</v>
      </c>
      <c r="Q30" s="1589">
        <v>0</v>
      </c>
    </row>
    <row r="31" spans="1:17">
      <c r="A31" s="1726" t="s">
        <v>600</v>
      </c>
      <c r="B31" s="1589">
        <v>0</v>
      </c>
      <c r="C31" s="1589">
        <v>0</v>
      </c>
      <c r="D31" s="1589">
        <v>0</v>
      </c>
      <c r="E31" s="1589">
        <v>0</v>
      </c>
      <c r="F31" s="1589">
        <v>0</v>
      </c>
      <c r="G31" s="1589">
        <v>0</v>
      </c>
      <c r="H31" s="1589">
        <v>0</v>
      </c>
      <c r="I31" s="1589">
        <v>0</v>
      </c>
      <c r="J31" s="1589">
        <v>0</v>
      </c>
      <c r="K31" s="1589">
        <v>0</v>
      </c>
      <c r="L31" s="1589">
        <v>0</v>
      </c>
      <c r="M31" s="1589">
        <v>0</v>
      </c>
      <c r="N31" s="1589">
        <v>0</v>
      </c>
      <c r="O31" s="1589">
        <v>0</v>
      </c>
      <c r="P31" s="1589">
        <v>0</v>
      </c>
      <c r="Q31" s="1589">
        <v>0</v>
      </c>
    </row>
    <row r="32" spans="1:17">
      <c r="A32" s="1726" t="s">
        <v>603</v>
      </c>
      <c r="B32" s="1589">
        <v>0</v>
      </c>
      <c r="C32" s="1589">
        <v>0</v>
      </c>
      <c r="D32" s="1589">
        <v>0</v>
      </c>
      <c r="E32" s="1589">
        <v>0</v>
      </c>
      <c r="F32" s="1589">
        <v>0</v>
      </c>
      <c r="G32" s="1589">
        <v>0</v>
      </c>
      <c r="H32" s="1589">
        <v>0</v>
      </c>
      <c r="I32" s="1589">
        <v>0</v>
      </c>
      <c r="J32" s="1589">
        <v>0</v>
      </c>
      <c r="K32" s="1589">
        <v>0</v>
      </c>
      <c r="L32" s="1589">
        <v>0</v>
      </c>
      <c r="M32" s="1589">
        <v>0</v>
      </c>
      <c r="N32" s="1589">
        <v>0</v>
      </c>
      <c r="O32" s="1589">
        <v>0</v>
      </c>
      <c r="P32" s="1589">
        <v>0</v>
      </c>
      <c r="Q32" s="1589">
        <v>0</v>
      </c>
    </row>
    <row r="33" spans="1:17">
      <c r="A33" s="1726" t="s">
        <v>528</v>
      </c>
      <c r="B33" s="1589">
        <v>0</v>
      </c>
      <c r="C33" s="1589">
        <v>0</v>
      </c>
      <c r="D33" s="1589">
        <v>0</v>
      </c>
      <c r="E33" s="1589">
        <v>0</v>
      </c>
      <c r="F33" s="1589">
        <v>0</v>
      </c>
      <c r="G33" s="1589">
        <v>0</v>
      </c>
      <c r="H33" s="1589">
        <v>0</v>
      </c>
      <c r="I33" s="1589">
        <v>0</v>
      </c>
      <c r="J33" s="1589">
        <v>0</v>
      </c>
      <c r="K33" s="1589">
        <v>0</v>
      </c>
      <c r="L33" s="1589">
        <v>0</v>
      </c>
      <c r="M33" s="1589">
        <v>0</v>
      </c>
      <c r="N33" s="1589">
        <v>0</v>
      </c>
      <c r="O33" s="1589">
        <v>0</v>
      </c>
      <c r="P33" s="1589">
        <v>0</v>
      </c>
      <c r="Q33" s="1589">
        <v>0</v>
      </c>
    </row>
    <row r="34" spans="1:17">
      <c r="A34" s="1726" t="s">
        <v>530</v>
      </c>
      <c r="B34" s="1589">
        <v>0</v>
      </c>
      <c r="C34" s="1589">
        <v>0</v>
      </c>
      <c r="D34" s="1589">
        <v>0</v>
      </c>
      <c r="E34" s="1589">
        <v>0</v>
      </c>
      <c r="F34" s="1589">
        <v>0</v>
      </c>
      <c r="G34" s="1589">
        <v>0</v>
      </c>
      <c r="H34" s="1589">
        <v>0</v>
      </c>
      <c r="I34" s="1589">
        <v>0</v>
      </c>
      <c r="J34" s="1589">
        <v>0</v>
      </c>
      <c r="K34" s="1589">
        <v>0</v>
      </c>
      <c r="L34" s="1589">
        <v>0</v>
      </c>
      <c r="M34" s="1589">
        <v>0</v>
      </c>
      <c r="N34" s="1589">
        <v>0</v>
      </c>
      <c r="O34" s="1589">
        <v>0</v>
      </c>
      <c r="P34" s="1589">
        <v>0</v>
      </c>
      <c r="Q34" s="1589">
        <v>0</v>
      </c>
    </row>
    <row r="35" spans="1:17">
      <c r="A35" s="1726" t="s">
        <v>532</v>
      </c>
      <c r="B35" s="1589">
        <v>0</v>
      </c>
      <c r="C35" s="1589">
        <v>0</v>
      </c>
      <c r="D35" s="1589">
        <v>0</v>
      </c>
      <c r="E35" s="1589">
        <v>0</v>
      </c>
      <c r="F35" s="1589">
        <v>0</v>
      </c>
      <c r="G35" s="1589">
        <v>0</v>
      </c>
      <c r="H35" s="1589">
        <v>0</v>
      </c>
      <c r="I35" s="1589">
        <v>0</v>
      </c>
      <c r="J35" s="1589">
        <v>0</v>
      </c>
      <c r="K35" s="1589">
        <v>0</v>
      </c>
      <c r="L35" s="1589">
        <v>0</v>
      </c>
      <c r="M35" s="1589">
        <v>0</v>
      </c>
      <c r="N35" s="1589">
        <v>0</v>
      </c>
      <c r="O35" s="1589">
        <v>0</v>
      </c>
      <c r="P35" s="1589">
        <v>0</v>
      </c>
      <c r="Q35" s="1589">
        <v>0</v>
      </c>
    </row>
    <row r="36" spans="1:17">
      <c r="A36" s="1726" t="s">
        <v>534</v>
      </c>
      <c r="B36" s="1589">
        <v>0</v>
      </c>
      <c r="C36" s="1589">
        <v>0</v>
      </c>
      <c r="D36" s="1589">
        <v>0</v>
      </c>
      <c r="E36" s="1589">
        <v>0</v>
      </c>
      <c r="F36" s="1589">
        <v>0</v>
      </c>
      <c r="G36" s="1589">
        <v>0</v>
      </c>
      <c r="H36" s="1589">
        <v>0</v>
      </c>
      <c r="I36" s="1589">
        <v>0</v>
      </c>
      <c r="J36" s="1589">
        <v>0</v>
      </c>
      <c r="K36" s="1589">
        <v>0</v>
      </c>
      <c r="L36" s="1589">
        <v>0</v>
      </c>
      <c r="M36" s="1589">
        <v>0</v>
      </c>
      <c r="N36" s="1589">
        <v>0</v>
      </c>
      <c r="O36" s="1589">
        <v>0</v>
      </c>
      <c r="P36" s="1589">
        <v>0</v>
      </c>
      <c r="Q36" s="1589">
        <v>0</v>
      </c>
    </row>
    <row r="37" spans="1:17">
      <c r="A37" s="1726" t="s">
        <v>536</v>
      </c>
      <c r="B37" s="1589">
        <v>0</v>
      </c>
      <c r="C37" s="1589">
        <v>0</v>
      </c>
      <c r="D37" s="1589">
        <v>0</v>
      </c>
      <c r="E37" s="1589">
        <v>0</v>
      </c>
      <c r="F37" s="1589">
        <v>0</v>
      </c>
      <c r="G37" s="1589">
        <v>0</v>
      </c>
      <c r="H37" s="1589">
        <v>0</v>
      </c>
      <c r="I37" s="1589">
        <v>0</v>
      </c>
      <c r="J37" s="1589">
        <v>0</v>
      </c>
      <c r="K37" s="1589">
        <v>0</v>
      </c>
      <c r="L37" s="1589">
        <v>0</v>
      </c>
      <c r="M37" s="1589">
        <v>0</v>
      </c>
      <c r="N37" s="1589">
        <v>0</v>
      </c>
      <c r="O37" s="1589">
        <v>0</v>
      </c>
      <c r="P37" s="1589">
        <v>0</v>
      </c>
      <c r="Q37" s="1589">
        <v>0</v>
      </c>
    </row>
    <row r="38" spans="1:17">
      <c r="A38" s="1726" t="s">
        <v>538</v>
      </c>
      <c r="B38" s="1589">
        <v>0</v>
      </c>
      <c r="C38" s="1589">
        <v>0</v>
      </c>
      <c r="D38" s="1589">
        <v>0</v>
      </c>
      <c r="E38" s="1589">
        <v>0</v>
      </c>
      <c r="F38" s="1589">
        <v>0</v>
      </c>
      <c r="G38" s="1589">
        <v>0</v>
      </c>
      <c r="H38" s="1589">
        <v>0</v>
      </c>
      <c r="I38" s="1589">
        <v>0</v>
      </c>
      <c r="J38" s="1589">
        <v>0</v>
      </c>
      <c r="K38" s="1589">
        <v>0</v>
      </c>
      <c r="L38" s="1589">
        <v>0</v>
      </c>
      <c r="M38" s="1589">
        <v>0</v>
      </c>
      <c r="N38" s="1589">
        <v>0</v>
      </c>
      <c r="O38" s="1589">
        <v>0</v>
      </c>
      <c r="P38" s="1589">
        <v>0</v>
      </c>
      <c r="Q38" s="1589">
        <v>0</v>
      </c>
    </row>
    <row r="39" spans="1:17">
      <c r="A39" s="1726" t="s">
        <v>540</v>
      </c>
      <c r="B39" s="1589">
        <v>0</v>
      </c>
      <c r="C39" s="1589">
        <v>0</v>
      </c>
      <c r="D39" s="1589">
        <v>0</v>
      </c>
      <c r="E39" s="1589">
        <v>0</v>
      </c>
      <c r="F39" s="1589">
        <v>0</v>
      </c>
      <c r="G39" s="1589">
        <v>0</v>
      </c>
      <c r="H39" s="1589">
        <v>0</v>
      </c>
      <c r="I39" s="1589">
        <v>0</v>
      </c>
      <c r="J39" s="1589">
        <v>0</v>
      </c>
      <c r="K39" s="1589">
        <v>0</v>
      </c>
      <c r="L39" s="1589">
        <v>0</v>
      </c>
      <c r="M39" s="1589">
        <v>0</v>
      </c>
      <c r="N39" s="1589">
        <v>0</v>
      </c>
      <c r="O39" s="1589">
        <v>0</v>
      </c>
      <c r="P39" s="1589">
        <v>0</v>
      </c>
      <c r="Q39" s="1589">
        <v>0</v>
      </c>
    </row>
    <row r="40" spans="1:17">
      <c r="A40" s="1588" t="s">
        <v>672</v>
      </c>
      <c r="B40" s="1589">
        <v>0</v>
      </c>
      <c r="C40" s="1589">
        <v>160978.59960399999</v>
      </c>
      <c r="D40" s="1589">
        <v>0</v>
      </c>
      <c r="E40" s="1589">
        <v>0</v>
      </c>
      <c r="F40" s="1589">
        <v>160978.59960399999</v>
      </c>
      <c r="G40" s="1589">
        <v>0</v>
      </c>
      <c r="H40" s="1589">
        <v>168128.21725154002</v>
      </c>
      <c r="I40" s="1589">
        <v>0</v>
      </c>
      <c r="J40" s="1589">
        <v>0</v>
      </c>
      <c r="K40" s="1589">
        <v>168128.21725154002</v>
      </c>
      <c r="L40" s="1589">
        <v>0</v>
      </c>
      <c r="M40" s="1589">
        <v>178961.65003814001</v>
      </c>
      <c r="N40" s="1589">
        <v>0</v>
      </c>
      <c r="O40" s="1589">
        <v>0</v>
      </c>
      <c r="P40" s="1589">
        <v>178961.65003814001</v>
      </c>
      <c r="Q40" s="1589">
        <v>508068.46689368016</v>
      </c>
    </row>
    <row r="41" spans="1:17">
      <c r="A41" s="1725" t="s">
        <v>674</v>
      </c>
      <c r="B41" s="1589">
        <v>0</v>
      </c>
      <c r="C41" s="1589">
        <v>0</v>
      </c>
      <c r="D41" s="1589">
        <v>0</v>
      </c>
      <c r="E41" s="1589">
        <v>0</v>
      </c>
      <c r="F41" s="1589">
        <v>0</v>
      </c>
      <c r="G41" s="1589">
        <v>0</v>
      </c>
      <c r="H41" s="1589">
        <v>0</v>
      </c>
      <c r="I41" s="1589">
        <v>0</v>
      </c>
      <c r="J41" s="1589">
        <v>0</v>
      </c>
      <c r="K41" s="1589">
        <v>0</v>
      </c>
      <c r="L41" s="1589">
        <v>0</v>
      </c>
      <c r="M41" s="1589">
        <v>0</v>
      </c>
      <c r="N41" s="1589">
        <v>0</v>
      </c>
      <c r="O41" s="1589">
        <v>0</v>
      </c>
      <c r="P41" s="1589">
        <v>0</v>
      </c>
      <c r="Q41" s="1589">
        <v>0</v>
      </c>
    </row>
    <row r="42" spans="1:17">
      <c r="A42" s="1726" t="s">
        <v>603</v>
      </c>
      <c r="B42" s="1589">
        <v>0</v>
      </c>
      <c r="C42" s="1589">
        <v>0</v>
      </c>
      <c r="D42" s="1589">
        <v>0</v>
      </c>
      <c r="E42" s="1589">
        <v>0</v>
      </c>
      <c r="F42" s="1589">
        <v>0</v>
      </c>
      <c r="G42" s="1589">
        <v>0</v>
      </c>
      <c r="H42" s="1589">
        <v>0</v>
      </c>
      <c r="I42" s="1589">
        <v>0</v>
      </c>
      <c r="J42" s="1589">
        <v>0</v>
      </c>
      <c r="K42" s="1589">
        <v>0</v>
      </c>
      <c r="L42" s="1589">
        <v>0</v>
      </c>
      <c r="M42" s="1589">
        <v>0</v>
      </c>
      <c r="N42" s="1589">
        <v>0</v>
      </c>
      <c r="O42" s="1589">
        <v>0</v>
      </c>
      <c r="P42" s="1589">
        <v>0</v>
      </c>
      <c r="Q42" s="1589">
        <v>0</v>
      </c>
    </row>
    <row r="43" spans="1:17">
      <c r="A43" s="1726" t="s">
        <v>528</v>
      </c>
      <c r="B43" s="1589">
        <v>0</v>
      </c>
      <c r="C43" s="1589">
        <v>0</v>
      </c>
      <c r="D43" s="1589">
        <v>0</v>
      </c>
      <c r="E43" s="1589">
        <v>0</v>
      </c>
      <c r="F43" s="1589">
        <v>0</v>
      </c>
      <c r="G43" s="1589">
        <v>0</v>
      </c>
      <c r="H43" s="1589">
        <v>0</v>
      </c>
      <c r="I43" s="1589">
        <v>0</v>
      </c>
      <c r="J43" s="1589">
        <v>0</v>
      </c>
      <c r="K43" s="1589">
        <v>0</v>
      </c>
      <c r="L43" s="1589">
        <v>0</v>
      </c>
      <c r="M43" s="1589">
        <v>0</v>
      </c>
      <c r="N43" s="1589">
        <v>0</v>
      </c>
      <c r="O43" s="1589">
        <v>0</v>
      </c>
      <c r="P43" s="1589">
        <v>0</v>
      </c>
      <c r="Q43" s="1589">
        <v>0</v>
      </c>
    </row>
    <row r="44" spans="1:17">
      <c r="A44" s="1726" t="s">
        <v>530</v>
      </c>
      <c r="B44" s="1589">
        <v>0</v>
      </c>
      <c r="C44" s="1589">
        <v>0</v>
      </c>
      <c r="D44" s="1589">
        <v>0</v>
      </c>
      <c r="E44" s="1589">
        <v>0</v>
      </c>
      <c r="F44" s="1589">
        <v>0</v>
      </c>
      <c r="G44" s="1589">
        <v>0</v>
      </c>
      <c r="H44" s="1589">
        <v>0</v>
      </c>
      <c r="I44" s="1589">
        <v>0</v>
      </c>
      <c r="J44" s="1589">
        <v>0</v>
      </c>
      <c r="K44" s="1589">
        <v>0</v>
      </c>
      <c r="L44" s="1589">
        <v>0</v>
      </c>
      <c r="M44" s="1589">
        <v>0</v>
      </c>
      <c r="N44" s="1589">
        <v>0</v>
      </c>
      <c r="O44" s="1589">
        <v>0</v>
      </c>
      <c r="P44" s="1589">
        <v>0</v>
      </c>
      <c r="Q44" s="1589">
        <v>0</v>
      </c>
    </row>
    <row r="45" spans="1:17">
      <c r="A45" s="1726" t="s">
        <v>532</v>
      </c>
      <c r="B45" s="1589">
        <v>0</v>
      </c>
      <c r="C45" s="1589">
        <v>0</v>
      </c>
      <c r="D45" s="1589">
        <v>0</v>
      </c>
      <c r="E45" s="1589">
        <v>0</v>
      </c>
      <c r="F45" s="1589">
        <v>0</v>
      </c>
      <c r="G45" s="1589">
        <v>0</v>
      </c>
      <c r="H45" s="1589">
        <v>0</v>
      </c>
      <c r="I45" s="1589">
        <v>0</v>
      </c>
      <c r="J45" s="1589">
        <v>0</v>
      </c>
      <c r="K45" s="1589">
        <v>0</v>
      </c>
      <c r="L45" s="1589">
        <v>0</v>
      </c>
      <c r="M45" s="1589">
        <v>0</v>
      </c>
      <c r="N45" s="1589">
        <v>0</v>
      </c>
      <c r="O45" s="1589">
        <v>0</v>
      </c>
      <c r="P45" s="1589">
        <v>0</v>
      </c>
      <c r="Q45" s="1589">
        <v>0</v>
      </c>
    </row>
    <row r="46" spans="1:17">
      <c r="A46" s="1726" t="s">
        <v>534</v>
      </c>
      <c r="B46" s="1589">
        <v>0</v>
      </c>
      <c r="C46" s="1589">
        <v>0</v>
      </c>
      <c r="D46" s="1589">
        <v>0</v>
      </c>
      <c r="E46" s="1589">
        <v>0</v>
      </c>
      <c r="F46" s="1589">
        <v>0</v>
      </c>
      <c r="G46" s="1589">
        <v>0</v>
      </c>
      <c r="H46" s="1589">
        <v>0</v>
      </c>
      <c r="I46" s="1589">
        <v>0</v>
      </c>
      <c r="J46" s="1589">
        <v>0</v>
      </c>
      <c r="K46" s="1589">
        <v>0</v>
      </c>
      <c r="L46" s="1589">
        <v>0</v>
      </c>
      <c r="M46" s="1589">
        <v>0</v>
      </c>
      <c r="N46" s="1589">
        <v>0</v>
      </c>
      <c r="O46" s="1589">
        <v>0</v>
      </c>
      <c r="P46" s="1589">
        <v>0</v>
      </c>
      <c r="Q46" s="1589">
        <v>0</v>
      </c>
    </row>
    <row r="47" spans="1:17">
      <c r="A47" s="1726" t="s">
        <v>536</v>
      </c>
      <c r="B47" s="1589">
        <v>0</v>
      </c>
      <c r="C47" s="1589">
        <v>0</v>
      </c>
      <c r="D47" s="1589">
        <v>0</v>
      </c>
      <c r="E47" s="1589">
        <v>0</v>
      </c>
      <c r="F47" s="1589">
        <v>0</v>
      </c>
      <c r="G47" s="1589">
        <v>0</v>
      </c>
      <c r="H47" s="1589">
        <v>0</v>
      </c>
      <c r="I47" s="1589">
        <v>0</v>
      </c>
      <c r="J47" s="1589">
        <v>0</v>
      </c>
      <c r="K47" s="1589">
        <v>0</v>
      </c>
      <c r="L47" s="1589">
        <v>0</v>
      </c>
      <c r="M47" s="1589">
        <v>0</v>
      </c>
      <c r="N47" s="1589">
        <v>0</v>
      </c>
      <c r="O47" s="1589">
        <v>0</v>
      </c>
      <c r="P47" s="1589">
        <v>0</v>
      </c>
      <c r="Q47" s="1589">
        <v>0</v>
      </c>
    </row>
    <row r="48" spans="1:17">
      <c r="A48" s="1726" t="s">
        <v>538</v>
      </c>
      <c r="B48" s="1589">
        <v>0</v>
      </c>
      <c r="C48" s="1589">
        <v>0</v>
      </c>
      <c r="D48" s="1589">
        <v>0</v>
      </c>
      <c r="E48" s="1589">
        <v>0</v>
      </c>
      <c r="F48" s="1589">
        <v>0</v>
      </c>
      <c r="G48" s="1589">
        <v>0</v>
      </c>
      <c r="H48" s="1589">
        <v>0</v>
      </c>
      <c r="I48" s="1589">
        <v>0</v>
      </c>
      <c r="J48" s="1589">
        <v>0</v>
      </c>
      <c r="K48" s="1589">
        <v>0</v>
      </c>
      <c r="L48" s="1589">
        <v>0</v>
      </c>
      <c r="M48" s="1589">
        <v>0</v>
      </c>
      <c r="N48" s="1589">
        <v>0</v>
      </c>
      <c r="O48" s="1589">
        <v>0</v>
      </c>
      <c r="P48" s="1589">
        <v>0</v>
      </c>
      <c r="Q48" s="1589">
        <v>0</v>
      </c>
    </row>
    <row r="49" spans="1:17">
      <c r="A49" s="1726" t="s">
        <v>540</v>
      </c>
      <c r="B49" s="1589">
        <v>0</v>
      </c>
      <c r="C49" s="1589">
        <v>0</v>
      </c>
      <c r="D49" s="1589">
        <v>0</v>
      </c>
      <c r="E49" s="1589">
        <v>0</v>
      </c>
      <c r="F49" s="1589">
        <v>0</v>
      </c>
      <c r="G49" s="1589">
        <v>0</v>
      </c>
      <c r="H49" s="1589">
        <v>0</v>
      </c>
      <c r="I49" s="1589">
        <v>0</v>
      </c>
      <c r="J49" s="1589">
        <v>0</v>
      </c>
      <c r="K49" s="1589">
        <v>0</v>
      </c>
      <c r="L49" s="1589">
        <v>0</v>
      </c>
      <c r="M49" s="1589">
        <v>0</v>
      </c>
      <c r="N49" s="1589">
        <v>0</v>
      </c>
      <c r="O49" s="1589">
        <v>0</v>
      </c>
      <c r="P49" s="1589">
        <v>0</v>
      </c>
      <c r="Q49" s="1589">
        <v>0</v>
      </c>
    </row>
    <row r="50" spans="1:17">
      <c r="A50" s="1725" t="s">
        <v>673</v>
      </c>
      <c r="B50" s="1589">
        <v>0</v>
      </c>
      <c r="C50" s="1589">
        <v>132910.08055212401</v>
      </c>
      <c r="D50" s="1589">
        <v>0</v>
      </c>
      <c r="E50" s="1589">
        <v>0</v>
      </c>
      <c r="F50" s="1589">
        <v>132910.08055212401</v>
      </c>
      <c r="G50" s="1589">
        <v>0</v>
      </c>
      <c r="H50" s="1589">
        <v>138804.15374282299</v>
      </c>
      <c r="I50" s="1589">
        <v>0</v>
      </c>
      <c r="J50" s="1589">
        <v>0</v>
      </c>
      <c r="K50" s="1589">
        <v>138804.15374282299</v>
      </c>
      <c r="L50" s="1589">
        <v>0</v>
      </c>
      <c r="M50" s="1589">
        <v>147750.74621849431</v>
      </c>
      <c r="N50" s="1589">
        <v>0</v>
      </c>
      <c r="O50" s="1589">
        <v>0</v>
      </c>
      <c r="P50" s="1589">
        <v>147750.74621849431</v>
      </c>
      <c r="Q50" s="1589">
        <v>419464.98051344143</v>
      </c>
    </row>
    <row r="51" spans="1:17">
      <c r="A51" s="1726" t="s">
        <v>603</v>
      </c>
      <c r="B51" s="1589">
        <v>0</v>
      </c>
      <c r="C51" s="1589">
        <v>125386.8684454</v>
      </c>
      <c r="D51" s="1589">
        <v>0</v>
      </c>
      <c r="E51" s="1589">
        <v>0</v>
      </c>
      <c r="F51" s="1589">
        <v>125386.8684454</v>
      </c>
      <c r="G51" s="1589">
        <v>0</v>
      </c>
      <c r="H51" s="1589">
        <v>130947.31485171981</v>
      </c>
      <c r="I51" s="1589">
        <v>0</v>
      </c>
      <c r="J51" s="1589">
        <v>0</v>
      </c>
      <c r="K51" s="1589">
        <v>130947.31485171981</v>
      </c>
      <c r="L51" s="1589">
        <v>0</v>
      </c>
      <c r="M51" s="1589">
        <v>139387.49643254181</v>
      </c>
      <c r="N51" s="1589">
        <v>0</v>
      </c>
      <c r="O51" s="1589">
        <v>0</v>
      </c>
      <c r="P51" s="1589">
        <v>139387.49643254181</v>
      </c>
      <c r="Q51" s="1589">
        <v>395721.67972966167</v>
      </c>
    </row>
    <row r="52" spans="1:17">
      <c r="A52" s="1726" t="s">
        <v>528</v>
      </c>
      <c r="B52" s="1589">
        <v>0</v>
      </c>
      <c r="C52" s="1589">
        <v>7523.2121067239996</v>
      </c>
      <c r="D52" s="1589">
        <v>0</v>
      </c>
      <c r="E52" s="1589">
        <v>0</v>
      </c>
      <c r="F52" s="1589">
        <v>7523.2121067239996</v>
      </c>
      <c r="G52" s="1589">
        <v>0</v>
      </c>
      <c r="H52" s="1589">
        <v>7856.8388911031889</v>
      </c>
      <c r="I52" s="1589">
        <v>0</v>
      </c>
      <c r="J52" s="1589">
        <v>0</v>
      </c>
      <c r="K52" s="1589">
        <v>7856.8388911031889</v>
      </c>
      <c r="L52" s="1589">
        <v>0</v>
      </c>
      <c r="M52" s="1589">
        <v>8363.2497859525083</v>
      </c>
      <c r="N52" s="1589">
        <v>0</v>
      </c>
      <c r="O52" s="1589">
        <v>0</v>
      </c>
      <c r="P52" s="1589">
        <v>8363.2497859525083</v>
      </c>
      <c r="Q52" s="1589">
        <v>23743.300783779698</v>
      </c>
    </row>
    <row r="53" spans="1:17">
      <c r="A53" s="1726" t="s">
        <v>530</v>
      </c>
      <c r="B53" s="1589">
        <v>0</v>
      </c>
      <c r="C53" s="1589">
        <v>1.2538686844540001E-11</v>
      </c>
      <c r="D53" s="1589">
        <v>0</v>
      </c>
      <c r="E53" s="1589">
        <v>0</v>
      </c>
      <c r="F53" s="1589">
        <v>1.2538686844540001E-11</v>
      </c>
      <c r="G53" s="1589">
        <v>0</v>
      </c>
      <c r="H53" s="1589">
        <v>1.3094731485171981E-11</v>
      </c>
      <c r="I53" s="1589">
        <v>0</v>
      </c>
      <c r="J53" s="1589">
        <v>0</v>
      </c>
      <c r="K53" s="1589">
        <v>1.3094731485171981E-11</v>
      </c>
      <c r="L53" s="1589">
        <v>0</v>
      </c>
      <c r="M53" s="1589">
        <v>1.3938749643254178E-11</v>
      </c>
      <c r="N53" s="1589">
        <v>0</v>
      </c>
      <c r="O53" s="1589">
        <v>0</v>
      </c>
      <c r="P53" s="1589">
        <v>1.3938749643254178E-11</v>
      </c>
      <c r="Q53" s="1589">
        <v>3.9572167972966157E-11</v>
      </c>
    </row>
    <row r="54" spans="1:17">
      <c r="A54" s="1726" t="s">
        <v>532</v>
      </c>
      <c r="B54" s="1589">
        <v>0</v>
      </c>
      <c r="C54" s="1589">
        <v>0</v>
      </c>
      <c r="D54" s="1589">
        <v>0</v>
      </c>
      <c r="E54" s="1589">
        <v>0</v>
      </c>
      <c r="F54" s="1589">
        <v>0</v>
      </c>
      <c r="G54" s="1589">
        <v>0</v>
      </c>
      <c r="H54" s="1589">
        <v>0</v>
      </c>
      <c r="I54" s="1589">
        <v>0</v>
      </c>
      <c r="J54" s="1589">
        <v>0</v>
      </c>
      <c r="K54" s="1589">
        <v>0</v>
      </c>
      <c r="L54" s="1589">
        <v>0</v>
      </c>
      <c r="M54" s="1589">
        <v>0</v>
      </c>
      <c r="N54" s="1589">
        <v>0</v>
      </c>
      <c r="O54" s="1589">
        <v>0</v>
      </c>
      <c r="P54" s="1589">
        <v>0</v>
      </c>
      <c r="Q54" s="1589">
        <v>0</v>
      </c>
    </row>
    <row r="55" spans="1:17">
      <c r="A55" s="1726" t="s">
        <v>534</v>
      </c>
      <c r="B55" s="1589">
        <v>0</v>
      </c>
      <c r="C55" s="1589">
        <v>0</v>
      </c>
      <c r="D55" s="1589">
        <v>0</v>
      </c>
      <c r="E55" s="1589">
        <v>0</v>
      </c>
      <c r="F55" s="1589">
        <v>0</v>
      </c>
      <c r="G55" s="1589">
        <v>0</v>
      </c>
      <c r="H55" s="1589">
        <v>0</v>
      </c>
      <c r="I55" s="1589">
        <v>0</v>
      </c>
      <c r="J55" s="1589">
        <v>0</v>
      </c>
      <c r="K55" s="1589">
        <v>0</v>
      </c>
      <c r="L55" s="1589">
        <v>0</v>
      </c>
      <c r="M55" s="1589">
        <v>0</v>
      </c>
      <c r="N55" s="1589">
        <v>0</v>
      </c>
      <c r="O55" s="1589">
        <v>0</v>
      </c>
      <c r="P55" s="1589">
        <v>0</v>
      </c>
      <c r="Q55" s="1589">
        <v>0</v>
      </c>
    </row>
    <row r="56" spans="1:17">
      <c r="A56" s="1726" t="s">
        <v>536</v>
      </c>
      <c r="B56" s="1589">
        <v>0</v>
      </c>
      <c r="C56" s="1589">
        <v>0</v>
      </c>
      <c r="D56" s="1589">
        <v>0</v>
      </c>
      <c r="E56" s="1589">
        <v>0</v>
      </c>
      <c r="F56" s="1589">
        <v>0</v>
      </c>
      <c r="G56" s="1589">
        <v>0</v>
      </c>
      <c r="H56" s="1589">
        <v>0</v>
      </c>
      <c r="I56" s="1589">
        <v>0</v>
      </c>
      <c r="J56" s="1589">
        <v>0</v>
      </c>
      <c r="K56" s="1589">
        <v>0</v>
      </c>
      <c r="L56" s="1589">
        <v>0</v>
      </c>
      <c r="M56" s="1589">
        <v>0</v>
      </c>
      <c r="N56" s="1589">
        <v>0</v>
      </c>
      <c r="O56" s="1589">
        <v>0</v>
      </c>
      <c r="P56" s="1589">
        <v>0</v>
      </c>
      <c r="Q56" s="1589">
        <v>0</v>
      </c>
    </row>
    <row r="57" spans="1:17">
      <c r="A57" s="1726" t="s">
        <v>538</v>
      </c>
      <c r="B57" s="1589">
        <v>0</v>
      </c>
      <c r="C57" s="1589">
        <v>0</v>
      </c>
      <c r="D57" s="1589">
        <v>0</v>
      </c>
      <c r="E57" s="1589">
        <v>0</v>
      </c>
      <c r="F57" s="1589">
        <v>0</v>
      </c>
      <c r="G57" s="1589">
        <v>0</v>
      </c>
      <c r="H57" s="1589">
        <v>0</v>
      </c>
      <c r="I57" s="1589">
        <v>0</v>
      </c>
      <c r="J57" s="1589">
        <v>0</v>
      </c>
      <c r="K57" s="1589">
        <v>0</v>
      </c>
      <c r="L57" s="1589">
        <v>0</v>
      </c>
      <c r="M57" s="1589">
        <v>0</v>
      </c>
      <c r="N57" s="1589">
        <v>0</v>
      </c>
      <c r="O57" s="1589">
        <v>0</v>
      </c>
      <c r="P57" s="1589">
        <v>0</v>
      </c>
      <c r="Q57" s="1589">
        <v>0</v>
      </c>
    </row>
    <row r="58" spans="1:17">
      <c r="A58" s="1726" t="s">
        <v>540</v>
      </c>
      <c r="B58" s="1589">
        <v>0</v>
      </c>
      <c r="C58" s="1589">
        <v>0</v>
      </c>
      <c r="D58" s="1589">
        <v>0</v>
      </c>
      <c r="E58" s="1589">
        <v>0</v>
      </c>
      <c r="F58" s="1589">
        <v>0</v>
      </c>
      <c r="G58" s="1589">
        <v>0</v>
      </c>
      <c r="H58" s="1589">
        <v>0</v>
      </c>
      <c r="I58" s="1589">
        <v>0</v>
      </c>
      <c r="J58" s="1589">
        <v>0</v>
      </c>
      <c r="K58" s="1589">
        <v>0</v>
      </c>
      <c r="L58" s="1589">
        <v>0</v>
      </c>
      <c r="M58" s="1589">
        <v>0</v>
      </c>
      <c r="N58" s="1589">
        <v>0</v>
      </c>
      <c r="O58" s="1589">
        <v>0</v>
      </c>
      <c r="P58" s="1589">
        <v>0</v>
      </c>
      <c r="Q58" s="1589">
        <v>0</v>
      </c>
    </row>
    <row r="59" spans="1:17">
      <c r="A59" s="1725" t="s">
        <v>675</v>
      </c>
      <c r="B59" s="1589">
        <v>0</v>
      </c>
      <c r="C59" s="1589">
        <v>28068.519051876003</v>
      </c>
      <c r="D59" s="1589">
        <v>0</v>
      </c>
      <c r="E59" s="1589">
        <v>0</v>
      </c>
      <c r="F59" s="1589">
        <v>28068.519051876003</v>
      </c>
      <c r="G59" s="1589">
        <v>0</v>
      </c>
      <c r="H59" s="1589">
        <v>29324.063508717016</v>
      </c>
      <c r="I59" s="1589">
        <v>0</v>
      </c>
      <c r="J59" s="1589">
        <v>0</v>
      </c>
      <c r="K59" s="1589">
        <v>29324.063508717016</v>
      </c>
      <c r="L59" s="1589">
        <v>0</v>
      </c>
      <c r="M59" s="1589">
        <v>31210.903819645697</v>
      </c>
      <c r="N59" s="1589">
        <v>0</v>
      </c>
      <c r="O59" s="1589">
        <v>0</v>
      </c>
      <c r="P59" s="1589">
        <v>31210.903819645697</v>
      </c>
      <c r="Q59" s="1589">
        <v>88603.486380238712</v>
      </c>
    </row>
    <row r="60" spans="1:17">
      <c r="A60" s="1726" t="s">
        <v>603</v>
      </c>
      <c r="B60" s="1589">
        <v>0</v>
      </c>
      <c r="C60" s="1589">
        <v>26479.7349546</v>
      </c>
      <c r="D60" s="1589">
        <v>0</v>
      </c>
      <c r="E60" s="1589">
        <v>0</v>
      </c>
      <c r="F60" s="1589">
        <v>26479.7349546</v>
      </c>
      <c r="G60" s="1589">
        <v>0</v>
      </c>
      <c r="H60" s="1589">
        <v>27664.210857280199</v>
      </c>
      <c r="I60" s="1589">
        <v>0</v>
      </c>
      <c r="J60" s="1589">
        <v>0</v>
      </c>
      <c r="K60" s="1589">
        <v>27664.210857280199</v>
      </c>
      <c r="L60" s="1589">
        <v>0</v>
      </c>
      <c r="M60" s="1589">
        <v>29444.248886458201</v>
      </c>
      <c r="N60" s="1589">
        <v>0</v>
      </c>
      <c r="O60" s="1589">
        <v>0</v>
      </c>
      <c r="P60" s="1589">
        <v>29444.248886458201</v>
      </c>
      <c r="Q60" s="1589">
        <v>83588.194698338397</v>
      </c>
    </row>
    <row r="61" spans="1:17">
      <c r="A61" s="1726" t="s">
        <v>528</v>
      </c>
      <c r="B61" s="1589">
        <v>0</v>
      </c>
      <c r="C61" s="1589">
        <v>1588.7840972759998</v>
      </c>
      <c r="D61" s="1589">
        <v>0</v>
      </c>
      <c r="E61" s="1589">
        <v>0</v>
      </c>
      <c r="F61" s="1589">
        <v>1588.7840972759998</v>
      </c>
      <c r="G61" s="1589">
        <v>0</v>
      </c>
      <c r="H61" s="1589">
        <v>1659.8526514368118</v>
      </c>
      <c r="I61" s="1589">
        <v>0</v>
      </c>
      <c r="J61" s="1589">
        <v>0</v>
      </c>
      <c r="K61" s="1589">
        <v>1659.8526514368118</v>
      </c>
      <c r="L61" s="1589">
        <v>0</v>
      </c>
      <c r="M61" s="1589">
        <v>1766.6549331874921</v>
      </c>
      <c r="N61" s="1589">
        <v>0</v>
      </c>
      <c r="O61" s="1589">
        <v>0</v>
      </c>
      <c r="P61" s="1589">
        <v>1766.6549331874921</v>
      </c>
      <c r="Q61" s="1589">
        <v>5015.291681900304</v>
      </c>
    </row>
    <row r="62" spans="1:17">
      <c r="A62" s="1726" t="s">
        <v>530</v>
      </c>
      <c r="B62" s="1589">
        <v>0</v>
      </c>
      <c r="C62" s="1589">
        <v>2.6479734954599999E-12</v>
      </c>
      <c r="D62" s="1589">
        <v>0</v>
      </c>
      <c r="E62" s="1589">
        <v>0</v>
      </c>
      <c r="F62" s="1589">
        <v>2.6479734954599999E-12</v>
      </c>
      <c r="G62" s="1589">
        <v>0</v>
      </c>
      <c r="H62" s="1589">
        <v>2.7664210857280201E-12</v>
      </c>
      <c r="I62" s="1589">
        <v>0</v>
      </c>
      <c r="J62" s="1589">
        <v>0</v>
      </c>
      <c r="K62" s="1589">
        <v>2.7664210857280201E-12</v>
      </c>
      <c r="L62" s="1589">
        <v>0</v>
      </c>
      <c r="M62" s="1589">
        <v>2.9444248886458197E-12</v>
      </c>
      <c r="N62" s="1589">
        <v>0</v>
      </c>
      <c r="O62" s="1589">
        <v>0</v>
      </c>
      <c r="P62" s="1589">
        <v>2.9444248886458197E-12</v>
      </c>
      <c r="Q62" s="1589">
        <v>8.3588194698338389E-12</v>
      </c>
    </row>
    <row r="63" spans="1:17">
      <c r="A63" s="1726" t="s">
        <v>532</v>
      </c>
      <c r="B63" s="1589">
        <v>0</v>
      </c>
      <c r="C63" s="1589">
        <v>0</v>
      </c>
      <c r="D63" s="1589">
        <v>0</v>
      </c>
      <c r="E63" s="1589">
        <v>0</v>
      </c>
      <c r="F63" s="1589">
        <v>0</v>
      </c>
      <c r="G63" s="1589">
        <v>0</v>
      </c>
      <c r="H63" s="1589">
        <v>0</v>
      </c>
      <c r="I63" s="1589">
        <v>0</v>
      </c>
      <c r="J63" s="1589">
        <v>0</v>
      </c>
      <c r="K63" s="1589">
        <v>0</v>
      </c>
      <c r="L63" s="1589">
        <v>0</v>
      </c>
      <c r="M63" s="1589">
        <v>0</v>
      </c>
      <c r="N63" s="1589">
        <v>0</v>
      </c>
      <c r="O63" s="1589">
        <v>0</v>
      </c>
      <c r="P63" s="1589">
        <v>0</v>
      </c>
      <c r="Q63" s="1589">
        <v>0</v>
      </c>
    </row>
    <row r="64" spans="1:17">
      <c r="A64" s="1726" t="s">
        <v>534</v>
      </c>
      <c r="B64" s="1589">
        <v>0</v>
      </c>
      <c r="C64" s="1589">
        <v>0</v>
      </c>
      <c r="D64" s="1589">
        <v>0</v>
      </c>
      <c r="E64" s="1589">
        <v>0</v>
      </c>
      <c r="F64" s="1589">
        <v>0</v>
      </c>
      <c r="G64" s="1589">
        <v>0</v>
      </c>
      <c r="H64" s="1589">
        <v>0</v>
      </c>
      <c r="I64" s="1589">
        <v>0</v>
      </c>
      <c r="J64" s="1589">
        <v>0</v>
      </c>
      <c r="K64" s="1589">
        <v>0</v>
      </c>
      <c r="L64" s="1589">
        <v>0</v>
      </c>
      <c r="M64" s="1589">
        <v>0</v>
      </c>
      <c r="N64" s="1589">
        <v>0</v>
      </c>
      <c r="O64" s="1589">
        <v>0</v>
      </c>
      <c r="P64" s="1589">
        <v>0</v>
      </c>
      <c r="Q64" s="1589">
        <v>0</v>
      </c>
    </row>
    <row r="65" spans="1:17">
      <c r="A65" s="1726" t="s">
        <v>536</v>
      </c>
      <c r="B65" s="1589">
        <v>0</v>
      </c>
      <c r="C65" s="1589">
        <v>0</v>
      </c>
      <c r="D65" s="1589">
        <v>0</v>
      </c>
      <c r="E65" s="1589">
        <v>0</v>
      </c>
      <c r="F65" s="1589">
        <v>0</v>
      </c>
      <c r="G65" s="1589">
        <v>0</v>
      </c>
      <c r="H65" s="1589">
        <v>0</v>
      </c>
      <c r="I65" s="1589">
        <v>0</v>
      </c>
      <c r="J65" s="1589">
        <v>0</v>
      </c>
      <c r="K65" s="1589">
        <v>0</v>
      </c>
      <c r="L65" s="1589">
        <v>0</v>
      </c>
      <c r="M65" s="1589">
        <v>0</v>
      </c>
      <c r="N65" s="1589">
        <v>0</v>
      </c>
      <c r="O65" s="1589">
        <v>0</v>
      </c>
      <c r="P65" s="1589">
        <v>0</v>
      </c>
      <c r="Q65" s="1589">
        <v>0</v>
      </c>
    </row>
    <row r="66" spans="1:17">
      <c r="A66" s="1726" t="s">
        <v>538</v>
      </c>
      <c r="B66" s="1589">
        <v>0</v>
      </c>
      <c r="C66" s="1589">
        <v>0</v>
      </c>
      <c r="D66" s="1589">
        <v>0</v>
      </c>
      <c r="E66" s="1589">
        <v>0</v>
      </c>
      <c r="F66" s="1589">
        <v>0</v>
      </c>
      <c r="G66" s="1589">
        <v>0</v>
      </c>
      <c r="H66" s="1589">
        <v>0</v>
      </c>
      <c r="I66" s="1589">
        <v>0</v>
      </c>
      <c r="J66" s="1589">
        <v>0</v>
      </c>
      <c r="K66" s="1589">
        <v>0</v>
      </c>
      <c r="L66" s="1589">
        <v>0</v>
      </c>
      <c r="M66" s="1589">
        <v>0</v>
      </c>
      <c r="N66" s="1589">
        <v>0</v>
      </c>
      <c r="O66" s="1589">
        <v>0</v>
      </c>
      <c r="P66" s="1589">
        <v>0</v>
      </c>
      <c r="Q66" s="1589">
        <v>0</v>
      </c>
    </row>
    <row r="67" spans="1:17">
      <c r="A67" s="1726" t="s">
        <v>540</v>
      </c>
      <c r="B67" s="1589">
        <v>0</v>
      </c>
      <c r="C67" s="1589">
        <v>0</v>
      </c>
      <c r="D67" s="1589">
        <v>0</v>
      </c>
      <c r="E67" s="1589">
        <v>0</v>
      </c>
      <c r="F67" s="1589">
        <v>0</v>
      </c>
      <c r="G67" s="1589">
        <v>0</v>
      </c>
      <c r="H67" s="1589">
        <v>0</v>
      </c>
      <c r="I67" s="1589">
        <v>0</v>
      </c>
      <c r="J67" s="1589">
        <v>0</v>
      </c>
      <c r="K67" s="1589">
        <v>0</v>
      </c>
      <c r="L67" s="1589">
        <v>0</v>
      </c>
      <c r="M67" s="1589">
        <v>0</v>
      </c>
      <c r="N67" s="1589">
        <v>0</v>
      </c>
      <c r="O67" s="1589">
        <v>0</v>
      </c>
      <c r="P67" s="1589">
        <v>0</v>
      </c>
      <c r="Q67" s="1589">
        <v>0</v>
      </c>
    </row>
    <row r="68" spans="1:17">
      <c r="A68" s="1588" t="s">
        <v>657</v>
      </c>
      <c r="B68" s="1589">
        <v>0</v>
      </c>
      <c r="C68" s="1589">
        <v>0</v>
      </c>
      <c r="D68" s="1589">
        <v>0</v>
      </c>
      <c r="E68" s="1589">
        <v>0</v>
      </c>
      <c r="F68" s="1589">
        <v>0</v>
      </c>
      <c r="G68" s="1589">
        <v>0</v>
      </c>
      <c r="H68" s="1589">
        <v>0</v>
      </c>
      <c r="I68" s="1589">
        <v>0</v>
      </c>
      <c r="J68" s="1589">
        <v>0</v>
      </c>
      <c r="K68" s="1589">
        <v>0</v>
      </c>
      <c r="L68" s="1589">
        <v>0</v>
      </c>
      <c r="M68" s="1589">
        <v>0</v>
      </c>
      <c r="N68" s="1589">
        <v>0</v>
      </c>
      <c r="O68" s="1589">
        <v>0</v>
      </c>
      <c r="P68" s="1589">
        <v>0</v>
      </c>
      <c r="Q68" s="1589">
        <v>0</v>
      </c>
    </row>
    <row r="69" spans="1:17">
      <c r="A69" s="1725" t="s">
        <v>658</v>
      </c>
      <c r="B69" s="1589">
        <v>0</v>
      </c>
      <c r="C69" s="1589">
        <v>0</v>
      </c>
      <c r="D69" s="1589">
        <v>0</v>
      </c>
      <c r="E69" s="1589">
        <v>0</v>
      </c>
      <c r="F69" s="1589">
        <v>0</v>
      </c>
      <c r="G69" s="1589">
        <v>0</v>
      </c>
      <c r="H69" s="1589">
        <v>0</v>
      </c>
      <c r="I69" s="1589">
        <v>0</v>
      </c>
      <c r="J69" s="1589">
        <v>0</v>
      </c>
      <c r="K69" s="1589">
        <v>0</v>
      </c>
      <c r="L69" s="1589">
        <v>0</v>
      </c>
      <c r="M69" s="1589">
        <v>0</v>
      </c>
      <c r="N69" s="1589">
        <v>0</v>
      </c>
      <c r="O69" s="1589">
        <v>0</v>
      </c>
      <c r="P69" s="1589">
        <v>0</v>
      </c>
      <c r="Q69" s="1589">
        <v>0</v>
      </c>
    </row>
    <row r="70" spans="1:17">
      <c r="A70" s="1726" t="s">
        <v>603</v>
      </c>
      <c r="B70" s="1589">
        <v>0</v>
      </c>
      <c r="C70" s="1589">
        <v>0</v>
      </c>
      <c r="D70" s="1589">
        <v>0</v>
      </c>
      <c r="E70" s="1589">
        <v>0</v>
      </c>
      <c r="F70" s="1589">
        <v>0</v>
      </c>
      <c r="G70" s="1589">
        <v>0</v>
      </c>
      <c r="H70" s="1589">
        <v>0</v>
      </c>
      <c r="I70" s="1589">
        <v>0</v>
      </c>
      <c r="J70" s="1589">
        <v>0</v>
      </c>
      <c r="K70" s="1589">
        <v>0</v>
      </c>
      <c r="L70" s="1589">
        <v>0</v>
      </c>
      <c r="M70" s="1589">
        <v>0</v>
      </c>
      <c r="N70" s="1589">
        <v>0</v>
      </c>
      <c r="O70" s="1589">
        <v>0</v>
      </c>
      <c r="P70" s="1589">
        <v>0</v>
      </c>
      <c r="Q70" s="1589">
        <v>0</v>
      </c>
    </row>
    <row r="71" spans="1:17">
      <c r="A71" s="1726" t="s">
        <v>595</v>
      </c>
      <c r="B71" s="1589">
        <v>0</v>
      </c>
      <c r="C71" s="1589">
        <v>0</v>
      </c>
      <c r="D71" s="1589">
        <v>0</v>
      </c>
      <c r="E71" s="1589">
        <v>0</v>
      </c>
      <c r="F71" s="1589">
        <v>0</v>
      </c>
      <c r="G71" s="1589">
        <v>0</v>
      </c>
      <c r="H71" s="1589">
        <v>0</v>
      </c>
      <c r="I71" s="1589">
        <v>0</v>
      </c>
      <c r="J71" s="1589">
        <v>0</v>
      </c>
      <c r="K71" s="1589">
        <v>0</v>
      </c>
      <c r="L71" s="1589">
        <v>0</v>
      </c>
      <c r="M71" s="1589">
        <v>0</v>
      </c>
      <c r="N71" s="1589">
        <v>0</v>
      </c>
      <c r="O71" s="1589">
        <v>0</v>
      </c>
      <c r="P71" s="1589">
        <v>0</v>
      </c>
      <c r="Q71" s="1589">
        <v>0</v>
      </c>
    </row>
    <row r="72" spans="1:17">
      <c r="A72" s="1726" t="s">
        <v>597</v>
      </c>
      <c r="B72" s="1589">
        <v>0</v>
      </c>
      <c r="C72" s="1589">
        <v>0</v>
      </c>
      <c r="D72" s="1589">
        <v>0</v>
      </c>
      <c r="E72" s="1589">
        <v>0</v>
      </c>
      <c r="F72" s="1589">
        <v>0</v>
      </c>
      <c r="G72" s="1589">
        <v>0</v>
      </c>
      <c r="H72" s="1589">
        <v>0</v>
      </c>
      <c r="I72" s="1589">
        <v>0</v>
      </c>
      <c r="J72" s="1589">
        <v>0</v>
      </c>
      <c r="K72" s="1589">
        <v>0</v>
      </c>
      <c r="L72" s="1589">
        <v>0</v>
      </c>
      <c r="M72" s="1589">
        <v>0</v>
      </c>
      <c r="N72" s="1589">
        <v>0</v>
      </c>
      <c r="O72" s="1589">
        <v>0</v>
      </c>
      <c r="P72" s="1589">
        <v>0</v>
      </c>
      <c r="Q72" s="1589">
        <v>0</v>
      </c>
    </row>
    <row r="73" spans="1:17">
      <c r="A73" s="1726" t="s">
        <v>1896</v>
      </c>
      <c r="B73" s="1589">
        <v>0</v>
      </c>
      <c r="C73" s="1589">
        <v>0</v>
      </c>
      <c r="D73" s="1589">
        <v>0</v>
      </c>
      <c r="E73" s="1589">
        <v>0</v>
      </c>
      <c r="F73" s="1589">
        <v>0</v>
      </c>
      <c r="G73" s="1589">
        <v>0</v>
      </c>
      <c r="H73" s="1589">
        <v>0</v>
      </c>
      <c r="I73" s="1589">
        <v>0</v>
      </c>
      <c r="J73" s="1589">
        <v>0</v>
      </c>
      <c r="K73" s="1589">
        <v>0</v>
      </c>
      <c r="L73" s="1589">
        <v>0</v>
      </c>
      <c r="M73" s="1589">
        <v>0</v>
      </c>
      <c r="N73" s="1589">
        <v>0</v>
      </c>
      <c r="O73" s="1589">
        <v>0</v>
      </c>
      <c r="P73" s="1589">
        <v>0</v>
      </c>
      <c r="Q73" s="1589">
        <v>0</v>
      </c>
    </row>
    <row r="74" spans="1:17">
      <c r="A74" s="1726" t="s">
        <v>654</v>
      </c>
      <c r="B74" s="1589">
        <v>0</v>
      </c>
      <c r="C74" s="1589">
        <v>0</v>
      </c>
      <c r="D74" s="1589">
        <v>0</v>
      </c>
      <c r="E74" s="1589">
        <v>0</v>
      </c>
      <c r="F74" s="1589">
        <v>0</v>
      </c>
      <c r="G74" s="1589">
        <v>0</v>
      </c>
      <c r="H74" s="1589">
        <v>0</v>
      </c>
      <c r="I74" s="1589">
        <v>0</v>
      </c>
      <c r="J74" s="1589">
        <v>0</v>
      </c>
      <c r="K74" s="1589">
        <v>0</v>
      </c>
      <c r="L74" s="1589">
        <v>0</v>
      </c>
      <c r="M74" s="1589">
        <v>0</v>
      </c>
      <c r="N74" s="1589">
        <v>0</v>
      </c>
      <c r="O74" s="1589">
        <v>0</v>
      </c>
      <c r="P74" s="1589">
        <v>0</v>
      </c>
      <c r="Q74" s="1589">
        <v>0</v>
      </c>
    </row>
    <row r="75" spans="1:17">
      <c r="A75" s="1726" t="s">
        <v>593</v>
      </c>
      <c r="B75" s="1589">
        <v>0</v>
      </c>
      <c r="C75" s="1589">
        <v>0</v>
      </c>
      <c r="D75" s="1589">
        <v>0</v>
      </c>
      <c r="E75" s="1589">
        <v>0</v>
      </c>
      <c r="F75" s="1589">
        <v>0</v>
      </c>
      <c r="G75" s="1589">
        <v>0</v>
      </c>
      <c r="H75" s="1589">
        <v>0</v>
      </c>
      <c r="I75" s="1589">
        <v>0</v>
      </c>
      <c r="J75" s="1589">
        <v>0</v>
      </c>
      <c r="K75" s="1589">
        <v>0</v>
      </c>
      <c r="L75" s="1589">
        <v>0</v>
      </c>
      <c r="M75" s="1589">
        <v>0</v>
      </c>
      <c r="N75" s="1589">
        <v>0</v>
      </c>
      <c r="O75" s="1589">
        <v>0</v>
      </c>
      <c r="P75" s="1589">
        <v>0</v>
      </c>
      <c r="Q75" s="1589">
        <v>0</v>
      </c>
    </row>
    <row r="76" spans="1:17">
      <c r="A76" s="1726" t="s">
        <v>586</v>
      </c>
      <c r="B76" s="1589">
        <v>0</v>
      </c>
      <c r="C76" s="1589">
        <v>0</v>
      </c>
      <c r="D76" s="1589">
        <v>0</v>
      </c>
      <c r="E76" s="1589">
        <v>0</v>
      </c>
      <c r="F76" s="1589">
        <v>0</v>
      </c>
      <c r="G76" s="1589">
        <v>0</v>
      </c>
      <c r="H76" s="1589">
        <v>0</v>
      </c>
      <c r="I76" s="1589">
        <v>0</v>
      </c>
      <c r="J76" s="1589">
        <v>0</v>
      </c>
      <c r="K76" s="1589">
        <v>0</v>
      </c>
      <c r="L76" s="1589">
        <v>0</v>
      </c>
      <c r="M76" s="1589">
        <v>0</v>
      </c>
      <c r="N76" s="1589">
        <v>0</v>
      </c>
      <c r="O76" s="1589">
        <v>0</v>
      </c>
      <c r="P76" s="1589">
        <v>0</v>
      </c>
      <c r="Q76" s="1589">
        <v>0</v>
      </c>
    </row>
    <row r="77" spans="1:17">
      <c r="A77" s="1726" t="s">
        <v>528</v>
      </c>
      <c r="B77" s="1589">
        <v>0</v>
      </c>
      <c r="C77" s="1589">
        <v>0</v>
      </c>
      <c r="D77" s="1589">
        <v>0</v>
      </c>
      <c r="E77" s="1589">
        <v>0</v>
      </c>
      <c r="F77" s="1589">
        <v>0</v>
      </c>
      <c r="G77" s="1589">
        <v>0</v>
      </c>
      <c r="H77" s="1589">
        <v>0</v>
      </c>
      <c r="I77" s="1589">
        <v>0</v>
      </c>
      <c r="J77" s="1589">
        <v>0</v>
      </c>
      <c r="K77" s="1589">
        <v>0</v>
      </c>
      <c r="L77" s="1589">
        <v>0</v>
      </c>
      <c r="M77" s="1589">
        <v>0</v>
      </c>
      <c r="N77" s="1589">
        <v>0</v>
      </c>
      <c r="O77" s="1589">
        <v>0</v>
      </c>
      <c r="P77" s="1589">
        <v>0</v>
      </c>
      <c r="Q77" s="1589">
        <v>0</v>
      </c>
    </row>
    <row r="78" spans="1:17">
      <c r="A78" s="1726" t="s">
        <v>530</v>
      </c>
      <c r="B78" s="1589">
        <v>0</v>
      </c>
      <c r="C78" s="1589">
        <v>0</v>
      </c>
      <c r="D78" s="1589">
        <v>0</v>
      </c>
      <c r="E78" s="1589">
        <v>0</v>
      </c>
      <c r="F78" s="1589">
        <v>0</v>
      </c>
      <c r="G78" s="1589">
        <v>0</v>
      </c>
      <c r="H78" s="1589">
        <v>0</v>
      </c>
      <c r="I78" s="1589">
        <v>0</v>
      </c>
      <c r="J78" s="1589">
        <v>0</v>
      </c>
      <c r="K78" s="1589">
        <v>0</v>
      </c>
      <c r="L78" s="1589">
        <v>0</v>
      </c>
      <c r="M78" s="1589">
        <v>0</v>
      </c>
      <c r="N78" s="1589">
        <v>0</v>
      </c>
      <c r="O78" s="1589">
        <v>0</v>
      </c>
      <c r="P78" s="1589">
        <v>0</v>
      </c>
      <c r="Q78" s="1589">
        <v>0</v>
      </c>
    </row>
    <row r="79" spans="1:17">
      <c r="A79" s="1726" t="s">
        <v>532</v>
      </c>
      <c r="B79" s="1589">
        <v>0</v>
      </c>
      <c r="C79" s="1589">
        <v>0</v>
      </c>
      <c r="D79" s="1589">
        <v>0</v>
      </c>
      <c r="E79" s="1589">
        <v>0</v>
      </c>
      <c r="F79" s="1589">
        <v>0</v>
      </c>
      <c r="G79" s="1589">
        <v>0</v>
      </c>
      <c r="H79" s="1589">
        <v>0</v>
      </c>
      <c r="I79" s="1589">
        <v>0</v>
      </c>
      <c r="J79" s="1589">
        <v>0</v>
      </c>
      <c r="K79" s="1589">
        <v>0</v>
      </c>
      <c r="L79" s="1589">
        <v>0</v>
      </c>
      <c r="M79" s="1589">
        <v>0</v>
      </c>
      <c r="N79" s="1589">
        <v>0</v>
      </c>
      <c r="O79" s="1589">
        <v>0</v>
      </c>
      <c r="P79" s="1589">
        <v>0</v>
      </c>
      <c r="Q79" s="1589">
        <v>0</v>
      </c>
    </row>
    <row r="80" spans="1:17">
      <c r="A80" s="1726" t="s">
        <v>534</v>
      </c>
      <c r="B80" s="1589">
        <v>0</v>
      </c>
      <c r="C80" s="1589">
        <v>0</v>
      </c>
      <c r="D80" s="1589">
        <v>0</v>
      </c>
      <c r="E80" s="1589">
        <v>0</v>
      </c>
      <c r="F80" s="1589">
        <v>0</v>
      </c>
      <c r="G80" s="1589">
        <v>0</v>
      </c>
      <c r="H80" s="1589">
        <v>0</v>
      </c>
      <c r="I80" s="1589">
        <v>0</v>
      </c>
      <c r="J80" s="1589">
        <v>0</v>
      </c>
      <c r="K80" s="1589">
        <v>0</v>
      </c>
      <c r="L80" s="1589">
        <v>0</v>
      </c>
      <c r="M80" s="1589">
        <v>0</v>
      </c>
      <c r="N80" s="1589">
        <v>0</v>
      </c>
      <c r="O80" s="1589">
        <v>0</v>
      </c>
      <c r="P80" s="1589">
        <v>0</v>
      </c>
      <c r="Q80" s="1589">
        <v>0</v>
      </c>
    </row>
    <row r="81" spans="1:17">
      <c r="A81" s="1726" t="s">
        <v>536</v>
      </c>
      <c r="B81" s="1589">
        <v>0</v>
      </c>
      <c r="C81" s="1589">
        <v>0</v>
      </c>
      <c r="D81" s="1589">
        <v>0</v>
      </c>
      <c r="E81" s="1589">
        <v>0</v>
      </c>
      <c r="F81" s="1589">
        <v>0</v>
      </c>
      <c r="G81" s="1589">
        <v>0</v>
      </c>
      <c r="H81" s="1589">
        <v>0</v>
      </c>
      <c r="I81" s="1589">
        <v>0</v>
      </c>
      <c r="J81" s="1589">
        <v>0</v>
      </c>
      <c r="K81" s="1589">
        <v>0</v>
      </c>
      <c r="L81" s="1589">
        <v>0</v>
      </c>
      <c r="M81" s="1589">
        <v>0</v>
      </c>
      <c r="N81" s="1589">
        <v>0</v>
      </c>
      <c r="O81" s="1589">
        <v>0</v>
      </c>
      <c r="P81" s="1589">
        <v>0</v>
      </c>
      <c r="Q81" s="1589">
        <v>0</v>
      </c>
    </row>
    <row r="82" spans="1:17">
      <c r="A82" s="1726" t="s">
        <v>538</v>
      </c>
      <c r="B82" s="1589">
        <v>0</v>
      </c>
      <c r="C82" s="1589">
        <v>0</v>
      </c>
      <c r="D82" s="1589">
        <v>0</v>
      </c>
      <c r="E82" s="1589">
        <v>0</v>
      </c>
      <c r="F82" s="1589">
        <v>0</v>
      </c>
      <c r="G82" s="1589">
        <v>0</v>
      </c>
      <c r="H82" s="1589">
        <v>0</v>
      </c>
      <c r="I82" s="1589">
        <v>0</v>
      </c>
      <c r="J82" s="1589">
        <v>0</v>
      </c>
      <c r="K82" s="1589">
        <v>0</v>
      </c>
      <c r="L82" s="1589">
        <v>0</v>
      </c>
      <c r="M82" s="1589">
        <v>0</v>
      </c>
      <c r="N82" s="1589">
        <v>0</v>
      </c>
      <c r="O82" s="1589">
        <v>0</v>
      </c>
      <c r="P82" s="1589">
        <v>0</v>
      </c>
      <c r="Q82" s="1589">
        <v>0</v>
      </c>
    </row>
    <row r="83" spans="1:17">
      <c r="A83" s="1726" t="s">
        <v>540</v>
      </c>
      <c r="B83" s="1589">
        <v>0</v>
      </c>
      <c r="C83" s="1589">
        <v>0</v>
      </c>
      <c r="D83" s="1589">
        <v>0</v>
      </c>
      <c r="E83" s="1589">
        <v>0</v>
      </c>
      <c r="F83" s="1589">
        <v>0</v>
      </c>
      <c r="G83" s="1589">
        <v>0</v>
      </c>
      <c r="H83" s="1589">
        <v>0</v>
      </c>
      <c r="I83" s="1589">
        <v>0</v>
      </c>
      <c r="J83" s="1589">
        <v>0</v>
      </c>
      <c r="K83" s="1589">
        <v>0</v>
      </c>
      <c r="L83" s="1589">
        <v>0</v>
      </c>
      <c r="M83" s="1589">
        <v>0</v>
      </c>
      <c r="N83" s="1589">
        <v>0</v>
      </c>
      <c r="O83" s="1589">
        <v>0</v>
      </c>
      <c r="P83" s="1589">
        <v>0</v>
      </c>
      <c r="Q83" s="1589">
        <v>0</v>
      </c>
    </row>
    <row r="84" spans="1:17">
      <c r="A84" s="1725" t="s">
        <v>659</v>
      </c>
      <c r="B84" s="1589">
        <v>0</v>
      </c>
      <c r="C84" s="1589">
        <v>0</v>
      </c>
      <c r="D84" s="1589">
        <v>0</v>
      </c>
      <c r="E84" s="1589">
        <v>0</v>
      </c>
      <c r="F84" s="1589">
        <v>0</v>
      </c>
      <c r="G84" s="1589">
        <v>0</v>
      </c>
      <c r="H84" s="1589">
        <v>0</v>
      </c>
      <c r="I84" s="1589">
        <v>0</v>
      </c>
      <c r="J84" s="1589">
        <v>0</v>
      </c>
      <c r="K84" s="1589">
        <v>0</v>
      </c>
      <c r="L84" s="1589">
        <v>0</v>
      </c>
      <c r="M84" s="1589">
        <v>0</v>
      </c>
      <c r="N84" s="1589">
        <v>0</v>
      </c>
      <c r="O84" s="1589">
        <v>0</v>
      </c>
      <c r="P84" s="1589">
        <v>0</v>
      </c>
      <c r="Q84" s="1589">
        <v>0</v>
      </c>
    </row>
    <row r="85" spans="1:17">
      <c r="A85" s="1726" t="s">
        <v>649</v>
      </c>
      <c r="B85" s="1589">
        <v>0</v>
      </c>
      <c r="C85" s="1589">
        <v>0</v>
      </c>
      <c r="D85" s="1589">
        <v>0</v>
      </c>
      <c r="E85" s="1589">
        <v>0</v>
      </c>
      <c r="F85" s="1589">
        <v>0</v>
      </c>
      <c r="G85" s="1589">
        <v>0</v>
      </c>
      <c r="H85" s="1589">
        <v>0</v>
      </c>
      <c r="I85" s="1589">
        <v>0</v>
      </c>
      <c r="J85" s="1589">
        <v>0</v>
      </c>
      <c r="K85" s="1589">
        <v>0</v>
      </c>
      <c r="L85" s="1589">
        <v>0</v>
      </c>
      <c r="M85" s="1589">
        <v>0</v>
      </c>
      <c r="N85" s="1589">
        <v>0</v>
      </c>
      <c r="O85" s="1589">
        <v>0</v>
      </c>
      <c r="P85" s="1589">
        <v>0</v>
      </c>
      <c r="Q85" s="1589">
        <v>0</v>
      </c>
    </row>
    <row r="86" spans="1:17">
      <c r="A86" s="1726" t="s">
        <v>651</v>
      </c>
      <c r="B86" s="1589">
        <v>0</v>
      </c>
      <c r="C86" s="1589">
        <v>0</v>
      </c>
      <c r="D86" s="1589">
        <v>0</v>
      </c>
      <c r="E86" s="1589">
        <v>0</v>
      </c>
      <c r="F86" s="1589">
        <v>0</v>
      </c>
      <c r="G86" s="1589">
        <v>0</v>
      </c>
      <c r="H86" s="1589">
        <v>0</v>
      </c>
      <c r="I86" s="1589">
        <v>0</v>
      </c>
      <c r="J86" s="1589">
        <v>0</v>
      </c>
      <c r="K86" s="1589">
        <v>0</v>
      </c>
      <c r="L86" s="1589">
        <v>0</v>
      </c>
      <c r="M86" s="1589">
        <v>0</v>
      </c>
      <c r="N86" s="1589">
        <v>0</v>
      </c>
      <c r="O86" s="1589">
        <v>0</v>
      </c>
      <c r="P86" s="1589">
        <v>0</v>
      </c>
      <c r="Q86" s="1589">
        <v>0</v>
      </c>
    </row>
    <row r="87" spans="1:17">
      <c r="A87" s="1726" t="s">
        <v>653</v>
      </c>
      <c r="B87" s="1589">
        <v>0</v>
      </c>
      <c r="C87" s="1589">
        <v>0</v>
      </c>
      <c r="D87" s="1589">
        <v>0</v>
      </c>
      <c r="E87" s="1589">
        <v>0</v>
      </c>
      <c r="F87" s="1589">
        <v>0</v>
      </c>
      <c r="G87" s="1589">
        <v>0</v>
      </c>
      <c r="H87" s="1589">
        <v>0</v>
      </c>
      <c r="I87" s="1589">
        <v>0</v>
      </c>
      <c r="J87" s="1589">
        <v>0</v>
      </c>
      <c r="K87" s="1589">
        <v>0</v>
      </c>
      <c r="L87" s="1589">
        <v>0</v>
      </c>
      <c r="M87" s="1589">
        <v>0</v>
      </c>
      <c r="N87" s="1589">
        <v>0</v>
      </c>
      <c r="O87" s="1589">
        <v>0</v>
      </c>
      <c r="P87" s="1589">
        <v>0</v>
      </c>
      <c r="Q87" s="1589">
        <v>0</v>
      </c>
    </row>
    <row r="88" spans="1:17">
      <c r="A88" s="1726" t="s">
        <v>528</v>
      </c>
      <c r="B88" s="1589">
        <v>0</v>
      </c>
      <c r="C88" s="1589">
        <v>0</v>
      </c>
      <c r="D88" s="1589">
        <v>0</v>
      </c>
      <c r="E88" s="1589">
        <v>0</v>
      </c>
      <c r="F88" s="1589">
        <v>0</v>
      </c>
      <c r="G88" s="1589">
        <v>0</v>
      </c>
      <c r="H88" s="1589">
        <v>0</v>
      </c>
      <c r="I88" s="1589">
        <v>0</v>
      </c>
      <c r="J88" s="1589">
        <v>0</v>
      </c>
      <c r="K88" s="1589">
        <v>0</v>
      </c>
      <c r="L88" s="1589">
        <v>0</v>
      </c>
      <c r="M88" s="1589">
        <v>0</v>
      </c>
      <c r="N88" s="1589">
        <v>0</v>
      </c>
      <c r="O88" s="1589">
        <v>0</v>
      </c>
      <c r="P88" s="1589">
        <v>0</v>
      </c>
      <c r="Q88" s="1589">
        <v>0</v>
      </c>
    </row>
    <row r="89" spans="1:17">
      <c r="A89" s="1726" t="s">
        <v>530</v>
      </c>
      <c r="B89" s="1589">
        <v>0</v>
      </c>
      <c r="C89" s="1589">
        <v>0</v>
      </c>
      <c r="D89" s="1589">
        <v>0</v>
      </c>
      <c r="E89" s="1589">
        <v>0</v>
      </c>
      <c r="F89" s="1589">
        <v>0</v>
      </c>
      <c r="G89" s="1589">
        <v>0</v>
      </c>
      <c r="H89" s="1589">
        <v>0</v>
      </c>
      <c r="I89" s="1589">
        <v>0</v>
      </c>
      <c r="J89" s="1589">
        <v>0</v>
      </c>
      <c r="K89" s="1589">
        <v>0</v>
      </c>
      <c r="L89" s="1589">
        <v>0</v>
      </c>
      <c r="M89" s="1589">
        <v>0</v>
      </c>
      <c r="N89" s="1589">
        <v>0</v>
      </c>
      <c r="O89" s="1589">
        <v>0</v>
      </c>
      <c r="P89" s="1589">
        <v>0</v>
      </c>
      <c r="Q89" s="1589">
        <v>0</v>
      </c>
    </row>
    <row r="90" spans="1:17">
      <c r="A90" s="1726" t="s">
        <v>532</v>
      </c>
      <c r="B90" s="1589">
        <v>0</v>
      </c>
      <c r="C90" s="1589">
        <v>0</v>
      </c>
      <c r="D90" s="1589">
        <v>0</v>
      </c>
      <c r="E90" s="1589">
        <v>0</v>
      </c>
      <c r="F90" s="1589">
        <v>0</v>
      </c>
      <c r="G90" s="1589">
        <v>0</v>
      </c>
      <c r="H90" s="1589">
        <v>0</v>
      </c>
      <c r="I90" s="1589">
        <v>0</v>
      </c>
      <c r="J90" s="1589">
        <v>0</v>
      </c>
      <c r="K90" s="1589">
        <v>0</v>
      </c>
      <c r="L90" s="1589">
        <v>0</v>
      </c>
      <c r="M90" s="1589">
        <v>0</v>
      </c>
      <c r="N90" s="1589">
        <v>0</v>
      </c>
      <c r="O90" s="1589">
        <v>0</v>
      </c>
      <c r="P90" s="1589">
        <v>0</v>
      </c>
      <c r="Q90" s="1589">
        <v>0</v>
      </c>
    </row>
    <row r="91" spans="1:17">
      <c r="A91" s="1726" t="s">
        <v>534</v>
      </c>
      <c r="B91" s="1589">
        <v>0</v>
      </c>
      <c r="C91" s="1589">
        <v>0</v>
      </c>
      <c r="D91" s="1589">
        <v>0</v>
      </c>
      <c r="E91" s="1589">
        <v>0</v>
      </c>
      <c r="F91" s="1589">
        <v>0</v>
      </c>
      <c r="G91" s="1589">
        <v>0</v>
      </c>
      <c r="H91" s="1589">
        <v>0</v>
      </c>
      <c r="I91" s="1589">
        <v>0</v>
      </c>
      <c r="J91" s="1589">
        <v>0</v>
      </c>
      <c r="K91" s="1589">
        <v>0</v>
      </c>
      <c r="L91" s="1589">
        <v>0</v>
      </c>
      <c r="M91" s="1589">
        <v>0</v>
      </c>
      <c r="N91" s="1589">
        <v>0</v>
      </c>
      <c r="O91" s="1589">
        <v>0</v>
      </c>
      <c r="P91" s="1589">
        <v>0</v>
      </c>
      <c r="Q91" s="1589">
        <v>0</v>
      </c>
    </row>
    <row r="92" spans="1:17">
      <c r="A92" s="1726" t="s">
        <v>536</v>
      </c>
      <c r="B92" s="1589">
        <v>0</v>
      </c>
      <c r="C92" s="1589">
        <v>0</v>
      </c>
      <c r="D92" s="1589">
        <v>0</v>
      </c>
      <c r="E92" s="1589">
        <v>0</v>
      </c>
      <c r="F92" s="1589">
        <v>0</v>
      </c>
      <c r="G92" s="1589">
        <v>0</v>
      </c>
      <c r="H92" s="1589">
        <v>0</v>
      </c>
      <c r="I92" s="1589">
        <v>0</v>
      </c>
      <c r="J92" s="1589">
        <v>0</v>
      </c>
      <c r="K92" s="1589">
        <v>0</v>
      </c>
      <c r="L92" s="1589">
        <v>0</v>
      </c>
      <c r="M92" s="1589">
        <v>0</v>
      </c>
      <c r="N92" s="1589">
        <v>0</v>
      </c>
      <c r="O92" s="1589">
        <v>0</v>
      </c>
      <c r="P92" s="1589">
        <v>0</v>
      </c>
      <c r="Q92" s="1589">
        <v>0</v>
      </c>
    </row>
    <row r="93" spans="1:17">
      <c r="A93" s="1726" t="s">
        <v>538</v>
      </c>
      <c r="B93" s="1589">
        <v>0</v>
      </c>
      <c r="C93" s="1589">
        <v>0</v>
      </c>
      <c r="D93" s="1589">
        <v>0</v>
      </c>
      <c r="E93" s="1589">
        <v>0</v>
      </c>
      <c r="F93" s="1589">
        <v>0</v>
      </c>
      <c r="G93" s="1589">
        <v>0</v>
      </c>
      <c r="H93" s="1589">
        <v>0</v>
      </c>
      <c r="I93" s="1589">
        <v>0</v>
      </c>
      <c r="J93" s="1589">
        <v>0</v>
      </c>
      <c r="K93" s="1589">
        <v>0</v>
      </c>
      <c r="L93" s="1589">
        <v>0</v>
      </c>
      <c r="M93" s="1589">
        <v>0</v>
      </c>
      <c r="N93" s="1589">
        <v>0</v>
      </c>
      <c r="O93" s="1589">
        <v>0</v>
      </c>
      <c r="P93" s="1589">
        <v>0</v>
      </c>
      <c r="Q93" s="1589">
        <v>0</v>
      </c>
    </row>
    <row r="94" spans="1:17">
      <c r="A94" s="1726" t="s">
        <v>540</v>
      </c>
      <c r="B94" s="1589">
        <v>0</v>
      </c>
      <c r="C94" s="1589">
        <v>0</v>
      </c>
      <c r="D94" s="1589">
        <v>0</v>
      </c>
      <c r="E94" s="1589">
        <v>0</v>
      </c>
      <c r="F94" s="1589">
        <v>0</v>
      </c>
      <c r="G94" s="1589">
        <v>0</v>
      </c>
      <c r="H94" s="1589">
        <v>0</v>
      </c>
      <c r="I94" s="1589">
        <v>0</v>
      </c>
      <c r="J94" s="1589">
        <v>0</v>
      </c>
      <c r="K94" s="1589">
        <v>0</v>
      </c>
      <c r="L94" s="1589">
        <v>0</v>
      </c>
      <c r="M94" s="1589">
        <v>0</v>
      </c>
      <c r="N94" s="1589">
        <v>0</v>
      </c>
      <c r="O94" s="1589">
        <v>0</v>
      </c>
      <c r="P94" s="1589">
        <v>0</v>
      </c>
      <c r="Q94" s="1589">
        <v>0</v>
      </c>
    </row>
    <row r="95" spans="1:17">
      <c r="A95" s="1588" t="s">
        <v>223</v>
      </c>
      <c r="B95" s="1589">
        <v>0</v>
      </c>
      <c r="C95" s="1589">
        <v>102326.46039600001</v>
      </c>
      <c r="D95" s="1589">
        <v>0</v>
      </c>
      <c r="E95" s="1589">
        <v>0</v>
      </c>
      <c r="F95" s="1589">
        <v>102326.46039600001</v>
      </c>
      <c r="G95" s="1589">
        <v>0</v>
      </c>
      <c r="H95" s="1589">
        <v>106740.41454846003</v>
      </c>
      <c r="I95" s="1589">
        <v>0</v>
      </c>
      <c r="J95" s="1589">
        <v>0</v>
      </c>
      <c r="K95" s="1589">
        <v>106740.41454846003</v>
      </c>
      <c r="L95" s="1589">
        <v>0</v>
      </c>
      <c r="M95" s="1589">
        <v>113657.42376186002</v>
      </c>
      <c r="N95" s="1589">
        <v>0</v>
      </c>
      <c r="O95" s="1589">
        <v>0</v>
      </c>
      <c r="P95" s="1589">
        <v>113657.42376186002</v>
      </c>
      <c r="Q95" s="1589">
        <v>322724.29870632006</v>
      </c>
    </row>
    <row r="96" spans="1:17">
      <c r="A96" s="1725" t="s">
        <v>669</v>
      </c>
      <c r="B96" s="1589">
        <v>0</v>
      </c>
      <c r="C96" s="1589">
        <v>0</v>
      </c>
      <c r="D96" s="1589">
        <v>0</v>
      </c>
      <c r="E96" s="1589">
        <v>0</v>
      </c>
      <c r="F96" s="1589">
        <v>0</v>
      </c>
      <c r="G96" s="1589">
        <v>0</v>
      </c>
      <c r="H96" s="1589">
        <v>0</v>
      </c>
      <c r="I96" s="1589">
        <v>0</v>
      </c>
      <c r="J96" s="1589">
        <v>0</v>
      </c>
      <c r="K96" s="1589">
        <v>0</v>
      </c>
      <c r="L96" s="1589">
        <v>0</v>
      </c>
      <c r="M96" s="1589">
        <v>0</v>
      </c>
      <c r="N96" s="1589">
        <v>0</v>
      </c>
      <c r="O96" s="1589">
        <v>0</v>
      </c>
      <c r="P96" s="1589">
        <v>0</v>
      </c>
      <c r="Q96" s="1589">
        <v>0</v>
      </c>
    </row>
    <row r="97" spans="1:17">
      <c r="A97" s="1726" t="s">
        <v>663</v>
      </c>
      <c r="B97" s="1589">
        <v>0</v>
      </c>
      <c r="C97" s="1589">
        <v>0</v>
      </c>
      <c r="D97" s="1589">
        <v>0</v>
      </c>
      <c r="E97" s="1589">
        <v>0</v>
      </c>
      <c r="F97" s="1589">
        <v>0</v>
      </c>
      <c r="G97" s="1589">
        <v>0</v>
      </c>
      <c r="H97" s="1589">
        <v>0</v>
      </c>
      <c r="I97" s="1589">
        <v>0</v>
      </c>
      <c r="J97" s="1589">
        <v>0</v>
      </c>
      <c r="K97" s="1589">
        <v>0</v>
      </c>
      <c r="L97" s="1589">
        <v>0</v>
      </c>
      <c r="M97" s="1589">
        <v>0</v>
      </c>
      <c r="N97" s="1589">
        <v>0</v>
      </c>
      <c r="O97" s="1589">
        <v>0</v>
      </c>
      <c r="P97" s="1589">
        <v>0</v>
      </c>
      <c r="Q97" s="1589">
        <v>0</v>
      </c>
    </row>
    <row r="98" spans="1:17">
      <c r="A98" s="1726" t="s">
        <v>665</v>
      </c>
      <c r="B98" s="1589">
        <v>0</v>
      </c>
      <c r="C98" s="1589">
        <v>0</v>
      </c>
      <c r="D98" s="1589">
        <v>0</v>
      </c>
      <c r="E98" s="1589">
        <v>0</v>
      </c>
      <c r="F98" s="1589">
        <v>0</v>
      </c>
      <c r="G98" s="1589">
        <v>0</v>
      </c>
      <c r="H98" s="1589">
        <v>0</v>
      </c>
      <c r="I98" s="1589">
        <v>0</v>
      </c>
      <c r="J98" s="1589">
        <v>0</v>
      </c>
      <c r="K98" s="1589">
        <v>0</v>
      </c>
      <c r="L98" s="1589">
        <v>0</v>
      </c>
      <c r="M98" s="1589">
        <v>0</v>
      </c>
      <c r="N98" s="1589">
        <v>0</v>
      </c>
      <c r="O98" s="1589">
        <v>0</v>
      </c>
      <c r="P98" s="1589">
        <v>0</v>
      </c>
      <c r="Q98" s="1589">
        <v>0</v>
      </c>
    </row>
    <row r="99" spans="1:17">
      <c r="A99" s="1726" t="s">
        <v>597</v>
      </c>
      <c r="B99" s="1589">
        <v>0</v>
      </c>
      <c r="C99" s="1589">
        <v>0</v>
      </c>
      <c r="D99" s="1589">
        <v>0</v>
      </c>
      <c r="E99" s="1589">
        <v>0</v>
      </c>
      <c r="F99" s="1589">
        <v>0</v>
      </c>
      <c r="G99" s="1589">
        <v>0</v>
      </c>
      <c r="H99" s="1589">
        <v>0</v>
      </c>
      <c r="I99" s="1589">
        <v>0</v>
      </c>
      <c r="J99" s="1589">
        <v>0</v>
      </c>
      <c r="K99" s="1589">
        <v>0</v>
      </c>
      <c r="L99" s="1589">
        <v>0</v>
      </c>
      <c r="M99" s="1589">
        <v>0</v>
      </c>
      <c r="N99" s="1589">
        <v>0</v>
      </c>
      <c r="O99" s="1589">
        <v>0</v>
      </c>
      <c r="P99" s="1589">
        <v>0</v>
      </c>
      <c r="Q99" s="1589">
        <v>0</v>
      </c>
    </row>
    <row r="100" spans="1:17">
      <c r="A100" s="1726" t="s">
        <v>528</v>
      </c>
      <c r="B100" s="1589">
        <v>0</v>
      </c>
      <c r="C100" s="1589">
        <v>0</v>
      </c>
      <c r="D100" s="1589">
        <v>0</v>
      </c>
      <c r="E100" s="1589">
        <v>0</v>
      </c>
      <c r="F100" s="1589">
        <v>0</v>
      </c>
      <c r="G100" s="1589">
        <v>0</v>
      </c>
      <c r="H100" s="1589">
        <v>0</v>
      </c>
      <c r="I100" s="1589">
        <v>0</v>
      </c>
      <c r="J100" s="1589">
        <v>0</v>
      </c>
      <c r="K100" s="1589">
        <v>0</v>
      </c>
      <c r="L100" s="1589">
        <v>0</v>
      </c>
      <c r="M100" s="1589">
        <v>0</v>
      </c>
      <c r="N100" s="1589">
        <v>0</v>
      </c>
      <c r="O100" s="1589">
        <v>0</v>
      </c>
      <c r="P100" s="1589">
        <v>0</v>
      </c>
      <c r="Q100" s="1589">
        <v>0</v>
      </c>
    </row>
    <row r="101" spans="1:17">
      <c r="A101" s="1726" t="s">
        <v>530</v>
      </c>
      <c r="B101" s="1589">
        <v>0</v>
      </c>
      <c r="C101" s="1589">
        <v>0</v>
      </c>
      <c r="D101" s="1589">
        <v>0</v>
      </c>
      <c r="E101" s="1589">
        <v>0</v>
      </c>
      <c r="F101" s="1589">
        <v>0</v>
      </c>
      <c r="G101" s="1589">
        <v>0</v>
      </c>
      <c r="H101" s="1589">
        <v>0</v>
      </c>
      <c r="I101" s="1589">
        <v>0</v>
      </c>
      <c r="J101" s="1589">
        <v>0</v>
      </c>
      <c r="K101" s="1589">
        <v>0</v>
      </c>
      <c r="L101" s="1589">
        <v>0</v>
      </c>
      <c r="M101" s="1589">
        <v>0</v>
      </c>
      <c r="N101" s="1589">
        <v>0</v>
      </c>
      <c r="O101" s="1589">
        <v>0</v>
      </c>
      <c r="P101" s="1589">
        <v>0</v>
      </c>
      <c r="Q101" s="1589">
        <v>0</v>
      </c>
    </row>
    <row r="102" spans="1:17">
      <c r="A102" s="1726" t="s">
        <v>532</v>
      </c>
      <c r="B102" s="1589">
        <v>0</v>
      </c>
      <c r="C102" s="1589">
        <v>0</v>
      </c>
      <c r="D102" s="1589">
        <v>0</v>
      </c>
      <c r="E102" s="1589">
        <v>0</v>
      </c>
      <c r="F102" s="1589">
        <v>0</v>
      </c>
      <c r="G102" s="1589">
        <v>0</v>
      </c>
      <c r="H102" s="1589">
        <v>0</v>
      </c>
      <c r="I102" s="1589">
        <v>0</v>
      </c>
      <c r="J102" s="1589">
        <v>0</v>
      </c>
      <c r="K102" s="1589">
        <v>0</v>
      </c>
      <c r="L102" s="1589">
        <v>0</v>
      </c>
      <c r="M102" s="1589">
        <v>0</v>
      </c>
      <c r="N102" s="1589">
        <v>0</v>
      </c>
      <c r="O102" s="1589">
        <v>0</v>
      </c>
      <c r="P102" s="1589">
        <v>0</v>
      </c>
      <c r="Q102" s="1589">
        <v>0</v>
      </c>
    </row>
    <row r="103" spans="1:17">
      <c r="A103" s="1726" t="s">
        <v>534</v>
      </c>
      <c r="B103" s="1589">
        <v>0</v>
      </c>
      <c r="C103" s="1589">
        <v>0</v>
      </c>
      <c r="D103" s="1589">
        <v>0</v>
      </c>
      <c r="E103" s="1589">
        <v>0</v>
      </c>
      <c r="F103" s="1589">
        <v>0</v>
      </c>
      <c r="G103" s="1589">
        <v>0</v>
      </c>
      <c r="H103" s="1589">
        <v>0</v>
      </c>
      <c r="I103" s="1589">
        <v>0</v>
      </c>
      <c r="J103" s="1589">
        <v>0</v>
      </c>
      <c r="K103" s="1589">
        <v>0</v>
      </c>
      <c r="L103" s="1589">
        <v>0</v>
      </c>
      <c r="M103" s="1589">
        <v>0</v>
      </c>
      <c r="N103" s="1589">
        <v>0</v>
      </c>
      <c r="O103" s="1589">
        <v>0</v>
      </c>
      <c r="P103" s="1589">
        <v>0</v>
      </c>
      <c r="Q103" s="1589">
        <v>0</v>
      </c>
    </row>
    <row r="104" spans="1:17">
      <c r="A104" s="1726" t="s">
        <v>536</v>
      </c>
      <c r="B104" s="1589">
        <v>0</v>
      </c>
      <c r="C104" s="1589">
        <v>0</v>
      </c>
      <c r="D104" s="1589">
        <v>0</v>
      </c>
      <c r="E104" s="1589">
        <v>0</v>
      </c>
      <c r="F104" s="1589">
        <v>0</v>
      </c>
      <c r="G104" s="1589">
        <v>0</v>
      </c>
      <c r="H104" s="1589">
        <v>0</v>
      </c>
      <c r="I104" s="1589">
        <v>0</v>
      </c>
      <c r="J104" s="1589">
        <v>0</v>
      </c>
      <c r="K104" s="1589">
        <v>0</v>
      </c>
      <c r="L104" s="1589">
        <v>0</v>
      </c>
      <c r="M104" s="1589">
        <v>0</v>
      </c>
      <c r="N104" s="1589">
        <v>0</v>
      </c>
      <c r="O104" s="1589">
        <v>0</v>
      </c>
      <c r="P104" s="1589">
        <v>0</v>
      </c>
      <c r="Q104" s="1589">
        <v>0</v>
      </c>
    </row>
    <row r="105" spans="1:17">
      <c r="A105" s="1726" t="s">
        <v>538</v>
      </c>
      <c r="B105" s="1589">
        <v>0</v>
      </c>
      <c r="C105" s="1589">
        <v>0</v>
      </c>
      <c r="D105" s="1589">
        <v>0</v>
      </c>
      <c r="E105" s="1589">
        <v>0</v>
      </c>
      <c r="F105" s="1589">
        <v>0</v>
      </c>
      <c r="G105" s="1589">
        <v>0</v>
      </c>
      <c r="H105" s="1589">
        <v>0</v>
      </c>
      <c r="I105" s="1589">
        <v>0</v>
      </c>
      <c r="J105" s="1589">
        <v>0</v>
      </c>
      <c r="K105" s="1589">
        <v>0</v>
      </c>
      <c r="L105" s="1589">
        <v>0</v>
      </c>
      <c r="M105" s="1589">
        <v>0</v>
      </c>
      <c r="N105" s="1589">
        <v>0</v>
      </c>
      <c r="O105" s="1589">
        <v>0</v>
      </c>
      <c r="P105" s="1589">
        <v>0</v>
      </c>
      <c r="Q105" s="1589">
        <v>0</v>
      </c>
    </row>
    <row r="106" spans="1:17">
      <c r="A106" s="1726" t="s">
        <v>540</v>
      </c>
      <c r="B106" s="1589">
        <v>0</v>
      </c>
      <c r="C106" s="1589">
        <v>0</v>
      </c>
      <c r="D106" s="1589">
        <v>0</v>
      </c>
      <c r="E106" s="1589">
        <v>0</v>
      </c>
      <c r="F106" s="1589">
        <v>0</v>
      </c>
      <c r="G106" s="1589">
        <v>0</v>
      </c>
      <c r="H106" s="1589">
        <v>0</v>
      </c>
      <c r="I106" s="1589">
        <v>0</v>
      </c>
      <c r="J106" s="1589">
        <v>0</v>
      </c>
      <c r="K106" s="1589">
        <v>0</v>
      </c>
      <c r="L106" s="1589">
        <v>0</v>
      </c>
      <c r="M106" s="1589">
        <v>0</v>
      </c>
      <c r="N106" s="1589">
        <v>0</v>
      </c>
      <c r="O106" s="1589">
        <v>0</v>
      </c>
      <c r="P106" s="1589">
        <v>0</v>
      </c>
      <c r="Q106" s="1589">
        <v>0</v>
      </c>
    </row>
    <row r="107" spans="1:17">
      <c r="A107" s="1725" t="s">
        <v>670</v>
      </c>
      <c r="B107" s="1589">
        <v>0</v>
      </c>
      <c r="C107" s="1589">
        <v>102326.46039600001</v>
      </c>
      <c r="D107" s="1589">
        <v>0</v>
      </c>
      <c r="E107" s="1589">
        <v>0</v>
      </c>
      <c r="F107" s="1589">
        <v>102326.46039600001</v>
      </c>
      <c r="G107" s="1589">
        <v>0</v>
      </c>
      <c r="H107" s="1589">
        <v>106740.41454846003</v>
      </c>
      <c r="I107" s="1589">
        <v>0</v>
      </c>
      <c r="J107" s="1589">
        <v>0</v>
      </c>
      <c r="K107" s="1589">
        <v>106740.41454846003</v>
      </c>
      <c r="L107" s="1589">
        <v>0</v>
      </c>
      <c r="M107" s="1589">
        <v>113657.42376186002</v>
      </c>
      <c r="N107" s="1589">
        <v>0</v>
      </c>
      <c r="O107" s="1589">
        <v>0</v>
      </c>
      <c r="P107" s="1589">
        <v>113657.42376186002</v>
      </c>
      <c r="Q107" s="1589">
        <v>322724.29870632006</v>
      </c>
    </row>
    <row r="108" spans="1:17">
      <c r="A108" s="1726" t="s">
        <v>603</v>
      </c>
      <c r="B108" s="1589">
        <v>0</v>
      </c>
      <c r="C108" s="1589">
        <v>96534.396599999993</v>
      </c>
      <c r="D108" s="1589">
        <v>0</v>
      </c>
      <c r="E108" s="1589">
        <v>0</v>
      </c>
      <c r="F108" s="1589">
        <v>96534.396599999993</v>
      </c>
      <c r="G108" s="1589">
        <v>0</v>
      </c>
      <c r="H108" s="1589">
        <v>100698.50429100002</v>
      </c>
      <c r="I108" s="1589">
        <v>0</v>
      </c>
      <c r="J108" s="1589">
        <v>0</v>
      </c>
      <c r="K108" s="1589">
        <v>100698.50429100002</v>
      </c>
      <c r="L108" s="1589">
        <v>0</v>
      </c>
      <c r="M108" s="1589">
        <v>107223.984681</v>
      </c>
      <c r="N108" s="1589">
        <v>0</v>
      </c>
      <c r="O108" s="1589">
        <v>0</v>
      </c>
      <c r="P108" s="1589">
        <v>107223.984681</v>
      </c>
      <c r="Q108" s="1589">
        <v>304456.885572</v>
      </c>
    </row>
    <row r="109" spans="1:17">
      <c r="A109" s="1726" t="s">
        <v>528</v>
      </c>
      <c r="B109" s="1589">
        <v>0</v>
      </c>
      <c r="C109" s="1589">
        <v>5792.0637959999995</v>
      </c>
      <c r="D109" s="1589">
        <v>0</v>
      </c>
      <c r="E109" s="1589">
        <v>0</v>
      </c>
      <c r="F109" s="1589">
        <v>5792.0637959999995</v>
      </c>
      <c r="G109" s="1589">
        <v>0</v>
      </c>
      <c r="H109" s="1589">
        <v>6041.9102574599992</v>
      </c>
      <c r="I109" s="1589">
        <v>0</v>
      </c>
      <c r="J109" s="1589">
        <v>0</v>
      </c>
      <c r="K109" s="1589">
        <v>6041.9102574599992</v>
      </c>
      <c r="L109" s="1589">
        <v>0</v>
      </c>
      <c r="M109" s="1589">
        <v>6433.4390808600001</v>
      </c>
      <c r="N109" s="1589">
        <v>0</v>
      </c>
      <c r="O109" s="1589">
        <v>0</v>
      </c>
      <c r="P109" s="1589">
        <v>6433.4390808600001</v>
      </c>
      <c r="Q109" s="1589">
        <v>18267.413134319999</v>
      </c>
    </row>
    <row r="110" spans="1:17">
      <c r="A110" s="1726" t="s">
        <v>530</v>
      </c>
      <c r="B110" s="1589">
        <v>0</v>
      </c>
      <c r="C110" s="1589">
        <v>9.65343966E-12</v>
      </c>
      <c r="D110" s="1589">
        <v>0</v>
      </c>
      <c r="E110" s="1589">
        <v>0</v>
      </c>
      <c r="F110" s="1589">
        <v>9.65343966E-12</v>
      </c>
      <c r="G110" s="1589">
        <v>0</v>
      </c>
      <c r="H110" s="1589">
        <v>1.00698504291E-11</v>
      </c>
      <c r="I110" s="1589">
        <v>0</v>
      </c>
      <c r="J110" s="1589">
        <v>0</v>
      </c>
      <c r="K110" s="1589">
        <v>1.00698504291E-11</v>
      </c>
      <c r="L110" s="1589">
        <v>0</v>
      </c>
      <c r="M110" s="1589">
        <v>1.0722398468100001E-11</v>
      </c>
      <c r="N110" s="1589">
        <v>0</v>
      </c>
      <c r="O110" s="1589">
        <v>0</v>
      </c>
      <c r="P110" s="1589">
        <v>1.0722398468100001E-11</v>
      </c>
      <c r="Q110" s="1589">
        <v>3.0445688557200003E-11</v>
      </c>
    </row>
    <row r="111" spans="1:17">
      <c r="A111" s="1726" t="s">
        <v>532</v>
      </c>
      <c r="B111" s="1589">
        <v>0</v>
      </c>
      <c r="C111" s="1589">
        <v>0</v>
      </c>
      <c r="D111" s="1589">
        <v>0</v>
      </c>
      <c r="E111" s="1589">
        <v>0</v>
      </c>
      <c r="F111" s="1589">
        <v>0</v>
      </c>
      <c r="G111" s="1589">
        <v>0</v>
      </c>
      <c r="H111" s="1589">
        <v>0</v>
      </c>
      <c r="I111" s="1589">
        <v>0</v>
      </c>
      <c r="J111" s="1589">
        <v>0</v>
      </c>
      <c r="K111" s="1589">
        <v>0</v>
      </c>
      <c r="L111" s="1589">
        <v>0</v>
      </c>
      <c r="M111" s="1589">
        <v>0</v>
      </c>
      <c r="N111" s="1589">
        <v>0</v>
      </c>
      <c r="O111" s="1589">
        <v>0</v>
      </c>
      <c r="P111" s="1589">
        <v>0</v>
      </c>
      <c r="Q111" s="1589">
        <v>0</v>
      </c>
    </row>
    <row r="112" spans="1:17">
      <c r="A112" s="1726" t="s">
        <v>534</v>
      </c>
      <c r="B112" s="1589">
        <v>0</v>
      </c>
      <c r="C112" s="1589">
        <v>0</v>
      </c>
      <c r="D112" s="1589">
        <v>0</v>
      </c>
      <c r="E112" s="1589">
        <v>0</v>
      </c>
      <c r="F112" s="1589">
        <v>0</v>
      </c>
      <c r="G112" s="1589">
        <v>0</v>
      </c>
      <c r="H112" s="1589">
        <v>0</v>
      </c>
      <c r="I112" s="1589">
        <v>0</v>
      </c>
      <c r="J112" s="1589">
        <v>0</v>
      </c>
      <c r="K112" s="1589">
        <v>0</v>
      </c>
      <c r="L112" s="1589">
        <v>0</v>
      </c>
      <c r="M112" s="1589">
        <v>0</v>
      </c>
      <c r="N112" s="1589">
        <v>0</v>
      </c>
      <c r="O112" s="1589">
        <v>0</v>
      </c>
      <c r="P112" s="1589">
        <v>0</v>
      </c>
      <c r="Q112" s="1589">
        <v>0</v>
      </c>
    </row>
    <row r="113" spans="1:17">
      <c r="A113" s="1726" t="s">
        <v>536</v>
      </c>
      <c r="B113" s="1589">
        <v>0</v>
      </c>
      <c r="C113" s="1589">
        <v>0</v>
      </c>
      <c r="D113" s="1589">
        <v>0</v>
      </c>
      <c r="E113" s="1589">
        <v>0</v>
      </c>
      <c r="F113" s="1589">
        <v>0</v>
      </c>
      <c r="G113" s="1589">
        <v>0</v>
      </c>
      <c r="H113" s="1589">
        <v>0</v>
      </c>
      <c r="I113" s="1589">
        <v>0</v>
      </c>
      <c r="J113" s="1589">
        <v>0</v>
      </c>
      <c r="K113" s="1589">
        <v>0</v>
      </c>
      <c r="L113" s="1589">
        <v>0</v>
      </c>
      <c r="M113" s="1589">
        <v>0</v>
      </c>
      <c r="N113" s="1589">
        <v>0</v>
      </c>
      <c r="O113" s="1589">
        <v>0</v>
      </c>
      <c r="P113" s="1589">
        <v>0</v>
      </c>
      <c r="Q113" s="1589">
        <v>0</v>
      </c>
    </row>
    <row r="114" spans="1:17">
      <c r="A114" s="1726" t="s">
        <v>538</v>
      </c>
      <c r="B114" s="1589">
        <v>0</v>
      </c>
      <c r="C114" s="1589">
        <v>0</v>
      </c>
      <c r="D114" s="1589">
        <v>0</v>
      </c>
      <c r="E114" s="1589">
        <v>0</v>
      </c>
      <c r="F114" s="1589">
        <v>0</v>
      </c>
      <c r="G114" s="1589">
        <v>0</v>
      </c>
      <c r="H114" s="1589">
        <v>0</v>
      </c>
      <c r="I114" s="1589">
        <v>0</v>
      </c>
      <c r="J114" s="1589">
        <v>0</v>
      </c>
      <c r="K114" s="1589">
        <v>0</v>
      </c>
      <c r="L114" s="1589">
        <v>0</v>
      </c>
      <c r="M114" s="1589">
        <v>0</v>
      </c>
      <c r="N114" s="1589">
        <v>0</v>
      </c>
      <c r="O114" s="1589">
        <v>0</v>
      </c>
      <c r="P114" s="1589">
        <v>0</v>
      </c>
      <c r="Q114" s="1589">
        <v>0</v>
      </c>
    </row>
    <row r="115" spans="1:17">
      <c r="A115" s="1726" t="s">
        <v>540</v>
      </c>
      <c r="B115" s="1589">
        <v>0</v>
      </c>
      <c r="C115" s="1589">
        <v>0</v>
      </c>
      <c r="D115" s="1589">
        <v>0</v>
      </c>
      <c r="E115" s="1589">
        <v>0</v>
      </c>
      <c r="F115" s="1589">
        <v>0</v>
      </c>
      <c r="G115" s="1589">
        <v>0</v>
      </c>
      <c r="H115" s="1589">
        <v>0</v>
      </c>
      <c r="I115" s="1589">
        <v>0</v>
      </c>
      <c r="J115" s="1589">
        <v>0</v>
      </c>
      <c r="K115" s="1589">
        <v>0</v>
      </c>
      <c r="L115" s="1589">
        <v>0</v>
      </c>
      <c r="M115" s="1589">
        <v>0</v>
      </c>
      <c r="N115" s="1589">
        <v>0</v>
      </c>
      <c r="O115" s="1589">
        <v>0</v>
      </c>
      <c r="P115" s="1589">
        <v>0</v>
      </c>
      <c r="Q115" s="1589">
        <v>0</v>
      </c>
    </row>
    <row r="116" spans="1:17">
      <c r="A116" s="1588" t="s">
        <v>652</v>
      </c>
      <c r="B116" s="1589">
        <v>0</v>
      </c>
      <c r="C116" s="1589">
        <v>0</v>
      </c>
      <c r="D116" s="1589">
        <v>0</v>
      </c>
      <c r="E116" s="1589">
        <v>0</v>
      </c>
      <c r="F116" s="1589">
        <v>0</v>
      </c>
      <c r="G116" s="1589">
        <v>0</v>
      </c>
      <c r="H116" s="1589">
        <v>0</v>
      </c>
      <c r="I116" s="1589">
        <v>0</v>
      </c>
      <c r="J116" s="1589">
        <v>0</v>
      </c>
      <c r="K116" s="1589">
        <v>0</v>
      </c>
      <c r="L116" s="1589">
        <v>0</v>
      </c>
      <c r="M116" s="1589">
        <v>0</v>
      </c>
      <c r="N116" s="1589">
        <v>0</v>
      </c>
      <c r="O116" s="1589">
        <v>0</v>
      </c>
      <c r="P116" s="1589">
        <v>0</v>
      </c>
      <c r="Q116" s="1589">
        <v>0</v>
      </c>
    </row>
    <row r="117" spans="1:17">
      <c r="A117" s="1725" t="s">
        <v>661</v>
      </c>
      <c r="B117" s="1589">
        <v>0</v>
      </c>
      <c r="C117" s="1589">
        <v>0</v>
      </c>
      <c r="D117" s="1589">
        <v>0</v>
      </c>
      <c r="E117" s="1589">
        <v>0</v>
      </c>
      <c r="F117" s="1589">
        <v>0</v>
      </c>
      <c r="G117" s="1589">
        <v>0</v>
      </c>
      <c r="H117" s="1589">
        <v>0</v>
      </c>
      <c r="I117" s="1589">
        <v>0</v>
      </c>
      <c r="J117" s="1589">
        <v>0</v>
      </c>
      <c r="K117" s="1589">
        <v>0</v>
      </c>
      <c r="L117" s="1589">
        <v>0</v>
      </c>
      <c r="M117" s="1589">
        <v>0</v>
      </c>
      <c r="N117" s="1589">
        <v>0</v>
      </c>
      <c r="O117" s="1589">
        <v>0</v>
      </c>
      <c r="P117" s="1589">
        <v>0</v>
      </c>
      <c r="Q117" s="1589">
        <v>0</v>
      </c>
    </row>
    <row r="118" spans="1:17">
      <c r="A118" s="1726" t="s">
        <v>663</v>
      </c>
      <c r="B118" s="1589">
        <v>0</v>
      </c>
      <c r="C118" s="1589">
        <v>0</v>
      </c>
      <c r="D118" s="1589">
        <v>0</v>
      </c>
      <c r="E118" s="1589">
        <v>0</v>
      </c>
      <c r="F118" s="1589">
        <v>0</v>
      </c>
      <c r="G118" s="1589">
        <v>0</v>
      </c>
      <c r="H118" s="1589">
        <v>0</v>
      </c>
      <c r="I118" s="1589">
        <v>0</v>
      </c>
      <c r="J118" s="1589">
        <v>0</v>
      </c>
      <c r="K118" s="1589">
        <v>0</v>
      </c>
      <c r="L118" s="1589">
        <v>0</v>
      </c>
      <c r="M118" s="1589">
        <v>0</v>
      </c>
      <c r="N118" s="1589">
        <v>0</v>
      </c>
      <c r="O118" s="1589">
        <v>0</v>
      </c>
      <c r="P118" s="1589">
        <v>0</v>
      </c>
      <c r="Q118" s="1589">
        <v>0</v>
      </c>
    </row>
    <row r="119" spans="1:17">
      <c r="A119" s="1726" t="s">
        <v>665</v>
      </c>
      <c r="B119" s="1589">
        <v>0</v>
      </c>
      <c r="C119" s="1589">
        <v>0</v>
      </c>
      <c r="D119" s="1589">
        <v>0</v>
      </c>
      <c r="E119" s="1589">
        <v>0</v>
      </c>
      <c r="F119" s="1589">
        <v>0</v>
      </c>
      <c r="G119" s="1589">
        <v>0</v>
      </c>
      <c r="H119" s="1589">
        <v>0</v>
      </c>
      <c r="I119" s="1589">
        <v>0</v>
      </c>
      <c r="J119" s="1589">
        <v>0</v>
      </c>
      <c r="K119" s="1589">
        <v>0</v>
      </c>
      <c r="L119" s="1589">
        <v>0</v>
      </c>
      <c r="M119" s="1589">
        <v>0</v>
      </c>
      <c r="N119" s="1589">
        <v>0</v>
      </c>
      <c r="O119" s="1589">
        <v>0</v>
      </c>
      <c r="P119" s="1589">
        <v>0</v>
      </c>
      <c r="Q119" s="1589">
        <v>0</v>
      </c>
    </row>
    <row r="120" spans="1:17">
      <c r="A120" s="1726" t="s">
        <v>597</v>
      </c>
      <c r="B120" s="1589">
        <v>0</v>
      </c>
      <c r="C120" s="1589">
        <v>0</v>
      </c>
      <c r="D120" s="1589">
        <v>0</v>
      </c>
      <c r="E120" s="1589">
        <v>0</v>
      </c>
      <c r="F120" s="1589">
        <v>0</v>
      </c>
      <c r="G120" s="1589">
        <v>0</v>
      </c>
      <c r="H120" s="1589">
        <v>0</v>
      </c>
      <c r="I120" s="1589">
        <v>0</v>
      </c>
      <c r="J120" s="1589">
        <v>0</v>
      </c>
      <c r="K120" s="1589">
        <v>0</v>
      </c>
      <c r="L120" s="1589">
        <v>0</v>
      </c>
      <c r="M120" s="1589">
        <v>0</v>
      </c>
      <c r="N120" s="1589">
        <v>0</v>
      </c>
      <c r="O120" s="1589">
        <v>0</v>
      </c>
      <c r="P120" s="1589">
        <v>0</v>
      </c>
      <c r="Q120" s="1589">
        <v>0</v>
      </c>
    </row>
    <row r="121" spans="1:17">
      <c r="A121" s="1726" t="s">
        <v>528</v>
      </c>
      <c r="B121" s="1589">
        <v>0</v>
      </c>
      <c r="C121" s="1589">
        <v>0</v>
      </c>
      <c r="D121" s="1589">
        <v>0</v>
      </c>
      <c r="E121" s="1589">
        <v>0</v>
      </c>
      <c r="F121" s="1589">
        <v>0</v>
      </c>
      <c r="G121" s="1589">
        <v>0</v>
      </c>
      <c r="H121" s="1589">
        <v>0</v>
      </c>
      <c r="I121" s="1589">
        <v>0</v>
      </c>
      <c r="J121" s="1589">
        <v>0</v>
      </c>
      <c r="K121" s="1589">
        <v>0</v>
      </c>
      <c r="L121" s="1589">
        <v>0</v>
      </c>
      <c r="M121" s="1589">
        <v>0</v>
      </c>
      <c r="N121" s="1589">
        <v>0</v>
      </c>
      <c r="O121" s="1589">
        <v>0</v>
      </c>
      <c r="P121" s="1589">
        <v>0</v>
      </c>
      <c r="Q121" s="1589">
        <v>0</v>
      </c>
    </row>
    <row r="122" spans="1:17">
      <c r="A122" s="1726" t="s">
        <v>530</v>
      </c>
      <c r="B122" s="1589">
        <v>0</v>
      </c>
      <c r="C122" s="1589">
        <v>0</v>
      </c>
      <c r="D122" s="1589">
        <v>0</v>
      </c>
      <c r="E122" s="1589">
        <v>0</v>
      </c>
      <c r="F122" s="1589">
        <v>0</v>
      </c>
      <c r="G122" s="1589">
        <v>0</v>
      </c>
      <c r="H122" s="1589">
        <v>0</v>
      </c>
      <c r="I122" s="1589">
        <v>0</v>
      </c>
      <c r="J122" s="1589">
        <v>0</v>
      </c>
      <c r="K122" s="1589">
        <v>0</v>
      </c>
      <c r="L122" s="1589">
        <v>0</v>
      </c>
      <c r="M122" s="1589">
        <v>0</v>
      </c>
      <c r="N122" s="1589">
        <v>0</v>
      </c>
      <c r="O122" s="1589">
        <v>0</v>
      </c>
      <c r="P122" s="1589">
        <v>0</v>
      </c>
      <c r="Q122" s="1589">
        <v>0</v>
      </c>
    </row>
    <row r="123" spans="1:17">
      <c r="A123" s="1726" t="s">
        <v>532</v>
      </c>
      <c r="B123" s="1589">
        <v>0</v>
      </c>
      <c r="C123" s="1589">
        <v>0</v>
      </c>
      <c r="D123" s="1589">
        <v>0</v>
      </c>
      <c r="E123" s="1589">
        <v>0</v>
      </c>
      <c r="F123" s="1589">
        <v>0</v>
      </c>
      <c r="G123" s="1589">
        <v>0</v>
      </c>
      <c r="H123" s="1589">
        <v>0</v>
      </c>
      <c r="I123" s="1589">
        <v>0</v>
      </c>
      <c r="J123" s="1589">
        <v>0</v>
      </c>
      <c r="K123" s="1589">
        <v>0</v>
      </c>
      <c r="L123" s="1589">
        <v>0</v>
      </c>
      <c r="M123" s="1589">
        <v>0</v>
      </c>
      <c r="N123" s="1589">
        <v>0</v>
      </c>
      <c r="O123" s="1589">
        <v>0</v>
      </c>
      <c r="P123" s="1589">
        <v>0</v>
      </c>
      <c r="Q123" s="1589">
        <v>0</v>
      </c>
    </row>
    <row r="124" spans="1:17">
      <c r="A124" s="1726" t="s">
        <v>534</v>
      </c>
      <c r="B124" s="1589">
        <v>0</v>
      </c>
      <c r="C124" s="1589">
        <v>0</v>
      </c>
      <c r="D124" s="1589">
        <v>0</v>
      </c>
      <c r="E124" s="1589">
        <v>0</v>
      </c>
      <c r="F124" s="1589">
        <v>0</v>
      </c>
      <c r="G124" s="1589">
        <v>0</v>
      </c>
      <c r="H124" s="1589">
        <v>0</v>
      </c>
      <c r="I124" s="1589">
        <v>0</v>
      </c>
      <c r="J124" s="1589">
        <v>0</v>
      </c>
      <c r="K124" s="1589">
        <v>0</v>
      </c>
      <c r="L124" s="1589">
        <v>0</v>
      </c>
      <c r="M124" s="1589">
        <v>0</v>
      </c>
      <c r="N124" s="1589">
        <v>0</v>
      </c>
      <c r="O124" s="1589">
        <v>0</v>
      </c>
      <c r="P124" s="1589">
        <v>0</v>
      </c>
      <c r="Q124" s="1589">
        <v>0</v>
      </c>
    </row>
    <row r="125" spans="1:17">
      <c r="A125" s="1726" t="s">
        <v>536</v>
      </c>
      <c r="B125" s="1589">
        <v>0</v>
      </c>
      <c r="C125" s="1589">
        <v>0</v>
      </c>
      <c r="D125" s="1589">
        <v>0</v>
      </c>
      <c r="E125" s="1589">
        <v>0</v>
      </c>
      <c r="F125" s="1589">
        <v>0</v>
      </c>
      <c r="G125" s="1589">
        <v>0</v>
      </c>
      <c r="H125" s="1589">
        <v>0</v>
      </c>
      <c r="I125" s="1589">
        <v>0</v>
      </c>
      <c r="J125" s="1589">
        <v>0</v>
      </c>
      <c r="K125" s="1589">
        <v>0</v>
      </c>
      <c r="L125" s="1589">
        <v>0</v>
      </c>
      <c r="M125" s="1589">
        <v>0</v>
      </c>
      <c r="N125" s="1589">
        <v>0</v>
      </c>
      <c r="O125" s="1589">
        <v>0</v>
      </c>
      <c r="P125" s="1589">
        <v>0</v>
      </c>
      <c r="Q125" s="1589">
        <v>0</v>
      </c>
    </row>
    <row r="126" spans="1:17">
      <c r="A126" s="1726" t="s">
        <v>538</v>
      </c>
      <c r="B126" s="1589">
        <v>0</v>
      </c>
      <c r="C126" s="1589">
        <v>0</v>
      </c>
      <c r="D126" s="1589">
        <v>0</v>
      </c>
      <c r="E126" s="1589">
        <v>0</v>
      </c>
      <c r="F126" s="1589">
        <v>0</v>
      </c>
      <c r="G126" s="1589">
        <v>0</v>
      </c>
      <c r="H126" s="1589">
        <v>0</v>
      </c>
      <c r="I126" s="1589">
        <v>0</v>
      </c>
      <c r="J126" s="1589">
        <v>0</v>
      </c>
      <c r="K126" s="1589">
        <v>0</v>
      </c>
      <c r="L126" s="1589">
        <v>0</v>
      </c>
      <c r="M126" s="1589">
        <v>0</v>
      </c>
      <c r="N126" s="1589">
        <v>0</v>
      </c>
      <c r="O126" s="1589">
        <v>0</v>
      </c>
      <c r="P126" s="1589">
        <v>0</v>
      </c>
      <c r="Q126" s="1589">
        <v>0</v>
      </c>
    </row>
    <row r="127" spans="1:17">
      <c r="A127" s="1726" t="s">
        <v>540</v>
      </c>
      <c r="B127" s="1589">
        <v>0</v>
      </c>
      <c r="C127" s="1589">
        <v>0</v>
      </c>
      <c r="D127" s="1589">
        <v>0</v>
      </c>
      <c r="E127" s="1589">
        <v>0</v>
      </c>
      <c r="F127" s="1589">
        <v>0</v>
      </c>
      <c r="G127" s="1589">
        <v>0</v>
      </c>
      <c r="H127" s="1589">
        <v>0</v>
      </c>
      <c r="I127" s="1589">
        <v>0</v>
      </c>
      <c r="J127" s="1589">
        <v>0</v>
      </c>
      <c r="K127" s="1589">
        <v>0</v>
      </c>
      <c r="L127" s="1589">
        <v>0</v>
      </c>
      <c r="M127" s="1589">
        <v>0</v>
      </c>
      <c r="N127" s="1589">
        <v>0</v>
      </c>
      <c r="O127" s="1589">
        <v>0</v>
      </c>
      <c r="P127" s="1589">
        <v>0</v>
      </c>
      <c r="Q127" s="1589">
        <v>0</v>
      </c>
    </row>
    <row r="128" spans="1:17">
      <c r="A128" s="1725" t="s">
        <v>668</v>
      </c>
      <c r="B128" s="1589">
        <v>0</v>
      </c>
      <c r="C128" s="1589">
        <v>0</v>
      </c>
      <c r="D128" s="1589">
        <v>0</v>
      </c>
      <c r="E128" s="1589">
        <v>0</v>
      </c>
      <c r="F128" s="1589">
        <v>0</v>
      </c>
      <c r="G128" s="1589">
        <v>0</v>
      </c>
      <c r="H128" s="1589">
        <v>0</v>
      </c>
      <c r="I128" s="1589">
        <v>0</v>
      </c>
      <c r="J128" s="1589">
        <v>0</v>
      </c>
      <c r="K128" s="1589">
        <v>0</v>
      </c>
      <c r="L128" s="1589">
        <v>0</v>
      </c>
      <c r="M128" s="1589">
        <v>0</v>
      </c>
      <c r="N128" s="1589">
        <v>0</v>
      </c>
      <c r="O128" s="1589">
        <v>0</v>
      </c>
      <c r="P128" s="1589">
        <v>0</v>
      </c>
      <c r="Q128" s="1589">
        <v>0</v>
      </c>
    </row>
    <row r="129" spans="1:17">
      <c r="A129" s="1726" t="s">
        <v>663</v>
      </c>
      <c r="B129" s="1589">
        <v>0</v>
      </c>
      <c r="C129" s="1589">
        <v>0</v>
      </c>
      <c r="D129" s="1589">
        <v>0</v>
      </c>
      <c r="E129" s="1589">
        <v>0</v>
      </c>
      <c r="F129" s="1589">
        <v>0</v>
      </c>
      <c r="G129" s="1589">
        <v>0</v>
      </c>
      <c r="H129" s="1589">
        <v>0</v>
      </c>
      <c r="I129" s="1589">
        <v>0</v>
      </c>
      <c r="J129" s="1589">
        <v>0</v>
      </c>
      <c r="K129" s="1589">
        <v>0</v>
      </c>
      <c r="L129" s="1589">
        <v>0</v>
      </c>
      <c r="M129" s="1589">
        <v>0</v>
      </c>
      <c r="N129" s="1589">
        <v>0</v>
      </c>
      <c r="O129" s="1589">
        <v>0</v>
      </c>
      <c r="P129" s="1589">
        <v>0</v>
      </c>
      <c r="Q129" s="1589">
        <v>0</v>
      </c>
    </row>
    <row r="130" spans="1:17">
      <c r="A130" s="1726" t="s">
        <v>665</v>
      </c>
      <c r="B130" s="1589">
        <v>0</v>
      </c>
      <c r="C130" s="1589">
        <v>0</v>
      </c>
      <c r="D130" s="1589">
        <v>0</v>
      </c>
      <c r="E130" s="1589">
        <v>0</v>
      </c>
      <c r="F130" s="1589">
        <v>0</v>
      </c>
      <c r="G130" s="1589">
        <v>0</v>
      </c>
      <c r="H130" s="1589">
        <v>0</v>
      </c>
      <c r="I130" s="1589">
        <v>0</v>
      </c>
      <c r="J130" s="1589">
        <v>0</v>
      </c>
      <c r="K130" s="1589">
        <v>0</v>
      </c>
      <c r="L130" s="1589">
        <v>0</v>
      </c>
      <c r="M130" s="1589">
        <v>0</v>
      </c>
      <c r="N130" s="1589">
        <v>0</v>
      </c>
      <c r="O130" s="1589">
        <v>0</v>
      </c>
      <c r="P130" s="1589">
        <v>0</v>
      </c>
      <c r="Q130" s="1589">
        <v>0</v>
      </c>
    </row>
    <row r="131" spans="1:17">
      <c r="A131" s="1726" t="s">
        <v>597</v>
      </c>
      <c r="B131" s="1589">
        <v>0</v>
      </c>
      <c r="C131" s="1589">
        <v>0</v>
      </c>
      <c r="D131" s="1589">
        <v>0</v>
      </c>
      <c r="E131" s="1589">
        <v>0</v>
      </c>
      <c r="F131" s="1589">
        <v>0</v>
      </c>
      <c r="G131" s="1589">
        <v>0</v>
      </c>
      <c r="H131" s="1589">
        <v>0</v>
      </c>
      <c r="I131" s="1589">
        <v>0</v>
      </c>
      <c r="J131" s="1589">
        <v>0</v>
      </c>
      <c r="K131" s="1589">
        <v>0</v>
      </c>
      <c r="L131" s="1589">
        <v>0</v>
      </c>
      <c r="M131" s="1589">
        <v>0</v>
      </c>
      <c r="N131" s="1589">
        <v>0</v>
      </c>
      <c r="O131" s="1589">
        <v>0</v>
      </c>
      <c r="P131" s="1589">
        <v>0</v>
      </c>
      <c r="Q131" s="1589">
        <v>0</v>
      </c>
    </row>
    <row r="132" spans="1:17">
      <c r="A132" s="1726" t="s">
        <v>528</v>
      </c>
      <c r="B132" s="1589">
        <v>0</v>
      </c>
      <c r="C132" s="1589">
        <v>0</v>
      </c>
      <c r="D132" s="1589">
        <v>0</v>
      </c>
      <c r="E132" s="1589">
        <v>0</v>
      </c>
      <c r="F132" s="1589">
        <v>0</v>
      </c>
      <c r="G132" s="1589">
        <v>0</v>
      </c>
      <c r="H132" s="1589">
        <v>0</v>
      </c>
      <c r="I132" s="1589">
        <v>0</v>
      </c>
      <c r="J132" s="1589">
        <v>0</v>
      </c>
      <c r="K132" s="1589">
        <v>0</v>
      </c>
      <c r="L132" s="1589">
        <v>0</v>
      </c>
      <c r="M132" s="1589">
        <v>0</v>
      </c>
      <c r="N132" s="1589">
        <v>0</v>
      </c>
      <c r="O132" s="1589">
        <v>0</v>
      </c>
      <c r="P132" s="1589">
        <v>0</v>
      </c>
      <c r="Q132" s="1589">
        <v>0</v>
      </c>
    </row>
    <row r="133" spans="1:17">
      <c r="A133" s="1726" t="s">
        <v>530</v>
      </c>
      <c r="B133" s="1589">
        <v>0</v>
      </c>
      <c r="C133" s="1589">
        <v>0</v>
      </c>
      <c r="D133" s="1589">
        <v>0</v>
      </c>
      <c r="E133" s="1589">
        <v>0</v>
      </c>
      <c r="F133" s="1589">
        <v>0</v>
      </c>
      <c r="G133" s="1589">
        <v>0</v>
      </c>
      <c r="H133" s="1589">
        <v>0</v>
      </c>
      <c r="I133" s="1589">
        <v>0</v>
      </c>
      <c r="J133" s="1589">
        <v>0</v>
      </c>
      <c r="K133" s="1589">
        <v>0</v>
      </c>
      <c r="L133" s="1589">
        <v>0</v>
      </c>
      <c r="M133" s="1589">
        <v>0</v>
      </c>
      <c r="N133" s="1589">
        <v>0</v>
      </c>
      <c r="O133" s="1589">
        <v>0</v>
      </c>
      <c r="P133" s="1589">
        <v>0</v>
      </c>
      <c r="Q133" s="1589">
        <v>0</v>
      </c>
    </row>
    <row r="134" spans="1:17">
      <c r="A134" s="1726" t="s">
        <v>532</v>
      </c>
      <c r="B134" s="1589">
        <v>0</v>
      </c>
      <c r="C134" s="1589">
        <v>0</v>
      </c>
      <c r="D134" s="1589">
        <v>0</v>
      </c>
      <c r="E134" s="1589">
        <v>0</v>
      </c>
      <c r="F134" s="1589">
        <v>0</v>
      </c>
      <c r="G134" s="1589">
        <v>0</v>
      </c>
      <c r="H134" s="1589">
        <v>0</v>
      </c>
      <c r="I134" s="1589">
        <v>0</v>
      </c>
      <c r="J134" s="1589">
        <v>0</v>
      </c>
      <c r="K134" s="1589">
        <v>0</v>
      </c>
      <c r="L134" s="1589">
        <v>0</v>
      </c>
      <c r="M134" s="1589">
        <v>0</v>
      </c>
      <c r="N134" s="1589">
        <v>0</v>
      </c>
      <c r="O134" s="1589">
        <v>0</v>
      </c>
      <c r="P134" s="1589">
        <v>0</v>
      </c>
      <c r="Q134" s="1589">
        <v>0</v>
      </c>
    </row>
    <row r="135" spans="1:17">
      <c r="A135" s="1726" t="s">
        <v>534</v>
      </c>
      <c r="B135" s="1589">
        <v>0</v>
      </c>
      <c r="C135" s="1589">
        <v>0</v>
      </c>
      <c r="D135" s="1589">
        <v>0</v>
      </c>
      <c r="E135" s="1589">
        <v>0</v>
      </c>
      <c r="F135" s="1589">
        <v>0</v>
      </c>
      <c r="G135" s="1589">
        <v>0</v>
      </c>
      <c r="H135" s="1589">
        <v>0</v>
      </c>
      <c r="I135" s="1589">
        <v>0</v>
      </c>
      <c r="J135" s="1589">
        <v>0</v>
      </c>
      <c r="K135" s="1589">
        <v>0</v>
      </c>
      <c r="L135" s="1589">
        <v>0</v>
      </c>
      <c r="M135" s="1589">
        <v>0</v>
      </c>
      <c r="N135" s="1589">
        <v>0</v>
      </c>
      <c r="O135" s="1589">
        <v>0</v>
      </c>
      <c r="P135" s="1589">
        <v>0</v>
      </c>
      <c r="Q135" s="1589">
        <v>0</v>
      </c>
    </row>
    <row r="136" spans="1:17">
      <c r="A136" s="1726" t="s">
        <v>536</v>
      </c>
      <c r="B136" s="1589">
        <v>0</v>
      </c>
      <c r="C136" s="1589">
        <v>0</v>
      </c>
      <c r="D136" s="1589">
        <v>0</v>
      </c>
      <c r="E136" s="1589">
        <v>0</v>
      </c>
      <c r="F136" s="1589">
        <v>0</v>
      </c>
      <c r="G136" s="1589">
        <v>0</v>
      </c>
      <c r="H136" s="1589">
        <v>0</v>
      </c>
      <c r="I136" s="1589">
        <v>0</v>
      </c>
      <c r="J136" s="1589">
        <v>0</v>
      </c>
      <c r="K136" s="1589">
        <v>0</v>
      </c>
      <c r="L136" s="1589">
        <v>0</v>
      </c>
      <c r="M136" s="1589">
        <v>0</v>
      </c>
      <c r="N136" s="1589">
        <v>0</v>
      </c>
      <c r="O136" s="1589">
        <v>0</v>
      </c>
      <c r="P136" s="1589">
        <v>0</v>
      </c>
      <c r="Q136" s="1589">
        <v>0</v>
      </c>
    </row>
    <row r="137" spans="1:17">
      <c r="A137" s="1726" t="s">
        <v>538</v>
      </c>
      <c r="B137" s="1589">
        <v>0</v>
      </c>
      <c r="C137" s="1589">
        <v>0</v>
      </c>
      <c r="D137" s="1589">
        <v>0</v>
      </c>
      <c r="E137" s="1589">
        <v>0</v>
      </c>
      <c r="F137" s="1589">
        <v>0</v>
      </c>
      <c r="G137" s="1589">
        <v>0</v>
      </c>
      <c r="H137" s="1589">
        <v>0</v>
      </c>
      <c r="I137" s="1589">
        <v>0</v>
      </c>
      <c r="J137" s="1589">
        <v>0</v>
      </c>
      <c r="K137" s="1589">
        <v>0</v>
      </c>
      <c r="L137" s="1589">
        <v>0</v>
      </c>
      <c r="M137" s="1589">
        <v>0</v>
      </c>
      <c r="N137" s="1589">
        <v>0</v>
      </c>
      <c r="O137" s="1589">
        <v>0</v>
      </c>
      <c r="P137" s="1589">
        <v>0</v>
      </c>
      <c r="Q137" s="1589">
        <v>0</v>
      </c>
    </row>
    <row r="138" spans="1:17">
      <c r="A138" s="1726" t="s">
        <v>540</v>
      </c>
      <c r="B138" s="1589">
        <v>0</v>
      </c>
      <c r="C138" s="1589">
        <v>0</v>
      </c>
      <c r="D138" s="1589">
        <v>0</v>
      </c>
      <c r="E138" s="1589">
        <v>0</v>
      </c>
      <c r="F138" s="1589">
        <v>0</v>
      </c>
      <c r="G138" s="1589">
        <v>0</v>
      </c>
      <c r="H138" s="1589">
        <v>0</v>
      </c>
      <c r="I138" s="1589">
        <v>0</v>
      </c>
      <c r="J138" s="1589">
        <v>0</v>
      </c>
      <c r="K138" s="1589">
        <v>0</v>
      </c>
      <c r="L138" s="1589">
        <v>0</v>
      </c>
      <c r="M138" s="1589">
        <v>0</v>
      </c>
      <c r="N138" s="1589">
        <v>0</v>
      </c>
      <c r="O138" s="1589">
        <v>0</v>
      </c>
      <c r="P138" s="1589">
        <v>0</v>
      </c>
      <c r="Q138" s="1589">
        <v>0</v>
      </c>
    </row>
    <row r="139" spans="1:17">
      <c r="A139" s="1725" t="s">
        <v>666</v>
      </c>
      <c r="B139" s="1589">
        <v>0</v>
      </c>
      <c r="C139" s="1589">
        <v>0</v>
      </c>
      <c r="D139" s="1589">
        <v>0</v>
      </c>
      <c r="E139" s="1589">
        <v>0</v>
      </c>
      <c r="F139" s="1589">
        <v>0</v>
      </c>
      <c r="G139" s="1589">
        <v>0</v>
      </c>
      <c r="H139" s="1589">
        <v>0</v>
      </c>
      <c r="I139" s="1589">
        <v>0</v>
      </c>
      <c r="J139" s="1589">
        <v>0</v>
      </c>
      <c r="K139" s="1589">
        <v>0</v>
      </c>
      <c r="L139" s="1589">
        <v>0</v>
      </c>
      <c r="M139" s="1589">
        <v>0</v>
      </c>
      <c r="N139" s="1589">
        <v>0</v>
      </c>
      <c r="O139" s="1589">
        <v>0</v>
      </c>
      <c r="P139" s="1589">
        <v>0</v>
      </c>
      <c r="Q139" s="1589">
        <v>0</v>
      </c>
    </row>
    <row r="140" spans="1:17">
      <c r="A140" s="1726" t="s">
        <v>653</v>
      </c>
      <c r="B140" s="1589">
        <v>0</v>
      </c>
      <c r="C140" s="1589">
        <v>0</v>
      </c>
      <c r="D140" s="1589">
        <v>0</v>
      </c>
      <c r="E140" s="1589">
        <v>0</v>
      </c>
      <c r="F140" s="1589">
        <v>0</v>
      </c>
      <c r="G140" s="1589">
        <v>0</v>
      </c>
      <c r="H140" s="1589">
        <v>0</v>
      </c>
      <c r="I140" s="1589">
        <v>0</v>
      </c>
      <c r="J140" s="1589">
        <v>0</v>
      </c>
      <c r="K140" s="1589">
        <v>0</v>
      </c>
      <c r="L140" s="1589">
        <v>0</v>
      </c>
      <c r="M140" s="1589">
        <v>0</v>
      </c>
      <c r="N140" s="1589">
        <v>0</v>
      </c>
      <c r="O140" s="1589">
        <v>0</v>
      </c>
      <c r="P140" s="1589">
        <v>0</v>
      </c>
      <c r="Q140" s="1589">
        <v>0</v>
      </c>
    </row>
    <row r="141" spans="1:17">
      <c r="A141" s="1725" t="s">
        <v>667</v>
      </c>
      <c r="B141" s="1589">
        <v>0</v>
      </c>
      <c r="C141" s="1589">
        <v>0</v>
      </c>
      <c r="D141" s="1589">
        <v>0</v>
      </c>
      <c r="E141" s="1589">
        <v>0</v>
      </c>
      <c r="F141" s="1589">
        <v>0</v>
      </c>
      <c r="G141" s="1589">
        <v>0</v>
      </c>
      <c r="H141" s="1589">
        <v>0</v>
      </c>
      <c r="I141" s="1589">
        <v>0</v>
      </c>
      <c r="J141" s="1589">
        <v>0</v>
      </c>
      <c r="K141" s="1589">
        <v>0</v>
      </c>
      <c r="L141" s="1589">
        <v>0</v>
      </c>
      <c r="M141" s="1589">
        <v>0</v>
      </c>
      <c r="N141" s="1589">
        <v>0</v>
      </c>
      <c r="O141" s="1589">
        <v>0</v>
      </c>
      <c r="P141" s="1589">
        <v>0</v>
      </c>
      <c r="Q141" s="1589">
        <v>0</v>
      </c>
    </row>
    <row r="142" spans="1:17">
      <c r="A142" s="1726" t="s">
        <v>664</v>
      </c>
      <c r="B142" s="1589">
        <v>0</v>
      </c>
      <c r="C142" s="1589">
        <v>0</v>
      </c>
      <c r="D142" s="1589">
        <v>0</v>
      </c>
      <c r="E142" s="1589">
        <v>0</v>
      </c>
      <c r="F142" s="1589">
        <v>0</v>
      </c>
      <c r="G142" s="1589">
        <v>0</v>
      </c>
      <c r="H142" s="1589">
        <v>0</v>
      </c>
      <c r="I142" s="1589">
        <v>0</v>
      </c>
      <c r="J142" s="1589">
        <v>0</v>
      </c>
      <c r="K142" s="1589">
        <v>0</v>
      </c>
      <c r="L142" s="1589">
        <v>0</v>
      </c>
      <c r="M142" s="1589">
        <v>0</v>
      </c>
      <c r="N142" s="1589">
        <v>0</v>
      </c>
      <c r="O142" s="1589">
        <v>0</v>
      </c>
      <c r="P142" s="1589">
        <v>0</v>
      </c>
      <c r="Q142" s="1589">
        <v>0</v>
      </c>
    </row>
    <row r="143" spans="1:17">
      <c r="A143" s="1726" t="s">
        <v>528</v>
      </c>
      <c r="B143" s="1589">
        <v>0</v>
      </c>
      <c r="C143" s="1589">
        <v>0</v>
      </c>
      <c r="D143" s="1589">
        <v>0</v>
      </c>
      <c r="E143" s="1589">
        <v>0</v>
      </c>
      <c r="F143" s="1589">
        <v>0</v>
      </c>
      <c r="G143" s="1589">
        <v>0</v>
      </c>
      <c r="H143" s="1589">
        <v>0</v>
      </c>
      <c r="I143" s="1589">
        <v>0</v>
      </c>
      <c r="J143" s="1589">
        <v>0</v>
      </c>
      <c r="K143" s="1589">
        <v>0</v>
      </c>
      <c r="L143" s="1589">
        <v>0</v>
      </c>
      <c r="M143" s="1589">
        <v>0</v>
      </c>
      <c r="N143" s="1589">
        <v>0</v>
      </c>
      <c r="O143" s="1589">
        <v>0</v>
      </c>
      <c r="P143" s="1589">
        <v>0</v>
      </c>
      <c r="Q143" s="1589">
        <v>0</v>
      </c>
    </row>
    <row r="144" spans="1:17">
      <c r="A144" s="1726" t="s">
        <v>530</v>
      </c>
      <c r="B144" s="1589">
        <v>0</v>
      </c>
      <c r="C144" s="1589">
        <v>0</v>
      </c>
      <c r="D144" s="1589">
        <v>0</v>
      </c>
      <c r="E144" s="1589">
        <v>0</v>
      </c>
      <c r="F144" s="1589">
        <v>0</v>
      </c>
      <c r="G144" s="1589">
        <v>0</v>
      </c>
      <c r="H144" s="1589">
        <v>0</v>
      </c>
      <c r="I144" s="1589">
        <v>0</v>
      </c>
      <c r="J144" s="1589">
        <v>0</v>
      </c>
      <c r="K144" s="1589">
        <v>0</v>
      </c>
      <c r="L144" s="1589">
        <v>0</v>
      </c>
      <c r="M144" s="1589">
        <v>0</v>
      </c>
      <c r="N144" s="1589">
        <v>0</v>
      </c>
      <c r="O144" s="1589">
        <v>0</v>
      </c>
      <c r="P144" s="1589">
        <v>0</v>
      </c>
      <c r="Q144" s="1589">
        <v>0</v>
      </c>
    </row>
    <row r="145" spans="1:17">
      <c r="A145" s="1726" t="s">
        <v>532</v>
      </c>
      <c r="B145" s="1589">
        <v>0</v>
      </c>
      <c r="C145" s="1589">
        <v>0</v>
      </c>
      <c r="D145" s="1589">
        <v>0</v>
      </c>
      <c r="E145" s="1589">
        <v>0</v>
      </c>
      <c r="F145" s="1589">
        <v>0</v>
      </c>
      <c r="G145" s="1589">
        <v>0</v>
      </c>
      <c r="H145" s="1589">
        <v>0</v>
      </c>
      <c r="I145" s="1589">
        <v>0</v>
      </c>
      <c r="J145" s="1589">
        <v>0</v>
      </c>
      <c r="K145" s="1589">
        <v>0</v>
      </c>
      <c r="L145" s="1589">
        <v>0</v>
      </c>
      <c r="M145" s="1589">
        <v>0</v>
      </c>
      <c r="N145" s="1589">
        <v>0</v>
      </c>
      <c r="O145" s="1589">
        <v>0</v>
      </c>
      <c r="P145" s="1589">
        <v>0</v>
      </c>
      <c r="Q145" s="1589">
        <v>0</v>
      </c>
    </row>
    <row r="146" spans="1:17">
      <c r="A146" s="1726" t="s">
        <v>534</v>
      </c>
      <c r="B146" s="1589">
        <v>0</v>
      </c>
      <c r="C146" s="1589">
        <v>0</v>
      </c>
      <c r="D146" s="1589">
        <v>0</v>
      </c>
      <c r="E146" s="1589">
        <v>0</v>
      </c>
      <c r="F146" s="1589">
        <v>0</v>
      </c>
      <c r="G146" s="1589">
        <v>0</v>
      </c>
      <c r="H146" s="1589">
        <v>0</v>
      </c>
      <c r="I146" s="1589">
        <v>0</v>
      </c>
      <c r="J146" s="1589">
        <v>0</v>
      </c>
      <c r="K146" s="1589">
        <v>0</v>
      </c>
      <c r="L146" s="1589">
        <v>0</v>
      </c>
      <c r="M146" s="1589">
        <v>0</v>
      </c>
      <c r="N146" s="1589">
        <v>0</v>
      </c>
      <c r="O146" s="1589">
        <v>0</v>
      </c>
      <c r="P146" s="1589">
        <v>0</v>
      </c>
      <c r="Q146" s="1589">
        <v>0</v>
      </c>
    </row>
    <row r="147" spans="1:17">
      <c r="A147" s="1726" t="s">
        <v>536</v>
      </c>
      <c r="B147" s="1589">
        <v>0</v>
      </c>
      <c r="C147" s="1589">
        <v>0</v>
      </c>
      <c r="D147" s="1589">
        <v>0</v>
      </c>
      <c r="E147" s="1589">
        <v>0</v>
      </c>
      <c r="F147" s="1589">
        <v>0</v>
      </c>
      <c r="G147" s="1589">
        <v>0</v>
      </c>
      <c r="H147" s="1589">
        <v>0</v>
      </c>
      <c r="I147" s="1589">
        <v>0</v>
      </c>
      <c r="J147" s="1589">
        <v>0</v>
      </c>
      <c r="K147" s="1589">
        <v>0</v>
      </c>
      <c r="L147" s="1589">
        <v>0</v>
      </c>
      <c r="M147" s="1589">
        <v>0</v>
      </c>
      <c r="N147" s="1589">
        <v>0</v>
      </c>
      <c r="O147" s="1589">
        <v>0</v>
      </c>
      <c r="P147" s="1589">
        <v>0</v>
      </c>
      <c r="Q147" s="1589">
        <v>0</v>
      </c>
    </row>
    <row r="148" spans="1:17">
      <c r="A148" s="1726" t="s">
        <v>538</v>
      </c>
      <c r="B148" s="1589">
        <v>0</v>
      </c>
      <c r="C148" s="1589">
        <v>0</v>
      </c>
      <c r="D148" s="1589">
        <v>0</v>
      </c>
      <c r="E148" s="1589">
        <v>0</v>
      </c>
      <c r="F148" s="1589">
        <v>0</v>
      </c>
      <c r="G148" s="1589">
        <v>0</v>
      </c>
      <c r="H148" s="1589">
        <v>0</v>
      </c>
      <c r="I148" s="1589">
        <v>0</v>
      </c>
      <c r="J148" s="1589">
        <v>0</v>
      </c>
      <c r="K148" s="1589">
        <v>0</v>
      </c>
      <c r="L148" s="1589">
        <v>0</v>
      </c>
      <c r="M148" s="1589">
        <v>0</v>
      </c>
      <c r="N148" s="1589">
        <v>0</v>
      </c>
      <c r="O148" s="1589">
        <v>0</v>
      </c>
      <c r="P148" s="1589">
        <v>0</v>
      </c>
      <c r="Q148" s="1589">
        <v>0</v>
      </c>
    </row>
    <row r="149" spans="1:17">
      <c r="A149" s="1726" t="s">
        <v>540</v>
      </c>
      <c r="B149" s="1589">
        <v>0</v>
      </c>
      <c r="C149" s="1589">
        <v>0</v>
      </c>
      <c r="D149" s="1589">
        <v>0</v>
      </c>
      <c r="E149" s="1589">
        <v>0</v>
      </c>
      <c r="F149" s="1589">
        <v>0</v>
      </c>
      <c r="G149" s="1589">
        <v>0</v>
      </c>
      <c r="H149" s="1589">
        <v>0</v>
      </c>
      <c r="I149" s="1589">
        <v>0</v>
      </c>
      <c r="J149" s="1589">
        <v>0</v>
      </c>
      <c r="K149" s="1589">
        <v>0</v>
      </c>
      <c r="L149" s="1589">
        <v>0</v>
      </c>
      <c r="M149" s="1589">
        <v>0</v>
      </c>
      <c r="N149" s="1589">
        <v>0</v>
      </c>
      <c r="O149" s="1589">
        <v>0</v>
      </c>
      <c r="P149" s="1589">
        <v>0</v>
      </c>
      <c r="Q149" s="1589">
        <v>0</v>
      </c>
    </row>
    <row r="150" spans="1:17">
      <c r="A150" s="1588" t="s">
        <v>612</v>
      </c>
      <c r="B150" s="1589">
        <v>0</v>
      </c>
      <c r="C150" s="1589">
        <v>0</v>
      </c>
      <c r="D150" s="1589">
        <v>0</v>
      </c>
      <c r="E150" s="1589">
        <v>0</v>
      </c>
      <c r="F150" s="1589">
        <v>0</v>
      </c>
      <c r="G150" s="1589">
        <v>0</v>
      </c>
      <c r="H150" s="1589">
        <v>0</v>
      </c>
      <c r="I150" s="1589">
        <v>0</v>
      </c>
      <c r="J150" s="1589">
        <v>0</v>
      </c>
      <c r="K150" s="1589">
        <v>0</v>
      </c>
      <c r="L150" s="1589">
        <v>0</v>
      </c>
      <c r="M150" s="1589">
        <v>0</v>
      </c>
      <c r="N150" s="1589">
        <v>0</v>
      </c>
      <c r="O150" s="1589">
        <v>0</v>
      </c>
      <c r="P150" s="1589">
        <v>0</v>
      </c>
      <c r="Q150" s="1589">
        <v>0</v>
      </c>
    </row>
    <row r="151" spans="1:17">
      <c r="A151" s="1725" t="s">
        <v>621</v>
      </c>
      <c r="B151" s="1589">
        <v>0</v>
      </c>
      <c r="C151" s="1589">
        <v>0</v>
      </c>
      <c r="D151" s="1589">
        <v>0</v>
      </c>
      <c r="E151" s="1589">
        <v>0</v>
      </c>
      <c r="F151" s="1589">
        <v>0</v>
      </c>
      <c r="G151" s="1589">
        <v>0</v>
      </c>
      <c r="H151" s="1589">
        <v>0</v>
      </c>
      <c r="I151" s="1589">
        <v>0</v>
      </c>
      <c r="J151" s="1589">
        <v>0</v>
      </c>
      <c r="K151" s="1589">
        <v>0</v>
      </c>
      <c r="L151" s="1589">
        <v>0</v>
      </c>
      <c r="M151" s="1589">
        <v>0</v>
      </c>
      <c r="N151" s="1589">
        <v>0</v>
      </c>
      <c r="O151" s="1589">
        <v>0</v>
      </c>
      <c r="P151" s="1589">
        <v>0</v>
      </c>
      <c r="Q151" s="1589">
        <v>0</v>
      </c>
    </row>
    <row r="152" spans="1:17">
      <c r="A152" s="1726" t="s">
        <v>600</v>
      </c>
      <c r="B152" s="1589">
        <v>0</v>
      </c>
      <c r="C152" s="1589">
        <v>0</v>
      </c>
      <c r="D152" s="1589">
        <v>0</v>
      </c>
      <c r="E152" s="1589">
        <v>0</v>
      </c>
      <c r="F152" s="1589">
        <v>0</v>
      </c>
      <c r="G152" s="1589">
        <v>0</v>
      </c>
      <c r="H152" s="1589">
        <v>0</v>
      </c>
      <c r="I152" s="1589">
        <v>0</v>
      </c>
      <c r="J152" s="1589">
        <v>0</v>
      </c>
      <c r="K152" s="1589">
        <v>0</v>
      </c>
      <c r="L152" s="1589">
        <v>0</v>
      </c>
      <c r="M152" s="1589">
        <v>0</v>
      </c>
      <c r="N152" s="1589">
        <v>0</v>
      </c>
      <c r="O152" s="1589">
        <v>0</v>
      </c>
      <c r="P152" s="1589">
        <v>0</v>
      </c>
      <c r="Q152" s="1589">
        <v>0</v>
      </c>
    </row>
    <row r="153" spans="1:17">
      <c r="A153" s="1726" t="s">
        <v>528</v>
      </c>
      <c r="B153" s="1589">
        <v>0</v>
      </c>
      <c r="C153" s="1589">
        <v>0</v>
      </c>
      <c r="D153" s="1589">
        <v>0</v>
      </c>
      <c r="E153" s="1589">
        <v>0</v>
      </c>
      <c r="F153" s="1589">
        <v>0</v>
      </c>
      <c r="G153" s="1589">
        <v>0</v>
      </c>
      <c r="H153" s="1589">
        <v>0</v>
      </c>
      <c r="I153" s="1589">
        <v>0</v>
      </c>
      <c r="J153" s="1589">
        <v>0</v>
      </c>
      <c r="K153" s="1589">
        <v>0</v>
      </c>
      <c r="L153" s="1589">
        <v>0</v>
      </c>
      <c r="M153" s="1589">
        <v>0</v>
      </c>
      <c r="N153" s="1589">
        <v>0</v>
      </c>
      <c r="O153" s="1589">
        <v>0</v>
      </c>
      <c r="P153" s="1589">
        <v>0</v>
      </c>
      <c r="Q153" s="1589">
        <v>0</v>
      </c>
    </row>
    <row r="154" spans="1:17">
      <c r="A154" s="1726" t="s">
        <v>530</v>
      </c>
      <c r="B154" s="1589">
        <v>0</v>
      </c>
      <c r="C154" s="1589">
        <v>0</v>
      </c>
      <c r="D154" s="1589">
        <v>0</v>
      </c>
      <c r="E154" s="1589">
        <v>0</v>
      </c>
      <c r="F154" s="1589">
        <v>0</v>
      </c>
      <c r="G154" s="1589">
        <v>0</v>
      </c>
      <c r="H154" s="1589">
        <v>0</v>
      </c>
      <c r="I154" s="1589">
        <v>0</v>
      </c>
      <c r="J154" s="1589">
        <v>0</v>
      </c>
      <c r="K154" s="1589">
        <v>0</v>
      </c>
      <c r="L154" s="1589">
        <v>0</v>
      </c>
      <c r="M154" s="1589">
        <v>0</v>
      </c>
      <c r="N154" s="1589">
        <v>0</v>
      </c>
      <c r="O154" s="1589">
        <v>0</v>
      </c>
      <c r="P154" s="1589">
        <v>0</v>
      </c>
      <c r="Q154" s="1589">
        <v>0</v>
      </c>
    </row>
    <row r="155" spans="1:17">
      <c r="A155" s="1726" t="s">
        <v>532</v>
      </c>
      <c r="B155" s="1589">
        <v>0</v>
      </c>
      <c r="C155" s="1589">
        <v>0</v>
      </c>
      <c r="D155" s="1589">
        <v>0</v>
      </c>
      <c r="E155" s="1589">
        <v>0</v>
      </c>
      <c r="F155" s="1589">
        <v>0</v>
      </c>
      <c r="G155" s="1589">
        <v>0</v>
      </c>
      <c r="H155" s="1589">
        <v>0</v>
      </c>
      <c r="I155" s="1589">
        <v>0</v>
      </c>
      <c r="J155" s="1589">
        <v>0</v>
      </c>
      <c r="K155" s="1589">
        <v>0</v>
      </c>
      <c r="L155" s="1589">
        <v>0</v>
      </c>
      <c r="M155" s="1589">
        <v>0</v>
      </c>
      <c r="N155" s="1589">
        <v>0</v>
      </c>
      <c r="O155" s="1589">
        <v>0</v>
      </c>
      <c r="P155" s="1589">
        <v>0</v>
      </c>
      <c r="Q155" s="1589">
        <v>0</v>
      </c>
    </row>
    <row r="156" spans="1:17">
      <c r="A156" s="1726" t="s">
        <v>534</v>
      </c>
      <c r="B156" s="1589">
        <v>0</v>
      </c>
      <c r="C156" s="1589">
        <v>0</v>
      </c>
      <c r="D156" s="1589">
        <v>0</v>
      </c>
      <c r="E156" s="1589">
        <v>0</v>
      </c>
      <c r="F156" s="1589">
        <v>0</v>
      </c>
      <c r="G156" s="1589">
        <v>0</v>
      </c>
      <c r="H156" s="1589">
        <v>0</v>
      </c>
      <c r="I156" s="1589">
        <v>0</v>
      </c>
      <c r="J156" s="1589">
        <v>0</v>
      </c>
      <c r="K156" s="1589">
        <v>0</v>
      </c>
      <c r="L156" s="1589">
        <v>0</v>
      </c>
      <c r="M156" s="1589">
        <v>0</v>
      </c>
      <c r="N156" s="1589">
        <v>0</v>
      </c>
      <c r="O156" s="1589">
        <v>0</v>
      </c>
      <c r="P156" s="1589">
        <v>0</v>
      </c>
      <c r="Q156" s="1589">
        <v>0</v>
      </c>
    </row>
    <row r="157" spans="1:17">
      <c r="A157" s="1726" t="s">
        <v>536</v>
      </c>
      <c r="B157" s="1589">
        <v>0</v>
      </c>
      <c r="C157" s="1589">
        <v>0</v>
      </c>
      <c r="D157" s="1589">
        <v>0</v>
      </c>
      <c r="E157" s="1589">
        <v>0</v>
      </c>
      <c r="F157" s="1589">
        <v>0</v>
      </c>
      <c r="G157" s="1589">
        <v>0</v>
      </c>
      <c r="H157" s="1589">
        <v>0</v>
      </c>
      <c r="I157" s="1589">
        <v>0</v>
      </c>
      <c r="J157" s="1589">
        <v>0</v>
      </c>
      <c r="K157" s="1589">
        <v>0</v>
      </c>
      <c r="L157" s="1589">
        <v>0</v>
      </c>
      <c r="M157" s="1589">
        <v>0</v>
      </c>
      <c r="N157" s="1589">
        <v>0</v>
      </c>
      <c r="O157" s="1589">
        <v>0</v>
      </c>
      <c r="P157" s="1589">
        <v>0</v>
      </c>
      <c r="Q157" s="1589">
        <v>0</v>
      </c>
    </row>
    <row r="158" spans="1:17">
      <c r="A158" s="1726" t="s">
        <v>538</v>
      </c>
      <c r="B158" s="1589">
        <v>0</v>
      </c>
      <c r="C158" s="1589">
        <v>0</v>
      </c>
      <c r="D158" s="1589">
        <v>0</v>
      </c>
      <c r="E158" s="1589">
        <v>0</v>
      </c>
      <c r="F158" s="1589">
        <v>0</v>
      </c>
      <c r="G158" s="1589">
        <v>0</v>
      </c>
      <c r="H158" s="1589">
        <v>0</v>
      </c>
      <c r="I158" s="1589">
        <v>0</v>
      </c>
      <c r="J158" s="1589">
        <v>0</v>
      </c>
      <c r="K158" s="1589">
        <v>0</v>
      </c>
      <c r="L158" s="1589">
        <v>0</v>
      </c>
      <c r="M158" s="1589">
        <v>0</v>
      </c>
      <c r="N158" s="1589">
        <v>0</v>
      </c>
      <c r="O158" s="1589">
        <v>0</v>
      </c>
      <c r="P158" s="1589">
        <v>0</v>
      </c>
      <c r="Q158" s="1589">
        <v>0</v>
      </c>
    </row>
    <row r="159" spans="1:17">
      <c r="A159" s="1726" t="s">
        <v>540</v>
      </c>
      <c r="B159" s="1589">
        <v>0</v>
      </c>
      <c r="C159" s="1589">
        <v>0</v>
      </c>
      <c r="D159" s="1589">
        <v>0</v>
      </c>
      <c r="E159" s="1589">
        <v>0</v>
      </c>
      <c r="F159" s="1589">
        <v>0</v>
      </c>
      <c r="G159" s="1589">
        <v>0</v>
      </c>
      <c r="H159" s="1589">
        <v>0</v>
      </c>
      <c r="I159" s="1589">
        <v>0</v>
      </c>
      <c r="J159" s="1589">
        <v>0</v>
      </c>
      <c r="K159" s="1589">
        <v>0</v>
      </c>
      <c r="L159" s="1589">
        <v>0</v>
      </c>
      <c r="M159" s="1589">
        <v>0</v>
      </c>
      <c r="N159" s="1589">
        <v>0</v>
      </c>
      <c r="O159" s="1589">
        <v>0</v>
      </c>
      <c r="P159" s="1589">
        <v>0</v>
      </c>
      <c r="Q159" s="1589">
        <v>0</v>
      </c>
    </row>
    <row r="160" spans="1:17">
      <c r="A160" s="1725" t="s">
        <v>613</v>
      </c>
      <c r="B160" s="1589">
        <v>0</v>
      </c>
      <c r="C160" s="1589">
        <v>0</v>
      </c>
      <c r="D160" s="1589">
        <v>0</v>
      </c>
      <c r="E160" s="1589">
        <v>0</v>
      </c>
      <c r="F160" s="1589">
        <v>0</v>
      </c>
      <c r="G160" s="1589">
        <v>0</v>
      </c>
      <c r="H160" s="1589">
        <v>0</v>
      </c>
      <c r="I160" s="1589">
        <v>0</v>
      </c>
      <c r="J160" s="1589">
        <v>0</v>
      </c>
      <c r="K160" s="1589">
        <v>0</v>
      </c>
      <c r="L160" s="1589">
        <v>0</v>
      </c>
      <c r="M160" s="1589">
        <v>0</v>
      </c>
      <c r="N160" s="1589">
        <v>0</v>
      </c>
      <c r="O160" s="1589">
        <v>0</v>
      </c>
      <c r="P160" s="1589">
        <v>0</v>
      </c>
      <c r="Q160" s="1589">
        <v>0</v>
      </c>
    </row>
    <row r="161" spans="1:17">
      <c r="A161" s="1726" t="s">
        <v>600</v>
      </c>
      <c r="B161" s="1589">
        <v>0</v>
      </c>
      <c r="C161" s="1589">
        <v>0</v>
      </c>
      <c r="D161" s="1589">
        <v>0</v>
      </c>
      <c r="E161" s="1589">
        <v>0</v>
      </c>
      <c r="F161" s="1589">
        <v>0</v>
      </c>
      <c r="G161" s="1589">
        <v>0</v>
      </c>
      <c r="H161" s="1589">
        <v>0</v>
      </c>
      <c r="I161" s="1589">
        <v>0</v>
      </c>
      <c r="J161" s="1589">
        <v>0</v>
      </c>
      <c r="K161" s="1589">
        <v>0</v>
      </c>
      <c r="L161" s="1589">
        <v>0</v>
      </c>
      <c r="M161" s="1589">
        <v>0</v>
      </c>
      <c r="N161" s="1589">
        <v>0</v>
      </c>
      <c r="O161" s="1589">
        <v>0</v>
      </c>
      <c r="P161" s="1589">
        <v>0</v>
      </c>
      <c r="Q161" s="1589">
        <v>0</v>
      </c>
    </row>
    <row r="162" spans="1:17">
      <c r="A162" s="1726" t="s">
        <v>528</v>
      </c>
      <c r="B162" s="1589">
        <v>0</v>
      </c>
      <c r="C162" s="1589">
        <v>0</v>
      </c>
      <c r="D162" s="1589">
        <v>0</v>
      </c>
      <c r="E162" s="1589">
        <v>0</v>
      </c>
      <c r="F162" s="1589">
        <v>0</v>
      </c>
      <c r="G162" s="1589">
        <v>0</v>
      </c>
      <c r="H162" s="1589">
        <v>0</v>
      </c>
      <c r="I162" s="1589">
        <v>0</v>
      </c>
      <c r="J162" s="1589">
        <v>0</v>
      </c>
      <c r="K162" s="1589">
        <v>0</v>
      </c>
      <c r="L162" s="1589">
        <v>0</v>
      </c>
      <c r="M162" s="1589">
        <v>0</v>
      </c>
      <c r="N162" s="1589">
        <v>0</v>
      </c>
      <c r="O162" s="1589">
        <v>0</v>
      </c>
      <c r="P162" s="1589">
        <v>0</v>
      </c>
      <c r="Q162" s="1589">
        <v>0</v>
      </c>
    </row>
    <row r="163" spans="1:17">
      <c r="A163" s="1726" t="s">
        <v>530</v>
      </c>
      <c r="B163" s="1589">
        <v>0</v>
      </c>
      <c r="C163" s="1589">
        <v>0</v>
      </c>
      <c r="D163" s="1589">
        <v>0</v>
      </c>
      <c r="E163" s="1589">
        <v>0</v>
      </c>
      <c r="F163" s="1589">
        <v>0</v>
      </c>
      <c r="G163" s="1589">
        <v>0</v>
      </c>
      <c r="H163" s="1589">
        <v>0</v>
      </c>
      <c r="I163" s="1589">
        <v>0</v>
      </c>
      <c r="J163" s="1589">
        <v>0</v>
      </c>
      <c r="K163" s="1589">
        <v>0</v>
      </c>
      <c r="L163" s="1589">
        <v>0</v>
      </c>
      <c r="M163" s="1589">
        <v>0</v>
      </c>
      <c r="N163" s="1589">
        <v>0</v>
      </c>
      <c r="O163" s="1589">
        <v>0</v>
      </c>
      <c r="P163" s="1589">
        <v>0</v>
      </c>
      <c r="Q163" s="1589">
        <v>0</v>
      </c>
    </row>
    <row r="164" spans="1:17">
      <c r="A164" s="1726" t="s">
        <v>532</v>
      </c>
      <c r="B164" s="1589">
        <v>0</v>
      </c>
      <c r="C164" s="1589">
        <v>0</v>
      </c>
      <c r="D164" s="1589">
        <v>0</v>
      </c>
      <c r="E164" s="1589">
        <v>0</v>
      </c>
      <c r="F164" s="1589">
        <v>0</v>
      </c>
      <c r="G164" s="1589">
        <v>0</v>
      </c>
      <c r="H164" s="1589">
        <v>0</v>
      </c>
      <c r="I164" s="1589">
        <v>0</v>
      </c>
      <c r="J164" s="1589">
        <v>0</v>
      </c>
      <c r="K164" s="1589">
        <v>0</v>
      </c>
      <c r="L164" s="1589">
        <v>0</v>
      </c>
      <c r="M164" s="1589">
        <v>0</v>
      </c>
      <c r="N164" s="1589">
        <v>0</v>
      </c>
      <c r="O164" s="1589">
        <v>0</v>
      </c>
      <c r="P164" s="1589">
        <v>0</v>
      </c>
      <c r="Q164" s="1589">
        <v>0</v>
      </c>
    </row>
    <row r="165" spans="1:17">
      <c r="A165" s="1726" t="s">
        <v>534</v>
      </c>
      <c r="B165" s="1589">
        <v>0</v>
      </c>
      <c r="C165" s="1589">
        <v>0</v>
      </c>
      <c r="D165" s="1589">
        <v>0</v>
      </c>
      <c r="E165" s="1589">
        <v>0</v>
      </c>
      <c r="F165" s="1589">
        <v>0</v>
      </c>
      <c r="G165" s="1589">
        <v>0</v>
      </c>
      <c r="H165" s="1589">
        <v>0</v>
      </c>
      <c r="I165" s="1589">
        <v>0</v>
      </c>
      <c r="J165" s="1589">
        <v>0</v>
      </c>
      <c r="K165" s="1589">
        <v>0</v>
      </c>
      <c r="L165" s="1589">
        <v>0</v>
      </c>
      <c r="M165" s="1589">
        <v>0</v>
      </c>
      <c r="N165" s="1589">
        <v>0</v>
      </c>
      <c r="O165" s="1589">
        <v>0</v>
      </c>
      <c r="P165" s="1589">
        <v>0</v>
      </c>
      <c r="Q165" s="1589">
        <v>0</v>
      </c>
    </row>
    <row r="166" spans="1:17">
      <c r="A166" s="1726" t="s">
        <v>536</v>
      </c>
      <c r="B166" s="1589">
        <v>0</v>
      </c>
      <c r="C166" s="1589">
        <v>0</v>
      </c>
      <c r="D166" s="1589">
        <v>0</v>
      </c>
      <c r="E166" s="1589">
        <v>0</v>
      </c>
      <c r="F166" s="1589">
        <v>0</v>
      </c>
      <c r="G166" s="1589">
        <v>0</v>
      </c>
      <c r="H166" s="1589">
        <v>0</v>
      </c>
      <c r="I166" s="1589">
        <v>0</v>
      </c>
      <c r="J166" s="1589">
        <v>0</v>
      </c>
      <c r="K166" s="1589">
        <v>0</v>
      </c>
      <c r="L166" s="1589">
        <v>0</v>
      </c>
      <c r="M166" s="1589">
        <v>0</v>
      </c>
      <c r="N166" s="1589">
        <v>0</v>
      </c>
      <c r="O166" s="1589">
        <v>0</v>
      </c>
      <c r="P166" s="1589">
        <v>0</v>
      </c>
      <c r="Q166" s="1589">
        <v>0</v>
      </c>
    </row>
    <row r="167" spans="1:17">
      <c r="A167" s="1726" t="s">
        <v>538</v>
      </c>
      <c r="B167" s="1589">
        <v>0</v>
      </c>
      <c r="C167" s="1589">
        <v>0</v>
      </c>
      <c r="D167" s="1589">
        <v>0</v>
      </c>
      <c r="E167" s="1589">
        <v>0</v>
      </c>
      <c r="F167" s="1589">
        <v>0</v>
      </c>
      <c r="G167" s="1589">
        <v>0</v>
      </c>
      <c r="H167" s="1589">
        <v>0</v>
      </c>
      <c r="I167" s="1589">
        <v>0</v>
      </c>
      <c r="J167" s="1589">
        <v>0</v>
      </c>
      <c r="K167" s="1589">
        <v>0</v>
      </c>
      <c r="L167" s="1589">
        <v>0</v>
      </c>
      <c r="M167" s="1589">
        <v>0</v>
      </c>
      <c r="N167" s="1589">
        <v>0</v>
      </c>
      <c r="O167" s="1589">
        <v>0</v>
      </c>
      <c r="P167" s="1589">
        <v>0</v>
      </c>
      <c r="Q167" s="1589">
        <v>0</v>
      </c>
    </row>
    <row r="168" spans="1:17">
      <c r="A168" s="1726" t="s">
        <v>540</v>
      </c>
      <c r="B168" s="1589">
        <v>0</v>
      </c>
      <c r="C168" s="1589">
        <v>0</v>
      </c>
      <c r="D168" s="1589">
        <v>0</v>
      </c>
      <c r="E168" s="1589">
        <v>0</v>
      </c>
      <c r="F168" s="1589">
        <v>0</v>
      </c>
      <c r="G168" s="1589">
        <v>0</v>
      </c>
      <c r="H168" s="1589">
        <v>0</v>
      </c>
      <c r="I168" s="1589">
        <v>0</v>
      </c>
      <c r="J168" s="1589">
        <v>0</v>
      </c>
      <c r="K168" s="1589">
        <v>0</v>
      </c>
      <c r="L168" s="1589">
        <v>0</v>
      </c>
      <c r="M168" s="1589">
        <v>0</v>
      </c>
      <c r="N168" s="1589">
        <v>0</v>
      </c>
      <c r="O168" s="1589">
        <v>0</v>
      </c>
      <c r="P168" s="1589">
        <v>0</v>
      </c>
      <c r="Q168" s="1589">
        <v>0</v>
      </c>
    </row>
    <row r="169" spans="1:17">
      <c r="A169" s="1725" t="s">
        <v>637</v>
      </c>
      <c r="B169" s="1589">
        <v>0</v>
      </c>
      <c r="C169" s="1589">
        <v>0</v>
      </c>
      <c r="D169" s="1589">
        <v>0</v>
      </c>
      <c r="E169" s="1589">
        <v>0</v>
      </c>
      <c r="F169" s="1589">
        <v>0</v>
      </c>
      <c r="G169" s="1589">
        <v>0</v>
      </c>
      <c r="H169" s="1589">
        <v>0</v>
      </c>
      <c r="I169" s="1589">
        <v>0</v>
      </c>
      <c r="J169" s="1589">
        <v>0</v>
      </c>
      <c r="K169" s="1589">
        <v>0</v>
      </c>
      <c r="L169" s="1589">
        <v>0</v>
      </c>
      <c r="M169" s="1589">
        <v>0</v>
      </c>
      <c r="N169" s="1589">
        <v>0</v>
      </c>
      <c r="O169" s="1589">
        <v>0</v>
      </c>
      <c r="P169" s="1589">
        <v>0</v>
      </c>
      <c r="Q169" s="1589">
        <v>0</v>
      </c>
    </row>
    <row r="170" spans="1:17">
      <c r="A170" s="1726" t="s">
        <v>600</v>
      </c>
      <c r="B170" s="1589">
        <v>0</v>
      </c>
      <c r="C170" s="1589">
        <v>0</v>
      </c>
      <c r="D170" s="1589">
        <v>0</v>
      </c>
      <c r="E170" s="1589">
        <v>0</v>
      </c>
      <c r="F170" s="1589">
        <v>0</v>
      </c>
      <c r="G170" s="1589">
        <v>0</v>
      </c>
      <c r="H170" s="1589">
        <v>0</v>
      </c>
      <c r="I170" s="1589">
        <v>0</v>
      </c>
      <c r="J170" s="1589">
        <v>0</v>
      </c>
      <c r="K170" s="1589">
        <v>0</v>
      </c>
      <c r="L170" s="1589">
        <v>0</v>
      </c>
      <c r="M170" s="1589">
        <v>0</v>
      </c>
      <c r="N170" s="1589">
        <v>0</v>
      </c>
      <c r="O170" s="1589">
        <v>0</v>
      </c>
      <c r="P170" s="1589">
        <v>0</v>
      </c>
      <c r="Q170" s="1589">
        <v>0</v>
      </c>
    </row>
    <row r="171" spans="1:17">
      <c r="A171" s="1726" t="s">
        <v>528</v>
      </c>
      <c r="B171" s="1589">
        <v>0</v>
      </c>
      <c r="C171" s="1589">
        <v>0</v>
      </c>
      <c r="D171" s="1589">
        <v>0</v>
      </c>
      <c r="E171" s="1589">
        <v>0</v>
      </c>
      <c r="F171" s="1589">
        <v>0</v>
      </c>
      <c r="G171" s="1589">
        <v>0</v>
      </c>
      <c r="H171" s="1589">
        <v>0</v>
      </c>
      <c r="I171" s="1589">
        <v>0</v>
      </c>
      <c r="J171" s="1589">
        <v>0</v>
      </c>
      <c r="K171" s="1589">
        <v>0</v>
      </c>
      <c r="L171" s="1589">
        <v>0</v>
      </c>
      <c r="M171" s="1589">
        <v>0</v>
      </c>
      <c r="N171" s="1589">
        <v>0</v>
      </c>
      <c r="O171" s="1589">
        <v>0</v>
      </c>
      <c r="P171" s="1589">
        <v>0</v>
      </c>
      <c r="Q171" s="1589">
        <v>0</v>
      </c>
    </row>
    <row r="172" spans="1:17">
      <c r="A172" s="1726" t="s">
        <v>530</v>
      </c>
      <c r="B172" s="1589">
        <v>0</v>
      </c>
      <c r="C172" s="1589">
        <v>0</v>
      </c>
      <c r="D172" s="1589">
        <v>0</v>
      </c>
      <c r="E172" s="1589">
        <v>0</v>
      </c>
      <c r="F172" s="1589">
        <v>0</v>
      </c>
      <c r="G172" s="1589">
        <v>0</v>
      </c>
      <c r="H172" s="1589">
        <v>0</v>
      </c>
      <c r="I172" s="1589">
        <v>0</v>
      </c>
      <c r="J172" s="1589">
        <v>0</v>
      </c>
      <c r="K172" s="1589">
        <v>0</v>
      </c>
      <c r="L172" s="1589">
        <v>0</v>
      </c>
      <c r="M172" s="1589">
        <v>0</v>
      </c>
      <c r="N172" s="1589">
        <v>0</v>
      </c>
      <c r="O172" s="1589">
        <v>0</v>
      </c>
      <c r="P172" s="1589">
        <v>0</v>
      </c>
      <c r="Q172" s="1589">
        <v>0</v>
      </c>
    </row>
    <row r="173" spans="1:17">
      <c r="A173" s="1726" t="s">
        <v>532</v>
      </c>
      <c r="B173" s="1589">
        <v>0</v>
      </c>
      <c r="C173" s="1589">
        <v>0</v>
      </c>
      <c r="D173" s="1589">
        <v>0</v>
      </c>
      <c r="E173" s="1589">
        <v>0</v>
      </c>
      <c r="F173" s="1589">
        <v>0</v>
      </c>
      <c r="G173" s="1589">
        <v>0</v>
      </c>
      <c r="H173" s="1589">
        <v>0</v>
      </c>
      <c r="I173" s="1589">
        <v>0</v>
      </c>
      <c r="J173" s="1589">
        <v>0</v>
      </c>
      <c r="K173" s="1589">
        <v>0</v>
      </c>
      <c r="L173" s="1589">
        <v>0</v>
      </c>
      <c r="M173" s="1589">
        <v>0</v>
      </c>
      <c r="N173" s="1589">
        <v>0</v>
      </c>
      <c r="O173" s="1589">
        <v>0</v>
      </c>
      <c r="P173" s="1589">
        <v>0</v>
      </c>
      <c r="Q173" s="1589">
        <v>0</v>
      </c>
    </row>
    <row r="174" spans="1:17">
      <c r="A174" s="1726" t="s">
        <v>534</v>
      </c>
      <c r="B174" s="1589">
        <v>0</v>
      </c>
      <c r="C174" s="1589">
        <v>0</v>
      </c>
      <c r="D174" s="1589">
        <v>0</v>
      </c>
      <c r="E174" s="1589">
        <v>0</v>
      </c>
      <c r="F174" s="1589">
        <v>0</v>
      </c>
      <c r="G174" s="1589">
        <v>0</v>
      </c>
      <c r="H174" s="1589">
        <v>0</v>
      </c>
      <c r="I174" s="1589">
        <v>0</v>
      </c>
      <c r="J174" s="1589">
        <v>0</v>
      </c>
      <c r="K174" s="1589">
        <v>0</v>
      </c>
      <c r="L174" s="1589">
        <v>0</v>
      </c>
      <c r="M174" s="1589">
        <v>0</v>
      </c>
      <c r="N174" s="1589">
        <v>0</v>
      </c>
      <c r="O174" s="1589">
        <v>0</v>
      </c>
      <c r="P174" s="1589">
        <v>0</v>
      </c>
      <c r="Q174" s="1589">
        <v>0</v>
      </c>
    </row>
    <row r="175" spans="1:17">
      <c r="A175" s="1726" t="s">
        <v>536</v>
      </c>
      <c r="B175" s="1589">
        <v>0</v>
      </c>
      <c r="C175" s="1589">
        <v>0</v>
      </c>
      <c r="D175" s="1589">
        <v>0</v>
      </c>
      <c r="E175" s="1589">
        <v>0</v>
      </c>
      <c r="F175" s="1589">
        <v>0</v>
      </c>
      <c r="G175" s="1589">
        <v>0</v>
      </c>
      <c r="H175" s="1589">
        <v>0</v>
      </c>
      <c r="I175" s="1589">
        <v>0</v>
      </c>
      <c r="J175" s="1589">
        <v>0</v>
      </c>
      <c r="K175" s="1589">
        <v>0</v>
      </c>
      <c r="L175" s="1589">
        <v>0</v>
      </c>
      <c r="M175" s="1589">
        <v>0</v>
      </c>
      <c r="N175" s="1589">
        <v>0</v>
      </c>
      <c r="O175" s="1589">
        <v>0</v>
      </c>
      <c r="P175" s="1589">
        <v>0</v>
      </c>
      <c r="Q175" s="1589">
        <v>0</v>
      </c>
    </row>
    <row r="176" spans="1:17">
      <c r="A176" s="1726" t="s">
        <v>538</v>
      </c>
      <c r="B176" s="1589">
        <v>0</v>
      </c>
      <c r="C176" s="1589">
        <v>0</v>
      </c>
      <c r="D176" s="1589">
        <v>0</v>
      </c>
      <c r="E176" s="1589">
        <v>0</v>
      </c>
      <c r="F176" s="1589">
        <v>0</v>
      </c>
      <c r="G176" s="1589">
        <v>0</v>
      </c>
      <c r="H176" s="1589">
        <v>0</v>
      </c>
      <c r="I176" s="1589">
        <v>0</v>
      </c>
      <c r="J176" s="1589">
        <v>0</v>
      </c>
      <c r="K176" s="1589">
        <v>0</v>
      </c>
      <c r="L176" s="1589">
        <v>0</v>
      </c>
      <c r="M176" s="1589">
        <v>0</v>
      </c>
      <c r="N176" s="1589">
        <v>0</v>
      </c>
      <c r="O176" s="1589">
        <v>0</v>
      </c>
      <c r="P176" s="1589">
        <v>0</v>
      </c>
      <c r="Q176" s="1589">
        <v>0</v>
      </c>
    </row>
    <row r="177" spans="1:17">
      <c r="A177" s="1726" t="s">
        <v>540</v>
      </c>
      <c r="B177" s="1589">
        <v>0</v>
      </c>
      <c r="C177" s="1589">
        <v>0</v>
      </c>
      <c r="D177" s="1589">
        <v>0</v>
      </c>
      <c r="E177" s="1589">
        <v>0</v>
      </c>
      <c r="F177" s="1589">
        <v>0</v>
      </c>
      <c r="G177" s="1589">
        <v>0</v>
      </c>
      <c r="H177" s="1589">
        <v>0</v>
      </c>
      <c r="I177" s="1589">
        <v>0</v>
      </c>
      <c r="J177" s="1589">
        <v>0</v>
      </c>
      <c r="K177" s="1589">
        <v>0</v>
      </c>
      <c r="L177" s="1589">
        <v>0</v>
      </c>
      <c r="M177" s="1589">
        <v>0</v>
      </c>
      <c r="N177" s="1589">
        <v>0</v>
      </c>
      <c r="O177" s="1589">
        <v>0</v>
      </c>
      <c r="P177" s="1589">
        <v>0</v>
      </c>
      <c r="Q177" s="1589">
        <v>0</v>
      </c>
    </row>
    <row r="178" spans="1:17">
      <c r="A178" s="1725" t="s">
        <v>629</v>
      </c>
      <c r="B178" s="1589">
        <v>0</v>
      </c>
      <c r="C178" s="1589">
        <v>0</v>
      </c>
      <c r="D178" s="1589">
        <v>0</v>
      </c>
      <c r="E178" s="1589">
        <v>0</v>
      </c>
      <c r="F178" s="1589">
        <v>0</v>
      </c>
      <c r="G178" s="1589">
        <v>0</v>
      </c>
      <c r="H178" s="1589">
        <v>0</v>
      </c>
      <c r="I178" s="1589">
        <v>0</v>
      </c>
      <c r="J178" s="1589">
        <v>0</v>
      </c>
      <c r="K178" s="1589">
        <v>0</v>
      </c>
      <c r="L178" s="1589">
        <v>0</v>
      </c>
      <c r="M178" s="1589">
        <v>0</v>
      </c>
      <c r="N178" s="1589">
        <v>0</v>
      </c>
      <c r="O178" s="1589">
        <v>0</v>
      </c>
      <c r="P178" s="1589">
        <v>0</v>
      </c>
      <c r="Q178" s="1589">
        <v>0</v>
      </c>
    </row>
    <row r="179" spans="1:17">
      <c r="A179" s="1726" t="s">
        <v>600</v>
      </c>
      <c r="B179" s="1589">
        <v>0</v>
      </c>
      <c r="C179" s="1589">
        <v>0</v>
      </c>
      <c r="D179" s="1589">
        <v>0</v>
      </c>
      <c r="E179" s="1589">
        <v>0</v>
      </c>
      <c r="F179" s="1589">
        <v>0</v>
      </c>
      <c r="G179" s="1589">
        <v>0</v>
      </c>
      <c r="H179" s="1589">
        <v>0</v>
      </c>
      <c r="I179" s="1589">
        <v>0</v>
      </c>
      <c r="J179" s="1589">
        <v>0</v>
      </c>
      <c r="K179" s="1589">
        <v>0</v>
      </c>
      <c r="L179" s="1589">
        <v>0</v>
      </c>
      <c r="M179" s="1589">
        <v>0</v>
      </c>
      <c r="N179" s="1589">
        <v>0</v>
      </c>
      <c r="O179" s="1589">
        <v>0</v>
      </c>
      <c r="P179" s="1589">
        <v>0</v>
      </c>
      <c r="Q179" s="1589">
        <v>0</v>
      </c>
    </row>
    <row r="180" spans="1:17">
      <c r="A180" s="1726" t="s">
        <v>528</v>
      </c>
      <c r="B180" s="1589">
        <v>0</v>
      </c>
      <c r="C180" s="1589">
        <v>0</v>
      </c>
      <c r="D180" s="1589">
        <v>0</v>
      </c>
      <c r="E180" s="1589">
        <v>0</v>
      </c>
      <c r="F180" s="1589">
        <v>0</v>
      </c>
      <c r="G180" s="1589">
        <v>0</v>
      </c>
      <c r="H180" s="1589">
        <v>0</v>
      </c>
      <c r="I180" s="1589">
        <v>0</v>
      </c>
      <c r="J180" s="1589">
        <v>0</v>
      </c>
      <c r="K180" s="1589">
        <v>0</v>
      </c>
      <c r="L180" s="1589">
        <v>0</v>
      </c>
      <c r="M180" s="1589">
        <v>0</v>
      </c>
      <c r="N180" s="1589">
        <v>0</v>
      </c>
      <c r="O180" s="1589">
        <v>0</v>
      </c>
      <c r="P180" s="1589">
        <v>0</v>
      </c>
      <c r="Q180" s="1589">
        <v>0</v>
      </c>
    </row>
    <row r="181" spans="1:17">
      <c r="A181" s="1726" t="s">
        <v>530</v>
      </c>
      <c r="B181" s="1589">
        <v>0</v>
      </c>
      <c r="C181" s="1589">
        <v>0</v>
      </c>
      <c r="D181" s="1589">
        <v>0</v>
      </c>
      <c r="E181" s="1589">
        <v>0</v>
      </c>
      <c r="F181" s="1589">
        <v>0</v>
      </c>
      <c r="G181" s="1589">
        <v>0</v>
      </c>
      <c r="H181" s="1589">
        <v>0</v>
      </c>
      <c r="I181" s="1589">
        <v>0</v>
      </c>
      <c r="J181" s="1589">
        <v>0</v>
      </c>
      <c r="K181" s="1589">
        <v>0</v>
      </c>
      <c r="L181" s="1589">
        <v>0</v>
      </c>
      <c r="M181" s="1589">
        <v>0</v>
      </c>
      <c r="N181" s="1589">
        <v>0</v>
      </c>
      <c r="O181" s="1589">
        <v>0</v>
      </c>
      <c r="P181" s="1589">
        <v>0</v>
      </c>
      <c r="Q181" s="1589">
        <v>0</v>
      </c>
    </row>
    <row r="182" spans="1:17">
      <c r="A182" s="1726" t="s">
        <v>532</v>
      </c>
      <c r="B182" s="1589">
        <v>0</v>
      </c>
      <c r="C182" s="1589">
        <v>0</v>
      </c>
      <c r="D182" s="1589">
        <v>0</v>
      </c>
      <c r="E182" s="1589">
        <v>0</v>
      </c>
      <c r="F182" s="1589">
        <v>0</v>
      </c>
      <c r="G182" s="1589">
        <v>0</v>
      </c>
      <c r="H182" s="1589">
        <v>0</v>
      </c>
      <c r="I182" s="1589">
        <v>0</v>
      </c>
      <c r="J182" s="1589">
        <v>0</v>
      </c>
      <c r="K182" s="1589">
        <v>0</v>
      </c>
      <c r="L182" s="1589">
        <v>0</v>
      </c>
      <c r="M182" s="1589">
        <v>0</v>
      </c>
      <c r="N182" s="1589">
        <v>0</v>
      </c>
      <c r="O182" s="1589">
        <v>0</v>
      </c>
      <c r="P182" s="1589">
        <v>0</v>
      </c>
      <c r="Q182" s="1589">
        <v>0</v>
      </c>
    </row>
    <row r="183" spans="1:17">
      <c r="A183" s="1726" t="s">
        <v>534</v>
      </c>
      <c r="B183" s="1589">
        <v>0</v>
      </c>
      <c r="C183" s="1589">
        <v>0</v>
      </c>
      <c r="D183" s="1589">
        <v>0</v>
      </c>
      <c r="E183" s="1589">
        <v>0</v>
      </c>
      <c r="F183" s="1589">
        <v>0</v>
      </c>
      <c r="G183" s="1589">
        <v>0</v>
      </c>
      <c r="H183" s="1589">
        <v>0</v>
      </c>
      <c r="I183" s="1589">
        <v>0</v>
      </c>
      <c r="J183" s="1589">
        <v>0</v>
      </c>
      <c r="K183" s="1589">
        <v>0</v>
      </c>
      <c r="L183" s="1589">
        <v>0</v>
      </c>
      <c r="M183" s="1589">
        <v>0</v>
      </c>
      <c r="N183" s="1589">
        <v>0</v>
      </c>
      <c r="O183" s="1589">
        <v>0</v>
      </c>
      <c r="P183" s="1589">
        <v>0</v>
      </c>
      <c r="Q183" s="1589">
        <v>0</v>
      </c>
    </row>
    <row r="184" spans="1:17">
      <c r="A184" s="1726" t="s">
        <v>536</v>
      </c>
      <c r="B184" s="1589">
        <v>0</v>
      </c>
      <c r="C184" s="1589">
        <v>0</v>
      </c>
      <c r="D184" s="1589">
        <v>0</v>
      </c>
      <c r="E184" s="1589">
        <v>0</v>
      </c>
      <c r="F184" s="1589">
        <v>0</v>
      </c>
      <c r="G184" s="1589">
        <v>0</v>
      </c>
      <c r="H184" s="1589">
        <v>0</v>
      </c>
      <c r="I184" s="1589">
        <v>0</v>
      </c>
      <c r="J184" s="1589">
        <v>0</v>
      </c>
      <c r="K184" s="1589">
        <v>0</v>
      </c>
      <c r="L184" s="1589">
        <v>0</v>
      </c>
      <c r="M184" s="1589">
        <v>0</v>
      </c>
      <c r="N184" s="1589">
        <v>0</v>
      </c>
      <c r="O184" s="1589">
        <v>0</v>
      </c>
      <c r="P184" s="1589">
        <v>0</v>
      </c>
      <c r="Q184" s="1589">
        <v>0</v>
      </c>
    </row>
    <row r="185" spans="1:17">
      <c r="A185" s="1726" t="s">
        <v>538</v>
      </c>
      <c r="B185" s="1589">
        <v>0</v>
      </c>
      <c r="C185" s="1589">
        <v>0</v>
      </c>
      <c r="D185" s="1589">
        <v>0</v>
      </c>
      <c r="E185" s="1589">
        <v>0</v>
      </c>
      <c r="F185" s="1589">
        <v>0</v>
      </c>
      <c r="G185" s="1589">
        <v>0</v>
      </c>
      <c r="H185" s="1589">
        <v>0</v>
      </c>
      <c r="I185" s="1589">
        <v>0</v>
      </c>
      <c r="J185" s="1589">
        <v>0</v>
      </c>
      <c r="K185" s="1589">
        <v>0</v>
      </c>
      <c r="L185" s="1589">
        <v>0</v>
      </c>
      <c r="M185" s="1589">
        <v>0</v>
      </c>
      <c r="N185" s="1589">
        <v>0</v>
      </c>
      <c r="O185" s="1589">
        <v>0</v>
      </c>
      <c r="P185" s="1589">
        <v>0</v>
      </c>
      <c r="Q185" s="1589">
        <v>0</v>
      </c>
    </row>
    <row r="186" spans="1:17">
      <c r="A186" s="1726" t="s">
        <v>540</v>
      </c>
      <c r="B186" s="1589">
        <v>0</v>
      </c>
      <c r="C186" s="1589">
        <v>0</v>
      </c>
      <c r="D186" s="1589">
        <v>0</v>
      </c>
      <c r="E186" s="1589">
        <v>0</v>
      </c>
      <c r="F186" s="1589">
        <v>0</v>
      </c>
      <c r="G186" s="1589">
        <v>0</v>
      </c>
      <c r="H186" s="1589">
        <v>0</v>
      </c>
      <c r="I186" s="1589">
        <v>0</v>
      </c>
      <c r="J186" s="1589">
        <v>0</v>
      </c>
      <c r="K186" s="1589">
        <v>0</v>
      </c>
      <c r="L186" s="1589">
        <v>0</v>
      </c>
      <c r="M186" s="1589">
        <v>0</v>
      </c>
      <c r="N186" s="1589">
        <v>0</v>
      </c>
      <c r="O186" s="1589">
        <v>0</v>
      </c>
      <c r="P186" s="1589">
        <v>0</v>
      </c>
      <c r="Q186" s="1589">
        <v>0</v>
      </c>
    </row>
    <row r="187" spans="1:17">
      <c r="A187" s="1588" t="s">
        <v>645</v>
      </c>
      <c r="B187" s="1589">
        <v>0</v>
      </c>
      <c r="C187" s="1589">
        <v>0</v>
      </c>
      <c r="D187" s="1589">
        <v>0</v>
      </c>
      <c r="E187" s="1589">
        <v>0</v>
      </c>
      <c r="F187" s="1589">
        <v>0</v>
      </c>
      <c r="G187" s="1589">
        <v>0</v>
      </c>
      <c r="H187" s="1589">
        <v>0</v>
      </c>
      <c r="I187" s="1589">
        <v>0</v>
      </c>
      <c r="J187" s="1589">
        <v>0</v>
      </c>
      <c r="K187" s="1589">
        <v>0</v>
      </c>
      <c r="L187" s="1589">
        <v>0</v>
      </c>
      <c r="M187" s="1589">
        <v>0</v>
      </c>
      <c r="N187" s="1589">
        <v>0</v>
      </c>
      <c r="O187" s="1589">
        <v>0</v>
      </c>
      <c r="P187" s="1589">
        <v>0</v>
      </c>
      <c r="Q187" s="1589">
        <v>0</v>
      </c>
    </row>
    <row r="188" spans="1:17">
      <c r="A188" s="1725" t="s">
        <v>646</v>
      </c>
      <c r="B188" s="1589">
        <v>0</v>
      </c>
      <c r="C188" s="1589">
        <v>0</v>
      </c>
      <c r="D188" s="1589">
        <v>0</v>
      </c>
      <c r="E188" s="1589">
        <v>0</v>
      </c>
      <c r="F188" s="1589">
        <v>0</v>
      </c>
      <c r="G188" s="1589">
        <v>0</v>
      </c>
      <c r="H188" s="1589">
        <v>0</v>
      </c>
      <c r="I188" s="1589">
        <v>0</v>
      </c>
      <c r="J188" s="1589">
        <v>0</v>
      </c>
      <c r="K188" s="1589">
        <v>0</v>
      </c>
      <c r="L188" s="1589">
        <v>0</v>
      </c>
      <c r="M188" s="1589">
        <v>0</v>
      </c>
      <c r="N188" s="1589">
        <v>0</v>
      </c>
      <c r="O188" s="1589">
        <v>0</v>
      </c>
      <c r="P188" s="1589">
        <v>0</v>
      </c>
      <c r="Q188" s="1589">
        <v>0</v>
      </c>
    </row>
    <row r="189" spans="1:17">
      <c r="A189" s="1726" t="s">
        <v>603</v>
      </c>
      <c r="B189" s="1589">
        <v>0</v>
      </c>
      <c r="C189" s="1589">
        <v>0</v>
      </c>
      <c r="D189" s="1589">
        <v>0</v>
      </c>
      <c r="E189" s="1589">
        <v>0</v>
      </c>
      <c r="F189" s="1589">
        <v>0</v>
      </c>
      <c r="G189" s="1589">
        <v>0</v>
      </c>
      <c r="H189" s="1589">
        <v>0</v>
      </c>
      <c r="I189" s="1589">
        <v>0</v>
      </c>
      <c r="J189" s="1589">
        <v>0</v>
      </c>
      <c r="K189" s="1589">
        <v>0</v>
      </c>
      <c r="L189" s="1589">
        <v>0</v>
      </c>
      <c r="M189" s="1589">
        <v>0</v>
      </c>
      <c r="N189" s="1589">
        <v>0</v>
      </c>
      <c r="O189" s="1589">
        <v>0</v>
      </c>
      <c r="P189" s="1589">
        <v>0</v>
      </c>
      <c r="Q189" s="1589">
        <v>0</v>
      </c>
    </row>
    <row r="190" spans="1:17">
      <c r="A190" s="1726" t="s">
        <v>595</v>
      </c>
      <c r="B190" s="1589">
        <v>0</v>
      </c>
      <c r="C190" s="1589">
        <v>0</v>
      </c>
      <c r="D190" s="1589">
        <v>0</v>
      </c>
      <c r="E190" s="1589">
        <v>0</v>
      </c>
      <c r="F190" s="1589">
        <v>0</v>
      </c>
      <c r="G190" s="1589">
        <v>0</v>
      </c>
      <c r="H190" s="1589">
        <v>0</v>
      </c>
      <c r="I190" s="1589">
        <v>0</v>
      </c>
      <c r="J190" s="1589">
        <v>0</v>
      </c>
      <c r="K190" s="1589">
        <v>0</v>
      </c>
      <c r="L190" s="1589">
        <v>0</v>
      </c>
      <c r="M190" s="1589">
        <v>0</v>
      </c>
      <c r="N190" s="1589">
        <v>0</v>
      </c>
      <c r="O190" s="1589">
        <v>0</v>
      </c>
      <c r="P190" s="1589">
        <v>0</v>
      </c>
      <c r="Q190" s="1589">
        <v>0</v>
      </c>
    </row>
    <row r="191" spans="1:17">
      <c r="A191" s="1726" t="s">
        <v>597</v>
      </c>
      <c r="B191" s="1589">
        <v>0</v>
      </c>
      <c r="C191" s="1589">
        <v>0</v>
      </c>
      <c r="D191" s="1589">
        <v>0</v>
      </c>
      <c r="E191" s="1589">
        <v>0</v>
      </c>
      <c r="F191" s="1589">
        <v>0</v>
      </c>
      <c r="G191" s="1589">
        <v>0</v>
      </c>
      <c r="H191" s="1589">
        <v>0</v>
      </c>
      <c r="I191" s="1589">
        <v>0</v>
      </c>
      <c r="J191" s="1589">
        <v>0</v>
      </c>
      <c r="K191" s="1589">
        <v>0</v>
      </c>
      <c r="L191" s="1589">
        <v>0</v>
      </c>
      <c r="M191" s="1589">
        <v>0</v>
      </c>
      <c r="N191" s="1589">
        <v>0</v>
      </c>
      <c r="O191" s="1589">
        <v>0</v>
      </c>
      <c r="P191" s="1589">
        <v>0</v>
      </c>
      <c r="Q191" s="1589">
        <v>0</v>
      </c>
    </row>
    <row r="192" spans="1:17">
      <c r="A192" s="1726" t="s">
        <v>1896</v>
      </c>
      <c r="B192" s="1589">
        <v>0</v>
      </c>
      <c r="C192" s="1589">
        <v>0</v>
      </c>
      <c r="D192" s="1589">
        <v>0</v>
      </c>
      <c r="E192" s="1589">
        <v>0</v>
      </c>
      <c r="F192" s="1589">
        <v>0</v>
      </c>
      <c r="G192" s="1589">
        <v>0</v>
      </c>
      <c r="H192" s="1589">
        <v>0</v>
      </c>
      <c r="I192" s="1589">
        <v>0</v>
      </c>
      <c r="J192" s="1589">
        <v>0</v>
      </c>
      <c r="K192" s="1589">
        <v>0</v>
      </c>
      <c r="L192" s="1589">
        <v>0</v>
      </c>
      <c r="M192" s="1589">
        <v>0</v>
      </c>
      <c r="N192" s="1589">
        <v>0</v>
      </c>
      <c r="O192" s="1589">
        <v>0</v>
      </c>
      <c r="P192" s="1589">
        <v>0</v>
      </c>
      <c r="Q192" s="1589">
        <v>0</v>
      </c>
    </row>
    <row r="193" spans="1:17">
      <c r="A193" s="1726" t="s">
        <v>654</v>
      </c>
      <c r="B193" s="1589">
        <v>0</v>
      </c>
      <c r="C193" s="1589">
        <v>0</v>
      </c>
      <c r="D193" s="1589">
        <v>0</v>
      </c>
      <c r="E193" s="1589">
        <v>0</v>
      </c>
      <c r="F193" s="1589">
        <v>0</v>
      </c>
      <c r="G193" s="1589">
        <v>0</v>
      </c>
      <c r="H193" s="1589">
        <v>0</v>
      </c>
      <c r="I193" s="1589">
        <v>0</v>
      </c>
      <c r="J193" s="1589">
        <v>0</v>
      </c>
      <c r="K193" s="1589">
        <v>0</v>
      </c>
      <c r="L193" s="1589">
        <v>0</v>
      </c>
      <c r="M193" s="1589">
        <v>0</v>
      </c>
      <c r="N193" s="1589">
        <v>0</v>
      </c>
      <c r="O193" s="1589">
        <v>0</v>
      </c>
      <c r="P193" s="1589">
        <v>0</v>
      </c>
      <c r="Q193" s="1589">
        <v>0</v>
      </c>
    </row>
    <row r="194" spans="1:17">
      <c r="A194" s="1726" t="s">
        <v>593</v>
      </c>
      <c r="B194" s="1589">
        <v>0</v>
      </c>
      <c r="C194" s="1589">
        <v>0</v>
      </c>
      <c r="D194" s="1589">
        <v>0</v>
      </c>
      <c r="E194" s="1589">
        <v>0</v>
      </c>
      <c r="F194" s="1589">
        <v>0</v>
      </c>
      <c r="G194" s="1589">
        <v>0</v>
      </c>
      <c r="H194" s="1589">
        <v>0</v>
      </c>
      <c r="I194" s="1589">
        <v>0</v>
      </c>
      <c r="J194" s="1589">
        <v>0</v>
      </c>
      <c r="K194" s="1589">
        <v>0</v>
      </c>
      <c r="L194" s="1589">
        <v>0</v>
      </c>
      <c r="M194" s="1589">
        <v>0</v>
      </c>
      <c r="N194" s="1589">
        <v>0</v>
      </c>
      <c r="O194" s="1589">
        <v>0</v>
      </c>
      <c r="P194" s="1589">
        <v>0</v>
      </c>
      <c r="Q194" s="1589">
        <v>0</v>
      </c>
    </row>
    <row r="195" spans="1:17">
      <c r="A195" s="1726" t="s">
        <v>586</v>
      </c>
      <c r="B195" s="1589">
        <v>0</v>
      </c>
      <c r="C195" s="1589">
        <v>0</v>
      </c>
      <c r="D195" s="1589">
        <v>0</v>
      </c>
      <c r="E195" s="1589">
        <v>0</v>
      </c>
      <c r="F195" s="1589">
        <v>0</v>
      </c>
      <c r="G195" s="1589">
        <v>0</v>
      </c>
      <c r="H195" s="1589">
        <v>0</v>
      </c>
      <c r="I195" s="1589">
        <v>0</v>
      </c>
      <c r="J195" s="1589">
        <v>0</v>
      </c>
      <c r="K195" s="1589">
        <v>0</v>
      </c>
      <c r="L195" s="1589">
        <v>0</v>
      </c>
      <c r="M195" s="1589">
        <v>0</v>
      </c>
      <c r="N195" s="1589">
        <v>0</v>
      </c>
      <c r="O195" s="1589">
        <v>0</v>
      </c>
      <c r="P195" s="1589">
        <v>0</v>
      </c>
      <c r="Q195" s="1589">
        <v>0</v>
      </c>
    </row>
    <row r="196" spans="1:17">
      <c r="A196" s="1726" t="s">
        <v>528</v>
      </c>
      <c r="B196" s="1589">
        <v>0</v>
      </c>
      <c r="C196" s="1589">
        <v>0</v>
      </c>
      <c r="D196" s="1589">
        <v>0</v>
      </c>
      <c r="E196" s="1589">
        <v>0</v>
      </c>
      <c r="F196" s="1589">
        <v>0</v>
      </c>
      <c r="G196" s="1589">
        <v>0</v>
      </c>
      <c r="H196" s="1589">
        <v>0</v>
      </c>
      <c r="I196" s="1589">
        <v>0</v>
      </c>
      <c r="J196" s="1589">
        <v>0</v>
      </c>
      <c r="K196" s="1589">
        <v>0</v>
      </c>
      <c r="L196" s="1589">
        <v>0</v>
      </c>
      <c r="M196" s="1589">
        <v>0</v>
      </c>
      <c r="N196" s="1589">
        <v>0</v>
      </c>
      <c r="O196" s="1589">
        <v>0</v>
      </c>
      <c r="P196" s="1589">
        <v>0</v>
      </c>
      <c r="Q196" s="1589">
        <v>0</v>
      </c>
    </row>
    <row r="197" spans="1:17">
      <c r="A197" s="1726" t="s">
        <v>530</v>
      </c>
      <c r="B197" s="1589">
        <v>0</v>
      </c>
      <c r="C197" s="1589">
        <v>0</v>
      </c>
      <c r="D197" s="1589">
        <v>0</v>
      </c>
      <c r="E197" s="1589">
        <v>0</v>
      </c>
      <c r="F197" s="1589">
        <v>0</v>
      </c>
      <c r="G197" s="1589">
        <v>0</v>
      </c>
      <c r="H197" s="1589">
        <v>0</v>
      </c>
      <c r="I197" s="1589">
        <v>0</v>
      </c>
      <c r="J197" s="1589">
        <v>0</v>
      </c>
      <c r="K197" s="1589">
        <v>0</v>
      </c>
      <c r="L197" s="1589">
        <v>0</v>
      </c>
      <c r="M197" s="1589">
        <v>0</v>
      </c>
      <c r="N197" s="1589">
        <v>0</v>
      </c>
      <c r="O197" s="1589">
        <v>0</v>
      </c>
      <c r="P197" s="1589">
        <v>0</v>
      </c>
      <c r="Q197" s="1589">
        <v>0</v>
      </c>
    </row>
    <row r="198" spans="1:17">
      <c r="A198" s="1726" t="s">
        <v>532</v>
      </c>
      <c r="B198" s="1589">
        <v>0</v>
      </c>
      <c r="C198" s="1589">
        <v>0</v>
      </c>
      <c r="D198" s="1589">
        <v>0</v>
      </c>
      <c r="E198" s="1589">
        <v>0</v>
      </c>
      <c r="F198" s="1589">
        <v>0</v>
      </c>
      <c r="G198" s="1589">
        <v>0</v>
      </c>
      <c r="H198" s="1589">
        <v>0</v>
      </c>
      <c r="I198" s="1589">
        <v>0</v>
      </c>
      <c r="J198" s="1589">
        <v>0</v>
      </c>
      <c r="K198" s="1589">
        <v>0</v>
      </c>
      <c r="L198" s="1589">
        <v>0</v>
      </c>
      <c r="M198" s="1589">
        <v>0</v>
      </c>
      <c r="N198" s="1589">
        <v>0</v>
      </c>
      <c r="O198" s="1589">
        <v>0</v>
      </c>
      <c r="P198" s="1589">
        <v>0</v>
      </c>
      <c r="Q198" s="1589">
        <v>0</v>
      </c>
    </row>
    <row r="199" spans="1:17">
      <c r="A199" s="1726" t="s">
        <v>534</v>
      </c>
      <c r="B199" s="1589">
        <v>0</v>
      </c>
      <c r="C199" s="1589">
        <v>0</v>
      </c>
      <c r="D199" s="1589">
        <v>0</v>
      </c>
      <c r="E199" s="1589">
        <v>0</v>
      </c>
      <c r="F199" s="1589">
        <v>0</v>
      </c>
      <c r="G199" s="1589">
        <v>0</v>
      </c>
      <c r="H199" s="1589">
        <v>0</v>
      </c>
      <c r="I199" s="1589">
        <v>0</v>
      </c>
      <c r="J199" s="1589">
        <v>0</v>
      </c>
      <c r="K199" s="1589">
        <v>0</v>
      </c>
      <c r="L199" s="1589">
        <v>0</v>
      </c>
      <c r="M199" s="1589">
        <v>0</v>
      </c>
      <c r="N199" s="1589">
        <v>0</v>
      </c>
      <c r="O199" s="1589">
        <v>0</v>
      </c>
      <c r="P199" s="1589">
        <v>0</v>
      </c>
      <c r="Q199" s="1589">
        <v>0</v>
      </c>
    </row>
    <row r="200" spans="1:17">
      <c r="A200" s="1726" t="s">
        <v>536</v>
      </c>
      <c r="B200" s="1589">
        <v>0</v>
      </c>
      <c r="C200" s="1589">
        <v>0</v>
      </c>
      <c r="D200" s="1589">
        <v>0</v>
      </c>
      <c r="E200" s="1589">
        <v>0</v>
      </c>
      <c r="F200" s="1589">
        <v>0</v>
      </c>
      <c r="G200" s="1589">
        <v>0</v>
      </c>
      <c r="H200" s="1589">
        <v>0</v>
      </c>
      <c r="I200" s="1589">
        <v>0</v>
      </c>
      <c r="J200" s="1589">
        <v>0</v>
      </c>
      <c r="K200" s="1589">
        <v>0</v>
      </c>
      <c r="L200" s="1589">
        <v>0</v>
      </c>
      <c r="M200" s="1589">
        <v>0</v>
      </c>
      <c r="N200" s="1589">
        <v>0</v>
      </c>
      <c r="O200" s="1589">
        <v>0</v>
      </c>
      <c r="P200" s="1589">
        <v>0</v>
      </c>
      <c r="Q200" s="1589">
        <v>0</v>
      </c>
    </row>
    <row r="201" spans="1:17">
      <c r="A201" s="1726" t="s">
        <v>538</v>
      </c>
      <c r="B201" s="1589">
        <v>0</v>
      </c>
      <c r="C201" s="1589">
        <v>0</v>
      </c>
      <c r="D201" s="1589">
        <v>0</v>
      </c>
      <c r="E201" s="1589">
        <v>0</v>
      </c>
      <c r="F201" s="1589">
        <v>0</v>
      </c>
      <c r="G201" s="1589">
        <v>0</v>
      </c>
      <c r="H201" s="1589">
        <v>0</v>
      </c>
      <c r="I201" s="1589">
        <v>0</v>
      </c>
      <c r="J201" s="1589">
        <v>0</v>
      </c>
      <c r="K201" s="1589">
        <v>0</v>
      </c>
      <c r="L201" s="1589">
        <v>0</v>
      </c>
      <c r="M201" s="1589">
        <v>0</v>
      </c>
      <c r="N201" s="1589">
        <v>0</v>
      </c>
      <c r="O201" s="1589">
        <v>0</v>
      </c>
      <c r="P201" s="1589">
        <v>0</v>
      </c>
      <c r="Q201" s="1589">
        <v>0</v>
      </c>
    </row>
    <row r="202" spans="1:17">
      <c r="A202" s="1726" t="s">
        <v>540</v>
      </c>
      <c r="B202" s="1589">
        <v>0</v>
      </c>
      <c r="C202" s="1589">
        <v>0</v>
      </c>
      <c r="D202" s="1589">
        <v>0</v>
      </c>
      <c r="E202" s="1589">
        <v>0</v>
      </c>
      <c r="F202" s="1589">
        <v>0</v>
      </c>
      <c r="G202" s="1589">
        <v>0</v>
      </c>
      <c r="H202" s="1589">
        <v>0</v>
      </c>
      <c r="I202" s="1589">
        <v>0</v>
      </c>
      <c r="J202" s="1589">
        <v>0</v>
      </c>
      <c r="K202" s="1589">
        <v>0</v>
      </c>
      <c r="L202" s="1589">
        <v>0</v>
      </c>
      <c r="M202" s="1589">
        <v>0</v>
      </c>
      <c r="N202" s="1589">
        <v>0</v>
      </c>
      <c r="O202" s="1589">
        <v>0</v>
      </c>
      <c r="P202" s="1589">
        <v>0</v>
      </c>
      <c r="Q202" s="1589">
        <v>0</v>
      </c>
    </row>
    <row r="203" spans="1:17">
      <c r="A203" s="1725" t="s">
        <v>652</v>
      </c>
      <c r="B203" s="1589">
        <v>0</v>
      </c>
      <c r="C203" s="1589">
        <v>0</v>
      </c>
      <c r="D203" s="1589">
        <v>0</v>
      </c>
      <c r="E203" s="1589">
        <v>0</v>
      </c>
      <c r="F203" s="1589">
        <v>0</v>
      </c>
      <c r="G203" s="1589">
        <v>0</v>
      </c>
      <c r="H203" s="1589">
        <v>0</v>
      </c>
      <c r="I203" s="1589">
        <v>0</v>
      </c>
      <c r="J203" s="1589">
        <v>0</v>
      </c>
      <c r="K203" s="1589">
        <v>0</v>
      </c>
      <c r="L203" s="1589">
        <v>0</v>
      </c>
      <c r="M203" s="1589">
        <v>0</v>
      </c>
      <c r="N203" s="1589">
        <v>0</v>
      </c>
      <c r="O203" s="1589">
        <v>0</v>
      </c>
      <c r="P203" s="1589">
        <v>0</v>
      </c>
      <c r="Q203" s="1589">
        <v>0</v>
      </c>
    </row>
    <row r="204" spans="1:17">
      <c r="A204" s="1726" t="s">
        <v>649</v>
      </c>
      <c r="B204" s="1589">
        <v>0</v>
      </c>
      <c r="C204" s="1589">
        <v>0</v>
      </c>
      <c r="D204" s="1589">
        <v>0</v>
      </c>
      <c r="E204" s="1589">
        <v>0</v>
      </c>
      <c r="F204" s="1589">
        <v>0</v>
      </c>
      <c r="G204" s="1589">
        <v>0</v>
      </c>
      <c r="H204" s="1589">
        <v>0</v>
      </c>
      <c r="I204" s="1589">
        <v>0</v>
      </c>
      <c r="J204" s="1589">
        <v>0</v>
      </c>
      <c r="K204" s="1589">
        <v>0</v>
      </c>
      <c r="L204" s="1589">
        <v>0</v>
      </c>
      <c r="M204" s="1589">
        <v>0</v>
      </c>
      <c r="N204" s="1589">
        <v>0</v>
      </c>
      <c r="O204" s="1589">
        <v>0</v>
      </c>
      <c r="P204" s="1589">
        <v>0</v>
      </c>
      <c r="Q204" s="1589">
        <v>0</v>
      </c>
    </row>
    <row r="205" spans="1:17">
      <c r="A205" s="1725" t="s">
        <v>647</v>
      </c>
      <c r="B205" s="1589">
        <v>0</v>
      </c>
      <c r="C205" s="1589">
        <v>0</v>
      </c>
      <c r="D205" s="1589">
        <v>0</v>
      </c>
      <c r="E205" s="1589">
        <v>0</v>
      </c>
      <c r="F205" s="1589">
        <v>0</v>
      </c>
      <c r="G205" s="1589">
        <v>0</v>
      </c>
      <c r="H205" s="1589">
        <v>0</v>
      </c>
      <c r="I205" s="1589">
        <v>0</v>
      </c>
      <c r="J205" s="1589">
        <v>0</v>
      </c>
      <c r="K205" s="1589">
        <v>0</v>
      </c>
      <c r="L205" s="1589">
        <v>0</v>
      </c>
      <c r="M205" s="1589">
        <v>0</v>
      </c>
      <c r="N205" s="1589">
        <v>0</v>
      </c>
      <c r="O205" s="1589">
        <v>0</v>
      </c>
      <c r="P205" s="1589">
        <v>0</v>
      </c>
      <c r="Q205" s="1589">
        <v>0</v>
      </c>
    </row>
    <row r="206" spans="1:17">
      <c r="A206" s="1726" t="s">
        <v>649</v>
      </c>
      <c r="B206" s="1589">
        <v>0</v>
      </c>
      <c r="C206" s="1589">
        <v>0</v>
      </c>
      <c r="D206" s="1589">
        <v>0</v>
      </c>
      <c r="E206" s="1589">
        <v>0</v>
      </c>
      <c r="F206" s="1589">
        <v>0</v>
      </c>
      <c r="G206" s="1589">
        <v>0</v>
      </c>
      <c r="H206" s="1589">
        <v>0</v>
      </c>
      <c r="I206" s="1589">
        <v>0</v>
      </c>
      <c r="J206" s="1589">
        <v>0</v>
      </c>
      <c r="K206" s="1589">
        <v>0</v>
      </c>
      <c r="L206" s="1589">
        <v>0</v>
      </c>
      <c r="M206" s="1589">
        <v>0</v>
      </c>
      <c r="N206" s="1589">
        <v>0</v>
      </c>
      <c r="O206" s="1589">
        <v>0</v>
      </c>
      <c r="P206" s="1589">
        <v>0</v>
      </c>
      <c r="Q206" s="1589">
        <v>0</v>
      </c>
    </row>
    <row r="207" spans="1:17">
      <c r="A207" s="1726" t="s">
        <v>528</v>
      </c>
      <c r="B207" s="1589">
        <v>0</v>
      </c>
      <c r="C207" s="1589">
        <v>0</v>
      </c>
      <c r="D207" s="1589">
        <v>0</v>
      </c>
      <c r="E207" s="1589">
        <v>0</v>
      </c>
      <c r="F207" s="1589">
        <v>0</v>
      </c>
      <c r="G207" s="1589">
        <v>0</v>
      </c>
      <c r="H207" s="1589">
        <v>0</v>
      </c>
      <c r="I207" s="1589">
        <v>0</v>
      </c>
      <c r="J207" s="1589">
        <v>0</v>
      </c>
      <c r="K207" s="1589">
        <v>0</v>
      </c>
      <c r="L207" s="1589">
        <v>0</v>
      </c>
      <c r="M207" s="1589">
        <v>0</v>
      </c>
      <c r="N207" s="1589">
        <v>0</v>
      </c>
      <c r="O207" s="1589">
        <v>0</v>
      </c>
      <c r="P207" s="1589">
        <v>0</v>
      </c>
      <c r="Q207" s="1589">
        <v>0</v>
      </c>
    </row>
    <row r="208" spans="1:17">
      <c r="A208" s="1726" t="s">
        <v>530</v>
      </c>
      <c r="B208" s="1589">
        <v>0</v>
      </c>
      <c r="C208" s="1589">
        <v>0</v>
      </c>
      <c r="D208" s="1589">
        <v>0</v>
      </c>
      <c r="E208" s="1589">
        <v>0</v>
      </c>
      <c r="F208" s="1589">
        <v>0</v>
      </c>
      <c r="G208" s="1589">
        <v>0</v>
      </c>
      <c r="H208" s="1589">
        <v>0</v>
      </c>
      <c r="I208" s="1589">
        <v>0</v>
      </c>
      <c r="J208" s="1589">
        <v>0</v>
      </c>
      <c r="K208" s="1589">
        <v>0</v>
      </c>
      <c r="L208" s="1589">
        <v>0</v>
      </c>
      <c r="M208" s="1589">
        <v>0</v>
      </c>
      <c r="N208" s="1589">
        <v>0</v>
      </c>
      <c r="O208" s="1589">
        <v>0</v>
      </c>
      <c r="P208" s="1589">
        <v>0</v>
      </c>
      <c r="Q208" s="1589">
        <v>0</v>
      </c>
    </row>
    <row r="209" spans="1:17">
      <c r="A209" s="1726" t="s">
        <v>532</v>
      </c>
      <c r="B209" s="1589">
        <v>0</v>
      </c>
      <c r="C209" s="1589">
        <v>0</v>
      </c>
      <c r="D209" s="1589">
        <v>0</v>
      </c>
      <c r="E209" s="1589">
        <v>0</v>
      </c>
      <c r="F209" s="1589">
        <v>0</v>
      </c>
      <c r="G209" s="1589">
        <v>0</v>
      </c>
      <c r="H209" s="1589">
        <v>0</v>
      </c>
      <c r="I209" s="1589">
        <v>0</v>
      </c>
      <c r="J209" s="1589">
        <v>0</v>
      </c>
      <c r="K209" s="1589">
        <v>0</v>
      </c>
      <c r="L209" s="1589">
        <v>0</v>
      </c>
      <c r="M209" s="1589">
        <v>0</v>
      </c>
      <c r="N209" s="1589">
        <v>0</v>
      </c>
      <c r="O209" s="1589">
        <v>0</v>
      </c>
      <c r="P209" s="1589">
        <v>0</v>
      </c>
      <c r="Q209" s="1589">
        <v>0</v>
      </c>
    </row>
    <row r="210" spans="1:17">
      <c r="A210" s="1726" t="s">
        <v>534</v>
      </c>
      <c r="B210" s="1589">
        <v>0</v>
      </c>
      <c r="C210" s="1589">
        <v>0</v>
      </c>
      <c r="D210" s="1589">
        <v>0</v>
      </c>
      <c r="E210" s="1589">
        <v>0</v>
      </c>
      <c r="F210" s="1589">
        <v>0</v>
      </c>
      <c r="G210" s="1589">
        <v>0</v>
      </c>
      <c r="H210" s="1589">
        <v>0</v>
      </c>
      <c r="I210" s="1589">
        <v>0</v>
      </c>
      <c r="J210" s="1589">
        <v>0</v>
      </c>
      <c r="K210" s="1589">
        <v>0</v>
      </c>
      <c r="L210" s="1589">
        <v>0</v>
      </c>
      <c r="M210" s="1589">
        <v>0</v>
      </c>
      <c r="N210" s="1589">
        <v>0</v>
      </c>
      <c r="O210" s="1589">
        <v>0</v>
      </c>
      <c r="P210" s="1589">
        <v>0</v>
      </c>
      <c r="Q210" s="1589">
        <v>0</v>
      </c>
    </row>
    <row r="211" spans="1:17">
      <c r="A211" s="1726" t="s">
        <v>536</v>
      </c>
      <c r="B211" s="1589">
        <v>0</v>
      </c>
      <c r="C211" s="1589">
        <v>0</v>
      </c>
      <c r="D211" s="1589">
        <v>0</v>
      </c>
      <c r="E211" s="1589">
        <v>0</v>
      </c>
      <c r="F211" s="1589">
        <v>0</v>
      </c>
      <c r="G211" s="1589">
        <v>0</v>
      </c>
      <c r="H211" s="1589">
        <v>0</v>
      </c>
      <c r="I211" s="1589">
        <v>0</v>
      </c>
      <c r="J211" s="1589">
        <v>0</v>
      </c>
      <c r="K211" s="1589">
        <v>0</v>
      </c>
      <c r="L211" s="1589">
        <v>0</v>
      </c>
      <c r="M211" s="1589">
        <v>0</v>
      </c>
      <c r="N211" s="1589">
        <v>0</v>
      </c>
      <c r="O211" s="1589">
        <v>0</v>
      </c>
      <c r="P211" s="1589">
        <v>0</v>
      </c>
      <c r="Q211" s="1589">
        <v>0</v>
      </c>
    </row>
    <row r="212" spans="1:17">
      <c r="A212" s="1726" t="s">
        <v>538</v>
      </c>
      <c r="B212" s="1589">
        <v>0</v>
      </c>
      <c r="C212" s="1589">
        <v>0</v>
      </c>
      <c r="D212" s="1589">
        <v>0</v>
      </c>
      <c r="E212" s="1589">
        <v>0</v>
      </c>
      <c r="F212" s="1589">
        <v>0</v>
      </c>
      <c r="G212" s="1589">
        <v>0</v>
      </c>
      <c r="H212" s="1589">
        <v>0</v>
      </c>
      <c r="I212" s="1589">
        <v>0</v>
      </c>
      <c r="J212" s="1589">
        <v>0</v>
      </c>
      <c r="K212" s="1589">
        <v>0</v>
      </c>
      <c r="L212" s="1589">
        <v>0</v>
      </c>
      <c r="M212" s="1589">
        <v>0</v>
      </c>
      <c r="N212" s="1589">
        <v>0</v>
      </c>
      <c r="O212" s="1589">
        <v>0</v>
      </c>
      <c r="P212" s="1589">
        <v>0</v>
      </c>
      <c r="Q212" s="1589">
        <v>0</v>
      </c>
    </row>
    <row r="213" spans="1:17">
      <c r="A213" s="1726" t="s">
        <v>540</v>
      </c>
      <c r="B213" s="1589">
        <v>0</v>
      </c>
      <c r="C213" s="1589">
        <v>0</v>
      </c>
      <c r="D213" s="1589">
        <v>0</v>
      </c>
      <c r="E213" s="1589">
        <v>0</v>
      </c>
      <c r="F213" s="1589">
        <v>0</v>
      </c>
      <c r="G213" s="1589">
        <v>0</v>
      </c>
      <c r="H213" s="1589">
        <v>0</v>
      </c>
      <c r="I213" s="1589">
        <v>0</v>
      </c>
      <c r="J213" s="1589">
        <v>0</v>
      </c>
      <c r="K213" s="1589">
        <v>0</v>
      </c>
      <c r="L213" s="1589">
        <v>0</v>
      </c>
      <c r="M213" s="1589">
        <v>0</v>
      </c>
      <c r="N213" s="1589">
        <v>0</v>
      </c>
      <c r="O213" s="1589">
        <v>0</v>
      </c>
      <c r="P213" s="1589">
        <v>0</v>
      </c>
      <c r="Q213" s="1589">
        <v>0</v>
      </c>
    </row>
    <row r="214" spans="1:17">
      <c r="A214" s="1588" t="s">
        <v>676</v>
      </c>
      <c r="B214" s="1589">
        <v>0</v>
      </c>
      <c r="C214" s="1589">
        <v>834777.49640000006</v>
      </c>
      <c r="D214" s="1589">
        <v>1401685.7000000002</v>
      </c>
      <c r="E214" s="1589">
        <v>0</v>
      </c>
      <c r="F214" s="1589">
        <v>2236463.1964000002</v>
      </c>
      <c r="G214" s="1589">
        <v>0</v>
      </c>
      <c r="H214" s="1589">
        <v>2103126.7927999999</v>
      </c>
      <c r="I214" s="1589">
        <v>0</v>
      </c>
      <c r="J214" s="1589">
        <v>0</v>
      </c>
      <c r="K214" s="1589">
        <v>2103126.7927999999</v>
      </c>
      <c r="L214" s="1589">
        <v>0</v>
      </c>
      <c r="M214" s="1589">
        <v>2260947.2460000003</v>
      </c>
      <c r="N214" s="1589">
        <v>0</v>
      </c>
      <c r="O214" s="1589">
        <v>0</v>
      </c>
      <c r="P214" s="1589">
        <v>2260947.2460000003</v>
      </c>
      <c r="Q214" s="1589">
        <v>6600537.2352000009</v>
      </c>
    </row>
    <row r="215" spans="1:17">
      <c r="A215" s="1725" t="s">
        <v>677</v>
      </c>
      <c r="B215" s="1589">
        <v>0</v>
      </c>
      <c r="C215" s="1589">
        <v>673538.24640000006</v>
      </c>
      <c r="D215" s="1589">
        <v>1401685.7000000002</v>
      </c>
      <c r="E215" s="1589">
        <v>0</v>
      </c>
      <c r="F215" s="1589">
        <v>2075223.9464000002</v>
      </c>
      <c r="G215" s="1589">
        <v>0</v>
      </c>
      <c r="H215" s="1589">
        <v>1941887.5428000002</v>
      </c>
      <c r="I215" s="1589">
        <v>0</v>
      </c>
      <c r="J215" s="1589">
        <v>0</v>
      </c>
      <c r="K215" s="1589">
        <v>1941887.5428000002</v>
      </c>
      <c r="L215" s="1589">
        <v>0</v>
      </c>
      <c r="M215" s="1589">
        <v>2099707.9960000003</v>
      </c>
      <c r="N215" s="1589">
        <v>0</v>
      </c>
      <c r="O215" s="1589">
        <v>0</v>
      </c>
      <c r="P215" s="1589">
        <v>2099707.9960000003</v>
      </c>
      <c r="Q215" s="1589">
        <v>6116819.4852000009</v>
      </c>
    </row>
    <row r="216" spans="1:17">
      <c r="A216" s="1726" t="s">
        <v>655</v>
      </c>
      <c r="B216" s="1589">
        <v>0</v>
      </c>
      <c r="C216" s="1589">
        <v>0</v>
      </c>
      <c r="D216" s="1589">
        <v>0</v>
      </c>
      <c r="E216" s="1589">
        <v>0</v>
      </c>
      <c r="F216" s="1589">
        <v>0</v>
      </c>
      <c r="G216" s="1589">
        <v>0</v>
      </c>
      <c r="H216" s="1589">
        <v>0</v>
      </c>
      <c r="I216" s="1589">
        <v>0</v>
      </c>
      <c r="J216" s="1589">
        <v>0</v>
      </c>
      <c r="K216" s="1589">
        <v>0</v>
      </c>
      <c r="L216" s="1589">
        <v>0</v>
      </c>
      <c r="M216" s="1589">
        <v>0</v>
      </c>
      <c r="N216" s="1589">
        <v>0</v>
      </c>
      <c r="O216" s="1589">
        <v>0</v>
      </c>
      <c r="P216" s="1589">
        <v>0</v>
      </c>
      <c r="Q216" s="1589">
        <v>0</v>
      </c>
    </row>
    <row r="217" spans="1:17">
      <c r="A217" s="1726" t="s">
        <v>595</v>
      </c>
      <c r="B217" s="1589">
        <v>0</v>
      </c>
      <c r="C217" s="1589">
        <v>380413.43999999994</v>
      </c>
      <c r="D217" s="1589">
        <v>1136451</v>
      </c>
      <c r="E217" s="1589">
        <v>0</v>
      </c>
      <c r="F217" s="1589">
        <v>1516864.44</v>
      </c>
      <c r="G217" s="1589">
        <v>0</v>
      </c>
      <c r="H217" s="1589">
        <v>1644015.38</v>
      </c>
      <c r="I217" s="1589">
        <v>0</v>
      </c>
      <c r="J217" s="1589">
        <v>0</v>
      </c>
      <c r="K217" s="1589">
        <v>1644015.38</v>
      </c>
      <c r="L217" s="1589">
        <v>0</v>
      </c>
      <c r="M217" s="1589">
        <v>1789812.6</v>
      </c>
      <c r="N217" s="1589">
        <v>0</v>
      </c>
      <c r="O217" s="1589">
        <v>0</v>
      </c>
      <c r="P217" s="1589">
        <v>1789812.6</v>
      </c>
      <c r="Q217" s="1589">
        <v>4950692.42</v>
      </c>
    </row>
    <row r="218" spans="1:17">
      <c r="A218" s="1726" t="s">
        <v>597</v>
      </c>
      <c r="B218" s="1589">
        <v>0</v>
      </c>
      <c r="C218" s="1589">
        <v>0</v>
      </c>
      <c r="D218" s="1589">
        <v>185894</v>
      </c>
      <c r="E218" s="1589">
        <v>0</v>
      </c>
      <c r="F218" s="1589">
        <v>185894</v>
      </c>
      <c r="G218" s="1589">
        <v>0</v>
      </c>
      <c r="H218" s="1589">
        <v>187954</v>
      </c>
      <c r="I218" s="1589">
        <v>0</v>
      </c>
      <c r="J218" s="1589">
        <v>0</v>
      </c>
      <c r="K218" s="1589">
        <v>187954</v>
      </c>
      <c r="L218" s="1589">
        <v>0</v>
      </c>
      <c r="M218" s="1589">
        <v>191044</v>
      </c>
      <c r="N218" s="1589">
        <v>0</v>
      </c>
      <c r="O218" s="1589">
        <v>0</v>
      </c>
      <c r="P218" s="1589">
        <v>191044</v>
      </c>
      <c r="Q218" s="1589">
        <v>564892</v>
      </c>
    </row>
    <row r="219" spans="1:17">
      <c r="A219" s="1726" t="s">
        <v>678</v>
      </c>
      <c r="B219" s="1589">
        <v>0</v>
      </c>
      <c r="C219" s="1589">
        <v>0</v>
      </c>
      <c r="D219" s="1589">
        <v>0</v>
      </c>
      <c r="E219" s="1589">
        <v>0</v>
      </c>
      <c r="F219" s="1589">
        <v>0</v>
      </c>
      <c r="G219" s="1589">
        <v>0</v>
      </c>
      <c r="H219" s="1589">
        <v>0</v>
      </c>
      <c r="I219" s="1589">
        <v>0</v>
      </c>
      <c r="J219" s="1589">
        <v>0</v>
      </c>
      <c r="K219" s="1589">
        <v>0</v>
      </c>
      <c r="L219" s="1589">
        <v>0</v>
      </c>
      <c r="M219" s="1589">
        <v>0</v>
      </c>
      <c r="N219" s="1589">
        <v>0</v>
      </c>
      <c r="O219" s="1589">
        <v>0</v>
      </c>
      <c r="P219" s="1589">
        <v>0</v>
      </c>
      <c r="Q219" s="1589">
        <v>0</v>
      </c>
    </row>
    <row r="220" spans="1:17">
      <c r="A220" s="1726" t="s">
        <v>671</v>
      </c>
      <c r="B220" s="1589">
        <v>0</v>
      </c>
      <c r="C220" s="1589">
        <v>0</v>
      </c>
      <c r="D220" s="1589">
        <v>0</v>
      </c>
      <c r="E220" s="1589">
        <v>0</v>
      </c>
      <c r="F220" s="1589">
        <v>0</v>
      </c>
      <c r="G220" s="1589">
        <v>0</v>
      </c>
      <c r="H220" s="1589">
        <v>0</v>
      </c>
      <c r="I220" s="1589">
        <v>0</v>
      </c>
      <c r="J220" s="1589">
        <v>0</v>
      </c>
      <c r="K220" s="1589">
        <v>0</v>
      </c>
      <c r="L220" s="1589">
        <v>0</v>
      </c>
      <c r="M220" s="1589">
        <v>0</v>
      </c>
      <c r="N220" s="1589">
        <v>0</v>
      </c>
      <c r="O220" s="1589">
        <v>0</v>
      </c>
      <c r="P220" s="1589">
        <v>0</v>
      </c>
      <c r="Q220" s="1589">
        <v>0</v>
      </c>
    </row>
    <row r="221" spans="1:17">
      <c r="A221" s="1726" t="s">
        <v>654</v>
      </c>
      <c r="B221" s="1589">
        <v>0</v>
      </c>
      <c r="C221" s="1589">
        <v>0</v>
      </c>
      <c r="D221" s="1589">
        <v>0</v>
      </c>
      <c r="E221" s="1589">
        <v>0</v>
      </c>
      <c r="F221" s="1589">
        <v>0</v>
      </c>
      <c r="G221" s="1589">
        <v>0</v>
      </c>
      <c r="H221" s="1589">
        <v>0</v>
      </c>
      <c r="I221" s="1589">
        <v>0</v>
      </c>
      <c r="J221" s="1589">
        <v>0</v>
      </c>
      <c r="K221" s="1589">
        <v>0</v>
      </c>
      <c r="L221" s="1589">
        <v>0</v>
      </c>
      <c r="M221" s="1589">
        <v>0</v>
      </c>
      <c r="N221" s="1589">
        <v>0</v>
      </c>
      <c r="O221" s="1589">
        <v>0</v>
      </c>
      <c r="P221" s="1589">
        <v>0</v>
      </c>
      <c r="Q221" s="1589">
        <v>0</v>
      </c>
    </row>
    <row r="222" spans="1:17">
      <c r="A222" s="1726" t="s">
        <v>593</v>
      </c>
      <c r="B222" s="1589">
        <v>0</v>
      </c>
      <c r="C222" s="1589">
        <v>0</v>
      </c>
      <c r="D222" s="1589">
        <v>0</v>
      </c>
      <c r="E222" s="1589">
        <v>0</v>
      </c>
      <c r="F222" s="1589">
        <v>0</v>
      </c>
      <c r="G222" s="1589">
        <v>0</v>
      </c>
      <c r="H222" s="1589">
        <v>0</v>
      </c>
      <c r="I222" s="1589">
        <v>0</v>
      </c>
      <c r="J222" s="1589">
        <v>0</v>
      </c>
      <c r="K222" s="1589">
        <v>0</v>
      </c>
      <c r="L222" s="1589">
        <v>0</v>
      </c>
      <c r="M222" s="1589">
        <v>0</v>
      </c>
      <c r="N222" s="1589">
        <v>0</v>
      </c>
      <c r="O222" s="1589">
        <v>0</v>
      </c>
      <c r="P222" s="1589">
        <v>0</v>
      </c>
      <c r="Q222" s="1589">
        <v>0</v>
      </c>
    </row>
    <row r="223" spans="1:17">
      <c r="A223" s="1726" t="s">
        <v>586</v>
      </c>
      <c r="B223" s="1589">
        <v>0</v>
      </c>
      <c r="C223" s="1589">
        <v>255000</v>
      </c>
      <c r="D223" s="1589">
        <v>0</v>
      </c>
      <c r="E223" s="1589">
        <v>0</v>
      </c>
      <c r="F223" s="1589">
        <v>255000</v>
      </c>
      <c r="G223" s="1589">
        <v>0</v>
      </c>
      <c r="H223" s="1589">
        <v>0</v>
      </c>
      <c r="I223" s="1589">
        <v>0</v>
      </c>
      <c r="J223" s="1589">
        <v>0</v>
      </c>
      <c r="K223" s="1589">
        <v>0</v>
      </c>
      <c r="L223" s="1589">
        <v>0</v>
      </c>
      <c r="M223" s="1589">
        <v>0</v>
      </c>
      <c r="N223" s="1589">
        <v>0</v>
      </c>
      <c r="O223" s="1589">
        <v>0</v>
      </c>
      <c r="P223" s="1589">
        <v>0</v>
      </c>
      <c r="Q223" s="1589">
        <v>255000</v>
      </c>
    </row>
    <row r="224" spans="1:17">
      <c r="A224" s="1726" t="s">
        <v>528</v>
      </c>
      <c r="B224" s="1589">
        <v>0</v>
      </c>
      <c r="C224" s="1589">
        <v>38124.806399999994</v>
      </c>
      <c r="D224" s="1589">
        <v>79340.7</v>
      </c>
      <c r="E224" s="1589">
        <v>0</v>
      </c>
      <c r="F224" s="1589">
        <v>117465.50639999998</v>
      </c>
      <c r="G224" s="1589">
        <v>0</v>
      </c>
      <c r="H224" s="1589">
        <v>109918.16279999999</v>
      </c>
      <c r="I224" s="1589">
        <v>0</v>
      </c>
      <c r="J224" s="1589">
        <v>0</v>
      </c>
      <c r="K224" s="1589">
        <v>109918.16279999999</v>
      </c>
      <c r="L224" s="1589">
        <v>0</v>
      </c>
      <c r="M224" s="1589">
        <v>118851.39599999999</v>
      </c>
      <c r="N224" s="1589">
        <v>0</v>
      </c>
      <c r="O224" s="1589">
        <v>0</v>
      </c>
      <c r="P224" s="1589">
        <v>118851.39599999999</v>
      </c>
      <c r="Q224" s="1589">
        <v>346235.06519999995</v>
      </c>
    </row>
    <row r="225" spans="1:17">
      <c r="A225" s="1726" t="s">
        <v>530</v>
      </c>
      <c r="B225" s="1589">
        <v>0</v>
      </c>
      <c r="C225" s="1589">
        <v>6.3541343999999995E-11</v>
      </c>
      <c r="D225" s="1589">
        <v>1.322345E-10</v>
      </c>
      <c r="E225" s="1589">
        <v>0</v>
      </c>
      <c r="F225" s="1589">
        <v>1.95775844E-10</v>
      </c>
      <c r="G225" s="1589">
        <v>0</v>
      </c>
      <c r="H225" s="1589">
        <v>1.8319693799999998E-10</v>
      </c>
      <c r="I225" s="1589">
        <v>0</v>
      </c>
      <c r="J225" s="1589">
        <v>0</v>
      </c>
      <c r="K225" s="1589">
        <v>1.8319693799999998E-10</v>
      </c>
      <c r="L225" s="1589">
        <v>0</v>
      </c>
      <c r="M225" s="1589">
        <v>1.9808565999999999E-10</v>
      </c>
      <c r="N225" s="1589">
        <v>0</v>
      </c>
      <c r="O225" s="1589">
        <v>0</v>
      </c>
      <c r="P225" s="1589">
        <v>1.9808565999999999E-10</v>
      </c>
      <c r="Q225" s="1589">
        <v>5.7705844199999994E-10</v>
      </c>
    </row>
    <row r="226" spans="1:17">
      <c r="A226" s="1726" t="s">
        <v>532</v>
      </c>
      <c r="B226" s="1589">
        <v>0</v>
      </c>
      <c r="C226" s="1589">
        <v>0</v>
      </c>
      <c r="D226" s="1589">
        <v>0</v>
      </c>
      <c r="E226" s="1589">
        <v>0</v>
      </c>
      <c r="F226" s="1589">
        <v>0</v>
      </c>
      <c r="G226" s="1589">
        <v>0</v>
      </c>
      <c r="H226" s="1589">
        <v>0</v>
      </c>
      <c r="I226" s="1589">
        <v>0</v>
      </c>
      <c r="J226" s="1589">
        <v>0</v>
      </c>
      <c r="K226" s="1589">
        <v>0</v>
      </c>
      <c r="L226" s="1589">
        <v>0</v>
      </c>
      <c r="M226" s="1589">
        <v>0</v>
      </c>
      <c r="N226" s="1589">
        <v>0</v>
      </c>
      <c r="O226" s="1589">
        <v>0</v>
      </c>
      <c r="P226" s="1589">
        <v>0</v>
      </c>
      <c r="Q226" s="1589">
        <v>0</v>
      </c>
    </row>
    <row r="227" spans="1:17">
      <c r="A227" s="1726" t="s">
        <v>534</v>
      </c>
      <c r="B227" s="1589">
        <v>0</v>
      </c>
      <c r="C227" s="1589">
        <v>0</v>
      </c>
      <c r="D227" s="1589">
        <v>0</v>
      </c>
      <c r="E227" s="1589">
        <v>0</v>
      </c>
      <c r="F227" s="1589">
        <v>0</v>
      </c>
      <c r="G227" s="1589">
        <v>0</v>
      </c>
      <c r="H227" s="1589">
        <v>0</v>
      </c>
      <c r="I227" s="1589">
        <v>0</v>
      </c>
      <c r="J227" s="1589">
        <v>0</v>
      </c>
      <c r="K227" s="1589">
        <v>0</v>
      </c>
      <c r="L227" s="1589">
        <v>0</v>
      </c>
      <c r="M227" s="1589">
        <v>0</v>
      </c>
      <c r="N227" s="1589">
        <v>0</v>
      </c>
      <c r="O227" s="1589">
        <v>0</v>
      </c>
      <c r="P227" s="1589">
        <v>0</v>
      </c>
      <c r="Q227" s="1589">
        <v>0</v>
      </c>
    </row>
    <row r="228" spans="1:17">
      <c r="A228" s="1726" t="s">
        <v>536</v>
      </c>
      <c r="B228" s="1589">
        <v>0</v>
      </c>
      <c r="C228" s="1589">
        <v>0</v>
      </c>
      <c r="D228" s="1589">
        <v>0</v>
      </c>
      <c r="E228" s="1589">
        <v>0</v>
      </c>
      <c r="F228" s="1589">
        <v>0</v>
      </c>
      <c r="G228" s="1589">
        <v>0</v>
      </c>
      <c r="H228" s="1589">
        <v>0</v>
      </c>
      <c r="I228" s="1589">
        <v>0</v>
      </c>
      <c r="J228" s="1589">
        <v>0</v>
      </c>
      <c r="K228" s="1589">
        <v>0</v>
      </c>
      <c r="L228" s="1589">
        <v>0</v>
      </c>
      <c r="M228" s="1589">
        <v>0</v>
      </c>
      <c r="N228" s="1589">
        <v>0</v>
      </c>
      <c r="O228" s="1589">
        <v>0</v>
      </c>
      <c r="P228" s="1589">
        <v>0</v>
      </c>
      <c r="Q228" s="1589">
        <v>0</v>
      </c>
    </row>
    <row r="229" spans="1:17">
      <c r="A229" s="1726" t="s">
        <v>538</v>
      </c>
      <c r="B229" s="1589">
        <v>0</v>
      </c>
      <c r="C229" s="1589">
        <v>0</v>
      </c>
      <c r="D229" s="1589">
        <v>0</v>
      </c>
      <c r="E229" s="1589">
        <v>0</v>
      </c>
      <c r="F229" s="1589">
        <v>0</v>
      </c>
      <c r="G229" s="1589">
        <v>0</v>
      </c>
      <c r="H229" s="1589">
        <v>0</v>
      </c>
      <c r="I229" s="1589">
        <v>0</v>
      </c>
      <c r="J229" s="1589">
        <v>0</v>
      </c>
      <c r="K229" s="1589">
        <v>0</v>
      </c>
      <c r="L229" s="1589">
        <v>0</v>
      </c>
      <c r="M229" s="1589">
        <v>0</v>
      </c>
      <c r="N229" s="1589">
        <v>0</v>
      </c>
      <c r="O229" s="1589">
        <v>0</v>
      </c>
      <c r="P229" s="1589">
        <v>0</v>
      </c>
      <c r="Q229" s="1589">
        <v>0</v>
      </c>
    </row>
    <row r="230" spans="1:17">
      <c r="A230" s="1726" t="s">
        <v>540</v>
      </c>
      <c r="B230" s="1589">
        <v>0</v>
      </c>
      <c r="C230" s="1589">
        <v>0</v>
      </c>
      <c r="D230" s="1589">
        <v>0</v>
      </c>
      <c r="E230" s="1589">
        <v>0</v>
      </c>
      <c r="F230" s="1589">
        <v>0</v>
      </c>
      <c r="G230" s="1589">
        <v>0</v>
      </c>
      <c r="H230" s="1589">
        <v>0</v>
      </c>
      <c r="I230" s="1589">
        <v>0</v>
      </c>
      <c r="J230" s="1589">
        <v>0</v>
      </c>
      <c r="K230" s="1589">
        <v>0</v>
      </c>
      <c r="L230" s="1589">
        <v>0</v>
      </c>
      <c r="M230" s="1589">
        <v>0</v>
      </c>
      <c r="N230" s="1589">
        <v>0</v>
      </c>
      <c r="O230" s="1589">
        <v>0</v>
      </c>
      <c r="P230" s="1589">
        <v>0</v>
      </c>
      <c r="Q230" s="1589">
        <v>0</v>
      </c>
    </row>
    <row r="231" spans="1:17">
      <c r="A231" s="1725" t="s">
        <v>679</v>
      </c>
      <c r="B231" s="1589">
        <v>0</v>
      </c>
      <c r="C231" s="1589">
        <v>161239.25000000003</v>
      </c>
      <c r="D231" s="1589">
        <v>0</v>
      </c>
      <c r="E231" s="1589">
        <v>0</v>
      </c>
      <c r="F231" s="1589">
        <v>161239.25000000003</v>
      </c>
      <c r="G231" s="1589">
        <v>0</v>
      </c>
      <c r="H231" s="1589">
        <v>161239.25000000003</v>
      </c>
      <c r="I231" s="1589">
        <v>0</v>
      </c>
      <c r="J231" s="1589">
        <v>0</v>
      </c>
      <c r="K231" s="1589">
        <v>161239.25000000003</v>
      </c>
      <c r="L231" s="1589">
        <v>0</v>
      </c>
      <c r="M231" s="1589">
        <v>161239.25000000003</v>
      </c>
      <c r="N231" s="1589">
        <v>0</v>
      </c>
      <c r="O231" s="1589">
        <v>0</v>
      </c>
      <c r="P231" s="1589">
        <v>161239.25000000003</v>
      </c>
      <c r="Q231" s="1589">
        <v>483717.75000000006</v>
      </c>
    </row>
    <row r="232" spans="1:17">
      <c r="A232" s="1726" t="s">
        <v>649</v>
      </c>
      <c r="B232" s="1589">
        <v>0</v>
      </c>
      <c r="C232" s="1589">
        <v>0</v>
      </c>
      <c r="D232" s="1589">
        <v>0</v>
      </c>
      <c r="E232" s="1589">
        <v>0</v>
      </c>
      <c r="F232" s="1589">
        <v>0</v>
      </c>
      <c r="G232" s="1589">
        <v>0</v>
      </c>
      <c r="H232" s="1589">
        <v>0</v>
      </c>
      <c r="I232" s="1589">
        <v>0</v>
      </c>
      <c r="J232" s="1589">
        <v>0</v>
      </c>
      <c r="K232" s="1589">
        <v>0</v>
      </c>
      <c r="L232" s="1589">
        <v>0</v>
      </c>
      <c r="M232" s="1589">
        <v>0</v>
      </c>
      <c r="N232" s="1589">
        <v>0</v>
      </c>
      <c r="O232" s="1589">
        <v>0</v>
      </c>
      <c r="P232" s="1589">
        <v>0</v>
      </c>
      <c r="Q232" s="1589">
        <v>0</v>
      </c>
    </row>
    <row r="233" spans="1:17">
      <c r="A233" s="1726" t="s">
        <v>656</v>
      </c>
      <c r="B233" s="1589">
        <v>0</v>
      </c>
      <c r="C233" s="1589">
        <v>88680</v>
      </c>
      <c r="D233" s="1589">
        <v>0</v>
      </c>
      <c r="E233" s="1589">
        <v>0</v>
      </c>
      <c r="F233" s="1589">
        <v>88680</v>
      </c>
      <c r="G233" s="1589">
        <v>0</v>
      </c>
      <c r="H233" s="1589">
        <v>88680</v>
      </c>
      <c r="I233" s="1589">
        <v>0</v>
      </c>
      <c r="J233" s="1589">
        <v>0</v>
      </c>
      <c r="K233" s="1589">
        <v>88680</v>
      </c>
      <c r="L233" s="1589">
        <v>0</v>
      </c>
      <c r="M233" s="1589">
        <v>88680</v>
      </c>
      <c r="N233" s="1589">
        <v>0</v>
      </c>
      <c r="O233" s="1589">
        <v>0</v>
      </c>
      <c r="P233" s="1589">
        <v>88680</v>
      </c>
      <c r="Q233" s="1589">
        <v>266040</v>
      </c>
    </row>
    <row r="234" spans="1:17">
      <c r="A234" s="1726" t="s">
        <v>651</v>
      </c>
      <c r="B234" s="1589">
        <v>0</v>
      </c>
      <c r="C234" s="1589">
        <v>63432.5</v>
      </c>
      <c r="D234" s="1589">
        <v>0</v>
      </c>
      <c r="E234" s="1589">
        <v>0</v>
      </c>
      <c r="F234" s="1589">
        <v>63432.5</v>
      </c>
      <c r="G234" s="1589">
        <v>0</v>
      </c>
      <c r="H234" s="1589">
        <v>63432.5</v>
      </c>
      <c r="I234" s="1589">
        <v>0</v>
      </c>
      <c r="J234" s="1589">
        <v>0</v>
      </c>
      <c r="K234" s="1589">
        <v>63432.5</v>
      </c>
      <c r="L234" s="1589">
        <v>0</v>
      </c>
      <c r="M234" s="1589">
        <v>63432.5</v>
      </c>
      <c r="N234" s="1589">
        <v>0</v>
      </c>
      <c r="O234" s="1589">
        <v>0</v>
      </c>
      <c r="P234" s="1589">
        <v>63432.5</v>
      </c>
      <c r="Q234" s="1589">
        <v>190297.5</v>
      </c>
    </row>
    <row r="235" spans="1:17">
      <c r="A235" s="1726" t="s">
        <v>528</v>
      </c>
      <c r="B235" s="1589">
        <v>0</v>
      </c>
      <c r="C235" s="1589">
        <v>9126.75</v>
      </c>
      <c r="D235" s="1589">
        <v>0</v>
      </c>
      <c r="E235" s="1589">
        <v>0</v>
      </c>
      <c r="F235" s="1589">
        <v>9126.75</v>
      </c>
      <c r="G235" s="1589">
        <v>0</v>
      </c>
      <c r="H235" s="1589">
        <v>9126.75</v>
      </c>
      <c r="I235" s="1589">
        <v>0</v>
      </c>
      <c r="J235" s="1589">
        <v>0</v>
      </c>
      <c r="K235" s="1589">
        <v>9126.75</v>
      </c>
      <c r="L235" s="1589">
        <v>0</v>
      </c>
      <c r="M235" s="1589">
        <v>9126.75</v>
      </c>
      <c r="N235" s="1589">
        <v>0</v>
      </c>
      <c r="O235" s="1589">
        <v>0</v>
      </c>
      <c r="P235" s="1589">
        <v>9126.75</v>
      </c>
      <c r="Q235" s="1589">
        <v>27380.25</v>
      </c>
    </row>
    <row r="236" spans="1:17">
      <c r="A236" s="1726" t="s">
        <v>530</v>
      </c>
      <c r="B236" s="1589">
        <v>0</v>
      </c>
      <c r="C236" s="1589">
        <v>1.5211249999999999E-11</v>
      </c>
      <c r="D236" s="1589">
        <v>0</v>
      </c>
      <c r="E236" s="1589">
        <v>0</v>
      </c>
      <c r="F236" s="1589">
        <v>1.5211249999999999E-11</v>
      </c>
      <c r="G236" s="1589">
        <v>0</v>
      </c>
      <c r="H236" s="1589">
        <v>1.5211249999999999E-11</v>
      </c>
      <c r="I236" s="1589">
        <v>0</v>
      </c>
      <c r="J236" s="1589">
        <v>0</v>
      </c>
      <c r="K236" s="1589">
        <v>1.5211249999999999E-11</v>
      </c>
      <c r="L236" s="1589">
        <v>0</v>
      </c>
      <c r="M236" s="1589">
        <v>1.5211249999999999E-11</v>
      </c>
      <c r="N236" s="1589">
        <v>0</v>
      </c>
      <c r="O236" s="1589">
        <v>0</v>
      </c>
      <c r="P236" s="1589">
        <v>1.5211249999999999E-11</v>
      </c>
      <c r="Q236" s="1589">
        <v>4.5633749999999995E-11</v>
      </c>
    </row>
    <row r="237" spans="1:17">
      <c r="A237" s="1726" t="s">
        <v>532</v>
      </c>
      <c r="B237" s="1589">
        <v>0</v>
      </c>
      <c r="C237" s="1589">
        <v>0</v>
      </c>
      <c r="D237" s="1589">
        <v>0</v>
      </c>
      <c r="E237" s="1589">
        <v>0</v>
      </c>
      <c r="F237" s="1589">
        <v>0</v>
      </c>
      <c r="G237" s="1589">
        <v>0</v>
      </c>
      <c r="H237" s="1589">
        <v>0</v>
      </c>
      <c r="I237" s="1589">
        <v>0</v>
      </c>
      <c r="J237" s="1589">
        <v>0</v>
      </c>
      <c r="K237" s="1589">
        <v>0</v>
      </c>
      <c r="L237" s="1589">
        <v>0</v>
      </c>
      <c r="M237" s="1589">
        <v>0</v>
      </c>
      <c r="N237" s="1589">
        <v>0</v>
      </c>
      <c r="O237" s="1589">
        <v>0</v>
      </c>
      <c r="P237" s="1589">
        <v>0</v>
      </c>
      <c r="Q237" s="1589">
        <v>0</v>
      </c>
    </row>
    <row r="238" spans="1:17">
      <c r="A238" s="1726" t="s">
        <v>534</v>
      </c>
      <c r="B238" s="1589">
        <v>0</v>
      </c>
      <c r="C238" s="1589">
        <v>0</v>
      </c>
      <c r="D238" s="1589">
        <v>0</v>
      </c>
      <c r="E238" s="1589">
        <v>0</v>
      </c>
      <c r="F238" s="1589">
        <v>0</v>
      </c>
      <c r="G238" s="1589">
        <v>0</v>
      </c>
      <c r="H238" s="1589">
        <v>0</v>
      </c>
      <c r="I238" s="1589">
        <v>0</v>
      </c>
      <c r="J238" s="1589">
        <v>0</v>
      </c>
      <c r="K238" s="1589">
        <v>0</v>
      </c>
      <c r="L238" s="1589">
        <v>0</v>
      </c>
      <c r="M238" s="1589">
        <v>0</v>
      </c>
      <c r="N238" s="1589">
        <v>0</v>
      </c>
      <c r="O238" s="1589">
        <v>0</v>
      </c>
      <c r="P238" s="1589">
        <v>0</v>
      </c>
      <c r="Q238" s="1589">
        <v>0</v>
      </c>
    </row>
    <row r="239" spans="1:17">
      <c r="A239" s="1726" t="s">
        <v>536</v>
      </c>
      <c r="B239" s="1589">
        <v>0</v>
      </c>
      <c r="C239" s="1589">
        <v>0</v>
      </c>
      <c r="D239" s="1589">
        <v>0</v>
      </c>
      <c r="E239" s="1589">
        <v>0</v>
      </c>
      <c r="F239" s="1589">
        <v>0</v>
      </c>
      <c r="G239" s="1589">
        <v>0</v>
      </c>
      <c r="H239" s="1589">
        <v>0</v>
      </c>
      <c r="I239" s="1589">
        <v>0</v>
      </c>
      <c r="J239" s="1589">
        <v>0</v>
      </c>
      <c r="K239" s="1589">
        <v>0</v>
      </c>
      <c r="L239" s="1589">
        <v>0</v>
      </c>
      <c r="M239" s="1589">
        <v>0</v>
      </c>
      <c r="N239" s="1589">
        <v>0</v>
      </c>
      <c r="O239" s="1589">
        <v>0</v>
      </c>
      <c r="P239" s="1589">
        <v>0</v>
      </c>
      <c r="Q239" s="1589">
        <v>0</v>
      </c>
    </row>
    <row r="240" spans="1:17">
      <c r="A240" s="1726" t="s">
        <v>538</v>
      </c>
      <c r="B240" s="1589">
        <v>0</v>
      </c>
      <c r="C240" s="1589">
        <v>0</v>
      </c>
      <c r="D240" s="1589">
        <v>0</v>
      </c>
      <c r="E240" s="1589">
        <v>0</v>
      </c>
      <c r="F240" s="1589">
        <v>0</v>
      </c>
      <c r="G240" s="1589">
        <v>0</v>
      </c>
      <c r="H240" s="1589">
        <v>0</v>
      </c>
      <c r="I240" s="1589">
        <v>0</v>
      </c>
      <c r="J240" s="1589">
        <v>0</v>
      </c>
      <c r="K240" s="1589">
        <v>0</v>
      </c>
      <c r="L240" s="1589">
        <v>0</v>
      </c>
      <c r="M240" s="1589">
        <v>0</v>
      </c>
      <c r="N240" s="1589">
        <v>0</v>
      </c>
      <c r="O240" s="1589">
        <v>0</v>
      </c>
      <c r="P240" s="1589">
        <v>0</v>
      </c>
      <c r="Q240" s="1589">
        <v>0</v>
      </c>
    </row>
    <row r="241" spans="1:17">
      <c r="A241" s="1726" t="s">
        <v>540</v>
      </c>
      <c r="B241" s="1589">
        <v>0</v>
      </c>
      <c r="C241" s="1589">
        <v>0</v>
      </c>
      <c r="D241" s="1589">
        <v>0</v>
      </c>
      <c r="E241" s="1589">
        <v>0</v>
      </c>
      <c r="F241" s="1589">
        <v>0</v>
      </c>
      <c r="G241" s="1589">
        <v>0</v>
      </c>
      <c r="H241" s="1589">
        <v>0</v>
      </c>
      <c r="I241" s="1589">
        <v>0</v>
      </c>
      <c r="J241" s="1589">
        <v>0</v>
      </c>
      <c r="K241" s="1589">
        <v>0</v>
      </c>
      <c r="L241" s="1589">
        <v>0</v>
      </c>
      <c r="M241" s="1589">
        <v>0</v>
      </c>
      <c r="N241" s="1589">
        <v>0</v>
      </c>
      <c r="O241" s="1589">
        <v>0</v>
      </c>
      <c r="P241" s="1589">
        <v>0</v>
      </c>
      <c r="Q241" s="1589">
        <v>0</v>
      </c>
    </row>
    <row r="242" spans="1:17">
      <c r="A242" s="1588" t="s">
        <v>523</v>
      </c>
      <c r="B242" s="1589">
        <v>0</v>
      </c>
      <c r="C242" s="1589">
        <v>0</v>
      </c>
      <c r="D242" s="1589">
        <v>0</v>
      </c>
      <c r="E242" s="1589">
        <v>0</v>
      </c>
      <c r="F242" s="1589">
        <v>0</v>
      </c>
      <c r="G242" s="1589">
        <v>0</v>
      </c>
      <c r="H242" s="1589">
        <v>0</v>
      </c>
      <c r="I242" s="1589">
        <v>0</v>
      </c>
      <c r="J242" s="1589">
        <v>0</v>
      </c>
      <c r="K242" s="1589">
        <v>0</v>
      </c>
      <c r="L242" s="1589">
        <v>0</v>
      </c>
      <c r="M242" s="1589">
        <v>0</v>
      </c>
      <c r="N242" s="1589">
        <v>0</v>
      </c>
      <c r="O242" s="1589">
        <v>0</v>
      </c>
      <c r="P242" s="1589">
        <v>0</v>
      </c>
      <c r="Q242" s="1589">
        <v>0</v>
      </c>
    </row>
    <row r="243" spans="1:17">
      <c r="A243" s="1725" t="s">
        <v>583</v>
      </c>
      <c r="B243" s="1589">
        <v>0</v>
      </c>
      <c r="C243" s="1589">
        <v>0</v>
      </c>
      <c r="D243" s="1589">
        <v>0</v>
      </c>
      <c r="E243" s="1589">
        <v>0</v>
      </c>
      <c r="F243" s="1589">
        <v>0</v>
      </c>
      <c r="G243" s="1589">
        <v>0</v>
      </c>
      <c r="H243" s="1589">
        <v>0</v>
      </c>
      <c r="I243" s="1589">
        <v>0</v>
      </c>
      <c r="J243" s="1589">
        <v>0</v>
      </c>
      <c r="K243" s="1589">
        <v>0</v>
      </c>
      <c r="L243" s="1589">
        <v>0</v>
      </c>
      <c r="M243" s="1589">
        <v>0</v>
      </c>
      <c r="N243" s="1589">
        <v>0</v>
      </c>
      <c r="O243" s="1589">
        <v>0</v>
      </c>
      <c r="P243" s="1589">
        <v>0</v>
      </c>
      <c r="Q243" s="1589">
        <v>0</v>
      </c>
    </row>
    <row r="244" spans="1:17">
      <c r="A244" s="1726" t="s">
        <v>585</v>
      </c>
      <c r="B244" s="1589">
        <v>0</v>
      </c>
      <c r="C244" s="1589">
        <v>0</v>
      </c>
      <c r="D244" s="1589">
        <v>0</v>
      </c>
      <c r="E244" s="1589">
        <v>0</v>
      </c>
      <c r="F244" s="1589">
        <v>0</v>
      </c>
      <c r="G244" s="1589">
        <v>0</v>
      </c>
      <c r="H244" s="1589">
        <v>0</v>
      </c>
      <c r="I244" s="1589">
        <v>0</v>
      </c>
      <c r="J244" s="1589">
        <v>0</v>
      </c>
      <c r="K244" s="1589">
        <v>0</v>
      </c>
      <c r="L244" s="1589">
        <v>0</v>
      </c>
      <c r="M244" s="1589">
        <v>0</v>
      </c>
      <c r="N244" s="1589">
        <v>0</v>
      </c>
      <c r="O244" s="1589">
        <v>0</v>
      </c>
      <c r="P244" s="1589">
        <v>0</v>
      </c>
      <c r="Q244" s="1589">
        <v>0</v>
      </c>
    </row>
    <row r="245" spans="1:17">
      <c r="A245" s="1726" t="s">
        <v>586</v>
      </c>
      <c r="B245" s="1589">
        <v>0</v>
      </c>
      <c r="C245" s="1589">
        <v>0</v>
      </c>
      <c r="D245" s="1589">
        <v>0</v>
      </c>
      <c r="E245" s="1589">
        <v>0</v>
      </c>
      <c r="F245" s="1589">
        <v>0</v>
      </c>
      <c r="G245" s="1589">
        <v>0</v>
      </c>
      <c r="H245" s="1589">
        <v>0</v>
      </c>
      <c r="I245" s="1589">
        <v>0</v>
      </c>
      <c r="J245" s="1589">
        <v>0</v>
      </c>
      <c r="K245" s="1589">
        <v>0</v>
      </c>
      <c r="L245" s="1589">
        <v>0</v>
      </c>
      <c r="M245" s="1589">
        <v>0</v>
      </c>
      <c r="N245" s="1589">
        <v>0</v>
      </c>
      <c r="O245" s="1589">
        <v>0</v>
      </c>
      <c r="P245" s="1589">
        <v>0</v>
      </c>
      <c r="Q245" s="1589">
        <v>0</v>
      </c>
    </row>
    <row r="246" spans="1:17">
      <c r="A246" s="1726" t="s">
        <v>528</v>
      </c>
      <c r="B246" s="1589">
        <v>0</v>
      </c>
      <c r="C246" s="1589">
        <v>0</v>
      </c>
      <c r="D246" s="1589">
        <v>0</v>
      </c>
      <c r="E246" s="1589">
        <v>0</v>
      </c>
      <c r="F246" s="1589">
        <v>0</v>
      </c>
      <c r="G246" s="1589">
        <v>0</v>
      </c>
      <c r="H246" s="1589">
        <v>0</v>
      </c>
      <c r="I246" s="1589">
        <v>0</v>
      </c>
      <c r="J246" s="1589">
        <v>0</v>
      </c>
      <c r="K246" s="1589">
        <v>0</v>
      </c>
      <c r="L246" s="1589">
        <v>0</v>
      </c>
      <c r="M246" s="1589">
        <v>0</v>
      </c>
      <c r="N246" s="1589">
        <v>0</v>
      </c>
      <c r="O246" s="1589">
        <v>0</v>
      </c>
      <c r="P246" s="1589">
        <v>0</v>
      </c>
      <c r="Q246" s="1589">
        <v>0</v>
      </c>
    </row>
    <row r="247" spans="1:17">
      <c r="A247" s="1726" t="s">
        <v>530</v>
      </c>
      <c r="B247" s="1589">
        <v>0</v>
      </c>
      <c r="C247" s="1589">
        <v>0</v>
      </c>
      <c r="D247" s="1589">
        <v>0</v>
      </c>
      <c r="E247" s="1589">
        <v>0</v>
      </c>
      <c r="F247" s="1589">
        <v>0</v>
      </c>
      <c r="G247" s="1589">
        <v>0</v>
      </c>
      <c r="H247" s="1589">
        <v>0</v>
      </c>
      <c r="I247" s="1589">
        <v>0</v>
      </c>
      <c r="J247" s="1589">
        <v>0</v>
      </c>
      <c r="K247" s="1589">
        <v>0</v>
      </c>
      <c r="L247" s="1589">
        <v>0</v>
      </c>
      <c r="M247" s="1589">
        <v>0</v>
      </c>
      <c r="N247" s="1589">
        <v>0</v>
      </c>
      <c r="O247" s="1589">
        <v>0</v>
      </c>
      <c r="P247" s="1589">
        <v>0</v>
      </c>
      <c r="Q247" s="1589">
        <v>0</v>
      </c>
    </row>
    <row r="248" spans="1:17">
      <c r="A248" s="1726" t="s">
        <v>532</v>
      </c>
      <c r="B248" s="1589">
        <v>0</v>
      </c>
      <c r="C248" s="1589">
        <v>0</v>
      </c>
      <c r="D248" s="1589">
        <v>0</v>
      </c>
      <c r="E248" s="1589">
        <v>0</v>
      </c>
      <c r="F248" s="1589">
        <v>0</v>
      </c>
      <c r="G248" s="1589">
        <v>0</v>
      </c>
      <c r="H248" s="1589">
        <v>0</v>
      </c>
      <c r="I248" s="1589">
        <v>0</v>
      </c>
      <c r="J248" s="1589">
        <v>0</v>
      </c>
      <c r="K248" s="1589">
        <v>0</v>
      </c>
      <c r="L248" s="1589">
        <v>0</v>
      </c>
      <c r="M248" s="1589">
        <v>0</v>
      </c>
      <c r="N248" s="1589">
        <v>0</v>
      </c>
      <c r="O248" s="1589">
        <v>0</v>
      </c>
      <c r="P248" s="1589">
        <v>0</v>
      </c>
      <c r="Q248" s="1589">
        <v>0</v>
      </c>
    </row>
    <row r="249" spans="1:17">
      <c r="A249" s="1726" t="s">
        <v>534</v>
      </c>
      <c r="B249" s="1589">
        <v>0</v>
      </c>
      <c r="C249" s="1589">
        <v>0</v>
      </c>
      <c r="D249" s="1589">
        <v>0</v>
      </c>
      <c r="E249" s="1589">
        <v>0</v>
      </c>
      <c r="F249" s="1589">
        <v>0</v>
      </c>
      <c r="G249" s="1589">
        <v>0</v>
      </c>
      <c r="H249" s="1589">
        <v>0</v>
      </c>
      <c r="I249" s="1589">
        <v>0</v>
      </c>
      <c r="J249" s="1589">
        <v>0</v>
      </c>
      <c r="K249" s="1589">
        <v>0</v>
      </c>
      <c r="L249" s="1589">
        <v>0</v>
      </c>
      <c r="M249" s="1589">
        <v>0</v>
      </c>
      <c r="N249" s="1589">
        <v>0</v>
      </c>
      <c r="O249" s="1589">
        <v>0</v>
      </c>
      <c r="P249" s="1589">
        <v>0</v>
      </c>
      <c r="Q249" s="1589">
        <v>0</v>
      </c>
    </row>
    <row r="250" spans="1:17">
      <c r="A250" s="1726" t="s">
        <v>536</v>
      </c>
      <c r="B250" s="1589">
        <v>0</v>
      </c>
      <c r="C250" s="1589">
        <v>0</v>
      </c>
      <c r="D250" s="1589">
        <v>0</v>
      </c>
      <c r="E250" s="1589">
        <v>0</v>
      </c>
      <c r="F250" s="1589">
        <v>0</v>
      </c>
      <c r="G250" s="1589">
        <v>0</v>
      </c>
      <c r="H250" s="1589">
        <v>0</v>
      </c>
      <c r="I250" s="1589">
        <v>0</v>
      </c>
      <c r="J250" s="1589">
        <v>0</v>
      </c>
      <c r="K250" s="1589">
        <v>0</v>
      </c>
      <c r="L250" s="1589">
        <v>0</v>
      </c>
      <c r="M250" s="1589">
        <v>0</v>
      </c>
      <c r="N250" s="1589">
        <v>0</v>
      </c>
      <c r="O250" s="1589">
        <v>0</v>
      </c>
      <c r="P250" s="1589">
        <v>0</v>
      </c>
      <c r="Q250" s="1589">
        <v>0</v>
      </c>
    </row>
    <row r="251" spans="1:17">
      <c r="A251" s="1726" t="s">
        <v>538</v>
      </c>
      <c r="B251" s="1589">
        <v>0</v>
      </c>
      <c r="C251" s="1589">
        <v>0</v>
      </c>
      <c r="D251" s="1589">
        <v>0</v>
      </c>
      <c r="E251" s="1589">
        <v>0</v>
      </c>
      <c r="F251" s="1589">
        <v>0</v>
      </c>
      <c r="G251" s="1589">
        <v>0</v>
      </c>
      <c r="H251" s="1589">
        <v>0</v>
      </c>
      <c r="I251" s="1589">
        <v>0</v>
      </c>
      <c r="J251" s="1589">
        <v>0</v>
      </c>
      <c r="K251" s="1589">
        <v>0</v>
      </c>
      <c r="L251" s="1589">
        <v>0</v>
      </c>
      <c r="M251" s="1589">
        <v>0</v>
      </c>
      <c r="N251" s="1589">
        <v>0</v>
      </c>
      <c r="O251" s="1589">
        <v>0</v>
      </c>
      <c r="P251" s="1589">
        <v>0</v>
      </c>
      <c r="Q251" s="1589">
        <v>0</v>
      </c>
    </row>
    <row r="252" spans="1:17">
      <c r="A252" s="1726" t="s">
        <v>540</v>
      </c>
      <c r="B252" s="1589">
        <v>0</v>
      </c>
      <c r="C252" s="1589">
        <v>0</v>
      </c>
      <c r="D252" s="1589">
        <v>0</v>
      </c>
      <c r="E252" s="1589">
        <v>0</v>
      </c>
      <c r="F252" s="1589">
        <v>0</v>
      </c>
      <c r="G252" s="1589">
        <v>0</v>
      </c>
      <c r="H252" s="1589">
        <v>0</v>
      </c>
      <c r="I252" s="1589">
        <v>0</v>
      </c>
      <c r="J252" s="1589">
        <v>0</v>
      </c>
      <c r="K252" s="1589">
        <v>0</v>
      </c>
      <c r="L252" s="1589">
        <v>0</v>
      </c>
      <c r="M252" s="1589">
        <v>0</v>
      </c>
      <c r="N252" s="1589">
        <v>0</v>
      </c>
      <c r="O252" s="1589">
        <v>0</v>
      </c>
      <c r="P252" s="1589">
        <v>0</v>
      </c>
      <c r="Q252" s="1589">
        <v>0</v>
      </c>
    </row>
    <row r="253" spans="1:17">
      <c r="A253" s="1725" t="s">
        <v>551</v>
      </c>
      <c r="B253" s="1589">
        <v>0</v>
      </c>
      <c r="C253" s="1589">
        <v>0</v>
      </c>
      <c r="D253" s="1589">
        <v>0</v>
      </c>
      <c r="E253" s="1589">
        <v>0</v>
      </c>
      <c r="F253" s="1589">
        <v>0</v>
      </c>
      <c r="G253" s="1589">
        <v>0</v>
      </c>
      <c r="H253" s="1589">
        <v>0</v>
      </c>
      <c r="I253" s="1589">
        <v>0</v>
      </c>
      <c r="J253" s="1589">
        <v>0</v>
      </c>
      <c r="K253" s="1589">
        <v>0</v>
      </c>
      <c r="L253" s="1589">
        <v>0</v>
      </c>
      <c r="M253" s="1589">
        <v>0</v>
      </c>
      <c r="N253" s="1589">
        <v>0</v>
      </c>
      <c r="O253" s="1589">
        <v>0</v>
      </c>
      <c r="P253" s="1589">
        <v>0</v>
      </c>
      <c r="Q253" s="1589">
        <v>0</v>
      </c>
    </row>
    <row r="254" spans="1:17">
      <c r="A254" s="1726" t="s">
        <v>525</v>
      </c>
      <c r="B254" s="1589">
        <v>0</v>
      </c>
      <c r="C254" s="1589">
        <v>0</v>
      </c>
      <c r="D254" s="1589">
        <v>0</v>
      </c>
      <c r="E254" s="1589">
        <v>0</v>
      </c>
      <c r="F254" s="1589">
        <v>0</v>
      </c>
      <c r="G254" s="1589">
        <v>0</v>
      </c>
      <c r="H254" s="1589">
        <v>0</v>
      </c>
      <c r="I254" s="1589">
        <v>0</v>
      </c>
      <c r="J254" s="1589">
        <v>0</v>
      </c>
      <c r="K254" s="1589">
        <v>0</v>
      </c>
      <c r="L254" s="1589">
        <v>0</v>
      </c>
      <c r="M254" s="1589">
        <v>0</v>
      </c>
      <c r="N254" s="1589">
        <v>0</v>
      </c>
      <c r="O254" s="1589">
        <v>0</v>
      </c>
      <c r="P254" s="1589">
        <v>0</v>
      </c>
      <c r="Q254" s="1589">
        <v>0</v>
      </c>
    </row>
    <row r="255" spans="1:17">
      <c r="A255" s="1726" t="s">
        <v>528</v>
      </c>
      <c r="B255" s="1589">
        <v>0</v>
      </c>
      <c r="C255" s="1589">
        <v>0</v>
      </c>
      <c r="D255" s="1589">
        <v>0</v>
      </c>
      <c r="E255" s="1589">
        <v>0</v>
      </c>
      <c r="F255" s="1589">
        <v>0</v>
      </c>
      <c r="G255" s="1589">
        <v>0</v>
      </c>
      <c r="H255" s="1589">
        <v>0</v>
      </c>
      <c r="I255" s="1589">
        <v>0</v>
      </c>
      <c r="J255" s="1589">
        <v>0</v>
      </c>
      <c r="K255" s="1589">
        <v>0</v>
      </c>
      <c r="L255" s="1589">
        <v>0</v>
      </c>
      <c r="M255" s="1589">
        <v>0</v>
      </c>
      <c r="N255" s="1589">
        <v>0</v>
      </c>
      <c r="O255" s="1589">
        <v>0</v>
      </c>
      <c r="P255" s="1589">
        <v>0</v>
      </c>
      <c r="Q255" s="1589">
        <v>0</v>
      </c>
    </row>
    <row r="256" spans="1:17">
      <c r="A256" s="1726" t="s">
        <v>530</v>
      </c>
      <c r="B256" s="1589">
        <v>0</v>
      </c>
      <c r="C256" s="1589">
        <v>0</v>
      </c>
      <c r="D256" s="1589">
        <v>0</v>
      </c>
      <c r="E256" s="1589">
        <v>0</v>
      </c>
      <c r="F256" s="1589">
        <v>0</v>
      </c>
      <c r="G256" s="1589">
        <v>0</v>
      </c>
      <c r="H256" s="1589">
        <v>0</v>
      </c>
      <c r="I256" s="1589">
        <v>0</v>
      </c>
      <c r="J256" s="1589">
        <v>0</v>
      </c>
      <c r="K256" s="1589">
        <v>0</v>
      </c>
      <c r="L256" s="1589">
        <v>0</v>
      </c>
      <c r="M256" s="1589">
        <v>0</v>
      </c>
      <c r="N256" s="1589">
        <v>0</v>
      </c>
      <c r="O256" s="1589">
        <v>0</v>
      </c>
      <c r="P256" s="1589">
        <v>0</v>
      </c>
      <c r="Q256" s="1589">
        <v>0</v>
      </c>
    </row>
    <row r="257" spans="1:17">
      <c r="A257" s="1726" t="s">
        <v>532</v>
      </c>
      <c r="B257" s="1589">
        <v>0</v>
      </c>
      <c r="C257" s="1589">
        <v>0</v>
      </c>
      <c r="D257" s="1589">
        <v>0</v>
      </c>
      <c r="E257" s="1589">
        <v>0</v>
      </c>
      <c r="F257" s="1589">
        <v>0</v>
      </c>
      <c r="G257" s="1589">
        <v>0</v>
      </c>
      <c r="H257" s="1589">
        <v>0</v>
      </c>
      <c r="I257" s="1589">
        <v>0</v>
      </c>
      <c r="J257" s="1589">
        <v>0</v>
      </c>
      <c r="K257" s="1589">
        <v>0</v>
      </c>
      <c r="L257" s="1589">
        <v>0</v>
      </c>
      <c r="M257" s="1589">
        <v>0</v>
      </c>
      <c r="N257" s="1589">
        <v>0</v>
      </c>
      <c r="O257" s="1589">
        <v>0</v>
      </c>
      <c r="P257" s="1589">
        <v>0</v>
      </c>
      <c r="Q257" s="1589">
        <v>0</v>
      </c>
    </row>
    <row r="258" spans="1:17">
      <c r="A258" s="1726" t="s">
        <v>534</v>
      </c>
      <c r="B258" s="1589">
        <v>0</v>
      </c>
      <c r="C258" s="1589">
        <v>0</v>
      </c>
      <c r="D258" s="1589">
        <v>0</v>
      </c>
      <c r="E258" s="1589">
        <v>0</v>
      </c>
      <c r="F258" s="1589">
        <v>0</v>
      </c>
      <c r="G258" s="1589">
        <v>0</v>
      </c>
      <c r="H258" s="1589">
        <v>0</v>
      </c>
      <c r="I258" s="1589">
        <v>0</v>
      </c>
      <c r="J258" s="1589">
        <v>0</v>
      </c>
      <c r="K258" s="1589">
        <v>0</v>
      </c>
      <c r="L258" s="1589">
        <v>0</v>
      </c>
      <c r="M258" s="1589">
        <v>0</v>
      </c>
      <c r="N258" s="1589">
        <v>0</v>
      </c>
      <c r="O258" s="1589">
        <v>0</v>
      </c>
      <c r="P258" s="1589">
        <v>0</v>
      </c>
      <c r="Q258" s="1589">
        <v>0</v>
      </c>
    </row>
    <row r="259" spans="1:17">
      <c r="A259" s="1726" t="s">
        <v>536</v>
      </c>
      <c r="B259" s="1589">
        <v>0</v>
      </c>
      <c r="C259" s="1589">
        <v>0</v>
      </c>
      <c r="D259" s="1589">
        <v>0</v>
      </c>
      <c r="E259" s="1589">
        <v>0</v>
      </c>
      <c r="F259" s="1589">
        <v>0</v>
      </c>
      <c r="G259" s="1589">
        <v>0</v>
      </c>
      <c r="H259" s="1589">
        <v>0</v>
      </c>
      <c r="I259" s="1589">
        <v>0</v>
      </c>
      <c r="J259" s="1589">
        <v>0</v>
      </c>
      <c r="K259" s="1589">
        <v>0</v>
      </c>
      <c r="L259" s="1589">
        <v>0</v>
      </c>
      <c r="M259" s="1589">
        <v>0</v>
      </c>
      <c r="N259" s="1589">
        <v>0</v>
      </c>
      <c r="O259" s="1589">
        <v>0</v>
      </c>
      <c r="P259" s="1589">
        <v>0</v>
      </c>
      <c r="Q259" s="1589">
        <v>0</v>
      </c>
    </row>
    <row r="260" spans="1:17">
      <c r="A260" s="1726" t="s">
        <v>538</v>
      </c>
      <c r="B260" s="1589">
        <v>0</v>
      </c>
      <c r="C260" s="1589">
        <v>0</v>
      </c>
      <c r="D260" s="1589">
        <v>0</v>
      </c>
      <c r="E260" s="1589">
        <v>0</v>
      </c>
      <c r="F260" s="1589">
        <v>0</v>
      </c>
      <c r="G260" s="1589">
        <v>0</v>
      </c>
      <c r="H260" s="1589">
        <v>0</v>
      </c>
      <c r="I260" s="1589">
        <v>0</v>
      </c>
      <c r="J260" s="1589">
        <v>0</v>
      </c>
      <c r="K260" s="1589">
        <v>0</v>
      </c>
      <c r="L260" s="1589">
        <v>0</v>
      </c>
      <c r="M260" s="1589">
        <v>0</v>
      </c>
      <c r="N260" s="1589">
        <v>0</v>
      </c>
      <c r="O260" s="1589">
        <v>0</v>
      </c>
      <c r="P260" s="1589">
        <v>0</v>
      </c>
      <c r="Q260" s="1589">
        <v>0</v>
      </c>
    </row>
    <row r="261" spans="1:17">
      <c r="A261" s="1726" t="s">
        <v>540</v>
      </c>
      <c r="B261" s="1589">
        <v>0</v>
      </c>
      <c r="C261" s="1589">
        <v>0</v>
      </c>
      <c r="D261" s="1589">
        <v>0</v>
      </c>
      <c r="E261" s="1589">
        <v>0</v>
      </c>
      <c r="F261" s="1589">
        <v>0</v>
      </c>
      <c r="G261" s="1589">
        <v>0</v>
      </c>
      <c r="H261" s="1589">
        <v>0</v>
      </c>
      <c r="I261" s="1589">
        <v>0</v>
      </c>
      <c r="J261" s="1589">
        <v>0</v>
      </c>
      <c r="K261" s="1589">
        <v>0</v>
      </c>
      <c r="L261" s="1589">
        <v>0</v>
      </c>
      <c r="M261" s="1589">
        <v>0</v>
      </c>
      <c r="N261" s="1589">
        <v>0</v>
      </c>
      <c r="O261" s="1589">
        <v>0</v>
      </c>
      <c r="P261" s="1589">
        <v>0</v>
      </c>
      <c r="Q261" s="1589">
        <v>0</v>
      </c>
    </row>
    <row r="262" spans="1:17">
      <c r="A262" s="1725" t="s">
        <v>575</v>
      </c>
      <c r="B262" s="1589">
        <v>0</v>
      </c>
      <c r="C262" s="1589">
        <v>0</v>
      </c>
      <c r="D262" s="1589">
        <v>0</v>
      </c>
      <c r="E262" s="1589">
        <v>0</v>
      </c>
      <c r="F262" s="1589">
        <v>0</v>
      </c>
      <c r="G262" s="1589">
        <v>0</v>
      </c>
      <c r="H262" s="1589">
        <v>0</v>
      </c>
      <c r="I262" s="1589">
        <v>0</v>
      </c>
      <c r="J262" s="1589">
        <v>0</v>
      </c>
      <c r="K262" s="1589">
        <v>0</v>
      </c>
      <c r="L262" s="1589">
        <v>0</v>
      </c>
      <c r="M262" s="1589">
        <v>0</v>
      </c>
      <c r="N262" s="1589">
        <v>0</v>
      </c>
      <c r="O262" s="1589">
        <v>0</v>
      </c>
      <c r="P262" s="1589">
        <v>0</v>
      </c>
      <c r="Q262" s="1589">
        <v>0</v>
      </c>
    </row>
    <row r="263" spans="1:17">
      <c r="A263" s="1726" t="s">
        <v>525</v>
      </c>
      <c r="B263" s="1589">
        <v>0</v>
      </c>
      <c r="C263" s="1589">
        <v>0</v>
      </c>
      <c r="D263" s="1589">
        <v>0</v>
      </c>
      <c r="E263" s="1589">
        <v>0</v>
      </c>
      <c r="F263" s="1589">
        <v>0</v>
      </c>
      <c r="G263" s="1589">
        <v>0</v>
      </c>
      <c r="H263" s="1589">
        <v>0</v>
      </c>
      <c r="I263" s="1589">
        <v>0</v>
      </c>
      <c r="J263" s="1589">
        <v>0</v>
      </c>
      <c r="K263" s="1589">
        <v>0</v>
      </c>
      <c r="L263" s="1589">
        <v>0</v>
      </c>
      <c r="M263" s="1589">
        <v>0</v>
      </c>
      <c r="N263" s="1589">
        <v>0</v>
      </c>
      <c r="O263" s="1589">
        <v>0</v>
      </c>
      <c r="P263" s="1589">
        <v>0</v>
      </c>
      <c r="Q263" s="1589">
        <v>0</v>
      </c>
    </row>
    <row r="264" spans="1:17">
      <c r="A264" s="1726" t="s">
        <v>528</v>
      </c>
      <c r="B264" s="1589">
        <v>0</v>
      </c>
      <c r="C264" s="1589">
        <v>0</v>
      </c>
      <c r="D264" s="1589">
        <v>0</v>
      </c>
      <c r="E264" s="1589">
        <v>0</v>
      </c>
      <c r="F264" s="1589">
        <v>0</v>
      </c>
      <c r="G264" s="1589">
        <v>0</v>
      </c>
      <c r="H264" s="1589">
        <v>0</v>
      </c>
      <c r="I264" s="1589">
        <v>0</v>
      </c>
      <c r="J264" s="1589">
        <v>0</v>
      </c>
      <c r="K264" s="1589">
        <v>0</v>
      </c>
      <c r="L264" s="1589">
        <v>0</v>
      </c>
      <c r="M264" s="1589">
        <v>0</v>
      </c>
      <c r="N264" s="1589">
        <v>0</v>
      </c>
      <c r="O264" s="1589">
        <v>0</v>
      </c>
      <c r="P264" s="1589">
        <v>0</v>
      </c>
      <c r="Q264" s="1589">
        <v>0</v>
      </c>
    </row>
    <row r="265" spans="1:17">
      <c r="A265" s="1726" t="s">
        <v>530</v>
      </c>
      <c r="B265" s="1589">
        <v>0</v>
      </c>
      <c r="C265" s="1589">
        <v>0</v>
      </c>
      <c r="D265" s="1589">
        <v>0</v>
      </c>
      <c r="E265" s="1589">
        <v>0</v>
      </c>
      <c r="F265" s="1589">
        <v>0</v>
      </c>
      <c r="G265" s="1589">
        <v>0</v>
      </c>
      <c r="H265" s="1589">
        <v>0</v>
      </c>
      <c r="I265" s="1589">
        <v>0</v>
      </c>
      <c r="J265" s="1589">
        <v>0</v>
      </c>
      <c r="K265" s="1589">
        <v>0</v>
      </c>
      <c r="L265" s="1589">
        <v>0</v>
      </c>
      <c r="M265" s="1589">
        <v>0</v>
      </c>
      <c r="N265" s="1589">
        <v>0</v>
      </c>
      <c r="O265" s="1589">
        <v>0</v>
      </c>
      <c r="P265" s="1589">
        <v>0</v>
      </c>
      <c r="Q265" s="1589">
        <v>0</v>
      </c>
    </row>
    <row r="266" spans="1:17">
      <c r="A266" s="1726" t="s">
        <v>532</v>
      </c>
      <c r="B266" s="1589">
        <v>0</v>
      </c>
      <c r="C266" s="1589">
        <v>0</v>
      </c>
      <c r="D266" s="1589">
        <v>0</v>
      </c>
      <c r="E266" s="1589">
        <v>0</v>
      </c>
      <c r="F266" s="1589">
        <v>0</v>
      </c>
      <c r="G266" s="1589">
        <v>0</v>
      </c>
      <c r="H266" s="1589">
        <v>0</v>
      </c>
      <c r="I266" s="1589">
        <v>0</v>
      </c>
      <c r="J266" s="1589">
        <v>0</v>
      </c>
      <c r="K266" s="1589">
        <v>0</v>
      </c>
      <c r="L266" s="1589">
        <v>0</v>
      </c>
      <c r="M266" s="1589">
        <v>0</v>
      </c>
      <c r="N266" s="1589">
        <v>0</v>
      </c>
      <c r="O266" s="1589">
        <v>0</v>
      </c>
      <c r="P266" s="1589">
        <v>0</v>
      </c>
      <c r="Q266" s="1589">
        <v>0</v>
      </c>
    </row>
    <row r="267" spans="1:17">
      <c r="A267" s="1726" t="s">
        <v>534</v>
      </c>
      <c r="B267" s="1589">
        <v>0</v>
      </c>
      <c r="C267" s="1589">
        <v>0</v>
      </c>
      <c r="D267" s="1589">
        <v>0</v>
      </c>
      <c r="E267" s="1589">
        <v>0</v>
      </c>
      <c r="F267" s="1589">
        <v>0</v>
      </c>
      <c r="G267" s="1589">
        <v>0</v>
      </c>
      <c r="H267" s="1589">
        <v>0</v>
      </c>
      <c r="I267" s="1589">
        <v>0</v>
      </c>
      <c r="J267" s="1589">
        <v>0</v>
      </c>
      <c r="K267" s="1589">
        <v>0</v>
      </c>
      <c r="L267" s="1589">
        <v>0</v>
      </c>
      <c r="M267" s="1589">
        <v>0</v>
      </c>
      <c r="N267" s="1589">
        <v>0</v>
      </c>
      <c r="O267" s="1589">
        <v>0</v>
      </c>
      <c r="P267" s="1589">
        <v>0</v>
      </c>
      <c r="Q267" s="1589">
        <v>0</v>
      </c>
    </row>
    <row r="268" spans="1:17">
      <c r="A268" s="1726" t="s">
        <v>536</v>
      </c>
      <c r="B268" s="1589">
        <v>0</v>
      </c>
      <c r="C268" s="1589">
        <v>0</v>
      </c>
      <c r="D268" s="1589">
        <v>0</v>
      </c>
      <c r="E268" s="1589">
        <v>0</v>
      </c>
      <c r="F268" s="1589">
        <v>0</v>
      </c>
      <c r="G268" s="1589">
        <v>0</v>
      </c>
      <c r="H268" s="1589">
        <v>0</v>
      </c>
      <c r="I268" s="1589">
        <v>0</v>
      </c>
      <c r="J268" s="1589">
        <v>0</v>
      </c>
      <c r="K268" s="1589">
        <v>0</v>
      </c>
      <c r="L268" s="1589">
        <v>0</v>
      </c>
      <c r="M268" s="1589">
        <v>0</v>
      </c>
      <c r="N268" s="1589">
        <v>0</v>
      </c>
      <c r="O268" s="1589">
        <v>0</v>
      </c>
      <c r="P268" s="1589">
        <v>0</v>
      </c>
      <c r="Q268" s="1589">
        <v>0</v>
      </c>
    </row>
    <row r="269" spans="1:17">
      <c r="A269" s="1726" t="s">
        <v>538</v>
      </c>
      <c r="B269" s="1589">
        <v>0</v>
      </c>
      <c r="C269" s="1589">
        <v>0</v>
      </c>
      <c r="D269" s="1589">
        <v>0</v>
      </c>
      <c r="E269" s="1589">
        <v>0</v>
      </c>
      <c r="F269" s="1589">
        <v>0</v>
      </c>
      <c r="G269" s="1589">
        <v>0</v>
      </c>
      <c r="H269" s="1589">
        <v>0</v>
      </c>
      <c r="I269" s="1589">
        <v>0</v>
      </c>
      <c r="J269" s="1589">
        <v>0</v>
      </c>
      <c r="K269" s="1589">
        <v>0</v>
      </c>
      <c r="L269" s="1589">
        <v>0</v>
      </c>
      <c r="M269" s="1589">
        <v>0</v>
      </c>
      <c r="N269" s="1589">
        <v>0</v>
      </c>
      <c r="O269" s="1589">
        <v>0</v>
      </c>
      <c r="P269" s="1589">
        <v>0</v>
      </c>
      <c r="Q269" s="1589">
        <v>0</v>
      </c>
    </row>
    <row r="270" spans="1:17">
      <c r="A270" s="1726" t="s">
        <v>540</v>
      </c>
      <c r="B270" s="1589">
        <v>0</v>
      </c>
      <c r="C270" s="1589">
        <v>0</v>
      </c>
      <c r="D270" s="1589">
        <v>0</v>
      </c>
      <c r="E270" s="1589">
        <v>0</v>
      </c>
      <c r="F270" s="1589">
        <v>0</v>
      </c>
      <c r="G270" s="1589">
        <v>0</v>
      </c>
      <c r="H270" s="1589">
        <v>0</v>
      </c>
      <c r="I270" s="1589">
        <v>0</v>
      </c>
      <c r="J270" s="1589">
        <v>0</v>
      </c>
      <c r="K270" s="1589">
        <v>0</v>
      </c>
      <c r="L270" s="1589">
        <v>0</v>
      </c>
      <c r="M270" s="1589">
        <v>0</v>
      </c>
      <c r="N270" s="1589">
        <v>0</v>
      </c>
      <c r="O270" s="1589">
        <v>0</v>
      </c>
      <c r="P270" s="1589">
        <v>0</v>
      </c>
      <c r="Q270" s="1589">
        <v>0</v>
      </c>
    </row>
    <row r="271" spans="1:17">
      <c r="A271" s="1725" t="s">
        <v>559</v>
      </c>
      <c r="B271" s="1589">
        <v>0</v>
      </c>
      <c r="C271" s="1589">
        <v>0</v>
      </c>
      <c r="D271" s="1589">
        <v>0</v>
      </c>
      <c r="E271" s="1589">
        <v>0</v>
      </c>
      <c r="F271" s="1589">
        <v>0</v>
      </c>
      <c r="G271" s="1589">
        <v>0</v>
      </c>
      <c r="H271" s="1589">
        <v>0</v>
      </c>
      <c r="I271" s="1589">
        <v>0</v>
      </c>
      <c r="J271" s="1589">
        <v>0</v>
      </c>
      <c r="K271" s="1589">
        <v>0</v>
      </c>
      <c r="L271" s="1589">
        <v>0</v>
      </c>
      <c r="M271" s="1589">
        <v>0</v>
      </c>
      <c r="N271" s="1589">
        <v>0</v>
      </c>
      <c r="O271" s="1589">
        <v>0</v>
      </c>
      <c r="P271" s="1589">
        <v>0</v>
      </c>
      <c r="Q271" s="1589">
        <v>0</v>
      </c>
    </row>
    <row r="272" spans="1:17">
      <c r="A272" s="1726" t="s">
        <v>525</v>
      </c>
      <c r="B272" s="1589">
        <v>0</v>
      </c>
      <c r="C272" s="1589">
        <v>0</v>
      </c>
      <c r="D272" s="1589">
        <v>0</v>
      </c>
      <c r="E272" s="1589">
        <v>0</v>
      </c>
      <c r="F272" s="1589">
        <v>0</v>
      </c>
      <c r="G272" s="1589">
        <v>0</v>
      </c>
      <c r="H272" s="1589">
        <v>0</v>
      </c>
      <c r="I272" s="1589">
        <v>0</v>
      </c>
      <c r="J272" s="1589">
        <v>0</v>
      </c>
      <c r="K272" s="1589">
        <v>0</v>
      </c>
      <c r="L272" s="1589">
        <v>0</v>
      </c>
      <c r="M272" s="1589">
        <v>0</v>
      </c>
      <c r="N272" s="1589">
        <v>0</v>
      </c>
      <c r="O272" s="1589">
        <v>0</v>
      </c>
      <c r="P272" s="1589">
        <v>0</v>
      </c>
      <c r="Q272" s="1589">
        <v>0</v>
      </c>
    </row>
    <row r="273" spans="1:17">
      <c r="A273" s="1726" t="s">
        <v>528</v>
      </c>
      <c r="B273" s="1589">
        <v>0</v>
      </c>
      <c r="C273" s="1589">
        <v>0</v>
      </c>
      <c r="D273" s="1589">
        <v>0</v>
      </c>
      <c r="E273" s="1589">
        <v>0</v>
      </c>
      <c r="F273" s="1589">
        <v>0</v>
      </c>
      <c r="G273" s="1589">
        <v>0</v>
      </c>
      <c r="H273" s="1589">
        <v>0</v>
      </c>
      <c r="I273" s="1589">
        <v>0</v>
      </c>
      <c r="J273" s="1589">
        <v>0</v>
      </c>
      <c r="K273" s="1589">
        <v>0</v>
      </c>
      <c r="L273" s="1589">
        <v>0</v>
      </c>
      <c r="M273" s="1589">
        <v>0</v>
      </c>
      <c r="N273" s="1589">
        <v>0</v>
      </c>
      <c r="O273" s="1589">
        <v>0</v>
      </c>
      <c r="P273" s="1589">
        <v>0</v>
      </c>
      <c r="Q273" s="1589">
        <v>0</v>
      </c>
    </row>
    <row r="274" spans="1:17">
      <c r="A274" s="1726" t="s">
        <v>530</v>
      </c>
      <c r="B274" s="1589">
        <v>0</v>
      </c>
      <c r="C274" s="1589">
        <v>0</v>
      </c>
      <c r="D274" s="1589">
        <v>0</v>
      </c>
      <c r="E274" s="1589">
        <v>0</v>
      </c>
      <c r="F274" s="1589">
        <v>0</v>
      </c>
      <c r="G274" s="1589">
        <v>0</v>
      </c>
      <c r="H274" s="1589">
        <v>0</v>
      </c>
      <c r="I274" s="1589">
        <v>0</v>
      </c>
      <c r="J274" s="1589">
        <v>0</v>
      </c>
      <c r="K274" s="1589">
        <v>0</v>
      </c>
      <c r="L274" s="1589">
        <v>0</v>
      </c>
      <c r="M274" s="1589">
        <v>0</v>
      </c>
      <c r="N274" s="1589">
        <v>0</v>
      </c>
      <c r="O274" s="1589">
        <v>0</v>
      </c>
      <c r="P274" s="1589">
        <v>0</v>
      </c>
      <c r="Q274" s="1589">
        <v>0</v>
      </c>
    </row>
    <row r="275" spans="1:17">
      <c r="A275" s="1726" t="s">
        <v>532</v>
      </c>
      <c r="B275" s="1589">
        <v>0</v>
      </c>
      <c r="C275" s="1589">
        <v>0</v>
      </c>
      <c r="D275" s="1589">
        <v>0</v>
      </c>
      <c r="E275" s="1589">
        <v>0</v>
      </c>
      <c r="F275" s="1589">
        <v>0</v>
      </c>
      <c r="G275" s="1589">
        <v>0</v>
      </c>
      <c r="H275" s="1589">
        <v>0</v>
      </c>
      <c r="I275" s="1589">
        <v>0</v>
      </c>
      <c r="J275" s="1589">
        <v>0</v>
      </c>
      <c r="K275" s="1589">
        <v>0</v>
      </c>
      <c r="L275" s="1589">
        <v>0</v>
      </c>
      <c r="M275" s="1589">
        <v>0</v>
      </c>
      <c r="N275" s="1589">
        <v>0</v>
      </c>
      <c r="O275" s="1589">
        <v>0</v>
      </c>
      <c r="P275" s="1589">
        <v>0</v>
      </c>
      <c r="Q275" s="1589">
        <v>0</v>
      </c>
    </row>
    <row r="276" spans="1:17">
      <c r="A276" s="1726" t="s">
        <v>534</v>
      </c>
      <c r="B276" s="1589">
        <v>0</v>
      </c>
      <c r="C276" s="1589">
        <v>0</v>
      </c>
      <c r="D276" s="1589">
        <v>0</v>
      </c>
      <c r="E276" s="1589">
        <v>0</v>
      </c>
      <c r="F276" s="1589">
        <v>0</v>
      </c>
      <c r="G276" s="1589">
        <v>0</v>
      </c>
      <c r="H276" s="1589">
        <v>0</v>
      </c>
      <c r="I276" s="1589">
        <v>0</v>
      </c>
      <c r="J276" s="1589">
        <v>0</v>
      </c>
      <c r="K276" s="1589">
        <v>0</v>
      </c>
      <c r="L276" s="1589">
        <v>0</v>
      </c>
      <c r="M276" s="1589">
        <v>0</v>
      </c>
      <c r="N276" s="1589">
        <v>0</v>
      </c>
      <c r="O276" s="1589">
        <v>0</v>
      </c>
      <c r="P276" s="1589">
        <v>0</v>
      </c>
      <c r="Q276" s="1589">
        <v>0</v>
      </c>
    </row>
    <row r="277" spans="1:17">
      <c r="A277" s="1726" t="s">
        <v>536</v>
      </c>
      <c r="B277" s="1589">
        <v>0</v>
      </c>
      <c r="C277" s="1589">
        <v>0</v>
      </c>
      <c r="D277" s="1589">
        <v>0</v>
      </c>
      <c r="E277" s="1589">
        <v>0</v>
      </c>
      <c r="F277" s="1589">
        <v>0</v>
      </c>
      <c r="G277" s="1589">
        <v>0</v>
      </c>
      <c r="H277" s="1589">
        <v>0</v>
      </c>
      <c r="I277" s="1589">
        <v>0</v>
      </c>
      <c r="J277" s="1589">
        <v>0</v>
      </c>
      <c r="K277" s="1589">
        <v>0</v>
      </c>
      <c r="L277" s="1589">
        <v>0</v>
      </c>
      <c r="M277" s="1589">
        <v>0</v>
      </c>
      <c r="N277" s="1589">
        <v>0</v>
      </c>
      <c r="O277" s="1589">
        <v>0</v>
      </c>
      <c r="P277" s="1589">
        <v>0</v>
      </c>
      <c r="Q277" s="1589">
        <v>0</v>
      </c>
    </row>
    <row r="278" spans="1:17">
      <c r="A278" s="1726" t="s">
        <v>538</v>
      </c>
      <c r="B278" s="1589">
        <v>0</v>
      </c>
      <c r="C278" s="1589">
        <v>0</v>
      </c>
      <c r="D278" s="1589">
        <v>0</v>
      </c>
      <c r="E278" s="1589">
        <v>0</v>
      </c>
      <c r="F278" s="1589">
        <v>0</v>
      </c>
      <c r="G278" s="1589">
        <v>0</v>
      </c>
      <c r="H278" s="1589">
        <v>0</v>
      </c>
      <c r="I278" s="1589">
        <v>0</v>
      </c>
      <c r="J278" s="1589">
        <v>0</v>
      </c>
      <c r="K278" s="1589">
        <v>0</v>
      </c>
      <c r="L278" s="1589">
        <v>0</v>
      </c>
      <c r="M278" s="1589">
        <v>0</v>
      </c>
      <c r="N278" s="1589">
        <v>0</v>
      </c>
      <c r="O278" s="1589">
        <v>0</v>
      </c>
      <c r="P278" s="1589">
        <v>0</v>
      </c>
      <c r="Q278" s="1589">
        <v>0</v>
      </c>
    </row>
    <row r="279" spans="1:17">
      <c r="A279" s="1726" t="s">
        <v>540</v>
      </c>
      <c r="B279" s="1589">
        <v>0</v>
      </c>
      <c r="C279" s="1589">
        <v>0</v>
      </c>
      <c r="D279" s="1589">
        <v>0</v>
      </c>
      <c r="E279" s="1589">
        <v>0</v>
      </c>
      <c r="F279" s="1589">
        <v>0</v>
      </c>
      <c r="G279" s="1589">
        <v>0</v>
      </c>
      <c r="H279" s="1589">
        <v>0</v>
      </c>
      <c r="I279" s="1589">
        <v>0</v>
      </c>
      <c r="J279" s="1589">
        <v>0</v>
      </c>
      <c r="K279" s="1589">
        <v>0</v>
      </c>
      <c r="L279" s="1589">
        <v>0</v>
      </c>
      <c r="M279" s="1589">
        <v>0</v>
      </c>
      <c r="N279" s="1589">
        <v>0</v>
      </c>
      <c r="O279" s="1589">
        <v>0</v>
      </c>
      <c r="P279" s="1589">
        <v>0</v>
      </c>
      <c r="Q279" s="1589">
        <v>0</v>
      </c>
    </row>
    <row r="280" spans="1:17">
      <c r="A280" s="1725" t="s">
        <v>567</v>
      </c>
      <c r="B280" s="1589">
        <v>0</v>
      </c>
      <c r="C280" s="1589">
        <v>0</v>
      </c>
      <c r="D280" s="1589">
        <v>0</v>
      </c>
      <c r="E280" s="1589">
        <v>0</v>
      </c>
      <c r="F280" s="1589">
        <v>0</v>
      </c>
      <c r="G280" s="1589">
        <v>0</v>
      </c>
      <c r="H280" s="1589">
        <v>0</v>
      </c>
      <c r="I280" s="1589">
        <v>0</v>
      </c>
      <c r="J280" s="1589">
        <v>0</v>
      </c>
      <c r="K280" s="1589">
        <v>0</v>
      </c>
      <c r="L280" s="1589">
        <v>0</v>
      </c>
      <c r="M280" s="1589">
        <v>0</v>
      </c>
      <c r="N280" s="1589">
        <v>0</v>
      </c>
      <c r="O280" s="1589">
        <v>0</v>
      </c>
      <c r="P280" s="1589">
        <v>0</v>
      </c>
      <c r="Q280" s="1589">
        <v>0</v>
      </c>
    </row>
    <row r="281" spans="1:17">
      <c r="A281" s="1726" t="s">
        <v>525</v>
      </c>
      <c r="B281" s="1589">
        <v>0</v>
      </c>
      <c r="C281" s="1589">
        <v>0</v>
      </c>
      <c r="D281" s="1589">
        <v>0</v>
      </c>
      <c r="E281" s="1589">
        <v>0</v>
      </c>
      <c r="F281" s="1589">
        <v>0</v>
      </c>
      <c r="G281" s="1589">
        <v>0</v>
      </c>
      <c r="H281" s="1589">
        <v>0</v>
      </c>
      <c r="I281" s="1589">
        <v>0</v>
      </c>
      <c r="J281" s="1589">
        <v>0</v>
      </c>
      <c r="K281" s="1589">
        <v>0</v>
      </c>
      <c r="L281" s="1589">
        <v>0</v>
      </c>
      <c r="M281" s="1589">
        <v>0</v>
      </c>
      <c r="N281" s="1589">
        <v>0</v>
      </c>
      <c r="O281" s="1589">
        <v>0</v>
      </c>
      <c r="P281" s="1589">
        <v>0</v>
      </c>
      <c r="Q281" s="1589">
        <v>0</v>
      </c>
    </row>
    <row r="282" spans="1:17">
      <c r="A282" s="1726" t="s">
        <v>528</v>
      </c>
      <c r="B282" s="1589">
        <v>0</v>
      </c>
      <c r="C282" s="1589">
        <v>0</v>
      </c>
      <c r="D282" s="1589">
        <v>0</v>
      </c>
      <c r="E282" s="1589">
        <v>0</v>
      </c>
      <c r="F282" s="1589">
        <v>0</v>
      </c>
      <c r="G282" s="1589">
        <v>0</v>
      </c>
      <c r="H282" s="1589">
        <v>0</v>
      </c>
      <c r="I282" s="1589">
        <v>0</v>
      </c>
      <c r="J282" s="1589">
        <v>0</v>
      </c>
      <c r="K282" s="1589">
        <v>0</v>
      </c>
      <c r="L282" s="1589">
        <v>0</v>
      </c>
      <c r="M282" s="1589">
        <v>0</v>
      </c>
      <c r="N282" s="1589">
        <v>0</v>
      </c>
      <c r="O282" s="1589">
        <v>0</v>
      </c>
      <c r="P282" s="1589">
        <v>0</v>
      </c>
      <c r="Q282" s="1589">
        <v>0</v>
      </c>
    </row>
    <row r="283" spans="1:17">
      <c r="A283" s="1726" t="s">
        <v>530</v>
      </c>
      <c r="B283" s="1589">
        <v>0</v>
      </c>
      <c r="C283" s="1589">
        <v>0</v>
      </c>
      <c r="D283" s="1589">
        <v>0</v>
      </c>
      <c r="E283" s="1589">
        <v>0</v>
      </c>
      <c r="F283" s="1589">
        <v>0</v>
      </c>
      <c r="G283" s="1589">
        <v>0</v>
      </c>
      <c r="H283" s="1589">
        <v>0</v>
      </c>
      <c r="I283" s="1589">
        <v>0</v>
      </c>
      <c r="J283" s="1589">
        <v>0</v>
      </c>
      <c r="K283" s="1589">
        <v>0</v>
      </c>
      <c r="L283" s="1589">
        <v>0</v>
      </c>
      <c r="M283" s="1589">
        <v>0</v>
      </c>
      <c r="N283" s="1589">
        <v>0</v>
      </c>
      <c r="O283" s="1589">
        <v>0</v>
      </c>
      <c r="P283" s="1589">
        <v>0</v>
      </c>
      <c r="Q283" s="1589">
        <v>0</v>
      </c>
    </row>
    <row r="284" spans="1:17">
      <c r="A284" s="1726" t="s">
        <v>532</v>
      </c>
      <c r="B284" s="1589">
        <v>0</v>
      </c>
      <c r="C284" s="1589">
        <v>0</v>
      </c>
      <c r="D284" s="1589">
        <v>0</v>
      </c>
      <c r="E284" s="1589">
        <v>0</v>
      </c>
      <c r="F284" s="1589">
        <v>0</v>
      </c>
      <c r="G284" s="1589">
        <v>0</v>
      </c>
      <c r="H284" s="1589">
        <v>0</v>
      </c>
      <c r="I284" s="1589">
        <v>0</v>
      </c>
      <c r="J284" s="1589">
        <v>0</v>
      </c>
      <c r="K284" s="1589">
        <v>0</v>
      </c>
      <c r="L284" s="1589">
        <v>0</v>
      </c>
      <c r="M284" s="1589">
        <v>0</v>
      </c>
      <c r="N284" s="1589">
        <v>0</v>
      </c>
      <c r="O284" s="1589">
        <v>0</v>
      </c>
      <c r="P284" s="1589">
        <v>0</v>
      </c>
      <c r="Q284" s="1589">
        <v>0</v>
      </c>
    </row>
    <row r="285" spans="1:17">
      <c r="A285" s="1726" t="s">
        <v>534</v>
      </c>
      <c r="B285" s="1589">
        <v>0</v>
      </c>
      <c r="C285" s="1589">
        <v>0</v>
      </c>
      <c r="D285" s="1589">
        <v>0</v>
      </c>
      <c r="E285" s="1589">
        <v>0</v>
      </c>
      <c r="F285" s="1589">
        <v>0</v>
      </c>
      <c r="G285" s="1589">
        <v>0</v>
      </c>
      <c r="H285" s="1589">
        <v>0</v>
      </c>
      <c r="I285" s="1589">
        <v>0</v>
      </c>
      <c r="J285" s="1589">
        <v>0</v>
      </c>
      <c r="K285" s="1589">
        <v>0</v>
      </c>
      <c r="L285" s="1589">
        <v>0</v>
      </c>
      <c r="M285" s="1589">
        <v>0</v>
      </c>
      <c r="N285" s="1589">
        <v>0</v>
      </c>
      <c r="O285" s="1589">
        <v>0</v>
      </c>
      <c r="P285" s="1589">
        <v>0</v>
      </c>
      <c r="Q285" s="1589">
        <v>0</v>
      </c>
    </row>
    <row r="286" spans="1:17">
      <c r="A286" s="1726" t="s">
        <v>536</v>
      </c>
      <c r="B286" s="1589">
        <v>0</v>
      </c>
      <c r="C286" s="1589">
        <v>0</v>
      </c>
      <c r="D286" s="1589">
        <v>0</v>
      </c>
      <c r="E286" s="1589">
        <v>0</v>
      </c>
      <c r="F286" s="1589">
        <v>0</v>
      </c>
      <c r="G286" s="1589">
        <v>0</v>
      </c>
      <c r="H286" s="1589">
        <v>0</v>
      </c>
      <c r="I286" s="1589">
        <v>0</v>
      </c>
      <c r="J286" s="1589">
        <v>0</v>
      </c>
      <c r="K286" s="1589">
        <v>0</v>
      </c>
      <c r="L286" s="1589">
        <v>0</v>
      </c>
      <c r="M286" s="1589">
        <v>0</v>
      </c>
      <c r="N286" s="1589">
        <v>0</v>
      </c>
      <c r="O286" s="1589">
        <v>0</v>
      </c>
      <c r="P286" s="1589">
        <v>0</v>
      </c>
      <c r="Q286" s="1589">
        <v>0</v>
      </c>
    </row>
    <row r="287" spans="1:17">
      <c r="A287" s="1726" t="s">
        <v>538</v>
      </c>
      <c r="B287" s="1589">
        <v>0</v>
      </c>
      <c r="C287" s="1589">
        <v>0</v>
      </c>
      <c r="D287" s="1589">
        <v>0</v>
      </c>
      <c r="E287" s="1589">
        <v>0</v>
      </c>
      <c r="F287" s="1589">
        <v>0</v>
      </c>
      <c r="G287" s="1589">
        <v>0</v>
      </c>
      <c r="H287" s="1589">
        <v>0</v>
      </c>
      <c r="I287" s="1589">
        <v>0</v>
      </c>
      <c r="J287" s="1589">
        <v>0</v>
      </c>
      <c r="K287" s="1589">
        <v>0</v>
      </c>
      <c r="L287" s="1589">
        <v>0</v>
      </c>
      <c r="M287" s="1589">
        <v>0</v>
      </c>
      <c r="N287" s="1589">
        <v>0</v>
      </c>
      <c r="O287" s="1589">
        <v>0</v>
      </c>
      <c r="P287" s="1589">
        <v>0</v>
      </c>
      <c r="Q287" s="1589">
        <v>0</v>
      </c>
    </row>
    <row r="288" spans="1:17">
      <c r="A288" s="1726" t="s">
        <v>540</v>
      </c>
      <c r="B288" s="1589">
        <v>0</v>
      </c>
      <c r="C288" s="1589">
        <v>0</v>
      </c>
      <c r="D288" s="1589">
        <v>0</v>
      </c>
      <c r="E288" s="1589">
        <v>0</v>
      </c>
      <c r="F288" s="1589">
        <v>0</v>
      </c>
      <c r="G288" s="1589">
        <v>0</v>
      </c>
      <c r="H288" s="1589">
        <v>0</v>
      </c>
      <c r="I288" s="1589">
        <v>0</v>
      </c>
      <c r="J288" s="1589">
        <v>0</v>
      </c>
      <c r="K288" s="1589">
        <v>0</v>
      </c>
      <c r="L288" s="1589">
        <v>0</v>
      </c>
      <c r="M288" s="1589">
        <v>0</v>
      </c>
      <c r="N288" s="1589">
        <v>0</v>
      </c>
      <c r="O288" s="1589">
        <v>0</v>
      </c>
      <c r="P288" s="1589">
        <v>0</v>
      </c>
      <c r="Q288" s="1589">
        <v>0</v>
      </c>
    </row>
    <row r="289" spans="1:17">
      <c r="A289" s="1725" t="s">
        <v>542</v>
      </c>
      <c r="B289" s="1589">
        <v>0</v>
      </c>
      <c r="C289" s="1589">
        <v>0</v>
      </c>
      <c r="D289" s="1589">
        <v>0</v>
      </c>
      <c r="E289" s="1589">
        <v>0</v>
      </c>
      <c r="F289" s="1589">
        <v>0</v>
      </c>
      <c r="G289" s="1589">
        <v>0</v>
      </c>
      <c r="H289" s="1589">
        <v>0</v>
      </c>
      <c r="I289" s="1589">
        <v>0</v>
      </c>
      <c r="J289" s="1589">
        <v>0</v>
      </c>
      <c r="K289" s="1589">
        <v>0</v>
      </c>
      <c r="L289" s="1589">
        <v>0</v>
      </c>
      <c r="M289" s="1589">
        <v>0</v>
      </c>
      <c r="N289" s="1589">
        <v>0</v>
      </c>
      <c r="O289" s="1589">
        <v>0</v>
      </c>
      <c r="P289" s="1589">
        <v>0</v>
      </c>
      <c r="Q289" s="1589">
        <v>0</v>
      </c>
    </row>
    <row r="290" spans="1:17">
      <c r="A290" s="1726" t="s">
        <v>525</v>
      </c>
      <c r="B290" s="1589">
        <v>0</v>
      </c>
      <c r="C290" s="1589">
        <v>0</v>
      </c>
      <c r="D290" s="1589">
        <v>0</v>
      </c>
      <c r="E290" s="1589">
        <v>0</v>
      </c>
      <c r="F290" s="1589">
        <v>0</v>
      </c>
      <c r="G290" s="1589">
        <v>0</v>
      </c>
      <c r="H290" s="1589">
        <v>0</v>
      </c>
      <c r="I290" s="1589">
        <v>0</v>
      </c>
      <c r="J290" s="1589">
        <v>0</v>
      </c>
      <c r="K290" s="1589">
        <v>0</v>
      </c>
      <c r="L290" s="1589">
        <v>0</v>
      </c>
      <c r="M290" s="1589">
        <v>0</v>
      </c>
      <c r="N290" s="1589">
        <v>0</v>
      </c>
      <c r="O290" s="1589">
        <v>0</v>
      </c>
      <c r="P290" s="1589">
        <v>0</v>
      </c>
      <c r="Q290" s="1589">
        <v>0</v>
      </c>
    </row>
    <row r="291" spans="1:17">
      <c r="A291" s="1726" t="s">
        <v>528</v>
      </c>
      <c r="B291" s="1589">
        <v>0</v>
      </c>
      <c r="C291" s="1589">
        <v>0</v>
      </c>
      <c r="D291" s="1589">
        <v>0</v>
      </c>
      <c r="E291" s="1589">
        <v>0</v>
      </c>
      <c r="F291" s="1589">
        <v>0</v>
      </c>
      <c r="G291" s="1589">
        <v>0</v>
      </c>
      <c r="H291" s="1589">
        <v>0</v>
      </c>
      <c r="I291" s="1589">
        <v>0</v>
      </c>
      <c r="J291" s="1589">
        <v>0</v>
      </c>
      <c r="K291" s="1589">
        <v>0</v>
      </c>
      <c r="L291" s="1589">
        <v>0</v>
      </c>
      <c r="M291" s="1589">
        <v>0</v>
      </c>
      <c r="N291" s="1589">
        <v>0</v>
      </c>
      <c r="O291" s="1589">
        <v>0</v>
      </c>
      <c r="P291" s="1589">
        <v>0</v>
      </c>
      <c r="Q291" s="1589">
        <v>0</v>
      </c>
    </row>
    <row r="292" spans="1:17">
      <c r="A292" s="1726" t="s">
        <v>530</v>
      </c>
      <c r="B292" s="1589">
        <v>0</v>
      </c>
      <c r="C292" s="1589">
        <v>0</v>
      </c>
      <c r="D292" s="1589">
        <v>0</v>
      </c>
      <c r="E292" s="1589">
        <v>0</v>
      </c>
      <c r="F292" s="1589">
        <v>0</v>
      </c>
      <c r="G292" s="1589">
        <v>0</v>
      </c>
      <c r="H292" s="1589">
        <v>0</v>
      </c>
      <c r="I292" s="1589">
        <v>0</v>
      </c>
      <c r="J292" s="1589">
        <v>0</v>
      </c>
      <c r="K292" s="1589">
        <v>0</v>
      </c>
      <c r="L292" s="1589">
        <v>0</v>
      </c>
      <c r="M292" s="1589">
        <v>0</v>
      </c>
      <c r="N292" s="1589">
        <v>0</v>
      </c>
      <c r="O292" s="1589">
        <v>0</v>
      </c>
      <c r="P292" s="1589">
        <v>0</v>
      </c>
      <c r="Q292" s="1589">
        <v>0</v>
      </c>
    </row>
    <row r="293" spans="1:17">
      <c r="A293" s="1726" t="s">
        <v>532</v>
      </c>
      <c r="B293" s="1589">
        <v>0</v>
      </c>
      <c r="C293" s="1589">
        <v>0</v>
      </c>
      <c r="D293" s="1589">
        <v>0</v>
      </c>
      <c r="E293" s="1589">
        <v>0</v>
      </c>
      <c r="F293" s="1589">
        <v>0</v>
      </c>
      <c r="G293" s="1589">
        <v>0</v>
      </c>
      <c r="H293" s="1589">
        <v>0</v>
      </c>
      <c r="I293" s="1589">
        <v>0</v>
      </c>
      <c r="J293" s="1589">
        <v>0</v>
      </c>
      <c r="K293" s="1589">
        <v>0</v>
      </c>
      <c r="L293" s="1589">
        <v>0</v>
      </c>
      <c r="M293" s="1589">
        <v>0</v>
      </c>
      <c r="N293" s="1589">
        <v>0</v>
      </c>
      <c r="O293" s="1589">
        <v>0</v>
      </c>
      <c r="P293" s="1589">
        <v>0</v>
      </c>
      <c r="Q293" s="1589">
        <v>0</v>
      </c>
    </row>
    <row r="294" spans="1:17">
      <c r="A294" s="1726" t="s">
        <v>534</v>
      </c>
      <c r="B294" s="1589">
        <v>0</v>
      </c>
      <c r="C294" s="1589">
        <v>0</v>
      </c>
      <c r="D294" s="1589">
        <v>0</v>
      </c>
      <c r="E294" s="1589">
        <v>0</v>
      </c>
      <c r="F294" s="1589">
        <v>0</v>
      </c>
      <c r="G294" s="1589">
        <v>0</v>
      </c>
      <c r="H294" s="1589">
        <v>0</v>
      </c>
      <c r="I294" s="1589">
        <v>0</v>
      </c>
      <c r="J294" s="1589">
        <v>0</v>
      </c>
      <c r="K294" s="1589">
        <v>0</v>
      </c>
      <c r="L294" s="1589">
        <v>0</v>
      </c>
      <c r="M294" s="1589">
        <v>0</v>
      </c>
      <c r="N294" s="1589">
        <v>0</v>
      </c>
      <c r="O294" s="1589">
        <v>0</v>
      </c>
      <c r="P294" s="1589">
        <v>0</v>
      </c>
      <c r="Q294" s="1589">
        <v>0</v>
      </c>
    </row>
    <row r="295" spans="1:17">
      <c r="A295" s="1726" t="s">
        <v>536</v>
      </c>
      <c r="B295" s="1589">
        <v>0</v>
      </c>
      <c r="C295" s="1589">
        <v>0</v>
      </c>
      <c r="D295" s="1589">
        <v>0</v>
      </c>
      <c r="E295" s="1589">
        <v>0</v>
      </c>
      <c r="F295" s="1589">
        <v>0</v>
      </c>
      <c r="G295" s="1589">
        <v>0</v>
      </c>
      <c r="H295" s="1589">
        <v>0</v>
      </c>
      <c r="I295" s="1589">
        <v>0</v>
      </c>
      <c r="J295" s="1589">
        <v>0</v>
      </c>
      <c r="K295" s="1589">
        <v>0</v>
      </c>
      <c r="L295" s="1589">
        <v>0</v>
      </c>
      <c r="M295" s="1589">
        <v>0</v>
      </c>
      <c r="N295" s="1589">
        <v>0</v>
      </c>
      <c r="O295" s="1589">
        <v>0</v>
      </c>
      <c r="P295" s="1589">
        <v>0</v>
      </c>
      <c r="Q295" s="1589">
        <v>0</v>
      </c>
    </row>
    <row r="296" spans="1:17">
      <c r="A296" s="1726" t="s">
        <v>538</v>
      </c>
      <c r="B296" s="1589">
        <v>0</v>
      </c>
      <c r="C296" s="1589">
        <v>0</v>
      </c>
      <c r="D296" s="1589">
        <v>0</v>
      </c>
      <c r="E296" s="1589">
        <v>0</v>
      </c>
      <c r="F296" s="1589">
        <v>0</v>
      </c>
      <c r="G296" s="1589">
        <v>0</v>
      </c>
      <c r="H296" s="1589">
        <v>0</v>
      </c>
      <c r="I296" s="1589">
        <v>0</v>
      </c>
      <c r="J296" s="1589">
        <v>0</v>
      </c>
      <c r="K296" s="1589">
        <v>0</v>
      </c>
      <c r="L296" s="1589">
        <v>0</v>
      </c>
      <c r="M296" s="1589">
        <v>0</v>
      </c>
      <c r="N296" s="1589">
        <v>0</v>
      </c>
      <c r="O296" s="1589">
        <v>0</v>
      </c>
      <c r="P296" s="1589">
        <v>0</v>
      </c>
      <c r="Q296" s="1589">
        <v>0</v>
      </c>
    </row>
    <row r="297" spans="1:17">
      <c r="A297" s="1726" t="s">
        <v>540</v>
      </c>
      <c r="B297" s="1589">
        <v>0</v>
      </c>
      <c r="C297" s="1589">
        <v>0</v>
      </c>
      <c r="D297" s="1589">
        <v>0</v>
      </c>
      <c r="E297" s="1589">
        <v>0</v>
      </c>
      <c r="F297" s="1589">
        <v>0</v>
      </c>
      <c r="G297" s="1589">
        <v>0</v>
      </c>
      <c r="H297" s="1589">
        <v>0</v>
      </c>
      <c r="I297" s="1589">
        <v>0</v>
      </c>
      <c r="J297" s="1589">
        <v>0</v>
      </c>
      <c r="K297" s="1589">
        <v>0</v>
      </c>
      <c r="L297" s="1589">
        <v>0</v>
      </c>
      <c r="M297" s="1589">
        <v>0</v>
      </c>
      <c r="N297" s="1589">
        <v>0</v>
      </c>
      <c r="O297" s="1589">
        <v>0</v>
      </c>
      <c r="P297" s="1589">
        <v>0</v>
      </c>
      <c r="Q297" s="1589">
        <v>0</v>
      </c>
    </row>
    <row r="298" spans="1:17">
      <c r="A298" s="1725" t="s">
        <v>524</v>
      </c>
      <c r="B298" s="1589">
        <v>0</v>
      </c>
      <c r="C298" s="1589">
        <v>0</v>
      </c>
      <c r="D298" s="1589">
        <v>0</v>
      </c>
      <c r="E298" s="1589">
        <v>0</v>
      </c>
      <c r="F298" s="1589">
        <v>0</v>
      </c>
      <c r="G298" s="1589">
        <v>0</v>
      </c>
      <c r="H298" s="1589">
        <v>0</v>
      </c>
      <c r="I298" s="1589">
        <v>0</v>
      </c>
      <c r="J298" s="1589">
        <v>0</v>
      </c>
      <c r="K298" s="1589">
        <v>0</v>
      </c>
      <c r="L298" s="1589">
        <v>0</v>
      </c>
      <c r="M298" s="1589">
        <v>0</v>
      </c>
      <c r="N298" s="1589">
        <v>0</v>
      </c>
      <c r="O298" s="1589">
        <v>0</v>
      </c>
      <c r="P298" s="1589">
        <v>0</v>
      </c>
      <c r="Q298" s="1589">
        <v>0</v>
      </c>
    </row>
    <row r="299" spans="1:17">
      <c r="A299" s="1726" t="s">
        <v>525</v>
      </c>
      <c r="B299" s="1589">
        <v>0</v>
      </c>
      <c r="C299" s="1589">
        <v>0</v>
      </c>
      <c r="D299" s="1589">
        <v>0</v>
      </c>
      <c r="E299" s="1589">
        <v>0</v>
      </c>
      <c r="F299" s="1589">
        <v>0</v>
      </c>
      <c r="G299" s="1589">
        <v>0</v>
      </c>
      <c r="H299" s="1589">
        <v>0</v>
      </c>
      <c r="I299" s="1589">
        <v>0</v>
      </c>
      <c r="J299" s="1589">
        <v>0</v>
      </c>
      <c r="K299" s="1589">
        <v>0</v>
      </c>
      <c r="L299" s="1589">
        <v>0</v>
      </c>
      <c r="M299" s="1589">
        <v>0</v>
      </c>
      <c r="N299" s="1589">
        <v>0</v>
      </c>
      <c r="O299" s="1589">
        <v>0</v>
      </c>
      <c r="P299" s="1589">
        <v>0</v>
      </c>
      <c r="Q299" s="1589">
        <v>0</v>
      </c>
    </row>
    <row r="300" spans="1:17">
      <c r="A300" s="1726" t="s">
        <v>528</v>
      </c>
      <c r="B300" s="1589">
        <v>0</v>
      </c>
      <c r="C300" s="1589">
        <v>0</v>
      </c>
      <c r="D300" s="1589">
        <v>0</v>
      </c>
      <c r="E300" s="1589">
        <v>0</v>
      </c>
      <c r="F300" s="1589">
        <v>0</v>
      </c>
      <c r="G300" s="1589">
        <v>0</v>
      </c>
      <c r="H300" s="1589">
        <v>0</v>
      </c>
      <c r="I300" s="1589">
        <v>0</v>
      </c>
      <c r="J300" s="1589">
        <v>0</v>
      </c>
      <c r="K300" s="1589">
        <v>0</v>
      </c>
      <c r="L300" s="1589">
        <v>0</v>
      </c>
      <c r="M300" s="1589">
        <v>0</v>
      </c>
      <c r="N300" s="1589">
        <v>0</v>
      </c>
      <c r="O300" s="1589">
        <v>0</v>
      </c>
      <c r="P300" s="1589">
        <v>0</v>
      </c>
      <c r="Q300" s="1589">
        <v>0</v>
      </c>
    </row>
    <row r="301" spans="1:17">
      <c r="A301" s="1726" t="s">
        <v>530</v>
      </c>
      <c r="B301" s="1589">
        <v>0</v>
      </c>
      <c r="C301" s="1589">
        <v>0</v>
      </c>
      <c r="D301" s="1589">
        <v>0</v>
      </c>
      <c r="E301" s="1589">
        <v>0</v>
      </c>
      <c r="F301" s="1589">
        <v>0</v>
      </c>
      <c r="G301" s="1589">
        <v>0</v>
      </c>
      <c r="H301" s="1589">
        <v>0</v>
      </c>
      <c r="I301" s="1589">
        <v>0</v>
      </c>
      <c r="J301" s="1589">
        <v>0</v>
      </c>
      <c r="K301" s="1589">
        <v>0</v>
      </c>
      <c r="L301" s="1589">
        <v>0</v>
      </c>
      <c r="M301" s="1589">
        <v>0</v>
      </c>
      <c r="N301" s="1589">
        <v>0</v>
      </c>
      <c r="O301" s="1589">
        <v>0</v>
      </c>
      <c r="P301" s="1589">
        <v>0</v>
      </c>
      <c r="Q301" s="1589">
        <v>0</v>
      </c>
    </row>
    <row r="302" spans="1:17">
      <c r="A302" s="1726" t="s">
        <v>532</v>
      </c>
      <c r="B302" s="1589">
        <v>0</v>
      </c>
      <c r="C302" s="1589">
        <v>0</v>
      </c>
      <c r="D302" s="1589">
        <v>0</v>
      </c>
      <c r="E302" s="1589">
        <v>0</v>
      </c>
      <c r="F302" s="1589">
        <v>0</v>
      </c>
      <c r="G302" s="1589">
        <v>0</v>
      </c>
      <c r="H302" s="1589">
        <v>0</v>
      </c>
      <c r="I302" s="1589">
        <v>0</v>
      </c>
      <c r="J302" s="1589">
        <v>0</v>
      </c>
      <c r="K302" s="1589">
        <v>0</v>
      </c>
      <c r="L302" s="1589">
        <v>0</v>
      </c>
      <c r="M302" s="1589">
        <v>0</v>
      </c>
      <c r="N302" s="1589">
        <v>0</v>
      </c>
      <c r="O302" s="1589">
        <v>0</v>
      </c>
      <c r="P302" s="1589">
        <v>0</v>
      </c>
      <c r="Q302" s="1589">
        <v>0</v>
      </c>
    </row>
    <row r="303" spans="1:17">
      <c r="A303" s="1726" t="s">
        <v>534</v>
      </c>
      <c r="B303" s="1589">
        <v>0</v>
      </c>
      <c r="C303" s="1589">
        <v>0</v>
      </c>
      <c r="D303" s="1589">
        <v>0</v>
      </c>
      <c r="E303" s="1589">
        <v>0</v>
      </c>
      <c r="F303" s="1589">
        <v>0</v>
      </c>
      <c r="G303" s="1589">
        <v>0</v>
      </c>
      <c r="H303" s="1589">
        <v>0</v>
      </c>
      <c r="I303" s="1589">
        <v>0</v>
      </c>
      <c r="J303" s="1589">
        <v>0</v>
      </c>
      <c r="K303" s="1589">
        <v>0</v>
      </c>
      <c r="L303" s="1589">
        <v>0</v>
      </c>
      <c r="M303" s="1589">
        <v>0</v>
      </c>
      <c r="N303" s="1589">
        <v>0</v>
      </c>
      <c r="O303" s="1589">
        <v>0</v>
      </c>
      <c r="P303" s="1589">
        <v>0</v>
      </c>
      <c r="Q303" s="1589">
        <v>0</v>
      </c>
    </row>
    <row r="304" spans="1:17">
      <c r="A304" s="1726" t="s">
        <v>536</v>
      </c>
      <c r="B304" s="1589">
        <v>0</v>
      </c>
      <c r="C304" s="1589">
        <v>0</v>
      </c>
      <c r="D304" s="1589">
        <v>0</v>
      </c>
      <c r="E304" s="1589">
        <v>0</v>
      </c>
      <c r="F304" s="1589">
        <v>0</v>
      </c>
      <c r="G304" s="1589">
        <v>0</v>
      </c>
      <c r="H304" s="1589">
        <v>0</v>
      </c>
      <c r="I304" s="1589">
        <v>0</v>
      </c>
      <c r="J304" s="1589">
        <v>0</v>
      </c>
      <c r="K304" s="1589">
        <v>0</v>
      </c>
      <c r="L304" s="1589">
        <v>0</v>
      </c>
      <c r="M304" s="1589">
        <v>0</v>
      </c>
      <c r="N304" s="1589">
        <v>0</v>
      </c>
      <c r="O304" s="1589">
        <v>0</v>
      </c>
      <c r="P304" s="1589">
        <v>0</v>
      </c>
      <c r="Q304" s="1589">
        <v>0</v>
      </c>
    </row>
    <row r="305" spans="1:17">
      <c r="A305" s="1726" t="s">
        <v>538</v>
      </c>
      <c r="B305" s="1589">
        <v>0</v>
      </c>
      <c r="C305" s="1589">
        <v>0</v>
      </c>
      <c r="D305" s="1589">
        <v>0</v>
      </c>
      <c r="E305" s="1589">
        <v>0</v>
      </c>
      <c r="F305" s="1589">
        <v>0</v>
      </c>
      <c r="G305" s="1589">
        <v>0</v>
      </c>
      <c r="H305" s="1589">
        <v>0</v>
      </c>
      <c r="I305" s="1589">
        <v>0</v>
      </c>
      <c r="J305" s="1589">
        <v>0</v>
      </c>
      <c r="K305" s="1589">
        <v>0</v>
      </c>
      <c r="L305" s="1589">
        <v>0</v>
      </c>
      <c r="M305" s="1589">
        <v>0</v>
      </c>
      <c r="N305" s="1589">
        <v>0</v>
      </c>
      <c r="O305" s="1589">
        <v>0</v>
      </c>
      <c r="P305" s="1589">
        <v>0</v>
      </c>
      <c r="Q305" s="1589">
        <v>0</v>
      </c>
    </row>
    <row r="306" spans="1:17">
      <c r="A306" s="1726" t="s">
        <v>540</v>
      </c>
      <c r="B306" s="1589">
        <v>0</v>
      </c>
      <c r="C306" s="1589">
        <v>0</v>
      </c>
      <c r="D306" s="1589">
        <v>0</v>
      </c>
      <c r="E306" s="1589">
        <v>0</v>
      </c>
      <c r="F306" s="1589">
        <v>0</v>
      </c>
      <c r="G306" s="1589">
        <v>0</v>
      </c>
      <c r="H306" s="1589">
        <v>0</v>
      </c>
      <c r="I306" s="1589">
        <v>0</v>
      </c>
      <c r="J306" s="1589">
        <v>0</v>
      </c>
      <c r="K306" s="1589">
        <v>0</v>
      </c>
      <c r="L306" s="1589">
        <v>0</v>
      </c>
      <c r="M306" s="1589">
        <v>0</v>
      </c>
      <c r="N306" s="1589">
        <v>0</v>
      </c>
      <c r="O306" s="1589">
        <v>0</v>
      </c>
      <c r="P306" s="1589">
        <v>0</v>
      </c>
      <c r="Q306" s="1589">
        <v>0</v>
      </c>
    </row>
    <row r="307" spans="1:17">
      <c r="A307" s="1588" t="s">
        <v>3085</v>
      </c>
      <c r="B307" s="1589">
        <v>0</v>
      </c>
      <c r="C307" s="1589">
        <v>0</v>
      </c>
      <c r="D307" s="1589">
        <v>0</v>
      </c>
      <c r="E307" s="1589">
        <v>0</v>
      </c>
      <c r="F307" s="1589">
        <v>0</v>
      </c>
      <c r="G307" s="1589">
        <v>0</v>
      </c>
      <c r="H307" s="1589">
        <v>0</v>
      </c>
      <c r="I307" s="1589">
        <v>0</v>
      </c>
      <c r="J307" s="1589">
        <v>0</v>
      </c>
      <c r="K307" s="1589">
        <v>0</v>
      </c>
      <c r="L307" s="1589">
        <v>0</v>
      </c>
      <c r="M307" s="1589">
        <v>0</v>
      </c>
      <c r="N307" s="1589">
        <v>0</v>
      </c>
      <c r="O307" s="1589">
        <v>0</v>
      </c>
      <c r="P307" s="1589">
        <v>0</v>
      </c>
      <c r="Q307" s="1589">
        <v>0</v>
      </c>
    </row>
    <row r="308" spans="1:17">
      <c r="A308" s="1725" t="s">
        <v>3086</v>
      </c>
      <c r="B308" s="1589">
        <v>0</v>
      </c>
      <c r="C308" s="1589">
        <v>0</v>
      </c>
      <c r="D308" s="1589">
        <v>0</v>
      </c>
      <c r="E308" s="1589">
        <v>0</v>
      </c>
      <c r="F308" s="1589">
        <v>0</v>
      </c>
      <c r="G308" s="1589">
        <v>0</v>
      </c>
      <c r="H308" s="1589">
        <v>0</v>
      </c>
      <c r="I308" s="1589">
        <v>0</v>
      </c>
      <c r="J308" s="1589">
        <v>0</v>
      </c>
      <c r="K308" s="1589">
        <v>0</v>
      </c>
      <c r="L308" s="1589">
        <v>0</v>
      </c>
      <c r="M308" s="1589">
        <v>0</v>
      </c>
      <c r="N308" s="1589">
        <v>0</v>
      </c>
      <c r="O308" s="1589">
        <v>0</v>
      </c>
      <c r="P308" s="1589">
        <v>0</v>
      </c>
      <c r="Q308" s="1589">
        <v>0</v>
      </c>
    </row>
    <row r="309" spans="1:17">
      <c r="A309" s="1726" t="s">
        <v>651</v>
      </c>
      <c r="B309" s="1589">
        <v>0</v>
      </c>
      <c r="C309" s="1589">
        <v>0</v>
      </c>
      <c r="D309" s="1589">
        <v>0</v>
      </c>
      <c r="E309" s="1589">
        <v>0</v>
      </c>
      <c r="F309" s="1589">
        <v>0</v>
      </c>
      <c r="G309" s="1589">
        <v>0</v>
      </c>
      <c r="H309" s="1589">
        <v>0</v>
      </c>
      <c r="I309" s="1589">
        <v>0</v>
      </c>
      <c r="J309" s="1589">
        <v>0</v>
      </c>
      <c r="K309" s="1589">
        <v>0</v>
      </c>
      <c r="L309" s="1589">
        <v>0</v>
      </c>
      <c r="M309" s="1589">
        <v>0</v>
      </c>
      <c r="N309" s="1589">
        <v>0</v>
      </c>
      <c r="O309" s="1589">
        <v>0</v>
      </c>
      <c r="P309" s="1589">
        <v>0</v>
      </c>
      <c r="Q309" s="1589">
        <v>0</v>
      </c>
    </row>
    <row r="310" spans="1:17">
      <c r="A310" s="1726" t="s">
        <v>595</v>
      </c>
      <c r="B310" s="1589">
        <v>0</v>
      </c>
      <c r="C310" s="1589">
        <v>0</v>
      </c>
      <c r="D310" s="1589">
        <v>0</v>
      </c>
      <c r="E310" s="1589">
        <v>0</v>
      </c>
      <c r="F310" s="1589">
        <v>0</v>
      </c>
      <c r="G310" s="1589">
        <v>0</v>
      </c>
      <c r="H310" s="1589">
        <v>0</v>
      </c>
      <c r="I310" s="1589">
        <v>0</v>
      </c>
      <c r="J310" s="1589">
        <v>0</v>
      </c>
      <c r="K310" s="1589">
        <v>0</v>
      </c>
      <c r="L310" s="1589">
        <v>0</v>
      </c>
      <c r="M310" s="1589">
        <v>0</v>
      </c>
      <c r="N310" s="1589">
        <v>0</v>
      </c>
      <c r="O310" s="1589">
        <v>0</v>
      </c>
      <c r="P310" s="1589">
        <v>0</v>
      </c>
      <c r="Q310" s="1589">
        <v>0</v>
      </c>
    </row>
    <row r="311" spans="1:17">
      <c r="A311" s="1726" t="s">
        <v>597</v>
      </c>
      <c r="B311" s="1589">
        <v>0</v>
      </c>
      <c r="C311" s="1589">
        <v>0</v>
      </c>
      <c r="D311" s="1589">
        <v>0</v>
      </c>
      <c r="E311" s="1589">
        <v>0</v>
      </c>
      <c r="F311" s="1589">
        <v>0</v>
      </c>
      <c r="G311" s="1589">
        <v>0</v>
      </c>
      <c r="H311" s="1589">
        <v>0</v>
      </c>
      <c r="I311" s="1589">
        <v>0</v>
      </c>
      <c r="J311" s="1589">
        <v>0</v>
      </c>
      <c r="K311" s="1589">
        <v>0</v>
      </c>
      <c r="L311" s="1589">
        <v>0</v>
      </c>
      <c r="M311" s="1589">
        <v>0</v>
      </c>
      <c r="N311" s="1589">
        <v>0</v>
      </c>
      <c r="O311" s="1589">
        <v>0</v>
      </c>
      <c r="P311" s="1589">
        <v>0</v>
      </c>
      <c r="Q311" s="1589">
        <v>0</v>
      </c>
    </row>
    <row r="312" spans="1:17">
      <c r="A312" s="1726" t="s">
        <v>593</v>
      </c>
      <c r="B312" s="1589">
        <v>0</v>
      </c>
      <c r="C312" s="1589">
        <v>0</v>
      </c>
      <c r="D312" s="1589">
        <v>0</v>
      </c>
      <c r="E312" s="1589">
        <v>0</v>
      </c>
      <c r="F312" s="1589">
        <v>0</v>
      </c>
      <c r="G312" s="1589">
        <v>0</v>
      </c>
      <c r="H312" s="1589">
        <v>0</v>
      </c>
      <c r="I312" s="1589">
        <v>0</v>
      </c>
      <c r="J312" s="1589">
        <v>0</v>
      </c>
      <c r="K312" s="1589">
        <v>0</v>
      </c>
      <c r="L312" s="1589">
        <v>0</v>
      </c>
      <c r="M312" s="1589">
        <v>0</v>
      </c>
      <c r="N312" s="1589">
        <v>0</v>
      </c>
      <c r="O312" s="1589">
        <v>0</v>
      </c>
      <c r="P312" s="1589">
        <v>0</v>
      </c>
      <c r="Q312" s="1589">
        <v>0</v>
      </c>
    </row>
    <row r="313" spans="1:17">
      <c r="A313" s="1726" t="s">
        <v>586</v>
      </c>
      <c r="B313" s="1589">
        <v>0</v>
      </c>
      <c r="C313" s="1589">
        <v>0</v>
      </c>
      <c r="D313" s="1589">
        <v>0</v>
      </c>
      <c r="E313" s="1589">
        <v>0</v>
      </c>
      <c r="F313" s="1589">
        <v>0</v>
      </c>
      <c r="G313" s="1589">
        <v>0</v>
      </c>
      <c r="H313" s="1589">
        <v>0</v>
      </c>
      <c r="I313" s="1589">
        <v>0</v>
      </c>
      <c r="J313" s="1589">
        <v>0</v>
      </c>
      <c r="K313" s="1589">
        <v>0</v>
      </c>
      <c r="L313" s="1589">
        <v>0</v>
      </c>
      <c r="M313" s="1589">
        <v>0</v>
      </c>
      <c r="N313" s="1589">
        <v>0</v>
      </c>
      <c r="O313" s="1589">
        <v>0</v>
      </c>
      <c r="P313" s="1589">
        <v>0</v>
      </c>
      <c r="Q313" s="1589">
        <v>0</v>
      </c>
    </row>
    <row r="314" spans="1:17">
      <c r="A314" s="1726" t="s">
        <v>528</v>
      </c>
      <c r="B314" s="1589">
        <v>0</v>
      </c>
      <c r="C314" s="1589">
        <v>0</v>
      </c>
      <c r="D314" s="1589">
        <v>0</v>
      </c>
      <c r="E314" s="1589">
        <v>0</v>
      </c>
      <c r="F314" s="1589">
        <v>0</v>
      </c>
      <c r="G314" s="1589">
        <v>0</v>
      </c>
      <c r="H314" s="1589">
        <v>0</v>
      </c>
      <c r="I314" s="1589">
        <v>0</v>
      </c>
      <c r="J314" s="1589">
        <v>0</v>
      </c>
      <c r="K314" s="1589">
        <v>0</v>
      </c>
      <c r="L314" s="1589">
        <v>0</v>
      </c>
      <c r="M314" s="1589">
        <v>0</v>
      </c>
      <c r="N314" s="1589">
        <v>0</v>
      </c>
      <c r="O314" s="1589">
        <v>0</v>
      </c>
      <c r="P314" s="1589">
        <v>0</v>
      </c>
      <c r="Q314" s="1589">
        <v>0</v>
      </c>
    </row>
    <row r="315" spans="1:17">
      <c r="A315" s="1726" t="s">
        <v>530</v>
      </c>
      <c r="B315" s="1589">
        <v>0</v>
      </c>
      <c r="C315" s="1589">
        <v>0</v>
      </c>
      <c r="D315" s="1589">
        <v>0</v>
      </c>
      <c r="E315" s="1589">
        <v>0</v>
      </c>
      <c r="F315" s="1589">
        <v>0</v>
      </c>
      <c r="G315" s="1589">
        <v>0</v>
      </c>
      <c r="H315" s="1589">
        <v>0</v>
      </c>
      <c r="I315" s="1589">
        <v>0</v>
      </c>
      <c r="J315" s="1589">
        <v>0</v>
      </c>
      <c r="K315" s="1589">
        <v>0</v>
      </c>
      <c r="L315" s="1589">
        <v>0</v>
      </c>
      <c r="M315" s="1589">
        <v>0</v>
      </c>
      <c r="N315" s="1589">
        <v>0</v>
      </c>
      <c r="O315" s="1589">
        <v>0</v>
      </c>
      <c r="P315" s="1589">
        <v>0</v>
      </c>
      <c r="Q315" s="1589">
        <v>0</v>
      </c>
    </row>
    <row r="316" spans="1:17">
      <c r="A316" s="1726" t="s">
        <v>532</v>
      </c>
      <c r="B316" s="1589">
        <v>0</v>
      </c>
      <c r="C316" s="1589">
        <v>0</v>
      </c>
      <c r="D316" s="1589">
        <v>0</v>
      </c>
      <c r="E316" s="1589">
        <v>0</v>
      </c>
      <c r="F316" s="1589">
        <v>0</v>
      </c>
      <c r="G316" s="1589">
        <v>0</v>
      </c>
      <c r="H316" s="1589">
        <v>0</v>
      </c>
      <c r="I316" s="1589">
        <v>0</v>
      </c>
      <c r="J316" s="1589">
        <v>0</v>
      </c>
      <c r="K316" s="1589">
        <v>0</v>
      </c>
      <c r="L316" s="1589">
        <v>0</v>
      </c>
      <c r="M316" s="1589">
        <v>0</v>
      </c>
      <c r="N316" s="1589">
        <v>0</v>
      </c>
      <c r="O316" s="1589">
        <v>0</v>
      </c>
      <c r="P316" s="1589">
        <v>0</v>
      </c>
      <c r="Q316" s="1589">
        <v>0</v>
      </c>
    </row>
    <row r="317" spans="1:17">
      <c r="A317" s="1726" t="s">
        <v>534</v>
      </c>
      <c r="B317" s="1589">
        <v>0</v>
      </c>
      <c r="C317" s="1589">
        <v>0</v>
      </c>
      <c r="D317" s="1589">
        <v>0</v>
      </c>
      <c r="E317" s="1589">
        <v>0</v>
      </c>
      <c r="F317" s="1589">
        <v>0</v>
      </c>
      <c r="G317" s="1589">
        <v>0</v>
      </c>
      <c r="H317" s="1589">
        <v>0</v>
      </c>
      <c r="I317" s="1589">
        <v>0</v>
      </c>
      <c r="J317" s="1589">
        <v>0</v>
      </c>
      <c r="K317" s="1589">
        <v>0</v>
      </c>
      <c r="L317" s="1589">
        <v>0</v>
      </c>
      <c r="M317" s="1589">
        <v>0</v>
      </c>
      <c r="N317" s="1589">
        <v>0</v>
      </c>
      <c r="O317" s="1589">
        <v>0</v>
      </c>
      <c r="P317" s="1589">
        <v>0</v>
      </c>
      <c r="Q317" s="1589">
        <v>0</v>
      </c>
    </row>
    <row r="318" spans="1:17">
      <c r="A318" s="1726" t="s">
        <v>536</v>
      </c>
      <c r="B318" s="1589">
        <v>0</v>
      </c>
      <c r="C318" s="1589">
        <v>0</v>
      </c>
      <c r="D318" s="1589">
        <v>0</v>
      </c>
      <c r="E318" s="1589">
        <v>0</v>
      </c>
      <c r="F318" s="1589">
        <v>0</v>
      </c>
      <c r="G318" s="1589">
        <v>0</v>
      </c>
      <c r="H318" s="1589">
        <v>0</v>
      </c>
      <c r="I318" s="1589">
        <v>0</v>
      </c>
      <c r="J318" s="1589">
        <v>0</v>
      </c>
      <c r="K318" s="1589">
        <v>0</v>
      </c>
      <c r="L318" s="1589">
        <v>0</v>
      </c>
      <c r="M318" s="1589">
        <v>0</v>
      </c>
      <c r="N318" s="1589">
        <v>0</v>
      </c>
      <c r="O318" s="1589">
        <v>0</v>
      </c>
      <c r="P318" s="1589">
        <v>0</v>
      </c>
      <c r="Q318" s="1589">
        <v>0</v>
      </c>
    </row>
    <row r="319" spans="1:17">
      <c r="A319" s="1726" t="s">
        <v>538</v>
      </c>
      <c r="B319" s="1589">
        <v>0</v>
      </c>
      <c r="C319" s="1589">
        <v>0</v>
      </c>
      <c r="D319" s="1589">
        <v>0</v>
      </c>
      <c r="E319" s="1589">
        <v>0</v>
      </c>
      <c r="F319" s="1589">
        <v>0</v>
      </c>
      <c r="G319" s="1589">
        <v>0</v>
      </c>
      <c r="H319" s="1589">
        <v>0</v>
      </c>
      <c r="I319" s="1589">
        <v>0</v>
      </c>
      <c r="J319" s="1589">
        <v>0</v>
      </c>
      <c r="K319" s="1589">
        <v>0</v>
      </c>
      <c r="L319" s="1589">
        <v>0</v>
      </c>
      <c r="M319" s="1589">
        <v>0</v>
      </c>
      <c r="N319" s="1589">
        <v>0</v>
      </c>
      <c r="O319" s="1589">
        <v>0</v>
      </c>
      <c r="P319" s="1589">
        <v>0</v>
      </c>
      <c r="Q319" s="1589">
        <v>0</v>
      </c>
    </row>
    <row r="320" spans="1:17">
      <c r="A320" s="1726" t="s">
        <v>540</v>
      </c>
      <c r="B320" s="1589">
        <v>0</v>
      </c>
      <c r="C320" s="1589">
        <v>0</v>
      </c>
      <c r="D320" s="1589">
        <v>0</v>
      </c>
      <c r="E320" s="1589">
        <v>0</v>
      </c>
      <c r="F320" s="1589">
        <v>0</v>
      </c>
      <c r="G320" s="1589">
        <v>0</v>
      </c>
      <c r="H320" s="1589">
        <v>0</v>
      </c>
      <c r="I320" s="1589">
        <v>0</v>
      </c>
      <c r="J320" s="1589">
        <v>0</v>
      </c>
      <c r="K320" s="1589">
        <v>0</v>
      </c>
      <c r="L320" s="1589">
        <v>0</v>
      </c>
      <c r="M320" s="1589">
        <v>0</v>
      </c>
      <c r="N320" s="1589">
        <v>0</v>
      </c>
      <c r="O320" s="1589">
        <v>0</v>
      </c>
      <c r="P320" s="1589">
        <v>0</v>
      </c>
      <c r="Q320" s="1589">
        <v>0</v>
      </c>
    </row>
    <row r="321" spans="1:17">
      <c r="A321" s="1588" t="s">
        <v>4286</v>
      </c>
      <c r="B321" s="1589">
        <v>0</v>
      </c>
      <c r="C321" s="1589">
        <v>1098082.5564000001</v>
      </c>
      <c r="D321" s="1589">
        <v>1401685.7000000002</v>
      </c>
      <c r="E321" s="1589">
        <v>0</v>
      </c>
      <c r="F321" s="1589">
        <v>2499768.2563999998</v>
      </c>
      <c r="G321" s="1589">
        <v>0</v>
      </c>
      <c r="H321" s="1589">
        <v>2377995.4246</v>
      </c>
      <c r="I321" s="1589">
        <v>0</v>
      </c>
      <c r="J321" s="1589">
        <v>0</v>
      </c>
      <c r="K321" s="1589">
        <v>2377995.4246</v>
      </c>
      <c r="L321" s="1589">
        <v>0</v>
      </c>
      <c r="M321" s="1589">
        <v>2553566.3198000002</v>
      </c>
      <c r="N321" s="1589">
        <v>0</v>
      </c>
      <c r="O321" s="1589">
        <v>0</v>
      </c>
      <c r="P321" s="1589">
        <v>2553566.3198000002</v>
      </c>
      <c r="Q321" s="1589">
        <v>7431330.0008000005</v>
      </c>
    </row>
  </sheetData>
  <sheetProtection pivotTables="0"/>
  <pageMargins left="0.7" right="0.7" top="0.75" bottom="0.75" header="0.3" footer="0.3"/>
  <pageSetup orientation="portrait" horizontalDpi="90" verticalDpi="9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0" tint="-0.499984740745262"/>
  </sheetPr>
  <dimension ref="A1:Q670"/>
  <sheetViews>
    <sheetView showGridLines="0" topLeftCell="G626" zoomScale="48" zoomScaleNormal="48" workbookViewId="0">
      <selection activeCell="K583" sqref="K583"/>
    </sheetView>
  </sheetViews>
  <sheetFormatPr baseColWidth="10" defaultColWidth="11.26953125" defaultRowHeight="13"/>
  <cols>
    <col min="1" max="1" width="95.08984375" style="7" bestFit="1" customWidth="1"/>
    <col min="2" max="2" width="24.7265625" style="7" bestFit="1" customWidth="1"/>
    <col min="3" max="3" width="25.08984375" style="7" bestFit="1" customWidth="1"/>
    <col min="4" max="5" width="23.7265625" style="7" bestFit="1" customWidth="1"/>
    <col min="6" max="6" width="32.6328125" style="7" bestFit="1" customWidth="1"/>
    <col min="7" max="10" width="23.7265625" style="7" bestFit="1" customWidth="1"/>
    <col min="11" max="11" width="33.08984375" style="7" bestFit="1" customWidth="1"/>
    <col min="12" max="12" width="23.7265625" style="7" bestFit="1" customWidth="1"/>
    <col min="13" max="13" width="24.90625" style="7" bestFit="1" customWidth="1"/>
    <col min="14" max="14" width="24.54296875" style="7" bestFit="1" customWidth="1"/>
    <col min="15" max="15" width="24.90625" style="7" bestFit="1" customWidth="1"/>
    <col min="16" max="16" width="33.08984375" style="7" bestFit="1" customWidth="1"/>
    <col min="17" max="17" width="35.08984375" style="7" bestFit="1" customWidth="1"/>
    <col min="18" max="16384" width="11.26953125" style="7"/>
  </cols>
  <sheetData>
    <row r="1" spans="1:17">
      <c r="A1" s="1587" t="s">
        <v>686</v>
      </c>
      <c r="B1" s="7" t="s">
        <v>4287</v>
      </c>
    </row>
    <row r="3" spans="1:17">
      <c r="A3" s="1587" t="s">
        <v>4285</v>
      </c>
      <c r="B3" s="7" t="s">
        <v>2645</v>
      </c>
      <c r="C3" s="7" t="s">
        <v>2646</v>
      </c>
      <c r="D3" s="7" t="s">
        <v>2647</v>
      </c>
      <c r="E3" s="7" t="s">
        <v>2648</v>
      </c>
      <c r="F3" s="7" t="s">
        <v>2543</v>
      </c>
      <c r="G3" s="7" t="s">
        <v>2649</v>
      </c>
      <c r="H3" s="7" t="s">
        <v>2650</v>
      </c>
      <c r="I3" s="7" t="s">
        <v>2651</v>
      </c>
      <c r="J3" s="7" t="s">
        <v>2652</v>
      </c>
      <c r="K3" s="7" t="s">
        <v>2544</v>
      </c>
      <c r="L3" s="7" t="s">
        <v>2653</v>
      </c>
      <c r="M3" s="7" t="s">
        <v>2654</v>
      </c>
      <c r="N3" s="7" t="s">
        <v>2655</v>
      </c>
      <c r="O3" s="7" t="s">
        <v>2656</v>
      </c>
      <c r="P3" s="7" t="s">
        <v>2545</v>
      </c>
      <c r="Q3" s="7" t="s">
        <v>2546</v>
      </c>
    </row>
    <row r="4" spans="1:17">
      <c r="A4" s="1588" t="s">
        <v>598</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725" t="s">
        <v>599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726">
        <v>0</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727" t="s">
        <v>600</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727" t="s">
        <v>603</v>
      </c>
      <c r="B8" s="1589">
        <v>0</v>
      </c>
      <c r="C8" s="1589">
        <v>0</v>
      </c>
      <c r="D8" s="1589">
        <v>0</v>
      </c>
      <c r="E8" s="1589">
        <v>0</v>
      </c>
      <c r="F8" s="1589">
        <v>0</v>
      </c>
      <c r="G8" s="1589">
        <v>0</v>
      </c>
      <c r="H8" s="1589">
        <v>0</v>
      </c>
      <c r="I8" s="1589">
        <v>0</v>
      </c>
      <c r="J8" s="1589">
        <v>0</v>
      </c>
      <c r="K8" s="1589">
        <v>0</v>
      </c>
      <c r="L8" s="1589">
        <v>0</v>
      </c>
      <c r="M8" s="1589">
        <v>0</v>
      </c>
      <c r="N8" s="1589">
        <v>0</v>
      </c>
      <c r="O8" s="1589">
        <v>0</v>
      </c>
      <c r="P8" s="1589">
        <v>0</v>
      </c>
      <c r="Q8" s="1589">
        <v>0</v>
      </c>
    </row>
    <row r="9" spans="1:17">
      <c r="A9" s="1727" t="s">
        <v>595</v>
      </c>
      <c r="B9" s="1589">
        <v>0</v>
      </c>
      <c r="C9" s="1589">
        <v>0</v>
      </c>
      <c r="D9" s="1589">
        <v>0</v>
      </c>
      <c r="E9" s="1589">
        <v>0</v>
      </c>
      <c r="F9" s="1589">
        <v>0</v>
      </c>
      <c r="G9" s="1589">
        <v>0</v>
      </c>
      <c r="H9" s="1589">
        <v>0</v>
      </c>
      <c r="I9" s="1589">
        <v>0</v>
      </c>
      <c r="J9" s="1589">
        <v>0</v>
      </c>
      <c r="K9" s="1589">
        <v>0</v>
      </c>
      <c r="L9" s="1589">
        <v>0</v>
      </c>
      <c r="M9" s="1589">
        <v>0</v>
      </c>
      <c r="N9" s="1589">
        <v>0</v>
      </c>
      <c r="O9" s="1589">
        <v>0</v>
      </c>
      <c r="P9" s="1589">
        <v>0</v>
      </c>
      <c r="Q9" s="1589">
        <v>0</v>
      </c>
    </row>
    <row r="10" spans="1:17">
      <c r="A10" s="1727" t="s">
        <v>597</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727" t="s">
        <v>1896</v>
      </c>
      <c r="B11" s="1589">
        <v>0</v>
      </c>
      <c r="C11" s="1589">
        <v>0</v>
      </c>
      <c r="D11" s="1589">
        <v>0</v>
      </c>
      <c r="E11" s="1589">
        <v>0</v>
      </c>
      <c r="F11" s="1589">
        <v>0</v>
      </c>
      <c r="G11" s="1589">
        <v>0</v>
      </c>
      <c r="H11" s="1589">
        <v>0</v>
      </c>
      <c r="I11" s="1589">
        <v>0</v>
      </c>
      <c r="J11" s="1589">
        <v>0</v>
      </c>
      <c r="K11" s="1589">
        <v>0</v>
      </c>
      <c r="L11" s="1589">
        <v>0</v>
      </c>
      <c r="M11" s="1589">
        <v>0</v>
      </c>
      <c r="N11" s="1589">
        <v>0</v>
      </c>
      <c r="O11" s="1589">
        <v>0</v>
      </c>
      <c r="P11" s="1589">
        <v>0</v>
      </c>
      <c r="Q11" s="1589">
        <v>0</v>
      </c>
    </row>
    <row r="12" spans="1:17">
      <c r="A12" s="1727" t="s">
        <v>593</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727" t="s">
        <v>586</v>
      </c>
      <c r="B13" s="1589">
        <v>0</v>
      </c>
      <c r="C13" s="1589">
        <v>0</v>
      </c>
      <c r="D13" s="1589">
        <v>0</v>
      </c>
      <c r="E13" s="1589">
        <v>0</v>
      </c>
      <c r="F13" s="1589">
        <v>0</v>
      </c>
      <c r="G13" s="1589">
        <v>0</v>
      </c>
      <c r="H13" s="1589">
        <v>0</v>
      </c>
      <c r="I13" s="1589">
        <v>0</v>
      </c>
      <c r="J13" s="1589">
        <v>0</v>
      </c>
      <c r="K13" s="1589">
        <v>0</v>
      </c>
      <c r="L13" s="1589">
        <v>0</v>
      </c>
      <c r="M13" s="1589">
        <v>0</v>
      </c>
      <c r="N13" s="1589">
        <v>0</v>
      </c>
      <c r="O13" s="1589">
        <v>0</v>
      </c>
      <c r="P13" s="1589">
        <v>0</v>
      </c>
      <c r="Q13" s="1589">
        <v>0</v>
      </c>
    </row>
    <row r="14" spans="1:17">
      <c r="A14" s="1727" t="s">
        <v>528</v>
      </c>
      <c r="B14" s="1589">
        <v>0</v>
      </c>
      <c r="C14" s="1589">
        <v>0</v>
      </c>
      <c r="D14" s="1589">
        <v>0</v>
      </c>
      <c r="E14" s="1589">
        <v>0</v>
      </c>
      <c r="F14" s="1589">
        <v>0</v>
      </c>
      <c r="G14" s="1589">
        <v>0</v>
      </c>
      <c r="H14" s="1589">
        <v>0</v>
      </c>
      <c r="I14" s="1589">
        <v>0</v>
      </c>
      <c r="J14" s="1589">
        <v>0</v>
      </c>
      <c r="K14" s="1589">
        <v>0</v>
      </c>
      <c r="L14" s="1589">
        <v>0</v>
      </c>
      <c r="M14" s="1589">
        <v>0</v>
      </c>
      <c r="N14" s="1589">
        <v>0</v>
      </c>
      <c r="O14" s="1589">
        <v>0</v>
      </c>
      <c r="P14" s="1589">
        <v>0</v>
      </c>
      <c r="Q14" s="1589">
        <v>0</v>
      </c>
    </row>
    <row r="15" spans="1:17">
      <c r="A15" s="1727" t="s">
        <v>530</v>
      </c>
      <c r="B15" s="1589">
        <v>0</v>
      </c>
      <c r="C15" s="1589">
        <v>0</v>
      </c>
      <c r="D15" s="1589">
        <v>0</v>
      </c>
      <c r="E15" s="1589">
        <v>0</v>
      </c>
      <c r="F15" s="1589">
        <v>0</v>
      </c>
      <c r="G15" s="1589">
        <v>0</v>
      </c>
      <c r="H15" s="1589">
        <v>0</v>
      </c>
      <c r="I15" s="1589">
        <v>0</v>
      </c>
      <c r="J15" s="1589">
        <v>0</v>
      </c>
      <c r="K15" s="1589">
        <v>0</v>
      </c>
      <c r="L15" s="1589">
        <v>0</v>
      </c>
      <c r="M15" s="1589">
        <v>0</v>
      </c>
      <c r="N15" s="1589">
        <v>0</v>
      </c>
      <c r="O15" s="1589">
        <v>0</v>
      </c>
      <c r="P15" s="1589">
        <v>0</v>
      </c>
      <c r="Q15" s="1589">
        <v>0</v>
      </c>
    </row>
    <row r="16" spans="1:17">
      <c r="A16" s="1727" t="s">
        <v>532</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17">
      <c r="A17" s="1727" t="s">
        <v>534</v>
      </c>
      <c r="B17" s="1589">
        <v>0</v>
      </c>
      <c r="C17" s="1589">
        <v>0</v>
      </c>
      <c r="D17" s="1589">
        <v>0</v>
      </c>
      <c r="E17" s="1589">
        <v>0</v>
      </c>
      <c r="F17" s="1589">
        <v>0</v>
      </c>
      <c r="G17" s="1589">
        <v>0</v>
      </c>
      <c r="H17" s="1589">
        <v>0</v>
      </c>
      <c r="I17" s="1589">
        <v>0</v>
      </c>
      <c r="J17" s="1589">
        <v>0</v>
      </c>
      <c r="K17" s="1589">
        <v>0</v>
      </c>
      <c r="L17" s="1589">
        <v>0</v>
      </c>
      <c r="M17" s="1589">
        <v>0</v>
      </c>
      <c r="N17" s="1589">
        <v>0</v>
      </c>
      <c r="O17" s="1589">
        <v>0</v>
      </c>
      <c r="P17" s="1589">
        <v>0</v>
      </c>
      <c r="Q17" s="1589">
        <v>0</v>
      </c>
    </row>
    <row r="18" spans="1:17">
      <c r="A18" s="1727" t="s">
        <v>536</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row>
    <row r="19" spans="1:17">
      <c r="A19" s="1727" t="s">
        <v>538</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row>
    <row r="20" spans="1:17">
      <c r="A20" s="1727" t="s">
        <v>540</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row>
    <row r="21" spans="1:17">
      <c r="A21" s="1725" t="s">
        <v>606</v>
      </c>
      <c r="B21" s="1589">
        <v>0</v>
      </c>
      <c r="C21" s="1589">
        <v>0</v>
      </c>
      <c r="D21" s="1589">
        <v>0</v>
      </c>
      <c r="E21" s="1589">
        <v>0</v>
      </c>
      <c r="F21" s="1589">
        <v>0</v>
      </c>
      <c r="G21" s="1589">
        <v>0</v>
      </c>
      <c r="H21" s="1589">
        <v>0</v>
      </c>
      <c r="I21" s="1589">
        <v>0</v>
      </c>
      <c r="J21" s="1589">
        <v>0</v>
      </c>
      <c r="K21" s="1589">
        <v>0</v>
      </c>
      <c r="L21" s="1589">
        <v>0</v>
      </c>
      <c r="M21" s="1589">
        <v>0</v>
      </c>
      <c r="N21" s="1589">
        <v>0</v>
      </c>
      <c r="O21" s="1589">
        <v>0</v>
      </c>
      <c r="P21" s="1589">
        <v>0</v>
      </c>
      <c r="Q21" s="1589">
        <v>0</v>
      </c>
    </row>
    <row r="22" spans="1:17">
      <c r="A22" s="1726">
        <v>0</v>
      </c>
      <c r="B22" s="1589">
        <v>0</v>
      </c>
      <c r="C22" s="1589">
        <v>0</v>
      </c>
      <c r="D22" s="1589">
        <v>0</v>
      </c>
      <c r="E22" s="1589">
        <v>0</v>
      </c>
      <c r="F22" s="1589">
        <v>0</v>
      </c>
      <c r="G22" s="1589">
        <v>0</v>
      </c>
      <c r="H22" s="1589">
        <v>0</v>
      </c>
      <c r="I22" s="1589">
        <v>0</v>
      </c>
      <c r="J22" s="1589">
        <v>0</v>
      </c>
      <c r="K22" s="1589">
        <v>0</v>
      </c>
      <c r="L22" s="1589">
        <v>0</v>
      </c>
      <c r="M22" s="1589">
        <v>0</v>
      </c>
      <c r="N22" s="1589">
        <v>0</v>
      </c>
      <c r="O22" s="1589">
        <v>0</v>
      </c>
      <c r="P22" s="1589">
        <v>0</v>
      </c>
      <c r="Q22" s="1589">
        <v>0</v>
      </c>
    </row>
    <row r="23" spans="1:17">
      <c r="A23" s="1727" t="s">
        <v>600</v>
      </c>
      <c r="B23" s="1589">
        <v>0</v>
      </c>
      <c r="C23" s="1589">
        <v>0</v>
      </c>
      <c r="D23" s="1589">
        <v>0</v>
      </c>
      <c r="E23" s="1589">
        <v>0</v>
      </c>
      <c r="F23" s="1589">
        <v>0</v>
      </c>
      <c r="G23" s="1589">
        <v>0</v>
      </c>
      <c r="H23" s="1589">
        <v>0</v>
      </c>
      <c r="I23" s="1589">
        <v>0</v>
      </c>
      <c r="J23" s="1589">
        <v>0</v>
      </c>
      <c r="K23" s="1589">
        <v>0</v>
      </c>
      <c r="L23" s="1589">
        <v>0</v>
      </c>
      <c r="M23" s="1589">
        <v>0</v>
      </c>
      <c r="N23" s="1589">
        <v>0</v>
      </c>
      <c r="O23" s="1589">
        <v>0</v>
      </c>
      <c r="P23" s="1589">
        <v>0</v>
      </c>
      <c r="Q23" s="1589">
        <v>0</v>
      </c>
    </row>
    <row r="24" spans="1:17">
      <c r="A24" s="1727" t="s">
        <v>603</v>
      </c>
      <c r="B24" s="1589">
        <v>0</v>
      </c>
      <c r="C24" s="1589">
        <v>0</v>
      </c>
      <c r="D24" s="1589">
        <v>0</v>
      </c>
      <c r="E24" s="1589">
        <v>0</v>
      </c>
      <c r="F24" s="1589">
        <v>0</v>
      </c>
      <c r="G24" s="1589">
        <v>0</v>
      </c>
      <c r="H24" s="1589">
        <v>0</v>
      </c>
      <c r="I24" s="1589">
        <v>0</v>
      </c>
      <c r="J24" s="1589">
        <v>0</v>
      </c>
      <c r="K24" s="1589">
        <v>0</v>
      </c>
      <c r="L24" s="1589">
        <v>0</v>
      </c>
      <c r="M24" s="1589">
        <v>0</v>
      </c>
      <c r="N24" s="1589">
        <v>0</v>
      </c>
      <c r="O24" s="1589">
        <v>0</v>
      </c>
      <c r="P24" s="1589">
        <v>0</v>
      </c>
      <c r="Q24" s="1589">
        <v>0</v>
      </c>
    </row>
    <row r="25" spans="1:17">
      <c r="A25" s="1727" t="s">
        <v>528</v>
      </c>
      <c r="B25" s="1589">
        <v>0</v>
      </c>
      <c r="C25" s="1589">
        <v>0</v>
      </c>
      <c r="D25" s="1589">
        <v>0</v>
      </c>
      <c r="E25" s="1589">
        <v>0</v>
      </c>
      <c r="F25" s="1589">
        <v>0</v>
      </c>
      <c r="G25" s="1589">
        <v>0</v>
      </c>
      <c r="H25" s="1589">
        <v>0</v>
      </c>
      <c r="I25" s="1589">
        <v>0</v>
      </c>
      <c r="J25" s="1589">
        <v>0</v>
      </c>
      <c r="K25" s="1589">
        <v>0</v>
      </c>
      <c r="L25" s="1589">
        <v>0</v>
      </c>
      <c r="M25" s="1589">
        <v>0</v>
      </c>
      <c r="N25" s="1589">
        <v>0</v>
      </c>
      <c r="O25" s="1589">
        <v>0</v>
      </c>
      <c r="P25" s="1589">
        <v>0</v>
      </c>
      <c r="Q25" s="1589">
        <v>0</v>
      </c>
    </row>
    <row r="26" spans="1:17">
      <c r="A26" s="1727" t="s">
        <v>530</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row>
    <row r="27" spans="1:17">
      <c r="A27" s="1727" t="s">
        <v>532</v>
      </c>
      <c r="B27" s="1589">
        <v>0</v>
      </c>
      <c r="C27" s="1589">
        <v>0</v>
      </c>
      <c r="D27" s="1589">
        <v>0</v>
      </c>
      <c r="E27" s="1589">
        <v>0</v>
      </c>
      <c r="F27" s="1589">
        <v>0</v>
      </c>
      <c r="G27" s="1589">
        <v>0</v>
      </c>
      <c r="H27" s="1589">
        <v>0</v>
      </c>
      <c r="I27" s="1589">
        <v>0</v>
      </c>
      <c r="J27" s="1589">
        <v>0</v>
      </c>
      <c r="K27" s="1589">
        <v>0</v>
      </c>
      <c r="L27" s="1589">
        <v>0</v>
      </c>
      <c r="M27" s="1589">
        <v>0</v>
      </c>
      <c r="N27" s="1589">
        <v>0</v>
      </c>
      <c r="O27" s="1589">
        <v>0</v>
      </c>
      <c r="P27" s="1589">
        <v>0</v>
      </c>
      <c r="Q27" s="1589">
        <v>0</v>
      </c>
    </row>
    <row r="28" spans="1:17">
      <c r="A28" s="1727" t="s">
        <v>534</v>
      </c>
      <c r="B28" s="1589">
        <v>0</v>
      </c>
      <c r="C28" s="1589">
        <v>0</v>
      </c>
      <c r="D28" s="1589">
        <v>0</v>
      </c>
      <c r="E28" s="1589">
        <v>0</v>
      </c>
      <c r="F28" s="1589">
        <v>0</v>
      </c>
      <c r="G28" s="1589">
        <v>0</v>
      </c>
      <c r="H28" s="1589">
        <v>0</v>
      </c>
      <c r="I28" s="1589">
        <v>0</v>
      </c>
      <c r="J28" s="1589">
        <v>0</v>
      </c>
      <c r="K28" s="1589">
        <v>0</v>
      </c>
      <c r="L28" s="1589">
        <v>0</v>
      </c>
      <c r="M28" s="1589">
        <v>0</v>
      </c>
      <c r="N28" s="1589">
        <v>0</v>
      </c>
      <c r="O28" s="1589">
        <v>0</v>
      </c>
      <c r="P28" s="1589">
        <v>0</v>
      </c>
      <c r="Q28" s="1589">
        <v>0</v>
      </c>
    </row>
    <row r="29" spans="1:17">
      <c r="A29" s="1727" t="s">
        <v>536</v>
      </c>
      <c r="B29" s="1589">
        <v>0</v>
      </c>
      <c r="C29" s="1589">
        <v>0</v>
      </c>
      <c r="D29" s="1589">
        <v>0</v>
      </c>
      <c r="E29" s="1589">
        <v>0</v>
      </c>
      <c r="F29" s="1589">
        <v>0</v>
      </c>
      <c r="G29" s="1589">
        <v>0</v>
      </c>
      <c r="H29" s="1589">
        <v>0</v>
      </c>
      <c r="I29" s="1589">
        <v>0</v>
      </c>
      <c r="J29" s="1589">
        <v>0</v>
      </c>
      <c r="K29" s="1589">
        <v>0</v>
      </c>
      <c r="L29" s="1589">
        <v>0</v>
      </c>
      <c r="M29" s="1589">
        <v>0</v>
      </c>
      <c r="N29" s="1589">
        <v>0</v>
      </c>
      <c r="O29" s="1589">
        <v>0</v>
      </c>
      <c r="P29" s="1589">
        <v>0</v>
      </c>
      <c r="Q29" s="1589">
        <v>0</v>
      </c>
    </row>
    <row r="30" spans="1:17">
      <c r="A30" s="1727" t="s">
        <v>538</v>
      </c>
      <c r="B30" s="1589">
        <v>0</v>
      </c>
      <c r="C30" s="1589">
        <v>0</v>
      </c>
      <c r="D30" s="1589">
        <v>0</v>
      </c>
      <c r="E30" s="1589">
        <v>0</v>
      </c>
      <c r="F30" s="1589">
        <v>0</v>
      </c>
      <c r="G30" s="1589">
        <v>0</v>
      </c>
      <c r="H30" s="1589">
        <v>0</v>
      </c>
      <c r="I30" s="1589">
        <v>0</v>
      </c>
      <c r="J30" s="1589">
        <v>0</v>
      </c>
      <c r="K30" s="1589">
        <v>0</v>
      </c>
      <c r="L30" s="1589">
        <v>0</v>
      </c>
      <c r="M30" s="1589">
        <v>0</v>
      </c>
      <c r="N30" s="1589">
        <v>0</v>
      </c>
      <c r="O30" s="1589">
        <v>0</v>
      </c>
      <c r="P30" s="1589">
        <v>0</v>
      </c>
      <c r="Q30" s="1589">
        <v>0</v>
      </c>
    </row>
    <row r="31" spans="1:17">
      <c r="A31" s="1727" t="s">
        <v>540</v>
      </c>
      <c r="B31" s="1589">
        <v>0</v>
      </c>
      <c r="C31" s="1589">
        <v>0</v>
      </c>
      <c r="D31" s="1589">
        <v>0</v>
      </c>
      <c r="E31" s="1589">
        <v>0</v>
      </c>
      <c r="F31" s="1589">
        <v>0</v>
      </c>
      <c r="G31" s="1589">
        <v>0</v>
      </c>
      <c r="H31" s="1589">
        <v>0</v>
      </c>
      <c r="I31" s="1589">
        <v>0</v>
      </c>
      <c r="J31" s="1589">
        <v>0</v>
      </c>
      <c r="K31" s="1589">
        <v>0</v>
      </c>
      <c r="L31" s="1589">
        <v>0</v>
      </c>
      <c r="M31" s="1589">
        <v>0</v>
      </c>
      <c r="N31" s="1589">
        <v>0</v>
      </c>
      <c r="O31" s="1589">
        <v>0</v>
      </c>
      <c r="P31" s="1589">
        <v>0</v>
      </c>
      <c r="Q31" s="1589">
        <v>0</v>
      </c>
    </row>
    <row r="32" spans="1:17">
      <c r="A32" s="1725" t="s">
        <v>609</v>
      </c>
      <c r="B32" s="1589">
        <v>0</v>
      </c>
      <c r="C32" s="1589">
        <v>0</v>
      </c>
      <c r="D32" s="1589">
        <v>0</v>
      </c>
      <c r="E32" s="1589">
        <v>0</v>
      </c>
      <c r="F32" s="1589">
        <v>0</v>
      </c>
      <c r="G32" s="1589">
        <v>0</v>
      </c>
      <c r="H32" s="1589">
        <v>0</v>
      </c>
      <c r="I32" s="1589">
        <v>0</v>
      </c>
      <c r="J32" s="1589">
        <v>0</v>
      </c>
      <c r="K32" s="1589">
        <v>0</v>
      </c>
      <c r="L32" s="1589">
        <v>0</v>
      </c>
      <c r="M32" s="1589">
        <v>0</v>
      </c>
      <c r="N32" s="1589">
        <v>0</v>
      </c>
      <c r="O32" s="1589">
        <v>0</v>
      </c>
      <c r="P32" s="1589">
        <v>0</v>
      </c>
      <c r="Q32" s="1589">
        <v>0</v>
      </c>
    </row>
    <row r="33" spans="1:17">
      <c r="A33" s="1726">
        <v>0</v>
      </c>
      <c r="B33" s="1589">
        <v>0</v>
      </c>
      <c r="C33" s="1589">
        <v>0</v>
      </c>
      <c r="D33" s="1589">
        <v>0</v>
      </c>
      <c r="E33" s="1589">
        <v>0</v>
      </c>
      <c r="F33" s="1589">
        <v>0</v>
      </c>
      <c r="G33" s="1589">
        <v>0</v>
      </c>
      <c r="H33" s="1589">
        <v>0</v>
      </c>
      <c r="I33" s="1589">
        <v>0</v>
      </c>
      <c r="J33" s="1589">
        <v>0</v>
      </c>
      <c r="K33" s="1589">
        <v>0</v>
      </c>
      <c r="L33" s="1589">
        <v>0</v>
      </c>
      <c r="M33" s="1589">
        <v>0</v>
      </c>
      <c r="N33" s="1589">
        <v>0</v>
      </c>
      <c r="O33" s="1589">
        <v>0</v>
      </c>
      <c r="P33" s="1589">
        <v>0</v>
      </c>
      <c r="Q33" s="1589">
        <v>0</v>
      </c>
    </row>
    <row r="34" spans="1:17">
      <c r="A34" s="1727" t="s">
        <v>600</v>
      </c>
      <c r="B34" s="1589">
        <v>0</v>
      </c>
      <c r="C34" s="1589">
        <v>0</v>
      </c>
      <c r="D34" s="1589">
        <v>0</v>
      </c>
      <c r="E34" s="1589">
        <v>0</v>
      </c>
      <c r="F34" s="1589">
        <v>0</v>
      </c>
      <c r="G34" s="1589">
        <v>0</v>
      </c>
      <c r="H34" s="1589">
        <v>0</v>
      </c>
      <c r="I34" s="1589">
        <v>0</v>
      </c>
      <c r="J34" s="1589">
        <v>0</v>
      </c>
      <c r="K34" s="1589">
        <v>0</v>
      </c>
      <c r="L34" s="1589">
        <v>0</v>
      </c>
      <c r="M34" s="1589">
        <v>0</v>
      </c>
      <c r="N34" s="1589">
        <v>0</v>
      </c>
      <c r="O34" s="1589">
        <v>0</v>
      </c>
      <c r="P34" s="1589">
        <v>0</v>
      </c>
      <c r="Q34" s="1589">
        <v>0</v>
      </c>
    </row>
    <row r="35" spans="1:17">
      <c r="A35" s="1727" t="s">
        <v>603</v>
      </c>
      <c r="B35" s="1589">
        <v>0</v>
      </c>
      <c r="C35" s="1589">
        <v>0</v>
      </c>
      <c r="D35" s="1589">
        <v>0</v>
      </c>
      <c r="E35" s="1589">
        <v>0</v>
      </c>
      <c r="F35" s="1589">
        <v>0</v>
      </c>
      <c r="G35" s="1589">
        <v>0</v>
      </c>
      <c r="H35" s="1589">
        <v>0</v>
      </c>
      <c r="I35" s="1589">
        <v>0</v>
      </c>
      <c r="J35" s="1589">
        <v>0</v>
      </c>
      <c r="K35" s="1589">
        <v>0</v>
      </c>
      <c r="L35" s="1589">
        <v>0</v>
      </c>
      <c r="M35" s="1589">
        <v>0</v>
      </c>
      <c r="N35" s="1589">
        <v>0</v>
      </c>
      <c r="O35" s="1589">
        <v>0</v>
      </c>
      <c r="P35" s="1589">
        <v>0</v>
      </c>
      <c r="Q35" s="1589">
        <v>0</v>
      </c>
    </row>
    <row r="36" spans="1:17">
      <c r="A36" s="1727" t="s">
        <v>528</v>
      </c>
      <c r="B36" s="1589">
        <v>0</v>
      </c>
      <c r="C36" s="1589">
        <v>0</v>
      </c>
      <c r="D36" s="1589">
        <v>0</v>
      </c>
      <c r="E36" s="1589">
        <v>0</v>
      </c>
      <c r="F36" s="1589">
        <v>0</v>
      </c>
      <c r="G36" s="1589">
        <v>0</v>
      </c>
      <c r="H36" s="1589">
        <v>0</v>
      </c>
      <c r="I36" s="1589">
        <v>0</v>
      </c>
      <c r="J36" s="1589">
        <v>0</v>
      </c>
      <c r="K36" s="1589">
        <v>0</v>
      </c>
      <c r="L36" s="1589">
        <v>0</v>
      </c>
      <c r="M36" s="1589">
        <v>0</v>
      </c>
      <c r="N36" s="1589">
        <v>0</v>
      </c>
      <c r="O36" s="1589">
        <v>0</v>
      </c>
      <c r="P36" s="1589">
        <v>0</v>
      </c>
      <c r="Q36" s="1589">
        <v>0</v>
      </c>
    </row>
    <row r="37" spans="1:17">
      <c r="A37" s="1727" t="s">
        <v>530</v>
      </c>
      <c r="B37" s="1589">
        <v>0</v>
      </c>
      <c r="C37" s="1589">
        <v>0</v>
      </c>
      <c r="D37" s="1589">
        <v>0</v>
      </c>
      <c r="E37" s="1589">
        <v>0</v>
      </c>
      <c r="F37" s="1589">
        <v>0</v>
      </c>
      <c r="G37" s="1589">
        <v>0</v>
      </c>
      <c r="H37" s="1589">
        <v>0</v>
      </c>
      <c r="I37" s="1589">
        <v>0</v>
      </c>
      <c r="J37" s="1589">
        <v>0</v>
      </c>
      <c r="K37" s="1589">
        <v>0</v>
      </c>
      <c r="L37" s="1589">
        <v>0</v>
      </c>
      <c r="M37" s="1589">
        <v>0</v>
      </c>
      <c r="N37" s="1589">
        <v>0</v>
      </c>
      <c r="O37" s="1589">
        <v>0</v>
      </c>
      <c r="P37" s="1589">
        <v>0</v>
      </c>
      <c r="Q37" s="1589">
        <v>0</v>
      </c>
    </row>
    <row r="38" spans="1:17">
      <c r="A38" s="1727" t="s">
        <v>532</v>
      </c>
      <c r="B38" s="1589">
        <v>0</v>
      </c>
      <c r="C38" s="1589">
        <v>0</v>
      </c>
      <c r="D38" s="1589">
        <v>0</v>
      </c>
      <c r="E38" s="1589">
        <v>0</v>
      </c>
      <c r="F38" s="1589">
        <v>0</v>
      </c>
      <c r="G38" s="1589">
        <v>0</v>
      </c>
      <c r="H38" s="1589">
        <v>0</v>
      </c>
      <c r="I38" s="1589">
        <v>0</v>
      </c>
      <c r="J38" s="1589">
        <v>0</v>
      </c>
      <c r="K38" s="1589">
        <v>0</v>
      </c>
      <c r="L38" s="1589">
        <v>0</v>
      </c>
      <c r="M38" s="1589">
        <v>0</v>
      </c>
      <c r="N38" s="1589">
        <v>0</v>
      </c>
      <c r="O38" s="1589">
        <v>0</v>
      </c>
      <c r="P38" s="1589">
        <v>0</v>
      </c>
      <c r="Q38" s="1589">
        <v>0</v>
      </c>
    </row>
    <row r="39" spans="1:17">
      <c r="A39" s="1727" t="s">
        <v>534</v>
      </c>
      <c r="B39" s="1589">
        <v>0</v>
      </c>
      <c r="C39" s="1589">
        <v>0</v>
      </c>
      <c r="D39" s="1589">
        <v>0</v>
      </c>
      <c r="E39" s="1589">
        <v>0</v>
      </c>
      <c r="F39" s="1589">
        <v>0</v>
      </c>
      <c r="G39" s="1589">
        <v>0</v>
      </c>
      <c r="H39" s="1589">
        <v>0</v>
      </c>
      <c r="I39" s="1589">
        <v>0</v>
      </c>
      <c r="J39" s="1589">
        <v>0</v>
      </c>
      <c r="K39" s="1589">
        <v>0</v>
      </c>
      <c r="L39" s="1589">
        <v>0</v>
      </c>
      <c r="M39" s="1589">
        <v>0</v>
      </c>
      <c r="N39" s="1589">
        <v>0</v>
      </c>
      <c r="O39" s="1589">
        <v>0</v>
      </c>
      <c r="P39" s="1589">
        <v>0</v>
      </c>
      <c r="Q39" s="1589">
        <v>0</v>
      </c>
    </row>
    <row r="40" spans="1:17">
      <c r="A40" s="1727" t="s">
        <v>536</v>
      </c>
      <c r="B40" s="1589">
        <v>0</v>
      </c>
      <c r="C40" s="1589">
        <v>0</v>
      </c>
      <c r="D40" s="1589">
        <v>0</v>
      </c>
      <c r="E40" s="1589">
        <v>0</v>
      </c>
      <c r="F40" s="1589">
        <v>0</v>
      </c>
      <c r="G40" s="1589">
        <v>0</v>
      </c>
      <c r="H40" s="1589">
        <v>0</v>
      </c>
      <c r="I40" s="1589">
        <v>0</v>
      </c>
      <c r="J40" s="1589">
        <v>0</v>
      </c>
      <c r="K40" s="1589">
        <v>0</v>
      </c>
      <c r="L40" s="1589">
        <v>0</v>
      </c>
      <c r="M40" s="1589">
        <v>0</v>
      </c>
      <c r="N40" s="1589">
        <v>0</v>
      </c>
      <c r="O40" s="1589">
        <v>0</v>
      </c>
      <c r="P40" s="1589">
        <v>0</v>
      </c>
      <c r="Q40" s="1589">
        <v>0</v>
      </c>
    </row>
    <row r="41" spans="1:17">
      <c r="A41" s="1727" t="s">
        <v>538</v>
      </c>
      <c r="B41" s="1589">
        <v>0</v>
      </c>
      <c r="C41" s="1589">
        <v>0</v>
      </c>
      <c r="D41" s="1589">
        <v>0</v>
      </c>
      <c r="E41" s="1589">
        <v>0</v>
      </c>
      <c r="F41" s="1589">
        <v>0</v>
      </c>
      <c r="G41" s="1589">
        <v>0</v>
      </c>
      <c r="H41" s="1589">
        <v>0</v>
      </c>
      <c r="I41" s="1589">
        <v>0</v>
      </c>
      <c r="J41" s="1589">
        <v>0</v>
      </c>
      <c r="K41" s="1589">
        <v>0</v>
      </c>
      <c r="L41" s="1589">
        <v>0</v>
      </c>
      <c r="M41" s="1589">
        <v>0</v>
      </c>
      <c r="N41" s="1589">
        <v>0</v>
      </c>
      <c r="O41" s="1589">
        <v>0</v>
      </c>
      <c r="P41" s="1589">
        <v>0</v>
      </c>
      <c r="Q41" s="1589">
        <v>0</v>
      </c>
    </row>
    <row r="42" spans="1:17">
      <c r="A42" s="1727" t="s">
        <v>540</v>
      </c>
      <c r="B42" s="1589">
        <v>0</v>
      </c>
      <c r="C42" s="1589">
        <v>0</v>
      </c>
      <c r="D42" s="1589">
        <v>0</v>
      </c>
      <c r="E42" s="1589">
        <v>0</v>
      </c>
      <c r="F42" s="1589">
        <v>0</v>
      </c>
      <c r="G42" s="1589">
        <v>0</v>
      </c>
      <c r="H42" s="1589">
        <v>0</v>
      </c>
      <c r="I42" s="1589">
        <v>0</v>
      </c>
      <c r="J42" s="1589">
        <v>0</v>
      </c>
      <c r="K42" s="1589">
        <v>0</v>
      </c>
      <c r="L42" s="1589">
        <v>0</v>
      </c>
      <c r="M42" s="1589">
        <v>0</v>
      </c>
      <c r="N42" s="1589">
        <v>0</v>
      </c>
      <c r="O42" s="1589">
        <v>0</v>
      </c>
      <c r="P42" s="1589">
        <v>0</v>
      </c>
      <c r="Q42" s="1589">
        <v>0</v>
      </c>
    </row>
    <row r="43" spans="1:17">
      <c r="A43" s="1588" t="s">
        <v>672</v>
      </c>
      <c r="B43" s="1589">
        <v>0</v>
      </c>
      <c r="C43" s="1589">
        <v>160978.59960400005</v>
      </c>
      <c r="D43" s="1589">
        <v>0</v>
      </c>
      <c r="E43" s="1589">
        <v>0</v>
      </c>
      <c r="F43" s="1589">
        <v>160978.59960400005</v>
      </c>
      <c r="G43" s="1589">
        <v>0</v>
      </c>
      <c r="H43" s="1589">
        <v>168128.21725154002</v>
      </c>
      <c r="I43" s="1589">
        <v>0</v>
      </c>
      <c r="J43" s="1589">
        <v>0</v>
      </c>
      <c r="K43" s="1589">
        <v>168128.21725154002</v>
      </c>
      <c r="L43" s="1589">
        <v>0</v>
      </c>
      <c r="M43" s="1589">
        <v>178961.65003814001</v>
      </c>
      <c r="N43" s="1589">
        <v>0</v>
      </c>
      <c r="O43" s="1589">
        <v>0</v>
      </c>
      <c r="P43" s="1589">
        <v>178961.65003814001</v>
      </c>
      <c r="Q43" s="1589">
        <v>508068.46689367993</v>
      </c>
    </row>
    <row r="44" spans="1:17">
      <c r="A44" s="1725" t="s">
        <v>674</v>
      </c>
      <c r="B44" s="1589">
        <v>0</v>
      </c>
      <c r="C44" s="1589">
        <v>0</v>
      </c>
      <c r="D44" s="1589">
        <v>0</v>
      </c>
      <c r="E44" s="1589">
        <v>0</v>
      </c>
      <c r="F44" s="1589">
        <v>0</v>
      </c>
      <c r="G44" s="1589">
        <v>0</v>
      </c>
      <c r="H44" s="1589">
        <v>0</v>
      </c>
      <c r="I44" s="1589">
        <v>0</v>
      </c>
      <c r="J44" s="1589">
        <v>0</v>
      </c>
      <c r="K44" s="1589">
        <v>0</v>
      </c>
      <c r="L44" s="1589">
        <v>0</v>
      </c>
      <c r="M44" s="1589">
        <v>0</v>
      </c>
      <c r="N44" s="1589">
        <v>0</v>
      </c>
      <c r="O44" s="1589">
        <v>0</v>
      </c>
      <c r="P44" s="1589">
        <v>0</v>
      </c>
      <c r="Q44" s="1589">
        <v>0</v>
      </c>
    </row>
    <row r="45" spans="1:17">
      <c r="A45" s="1726" t="s">
        <v>2555</v>
      </c>
      <c r="B45" s="1589">
        <v>0</v>
      </c>
      <c r="C45" s="1589">
        <v>0</v>
      </c>
      <c r="D45" s="1589">
        <v>0</v>
      </c>
      <c r="E45" s="1589">
        <v>0</v>
      </c>
      <c r="F45" s="1589">
        <v>0</v>
      </c>
      <c r="G45" s="1589">
        <v>0</v>
      </c>
      <c r="H45" s="1589">
        <v>0</v>
      </c>
      <c r="I45" s="1589">
        <v>0</v>
      </c>
      <c r="J45" s="1589">
        <v>0</v>
      </c>
      <c r="K45" s="1589">
        <v>0</v>
      </c>
      <c r="L45" s="1589">
        <v>0</v>
      </c>
      <c r="M45" s="1589">
        <v>0</v>
      </c>
      <c r="N45" s="1589">
        <v>0</v>
      </c>
      <c r="O45" s="1589">
        <v>0</v>
      </c>
      <c r="P45" s="1589">
        <v>0</v>
      </c>
      <c r="Q45" s="1589">
        <v>0</v>
      </c>
    </row>
    <row r="46" spans="1:17">
      <c r="A46" s="1727" t="s">
        <v>603</v>
      </c>
      <c r="B46" s="1589">
        <v>0</v>
      </c>
      <c r="C46" s="1589">
        <v>0</v>
      </c>
      <c r="D46" s="1589">
        <v>0</v>
      </c>
      <c r="E46" s="1589">
        <v>0</v>
      </c>
      <c r="F46" s="1589">
        <v>0</v>
      </c>
      <c r="G46" s="1589">
        <v>0</v>
      </c>
      <c r="H46" s="1589">
        <v>0</v>
      </c>
      <c r="I46" s="1589">
        <v>0</v>
      </c>
      <c r="J46" s="1589">
        <v>0</v>
      </c>
      <c r="K46" s="1589">
        <v>0</v>
      </c>
      <c r="L46" s="1589">
        <v>0</v>
      </c>
      <c r="M46" s="1589">
        <v>0</v>
      </c>
      <c r="N46" s="1589">
        <v>0</v>
      </c>
      <c r="O46" s="1589">
        <v>0</v>
      </c>
      <c r="P46" s="1589">
        <v>0</v>
      </c>
      <c r="Q46" s="1589">
        <v>0</v>
      </c>
    </row>
    <row r="47" spans="1:17">
      <c r="A47" s="1727" t="s">
        <v>528</v>
      </c>
      <c r="B47" s="1589">
        <v>0</v>
      </c>
      <c r="C47" s="1589">
        <v>0</v>
      </c>
      <c r="D47" s="1589">
        <v>0</v>
      </c>
      <c r="E47" s="1589">
        <v>0</v>
      </c>
      <c r="F47" s="1589">
        <v>0</v>
      </c>
      <c r="G47" s="1589">
        <v>0</v>
      </c>
      <c r="H47" s="1589">
        <v>0</v>
      </c>
      <c r="I47" s="1589">
        <v>0</v>
      </c>
      <c r="J47" s="1589">
        <v>0</v>
      </c>
      <c r="K47" s="1589">
        <v>0</v>
      </c>
      <c r="L47" s="1589">
        <v>0</v>
      </c>
      <c r="M47" s="1589">
        <v>0</v>
      </c>
      <c r="N47" s="1589">
        <v>0</v>
      </c>
      <c r="O47" s="1589">
        <v>0</v>
      </c>
      <c r="P47" s="1589">
        <v>0</v>
      </c>
      <c r="Q47" s="1589">
        <v>0</v>
      </c>
    </row>
    <row r="48" spans="1:17">
      <c r="A48" s="1727" t="s">
        <v>530</v>
      </c>
      <c r="B48" s="1589">
        <v>0</v>
      </c>
      <c r="C48" s="1589">
        <v>0</v>
      </c>
      <c r="D48" s="1589">
        <v>0</v>
      </c>
      <c r="E48" s="1589">
        <v>0</v>
      </c>
      <c r="F48" s="1589">
        <v>0</v>
      </c>
      <c r="G48" s="1589">
        <v>0</v>
      </c>
      <c r="H48" s="1589">
        <v>0</v>
      </c>
      <c r="I48" s="1589">
        <v>0</v>
      </c>
      <c r="J48" s="1589">
        <v>0</v>
      </c>
      <c r="K48" s="1589">
        <v>0</v>
      </c>
      <c r="L48" s="1589">
        <v>0</v>
      </c>
      <c r="M48" s="1589">
        <v>0</v>
      </c>
      <c r="N48" s="1589">
        <v>0</v>
      </c>
      <c r="O48" s="1589">
        <v>0</v>
      </c>
      <c r="P48" s="1589">
        <v>0</v>
      </c>
      <c r="Q48" s="1589">
        <v>0</v>
      </c>
    </row>
    <row r="49" spans="1:17">
      <c r="A49" s="1727" t="s">
        <v>532</v>
      </c>
      <c r="B49" s="1589">
        <v>0</v>
      </c>
      <c r="C49" s="1589">
        <v>0</v>
      </c>
      <c r="D49" s="1589">
        <v>0</v>
      </c>
      <c r="E49" s="1589">
        <v>0</v>
      </c>
      <c r="F49" s="1589">
        <v>0</v>
      </c>
      <c r="G49" s="1589">
        <v>0</v>
      </c>
      <c r="H49" s="1589">
        <v>0</v>
      </c>
      <c r="I49" s="1589">
        <v>0</v>
      </c>
      <c r="J49" s="1589">
        <v>0</v>
      </c>
      <c r="K49" s="1589">
        <v>0</v>
      </c>
      <c r="L49" s="1589">
        <v>0</v>
      </c>
      <c r="M49" s="1589">
        <v>0</v>
      </c>
      <c r="N49" s="1589">
        <v>0</v>
      </c>
      <c r="O49" s="1589">
        <v>0</v>
      </c>
      <c r="P49" s="1589">
        <v>0</v>
      </c>
      <c r="Q49" s="1589">
        <v>0</v>
      </c>
    </row>
    <row r="50" spans="1:17">
      <c r="A50" s="1727" t="s">
        <v>534</v>
      </c>
      <c r="B50" s="1589">
        <v>0</v>
      </c>
      <c r="C50" s="1589">
        <v>0</v>
      </c>
      <c r="D50" s="1589">
        <v>0</v>
      </c>
      <c r="E50" s="1589">
        <v>0</v>
      </c>
      <c r="F50" s="1589">
        <v>0</v>
      </c>
      <c r="G50" s="1589">
        <v>0</v>
      </c>
      <c r="H50" s="1589">
        <v>0</v>
      </c>
      <c r="I50" s="1589">
        <v>0</v>
      </c>
      <c r="J50" s="1589">
        <v>0</v>
      </c>
      <c r="K50" s="1589">
        <v>0</v>
      </c>
      <c r="L50" s="1589">
        <v>0</v>
      </c>
      <c r="M50" s="1589">
        <v>0</v>
      </c>
      <c r="N50" s="1589">
        <v>0</v>
      </c>
      <c r="O50" s="1589">
        <v>0</v>
      </c>
      <c r="P50" s="1589">
        <v>0</v>
      </c>
      <c r="Q50" s="1589">
        <v>0</v>
      </c>
    </row>
    <row r="51" spans="1:17">
      <c r="A51" s="1727" t="s">
        <v>536</v>
      </c>
      <c r="B51" s="1589">
        <v>0</v>
      </c>
      <c r="C51" s="1589">
        <v>0</v>
      </c>
      <c r="D51" s="1589">
        <v>0</v>
      </c>
      <c r="E51" s="1589">
        <v>0</v>
      </c>
      <c r="F51" s="1589">
        <v>0</v>
      </c>
      <c r="G51" s="1589">
        <v>0</v>
      </c>
      <c r="H51" s="1589">
        <v>0</v>
      </c>
      <c r="I51" s="1589">
        <v>0</v>
      </c>
      <c r="J51" s="1589">
        <v>0</v>
      </c>
      <c r="K51" s="1589">
        <v>0</v>
      </c>
      <c r="L51" s="1589">
        <v>0</v>
      </c>
      <c r="M51" s="1589">
        <v>0</v>
      </c>
      <c r="N51" s="1589">
        <v>0</v>
      </c>
      <c r="O51" s="1589">
        <v>0</v>
      </c>
      <c r="P51" s="1589">
        <v>0</v>
      </c>
      <c r="Q51" s="1589">
        <v>0</v>
      </c>
    </row>
    <row r="52" spans="1:17">
      <c r="A52" s="1727" t="s">
        <v>538</v>
      </c>
      <c r="B52" s="1589">
        <v>0</v>
      </c>
      <c r="C52" s="1589">
        <v>0</v>
      </c>
      <c r="D52" s="1589">
        <v>0</v>
      </c>
      <c r="E52" s="1589">
        <v>0</v>
      </c>
      <c r="F52" s="1589">
        <v>0</v>
      </c>
      <c r="G52" s="1589">
        <v>0</v>
      </c>
      <c r="H52" s="1589">
        <v>0</v>
      </c>
      <c r="I52" s="1589">
        <v>0</v>
      </c>
      <c r="J52" s="1589">
        <v>0</v>
      </c>
      <c r="K52" s="1589">
        <v>0</v>
      </c>
      <c r="L52" s="1589">
        <v>0</v>
      </c>
      <c r="M52" s="1589">
        <v>0</v>
      </c>
      <c r="N52" s="1589">
        <v>0</v>
      </c>
      <c r="O52" s="1589">
        <v>0</v>
      </c>
      <c r="P52" s="1589">
        <v>0</v>
      </c>
      <c r="Q52" s="1589">
        <v>0</v>
      </c>
    </row>
    <row r="53" spans="1:17">
      <c r="A53" s="1727" t="s">
        <v>540</v>
      </c>
      <c r="B53" s="1589">
        <v>0</v>
      </c>
      <c r="C53" s="1589">
        <v>0</v>
      </c>
      <c r="D53" s="1589">
        <v>0</v>
      </c>
      <c r="E53" s="1589">
        <v>0</v>
      </c>
      <c r="F53" s="1589">
        <v>0</v>
      </c>
      <c r="G53" s="1589">
        <v>0</v>
      </c>
      <c r="H53" s="1589">
        <v>0</v>
      </c>
      <c r="I53" s="1589">
        <v>0</v>
      </c>
      <c r="J53" s="1589">
        <v>0</v>
      </c>
      <c r="K53" s="1589">
        <v>0</v>
      </c>
      <c r="L53" s="1589">
        <v>0</v>
      </c>
      <c r="M53" s="1589">
        <v>0</v>
      </c>
      <c r="N53" s="1589">
        <v>0</v>
      </c>
      <c r="O53" s="1589">
        <v>0</v>
      </c>
      <c r="P53" s="1589">
        <v>0</v>
      </c>
      <c r="Q53" s="1589">
        <v>0</v>
      </c>
    </row>
    <row r="54" spans="1:17">
      <c r="A54" s="1726" t="s">
        <v>2556</v>
      </c>
      <c r="B54" s="1589">
        <v>0</v>
      </c>
      <c r="C54" s="1589">
        <v>0</v>
      </c>
      <c r="D54" s="1589">
        <v>0</v>
      </c>
      <c r="E54" s="1589">
        <v>0</v>
      </c>
      <c r="F54" s="1589">
        <v>0</v>
      </c>
      <c r="G54" s="1589">
        <v>0</v>
      </c>
      <c r="H54" s="1589">
        <v>0</v>
      </c>
      <c r="I54" s="1589">
        <v>0</v>
      </c>
      <c r="J54" s="1589">
        <v>0</v>
      </c>
      <c r="K54" s="1589">
        <v>0</v>
      </c>
      <c r="L54" s="1589">
        <v>0</v>
      </c>
      <c r="M54" s="1589">
        <v>0</v>
      </c>
      <c r="N54" s="1589">
        <v>0</v>
      </c>
      <c r="O54" s="1589">
        <v>0</v>
      </c>
      <c r="P54" s="1589">
        <v>0</v>
      </c>
      <c r="Q54" s="1589">
        <v>0</v>
      </c>
    </row>
    <row r="55" spans="1:17">
      <c r="A55" s="1727" t="s">
        <v>603</v>
      </c>
      <c r="B55" s="1589">
        <v>0</v>
      </c>
      <c r="C55" s="1589">
        <v>0</v>
      </c>
      <c r="D55" s="1589">
        <v>0</v>
      </c>
      <c r="E55" s="1589">
        <v>0</v>
      </c>
      <c r="F55" s="1589">
        <v>0</v>
      </c>
      <c r="G55" s="1589">
        <v>0</v>
      </c>
      <c r="H55" s="1589">
        <v>0</v>
      </c>
      <c r="I55" s="1589">
        <v>0</v>
      </c>
      <c r="J55" s="1589">
        <v>0</v>
      </c>
      <c r="K55" s="1589">
        <v>0</v>
      </c>
      <c r="L55" s="1589">
        <v>0</v>
      </c>
      <c r="M55" s="1589">
        <v>0</v>
      </c>
      <c r="N55" s="1589">
        <v>0</v>
      </c>
      <c r="O55" s="1589">
        <v>0</v>
      </c>
      <c r="P55" s="1589">
        <v>0</v>
      </c>
      <c r="Q55" s="1589">
        <v>0</v>
      </c>
    </row>
    <row r="56" spans="1:17">
      <c r="A56" s="1727" t="s">
        <v>528</v>
      </c>
      <c r="B56" s="1589">
        <v>0</v>
      </c>
      <c r="C56" s="1589">
        <v>0</v>
      </c>
      <c r="D56" s="1589">
        <v>0</v>
      </c>
      <c r="E56" s="1589">
        <v>0</v>
      </c>
      <c r="F56" s="1589">
        <v>0</v>
      </c>
      <c r="G56" s="1589">
        <v>0</v>
      </c>
      <c r="H56" s="1589">
        <v>0</v>
      </c>
      <c r="I56" s="1589">
        <v>0</v>
      </c>
      <c r="J56" s="1589">
        <v>0</v>
      </c>
      <c r="K56" s="1589">
        <v>0</v>
      </c>
      <c r="L56" s="1589">
        <v>0</v>
      </c>
      <c r="M56" s="1589">
        <v>0</v>
      </c>
      <c r="N56" s="1589">
        <v>0</v>
      </c>
      <c r="O56" s="1589">
        <v>0</v>
      </c>
      <c r="P56" s="1589">
        <v>0</v>
      </c>
      <c r="Q56" s="1589">
        <v>0</v>
      </c>
    </row>
    <row r="57" spans="1:17">
      <c r="A57" s="1727" t="s">
        <v>530</v>
      </c>
      <c r="B57" s="1589">
        <v>0</v>
      </c>
      <c r="C57" s="1589">
        <v>0</v>
      </c>
      <c r="D57" s="1589">
        <v>0</v>
      </c>
      <c r="E57" s="1589">
        <v>0</v>
      </c>
      <c r="F57" s="1589">
        <v>0</v>
      </c>
      <c r="G57" s="1589">
        <v>0</v>
      </c>
      <c r="H57" s="1589">
        <v>0</v>
      </c>
      <c r="I57" s="1589">
        <v>0</v>
      </c>
      <c r="J57" s="1589">
        <v>0</v>
      </c>
      <c r="K57" s="1589">
        <v>0</v>
      </c>
      <c r="L57" s="1589">
        <v>0</v>
      </c>
      <c r="M57" s="1589">
        <v>0</v>
      </c>
      <c r="N57" s="1589">
        <v>0</v>
      </c>
      <c r="O57" s="1589">
        <v>0</v>
      </c>
      <c r="P57" s="1589">
        <v>0</v>
      </c>
      <c r="Q57" s="1589">
        <v>0</v>
      </c>
    </row>
    <row r="58" spans="1:17">
      <c r="A58" s="1727" t="s">
        <v>532</v>
      </c>
      <c r="B58" s="1589">
        <v>0</v>
      </c>
      <c r="C58" s="1589">
        <v>0</v>
      </c>
      <c r="D58" s="1589">
        <v>0</v>
      </c>
      <c r="E58" s="1589">
        <v>0</v>
      </c>
      <c r="F58" s="1589">
        <v>0</v>
      </c>
      <c r="G58" s="1589">
        <v>0</v>
      </c>
      <c r="H58" s="1589">
        <v>0</v>
      </c>
      <c r="I58" s="1589">
        <v>0</v>
      </c>
      <c r="J58" s="1589">
        <v>0</v>
      </c>
      <c r="K58" s="1589">
        <v>0</v>
      </c>
      <c r="L58" s="1589">
        <v>0</v>
      </c>
      <c r="M58" s="1589">
        <v>0</v>
      </c>
      <c r="N58" s="1589">
        <v>0</v>
      </c>
      <c r="O58" s="1589">
        <v>0</v>
      </c>
      <c r="P58" s="1589">
        <v>0</v>
      </c>
      <c r="Q58" s="1589">
        <v>0</v>
      </c>
    </row>
    <row r="59" spans="1:17">
      <c r="A59" s="1727" t="s">
        <v>534</v>
      </c>
      <c r="B59" s="1589">
        <v>0</v>
      </c>
      <c r="C59" s="1589">
        <v>0</v>
      </c>
      <c r="D59" s="1589">
        <v>0</v>
      </c>
      <c r="E59" s="1589">
        <v>0</v>
      </c>
      <c r="F59" s="1589">
        <v>0</v>
      </c>
      <c r="G59" s="1589">
        <v>0</v>
      </c>
      <c r="H59" s="1589">
        <v>0</v>
      </c>
      <c r="I59" s="1589">
        <v>0</v>
      </c>
      <c r="J59" s="1589">
        <v>0</v>
      </c>
      <c r="K59" s="1589">
        <v>0</v>
      </c>
      <c r="L59" s="1589">
        <v>0</v>
      </c>
      <c r="M59" s="1589">
        <v>0</v>
      </c>
      <c r="N59" s="1589">
        <v>0</v>
      </c>
      <c r="O59" s="1589">
        <v>0</v>
      </c>
      <c r="P59" s="1589">
        <v>0</v>
      </c>
      <c r="Q59" s="1589">
        <v>0</v>
      </c>
    </row>
    <row r="60" spans="1:17">
      <c r="A60" s="1727" t="s">
        <v>536</v>
      </c>
      <c r="B60" s="1589">
        <v>0</v>
      </c>
      <c r="C60" s="1589">
        <v>0</v>
      </c>
      <c r="D60" s="1589">
        <v>0</v>
      </c>
      <c r="E60" s="1589">
        <v>0</v>
      </c>
      <c r="F60" s="1589">
        <v>0</v>
      </c>
      <c r="G60" s="1589">
        <v>0</v>
      </c>
      <c r="H60" s="1589">
        <v>0</v>
      </c>
      <c r="I60" s="1589">
        <v>0</v>
      </c>
      <c r="J60" s="1589">
        <v>0</v>
      </c>
      <c r="K60" s="1589">
        <v>0</v>
      </c>
      <c r="L60" s="1589">
        <v>0</v>
      </c>
      <c r="M60" s="1589">
        <v>0</v>
      </c>
      <c r="N60" s="1589">
        <v>0</v>
      </c>
      <c r="O60" s="1589">
        <v>0</v>
      </c>
      <c r="P60" s="1589">
        <v>0</v>
      </c>
      <c r="Q60" s="1589">
        <v>0</v>
      </c>
    </row>
    <row r="61" spans="1:17">
      <c r="A61" s="1727" t="s">
        <v>538</v>
      </c>
      <c r="B61" s="1589">
        <v>0</v>
      </c>
      <c r="C61" s="1589">
        <v>0</v>
      </c>
      <c r="D61" s="1589">
        <v>0</v>
      </c>
      <c r="E61" s="1589">
        <v>0</v>
      </c>
      <c r="F61" s="1589">
        <v>0</v>
      </c>
      <c r="G61" s="1589">
        <v>0</v>
      </c>
      <c r="H61" s="1589">
        <v>0</v>
      </c>
      <c r="I61" s="1589">
        <v>0</v>
      </c>
      <c r="J61" s="1589">
        <v>0</v>
      </c>
      <c r="K61" s="1589">
        <v>0</v>
      </c>
      <c r="L61" s="1589">
        <v>0</v>
      </c>
      <c r="M61" s="1589">
        <v>0</v>
      </c>
      <c r="N61" s="1589">
        <v>0</v>
      </c>
      <c r="O61" s="1589">
        <v>0</v>
      </c>
      <c r="P61" s="1589">
        <v>0</v>
      </c>
      <c r="Q61" s="1589">
        <v>0</v>
      </c>
    </row>
    <row r="62" spans="1:17">
      <c r="A62" s="1727" t="s">
        <v>540</v>
      </c>
      <c r="B62" s="1589">
        <v>0</v>
      </c>
      <c r="C62" s="1589">
        <v>0</v>
      </c>
      <c r="D62" s="1589">
        <v>0</v>
      </c>
      <c r="E62" s="1589">
        <v>0</v>
      </c>
      <c r="F62" s="1589">
        <v>0</v>
      </c>
      <c r="G62" s="1589">
        <v>0</v>
      </c>
      <c r="H62" s="1589">
        <v>0</v>
      </c>
      <c r="I62" s="1589">
        <v>0</v>
      </c>
      <c r="J62" s="1589">
        <v>0</v>
      </c>
      <c r="K62" s="1589">
        <v>0</v>
      </c>
      <c r="L62" s="1589">
        <v>0</v>
      </c>
      <c r="M62" s="1589">
        <v>0</v>
      </c>
      <c r="N62" s="1589">
        <v>0</v>
      </c>
      <c r="O62" s="1589">
        <v>0</v>
      </c>
      <c r="P62" s="1589">
        <v>0</v>
      </c>
      <c r="Q62" s="1589">
        <v>0</v>
      </c>
    </row>
    <row r="63" spans="1:17">
      <c r="A63" s="1726" t="s">
        <v>2550</v>
      </c>
      <c r="B63" s="1589">
        <v>0</v>
      </c>
      <c r="C63" s="1589">
        <v>0</v>
      </c>
      <c r="D63" s="1589">
        <v>0</v>
      </c>
      <c r="E63" s="1589">
        <v>0</v>
      </c>
      <c r="F63" s="1589">
        <v>0</v>
      </c>
      <c r="G63" s="1589">
        <v>0</v>
      </c>
      <c r="H63" s="1589">
        <v>0</v>
      </c>
      <c r="I63" s="1589">
        <v>0</v>
      </c>
      <c r="J63" s="1589">
        <v>0</v>
      </c>
      <c r="K63" s="1589">
        <v>0</v>
      </c>
      <c r="L63" s="1589">
        <v>0</v>
      </c>
      <c r="M63" s="1589">
        <v>0</v>
      </c>
      <c r="N63" s="1589">
        <v>0</v>
      </c>
      <c r="O63" s="1589">
        <v>0</v>
      </c>
      <c r="P63" s="1589">
        <v>0</v>
      </c>
      <c r="Q63" s="1589">
        <v>0</v>
      </c>
    </row>
    <row r="64" spans="1:17">
      <c r="A64" s="1727" t="s">
        <v>603</v>
      </c>
      <c r="B64" s="1589">
        <v>0</v>
      </c>
      <c r="C64" s="1589">
        <v>0</v>
      </c>
      <c r="D64" s="1589">
        <v>0</v>
      </c>
      <c r="E64" s="1589">
        <v>0</v>
      </c>
      <c r="F64" s="1589">
        <v>0</v>
      </c>
      <c r="G64" s="1589">
        <v>0</v>
      </c>
      <c r="H64" s="1589">
        <v>0</v>
      </c>
      <c r="I64" s="1589">
        <v>0</v>
      </c>
      <c r="J64" s="1589">
        <v>0</v>
      </c>
      <c r="K64" s="1589">
        <v>0</v>
      </c>
      <c r="L64" s="1589">
        <v>0</v>
      </c>
      <c r="M64" s="1589">
        <v>0</v>
      </c>
      <c r="N64" s="1589">
        <v>0</v>
      </c>
      <c r="O64" s="1589">
        <v>0</v>
      </c>
      <c r="P64" s="1589">
        <v>0</v>
      </c>
      <c r="Q64" s="1589">
        <v>0</v>
      </c>
    </row>
    <row r="65" spans="1:17">
      <c r="A65" s="1727" t="s">
        <v>528</v>
      </c>
      <c r="B65" s="1589">
        <v>0</v>
      </c>
      <c r="C65" s="1589">
        <v>0</v>
      </c>
      <c r="D65" s="1589">
        <v>0</v>
      </c>
      <c r="E65" s="1589">
        <v>0</v>
      </c>
      <c r="F65" s="1589">
        <v>0</v>
      </c>
      <c r="G65" s="1589">
        <v>0</v>
      </c>
      <c r="H65" s="1589">
        <v>0</v>
      </c>
      <c r="I65" s="1589">
        <v>0</v>
      </c>
      <c r="J65" s="1589">
        <v>0</v>
      </c>
      <c r="K65" s="1589">
        <v>0</v>
      </c>
      <c r="L65" s="1589">
        <v>0</v>
      </c>
      <c r="M65" s="1589">
        <v>0</v>
      </c>
      <c r="N65" s="1589">
        <v>0</v>
      </c>
      <c r="O65" s="1589">
        <v>0</v>
      </c>
      <c r="P65" s="1589">
        <v>0</v>
      </c>
      <c r="Q65" s="1589">
        <v>0</v>
      </c>
    </row>
    <row r="66" spans="1:17">
      <c r="A66" s="1727" t="s">
        <v>530</v>
      </c>
      <c r="B66" s="1589">
        <v>0</v>
      </c>
      <c r="C66" s="1589">
        <v>0</v>
      </c>
      <c r="D66" s="1589">
        <v>0</v>
      </c>
      <c r="E66" s="1589">
        <v>0</v>
      </c>
      <c r="F66" s="1589">
        <v>0</v>
      </c>
      <c r="G66" s="1589">
        <v>0</v>
      </c>
      <c r="H66" s="1589">
        <v>0</v>
      </c>
      <c r="I66" s="1589">
        <v>0</v>
      </c>
      <c r="J66" s="1589">
        <v>0</v>
      </c>
      <c r="K66" s="1589">
        <v>0</v>
      </c>
      <c r="L66" s="1589">
        <v>0</v>
      </c>
      <c r="M66" s="1589">
        <v>0</v>
      </c>
      <c r="N66" s="1589">
        <v>0</v>
      </c>
      <c r="O66" s="1589">
        <v>0</v>
      </c>
      <c r="P66" s="1589">
        <v>0</v>
      </c>
      <c r="Q66" s="1589">
        <v>0</v>
      </c>
    </row>
    <row r="67" spans="1:17">
      <c r="A67" s="1727" t="s">
        <v>532</v>
      </c>
      <c r="B67" s="1589">
        <v>0</v>
      </c>
      <c r="C67" s="1589">
        <v>0</v>
      </c>
      <c r="D67" s="1589">
        <v>0</v>
      </c>
      <c r="E67" s="1589">
        <v>0</v>
      </c>
      <c r="F67" s="1589">
        <v>0</v>
      </c>
      <c r="G67" s="1589">
        <v>0</v>
      </c>
      <c r="H67" s="1589">
        <v>0</v>
      </c>
      <c r="I67" s="1589">
        <v>0</v>
      </c>
      <c r="J67" s="1589">
        <v>0</v>
      </c>
      <c r="K67" s="1589">
        <v>0</v>
      </c>
      <c r="L67" s="1589">
        <v>0</v>
      </c>
      <c r="M67" s="1589">
        <v>0</v>
      </c>
      <c r="N67" s="1589">
        <v>0</v>
      </c>
      <c r="O67" s="1589">
        <v>0</v>
      </c>
      <c r="P67" s="1589">
        <v>0</v>
      </c>
      <c r="Q67" s="1589">
        <v>0</v>
      </c>
    </row>
    <row r="68" spans="1:17">
      <c r="A68" s="1727" t="s">
        <v>534</v>
      </c>
      <c r="B68" s="1589">
        <v>0</v>
      </c>
      <c r="C68" s="1589">
        <v>0</v>
      </c>
      <c r="D68" s="1589">
        <v>0</v>
      </c>
      <c r="E68" s="1589">
        <v>0</v>
      </c>
      <c r="F68" s="1589">
        <v>0</v>
      </c>
      <c r="G68" s="1589">
        <v>0</v>
      </c>
      <c r="H68" s="1589">
        <v>0</v>
      </c>
      <c r="I68" s="1589">
        <v>0</v>
      </c>
      <c r="J68" s="1589">
        <v>0</v>
      </c>
      <c r="K68" s="1589">
        <v>0</v>
      </c>
      <c r="L68" s="1589">
        <v>0</v>
      </c>
      <c r="M68" s="1589">
        <v>0</v>
      </c>
      <c r="N68" s="1589">
        <v>0</v>
      </c>
      <c r="O68" s="1589">
        <v>0</v>
      </c>
      <c r="P68" s="1589">
        <v>0</v>
      </c>
      <c r="Q68" s="1589">
        <v>0</v>
      </c>
    </row>
    <row r="69" spans="1:17">
      <c r="A69" s="1727" t="s">
        <v>536</v>
      </c>
      <c r="B69" s="1589">
        <v>0</v>
      </c>
      <c r="C69" s="1589">
        <v>0</v>
      </c>
      <c r="D69" s="1589">
        <v>0</v>
      </c>
      <c r="E69" s="1589">
        <v>0</v>
      </c>
      <c r="F69" s="1589">
        <v>0</v>
      </c>
      <c r="G69" s="1589">
        <v>0</v>
      </c>
      <c r="H69" s="1589">
        <v>0</v>
      </c>
      <c r="I69" s="1589">
        <v>0</v>
      </c>
      <c r="J69" s="1589">
        <v>0</v>
      </c>
      <c r="K69" s="1589">
        <v>0</v>
      </c>
      <c r="L69" s="1589">
        <v>0</v>
      </c>
      <c r="M69" s="1589">
        <v>0</v>
      </c>
      <c r="N69" s="1589">
        <v>0</v>
      </c>
      <c r="O69" s="1589">
        <v>0</v>
      </c>
      <c r="P69" s="1589">
        <v>0</v>
      </c>
      <c r="Q69" s="1589">
        <v>0</v>
      </c>
    </row>
    <row r="70" spans="1:17">
      <c r="A70" s="1727" t="s">
        <v>538</v>
      </c>
      <c r="B70" s="1589">
        <v>0</v>
      </c>
      <c r="C70" s="1589">
        <v>0</v>
      </c>
      <c r="D70" s="1589">
        <v>0</v>
      </c>
      <c r="E70" s="1589">
        <v>0</v>
      </c>
      <c r="F70" s="1589">
        <v>0</v>
      </c>
      <c r="G70" s="1589">
        <v>0</v>
      </c>
      <c r="H70" s="1589">
        <v>0</v>
      </c>
      <c r="I70" s="1589">
        <v>0</v>
      </c>
      <c r="J70" s="1589">
        <v>0</v>
      </c>
      <c r="K70" s="1589">
        <v>0</v>
      </c>
      <c r="L70" s="1589">
        <v>0</v>
      </c>
      <c r="M70" s="1589">
        <v>0</v>
      </c>
      <c r="N70" s="1589">
        <v>0</v>
      </c>
      <c r="O70" s="1589">
        <v>0</v>
      </c>
      <c r="P70" s="1589">
        <v>0</v>
      </c>
      <c r="Q70" s="1589">
        <v>0</v>
      </c>
    </row>
    <row r="71" spans="1:17">
      <c r="A71" s="1727" t="s">
        <v>540</v>
      </c>
      <c r="B71" s="1589">
        <v>0</v>
      </c>
      <c r="C71" s="1589">
        <v>0</v>
      </c>
      <c r="D71" s="1589">
        <v>0</v>
      </c>
      <c r="E71" s="1589">
        <v>0</v>
      </c>
      <c r="F71" s="1589">
        <v>0</v>
      </c>
      <c r="G71" s="1589">
        <v>0</v>
      </c>
      <c r="H71" s="1589">
        <v>0</v>
      </c>
      <c r="I71" s="1589">
        <v>0</v>
      </c>
      <c r="J71" s="1589">
        <v>0</v>
      </c>
      <c r="K71" s="1589">
        <v>0</v>
      </c>
      <c r="L71" s="1589">
        <v>0</v>
      </c>
      <c r="M71" s="1589">
        <v>0</v>
      </c>
      <c r="N71" s="1589">
        <v>0</v>
      </c>
      <c r="O71" s="1589">
        <v>0</v>
      </c>
      <c r="P71" s="1589">
        <v>0</v>
      </c>
      <c r="Q71" s="1589">
        <v>0</v>
      </c>
    </row>
    <row r="72" spans="1:17">
      <c r="A72" s="1726" t="s">
        <v>2557</v>
      </c>
      <c r="B72" s="1589">
        <v>0</v>
      </c>
      <c r="C72" s="1589">
        <v>0</v>
      </c>
      <c r="D72" s="1589">
        <v>0</v>
      </c>
      <c r="E72" s="1589">
        <v>0</v>
      </c>
      <c r="F72" s="1589">
        <v>0</v>
      </c>
      <c r="G72" s="1589">
        <v>0</v>
      </c>
      <c r="H72" s="1589">
        <v>0</v>
      </c>
      <c r="I72" s="1589">
        <v>0</v>
      </c>
      <c r="J72" s="1589">
        <v>0</v>
      </c>
      <c r="K72" s="1589">
        <v>0</v>
      </c>
      <c r="L72" s="1589">
        <v>0</v>
      </c>
      <c r="M72" s="1589">
        <v>0</v>
      </c>
      <c r="N72" s="1589">
        <v>0</v>
      </c>
      <c r="O72" s="1589">
        <v>0</v>
      </c>
      <c r="P72" s="1589">
        <v>0</v>
      </c>
      <c r="Q72" s="1589">
        <v>0</v>
      </c>
    </row>
    <row r="73" spans="1:17">
      <c r="A73" s="1727" t="s">
        <v>603</v>
      </c>
      <c r="B73" s="1589">
        <v>0</v>
      </c>
      <c r="C73" s="1589">
        <v>0</v>
      </c>
      <c r="D73" s="1589">
        <v>0</v>
      </c>
      <c r="E73" s="1589">
        <v>0</v>
      </c>
      <c r="F73" s="1589">
        <v>0</v>
      </c>
      <c r="G73" s="1589">
        <v>0</v>
      </c>
      <c r="H73" s="1589">
        <v>0</v>
      </c>
      <c r="I73" s="1589">
        <v>0</v>
      </c>
      <c r="J73" s="1589">
        <v>0</v>
      </c>
      <c r="K73" s="1589">
        <v>0</v>
      </c>
      <c r="L73" s="1589">
        <v>0</v>
      </c>
      <c r="M73" s="1589">
        <v>0</v>
      </c>
      <c r="N73" s="1589">
        <v>0</v>
      </c>
      <c r="O73" s="1589">
        <v>0</v>
      </c>
      <c r="P73" s="1589">
        <v>0</v>
      </c>
      <c r="Q73" s="1589">
        <v>0</v>
      </c>
    </row>
    <row r="74" spans="1:17">
      <c r="A74" s="1727" t="s">
        <v>528</v>
      </c>
      <c r="B74" s="1589">
        <v>0</v>
      </c>
      <c r="C74" s="1589">
        <v>0</v>
      </c>
      <c r="D74" s="1589">
        <v>0</v>
      </c>
      <c r="E74" s="1589">
        <v>0</v>
      </c>
      <c r="F74" s="1589">
        <v>0</v>
      </c>
      <c r="G74" s="1589">
        <v>0</v>
      </c>
      <c r="H74" s="1589">
        <v>0</v>
      </c>
      <c r="I74" s="1589">
        <v>0</v>
      </c>
      <c r="J74" s="1589">
        <v>0</v>
      </c>
      <c r="K74" s="1589">
        <v>0</v>
      </c>
      <c r="L74" s="1589">
        <v>0</v>
      </c>
      <c r="M74" s="1589">
        <v>0</v>
      </c>
      <c r="N74" s="1589">
        <v>0</v>
      </c>
      <c r="O74" s="1589">
        <v>0</v>
      </c>
      <c r="P74" s="1589">
        <v>0</v>
      </c>
      <c r="Q74" s="1589">
        <v>0</v>
      </c>
    </row>
    <row r="75" spans="1:17">
      <c r="A75" s="1727" t="s">
        <v>530</v>
      </c>
      <c r="B75" s="1589">
        <v>0</v>
      </c>
      <c r="C75" s="1589">
        <v>0</v>
      </c>
      <c r="D75" s="1589">
        <v>0</v>
      </c>
      <c r="E75" s="1589">
        <v>0</v>
      </c>
      <c r="F75" s="1589">
        <v>0</v>
      </c>
      <c r="G75" s="1589">
        <v>0</v>
      </c>
      <c r="H75" s="1589">
        <v>0</v>
      </c>
      <c r="I75" s="1589">
        <v>0</v>
      </c>
      <c r="J75" s="1589">
        <v>0</v>
      </c>
      <c r="K75" s="1589">
        <v>0</v>
      </c>
      <c r="L75" s="1589">
        <v>0</v>
      </c>
      <c r="M75" s="1589">
        <v>0</v>
      </c>
      <c r="N75" s="1589">
        <v>0</v>
      </c>
      <c r="O75" s="1589">
        <v>0</v>
      </c>
      <c r="P75" s="1589">
        <v>0</v>
      </c>
      <c r="Q75" s="1589">
        <v>0</v>
      </c>
    </row>
    <row r="76" spans="1:17">
      <c r="A76" s="1727" t="s">
        <v>532</v>
      </c>
      <c r="B76" s="1589">
        <v>0</v>
      </c>
      <c r="C76" s="1589">
        <v>0</v>
      </c>
      <c r="D76" s="1589">
        <v>0</v>
      </c>
      <c r="E76" s="1589">
        <v>0</v>
      </c>
      <c r="F76" s="1589">
        <v>0</v>
      </c>
      <c r="G76" s="1589">
        <v>0</v>
      </c>
      <c r="H76" s="1589">
        <v>0</v>
      </c>
      <c r="I76" s="1589">
        <v>0</v>
      </c>
      <c r="J76" s="1589">
        <v>0</v>
      </c>
      <c r="K76" s="1589">
        <v>0</v>
      </c>
      <c r="L76" s="1589">
        <v>0</v>
      </c>
      <c r="M76" s="1589">
        <v>0</v>
      </c>
      <c r="N76" s="1589">
        <v>0</v>
      </c>
      <c r="O76" s="1589">
        <v>0</v>
      </c>
      <c r="P76" s="1589">
        <v>0</v>
      </c>
      <c r="Q76" s="1589">
        <v>0</v>
      </c>
    </row>
    <row r="77" spans="1:17">
      <c r="A77" s="1727" t="s">
        <v>534</v>
      </c>
      <c r="B77" s="1589">
        <v>0</v>
      </c>
      <c r="C77" s="1589">
        <v>0</v>
      </c>
      <c r="D77" s="1589">
        <v>0</v>
      </c>
      <c r="E77" s="1589">
        <v>0</v>
      </c>
      <c r="F77" s="1589">
        <v>0</v>
      </c>
      <c r="G77" s="1589">
        <v>0</v>
      </c>
      <c r="H77" s="1589">
        <v>0</v>
      </c>
      <c r="I77" s="1589">
        <v>0</v>
      </c>
      <c r="J77" s="1589">
        <v>0</v>
      </c>
      <c r="K77" s="1589">
        <v>0</v>
      </c>
      <c r="L77" s="1589">
        <v>0</v>
      </c>
      <c r="M77" s="1589">
        <v>0</v>
      </c>
      <c r="N77" s="1589">
        <v>0</v>
      </c>
      <c r="O77" s="1589">
        <v>0</v>
      </c>
      <c r="P77" s="1589">
        <v>0</v>
      </c>
      <c r="Q77" s="1589">
        <v>0</v>
      </c>
    </row>
    <row r="78" spans="1:17">
      <c r="A78" s="1727" t="s">
        <v>536</v>
      </c>
      <c r="B78" s="1589">
        <v>0</v>
      </c>
      <c r="C78" s="1589">
        <v>0</v>
      </c>
      <c r="D78" s="1589">
        <v>0</v>
      </c>
      <c r="E78" s="1589">
        <v>0</v>
      </c>
      <c r="F78" s="1589">
        <v>0</v>
      </c>
      <c r="G78" s="1589">
        <v>0</v>
      </c>
      <c r="H78" s="1589">
        <v>0</v>
      </c>
      <c r="I78" s="1589">
        <v>0</v>
      </c>
      <c r="J78" s="1589">
        <v>0</v>
      </c>
      <c r="K78" s="1589">
        <v>0</v>
      </c>
      <c r="L78" s="1589">
        <v>0</v>
      </c>
      <c r="M78" s="1589">
        <v>0</v>
      </c>
      <c r="N78" s="1589">
        <v>0</v>
      </c>
      <c r="O78" s="1589">
        <v>0</v>
      </c>
      <c r="P78" s="1589">
        <v>0</v>
      </c>
      <c r="Q78" s="1589">
        <v>0</v>
      </c>
    </row>
    <row r="79" spans="1:17">
      <c r="A79" s="1727" t="s">
        <v>538</v>
      </c>
      <c r="B79" s="1589">
        <v>0</v>
      </c>
      <c r="C79" s="1589">
        <v>0</v>
      </c>
      <c r="D79" s="1589">
        <v>0</v>
      </c>
      <c r="E79" s="1589">
        <v>0</v>
      </c>
      <c r="F79" s="1589">
        <v>0</v>
      </c>
      <c r="G79" s="1589">
        <v>0</v>
      </c>
      <c r="H79" s="1589">
        <v>0</v>
      </c>
      <c r="I79" s="1589">
        <v>0</v>
      </c>
      <c r="J79" s="1589">
        <v>0</v>
      </c>
      <c r="K79" s="1589">
        <v>0</v>
      </c>
      <c r="L79" s="1589">
        <v>0</v>
      </c>
      <c r="M79" s="1589">
        <v>0</v>
      </c>
      <c r="N79" s="1589">
        <v>0</v>
      </c>
      <c r="O79" s="1589">
        <v>0</v>
      </c>
      <c r="P79" s="1589">
        <v>0</v>
      </c>
      <c r="Q79" s="1589">
        <v>0</v>
      </c>
    </row>
    <row r="80" spans="1:17">
      <c r="A80" s="1727" t="s">
        <v>540</v>
      </c>
      <c r="B80" s="1589">
        <v>0</v>
      </c>
      <c r="C80" s="1589">
        <v>0</v>
      </c>
      <c r="D80" s="1589">
        <v>0</v>
      </c>
      <c r="E80" s="1589">
        <v>0</v>
      </c>
      <c r="F80" s="1589">
        <v>0</v>
      </c>
      <c r="G80" s="1589">
        <v>0</v>
      </c>
      <c r="H80" s="1589">
        <v>0</v>
      </c>
      <c r="I80" s="1589">
        <v>0</v>
      </c>
      <c r="J80" s="1589">
        <v>0</v>
      </c>
      <c r="K80" s="1589">
        <v>0</v>
      </c>
      <c r="L80" s="1589">
        <v>0</v>
      </c>
      <c r="M80" s="1589">
        <v>0</v>
      </c>
      <c r="N80" s="1589">
        <v>0</v>
      </c>
      <c r="O80" s="1589">
        <v>0</v>
      </c>
      <c r="P80" s="1589">
        <v>0</v>
      </c>
      <c r="Q80" s="1589">
        <v>0</v>
      </c>
    </row>
    <row r="81" spans="1:17">
      <c r="A81" s="1726" t="s">
        <v>2554</v>
      </c>
      <c r="B81" s="1589">
        <v>0</v>
      </c>
      <c r="C81" s="1589">
        <v>0</v>
      </c>
      <c r="D81" s="1589">
        <v>0</v>
      </c>
      <c r="E81" s="1589">
        <v>0</v>
      </c>
      <c r="F81" s="1589">
        <v>0</v>
      </c>
      <c r="G81" s="1589">
        <v>0</v>
      </c>
      <c r="H81" s="1589">
        <v>0</v>
      </c>
      <c r="I81" s="1589">
        <v>0</v>
      </c>
      <c r="J81" s="1589">
        <v>0</v>
      </c>
      <c r="K81" s="1589">
        <v>0</v>
      </c>
      <c r="L81" s="1589">
        <v>0</v>
      </c>
      <c r="M81" s="1589">
        <v>0</v>
      </c>
      <c r="N81" s="1589">
        <v>0</v>
      </c>
      <c r="O81" s="1589">
        <v>0</v>
      </c>
      <c r="P81" s="1589">
        <v>0</v>
      </c>
      <c r="Q81" s="1589">
        <v>0</v>
      </c>
    </row>
    <row r="82" spans="1:17">
      <c r="A82" s="1727" t="s">
        <v>603</v>
      </c>
      <c r="B82" s="1589">
        <v>0</v>
      </c>
      <c r="C82" s="1589">
        <v>0</v>
      </c>
      <c r="D82" s="1589">
        <v>0</v>
      </c>
      <c r="E82" s="1589">
        <v>0</v>
      </c>
      <c r="F82" s="1589">
        <v>0</v>
      </c>
      <c r="G82" s="1589">
        <v>0</v>
      </c>
      <c r="H82" s="1589">
        <v>0</v>
      </c>
      <c r="I82" s="1589">
        <v>0</v>
      </c>
      <c r="J82" s="1589">
        <v>0</v>
      </c>
      <c r="K82" s="1589">
        <v>0</v>
      </c>
      <c r="L82" s="1589">
        <v>0</v>
      </c>
      <c r="M82" s="1589">
        <v>0</v>
      </c>
      <c r="N82" s="1589">
        <v>0</v>
      </c>
      <c r="O82" s="1589">
        <v>0</v>
      </c>
      <c r="P82" s="1589">
        <v>0</v>
      </c>
      <c r="Q82" s="1589">
        <v>0</v>
      </c>
    </row>
    <row r="83" spans="1:17">
      <c r="A83" s="1727" t="s">
        <v>528</v>
      </c>
      <c r="B83" s="1589">
        <v>0</v>
      </c>
      <c r="C83" s="1589">
        <v>0</v>
      </c>
      <c r="D83" s="1589">
        <v>0</v>
      </c>
      <c r="E83" s="1589">
        <v>0</v>
      </c>
      <c r="F83" s="1589">
        <v>0</v>
      </c>
      <c r="G83" s="1589">
        <v>0</v>
      </c>
      <c r="H83" s="1589">
        <v>0</v>
      </c>
      <c r="I83" s="1589">
        <v>0</v>
      </c>
      <c r="J83" s="1589">
        <v>0</v>
      </c>
      <c r="K83" s="1589">
        <v>0</v>
      </c>
      <c r="L83" s="1589">
        <v>0</v>
      </c>
      <c r="M83" s="1589">
        <v>0</v>
      </c>
      <c r="N83" s="1589">
        <v>0</v>
      </c>
      <c r="O83" s="1589">
        <v>0</v>
      </c>
      <c r="P83" s="1589">
        <v>0</v>
      </c>
      <c r="Q83" s="1589">
        <v>0</v>
      </c>
    </row>
    <row r="84" spans="1:17">
      <c r="A84" s="1727" t="s">
        <v>530</v>
      </c>
      <c r="B84" s="1589">
        <v>0</v>
      </c>
      <c r="C84" s="1589">
        <v>0</v>
      </c>
      <c r="D84" s="1589">
        <v>0</v>
      </c>
      <c r="E84" s="1589">
        <v>0</v>
      </c>
      <c r="F84" s="1589">
        <v>0</v>
      </c>
      <c r="G84" s="1589">
        <v>0</v>
      </c>
      <c r="H84" s="1589">
        <v>0</v>
      </c>
      <c r="I84" s="1589">
        <v>0</v>
      </c>
      <c r="J84" s="1589">
        <v>0</v>
      </c>
      <c r="K84" s="1589">
        <v>0</v>
      </c>
      <c r="L84" s="1589">
        <v>0</v>
      </c>
      <c r="M84" s="1589">
        <v>0</v>
      </c>
      <c r="N84" s="1589">
        <v>0</v>
      </c>
      <c r="O84" s="1589">
        <v>0</v>
      </c>
      <c r="P84" s="1589">
        <v>0</v>
      </c>
      <c r="Q84" s="1589">
        <v>0</v>
      </c>
    </row>
    <row r="85" spans="1:17">
      <c r="A85" s="1727" t="s">
        <v>532</v>
      </c>
      <c r="B85" s="1589">
        <v>0</v>
      </c>
      <c r="C85" s="1589">
        <v>0</v>
      </c>
      <c r="D85" s="1589">
        <v>0</v>
      </c>
      <c r="E85" s="1589">
        <v>0</v>
      </c>
      <c r="F85" s="1589">
        <v>0</v>
      </c>
      <c r="G85" s="1589">
        <v>0</v>
      </c>
      <c r="H85" s="1589">
        <v>0</v>
      </c>
      <c r="I85" s="1589">
        <v>0</v>
      </c>
      <c r="J85" s="1589">
        <v>0</v>
      </c>
      <c r="K85" s="1589">
        <v>0</v>
      </c>
      <c r="L85" s="1589">
        <v>0</v>
      </c>
      <c r="M85" s="1589">
        <v>0</v>
      </c>
      <c r="N85" s="1589">
        <v>0</v>
      </c>
      <c r="O85" s="1589">
        <v>0</v>
      </c>
      <c r="P85" s="1589">
        <v>0</v>
      </c>
      <c r="Q85" s="1589">
        <v>0</v>
      </c>
    </row>
    <row r="86" spans="1:17">
      <c r="A86" s="1727" t="s">
        <v>534</v>
      </c>
      <c r="B86" s="1589">
        <v>0</v>
      </c>
      <c r="C86" s="1589">
        <v>0</v>
      </c>
      <c r="D86" s="1589">
        <v>0</v>
      </c>
      <c r="E86" s="1589">
        <v>0</v>
      </c>
      <c r="F86" s="1589">
        <v>0</v>
      </c>
      <c r="G86" s="1589">
        <v>0</v>
      </c>
      <c r="H86" s="1589">
        <v>0</v>
      </c>
      <c r="I86" s="1589">
        <v>0</v>
      </c>
      <c r="J86" s="1589">
        <v>0</v>
      </c>
      <c r="K86" s="1589">
        <v>0</v>
      </c>
      <c r="L86" s="1589">
        <v>0</v>
      </c>
      <c r="M86" s="1589">
        <v>0</v>
      </c>
      <c r="N86" s="1589">
        <v>0</v>
      </c>
      <c r="O86" s="1589">
        <v>0</v>
      </c>
      <c r="P86" s="1589">
        <v>0</v>
      </c>
      <c r="Q86" s="1589">
        <v>0</v>
      </c>
    </row>
    <row r="87" spans="1:17">
      <c r="A87" s="1727" t="s">
        <v>536</v>
      </c>
      <c r="B87" s="1589">
        <v>0</v>
      </c>
      <c r="C87" s="1589">
        <v>0</v>
      </c>
      <c r="D87" s="1589">
        <v>0</v>
      </c>
      <c r="E87" s="1589">
        <v>0</v>
      </c>
      <c r="F87" s="1589">
        <v>0</v>
      </c>
      <c r="G87" s="1589">
        <v>0</v>
      </c>
      <c r="H87" s="1589">
        <v>0</v>
      </c>
      <c r="I87" s="1589">
        <v>0</v>
      </c>
      <c r="J87" s="1589">
        <v>0</v>
      </c>
      <c r="K87" s="1589">
        <v>0</v>
      </c>
      <c r="L87" s="1589">
        <v>0</v>
      </c>
      <c r="M87" s="1589">
        <v>0</v>
      </c>
      <c r="N87" s="1589">
        <v>0</v>
      </c>
      <c r="O87" s="1589">
        <v>0</v>
      </c>
      <c r="P87" s="1589">
        <v>0</v>
      </c>
      <c r="Q87" s="1589">
        <v>0</v>
      </c>
    </row>
    <row r="88" spans="1:17">
      <c r="A88" s="1727" t="s">
        <v>538</v>
      </c>
      <c r="B88" s="1589">
        <v>0</v>
      </c>
      <c r="C88" s="1589">
        <v>0</v>
      </c>
      <c r="D88" s="1589">
        <v>0</v>
      </c>
      <c r="E88" s="1589">
        <v>0</v>
      </c>
      <c r="F88" s="1589">
        <v>0</v>
      </c>
      <c r="G88" s="1589">
        <v>0</v>
      </c>
      <c r="H88" s="1589">
        <v>0</v>
      </c>
      <c r="I88" s="1589">
        <v>0</v>
      </c>
      <c r="J88" s="1589">
        <v>0</v>
      </c>
      <c r="K88" s="1589">
        <v>0</v>
      </c>
      <c r="L88" s="1589">
        <v>0</v>
      </c>
      <c r="M88" s="1589">
        <v>0</v>
      </c>
      <c r="N88" s="1589">
        <v>0</v>
      </c>
      <c r="O88" s="1589">
        <v>0</v>
      </c>
      <c r="P88" s="1589">
        <v>0</v>
      </c>
      <c r="Q88" s="1589">
        <v>0</v>
      </c>
    </row>
    <row r="89" spans="1:17">
      <c r="A89" s="1727" t="s">
        <v>540</v>
      </c>
      <c r="B89" s="1589">
        <v>0</v>
      </c>
      <c r="C89" s="1589">
        <v>0</v>
      </c>
      <c r="D89" s="1589">
        <v>0</v>
      </c>
      <c r="E89" s="1589">
        <v>0</v>
      </c>
      <c r="F89" s="1589">
        <v>0</v>
      </c>
      <c r="G89" s="1589">
        <v>0</v>
      </c>
      <c r="H89" s="1589">
        <v>0</v>
      </c>
      <c r="I89" s="1589">
        <v>0</v>
      </c>
      <c r="J89" s="1589">
        <v>0</v>
      </c>
      <c r="K89" s="1589">
        <v>0</v>
      </c>
      <c r="L89" s="1589">
        <v>0</v>
      </c>
      <c r="M89" s="1589">
        <v>0</v>
      </c>
      <c r="N89" s="1589">
        <v>0</v>
      </c>
      <c r="O89" s="1589">
        <v>0</v>
      </c>
      <c r="P89" s="1589">
        <v>0</v>
      </c>
      <c r="Q89" s="1589">
        <v>0</v>
      </c>
    </row>
    <row r="90" spans="1:17">
      <c r="A90" s="1726" t="s">
        <v>2558</v>
      </c>
      <c r="B90" s="1589">
        <v>0</v>
      </c>
      <c r="C90" s="1589">
        <v>0</v>
      </c>
      <c r="D90" s="1589">
        <v>0</v>
      </c>
      <c r="E90" s="1589">
        <v>0</v>
      </c>
      <c r="F90" s="1589">
        <v>0</v>
      </c>
      <c r="G90" s="1589">
        <v>0</v>
      </c>
      <c r="H90" s="1589">
        <v>0</v>
      </c>
      <c r="I90" s="1589">
        <v>0</v>
      </c>
      <c r="J90" s="1589">
        <v>0</v>
      </c>
      <c r="K90" s="1589">
        <v>0</v>
      </c>
      <c r="L90" s="1589">
        <v>0</v>
      </c>
      <c r="M90" s="1589">
        <v>0</v>
      </c>
      <c r="N90" s="1589">
        <v>0</v>
      </c>
      <c r="O90" s="1589">
        <v>0</v>
      </c>
      <c r="P90" s="1589">
        <v>0</v>
      </c>
      <c r="Q90" s="1589">
        <v>0</v>
      </c>
    </row>
    <row r="91" spans="1:17">
      <c r="A91" s="1727" t="s">
        <v>603</v>
      </c>
      <c r="B91" s="1589">
        <v>0</v>
      </c>
      <c r="C91" s="1589">
        <v>0</v>
      </c>
      <c r="D91" s="1589">
        <v>0</v>
      </c>
      <c r="E91" s="1589">
        <v>0</v>
      </c>
      <c r="F91" s="1589">
        <v>0</v>
      </c>
      <c r="G91" s="1589">
        <v>0</v>
      </c>
      <c r="H91" s="1589">
        <v>0</v>
      </c>
      <c r="I91" s="1589">
        <v>0</v>
      </c>
      <c r="J91" s="1589">
        <v>0</v>
      </c>
      <c r="K91" s="1589">
        <v>0</v>
      </c>
      <c r="L91" s="1589">
        <v>0</v>
      </c>
      <c r="M91" s="1589">
        <v>0</v>
      </c>
      <c r="N91" s="1589">
        <v>0</v>
      </c>
      <c r="O91" s="1589">
        <v>0</v>
      </c>
      <c r="P91" s="1589">
        <v>0</v>
      </c>
      <c r="Q91" s="1589">
        <v>0</v>
      </c>
    </row>
    <row r="92" spans="1:17">
      <c r="A92" s="1727" t="s">
        <v>528</v>
      </c>
      <c r="B92" s="1589">
        <v>0</v>
      </c>
      <c r="C92" s="1589">
        <v>0</v>
      </c>
      <c r="D92" s="1589">
        <v>0</v>
      </c>
      <c r="E92" s="1589">
        <v>0</v>
      </c>
      <c r="F92" s="1589">
        <v>0</v>
      </c>
      <c r="G92" s="1589">
        <v>0</v>
      </c>
      <c r="H92" s="1589">
        <v>0</v>
      </c>
      <c r="I92" s="1589">
        <v>0</v>
      </c>
      <c r="J92" s="1589">
        <v>0</v>
      </c>
      <c r="K92" s="1589">
        <v>0</v>
      </c>
      <c r="L92" s="1589">
        <v>0</v>
      </c>
      <c r="M92" s="1589">
        <v>0</v>
      </c>
      <c r="N92" s="1589">
        <v>0</v>
      </c>
      <c r="O92" s="1589">
        <v>0</v>
      </c>
      <c r="P92" s="1589">
        <v>0</v>
      </c>
      <c r="Q92" s="1589">
        <v>0</v>
      </c>
    </row>
    <row r="93" spans="1:17">
      <c r="A93" s="1727" t="s">
        <v>530</v>
      </c>
      <c r="B93" s="1589">
        <v>0</v>
      </c>
      <c r="C93" s="1589">
        <v>0</v>
      </c>
      <c r="D93" s="1589">
        <v>0</v>
      </c>
      <c r="E93" s="1589">
        <v>0</v>
      </c>
      <c r="F93" s="1589">
        <v>0</v>
      </c>
      <c r="G93" s="1589">
        <v>0</v>
      </c>
      <c r="H93" s="1589">
        <v>0</v>
      </c>
      <c r="I93" s="1589">
        <v>0</v>
      </c>
      <c r="J93" s="1589">
        <v>0</v>
      </c>
      <c r="K93" s="1589">
        <v>0</v>
      </c>
      <c r="L93" s="1589">
        <v>0</v>
      </c>
      <c r="M93" s="1589">
        <v>0</v>
      </c>
      <c r="N93" s="1589">
        <v>0</v>
      </c>
      <c r="O93" s="1589">
        <v>0</v>
      </c>
      <c r="P93" s="1589">
        <v>0</v>
      </c>
      <c r="Q93" s="1589">
        <v>0</v>
      </c>
    </row>
    <row r="94" spans="1:17">
      <c r="A94" s="1727" t="s">
        <v>532</v>
      </c>
      <c r="B94" s="1589">
        <v>0</v>
      </c>
      <c r="C94" s="1589">
        <v>0</v>
      </c>
      <c r="D94" s="1589">
        <v>0</v>
      </c>
      <c r="E94" s="1589">
        <v>0</v>
      </c>
      <c r="F94" s="1589">
        <v>0</v>
      </c>
      <c r="G94" s="1589">
        <v>0</v>
      </c>
      <c r="H94" s="1589">
        <v>0</v>
      </c>
      <c r="I94" s="1589">
        <v>0</v>
      </c>
      <c r="J94" s="1589">
        <v>0</v>
      </c>
      <c r="K94" s="1589">
        <v>0</v>
      </c>
      <c r="L94" s="1589">
        <v>0</v>
      </c>
      <c r="M94" s="1589">
        <v>0</v>
      </c>
      <c r="N94" s="1589">
        <v>0</v>
      </c>
      <c r="O94" s="1589">
        <v>0</v>
      </c>
      <c r="P94" s="1589">
        <v>0</v>
      </c>
      <c r="Q94" s="1589">
        <v>0</v>
      </c>
    </row>
    <row r="95" spans="1:17">
      <c r="A95" s="1727" t="s">
        <v>534</v>
      </c>
      <c r="B95" s="1589">
        <v>0</v>
      </c>
      <c r="C95" s="1589">
        <v>0</v>
      </c>
      <c r="D95" s="1589">
        <v>0</v>
      </c>
      <c r="E95" s="1589">
        <v>0</v>
      </c>
      <c r="F95" s="1589">
        <v>0</v>
      </c>
      <c r="G95" s="1589">
        <v>0</v>
      </c>
      <c r="H95" s="1589">
        <v>0</v>
      </c>
      <c r="I95" s="1589">
        <v>0</v>
      </c>
      <c r="J95" s="1589">
        <v>0</v>
      </c>
      <c r="K95" s="1589">
        <v>0</v>
      </c>
      <c r="L95" s="1589">
        <v>0</v>
      </c>
      <c r="M95" s="1589">
        <v>0</v>
      </c>
      <c r="N95" s="1589">
        <v>0</v>
      </c>
      <c r="O95" s="1589">
        <v>0</v>
      </c>
      <c r="P95" s="1589">
        <v>0</v>
      </c>
      <c r="Q95" s="1589">
        <v>0</v>
      </c>
    </row>
    <row r="96" spans="1:17">
      <c r="A96" s="1727" t="s">
        <v>536</v>
      </c>
      <c r="B96" s="1589">
        <v>0</v>
      </c>
      <c r="C96" s="1589">
        <v>0</v>
      </c>
      <c r="D96" s="1589">
        <v>0</v>
      </c>
      <c r="E96" s="1589">
        <v>0</v>
      </c>
      <c r="F96" s="1589">
        <v>0</v>
      </c>
      <c r="G96" s="1589">
        <v>0</v>
      </c>
      <c r="H96" s="1589">
        <v>0</v>
      </c>
      <c r="I96" s="1589">
        <v>0</v>
      </c>
      <c r="J96" s="1589">
        <v>0</v>
      </c>
      <c r="K96" s="1589">
        <v>0</v>
      </c>
      <c r="L96" s="1589">
        <v>0</v>
      </c>
      <c r="M96" s="1589">
        <v>0</v>
      </c>
      <c r="N96" s="1589">
        <v>0</v>
      </c>
      <c r="O96" s="1589">
        <v>0</v>
      </c>
      <c r="P96" s="1589">
        <v>0</v>
      </c>
      <c r="Q96" s="1589">
        <v>0</v>
      </c>
    </row>
    <row r="97" spans="1:17">
      <c r="A97" s="1727" t="s">
        <v>538</v>
      </c>
      <c r="B97" s="1589">
        <v>0</v>
      </c>
      <c r="C97" s="1589">
        <v>0</v>
      </c>
      <c r="D97" s="1589">
        <v>0</v>
      </c>
      <c r="E97" s="1589">
        <v>0</v>
      </c>
      <c r="F97" s="1589">
        <v>0</v>
      </c>
      <c r="G97" s="1589">
        <v>0</v>
      </c>
      <c r="H97" s="1589">
        <v>0</v>
      </c>
      <c r="I97" s="1589">
        <v>0</v>
      </c>
      <c r="J97" s="1589">
        <v>0</v>
      </c>
      <c r="K97" s="1589">
        <v>0</v>
      </c>
      <c r="L97" s="1589">
        <v>0</v>
      </c>
      <c r="M97" s="1589">
        <v>0</v>
      </c>
      <c r="N97" s="1589">
        <v>0</v>
      </c>
      <c r="O97" s="1589">
        <v>0</v>
      </c>
      <c r="P97" s="1589">
        <v>0</v>
      </c>
      <c r="Q97" s="1589">
        <v>0</v>
      </c>
    </row>
    <row r="98" spans="1:17">
      <c r="A98" s="1727" t="s">
        <v>540</v>
      </c>
      <c r="B98" s="1589">
        <v>0</v>
      </c>
      <c r="C98" s="1589">
        <v>0</v>
      </c>
      <c r="D98" s="1589">
        <v>0</v>
      </c>
      <c r="E98" s="1589">
        <v>0</v>
      </c>
      <c r="F98" s="1589">
        <v>0</v>
      </c>
      <c r="G98" s="1589">
        <v>0</v>
      </c>
      <c r="H98" s="1589">
        <v>0</v>
      </c>
      <c r="I98" s="1589">
        <v>0</v>
      </c>
      <c r="J98" s="1589">
        <v>0</v>
      </c>
      <c r="K98" s="1589">
        <v>0</v>
      </c>
      <c r="L98" s="1589">
        <v>0</v>
      </c>
      <c r="M98" s="1589">
        <v>0</v>
      </c>
      <c r="N98" s="1589">
        <v>0</v>
      </c>
      <c r="O98" s="1589">
        <v>0</v>
      </c>
      <c r="P98" s="1589">
        <v>0</v>
      </c>
      <c r="Q98" s="1589">
        <v>0</v>
      </c>
    </row>
    <row r="99" spans="1:17">
      <c r="A99" s="1726" t="s">
        <v>2553</v>
      </c>
      <c r="B99" s="1589">
        <v>0</v>
      </c>
      <c r="C99" s="1589">
        <v>0</v>
      </c>
      <c r="D99" s="1589">
        <v>0</v>
      </c>
      <c r="E99" s="1589">
        <v>0</v>
      </c>
      <c r="F99" s="1589">
        <v>0</v>
      </c>
      <c r="G99" s="1589">
        <v>0</v>
      </c>
      <c r="H99" s="1589">
        <v>0</v>
      </c>
      <c r="I99" s="1589">
        <v>0</v>
      </c>
      <c r="J99" s="1589">
        <v>0</v>
      </c>
      <c r="K99" s="1589">
        <v>0</v>
      </c>
      <c r="L99" s="1589">
        <v>0</v>
      </c>
      <c r="M99" s="1589">
        <v>0</v>
      </c>
      <c r="N99" s="1589">
        <v>0</v>
      </c>
      <c r="O99" s="1589">
        <v>0</v>
      </c>
      <c r="P99" s="1589">
        <v>0</v>
      </c>
      <c r="Q99" s="1589">
        <v>0</v>
      </c>
    </row>
    <row r="100" spans="1:17">
      <c r="A100" s="1727" t="s">
        <v>603</v>
      </c>
      <c r="B100" s="1589">
        <v>0</v>
      </c>
      <c r="C100" s="1589">
        <v>0</v>
      </c>
      <c r="D100" s="1589">
        <v>0</v>
      </c>
      <c r="E100" s="1589">
        <v>0</v>
      </c>
      <c r="F100" s="1589">
        <v>0</v>
      </c>
      <c r="G100" s="1589">
        <v>0</v>
      </c>
      <c r="H100" s="1589">
        <v>0</v>
      </c>
      <c r="I100" s="1589">
        <v>0</v>
      </c>
      <c r="J100" s="1589">
        <v>0</v>
      </c>
      <c r="K100" s="1589">
        <v>0</v>
      </c>
      <c r="L100" s="1589">
        <v>0</v>
      </c>
      <c r="M100" s="1589">
        <v>0</v>
      </c>
      <c r="N100" s="1589">
        <v>0</v>
      </c>
      <c r="O100" s="1589">
        <v>0</v>
      </c>
      <c r="P100" s="1589">
        <v>0</v>
      </c>
      <c r="Q100" s="1589">
        <v>0</v>
      </c>
    </row>
    <row r="101" spans="1:17">
      <c r="A101" s="1727" t="s">
        <v>528</v>
      </c>
      <c r="B101" s="1589">
        <v>0</v>
      </c>
      <c r="C101" s="1589">
        <v>0</v>
      </c>
      <c r="D101" s="1589">
        <v>0</v>
      </c>
      <c r="E101" s="1589">
        <v>0</v>
      </c>
      <c r="F101" s="1589">
        <v>0</v>
      </c>
      <c r="G101" s="1589">
        <v>0</v>
      </c>
      <c r="H101" s="1589">
        <v>0</v>
      </c>
      <c r="I101" s="1589">
        <v>0</v>
      </c>
      <c r="J101" s="1589">
        <v>0</v>
      </c>
      <c r="K101" s="1589">
        <v>0</v>
      </c>
      <c r="L101" s="1589">
        <v>0</v>
      </c>
      <c r="M101" s="1589">
        <v>0</v>
      </c>
      <c r="N101" s="1589">
        <v>0</v>
      </c>
      <c r="O101" s="1589">
        <v>0</v>
      </c>
      <c r="P101" s="1589">
        <v>0</v>
      </c>
      <c r="Q101" s="1589">
        <v>0</v>
      </c>
    </row>
    <row r="102" spans="1:17">
      <c r="A102" s="1727" t="s">
        <v>530</v>
      </c>
      <c r="B102" s="1589">
        <v>0</v>
      </c>
      <c r="C102" s="1589">
        <v>0</v>
      </c>
      <c r="D102" s="1589">
        <v>0</v>
      </c>
      <c r="E102" s="1589">
        <v>0</v>
      </c>
      <c r="F102" s="1589">
        <v>0</v>
      </c>
      <c r="G102" s="1589">
        <v>0</v>
      </c>
      <c r="H102" s="1589">
        <v>0</v>
      </c>
      <c r="I102" s="1589">
        <v>0</v>
      </c>
      <c r="J102" s="1589">
        <v>0</v>
      </c>
      <c r="K102" s="1589">
        <v>0</v>
      </c>
      <c r="L102" s="1589">
        <v>0</v>
      </c>
      <c r="M102" s="1589">
        <v>0</v>
      </c>
      <c r="N102" s="1589">
        <v>0</v>
      </c>
      <c r="O102" s="1589">
        <v>0</v>
      </c>
      <c r="P102" s="1589">
        <v>0</v>
      </c>
      <c r="Q102" s="1589">
        <v>0</v>
      </c>
    </row>
    <row r="103" spans="1:17">
      <c r="A103" s="1727" t="s">
        <v>532</v>
      </c>
      <c r="B103" s="1589">
        <v>0</v>
      </c>
      <c r="C103" s="1589">
        <v>0</v>
      </c>
      <c r="D103" s="1589">
        <v>0</v>
      </c>
      <c r="E103" s="1589">
        <v>0</v>
      </c>
      <c r="F103" s="1589">
        <v>0</v>
      </c>
      <c r="G103" s="1589">
        <v>0</v>
      </c>
      <c r="H103" s="1589">
        <v>0</v>
      </c>
      <c r="I103" s="1589">
        <v>0</v>
      </c>
      <c r="J103" s="1589">
        <v>0</v>
      </c>
      <c r="K103" s="1589">
        <v>0</v>
      </c>
      <c r="L103" s="1589">
        <v>0</v>
      </c>
      <c r="M103" s="1589">
        <v>0</v>
      </c>
      <c r="N103" s="1589">
        <v>0</v>
      </c>
      <c r="O103" s="1589">
        <v>0</v>
      </c>
      <c r="P103" s="1589">
        <v>0</v>
      </c>
      <c r="Q103" s="1589">
        <v>0</v>
      </c>
    </row>
    <row r="104" spans="1:17">
      <c r="A104" s="1727" t="s">
        <v>534</v>
      </c>
      <c r="B104" s="1589">
        <v>0</v>
      </c>
      <c r="C104" s="1589">
        <v>0</v>
      </c>
      <c r="D104" s="1589">
        <v>0</v>
      </c>
      <c r="E104" s="1589">
        <v>0</v>
      </c>
      <c r="F104" s="1589">
        <v>0</v>
      </c>
      <c r="G104" s="1589">
        <v>0</v>
      </c>
      <c r="H104" s="1589">
        <v>0</v>
      </c>
      <c r="I104" s="1589">
        <v>0</v>
      </c>
      <c r="J104" s="1589">
        <v>0</v>
      </c>
      <c r="K104" s="1589">
        <v>0</v>
      </c>
      <c r="L104" s="1589">
        <v>0</v>
      </c>
      <c r="M104" s="1589">
        <v>0</v>
      </c>
      <c r="N104" s="1589">
        <v>0</v>
      </c>
      <c r="O104" s="1589">
        <v>0</v>
      </c>
      <c r="P104" s="1589">
        <v>0</v>
      </c>
      <c r="Q104" s="1589">
        <v>0</v>
      </c>
    </row>
    <row r="105" spans="1:17">
      <c r="A105" s="1727" t="s">
        <v>536</v>
      </c>
      <c r="B105" s="1589">
        <v>0</v>
      </c>
      <c r="C105" s="1589">
        <v>0</v>
      </c>
      <c r="D105" s="1589">
        <v>0</v>
      </c>
      <c r="E105" s="1589">
        <v>0</v>
      </c>
      <c r="F105" s="1589">
        <v>0</v>
      </c>
      <c r="G105" s="1589">
        <v>0</v>
      </c>
      <c r="H105" s="1589">
        <v>0</v>
      </c>
      <c r="I105" s="1589">
        <v>0</v>
      </c>
      <c r="J105" s="1589">
        <v>0</v>
      </c>
      <c r="K105" s="1589">
        <v>0</v>
      </c>
      <c r="L105" s="1589">
        <v>0</v>
      </c>
      <c r="M105" s="1589">
        <v>0</v>
      </c>
      <c r="N105" s="1589">
        <v>0</v>
      </c>
      <c r="O105" s="1589">
        <v>0</v>
      </c>
      <c r="P105" s="1589">
        <v>0</v>
      </c>
      <c r="Q105" s="1589">
        <v>0</v>
      </c>
    </row>
    <row r="106" spans="1:17">
      <c r="A106" s="1727" t="s">
        <v>538</v>
      </c>
      <c r="B106" s="1589">
        <v>0</v>
      </c>
      <c r="C106" s="1589">
        <v>0</v>
      </c>
      <c r="D106" s="1589">
        <v>0</v>
      </c>
      <c r="E106" s="1589">
        <v>0</v>
      </c>
      <c r="F106" s="1589">
        <v>0</v>
      </c>
      <c r="G106" s="1589">
        <v>0</v>
      </c>
      <c r="H106" s="1589">
        <v>0</v>
      </c>
      <c r="I106" s="1589">
        <v>0</v>
      </c>
      <c r="J106" s="1589">
        <v>0</v>
      </c>
      <c r="K106" s="1589">
        <v>0</v>
      </c>
      <c r="L106" s="1589">
        <v>0</v>
      </c>
      <c r="M106" s="1589">
        <v>0</v>
      </c>
      <c r="N106" s="1589">
        <v>0</v>
      </c>
      <c r="O106" s="1589">
        <v>0</v>
      </c>
      <c r="P106" s="1589">
        <v>0</v>
      </c>
      <c r="Q106" s="1589">
        <v>0</v>
      </c>
    </row>
    <row r="107" spans="1:17">
      <c r="A107" s="1727" t="s">
        <v>540</v>
      </c>
      <c r="B107" s="1589">
        <v>0</v>
      </c>
      <c r="C107" s="1589">
        <v>0</v>
      </c>
      <c r="D107" s="1589">
        <v>0</v>
      </c>
      <c r="E107" s="1589">
        <v>0</v>
      </c>
      <c r="F107" s="1589">
        <v>0</v>
      </c>
      <c r="G107" s="1589">
        <v>0</v>
      </c>
      <c r="H107" s="1589">
        <v>0</v>
      </c>
      <c r="I107" s="1589">
        <v>0</v>
      </c>
      <c r="J107" s="1589">
        <v>0</v>
      </c>
      <c r="K107" s="1589">
        <v>0</v>
      </c>
      <c r="L107" s="1589">
        <v>0</v>
      </c>
      <c r="M107" s="1589">
        <v>0</v>
      </c>
      <c r="N107" s="1589">
        <v>0</v>
      </c>
      <c r="O107" s="1589">
        <v>0</v>
      </c>
      <c r="P107" s="1589">
        <v>0</v>
      </c>
      <c r="Q107" s="1589">
        <v>0</v>
      </c>
    </row>
    <row r="108" spans="1:17">
      <c r="A108" s="1726" t="s">
        <v>2552</v>
      </c>
      <c r="B108" s="1589">
        <v>0</v>
      </c>
      <c r="C108" s="1589">
        <v>0</v>
      </c>
      <c r="D108" s="1589">
        <v>0</v>
      </c>
      <c r="E108" s="1589">
        <v>0</v>
      </c>
      <c r="F108" s="1589">
        <v>0</v>
      </c>
      <c r="G108" s="1589">
        <v>0</v>
      </c>
      <c r="H108" s="1589">
        <v>0</v>
      </c>
      <c r="I108" s="1589">
        <v>0</v>
      </c>
      <c r="J108" s="1589">
        <v>0</v>
      </c>
      <c r="K108" s="1589">
        <v>0</v>
      </c>
      <c r="L108" s="1589">
        <v>0</v>
      </c>
      <c r="M108" s="1589">
        <v>0</v>
      </c>
      <c r="N108" s="1589">
        <v>0</v>
      </c>
      <c r="O108" s="1589">
        <v>0</v>
      </c>
      <c r="P108" s="1589">
        <v>0</v>
      </c>
      <c r="Q108" s="1589">
        <v>0</v>
      </c>
    </row>
    <row r="109" spans="1:17">
      <c r="A109" s="1727" t="s">
        <v>603</v>
      </c>
      <c r="B109" s="1589">
        <v>0</v>
      </c>
      <c r="C109" s="1589">
        <v>0</v>
      </c>
      <c r="D109" s="1589">
        <v>0</v>
      </c>
      <c r="E109" s="1589">
        <v>0</v>
      </c>
      <c r="F109" s="1589">
        <v>0</v>
      </c>
      <c r="G109" s="1589">
        <v>0</v>
      </c>
      <c r="H109" s="1589">
        <v>0</v>
      </c>
      <c r="I109" s="1589">
        <v>0</v>
      </c>
      <c r="J109" s="1589">
        <v>0</v>
      </c>
      <c r="K109" s="1589">
        <v>0</v>
      </c>
      <c r="L109" s="1589">
        <v>0</v>
      </c>
      <c r="M109" s="1589">
        <v>0</v>
      </c>
      <c r="N109" s="1589">
        <v>0</v>
      </c>
      <c r="O109" s="1589">
        <v>0</v>
      </c>
      <c r="P109" s="1589">
        <v>0</v>
      </c>
      <c r="Q109" s="1589">
        <v>0</v>
      </c>
    </row>
    <row r="110" spans="1:17">
      <c r="A110" s="1727" t="s">
        <v>528</v>
      </c>
      <c r="B110" s="1589">
        <v>0</v>
      </c>
      <c r="C110" s="1589">
        <v>0</v>
      </c>
      <c r="D110" s="1589">
        <v>0</v>
      </c>
      <c r="E110" s="1589">
        <v>0</v>
      </c>
      <c r="F110" s="1589">
        <v>0</v>
      </c>
      <c r="G110" s="1589">
        <v>0</v>
      </c>
      <c r="H110" s="1589">
        <v>0</v>
      </c>
      <c r="I110" s="1589">
        <v>0</v>
      </c>
      <c r="J110" s="1589">
        <v>0</v>
      </c>
      <c r="K110" s="1589">
        <v>0</v>
      </c>
      <c r="L110" s="1589">
        <v>0</v>
      </c>
      <c r="M110" s="1589">
        <v>0</v>
      </c>
      <c r="N110" s="1589">
        <v>0</v>
      </c>
      <c r="O110" s="1589">
        <v>0</v>
      </c>
      <c r="P110" s="1589">
        <v>0</v>
      </c>
      <c r="Q110" s="1589">
        <v>0</v>
      </c>
    </row>
    <row r="111" spans="1:17">
      <c r="A111" s="1727" t="s">
        <v>530</v>
      </c>
      <c r="B111" s="1589">
        <v>0</v>
      </c>
      <c r="C111" s="1589">
        <v>0</v>
      </c>
      <c r="D111" s="1589">
        <v>0</v>
      </c>
      <c r="E111" s="1589">
        <v>0</v>
      </c>
      <c r="F111" s="1589">
        <v>0</v>
      </c>
      <c r="G111" s="1589">
        <v>0</v>
      </c>
      <c r="H111" s="1589">
        <v>0</v>
      </c>
      <c r="I111" s="1589">
        <v>0</v>
      </c>
      <c r="J111" s="1589">
        <v>0</v>
      </c>
      <c r="K111" s="1589">
        <v>0</v>
      </c>
      <c r="L111" s="1589">
        <v>0</v>
      </c>
      <c r="M111" s="1589">
        <v>0</v>
      </c>
      <c r="N111" s="1589">
        <v>0</v>
      </c>
      <c r="O111" s="1589">
        <v>0</v>
      </c>
      <c r="P111" s="1589">
        <v>0</v>
      </c>
      <c r="Q111" s="1589">
        <v>0</v>
      </c>
    </row>
    <row r="112" spans="1:17">
      <c r="A112" s="1727" t="s">
        <v>532</v>
      </c>
      <c r="B112" s="1589">
        <v>0</v>
      </c>
      <c r="C112" s="1589">
        <v>0</v>
      </c>
      <c r="D112" s="1589">
        <v>0</v>
      </c>
      <c r="E112" s="1589">
        <v>0</v>
      </c>
      <c r="F112" s="1589">
        <v>0</v>
      </c>
      <c r="G112" s="1589">
        <v>0</v>
      </c>
      <c r="H112" s="1589">
        <v>0</v>
      </c>
      <c r="I112" s="1589">
        <v>0</v>
      </c>
      <c r="J112" s="1589">
        <v>0</v>
      </c>
      <c r="K112" s="1589">
        <v>0</v>
      </c>
      <c r="L112" s="1589">
        <v>0</v>
      </c>
      <c r="M112" s="1589">
        <v>0</v>
      </c>
      <c r="N112" s="1589">
        <v>0</v>
      </c>
      <c r="O112" s="1589">
        <v>0</v>
      </c>
      <c r="P112" s="1589">
        <v>0</v>
      </c>
      <c r="Q112" s="1589">
        <v>0</v>
      </c>
    </row>
    <row r="113" spans="1:17">
      <c r="A113" s="1727" t="s">
        <v>534</v>
      </c>
      <c r="B113" s="1589">
        <v>0</v>
      </c>
      <c r="C113" s="1589">
        <v>0</v>
      </c>
      <c r="D113" s="1589">
        <v>0</v>
      </c>
      <c r="E113" s="1589">
        <v>0</v>
      </c>
      <c r="F113" s="1589">
        <v>0</v>
      </c>
      <c r="G113" s="1589">
        <v>0</v>
      </c>
      <c r="H113" s="1589">
        <v>0</v>
      </c>
      <c r="I113" s="1589">
        <v>0</v>
      </c>
      <c r="J113" s="1589">
        <v>0</v>
      </c>
      <c r="K113" s="1589">
        <v>0</v>
      </c>
      <c r="L113" s="1589">
        <v>0</v>
      </c>
      <c r="M113" s="1589">
        <v>0</v>
      </c>
      <c r="N113" s="1589">
        <v>0</v>
      </c>
      <c r="O113" s="1589">
        <v>0</v>
      </c>
      <c r="P113" s="1589">
        <v>0</v>
      </c>
      <c r="Q113" s="1589">
        <v>0</v>
      </c>
    </row>
    <row r="114" spans="1:17">
      <c r="A114" s="1727" t="s">
        <v>536</v>
      </c>
      <c r="B114" s="1589">
        <v>0</v>
      </c>
      <c r="C114" s="1589">
        <v>0</v>
      </c>
      <c r="D114" s="1589">
        <v>0</v>
      </c>
      <c r="E114" s="1589">
        <v>0</v>
      </c>
      <c r="F114" s="1589">
        <v>0</v>
      </c>
      <c r="G114" s="1589">
        <v>0</v>
      </c>
      <c r="H114" s="1589">
        <v>0</v>
      </c>
      <c r="I114" s="1589">
        <v>0</v>
      </c>
      <c r="J114" s="1589">
        <v>0</v>
      </c>
      <c r="K114" s="1589">
        <v>0</v>
      </c>
      <c r="L114" s="1589">
        <v>0</v>
      </c>
      <c r="M114" s="1589">
        <v>0</v>
      </c>
      <c r="N114" s="1589">
        <v>0</v>
      </c>
      <c r="O114" s="1589">
        <v>0</v>
      </c>
      <c r="P114" s="1589">
        <v>0</v>
      </c>
      <c r="Q114" s="1589">
        <v>0</v>
      </c>
    </row>
    <row r="115" spans="1:17">
      <c r="A115" s="1727" t="s">
        <v>538</v>
      </c>
      <c r="B115" s="1589">
        <v>0</v>
      </c>
      <c r="C115" s="1589">
        <v>0</v>
      </c>
      <c r="D115" s="1589">
        <v>0</v>
      </c>
      <c r="E115" s="1589">
        <v>0</v>
      </c>
      <c r="F115" s="1589">
        <v>0</v>
      </c>
      <c r="G115" s="1589">
        <v>0</v>
      </c>
      <c r="H115" s="1589">
        <v>0</v>
      </c>
      <c r="I115" s="1589">
        <v>0</v>
      </c>
      <c r="J115" s="1589">
        <v>0</v>
      </c>
      <c r="K115" s="1589">
        <v>0</v>
      </c>
      <c r="L115" s="1589">
        <v>0</v>
      </c>
      <c r="M115" s="1589">
        <v>0</v>
      </c>
      <c r="N115" s="1589">
        <v>0</v>
      </c>
      <c r="O115" s="1589">
        <v>0</v>
      </c>
      <c r="P115" s="1589">
        <v>0</v>
      </c>
      <c r="Q115" s="1589">
        <v>0</v>
      </c>
    </row>
    <row r="116" spans="1:17">
      <c r="A116" s="1727" t="s">
        <v>540</v>
      </c>
      <c r="B116" s="1589">
        <v>0</v>
      </c>
      <c r="C116" s="1589">
        <v>0</v>
      </c>
      <c r="D116" s="1589">
        <v>0</v>
      </c>
      <c r="E116" s="1589">
        <v>0</v>
      </c>
      <c r="F116" s="1589">
        <v>0</v>
      </c>
      <c r="G116" s="1589">
        <v>0</v>
      </c>
      <c r="H116" s="1589">
        <v>0</v>
      </c>
      <c r="I116" s="1589">
        <v>0</v>
      </c>
      <c r="J116" s="1589">
        <v>0</v>
      </c>
      <c r="K116" s="1589">
        <v>0</v>
      </c>
      <c r="L116" s="1589">
        <v>0</v>
      </c>
      <c r="M116" s="1589">
        <v>0</v>
      </c>
      <c r="N116" s="1589">
        <v>0</v>
      </c>
      <c r="O116" s="1589">
        <v>0</v>
      </c>
      <c r="P116" s="1589">
        <v>0</v>
      </c>
      <c r="Q116" s="1589">
        <v>0</v>
      </c>
    </row>
    <row r="117" spans="1:17">
      <c r="A117" s="1726" t="s">
        <v>91</v>
      </c>
      <c r="B117" s="1589">
        <v>0</v>
      </c>
      <c r="C117" s="1589">
        <v>0</v>
      </c>
      <c r="D117" s="1589">
        <v>0</v>
      </c>
      <c r="E117" s="1589">
        <v>0</v>
      </c>
      <c r="F117" s="1589">
        <v>0</v>
      </c>
      <c r="G117" s="1589">
        <v>0</v>
      </c>
      <c r="H117" s="1589">
        <v>0</v>
      </c>
      <c r="I117" s="1589">
        <v>0</v>
      </c>
      <c r="J117" s="1589">
        <v>0</v>
      </c>
      <c r="K117" s="1589">
        <v>0</v>
      </c>
      <c r="L117" s="1589">
        <v>0</v>
      </c>
      <c r="M117" s="1589">
        <v>0</v>
      </c>
      <c r="N117" s="1589">
        <v>0</v>
      </c>
      <c r="O117" s="1589">
        <v>0</v>
      </c>
      <c r="P117" s="1589">
        <v>0</v>
      </c>
      <c r="Q117" s="1589">
        <v>0</v>
      </c>
    </row>
    <row r="118" spans="1:17">
      <c r="A118" s="1727" t="s">
        <v>603</v>
      </c>
      <c r="B118" s="1589">
        <v>0</v>
      </c>
      <c r="C118" s="1589">
        <v>0</v>
      </c>
      <c r="D118" s="1589">
        <v>0</v>
      </c>
      <c r="E118" s="1589">
        <v>0</v>
      </c>
      <c r="F118" s="1589">
        <v>0</v>
      </c>
      <c r="G118" s="1589">
        <v>0</v>
      </c>
      <c r="H118" s="1589">
        <v>0</v>
      </c>
      <c r="I118" s="1589">
        <v>0</v>
      </c>
      <c r="J118" s="1589">
        <v>0</v>
      </c>
      <c r="K118" s="1589">
        <v>0</v>
      </c>
      <c r="L118" s="1589">
        <v>0</v>
      </c>
      <c r="M118" s="1589">
        <v>0</v>
      </c>
      <c r="N118" s="1589">
        <v>0</v>
      </c>
      <c r="O118" s="1589">
        <v>0</v>
      </c>
      <c r="P118" s="1589">
        <v>0</v>
      </c>
      <c r="Q118" s="1589">
        <v>0</v>
      </c>
    </row>
    <row r="119" spans="1:17">
      <c r="A119" s="1727" t="s">
        <v>528</v>
      </c>
      <c r="B119" s="1589">
        <v>0</v>
      </c>
      <c r="C119" s="1589">
        <v>0</v>
      </c>
      <c r="D119" s="1589">
        <v>0</v>
      </c>
      <c r="E119" s="1589">
        <v>0</v>
      </c>
      <c r="F119" s="1589">
        <v>0</v>
      </c>
      <c r="G119" s="1589">
        <v>0</v>
      </c>
      <c r="H119" s="1589">
        <v>0</v>
      </c>
      <c r="I119" s="1589">
        <v>0</v>
      </c>
      <c r="J119" s="1589">
        <v>0</v>
      </c>
      <c r="K119" s="1589">
        <v>0</v>
      </c>
      <c r="L119" s="1589">
        <v>0</v>
      </c>
      <c r="M119" s="1589">
        <v>0</v>
      </c>
      <c r="N119" s="1589">
        <v>0</v>
      </c>
      <c r="O119" s="1589">
        <v>0</v>
      </c>
      <c r="P119" s="1589">
        <v>0</v>
      </c>
      <c r="Q119" s="1589">
        <v>0</v>
      </c>
    </row>
    <row r="120" spans="1:17">
      <c r="A120" s="1727" t="s">
        <v>530</v>
      </c>
      <c r="B120" s="1589">
        <v>0</v>
      </c>
      <c r="C120" s="1589">
        <v>0</v>
      </c>
      <c r="D120" s="1589">
        <v>0</v>
      </c>
      <c r="E120" s="1589">
        <v>0</v>
      </c>
      <c r="F120" s="1589">
        <v>0</v>
      </c>
      <c r="G120" s="1589">
        <v>0</v>
      </c>
      <c r="H120" s="1589">
        <v>0</v>
      </c>
      <c r="I120" s="1589">
        <v>0</v>
      </c>
      <c r="J120" s="1589">
        <v>0</v>
      </c>
      <c r="K120" s="1589">
        <v>0</v>
      </c>
      <c r="L120" s="1589">
        <v>0</v>
      </c>
      <c r="M120" s="1589">
        <v>0</v>
      </c>
      <c r="N120" s="1589">
        <v>0</v>
      </c>
      <c r="O120" s="1589">
        <v>0</v>
      </c>
      <c r="P120" s="1589">
        <v>0</v>
      </c>
      <c r="Q120" s="1589">
        <v>0</v>
      </c>
    </row>
    <row r="121" spans="1:17">
      <c r="A121" s="1727" t="s">
        <v>532</v>
      </c>
      <c r="B121" s="1589">
        <v>0</v>
      </c>
      <c r="C121" s="1589">
        <v>0</v>
      </c>
      <c r="D121" s="1589">
        <v>0</v>
      </c>
      <c r="E121" s="1589">
        <v>0</v>
      </c>
      <c r="F121" s="1589">
        <v>0</v>
      </c>
      <c r="G121" s="1589">
        <v>0</v>
      </c>
      <c r="H121" s="1589">
        <v>0</v>
      </c>
      <c r="I121" s="1589">
        <v>0</v>
      </c>
      <c r="J121" s="1589">
        <v>0</v>
      </c>
      <c r="K121" s="1589">
        <v>0</v>
      </c>
      <c r="L121" s="1589">
        <v>0</v>
      </c>
      <c r="M121" s="1589">
        <v>0</v>
      </c>
      <c r="N121" s="1589">
        <v>0</v>
      </c>
      <c r="O121" s="1589">
        <v>0</v>
      </c>
      <c r="P121" s="1589">
        <v>0</v>
      </c>
      <c r="Q121" s="1589">
        <v>0</v>
      </c>
    </row>
    <row r="122" spans="1:17">
      <c r="A122" s="1727" t="s">
        <v>534</v>
      </c>
      <c r="B122" s="1589">
        <v>0</v>
      </c>
      <c r="C122" s="1589">
        <v>0</v>
      </c>
      <c r="D122" s="1589">
        <v>0</v>
      </c>
      <c r="E122" s="1589">
        <v>0</v>
      </c>
      <c r="F122" s="1589">
        <v>0</v>
      </c>
      <c r="G122" s="1589">
        <v>0</v>
      </c>
      <c r="H122" s="1589">
        <v>0</v>
      </c>
      <c r="I122" s="1589">
        <v>0</v>
      </c>
      <c r="J122" s="1589">
        <v>0</v>
      </c>
      <c r="K122" s="1589">
        <v>0</v>
      </c>
      <c r="L122" s="1589">
        <v>0</v>
      </c>
      <c r="M122" s="1589">
        <v>0</v>
      </c>
      <c r="N122" s="1589">
        <v>0</v>
      </c>
      <c r="O122" s="1589">
        <v>0</v>
      </c>
      <c r="P122" s="1589">
        <v>0</v>
      </c>
      <c r="Q122" s="1589">
        <v>0</v>
      </c>
    </row>
    <row r="123" spans="1:17">
      <c r="A123" s="1727" t="s">
        <v>536</v>
      </c>
      <c r="B123" s="1589">
        <v>0</v>
      </c>
      <c r="C123" s="1589">
        <v>0</v>
      </c>
      <c r="D123" s="1589">
        <v>0</v>
      </c>
      <c r="E123" s="1589">
        <v>0</v>
      </c>
      <c r="F123" s="1589">
        <v>0</v>
      </c>
      <c r="G123" s="1589">
        <v>0</v>
      </c>
      <c r="H123" s="1589">
        <v>0</v>
      </c>
      <c r="I123" s="1589">
        <v>0</v>
      </c>
      <c r="J123" s="1589">
        <v>0</v>
      </c>
      <c r="K123" s="1589">
        <v>0</v>
      </c>
      <c r="L123" s="1589">
        <v>0</v>
      </c>
      <c r="M123" s="1589">
        <v>0</v>
      </c>
      <c r="N123" s="1589">
        <v>0</v>
      </c>
      <c r="O123" s="1589">
        <v>0</v>
      </c>
      <c r="P123" s="1589">
        <v>0</v>
      </c>
      <c r="Q123" s="1589">
        <v>0</v>
      </c>
    </row>
    <row r="124" spans="1:17">
      <c r="A124" s="1727" t="s">
        <v>538</v>
      </c>
      <c r="B124" s="1589">
        <v>0</v>
      </c>
      <c r="C124" s="1589">
        <v>0</v>
      </c>
      <c r="D124" s="1589">
        <v>0</v>
      </c>
      <c r="E124" s="1589">
        <v>0</v>
      </c>
      <c r="F124" s="1589">
        <v>0</v>
      </c>
      <c r="G124" s="1589">
        <v>0</v>
      </c>
      <c r="H124" s="1589">
        <v>0</v>
      </c>
      <c r="I124" s="1589">
        <v>0</v>
      </c>
      <c r="J124" s="1589">
        <v>0</v>
      </c>
      <c r="K124" s="1589">
        <v>0</v>
      </c>
      <c r="L124" s="1589">
        <v>0</v>
      </c>
      <c r="M124" s="1589">
        <v>0</v>
      </c>
      <c r="N124" s="1589">
        <v>0</v>
      </c>
      <c r="O124" s="1589">
        <v>0</v>
      </c>
      <c r="P124" s="1589">
        <v>0</v>
      </c>
      <c r="Q124" s="1589">
        <v>0</v>
      </c>
    </row>
    <row r="125" spans="1:17">
      <c r="A125" s="1727" t="s">
        <v>540</v>
      </c>
      <c r="B125" s="1589">
        <v>0</v>
      </c>
      <c r="C125" s="1589">
        <v>0</v>
      </c>
      <c r="D125" s="1589">
        <v>0</v>
      </c>
      <c r="E125" s="1589">
        <v>0</v>
      </c>
      <c r="F125" s="1589">
        <v>0</v>
      </c>
      <c r="G125" s="1589">
        <v>0</v>
      </c>
      <c r="H125" s="1589">
        <v>0</v>
      </c>
      <c r="I125" s="1589">
        <v>0</v>
      </c>
      <c r="J125" s="1589">
        <v>0</v>
      </c>
      <c r="K125" s="1589">
        <v>0</v>
      </c>
      <c r="L125" s="1589">
        <v>0</v>
      </c>
      <c r="M125" s="1589">
        <v>0</v>
      </c>
      <c r="N125" s="1589">
        <v>0</v>
      </c>
      <c r="O125" s="1589">
        <v>0</v>
      </c>
      <c r="P125" s="1589">
        <v>0</v>
      </c>
      <c r="Q125" s="1589">
        <v>0</v>
      </c>
    </row>
    <row r="126" spans="1:17">
      <c r="A126" s="1726" t="s">
        <v>2551</v>
      </c>
      <c r="B126" s="1589">
        <v>0</v>
      </c>
      <c r="C126" s="1589">
        <v>0</v>
      </c>
      <c r="D126" s="1589">
        <v>0</v>
      </c>
      <c r="E126" s="1589">
        <v>0</v>
      </c>
      <c r="F126" s="1589">
        <v>0</v>
      </c>
      <c r="G126" s="1589">
        <v>0</v>
      </c>
      <c r="H126" s="1589">
        <v>0</v>
      </c>
      <c r="I126" s="1589">
        <v>0</v>
      </c>
      <c r="J126" s="1589">
        <v>0</v>
      </c>
      <c r="K126" s="1589">
        <v>0</v>
      </c>
      <c r="L126" s="1589">
        <v>0</v>
      </c>
      <c r="M126" s="1589">
        <v>0</v>
      </c>
      <c r="N126" s="1589">
        <v>0</v>
      </c>
      <c r="O126" s="1589">
        <v>0</v>
      </c>
      <c r="P126" s="1589">
        <v>0</v>
      </c>
      <c r="Q126" s="1589">
        <v>0</v>
      </c>
    </row>
    <row r="127" spans="1:17">
      <c r="A127" s="1727" t="s">
        <v>603</v>
      </c>
      <c r="B127" s="1589">
        <v>0</v>
      </c>
      <c r="C127" s="1589">
        <v>0</v>
      </c>
      <c r="D127" s="1589">
        <v>0</v>
      </c>
      <c r="E127" s="1589">
        <v>0</v>
      </c>
      <c r="F127" s="1589">
        <v>0</v>
      </c>
      <c r="G127" s="1589">
        <v>0</v>
      </c>
      <c r="H127" s="1589">
        <v>0</v>
      </c>
      <c r="I127" s="1589">
        <v>0</v>
      </c>
      <c r="J127" s="1589">
        <v>0</v>
      </c>
      <c r="K127" s="1589">
        <v>0</v>
      </c>
      <c r="L127" s="1589">
        <v>0</v>
      </c>
      <c r="M127" s="1589">
        <v>0</v>
      </c>
      <c r="N127" s="1589">
        <v>0</v>
      </c>
      <c r="O127" s="1589">
        <v>0</v>
      </c>
      <c r="P127" s="1589">
        <v>0</v>
      </c>
      <c r="Q127" s="1589">
        <v>0</v>
      </c>
    </row>
    <row r="128" spans="1:17">
      <c r="A128" s="1727" t="s">
        <v>528</v>
      </c>
      <c r="B128" s="1589">
        <v>0</v>
      </c>
      <c r="C128" s="1589">
        <v>0</v>
      </c>
      <c r="D128" s="1589">
        <v>0</v>
      </c>
      <c r="E128" s="1589">
        <v>0</v>
      </c>
      <c r="F128" s="1589">
        <v>0</v>
      </c>
      <c r="G128" s="1589">
        <v>0</v>
      </c>
      <c r="H128" s="1589">
        <v>0</v>
      </c>
      <c r="I128" s="1589">
        <v>0</v>
      </c>
      <c r="J128" s="1589">
        <v>0</v>
      </c>
      <c r="K128" s="1589">
        <v>0</v>
      </c>
      <c r="L128" s="1589">
        <v>0</v>
      </c>
      <c r="M128" s="1589">
        <v>0</v>
      </c>
      <c r="N128" s="1589">
        <v>0</v>
      </c>
      <c r="O128" s="1589">
        <v>0</v>
      </c>
      <c r="P128" s="1589">
        <v>0</v>
      </c>
      <c r="Q128" s="1589">
        <v>0</v>
      </c>
    </row>
    <row r="129" spans="1:17">
      <c r="A129" s="1727" t="s">
        <v>530</v>
      </c>
      <c r="B129" s="1589">
        <v>0</v>
      </c>
      <c r="C129" s="1589">
        <v>0</v>
      </c>
      <c r="D129" s="1589">
        <v>0</v>
      </c>
      <c r="E129" s="1589">
        <v>0</v>
      </c>
      <c r="F129" s="1589">
        <v>0</v>
      </c>
      <c r="G129" s="1589">
        <v>0</v>
      </c>
      <c r="H129" s="1589">
        <v>0</v>
      </c>
      <c r="I129" s="1589">
        <v>0</v>
      </c>
      <c r="J129" s="1589">
        <v>0</v>
      </c>
      <c r="K129" s="1589">
        <v>0</v>
      </c>
      <c r="L129" s="1589">
        <v>0</v>
      </c>
      <c r="M129" s="1589">
        <v>0</v>
      </c>
      <c r="N129" s="1589">
        <v>0</v>
      </c>
      <c r="O129" s="1589">
        <v>0</v>
      </c>
      <c r="P129" s="1589">
        <v>0</v>
      </c>
      <c r="Q129" s="1589">
        <v>0</v>
      </c>
    </row>
    <row r="130" spans="1:17">
      <c r="A130" s="1727" t="s">
        <v>532</v>
      </c>
      <c r="B130" s="1589">
        <v>0</v>
      </c>
      <c r="C130" s="1589">
        <v>0</v>
      </c>
      <c r="D130" s="1589">
        <v>0</v>
      </c>
      <c r="E130" s="1589">
        <v>0</v>
      </c>
      <c r="F130" s="1589">
        <v>0</v>
      </c>
      <c r="G130" s="1589">
        <v>0</v>
      </c>
      <c r="H130" s="1589">
        <v>0</v>
      </c>
      <c r="I130" s="1589">
        <v>0</v>
      </c>
      <c r="J130" s="1589">
        <v>0</v>
      </c>
      <c r="K130" s="1589">
        <v>0</v>
      </c>
      <c r="L130" s="1589">
        <v>0</v>
      </c>
      <c r="M130" s="1589">
        <v>0</v>
      </c>
      <c r="N130" s="1589">
        <v>0</v>
      </c>
      <c r="O130" s="1589">
        <v>0</v>
      </c>
      <c r="P130" s="1589">
        <v>0</v>
      </c>
      <c r="Q130" s="1589">
        <v>0</v>
      </c>
    </row>
    <row r="131" spans="1:17">
      <c r="A131" s="1727" t="s">
        <v>534</v>
      </c>
      <c r="B131" s="1589">
        <v>0</v>
      </c>
      <c r="C131" s="1589">
        <v>0</v>
      </c>
      <c r="D131" s="1589">
        <v>0</v>
      </c>
      <c r="E131" s="1589">
        <v>0</v>
      </c>
      <c r="F131" s="1589">
        <v>0</v>
      </c>
      <c r="G131" s="1589">
        <v>0</v>
      </c>
      <c r="H131" s="1589">
        <v>0</v>
      </c>
      <c r="I131" s="1589">
        <v>0</v>
      </c>
      <c r="J131" s="1589">
        <v>0</v>
      </c>
      <c r="K131" s="1589">
        <v>0</v>
      </c>
      <c r="L131" s="1589">
        <v>0</v>
      </c>
      <c r="M131" s="1589">
        <v>0</v>
      </c>
      <c r="N131" s="1589">
        <v>0</v>
      </c>
      <c r="O131" s="1589">
        <v>0</v>
      </c>
      <c r="P131" s="1589">
        <v>0</v>
      </c>
      <c r="Q131" s="1589">
        <v>0</v>
      </c>
    </row>
    <row r="132" spans="1:17">
      <c r="A132" s="1727" t="s">
        <v>536</v>
      </c>
      <c r="B132" s="1589">
        <v>0</v>
      </c>
      <c r="C132" s="1589">
        <v>0</v>
      </c>
      <c r="D132" s="1589">
        <v>0</v>
      </c>
      <c r="E132" s="1589">
        <v>0</v>
      </c>
      <c r="F132" s="1589">
        <v>0</v>
      </c>
      <c r="G132" s="1589">
        <v>0</v>
      </c>
      <c r="H132" s="1589">
        <v>0</v>
      </c>
      <c r="I132" s="1589">
        <v>0</v>
      </c>
      <c r="J132" s="1589">
        <v>0</v>
      </c>
      <c r="K132" s="1589">
        <v>0</v>
      </c>
      <c r="L132" s="1589">
        <v>0</v>
      </c>
      <c r="M132" s="1589">
        <v>0</v>
      </c>
      <c r="N132" s="1589">
        <v>0</v>
      </c>
      <c r="O132" s="1589">
        <v>0</v>
      </c>
      <c r="P132" s="1589">
        <v>0</v>
      </c>
      <c r="Q132" s="1589">
        <v>0</v>
      </c>
    </row>
    <row r="133" spans="1:17">
      <c r="A133" s="1727" t="s">
        <v>538</v>
      </c>
      <c r="B133" s="1589">
        <v>0</v>
      </c>
      <c r="C133" s="1589">
        <v>0</v>
      </c>
      <c r="D133" s="1589">
        <v>0</v>
      </c>
      <c r="E133" s="1589">
        <v>0</v>
      </c>
      <c r="F133" s="1589">
        <v>0</v>
      </c>
      <c r="G133" s="1589">
        <v>0</v>
      </c>
      <c r="H133" s="1589">
        <v>0</v>
      </c>
      <c r="I133" s="1589">
        <v>0</v>
      </c>
      <c r="J133" s="1589">
        <v>0</v>
      </c>
      <c r="K133" s="1589">
        <v>0</v>
      </c>
      <c r="L133" s="1589">
        <v>0</v>
      </c>
      <c r="M133" s="1589">
        <v>0</v>
      </c>
      <c r="N133" s="1589">
        <v>0</v>
      </c>
      <c r="O133" s="1589">
        <v>0</v>
      </c>
      <c r="P133" s="1589">
        <v>0</v>
      </c>
      <c r="Q133" s="1589">
        <v>0</v>
      </c>
    </row>
    <row r="134" spans="1:17">
      <c r="A134" s="1727" t="s">
        <v>540</v>
      </c>
      <c r="B134" s="1589">
        <v>0</v>
      </c>
      <c r="C134" s="1589">
        <v>0</v>
      </c>
      <c r="D134" s="1589">
        <v>0</v>
      </c>
      <c r="E134" s="1589">
        <v>0</v>
      </c>
      <c r="F134" s="1589">
        <v>0</v>
      </c>
      <c r="G134" s="1589">
        <v>0</v>
      </c>
      <c r="H134" s="1589">
        <v>0</v>
      </c>
      <c r="I134" s="1589">
        <v>0</v>
      </c>
      <c r="J134" s="1589">
        <v>0</v>
      </c>
      <c r="K134" s="1589">
        <v>0</v>
      </c>
      <c r="L134" s="1589">
        <v>0</v>
      </c>
      <c r="M134" s="1589">
        <v>0</v>
      </c>
      <c r="N134" s="1589">
        <v>0</v>
      </c>
      <c r="O134" s="1589">
        <v>0</v>
      </c>
      <c r="P134" s="1589">
        <v>0</v>
      </c>
      <c r="Q134" s="1589">
        <v>0</v>
      </c>
    </row>
    <row r="135" spans="1:17">
      <c r="A135" s="1725" t="s">
        <v>673</v>
      </c>
      <c r="B135" s="1589">
        <v>0</v>
      </c>
      <c r="C135" s="1589">
        <v>132910.08055212401</v>
      </c>
      <c r="D135" s="1589">
        <v>0</v>
      </c>
      <c r="E135" s="1589">
        <v>0</v>
      </c>
      <c r="F135" s="1589">
        <v>132910.08055212401</v>
      </c>
      <c r="G135" s="1589">
        <v>0</v>
      </c>
      <c r="H135" s="1589">
        <v>138804.15374282299</v>
      </c>
      <c r="I135" s="1589">
        <v>0</v>
      </c>
      <c r="J135" s="1589">
        <v>0</v>
      </c>
      <c r="K135" s="1589">
        <v>138804.15374282299</v>
      </c>
      <c r="L135" s="1589">
        <v>0</v>
      </c>
      <c r="M135" s="1589">
        <v>147750.74621849431</v>
      </c>
      <c r="N135" s="1589">
        <v>0</v>
      </c>
      <c r="O135" s="1589">
        <v>0</v>
      </c>
      <c r="P135" s="1589">
        <v>147750.74621849431</v>
      </c>
      <c r="Q135" s="1589">
        <v>419464.98051344126</v>
      </c>
    </row>
    <row r="136" spans="1:17">
      <c r="A136" s="1726" t="s">
        <v>2555</v>
      </c>
      <c r="B136" s="1589">
        <v>0</v>
      </c>
      <c r="C136" s="1589">
        <v>0</v>
      </c>
      <c r="D136" s="1589">
        <v>0</v>
      </c>
      <c r="E136" s="1589">
        <v>0</v>
      </c>
      <c r="F136" s="1589">
        <v>0</v>
      </c>
      <c r="G136" s="1589">
        <v>0</v>
      </c>
      <c r="H136" s="1589">
        <v>0</v>
      </c>
      <c r="I136" s="1589">
        <v>0</v>
      </c>
      <c r="J136" s="1589">
        <v>0</v>
      </c>
      <c r="K136" s="1589">
        <v>0</v>
      </c>
      <c r="L136" s="1589">
        <v>0</v>
      </c>
      <c r="M136" s="1589">
        <v>0</v>
      </c>
      <c r="N136" s="1589">
        <v>0</v>
      </c>
      <c r="O136" s="1589">
        <v>0</v>
      </c>
      <c r="P136" s="1589">
        <v>0</v>
      </c>
      <c r="Q136" s="1589">
        <v>0</v>
      </c>
    </row>
    <row r="137" spans="1:17">
      <c r="A137" s="1727" t="s">
        <v>603</v>
      </c>
      <c r="B137" s="1589">
        <v>0</v>
      </c>
      <c r="C137" s="1589">
        <v>0</v>
      </c>
      <c r="D137" s="1589">
        <v>0</v>
      </c>
      <c r="E137" s="1589">
        <v>0</v>
      </c>
      <c r="F137" s="1589">
        <v>0</v>
      </c>
      <c r="G137" s="1589">
        <v>0</v>
      </c>
      <c r="H137" s="1589">
        <v>0</v>
      </c>
      <c r="I137" s="1589">
        <v>0</v>
      </c>
      <c r="J137" s="1589">
        <v>0</v>
      </c>
      <c r="K137" s="1589">
        <v>0</v>
      </c>
      <c r="L137" s="1589">
        <v>0</v>
      </c>
      <c r="M137" s="1589">
        <v>0</v>
      </c>
      <c r="N137" s="1589">
        <v>0</v>
      </c>
      <c r="O137" s="1589">
        <v>0</v>
      </c>
      <c r="P137" s="1589">
        <v>0</v>
      </c>
      <c r="Q137" s="1589">
        <v>0</v>
      </c>
    </row>
    <row r="138" spans="1:17">
      <c r="A138" s="1727" t="s">
        <v>528</v>
      </c>
      <c r="B138" s="1589">
        <v>0</v>
      </c>
      <c r="C138" s="1589">
        <v>0</v>
      </c>
      <c r="D138" s="1589">
        <v>0</v>
      </c>
      <c r="E138" s="1589">
        <v>0</v>
      </c>
      <c r="F138" s="1589">
        <v>0</v>
      </c>
      <c r="G138" s="1589">
        <v>0</v>
      </c>
      <c r="H138" s="1589">
        <v>0</v>
      </c>
      <c r="I138" s="1589">
        <v>0</v>
      </c>
      <c r="J138" s="1589">
        <v>0</v>
      </c>
      <c r="K138" s="1589">
        <v>0</v>
      </c>
      <c r="L138" s="1589">
        <v>0</v>
      </c>
      <c r="M138" s="1589">
        <v>0</v>
      </c>
      <c r="N138" s="1589">
        <v>0</v>
      </c>
      <c r="O138" s="1589">
        <v>0</v>
      </c>
      <c r="P138" s="1589">
        <v>0</v>
      </c>
      <c r="Q138" s="1589">
        <v>0</v>
      </c>
    </row>
    <row r="139" spans="1:17">
      <c r="A139" s="1727" t="s">
        <v>530</v>
      </c>
      <c r="B139" s="1589">
        <v>0</v>
      </c>
      <c r="C139" s="1589">
        <v>0</v>
      </c>
      <c r="D139" s="1589">
        <v>0</v>
      </c>
      <c r="E139" s="1589">
        <v>0</v>
      </c>
      <c r="F139" s="1589">
        <v>0</v>
      </c>
      <c r="G139" s="1589">
        <v>0</v>
      </c>
      <c r="H139" s="1589">
        <v>0</v>
      </c>
      <c r="I139" s="1589">
        <v>0</v>
      </c>
      <c r="J139" s="1589">
        <v>0</v>
      </c>
      <c r="K139" s="1589">
        <v>0</v>
      </c>
      <c r="L139" s="1589">
        <v>0</v>
      </c>
      <c r="M139" s="1589">
        <v>0</v>
      </c>
      <c r="N139" s="1589">
        <v>0</v>
      </c>
      <c r="O139" s="1589">
        <v>0</v>
      </c>
      <c r="P139" s="1589">
        <v>0</v>
      </c>
      <c r="Q139" s="1589">
        <v>0</v>
      </c>
    </row>
    <row r="140" spans="1:17">
      <c r="A140" s="1727" t="s">
        <v>532</v>
      </c>
      <c r="B140" s="1589">
        <v>0</v>
      </c>
      <c r="C140" s="1589">
        <v>0</v>
      </c>
      <c r="D140" s="1589">
        <v>0</v>
      </c>
      <c r="E140" s="1589">
        <v>0</v>
      </c>
      <c r="F140" s="1589">
        <v>0</v>
      </c>
      <c r="G140" s="1589">
        <v>0</v>
      </c>
      <c r="H140" s="1589">
        <v>0</v>
      </c>
      <c r="I140" s="1589">
        <v>0</v>
      </c>
      <c r="J140" s="1589">
        <v>0</v>
      </c>
      <c r="K140" s="1589">
        <v>0</v>
      </c>
      <c r="L140" s="1589">
        <v>0</v>
      </c>
      <c r="M140" s="1589">
        <v>0</v>
      </c>
      <c r="N140" s="1589">
        <v>0</v>
      </c>
      <c r="O140" s="1589">
        <v>0</v>
      </c>
      <c r="P140" s="1589">
        <v>0</v>
      </c>
      <c r="Q140" s="1589">
        <v>0</v>
      </c>
    </row>
    <row r="141" spans="1:17">
      <c r="A141" s="1727" t="s">
        <v>534</v>
      </c>
      <c r="B141" s="1589">
        <v>0</v>
      </c>
      <c r="C141" s="1589">
        <v>0</v>
      </c>
      <c r="D141" s="1589">
        <v>0</v>
      </c>
      <c r="E141" s="1589">
        <v>0</v>
      </c>
      <c r="F141" s="1589">
        <v>0</v>
      </c>
      <c r="G141" s="1589">
        <v>0</v>
      </c>
      <c r="H141" s="1589">
        <v>0</v>
      </c>
      <c r="I141" s="1589">
        <v>0</v>
      </c>
      <c r="J141" s="1589">
        <v>0</v>
      </c>
      <c r="K141" s="1589">
        <v>0</v>
      </c>
      <c r="L141" s="1589">
        <v>0</v>
      </c>
      <c r="M141" s="1589">
        <v>0</v>
      </c>
      <c r="N141" s="1589">
        <v>0</v>
      </c>
      <c r="O141" s="1589">
        <v>0</v>
      </c>
      <c r="P141" s="1589">
        <v>0</v>
      </c>
      <c r="Q141" s="1589">
        <v>0</v>
      </c>
    </row>
    <row r="142" spans="1:17">
      <c r="A142" s="1727" t="s">
        <v>536</v>
      </c>
      <c r="B142" s="1589">
        <v>0</v>
      </c>
      <c r="C142" s="1589">
        <v>0</v>
      </c>
      <c r="D142" s="1589">
        <v>0</v>
      </c>
      <c r="E142" s="1589">
        <v>0</v>
      </c>
      <c r="F142" s="1589">
        <v>0</v>
      </c>
      <c r="G142" s="1589">
        <v>0</v>
      </c>
      <c r="H142" s="1589">
        <v>0</v>
      </c>
      <c r="I142" s="1589">
        <v>0</v>
      </c>
      <c r="J142" s="1589">
        <v>0</v>
      </c>
      <c r="K142" s="1589">
        <v>0</v>
      </c>
      <c r="L142" s="1589">
        <v>0</v>
      </c>
      <c r="M142" s="1589">
        <v>0</v>
      </c>
      <c r="N142" s="1589">
        <v>0</v>
      </c>
      <c r="O142" s="1589">
        <v>0</v>
      </c>
      <c r="P142" s="1589">
        <v>0</v>
      </c>
      <c r="Q142" s="1589">
        <v>0</v>
      </c>
    </row>
    <row r="143" spans="1:17">
      <c r="A143" s="1727" t="s">
        <v>538</v>
      </c>
      <c r="B143" s="1589">
        <v>0</v>
      </c>
      <c r="C143" s="1589">
        <v>0</v>
      </c>
      <c r="D143" s="1589">
        <v>0</v>
      </c>
      <c r="E143" s="1589">
        <v>0</v>
      </c>
      <c r="F143" s="1589">
        <v>0</v>
      </c>
      <c r="G143" s="1589">
        <v>0</v>
      </c>
      <c r="H143" s="1589">
        <v>0</v>
      </c>
      <c r="I143" s="1589">
        <v>0</v>
      </c>
      <c r="J143" s="1589">
        <v>0</v>
      </c>
      <c r="K143" s="1589">
        <v>0</v>
      </c>
      <c r="L143" s="1589">
        <v>0</v>
      </c>
      <c r="M143" s="1589">
        <v>0</v>
      </c>
      <c r="N143" s="1589">
        <v>0</v>
      </c>
      <c r="O143" s="1589">
        <v>0</v>
      </c>
      <c r="P143" s="1589">
        <v>0</v>
      </c>
      <c r="Q143" s="1589">
        <v>0</v>
      </c>
    </row>
    <row r="144" spans="1:17">
      <c r="A144" s="1727" t="s">
        <v>540</v>
      </c>
      <c r="B144" s="1589">
        <v>0</v>
      </c>
      <c r="C144" s="1589">
        <v>0</v>
      </c>
      <c r="D144" s="1589">
        <v>0</v>
      </c>
      <c r="E144" s="1589">
        <v>0</v>
      </c>
      <c r="F144" s="1589">
        <v>0</v>
      </c>
      <c r="G144" s="1589">
        <v>0</v>
      </c>
      <c r="H144" s="1589">
        <v>0</v>
      </c>
      <c r="I144" s="1589">
        <v>0</v>
      </c>
      <c r="J144" s="1589">
        <v>0</v>
      </c>
      <c r="K144" s="1589">
        <v>0</v>
      </c>
      <c r="L144" s="1589">
        <v>0</v>
      </c>
      <c r="M144" s="1589">
        <v>0</v>
      </c>
      <c r="N144" s="1589">
        <v>0</v>
      </c>
      <c r="O144" s="1589">
        <v>0</v>
      </c>
      <c r="P144" s="1589">
        <v>0</v>
      </c>
      <c r="Q144" s="1589">
        <v>0</v>
      </c>
    </row>
    <row r="145" spans="1:17">
      <c r="A145" s="1726" t="s">
        <v>2556</v>
      </c>
      <c r="B145" s="1589">
        <v>0</v>
      </c>
      <c r="C145" s="1589">
        <v>7873.8279589089998</v>
      </c>
      <c r="D145" s="1589">
        <v>0</v>
      </c>
      <c r="E145" s="1589">
        <v>0</v>
      </c>
      <c r="F145" s="1589">
        <v>7873.8279589089998</v>
      </c>
      <c r="G145" s="1589">
        <v>0</v>
      </c>
      <c r="H145" s="1589">
        <v>8221.7110031657994</v>
      </c>
      <c r="I145" s="1589">
        <v>0</v>
      </c>
      <c r="J145" s="1589">
        <v>0</v>
      </c>
      <c r="K145" s="1589">
        <v>8221.7110031657994</v>
      </c>
      <c r="L145" s="1589">
        <v>0</v>
      </c>
      <c r="M145" s="1589">
        <v>8752.0265380588007</v>
      </c>
      <c r="N145" s="1589">
        <v>0</v>
      </c>
      <c r="O145" s="1589">
        <v>0</v>
      </c>
      <c r="P145" s="1589">
        <v>8752.0265380588007</v>
      </c>
      <c r="Q145" s="1589">
        <v>24847.565500133598</v>
      </c>
    </row>
    <row r="146" spans="1:17">
      <c r="A146" s="1727" t="s">
        <v>603</v>
      </c>
      <c r="B146" s="1589">
        <v>0</v>
      </c>
      <c r="C146" s="1589">
        <v>7873.8279589089998</v>
      </c>
      <c r="D146" s="1589">
        <v>0</v>
      </c>
      <c r="E146" s="1589">
        <v>0</v>
      </c>
      <c r="F146" s="1589">
        <v>7873.8279589089998</v>
      </c>
      <c r="G146" s="1589">
        <v>0</v>
      </c>
      <c r="H146" s="1589">
        <v>8221.7110031657994</v>
      </c>
      <c r="I146" s="1589">
        <v>0</v>
      </c>
      <c r="J146" s="1589">
        <v>0</v>
      </c>
      <c r="K146" s="1589">
        <v>8221.7110031657994</v>
      </c>
      <c r="L146" s="1589">
        <v>0</v>
      </c>
      <c r="M146" s="1589">
        <v>8752.0265380588007</v>
      </c>
      <c r="N146" s="1589">
        <v>0</v>
      </c>
      <c r="O146" s="1589">
        <v>0</v>
      </c>
      <c r="P146" s="1589">
        <v>8752.0265380588007</v>
      </c>
      <c r="Q146" s="1589">
        <v>24847.565500133598</v>
      </c>
    </row>
    <row r="147" spans="1:17">
      <c r="A147" s="1727" t="s">
        <v>528</v>
      </c>
      <c r="B147" s="1589">
        <v>0</v>
      </c>
      <c r="C147" s="1589">
        <v>0</v>
      </c>
      <c r="D147" s="1589">
        <v>0</v>
      </c>
      <c r="E147" s="1589">
        <v>0</v>
      </c>
      <c r="F147" s="1589">
        <v>0</v>
      </c>
      <c r="G147" s="1589">
        <v>0</v>
      </c>
      <c r="H147" s="1589">
        <v>0</v>
      </c>
      <c r="I147" s="1589">
        <v>0</v>
      </c>
      <c r="J147" s="1589">
        <v>0</v>
      </c>
      <c r="K147" s="1589">
        <v>0</v>
      </c>
      <c r="L147" s="1589">
        <v>0</v>
      </c>
      <c r="M147" s="1589">
        <v>0</v>
      </c>
      <c r="N147" s="1589">
        <v>0</v>
      </c>
      <c r="O147" s="1589">
        <v>0</v>
      </c>
      <c r="P147" s="1589">
        <v>0</v>
      </c>
      <c r="Q147" s="1589">
        <v>0</v>
      </c>
    </row>
    <row r="148" spans="1:17">
      <c r="A148" s="1727" t="s">
        <v>530</v>
      </c>
      <c r="B148" s="1589">
        <v>0</v>
      </c>
      <c r="C148" s="1589">
        <v>0</v>
      </c>
      <c r="D148" s="1589">
        <v>0</v>
      </c>
      <c r="E148" s="1589">
        <v>0</v>
      </c>
      <c r="F148" s="1589">
        <v>0</v>
      </c>
      <c r="G148" s="1589">
        <v>0</v>
      </c>
      <c r="H148" s="1589">
        <v>0</v>
      </c>
      <c r="I148" s="1589">
        <v>0</v>
      </c>
      <c r="J148" s="1589">
        <v>0</v>
      </c>
      <c r="K148" s="1589">
        <v>0</v>
      </c>
      <c r="L148" s="1589">
        <v>0</v>
      </c>
      <c r="M148" s="1589">
        <v>0</v>
      </c>
      <c r="N148" s="1589">
        <v>0</v>
      </c>
      <c r="O148" s="1589">
        <v>0</v>
      </c>
      <c r="P148" s="1589">
        <v>0</v>
      </c>
      <c r="Q148" s="1589">
        <v>0</v>
      </c>
    </row>
    <row r="149" spans="1:17">
      <c r="A149" s="1727" t="s">
        <v>532</v>
      </c>
      <c r="B149" s="1589">
        <v>0</v>
      </c>
      <c r="C149" s="1589">
        <v>0</v>
      </c>
      <c r="D149" s="1589">
        <v>0</v>
      </c>
      <c r="E149" s="1589">
        <v>0</v>
      </c>
      <c r="F149" s="1589">
        <v>0</v>
      </c>
      <c r="G149" s="1589">
        <v>0</v>
      </c>
      <c r="H149" s="1589">
        <v>0</v>
      </c>
      <c r="I149" s="1589">
        <v>0</v>
      </c>
      <c r="J149" s="1589">
        <v>0</v>
      </c>
      <c r="K149" s="1589">
        <v>0</v>
      </c>
      <c r="L149" s="1589">
        <v>0</v>
      </c>
      <c r="M149" s="1589">
        <v>0</v>
      </c>
      <c r="N149" s="1589">
        <v>0</v>
      </c>
      <c r="O149" s="1589">
        <v>0</v>
      </c>
      <c r="P149" s="1589">
        <v>0</v>
      </c>
      <c r="Q149" s="1589">
        <v>0</v>
      </c>
    </row>
    <row r="150" spans="1:17">
      <c r="A150" s="1727" t="s">
        <v>534</v>
      </c>
      <c r="B150" s="1589">
        <v>0</v>
      </c>
      <c r="C150" s="1589">
        <v>0</v>
      </c>
      <c r="D150" s="1589">
        <v>0</v>
      </c>
      <c r="E150" s="1589">
        <v>0</v>
      </c>
      <c r="F150" s="1589">
        <v>0</v>
      </c>
      <c r="G150" s="1589">
        <v>0</v>
      </c>
      <c r="H150" s="1589">
        <v>0</v>
      </c>
      <c r="I150" s="1589">
        <v>0</v>
      </c>
      <c r="J150" s="1589">
        <v>0</v>
      </c>
      <c r="K150" s="1589">
        <v>0</v>
      </c>
      <c r="L150" s="1589">
        <v>0</v>
      </c>
      <c r="M150" s="1589">
        <v>0</v>
      </c>
      <c r="N150" s="1589">
        <v>0</v>
      </c>
      <c r="O150" s="1589">
        <v>0</v>
      </c>
      <c r="P150" s="1589">
        <v>0</v>
      </c>
      <c r="Q150" s="1589">
        <v>0</v>
      </c>
    </row>
    <row r="151" spans="1:17">
      <c r="A151" s="1727" t="s">
        <v>536</v>
      </c>
      <c r="B151" s="1589">
        <v>0</v>
      </c>
      <c r="C151" s="1589">
        <v>0</v>
      </c>
      <c r="D151" s="1589">
        <v>0</v>
      </c>
      <c r="E151" s="1589">
        <v>0</v>
      </c>
      <c r="F151" s="1589">
        <v>0</v>
      </c>
      <c r="G151" s="1589">
        <v>0</v>
      </c>
      <c r="H151" s="1589">
        <v>0</v>
      </c>
      <c r="I151" s="1589">
        <v>0</v>
      </c>
      <c r="J151" s="1589">
        <v>0</v>
      </c>
      <c r="K151" s="1589">
        <v>0</v>
      </c>
      <c r="L151" s="1589">
        <v>0</v>
      </c>
      <c r="M151" s="1589">
        <v>0</v>
      </c>
      <c r="N151" s="1589">
        <v>0</v>
      </c>
      <c r="O151" s="1589">
        <v>0</v>
      </c>
      <c r="P151" s="1589">
        <v>0</v>
      </c>
      <c r="Q151" s="1589">
        <v>0</v>
      </c>
    </row>
    <row r="152" spans="1:17">
      <c r="A152" s="1727" t="s">
        <v>538</v>
      </c>
      <c r="B152" s="1589">
        <v>0</v>
      </c>
      <c r="C152" s="1589">
        <v>0</v>
      </c>
      <c r="D152" s="1589">
        <v>0</v>
      </c>
      <c r="E152" s="1589">
        <v>0</v>
      </c>
      <c r="F152" s="1589">
        <v>0</v>
      </c>
      <c r="G152" s="1589">
        <v>0</v>
      </c>
      <c r="H152" s="1589">
        <v>0</v>
      </c>
      <c r="I152" s="1589">
        <v>0</v>
      </c>
      <c r="J152" s="1589">
        <v>0</v>
      </c>
      <c r="K152" s="1589">
        <v>0</v>
      </c>
      <c r="L152" s="1589">
        <v>0</v>
      </c>
      <c r="M152" s="1589">
        <v>0</v>
      </c>
      <c r="N152" s="1589">
        <v>0</v>
      </c>
      <c r="O152" s="1589">
        <v>0</v>
      </c>
      <c r="P152" s="1589">
        <v>0</v>
      </c>
      <c r="Q152" s="1589">
        <v>0</v>
      </c>
    </row>
    <row r="153" spans="1:17">
      <c r="A153" s="1727" t="s">
        <v>540</v>
      </c>
      <c r="B153" s="1589">
        <v>0</v>
      </c>
      <c r="C153" s="1589">
        <v>0</v>
      </c>
      <c r="D153" s="1589">
        <v>0</v>
      </c>
      <c r="E153" s="1589">
        <v>0</v>
      </c>
      <c r="F153" s="1589">
        <v>0</v>
      </c>
      <c r="G153" s="1589">
        <v>0</v>
      </c>
      <c r="H153" s="1589">
        <v>0</v>
      </c>
      <c r="I153" s="1589">
        <v>0</v>
      </c>
      <c r="J153" s="1589">
        <v>0</v>
      </c>
      <c r="K153" s="1589">
        <v>0</v>
      </c>
      <c r="L153" s="1589">
        <v>0</v>
      </c>
      <c r="M153" s="1589">
        <v>0</v>
      </c>
      <c r="N153" s="1589">
        <v>0</v>
      </c>
      <c r="O153" s="1589">
        <v>0</v>
      </c>
      <c r="P153" s="1589">
        <v>0</v>
      </c>
      <c r="Q153" s="1589">
        <v>0</v>
      </c>
    </row>
    <row r="154" spans="1:17">
      <c r="A154" s="1726" t="s">
        <v>2550</v>
      </c>
      <c r="B154" s="1589">
        <v>0</v>
      </c>
      <c r="C154" s="1589">
        <v>38139.140303793902</v>
      </c>
      <c r="D154" s="1589">
        <v>0</v>
      </c>
      <c r="E154" s="1589">
        <v>0</v>
      </c>
      <c r="F154" s="1589">
        <v>38139.140303793902</v>
      </c>
      <c r="G154" s="1589">
        <v>0</v>
      </c>
      <c r="H154" s="1589">
        <v>39899.399437049469</v>
      </c>
      <c r="I154" s="1589">
        <v>0</v>
      </c>
      <c r="J154" s="1589">
        <v>0</v>
      </c>
      <c r="K154" s="1589">
        <v>39899.399437049469</v>
      </c>
      <c r="L154" s="1589">
        <v>0</v>
      </c>
      <c r="M154" s="1589">
        <v>42450.470610738972</v>
      </c>
      <c r="N154" s="1589">
        <v>0</v>
      </c>
      <c r="O154" s="1589">
        <v>0</v>
      </c>
      <c r="P154" s="1589">
        <v>42450.470610738972</v>
      </c>
      <c r="Q154" s="1589">
        <v>120489.01035158236</v>
      </c>
    </row>
    <row r="155" spans="1:17">
      <c r="A155" s="1727" t="s">
        <v>603</v>
      </c>
      <c r="B155" s="1589">
        <v>0</v>
      </c>
      <c r="C155" s="1589">
        <v>35980.321041315001</v>
      </c>
      <c r="D155" s="1589">
        <v>0</v>
      </c>
      <c r="E155" s="1589">
        <v>0</v>
      </c>
      <c r="F155" s="1589">
        <v>35980.321041315001</v>
      </c>
      <c r="G155" s="1589">
        <v>0</v>
      </c>
      <c r="H155" s="1589">
        <v>37640.942865141005</v>
      </c>
      <c r="I155" s="1589">
        <v>0</v>
      </c>
      <c r="J155" s="1589">
        <v>0</v>
      </c>
      <c r="K155" s="1589">
        <v>37640.942865141005</v>
      </c>
      <c r="L155" s="1589">
        <v>0</v>
      </c>
      <c r="M155" s="1589">
        <v>40047.613783716006</v>
      </c>
      <c r="N155" s="1589">
        <v>0</v>
      </c>
      <c r="O155" s="1589">
        <v>0</v>
      </c>
      <c r="P155" s="1589">
        <v>40047.613783716006</v>
      </c>
      <c r="Q155" s="1589">
        <v>113668.87769017203</v>
      </c>
    </row>
    <row r="156" spans="1:17">
      <c r="A156" s="1727" t="s">
        <v>528</v>
      </c>
      <c r="B156" s="1589">
        <v>0</v>
      </c>
      <c r="C156" s="1589">
        <v>2158.8192624788999</v>
      </c>
      <c r="D156" s="1589">
        <v>0</v>
      </c>
      <c r="E156" s="1589">
        <v>0</v>
      </c>
      <c r="F156" s="1589">
        <v>2158.8192624788999</v>
      </c>
      <c r="G156" s="1589">
        <v>0</v>
      </c>
      <c r="H156" s="1589">
        <v>2258.4565719084603</v>
      </c>
      <c r="I156" s="1589">
        <v>0</v>
      </c>
      <c r="J156" s="1589">
        <v>0</v>
      </c>
      <c r="K156" s="1589">
        <v>2258.4565719084603</v>
      </c>
      <c r="L156" s="1589">
        <v>0</v>
      </c>
      <c r="M156" s="1589">
        <v>2402.8568270229603</v>
      </c>
      <c r="N156" s="1589">
        <v>0</v>
      </c>
      <c r="O156" s="1589">
        <v>0</v>
      </c>
      <c r="P156" s="1589">
        <v>2402.8568270229603</v>
      </c>
      <c r="Q156" s="1589">
        <v>6820.1326614103209</v>
      </c>
    </row>
    <row r="157" spans="1:17">
      <c r="A157" s="1727" t="s">
        <v>530</v>
      </c>
      <c r="B157" s="1589">
        <v>0</v>
      </c>
      <c r="C157" s="1589">
        <v>3.5980321041314995E-12</v>
      </c>
      <c r="D157" s="1589">
        <v>0</v>
      </c>
      <c r="E157" s="1589">
        <v>0</v>
      </c>
      <c r="F157" s="1589">
        <v>3.5980321041314995E-12</v>
      </c>
      <c r="G157" s="1589">
        <v>0</v>
      </c>
      <c r="H157" s="1589">
        <v>3.7640942865140997E-12</v>
      </c>
      <c r="I157" s="1589">
        <v>0</v>
      </c>
      <c r="J157" s="1589">
        <v>0</v>
      </c>
      <c r="K157" s="1589">
        <v>3.7640942865140997E-12</v>
      </c>
      <c r="L157" s="1589">
        <v>0</v>
      </c>
      <c r="M157" s="1589">
        <v>4.0047613783715999E-12</v>
      </c>
      <c r="N157" s="1589">
        <v>0</v>
      </c>
      <c r="O157" s="1589">
        <v>0</v>
      </c>
      <c r="P157" s="1589">
        <v>4.0047613783715999E-12</v>
      </c>
      <c r="Q157" s="1589">
        <v>1.1366887769017199E-11</v>
      </c>
    </row>
    <row r="158" spans="1:17">
      <c r="A158" s="1727" t="s">
        <v>532</v>
      </c>
      <c r="B158" s="1589">
        <v>0</v>
      </c>
      <c r="C158" s="1589">
        <v>0</v>
      </c>
      <c r="D158" s="1589">
        <v>0</v>
      </c>
      <c r="E158" s="1589">
        <v>0</v>
      </c>
      <c r="F158" s="1589">
        <v>0</v>
      </c>
      <c r="G158" s="1589">
        <v>0</v>
      </c>
      <c r="H158" s="1589">
        <v>0</v>
      </c>
      <c r="I158" s="1589">
        <v>0</v>
      </c>
      <c r="J158" s="1589">
        <v>0</v>
      </c>
      <c r="K158" s="1589">
        <v>0</v>
      </c>
      <c r="L158" s="1589">
        <v>0</v>
      </c>
      <c r="M158" s="1589">
        <v>0</v>
      </c>
      <c r="N158" s="1589">
        <v>0</v>
      </c>
      <c r="O158" s="1589">
        <v>0</v>
      </c>
      <c r="P158" s="1589">
        <v>0</v>
      </c>
      <c r="Q158" s="1589">
        <v>0</v>
      </c>
    </row>
    <row r="159" spans="1:17">
      <c r="A159" s="1727" t="s">
        <v>534</v>
      </c>
      <c r="B159" s="1589">
        <v>0</v>
      </c>
      <c r="C159" s="1589">
        <v>0</v>
      </c>
      <c r="D159" s="1589">
        <v>0</v>
      </c>
      <c r="E159" s="1589">
        <v>0</v>
      </c>
      <c r="F159" s="1589">
        <v>0</v>
      </c>
      <c r="G159" s="1589">
        <v>0</v>
      </c>
      <c r="H159" s="1589">
        <v>0</v>
      </c>
      <c r="I159" s="1589">
        <v>0</v>
      </c>
      <c r="J159" s="1589">
        <v>0</v>
      </c>
      <c r="K159" s="1589">
        <v>0</v>
      </c>
      <c r="L159" s="1589">
        <v>0</v>
      </c>
      <c r="M159" s="1589">
        <v>0</v>
      </c>
      <c r="N159" s="1589">
        <v>0</v>
      </c>
      <c r="O159" s="1589">
        <v>0</v>
      </c>
      <c r="P159" s="1589">
        <v>0</v>
      </c>
      <c r="Q159" s="1589">
        <v>0</v>
      </c>
    </row>
    <row r="160" spans="1:17">
      <c r="A160" s="1727" t="s">
        <v>536</v>
      </c>
      <c r="B160" s="1589">
        <v>0</v>
      </c>
      <c r="C160" s="1589">
        <v>0</v>
      </c>
      <c r="D160" s="1589">
        <v>0</v>
      </c>
      <c r="E160" s="1589">
        <v>0</v>
      </c>
      <c r="F160" s="1589">
        <v>0</v>
      </c>
      <c r="G160" s="1589">
        <v>0</v>
      </c>
      <c r="H160" s="1589">
        <v>0</v>
      </c>
      <c r="I160" s="1589">
        <v>0</v>
      </c>
      <c r="J160" s="1589">
        <v>0</v>
      </c>
      <c r="K160" s="1589">
        <v>0</v>
      </c>
      <c r="L160" s="1589">
        <v>0</v>
      </c>
      <c r="M160" s="1589">
        <v>0</v>
      </c>
      <c r="N160" s="1589">
        <v>0</v>
      </c>
      <c r="O160" s="1589">
        <v>0</v>
      </c>
      <c r="P160" s="1589">
        <v>0</v>
      </c>
      <c r="Q160" s="1589">
        <v>0</v>
      </c>
    </row>
    <row r="161" spans="1:17">
      <c r="A161" s="1727" t="s">
        <v>538</v>
      </c>
      <c r="B161" s="1589">
        <v>0</v>
      </c>
      <c r="C161" s="1589">
        <v>0</v>
      </c>
      <c r="D161" s="1589">
        <v>0</v>
      </c>
      <c r="E161" s="1589">
        <v>0</v>
      </c>
      <c r="F161" s="1589">
        <v>0</v>
      </c>
      <c r="G161" s="1589">
        <v>0</v>
      </c>
      <c r="H161" s="1589">
        <v>0</v>
      </c>
      <c r="I161" s="1589">
        <v>0</v>
      </c>
      <c r="J161" s="1589">
        <v>0</v>
      </c>
      <c r="K161" s="1589">
        <v>0</v>
      </c>
      <c r="L161" s="1589">
        <v>0</v>
      </c>
      <c r="M161" s="1589">
        <v>0</v>
      </c>
      <c r="N161" s="1589">
        <v>0</v>
      </c>
      <c r="O161" s="1589">
        <v>0</v>
      </c>
      <c r="P161" s="1589">
        <v>0</v>
      </c>
      <c r="Q161" s="1589">
        <v>0</v>
      </c>
    </row>
    <row r="162" spans="1:17">
      <c r="A162" s="1727" t="s">
        <v>540</v>
      </c>
      <c r="B162" s="1589">
        <v>0</v>
      </c>
      <c r="C162" s="1589">
        <v>0</v>
      </c>
      <c r="D162" s="1589">
        <v>0</v>
      </c>
      <c r="E162" s="1589">
        <v>0</v>
      </c>
      <c r="F162" s="1589">
        <v>0</v>
      </c>
      <c r="G162" s="1589">
        <v>0</v>
      </c>
      <c r="H162" s="1589">
        <v>0</v>
      </c>
      <c r="I162" s="1589">
        <v>0</v>
      </c>
      <c r="J162" s="1589">
        <v>0</v>
      </c>
      <c r="K162" s="1589">
        <v>0</v>
      </c>
      <c r="L162" s="1589">
        <v>0</v>
      </c>
      <c r="M162" s="1589">
        <v>0</v>
      </c>
      <c r="N162" s="1589">
        <v>0</v>
      </c>
      <c r="O162" s="1589">
        <v>0</v>
      </c>
      <c r="P162" s="1589">
        <v>0</v>
      </c>
      <c r="Q162" s="1589">
        <v>0</v>
      </c>
    </row>
    <row r="163" spans="1:17">
      <c r="A163" s="1726" t="s">
        <v>2557</v>
      </c>
      <c r="B163" s="1589">
        <v>0</v>
      </c>
      <c r="C163" s="1589">
        <v>0</v>
      </c>
      <c r="D163" s="1589">
        <v>0</v>
      </c>
      <c r="E163" s="1589">
        <v>0</v>
      </c>
      <c r="F163" s="1589">
        <v>0</v>
      </c>
      <c r="G163" s="1589">
        <v>0</v>
      </c>
      <c r="H163" s="1589">
        <v>0</v>
      </c>
      <c r="I163" s="1589">
        <v>0</v>
      </c>
      <c r="J163" s="1589">
        <v>0</v>
      </c>
      <c r="K163" s="1589">
        <v>0</v>
      </c>
      <c r="L163" s="1589">
        <v>0</v>
      </c>
      <c r="M163" s="1589">
        <v>0</v>
      </c>
      <c r="N163" s="1589">
        <v>0</v>
      </c>
      <c r="O163" s="1589">
        <v>0</v>
      </c>
      <c r="P163" s="1589">
        <v>0</v>
      </c>
      <c r="Q163" s="1589">
        <v>0</v>
      </c>
    </row>
    <row r="164" spans="1:17">
      <c r="A164" s="1727" t="s">
        <v>603</v>
      </c>
      <c r="B164" s="1589">
        <v>0</v>
      </c>
      <c r="C164" s="1589">
        <v>0</v>
      </c>
      <c r="D164" s="1589">
        <v>0</v>
      </c>
      <c r="E164" s="1589">
        <v>0</v>
      </c>
      <c r="F164" s="1589">
        <v>0</v>
      </c>
      <c r="G164" s="1589">
        <v>0</v>
      </c>
      <c r="H164" s="1589">
        <v>0</v>
      </c>
      <c r="I164" s="1589">
        <v>0</v>
      </c>
      <c r="J164" s="1589">
        <v>0</v>
      </c>
      <c r="K164" s="1589">
        <v>0</v>
      </c>
      <c r="L164" s="1589">
        <v>0</v>
      </c>
      <c r="M164" s="1589">
        <v>0</v>
      </c>
      <c r="N164" s="1589">
        <v>0</v>
      </c>
      <c r="O164" s="1589">
        <v>0</v>
      </c>
      <c r="P164" s="1589">
        <v>0</v>
      </c>
      <c r="Q164" s="1589">
        <v>0</v>
      </c>
    </row>
    <row r="165" spans="1:17">
      <c r="A165" s="1727" t="s">
        <v>528</v>
      </c>
      <c r="B165" s="1589">
        <v>0</v>
      </c>
      <c r="C165" s="1589">
        <v>0</v>
      </c>
      <c r="D165" s="1589">
        <v>0</v>
      </c>
      <c r="E165" s="1589">
        <v>0</v>
      </c>
      <c r="F165" s="1589">
        <v>0</v>
      </c>
      <c r="G165" s="1589">
        <v>0</v>
      </c>
      <c r="H165" s="1589">
        <v>0</v>
      </c>
      <c r="I165" s="1589">
        <v>0</v>
      </c>
      <c r="J165" s="1589">
        <v>0</v>
      </c>
      <c r="K165" s="1589">
        <v>0</v>
      </c>
      <c r="L165" s="1589">
        <v>0</v>
      </c>
      <c r="M165" s="1589">
        <v>0</v>
      </c>
      <c r="N165" s="1589">
        <v>0</v>
      </c>
      <c r="O165" s="1589">
        <v>0</v>
      </c>
      <c r="P165" s="1589">
        <v>0</v>
      </c>
      <c r="Q165" s="1589">
        <v>0</v>
      </c>
    </row>
    <row r="166" spans="1:17">
      <c r="A166" s="1727" t="s">
        <v>530</v>
      </c>
      <c r="B166" s="1589">
        <v>0</v>
      </c>
      <c r="C166" s="1589">
        <v>0</v>
      </c>
      <c r="D166" s="1589">
        <v>0</v>
      </c>
      <c r="E166" s="1589">
        <v>0</v>
      </c>
      <c r="F166" s="1589">
        <v>0</v>
      </c>
      <c r="G166" s="1589">
        <v>0</v>
      </c>
      <c r="H166" s="1589">
        <v>0</v>
      </c>
      <c r="I166" s="1589">
        <v>0</v>
      </c>
      <c r="J166" s="1589">
        <v>0</v>
      </c>
      <c r="K166" s="1589">
        <v>0</v>
      </c>
      <c r="L166" s="1589">
        <v>0</v>
      </c>
      <c r="M166" s="1589">
        <v>0</v>
      </c>
      <c r="N166" s="1589">
        <v>0</v>
      </c>
      <c r="O166" s="1589">
        <v>0</v>
      </c>
      <c r="P166" s="1589">
        <v>0</v>
      </c>
      <c r="Q166" s="1589">
        <v>0</v>
      </c>
    </row>
    <row r="167" spans="1:17">
      <c r="A167" s="1727" t="s">
        <v>532</v>
      </c>
      <c r="B167" s="1589">
        <v>0</v>
      </c>
      <c r="C167" s="1589">
        <v>0</v>
      </c>
      <c r="D167" s="1589">
        <v>0</v>
      </c>
      <c r="E167" s="1589">
        <v>0</v>
      </c>
      <c r="F167" s="1589">
        <v>0</v>
      </c>
      <c r="G167" s="1589">
        <v>0</v>
      </c>
      <c r="H167" s="1589">
        <v>0</v>
      </c>
      <c r="I167" s="1589">
        <v>0</v>
      </c>
      <c r="J167" s="1589">
        <v>0</v>
      </c>
      <c r="K167" s="1589">
        <v>0</v>
      </c>
      <c r="L167" s="1589">
        <v>0</v>
      </c>
      <c r="M167" s="1589">
        <v>0</v>
      </c>
      <c r="N167" s="1589">
        <v>0</v>
      </c>
      <c r="O167" s="1589">
        <v>0</v>
      </c>
      <c r="P167" s="1589">
        <v>0</v>
      </c>
      <c r="Q167" s="1589">
        <v>0</v>
      </c>
    </row>
    <row r="168" spans="1:17">
      <c r="A168" s="1727" t="s">
        <v>534</v>
      </c>
      <c r="B168" s="1589">
        <v>0</v>
      </c>
      <c r="C168" s="1589">
        <v>0</v>
      </c>
      <c r="D168" s="1589">
        <v>0</v>
      </c>
      <c r="E168" s="1589">
        <v>0</v>
      </c>
      <c r="F168" s="1589">
        <v>0</v>
      </c>
      <c r="G168" s="1589">
        <v>0</v>
      </c>
      <c r="H168" s="1589">
        <v>0</v>
      </c>
      <c r="I168" s="1589">
        <v>0</v>
      </c>
      <c r="J168" s="1589">
        <v>0</v>
      </c>
      <c r="K168" s="1589">
        <v>0</v>
      </c>
      <c r="L168" s="1589">
        <v>0</v>
      </c>
      <c r="M168" s="1589">
        <v>0</v>
      </c>
      <c r="N168" s="1589">
        <v>0</v>
      </c>
      <c r="O168" s="1589">
        <v>0</v>
      </c>
      <c r="P168" s="1589">
        <v>0</v>
      </c>
      <c r="Q168" s="1589">
        <v>0</v>
      </c>
    </row>
    <row r="169" spans="1:17">
      <c r="A169" s="1727" t="s">
        <v>536</v>
      </c>
      <c r="B169" s="1589">
        <v>0</v>
      </c>
      <c r="C169" s="1589">
        <v>0</v>
      </c>
      <c r="D169" s="1589">
        <v>0</v>
      </c>
      <c r="E169" s="1589">
        <v>0</v>
      </c>
      <c r="F169" s="1589">
        <v>0</v>
      </c>
      <c r="G169" s="1589">
        <v>0</v>
      </c>
      <c r="H169" s="1589">
        <v>0</v>
      </c>
      <c r="I169" s="1589">
        <v>0</v>
      </c>
      <c r="J169" s="1589">
        <v>0</v>
      </c>
      <c r="K169" s="1589">
        <v>0</v>
      </c>
      <c r="L169" s="1589">
        <v>0</v>
      </c>
      <c r="M169" s="1589">
        <v>0</v>
      </c>
      <c r="N169" s="1589">
        <v>0</v>
      </c>
      <c r="O169" s="1589">
        <v>0</v>
      </c>
      <c r="P169" s="1589">
        <v>0</v>
      </c>
      <c r="Q169" s="1589">
        <v>0</v>
      </c>
    </row>
    <row r="170" spans="1:17">
      <c r="A170" s="1727" t="s">
        <v>538</v>
      </c>
      <c r="B170" s="1589">
        <v>0</v>
      </c>
      <c r="C170" s="1589">
        <v>0</v>
      </c>
      <c r="D170" s="1589">
        <v>0</v>
      </c>
      <c r="E170" s="1589">
        <v>0</v>
      </c>
      <c r="F170" s="1589">
        <v>0</v>
      </c>
      <c r="G170" s="1589">
        <v>0</v>
      </c>
      <c r="H170" s="1589">
        <v>0</v>
      </c>
      <c r="I170" s="1589">
        <v>0</v>
      </c>
      <c r="J170" s="1589">
        <v>0</v>
      </c>
      <c r="K170" s="1589">
        <v>0</v>
      </c>
      <c r="L170" s="1589">
        <v>0</v>
      </c>
      <c r="M170" s="1589">
        <v>0</v>
      </c>
      <c r="N170" s="1589">
        <v>0</v>
      </c>
      <c r="O170" s="1589">
        <v>0</v>
      </c>
      <c r="P170" s="1589">
        <v>0</v>
      </c>
      <c r="Q170" s="1589">
        <v>0</v>
      </c>
    </row>
    <row r="171" spans="1:17">
      <c r="A171" s="1727" t="s">
        <v>540</v>
      </c>
      <c r="B171" s="1589">
        <v>0</v>
      </c>
      <c r="C171" s="1589">
        <v>0</v>
      </c>
      <c r="D171" s="1589">
        <v>0</v>
      </c>
      <c r="E171" s="1589">
        <v>0</v>
      </c>
      <c r="F171" s="1589">
        <v>0</v>
      </c>
      <c r="G171" s="1589">
        <v>0</v>
      </c>
      <c r="H171" s="1589">
        <v>0</v>
      </c>
      <c r="I171" s="1589">
        <v>0</v>
      </c>
      <c r="J171" s="1589">
        <v>0</v>
      </c>
      <c r="K171" s="1589">
        <v>0</v>
      </c>
      <c r="L171" s="1589">
        <v>0</v>
      </c>
      <c r="M171" s="1589">
        <v>0</v>
      </c>
      <c r="N171" s="1589">
        <v>0</v>
      </c>
      <c r="O171" s="1589">
        <v>0</v>
      </c>
      <c r="P171" s="1589">
        <v>0</v>
      </c>
      <c r="Q171" s="1589">
        <v>0</v>
      </c>
    </row>
    <row r="172" spans="1:17">
      <c r="A172" s="1726" t="s">
        <v>2554</v>
      </c>
      <c r="B172" s="1589">
        <v>0</v>
      </c>
      <c r="C172" s="1589">
        <v>2989.0669063999999</v>
      </c>
      <c r="D172" s="1589">
        <v>0</v>
      </c>
      <c r="E172" s="1589">
        <v>0</v>
      </c>
      <c r="F172" s="1589">
        <v>2989.0669063999999</v>
      </c>
      <c r="G172" s="1589">
        <v>0</v>
      </c>
      <c r="H172" s="1589">
        <v>3127.840337260001</v>
      </c>
      <c r="I172" s="1589">
        <v>0</v>
      </c>
      <c r="J172" s="1589">
        <v>0</v>
      </c>
      <c r="K172" s="1589">
        <v>3127.840337260001</v>
      </c>
      <c r="L172" s="1589">
        <v>0</v>
      </c>
      <c r="M172" s="1589">
        <v>3327.5826562600005</v>
      </c>
      <c r="N172" s="1589">
        <v>0</v>
      </c>
      <c r="O172" s="1589">
        <v>0</v>
      </c>
      <c r="P172" s="1589">
        <v>3327.5826562600005</v>
      </c>
      <c r="Q172" s="1589">
        <v>9444.4898999199995</v>
      </c>
    </row>
    <row r="173" spans="1:17">
      <c r="A173" s="1727" t="s">
        <v>603</v>
      </c>
      <c r="B173" s="1589">
        <v>0</v>
      </c>
      <c r="C173" s="1589">
        <v>2819.8744399999996</v>
      </c>
      <c r="D173" s="1589">
        <v>0</v>
      </c>
      <c r="E173" s="1589">
        <v>0</v>
      </c>
      <c r="F173" s="1589">
        <v>2819.8744399999996</v>
      </c>
      <c r="G173" s="1589">
        <v>0</v>
      </c>
      <c r="H173" s="1589">
        <v>2950.7927710000004</v>
      </c>
      <c r="I173" s="1589">
        <v>0</v>
      </c>
      <c r="J173" s="1589">
        <v>0</v>
      </c>
      <c r="K173" s="1589">
        <v>2950.7927710000004</v>
      </c>
      <c r="L173" s="1589">
        <v>0</v>
      </c>
      <c r="M173" s="1589">
        <v>3139.2289209999999</v>
      </c>
      <c r="N173" s="1589">
        <v>0</v>
      </c>
      <c r="O173" s="1589">
        <v>0</v>
      </c>
      <c r="P173" s="1589">
        <v>3139.2289209999999</v>
      </c>
      <c r="Q173" s="1589">
        <v>8909.8961319999999</v>
      </c>
    </row>
    <row r="174" spans="1:17">
      <c r="A174" s="1727" t="s">
        <v>528</v>
      </c>
      <c r="B174" s="1589">
        <v>0</v>
      </c>
      <c r="C174" s="1589">
        <v>169.19246639999997</v>
      </c>
      <c r="D174" s="1589">
        <v>0</v>
      </c>
      <c r="E174" s="1589">
        <v>0</v>
      </c>
      <c r="F174" s="1589">
        <v>169.19246639999997</v>
      </c>
      <c r="G174" s="1589">
        <v>0</v>
      </c>
      <c r="H174" s="1589">
        <v>177.04756626</v>
      </c>
      <c r="I174" s="1589">
        <v>0</v>
      </c>
      <c r="J174" s="1589">
        <v>0</v>
      </c>
      <c r="K174" s="1589">
        <v>177.04756626</v>
      </c>
      <c r="L174" s="1589">
        <v>0</v>
      </c>
      <c r="M174" s="1589">
        <v>188.35373525999998</v>
      </c>
      <c r="N174" s="1589">
        <v>0</v>
      </c>
      <c r="O174" s="1589">
        <v>0</v>
      </c>
      <c r="P174" s="1589">
        <v>188.35373525999998</v>
      </c>
      <c r="Q174" s="1589">
        <v>534.59376791999989</v>
      </c>
    </row>
    <row r="175" spans="1:17">
      <c r="A175" s="1727" t="s">
        <v>530</v>
      </c>
      <c r="B175" s="1589">
        <v>0</v>
      </c>
      <c r="C175" s="1589">
        <v>2.8198744399999997E-13</v>
      </c>
      <c r="D175" s="1589">
        <v>0</v>
      </c>
      <c r="E175" s="1589">
        <v>0</v>
      </c>
      <c r="F175" s="1589">
        <v>2.8198744399999997E-13</v>
      </c>
      <c r="G175" s="1589">
        <v>0</v>
      </c>
      <c r="H175" s="1589">
        <v>2.9507927710000001E-13</v>
      </c>
      <c r="I175" s="1589">
        <v>0</v>
      </c>
      <c r="J175" s="1589">
        <v>0</v>
      </c>
      <c r="K175" s="1589">
        <v>2.9507927710000001E-13</v>
      </c>
      <c r="L175" s="1589">
        <v>0</v>
      </c>
      <c r="M175" s="1589">
        <v>3.1392289209999994E-13</v>
      </c>
      <c r="N175" s="1589">
        <v>0</v>
      </c>
      <c r="O175" s="1589">
        <v>0</v>
      </c>
      <c r="P175" s="1589">
        <v>3.1392289209999994E-13</v>
      </c>
      <c r="Q175" s="1589">
        <v>8.9098961319999998E-13</v>
      </c>
    </row>
    <row r="176" spans="1:17">
      <c r="A176" s="1727" t="s">
        <v>532</v>
      </c>
      <c r="B176" s="1589">
        <v>0</v>
      </c>
      <c r="C176" s="1589">
        <v>0</v>
      </c>
      <c r="D176" s="1589">
        <v>0</v>
      </c>
      <c r="E176" s="1589">
        <v>0</v>
      </c>
      <c r="F176" s="1589">
        <v>0</v>
      </c>
      <c r="G176" s="1589">
        <v>0</v>
      </c>
      <c r="H176" s="1589">
        <v>0</v>
      </c>
      <c r="I176" s="1589">
        <v>0</v>
      </c>
      <c r="J176" s="1589">
        <v>0</v>
      </c>
      <c r="K176" s="1589">
        <v>0</v>
      </c>
      <c r="L176" s="1589">
        <v>0</v>
      </c>
      <c r="M176" s="1589">
        <v>0</v>
      </c>
      <c r="N176" s="1589">
        <v>0</v>
      </c>
      <c r="O176" s="1589">
        <v>0</v>
      </c>
      <c r="P176" s="1589">
        <v>0</v>
      </c>
      <c r="Q176" s="1589">
        <v>0</v>
      </c>
    </row>
    <row r="177" spans="1:17">
      <c r="A177" s="1727" t="s">
        <v>534</v>
      </c>
      <c r="B177" s="1589">
        <v>0</v>
      </c>
      <c r="C177" s="1589">
        <v>0</v>
      </c>
      <c r="D177" s="1589">
        <v>0</v>
      </c>
      <c r="E177" s="1589">
        <v>0</v>
      </c>
      <c r="F177" s="1589">
        <v>0</v>
      </c>
      <c r="G177" s="1589">
        <v>0</v>
      </c>
      <c r="H177" s="1589">
        <v>0</v>
      </c>
      <c r="I177" s="1589">
        <v>0</v>
      </c>
      <c r="J177" s="1589">
        <v>0</v>
      </c>
      <c r="K177" s="1589">
        <v>0</v>
      </c>
      <c r="L177" s="1589">
        <v>0</v>
      </c>
      <c r="M177" s="1589">
        <v>0</v>
      </c>
      <c r="N177" s="1589">
        <v>0</v>
      </c>
      <c r="O177" s="1589">
        <v>0</v>
      </c>
      <c r="P177" s="1589">
        <v>0</v>
      </c>
      <c r="Q177" s="1589">
        <v>0</v>
      </c>
    </row>
    <row r="178" spans="1:17">
      <c r="A178" s="1727" t="s">
        <v>536</v>
      </c>
      <c r="B178" s="1589">
        <v>0</v>
      </c>
      <c r="C178" s="1589">
        <v>0</v>
      </c>
      <c r="D178" s="1589">
        <v>0</v>
      </c>
      <c r="E178" s="1589">
        <v>0</v>
      </c>
      <c r="F178" s="1589">
        <v>0</v>
      </c>
      <c r="G178" s="1589">
        <v>0</v>
      </c>
      <c r="H178" s="1589">
        <v>0</v>
      </c>
      <c r="I178" s="1589">
        <v>0</v>
      </c>
      <c r="J178" s="1589">
        <v>0</v>
      </c>
      <c r="K178" s="1589">
        <v>0</v>
      </c>
      <c r="L178" s="1589">
        <v>0</v>
      </c>
      <c r="M178" s="1589">
        <v>0</v>
      </c>
      <c r="N178" s="1589">
        <v>0</v>
      </c>
      <c r="O178" s="1589">
        <v>0</v>
      </c>
      <c r="P178" s="1589">
        <v>0</v>
      </c>
      <c r="Q178" s="1589">
        <v>0</v>
      </c>
    </row>
    <row r="179" spans="1:17">
      <c r="A179" s="1727" t="s">
        <v>538</v>
      </c>
      <c r="B179" s="1589">
        <v>0</v>
      </c>
      <c r="C179" s="1589">
        <v>0</v>
      </c>
      <c r="D179" s="1589">
        <v>0</v>
      </c>
      <c r="E179" s="1589">
        <v>0</v>
      </c>
      <c r="F179" s="1589">
        <v>0</v>
      </c>
      <c r="G179" s="1589">
        <v>0</v>
      </c>
      <c r="H179" s="1589">
        <v>0</v>
      </c>
      <c r="I179" s="1589">
        <v>0</v>
      </c>
      <c r="J179" s="1589">
        <v>0</v>
      </c>
      <c r="K179" s="1589">
        <v>0</v>
      </c>
      <c r="L179" s="1589">
        <v>0</v>
      </c>
      <c r="M179" s="1589">
        <v>0</v>
      </c>
      <c r="N179" s="1589">
        <v>0</v>
      </c>
      <c r="O179" s="1589">
        <v>0</v>
      </c>
      <c r="P179" s="1589">
        <v>0</v>
      </c>
      <c r="Q179" s="1589">
        <v>0</v>
      </c>
    </row>
    <row r="180" spans="1:17">
      <c r="A180" s="1727" t="s">
        <v>540</v>
      </c>
      <c r="B180" s="1589">
        <v>0</v>
      </c>
      <c r="C180" s="1589">
        <v>0</v>
      </c>
      <c r="D180" s="1589">
        <v>0</v>
      </c>
      <c r="E180" s="1589">
        <v>0</v>
      </c>
      <c r="F180" s="1589">
        <v>0</v>
      </c>
      <c r="G180" s="1589">
        <v>0</v>
      </c>
      <c r="H180" s="1589">
        <v>0</v>
      </c>
      <c r="I180" s="1589">
        <v>0</v>
      </c>
      <c r="J180" s="1589">
        <v>0</v>
      </c>
      <c r="K180" s="1589">
        <v>0</v>
      </c>
      <c r="L180" s="1589">
        <v>0</v>
      </c>
      <c r="M180" s="1589">
        <v>0</v>
      </c>
      <c r="N180" s="1589">
        <v>0</v>
      </c>
      <c r="O180" s="1589">
        <v>0</v>
      </c>
      <c r="P180" s="1589">
        <v>0</v>
      </c>
      <c r="Q180" s="1589">
        <v>0</v>
      </c>
    </row>
    <row r="181" spans="1:17">
      <c r="A181" s="1726" t="s">
        <v>2558</v>
      </c>
      <c r="B181" s="1589">
        <v>0</v>
      </c>
      <c r="C181" s="1589">
        <v>472.42967753454076</v>
      </c>
      <c r="D181" s="1589">
        <v>0</v>
      </c>
      <c r="E181" s="1589">
        <v>0</v>
      </c>
      <c r="F181" s="1589">
        <v>472.42967753454076</v>
      </c>
      <c r="G181" s="1589">
        <v>0</v>
      </c>
      <c r="H181" s="1589">
        <v>493.30266018994877</v>
      </c>
      <c r="I181" s="1589">
        <v>0</v>
      </c>
      <c r="J181" s="1589">
        <v>0</v>
      </c>
      <c r="K181" s="1589">
        <v>493.30266018994877</v>
      </c>
      <c r="L181" s="1589">
        <v>0</v>
      </c>
      <c r="M181" s="1589">
        <v>525.12159228352891</v>
      </c>
      <c r="N181" s="1589">
        <v>0</v>
      </c>
      <c r="O181" s="1589">
        <v>0</v>
      </c>
      <c r="P181" s="1589">
        <v>525.12159228352891</v>
      </c>
      <c r="Q181" s="1589">
        <v>1490.8539300080183</v>
      </c>
    </row>
    <row r="182" spans="1:17">
      <c r="A182" s="1727" t="s">
        <v>528</v>
      </c>
      <c r="B182" s="1589">
        <v>0</v>
      </c>
      <c r="C182" s="1589">
        <v>472.42967753453996</v>
      </c>
      <c r="D182" s="1589">
        <v>0</v>
      </c>
      <c r="E182" s="1589">
        <v>0</v>
      </c>
      <c r="F182" s="1589">
        <v>472.42967753453996</v>
      </c>
      <c r="G182" s="1589">
        <v>0</v>
      </c>
      <c r="H182" s="1589">
        <v>493.30266018994797</v>
      </c>
      <c r="I182" s="1589">
        <v>0</v>
      </c>
      <c r="J182" s="1589">
        <v>0</v>
      </c>
      <c r="K182" s="1589">
        <v>493.30266018994797</v>
      </c>
      <c r="L182" s="1589">
        <v>0</v>
      </c>
      <c r="M182" s="1589">
        <v>525.121592283528</v>
      </c>
      <c r="N182" s="1589">
        <v>0</v>
      </c>
      <c r="O182" s="1589">
        <v>0</v>
      </c>
      <c r="P182" s="1589">
        <v>525.121592283528</v>
      </c>
      <c r="Q182" s="1589">
        <v>1490.8539300080158</v>
      </c>
    </row>
    <row r="183" spans="1:17">
      <c r="A183" s="1727" t="s">
        <v>530</v>
      </c>
      <c r="B183" s="1589">
        <v>0</v>
      </c>
      <c r="C183" s="1589">
        <v>7.8738279589089986E-13</v>
      </c>
      <c r="D183" s="1589">
        <v>0</v>
      </c>
      <c r="E183" s="1589">
        <v>0</v>
      </c>
      <c r="F183" s="1589">
        <v>7.8738279589089986E-13</v>
      </c>
      <c r="G183" s="1589">
        <v>0</v>
      </c>
      <c r="H183" s="1589">
        <v>8.2217110031658E-13</v>
      </c>
      <c r="I183" s="1589">
        <v>0</v>
      </c>
      <c r="J183" s="1589">
        <v>0</v>
      </c>
      <c r="K183" s="1589">
        <v>8.2217110031658E-13</v>
      </c>
      <c r="L183" s="1589">
        <v>0</v>
      </c>
      <c r="M183" s="1589">
        <v>8.7520265380587987E-13</v>
      </c>
      <c r="N183" s="1589">
        <v>0</v>
      </c>
      <c r="O183" s="1589">
        <v>0</v>
      </c>
      <c r="P183" s="1589">
        <v>8.7520265380587987E-13</v>
      </c>
      <c r="Q183" s="1589">
        <v>2.4847565500133597E-12</v>
      </c>
    </row>
    <row r="184" spans="1:17">
      <c r="A184" s="1727" t="s">
        <v>532</v>
      </c>
      <c r="B184" s="1589">
        <v>0</v>
      </c>
      <c r="C184" s="1589">
        <v>0</v>
      </c>
      <c r="D184" s="1589">
        <v>0</v>
      </c>
      <c r="E184" s="1589">
        <v>0</v>
      </c>
      <c r="F184" s="1589">
        <v>0</v>
      </c>
      <c r="G184" s="1589">
        <v>0</v>
      </c>
      <c r="H184" s="1589">
        <v>0</v>
      </c>
      <c r="I184" s="1589">
        <v>0</v>
      </c>
      <c r="J184" s="1589">
        <v>0</v>
      </c>
      <c r="K184" s="1589">
        <v>0</v>
      </c>
      <c r="L184" s="1589">
        <v>0</v>
      </c>
      <c r="M184" s="1589">
        <v>0</v>
      </c>
      <c r="N184" s="1589">
        <v>0</v>
      </c>
      <c r="O184" s="1589">
        <v>0</v>
      </c>
      <c r="P184" s="1589">
        <v>0</v>
      </c>
      <c r="Q184" s="1589">
        <v>0</v>
      </c>
    </row>
    <row r="185" spans="1:17">
      <c r="A185" s="1727" t="s">
        <v>534</v>
      </c>
      <c r="B185" s="1589">
        <v>0</v>
      </c>
      <c r="C185" s="1589">
        <v>0</v>
      </c>
      <c r="D185" s="1589">
        <v>0</v>
      </c>
      <c r="E185" s="1589">
        <v>0</v>
      </c>
      <c r="F185" s="1589">
        <v>0</v>
      </c>
      <c r="G185" s="1589">
        <v>0</v>
      </c>
      <c r="H185" s="1589">
        <v>0</v>
      </c>
      <c r="I185" s="1589">
        <v>0</v>
      </c>
      <c r="J185" s="1589">
        <v>0</v>
      </c>
      <c r="K185" s="1589">
        <v>0</v>
      </c>
      <c r="L185" s="1589">
        <v>0</v>
      </c>
      <c r="M185" s="1589">
        <v>0</v>
      </c>
      <c r="N185" s="1589">
        <v>0</v>
      </c>
      <c r="O185" s="1589">
        <v>0</v>
      </c>
      <c r="P185" s="1589">
        <v>0</v>
      </c>
      <c r="Q185" s="1589">
        <v>0</v>
      </c>
    </row>
    <row r="186" spans="1:17">
      <c r="A186" s="1727" t="s">
        <v>536</v>
      </c>
      <c r="B186" s="1589">
        <v>0</v>
      </c>
      <c r="C186" s="1589">
        <v>0</v>
      </c>
      <c r="D186" s="1589">
        <v>0</v>
      </c>
      <c r="E186" s="1589">
        <v>0</v>
      </c>
      <c r="F186" s="1589">
        <v>0</v>
      </c>
      <c r="G186" s="1589">
        <v>0</v>
      </c>
      <c r="H186" s="1589">
        <v>0</v>
      </c>
      <c r="I186" s="1589">
        <v>0</v>
      </c>
      <c r="J186" s="1589">
        <v>0</v>
      </c>
      <c r="K186" s="1589">
        <v>0</v>
      </c>
      <c r="L186" s="1589">
        <v>0</v>
      </c>
      <c r="M186" s="1589">
        <v>0</v>
      </c>
      <c r="N186" s="1589">
        <v>0</v>
      </c>
      <c r="O186" s="1589">
        <v>0</v>
      </c>
      <c r="P186" s="1589">
        <v>0</v>
      </c>
      <c r="Q186" s="1589">
        <v>0</v>
      </c>
    </row>
    <row r="187" spans="1:17">
      <c r="A187" s="1727" t="s">
        <v>538</v>
      </c>
      <c r="B187" s="1589">
        <v>0</v>
      </c>
      <c r="C187" s="1589">
        <v>0</v>
      </c>
      <c r="D187" s="1589">
        <v>0</v>
      </c>
      <c r="E187" s="1589">
        <v>0</v>
      </c>
      <c r="F187" s="1589">
        <v>0</v>
      </c>
      <c r="G187" s="1589">
        <v>0</v>
      </c>
      <c r="H187" s="1589">
        <v>0</v>
      </c>
      <c r="I187" s="1589">
        <v>0</v>
      </c>
      <c r="J187" s="1589">
        <v>0</v>
      </c>
      <c r="K187" s="1589">
        <v>0</v>
      </c>
      <c r="L187" s="1589">
        <v>0</v>
      </c>
      <c r="M187" s="1589">
        <v>0</v>
      </c>
      <c r="N187" s="1589">
        <v>0</v>
      </c>
      <c r="O187" s="1589">
        <v>0</v>
      </c>
      <c r="P187" s="1589">
        <v>0</v>
      </c>
      <c r="Q187" s="1589">
        <v>0</v>
      </c>
    </row>
    <row r="188" spans="1:17">
      <c r="A188" s="1727" t="s">
        <v>540</v>
      </c>
      <c r="B188" s="1589">
        <v>0</v>
      </c>
      <c r="C188" s="1589">
        <v>0</v>
      </c>
      <c r="D188" s="1589">
        <v>0</v>
      </c>
      <c r="E188" s="1589">
        <v>0</v>
      </c>
      <c r="F188" s="1589">
        <v>0</v>
      </c>
      <c r="G188" s="1589">
        <v>0</v>
      </c>
      <c r="H188" s="1589">
        <v>0</v>
      </c>
      <c r="I188" s="1589">
        <v>0</v>
      </c>
      <c r="J188" s="1589">
        <v>0</v>
      </c>
      <c r="K188" s="1589">
        <v>0</v>
      </c>
      <c r="L188" s="1589">
        <v>0</v>
      </c>
      <c r="M188" s="1589">
        <v>0</v>
      </c>
      <c r="N188" s="1589">
        <v>0</v>
      </c>
      <c r="O188" s="1589">
        <v>0</v>
      </c>
      <c r="P188" s="1589">
        <v>0</v>
      </c>
      <c r="Q188" s="1589">
        <v>0</v>
      </c>
    </row>
    <row r="189" spans="1:17">
      <c r="A189" s="1726" t="s">
        <v>2553</v>
      </c>
      <c r="B189" s="1589">
        <v>0</v>
      </c>
      <c r="C189" s="1589">
        <v>69275.090264400002</v>
      </c>
      <c r="D189" s="1589">
        <v>0</v>
      </c>
      <c r="E189" s="1589">
        <v>0</v>
      </c>
      <c r="F189" s="1589">
        <v>69275.090264400002</v>
      </c>
      <c r="G189" s="1589">
        <v>0</v>
      </c>
      <c r="H189" s="1589">
        <v>72264.601341540008</v>
      </c>
      <c r="I189" s="1589">
        <v>0</v>
      </c>
      <c r="J189" s="1589">
        <v>0</v>
      </c>
      <c r="K189" s="1589">
        <v>72264.601341540008</v>
      </c>
      <c r="L189" s="1589">
        <v>0</v>
      </c>
      <c r="M189" s="1589">
        <v>76947.125551740013</v>
      </c>
      <c r="N189" s="1589">
        <v>0</v>
      </c>
      <c r="O189" s="1589">
        <v>0</v>
      </c>
      <c r="P189" s="1589">
        <v>76947.125551740013</v>
      </c>
      <c r="Q189" s="1589">
        <v>218486.81715768002</v>
      </c>
    </row>
    <row r="190" spans="1:17">
      <c r="A190" s="1727" t="s">
        <v>603</v>
      </c>
      <c r="B190" s="1589">
        <v>0</v>
      </c>
      <c r="C190" s="1589">
        <v>65353.858739999996</v>
      </c>
      <c r="D190" s="1589">
        <v>0</v>
      </c>
      <c r="E190" s="1589">
        <v>0</v>
      </c>
      <c r="F190" s="1589">
        <v>65353.858739999996</v>
      </c>
      <c r="G190" s="1589">
        <v>0</v>
      </c>
      <c r="H190" s="1589">
        <v>68174.152209000007</v>
      </c>
      <c r="I190" s="1589">
        <v>0</v>
      </c>
      <c r="J190" s="1589">
        <v>0</v>
      </c>
      <c r="K190" s="1589">
        <v>68174.152209000007</v>
      </c>
      <c r="L190" s="1589">
        <v>0</v>
      </c>
      <c r="M190" s="1589">
        <v>72591.627879000007</v>
      </c>
      <c r="N190" s="1589">
        <v>0</v>
      </c>
      <c r="O190" s="1589">
        <v>0</v>
      </c>
      <c r="P190" s="1589">
        <v>72591.627879000007</v>
      </c>
      <c r="Q190" s="1589">
        <v>206119.638828</v>
      </c>
    </row>
    <row r="191" spans="1:17">
      <c r="A191" s="1727" t="s">
        <v>528</v>
      </c>
      <c r="B191" s="1589">
        <v>0</v>
      </c>
      <c r="C191" s="1589">
        <v>3921.2315243999997</v>
      </c>
      <c r="D191" s="1589">
        <v>0</v>
      </c>
      <c r="E191" s="1589">
        <v>0</v>
      </c>
      <c r="F191" s="1589">
        <v>3921.2315243999997</v>
      </c>
      <c r="G191" s="1589">
        <v>0</v>
      </c>
      <c r="H191" s="1589">
        <v>4090.4491325399999</v>
      </c>
      <c r="I191" s="1589">
        <v>0</v>
      </c>
      <c r="J191" s="1589">
        <v>0</v>
      </c>
      <c r="K191" s="1589">
        <v>4090.4491325399999</v>
      </c>
      <c r="L191" s="1589">
        <v>0</v>
      </c>
      <c r="M191" s="1589">
        <v>4355.4976727399999</v>
      </c>
      <c r="N191" s="1589">
        <v>0</v>
      </c>
      <c r="O191" s="1589">
        <v>0</v>
      </c>
      <c r="P191" s="1589">
        <v>4355.4976727399999</v>
      </c>
      <c r="Q191" s="1589">
        <v>12367.17832968</v>
      </c>
    </row>
    <row r="192" spans="1:17">
      <c r="A192" s="1727" t="s">
        <v>530</v>
      </c>
      <c r="B192" s="1589">
        <v>0</v>
      </c>
      <c r="C192" s="1589">
        <v>6.5353858740000006E-12</v>
      </c>
      <c r="D192" s="1589">
        <v>0</v>
      </c>
      <c r="E192" s="1589">
        <v>0</v>
      </c>
      <c r="F192" s="1589">
        <v>6.5353858740000006E-12</v>
      </c>
      <c r="G192" s="1589">
        <v>0</v>
      </c>
      <c r="H192" s="1589">
        <v>6.8174152209000004E-12</v>
      </c>
      <c r="I192" s="1589">
        <v>0</v>
      </c>
      <c r="J192" s="1589">
        <v>0</v>
      </c>
      <c r="K192" s="1589">
        <v>6.8174152209000004E-12</v>
      </c>
      <c r="L192" s="1589">
        <v>0</v>
      </c>
      <c r="M192" s="1589">
        <v>7.2591627878999995E-12</v>
      </c>
      <c r="N192" s="1589">
        <v>0</v>
      </c>
      <c r="O192" s="1589">
        <v>0</v>
      </c>
      <c r="P192" s="1589">
        <v>7.2591627878999995E-12</v>
      </c>
      <c r="Q192" s="1589">
        <v>2.0611963882800001E-11</v>
      </c>
    </row>
    <row r="193" spans="1:17">
      <c r="A193" s="1727" t="s">
        <v>532</v>
      </c>
      <c r="B193" s="1589">
        <v>0</v>
      </c>
      <c r="C193" s="1589">
        <v>0</v>
      </c>
      <c r="D193" s="1589">
        <v>0</v>
      </c>
      <c r="E193" s="1589">
        <v>0</v>
      </c>
      <c r="F193" s="1589">
        <v>0</v>
      </c>
      <c r="G193" s="1589">
        <v>0</v>
      </c>
      <c r="H193" s="1589">
        <v>0</v>
      </c>
      <c r="I193" s="1589">
        <v>0</v>
      </c>
      <c r="J193" s="1589">
        <v>0</v>
      </c>
      <c r="K193" s="1589">
        <v>0</v>
      </c>
      <c r="L193" s="1589">
        <v>0</v>
      </c>
      <c r="M193" s="1589">
        <v>0</v>
      </c>
      <c r="N193" s="1589">
        <v>0</v>
      </c>
      <c r="O193" s="1589">
        <v>0</v>
      </c>
      <c r="P193" s="1589">
        <v>0</v>
      </c>
      <c r="Q193" s="1589">
        <v>0</v>
      </c>
    </row>
    <row r="194" spans="1:17">
      <c r="A194" s="1727" t="s">
        <v>534</v>
      </c>
      <c r="B194" s="1589">
        <v>0</v>
      </c>
      <c r="C194" s="1589">
        <v>0</v>
      </c>
      <c r="D194" s="1589">
        <v>0</v>
      </c>
      <c r="E194" s="1589">
        <v>0</v>
      </c>
      <c r="F194" s="1589">
        <v>0</v>
      </c>
      <c r="G194" s="1589">
        <v>0</v>
      </c>
      <c r="H194" s="1589">
        <v>0</v>
      </c>
      <c r="I194" s="1589">
        <v>0</v>
      </c>
      <c r="J194" s="1589">
        <v>0</v>
      </c>
      <c r="K194" s="1589">
        <v>0</v>
      </c>
      <c r="L194" s="1589">
        <v>0</v>
      </c>
      <c r="M194" s="1589">
        <v>0</v>
      </c>
      <c r="N194" s="1589">
        <v>0</v>
      </c>
      <c r="O194" s="1589">
        <v>0</v>
      </c>
      <c r="P194" s="1589">
        <v>0</v>
      </c>
      <c r="Q194" s="1589">
        <v>0</v>
      </c>
    </row>
    <row r="195" spans="1:17">
      <c r="A195" s="1727" t="s">
        <v>536</v>
      </c>
      <c r="B195" s="1589">
        <v>0</v>
      </c>
      <c r="C195" s="1589">
        <v>0</v>
      </c>
      <c r="D195" s="1589">
        <v>0</v>
      </c>
      <c r="E195" s="1589">
        <v>0</v>
      </c>
      <c r="F195" s="1589">
        <v>0</v>
      </c>
      <c r="G195" s="1589">
        <v>0</v>
      </c>
      <c r="H195" s="1589">
        <v>0</v>
      </c>
      <c r="I195" s="1589">
        <v>0</v>
      </c>
      <c r="J195" s="1589">
        <v>0</v>
      </c>
      <c r="K195" s="1589">
        <v>0</v>
      </c>
      <c r="L195" s="1589">
        <v>0</v>
      </c>
      <c r="M195" s="1589">
        <v>0</v>
      </c>
      <c r="N195" s="1589">
        <v>0</v>
      </c>
      <c r="O195" s="1589">
        <v>0</v>
      </c>
      <c r="P195" s="1589">
        <v>0</v>
      </c>
      <c r="Q195" s="1589">
        <v>0</v>
      </c>
    </row>
    <row r="196" spans="1:17">
      <c r="A196" s="1727" t="s">
        <v>538</v>
      </c>
      <c r="B196" s="1589">
        <v>0</v>
      </c>
      <c r="C196" s="1589">
        <v>0</v>
      </c>
      <c r="D196" s="1589">
        <v>0</v>
      </c>
      <c r="E196" s="1589">
        <v>0</v>
      </c>
      <c r="F196" s="1589">
        <v>0</v>
      </c>
      <c r="G196" s="1589">
        <v>0</v>
      </c>
      <c r="H196" s="1589">
        <v>0</v>
      </c>
      <c r="I196" s="1589">
        <v>0</v>
      </c>
      <c r="J196" s="1589">
        <v>0</v>
      </c>
      <c r="K196" s="1589">
        <v>0</v>
      </c>
      <c r="L196" s="1589">
        <v>0</v>
      </c>
      <c r="M196" s="1589">
        <v>0</v>
      </c>
      <c r="N196" s="1589">
        <v>0</v>
      </c>
      <c r="O196" s="1589">
        <v>0</v>
      </c>
      <c r="P196" s="1589">
        <v>0</v>
      </c>
      <c r="Q196" s="1589">
        <v>0</v>
      </c>
    </row>
    <row r="197" spans="1:17">
      <c r="A197" s="1727" t="s">
        <v>540</v>
      </c>
      <c r="B197" s="1589">
        <v>0</v>
      </c>
      <c r="C197" s="1589">
        <v>0</v>
      </c>
      <c r="D197" s="1589">
        <v>0</v>
      </c>
      <c r="E197" s="1589">
        <v>0</v>
      </c>
      <c r="F197" s="1589">
        <v>0</v>
      </c>
      <c r="G197" s="1589">
        <v>0</v>
      </c>
      <c r="H197" s="1589">
        <v>0</v>
      </c>
      <c r="I197" s="1589">
        <v>0</v>
      </c>
      <c r="J197" s="1589">
        <v>0</v>
      </c>
      <c r="K197" s="1589">
        <v>0</v>
      </c>
      <c r="L197" s="1589">
        <v>0</v>
      </c>
      <c r="M197" s="1589">
        <v>0</v>
      </c>
      <c r="N197" s="1589">
        <v>0</v>
      </c>
      <c r="O197" s="1589">
        <v>0</v>
      </c>
      <c r="P197" s="1589">
        <v>0</v>
      </c>
      <c r="Q197" s="1589">
        <v>0</v>
      </c>
    </row>
    <row r="198" spans="1:17">
      <c r="A198" s="1726" t="s">
        <v>2552</v>
      </c>
      <c r="B198" s="1589">
        <v>0</v>
      </c>
      <c r="C198" s="1589">
        <v>0</v>
      </c>
      <c r="D198" s="1589">
        <v>0</v>
      </c>
      <c r="E198" s="1589">
        <v>0</v>
      </c>
      <c r="F198" s="1589">
        <v>0</v>
      </c>
      <c r="G198" s="1589">
        <v>0</v>
      </c>
      <c r="H198" s="1589">
        <v>0</v>
      </c>
      <c r="I198" s="1589">
        <v>0</v>
      </c>
      <c r="J198" s="1589">
        <v>0</v>
      </c>
      <c r="K198" s="1589">
        <v>0</v>
      </c>
      <c r="L198" s="1589">
        <v>0</v>
      </c>
      <c r="M198" s="1589">
        <v>0</v>
      </c>
      <c r="N198" s="1589">
        <v>0</v>
      </c>
      <c r="O198" s="1589">
        <v>0</v>
      </c>
      <c r="P198" s="1589">
        <v>0</v>
      </c>
      <c r="Q198" s="1589">
        <v>0</v>
      </c>
    </row>
    <row r="199" spans="1:17">
      <c r="A199" s="1727" t="s">
        <v>603</v>
      </c>
      <c r="B199" s="1589">
        <v>0</v>
      </c>
      <c r="C199" s="1589">
        <v>0</v>
      </c>
      <c r="D199" s="1589">
        <v>0</v>
      </c>
      <c r="E199" s="1589">
        <v>0</v>
      </c>
      <c r="F199" s="1589">
        <v>0</v>
      </c>
      <c r="G199" s="1589">
        <v>0</v>
      </c>
      <c r="H199" s="1589">
        <v>0</v>
      </c>
      <c r="I199" s="1589">
        <v>0</v>
      </c>
      <c r="J199" s="1589">
        <v>0</v>
      </c>
      <c r="K199" s="1589">
        <v>0</v>
      </c>
      <c r="L199" s="1589">
        <v>0</v>
      </c>
      <c r="M199" s="1589">
        <v>0</v>
      </c>
      <c r="N199" s="1589">
        <v>0</v>
      </c>
      <c r="O199" s="1589">
        <v>0</v>
      </c>
      <c r="P199" s="1589">
        <v>0</v>
      </c>
      <c r="Q199" s="1589">
        <v>0</v>
      </c>
    </row>
    <row r="200" spans="1:17">
      <c r="A200" s="1727" t="s">
        <v>528</v>
      </c>
      <c r="B200" s="1589">
        <v>0</v>
      </c>
      <c r="C200" s="1589">
        <v>0</v>
      </c>
      <c r="D200" s="1589">
        <v>0</v>
      </c>
      <c r="E200" s="1589">
        <v>0</v>
      </c>
      <c r="F200" s="1589">
        <v>0</v>
      </c>
      <c r="G200" s="1589">
        <v>0</v>
      </c>
      <c r="H200" s="1589">
        <v>0</v>
      </c>
      <c r="I200" s="1589">
        <v>0</v>
      </c>
      <c r="J200" s="1589">
        <v>0</v>
      </c>
      <c r="K200" s="1589">
        <v>0</v>
      </c>
      <c r="L200" s="1589">
        <v>0</v>
      </c>
      <c r="M200" s="1589">
        <v>0</v>
      </c>
      <c r="N200" s="1589">
        <v>0</v>
      </c>
      <c r="O200" s="1589">
        <v>0</v>
      </c>
      <c r="P200" s="1589">
        <v>0</v>
      </c>
      <c r="Q200" s="1589">
        <v>0</v>
      </c>
    </row>
    <row r="201" spans="1:17">
      <c r="A201" s="1727" t="s">
        <v>530</v>
      </c>
      <c r="B201" s="1589">
        <v>0</v>
      </c>
      <c r="C201" s="1589">
        <v>0</v>
      </c>
      <c r="D201" s="1589">
        <v>0</v>
      </c>
      <c r="E201" s="1589">
        <v>0</v>
      </c>
      <c r="F201" s="1589">
        <v>0</v>
      </c>
      <c r="G201" s="1589">
        <v>0</v>
      </c>
      <c r="H201" s="1589">
        <v>0</v>
      </c>
      <c r="I201" s="1589">
        <v>0</v>
      </c>
      <c r="J201" s="1589">
        <v>0</v>
      </c>
      <c r="K201" s="1589">
        <v>0</v>
      </c>
      <c r="L201" s="1589">
        <v>0</v>
      </c>
      <c r="M201" s="1589">
        <v>0</v>
      </c>
      <c r="N201" s="1589">
        <v>0</v>
      </c>
      <c r="O201" s="1589">
        <v>0</v>
      </c>
      <c r="P201" s="1589">
        <v>0</v>
      </c>
      <c r="Q201" s="1589">
        <v>0</v>
      </c>
    </row>
    <row r="202" spans="1:17">
      <c r="A202" s="1727" t="s">
        <v>532</v>
      </c>
      <c r="B202" s="1589">
        <v>0</v>
      </c>
      <c r="C202" s="1589">
        <v>0</v>
      </c>
      <c r="D202" s="1589">
        <v>0</v>
      </c>
      <c r="E202" s="1589">
        <v>0</v>
      </c>
      <c r="F202" s="1589">
        <v>0</v>
      </c>
      <c r="G202" s="1589">
        <v>0</v>
      </c>
      <c r="H202" s="1589">
        <v>0</v>
      </c>
      <c r="I202" s="1589">
        <v>0</v>
      </c>
      <c r="J202" s="1589">
        <v>0</v>
      </c>
      <c r="K202" s="1589">
        <v>0</v>
      </c>
      <c r="L202" s="1589">
        <v>0</v>
      </c>
      <c r="M202" s="1589">
        <v>0</v>
      </c>
      <c r="N202" s="1589">
        <v>0</v>
      </c>
      <c r="O202" s="1589">
        <v>0</v>
      </c>
      <c r="P202" s="1589">
        <v>0</v>
      </c>
      <c r="Q202" s="1589">
        <v>0</v>
      </c>
    </row>
    <row r="203" spans="1:17">
      <c r="A203" s="1727" t="s">
        <v>534</v>
      </c>
      <c r="B203" s="1589">
        <v>0</v>
      </c>
      <c r="C203" s="1589">
        <v>0</v>
      </c>
      <c r="D203" s="1589">
        <v>0</v>
      </c>
      <c r="E203" s="1589">
        <v>0</v>
      </c>
      <c r="F203" s="1589">
        <v>0</v>
      </c>
      <c r="G203" s="1589">
        <v>0</v>
      </c>
      <c r="H203" s="1589">
        <v>0</v>
      </c>
      <c r="I203" s="1589">
        <v>0</v>
      </c>
      <c r="J203" s="1589">
        <v>0</v>
      </c>
      <c r="K203" s="1589">
        <v>0</v>
      </c>
      <c r="L203" s="1589">
        <v>0</v>
      </c>
      <c r="M203" s="1589">
        <v>0</v>
      </c>
      <c r="N203" s="1589">
        <v>0</v>
      </c>
      <c r="O203" s="1589">
        <v>0</v>
      </c>
      <c r="P203" s="1589">
        <v>0</v>
      </c>
      <c r="Q203" s="1589">
        <v>0</v>
      </c>
    </row>
    <row r="204" spans="1:17">
      <c r="A204" s="1727" t="s">
        <v>536</v>
      </c>
      <c r="B204" s="1589">
        <v>0</v>
      </c>
      <c r="C204" s="1589">
        <v>0</v>
      </c>
      <c r="D204" s="1589">
        <v>0</v>
      </c>
      <c r="E204" s="1589">
        <v>0</v>
      </c>
      <c r="F204" s="1589">
        <v>0</v>
      </c>
      <c r="G204" s="1589">
        <v>0</v>
      </c>
      <c r="H204" s="1589">
        <v>0</v>
      </c>
      <c r="I204" s="1589">
        <v>0</v>
      </c>
      <c r="J204" s="1589">
        <v>0</v>
      </c>
      <c r="K204" s="1589">
        <v>0</v>
      </c>
      <c r="L204" s="1589">
        <v>0</v>
      </c>
      <c r="M204" s="1589">
        <v>0</v>
      </c>
      <c r="N204" s="1589">
        <v>0</v>
      </c>
      <c r="O204" s="1589">
        <v>0</v>
      </c>
      <c r="P204" s="1589">
        <v>0</v>
      </c>
      <c r="Q204" s="1589">
        <v>0</v>
      </c>
    </row>
    <row r="205" spans="1:17">
      <c r="A205" s="1727" t="s">
        <v>538</v>
      </c>
      <c r="B205" s="1589">
        <v>0</v>
      </c>
      <c r="C205" s="1589">
        <v>0</v>
      </c>
      <c r="D205" s="1589">
        <v>0</v>
      </c>
      <c r="E205" s="1589">
        <v>0</v>
      </c>
      <c r="F205" s="1589">
        <v>0</v>
      </c>
      <c r="G205" s="1589">
        <v>0</v>
      </c>
      <c r="H205" s="1589">
        <v>0</v>
      </c>
      <c r="I205" s="1589">
        <v>0</v>
      </c>
      <c r="J205" s="1589">
        <v>0</v>
      </c>
      <c r="K205" s="1589">
        <v>0</v>
      </c>
      <c r="L205" s="1589">
        <v>0</v>
      </c>
      <c r="M205" s="1589">
        <v>0</v>
      </c>
      <c r="N205" s="1589">
        <v>0</v>
      </c>
      <c r="O205" s="1589">
        <v>0</v>
      </c>
      <c r="P205" s="1589">
        <v>0</v>
      </c>
      <c r="Q205" s="1589">
        <v>0</v>
      </c>
    </row>
    <row r="206" spans="1:17">
      <c r="A206" s="1727" t="s">
        <v>540</v>
      </c>
      <c r="B206" s="1589">
        <v>0</v>
      </c>
      <c r="C206" s="1589">
        <v>0</v>
      </c>
      <c r="D206" s="1589">
        <v>0</v>
      </c>
      <c r="E206" s="1589">
        <v>0</v>
      </c>
      <c r="F206" s="1589">
        <v>0</v>
      </c>
      <c r="G206" s="1589">
        <v>0</v>
      </c>
      <c r="H206" s="1589">
        <v>0</v>
      </c>
      <c r="I206" s="1589">
        <v>0</v>
      </c>
      <c r="J206" s="1589">
        <v>0</v>
      </c>
      <c r="K206" s="1589">
        <v>0</v>
      </c>
      <c r="L206" s="1589">
        <v>0</v>
      </c>
      <c r="M206" s="1589">
        <v>0</v>
      </c>
      <c r="N206" s="1589">
        <v>0</v>
      </c>
      <c r="O206" s="1589">
        <v>0</v>
      </c>
      <c r="P206" s="1589">
        <v>0</v>
      </c>
      <c r="Q206" s="1589">
        <v>0</v>
      </c>
    </row>
    <row r="207" spans="1:17">
      <c r="A207" s="1726" t="s">
        <v>91</v>
      </c>
      <c r="B207" s="1589">
        <v>0</v>
      </c>
      <c r="C207" s="1589">
        <v>11622.697254817604</v>
      </c>
      <c r="D207" s="1589">
        <v>0</v>
      </c>
      <c r="E207" s="1589">
        <v>0</v>
      </c>
      <c r="F207" s="1589">
        <v>11622.697254817604</v>
      </c>
      <c r="G207" s="1589">
        <v>0</v>
      </c>
      <c r="H207" s="1589">
        <v>12142.523714022693</v>
      </c>
      <c r="I207" s="1589">
        <v>0</v>
      </c>
      <c r="J207" s="1589">
        <v>0</v>
      </c>
      <c r="K207" s="1589">
        <v>12142.523714022693</v>
      </c>
      <c r="L207" s="1589">
        <v>0</v>
      </c>
      <c r="M207" s="1589">
        <v>12923.849449989411</v>
      </c>
      <c r="N207" s="1589">
        <v>0</v>
      </c>
      <c r="O207" s="1589">
        <v>0</v>
      </c>
      <c r="P207" s="1589">
        <v>12923.849449989411</v>
      </c>
      <c r="Q207" s="1589">
        <v>36689.07041882971</v>
      </c>
    </row>
    <row r="208" spans="1:17">
      <c r="A208" s="1727" t="s">
        <v>603</v>
      </c>
      <c r="B208" s="1589">
        <v>0</v>
      </c>
      <c r="C208" s="1589">
        <v>10964.808730960001</v>
      </c>
      <c r="D208" s="1589">
        <v>0</v>
      </c>
      <c r="E208" s="1589">
        <v>0</v>
      </c>
      <c r="F208" s="1589">
        <v>10964.808730960001</v>
      </c>
      <c r="G208" s="1589">
        <v>0</v>
      </c>
      <c r="H208" s="1589">
        <v>11455.211050964803</v>
      </c>
      <c r="I208" s="1589">
        <v>0</v>
      </c>
      <c r="J208" s="1589">
        <v>0</v>
      </c>
      <c r="K208" s="1589">
        <v>11455.211050964803</v>
      </c>
      <c r="L208" s="1589">
        <v>0</v>
      </c>
      <c r="M208" s="1589">
        <v>12192.310801876802</v>
      </c>
      <c r="N208" s="1589">
        <v>0</v>
      </c>
      <c r="O208" s="1589">
        <v>0</v>
      </c>
      <c r="P208" s="1589">
        <v>12192.310801876802</v>
      </c>
      <c r="Q208" s="1589">
        <v>34612.330583801609</v>
      </c>
    </row>
    <row r="209" spans="1:17">
      <c r="A209" s="1727" t="s">
        <v>528</v>
      </c>
      <c r="B209" s="1589">
        <v>0</v>
      </c>
      <c r="C209" s="1589">
        <v>657.88852385760003</v>
      </c>
      <c r="D209" s="1589">
        <v>0</v>
      </c>
      <c r="E209" s="1589">
        <v>0</v>
      </c>
      <c r="F209" s="1589">
        <v>657.88852385760003</v>
      </c>
      <c r="G209" s="1589">
        <v>0</v>
      </c>
      <c r="H209" s="1589">
        <v>687.31266305788813</v>
      </c>
      <c r="I209" s="1589">
        <v>0</v>
      </c>
      <c r="J209" s="1589">
        <v>0</v>
      </c>
      <c r="K209" s="1589">
        <v>687.31266305788813</v>
      </c>
      <c r="L209" s="1589">
        <v>0</v>
      </c>
      <c r="M209" s="1589">
        <v>731.53864811260814</v>
      </c>
      <c r="N209" s="1589">
        <v>0</v>
      </c>
      <c r="O209" s="1589">
        <v>0</v>
      </c>
      <c r="P209" s="1589">
        <v>731.53864811260814</v>
      </c>
      <c r="Q209" s="1589">
        <v>2076.7398350280964</v>
      </c>
    </row>
    <row r="210" spans="1:17">
      <c r="A210" s="1727" t="s">
        <v>530</v>
      </c>
      <c r="B210" s="1589">
        <v>0</v>
      </c>
      <c r="C210" s="1589">
        <v>1.0964808730960002E-12</v>
      </c>
      <c r="D210" s="1589">
        <v>0</v>
      </c>
      <c r="E210" s="1589">
        <v>0</v>
      </c>
      <c r="F210" s="1589">
        <v>1.0964808730960002E-12</v>
      </c>
      <c r="G210" s="1589">
        <v>0</v>
      </c>
      <c r="H210" s="1589">
        <v>1.1455211050964801E-12</v>
      </c>
      <c r="I210" s="1589">
        <v>0</v>
      </c>
      <c r="J210" s="1589">
        <v>0</v>
      </c>
      <c r="K210" s="1589">
        <v>1.1455211050964801E-12</v>
      </c>
      <c r="L210" s="1589">
        <v>0</v>
      </c>
      <c r="M210" s="1589">
        <v>1.21923108018768E-12</v>
      </c>
      <c r="N210" s="1589">
        <v>0</v>
      </c>
      <c r="O210" s="1589">
        <v>0</v>
      </c>
      <c r="P210" s="1589">
        <v>1.21923108018768E-12</v>
      </c>
      <c r="Q210" s="1589">
        <v>3.4612330583801603E-12</v>
      </c>
    </row>
    <row r="211" spans="1:17">
      <c r="A211" s="1727" t="s">
        <v>532</v>
      </c>
      <c r="B211" s="1589">
        <v>0</v>
      </c>
      <c r="C211" s="1589">
        <v>0</v>
      </c>
      <c r="D211" s="1589">
        <v>0</v>
      </c>
      <c r="E211" s="1589">
        <v>0</v>
      </c>
      <c r="F211" s="1589">
        <v>0</v>
      </c>
      <c r="G211" s="1589">
        <v>0</v>
      </c>
      <c r="H211" s="1589">
        <v>0</v>
      </c>
      <c r="I211" s="1589">
        <v>0</v>
      </c>
      <c r="J211" s="1589">
        <v>0</v>
      </c>
      <c r="K211" s="1589">
        <v>0</v>
      </c>
      <c r="L211" s="1589">
        <v>0</v>
      </c>
      <c r="M211" s="1589">
        <v>0</v>
      </c>
      <c r="N211" s="1589">
        <v>0</v>
      </c>
      <c r="O211" s="1589">
        <v>0</v>
      </c>
      <c r="P211" s="1589">
        <v>0</v>
      </c>
      <c r="Q211" s="1589">
        <v>0</v>
      </c>
    </row>
    <row r="212" spans="1:17">
      <c r="A212" s="1727" t="s">
        <v>534</v>
      </c>
      <c r="B212" s="1589">
        <v>0</v>
      </c>
      <c r="C212" s="1589">
        <v>0</v>
      </c>
      <c r="D212" s="1589">
        <v>0</v>
      </c>
      <c r="E212" s="1589">
        <v>0</v>
      </c>
      <c r="F212" s="1589">
        <v>0</v>
      </c>
      <c r="G212" s="1589">
        <v>0</v>
      </c>
      <c r="H212" s="1589">
        <v>0</v>
      </c>
      <c r="I212" s="1589">
        <v>0</v>
      </c>
      <c r="J212" s="1589">
        <v>0</v>
      </c>
      <c r="K212" s="1589">
        <v>0</v>
      </c>
      <c r="L212" s="1589">
        <v>0</v>
      </c>
      <c r="M212" s="1589">
        <v>0</v>
      </c>
      <c r="N212" s="1589">
        <v>0</v>
      </c>
      <c r="O212" s="1589">
        <v>0</v>
      </c>
      <c r="P212" s="1589">
        <v>0</v>
      </c>
      <c r="Q212" s="1589">
        <v>0</v>
      </c>
    </row>
    <row r="213" spans="1:17">
      <c r="A213" s="1727" t="s">
        <v>536</v>
      </c>
      <c r="B213" s="1589">
        <v>0</v>
      </c>
      <c r="C213" s="1589">
        <v>0</v>
      </c>
      <c r="D213" s="1589">
        <v>0</v>
      </c>
      <c r="E213" s="1589">
        <v>0</v>
      </c>
      <c r="F213" s="1589">
        <v>0</v>
      </c>
      <c r="G213" s="1589">
        <v>0</v>
      </c>
      <c r="H213" s="1589">
        <v>0</v>
      </c>
      <c r="I213" s="1589">
        <v>0</v>
      </c>
      <c r="J213" s="1589">
        <v>0</v>
      </c>
      <c r="K213" s="1589">
        <v>0</v>
      </c>
      <c r="L213" s="1589">
        <v>0</v>
      </c>
      <c r="M213" s="1589">
        <v>0</v>
      </c>
      <c r="N213" s="1589">
        <v>0</v>
      </c>
      <c r="O213" s="1589">
        <v>0</v>
      </c>
      <c r="P213" s="1589">
        <v>0</v>
      </c>
      <c r="Q213" s="1589">
        <v>0</v>
      </c>
    </row>
    <row r="214" spans="1:17">
      <c r="A214" s="1727" t="s">
        <v>538</v>
      </c>
      <c r="B214" s="1589">
        <v>0</v>
      </c>
      <c r="C214" s="1589">
        <v>0</v>
      </c>
      <c r="D214" s="1589">
        <v>0</v>
      </c>
      <c r="E214" s="1589">
        <v>0</v>
      </c>
      <c r="F214" s="1589">
        <v>0</v>
      </c>
      <c r="G214" s="1589">
        <v>0</v>
      </c>
      <c r="H214" s="1589">
        <v>0</v>
      </c>
      <c r="I214" s="1589">
        <v>0</v>
      </c>
      <c r="J214" s="1589">
        <v>0</v>
      </c>
      <c r="K214" s="1589">
        <v>0</v>
      </c>
      <c r="L214" s="1589">
        <v>0</v>
      </c>
      <c r="M214" s="1589">
        <v>0</v>
      </c>
      <c r="N214" s="1589">
        <v>0</v>
      </c>
      <c r="O214" s="1589">
        <v>0</v>
      </c>
      <c r="P214" s="1589">
        <v>0</v>
      </c>
      <c r="Q214" s="1589">
        <v>0</v>
      </c>
    </row>
    <row r="215" spans="1:17">
      <c r="A215" s="1727" t="s">
        <v>540</v>
      </c>
      <c r="B215" s="1589">
        <v>0</v>
      </c>
      <c r="C215" s="1589">
        <v>0</v>
      </c>
      <c r="D215" s="1589">
        <v>0</v>
      </c>
      <c r="E215" s="1589">
        <v>0</v>
      </c>
      <c r="F215" s="1589">
        <v>0</v>
      </c>
      <c r="G215" s="1589">
        <v>0</v>
      </c>
      <c r="H215" s="1589">
        <v>0</v>
      </c>
      <c r="I215" s="1589">
        <v>0</v>
      </c>
      <c r="J215" s="1589">
        <v>0</v>
      </c>
      <c r="K215" s="1589">
        <v>0</v>
      </c>
      <c r="L215" s="1589">
        <v>0</v>
      </c>
      <c r="M215" s="1589">
        <v>0</v>
      </c>
      <c r="N215" s="1589">
        <v>0</v>
      </c>
      <c r="O215" s="1589">
        <v>0</v>
      </c>
      <c r="P215" s="1589">
        <v>0</v>
      </c>
      <c r="Q215" s="1589">
        <v>0</v>
      </c>
    </row>
    <row r="216" spans="1:17">
      <c r="A216" s="1726" t="s">
        <v>2551</v>
      </c>
      <c r="B216" s="1589">
        <v>0</v>
      </c>
      <c r="C216" s="1589">
        <v>2537.828186268961</v>
      </c>
      <c r="D216" s="1589">
        <v>0</v>
      </c>
      <c r="E216" s="1589">
        <v>0</v>
      </c>
      <c r="F216" s="1589">
        <v>2537.828186268961</v>
      </c>
      <c r="G216" s="1589">
        <v>0</v>
      </c>
      <c r="H216" s="1589">
        <v>2654.7752495950931</v>
      </c>
      <c r="I216" s="1589">
        <v>0</v>
      </c>
      <c r="J216" s="1589">
        <v>0</v>
      </c>
      <c r="K216" s="1589">
        <v>2654.7752495950931</v>
      </c>
      <c r="L216" s="1589">
        <v>0</v>
      </c>
      <c r="M216" s="1589">
        <v>2824.5698194236124</v>
      </c>
      <c r="N216" s="1589">
        <v>0</v>
      </c>
      <c r="O216" s="1589">
        <v>0</v>
      </c>
      <c r="P216" s="1589">
        <v>2824.5698194236124</v>
      </c>
      <c r="Q216" s="1589">
        <v>8017.1732552876647</v>
      </c>
    </row>
    <row r="217" spans="1:17">
      <c r="A217" s="1727" t="s">
        <v>603</v>
      </c>
      <c r="B217" s="1589">
        <v>0</v>
      </c>
      <c r="C217" s="1589">
        <v>2394.1775342160004</v>
      </c>
      <c r="D217" s="1589">
        <v>0</v>
      </c>
      <c r="E217" s="1589">
        <v>0</v>
      </c>
      <c r="F217" s="1589">
        <v>2394.1775342160004</v>
      </c>
      <c r="G217" s="1589">
        <v>0</v>
      </c>
      <c r="H217" s="1589">
        <v>2504.5049524482006</v>
      </c>
      <c r="I217" s="1589">
        <v>0</v>
      </c>
      <c r="J217" s="1589">
        <v>0</v>
      </c>
      <c r="K217" s="1589">
        <v>2504.5049524482006</v>
      </c>
      <c r="L217" s="1589">
        <v>0</v>
      </c>
      <c r="M217" s="1589">
        <v>2664.6885088902</v>
      </c>
      <c r="N217" s="1589">
        <v>0</v>
      </c>
      <c r="O217" s="1589">
        <v>0</v>
      </c>
      <c r="P217" s="1589">
        <v>2664.6885088902</v>
      </c>
      <c r="Q217" s="1589">
        <v>7563.3709955544</v>
      </c>
    </row>
    <row r="218" spans="1:17">
      <c r="A218" s="1727" t="s">
        <v>528</v>
      </c>
      <c r="B218" s="1589">
        <v>0</v>
      </c>
      <c r="C218" s="1589">
        <v>143.65065205296</v>
      </c>
      <c r="D218" s="1589">
        <v>0</v>
      </c>
      <c r="E218" s="1589">
        <v>0</v>
      </c>
      <c r="F218" s="1589">
        <v>143.65065205296</v>
      </c>
      <c r="G218" s="1589">
        <v>0</v>
      </c>
      <c r="H218" s="1589">
        <v>150.27029714689201</v>
      </c>
      <c r="I218" s="1589">
        <v>0</v>
      </c>
      <c r="J218" s="1589">
        <v>0</v>
      </c>
      <c r="K218" s="1589">
        <v>150.27029714689201</v>
      </c>
      <c r="L218" s="1589">
        <v>0</v>
      </c>
      <c r="M218" s="1589">
        <v>159.88131053341203</v>
      </c>
      <c r="N218" s="1589">
        <v>0</v>
      </c>
      <c r="O218" s="1589">
        <v>0</v>
      </c>
      <c r="P218" s="1589">
        <v>159.88131053341203</v>
      </c>
      <c r="Q218" s="1589">
        <v>453.80225973326401</v>
      </c>
    </row>
    <row r="219" spans="1:17">
      <c r="A219" s="1727" t="s">
        <v>530</v>
      </c>
      <c r="B219" s="1589">
        <v>0</v>
      </c>
      <c r="C219" s="1589">
        <v>2.3941775342160001E-13</v>
      </c>
      <c r="D219" s="1589">
        <v>0</v>
      </c>
      <c r="E219" s="1589">
        <v>0</v>
      </c>
      <c r="F219" s="1589">
        <v>2.3941775342160001E-13</v>
      </c>
      <c r="G219" s="1589">
        <v>0</v>
      </c>
      <c r="H219" s="1589">
        <v>2.5045049524482002E-13</v>
      </c>
      <c r="I219" s="1589">
        <v>0</v>
      </c>
      <c r="J219" s="1589">
        <v>0</v>
      </c>
      <c r="K219" s="1589">
        <v>2.5045049524482002E-13</v>
      </c>
      <c r="L219" s="1589">
        <v>0</v>
      </c>
      <c r="M219" s="1589">
        <v>2.6646885088902005E-13</v>
      </c>
      <c r="N219" s="1589">
        <v>0</v>
      </c>
      <c r="O219" s="1589">
        <v>0</v>
      </c>
      <c r="P219" s="1589">
        <v>2.6646885088902005E-13</v>
      </c>
      <c r="Q219" s="1589">
        <v>7.5633709955544003E-13</v>
      </c>
    </row>
    <row r="220" spans="1:17">
      <c r="A220" s="1727" t="s">
        <v>532</v>
      </c>
      <c r="B220" s="1589">
        <v>0</v>
      </c>
      <c r="C220" s="1589">
        <v>0</v>
      </c>
      <c r="D220" s="1589">
        <v>0</v>
      </c>
      <c r="E220" s="1589">
        <v>0</v>
      </c>
      <c r="F220" s="1589">
        <v>0</v>
      </c>
      <c r="G220" s="1589">
        <v>0</v>
      </c>
      <c r="H220" s="1589">
        <v>0</v>
      </c>
      <c r="I220" s="1589">
        <v>0</v>
      </c>
      <c r="J220" s="1589">
        <v>0</v>
      </c>
      <c r="K220" s="1589">
        <v>0</v>
      </c>
      <c r="L220" s="1589">
        <v>0</v>
      </c>
      <c r="M220" s="1589">
        <v>0</v>
      </c>
      <c r="N220" s="1589">
        <v>0</v>
      </c>
      <c r="O220" s="1589">
        <v>0</v>
      </c>
      <c r="P220" s="1589">
        <v>0</v>
      </c>
      <c r="Q220" s="1589">
        <v>0</v>
      </c>
    </row>
    <row r="221" spans="1:17">
      <c r="A221" s="1727" t="s">
        <v>534</v>
      </c>
      <c r="B221" s="1589">
        <v>0</v>
      </c>
      <c r="C221" s="1589">
        <v>0</v>
      </c>
      <c r="D221" s="1589">
        <v>0</v>
      </c>
      <c r="E221" s="1589">
        <v>0</v>
      </c>
      <c r="F221" s="1589">
        <v>0</v>
      </c>
      <c r="G221" s="1589">
        <v>0</v>
      </c>
      <c r="H221" s="1589">
        <v>0</v>
      </c>
      <c r="I221" s="1589">
        <v>0</v>
      </c>
      <c r="J221" s="1589">
        <v>0</v>
      </c>
      <c r="K221" s="1589">
        <v>0</v>
      </c>
      <c r="L221" s="1589">
        <v>0</v>
      </c>
      <c r="M221" s="1589">
        <v>0</v>
      </c>
      <c r="N221" s="1589">
        <v>0</v>
      </c>
      <c r="O221" s="1589">
        <v>0</v>
      </c>
      <c r="P221" s="1589">
        <v>0</v>
      </c>
      <c r="Q221" s="1589">
        <v>0</v>
      </c>
    </row>
    <row r="222" spans="1:17">
      <c r="A222" s="1727" t="s">
        <v>536</v>
      </c>
      <c r="B222" s="1589">
        <v>0</v>
      </c>
      <c r="C222" s="1589">
        <v>0</v>
      </c>
      <c r="D222" s="1589">
        <v>0</v>
      </c>
      <c r="E222" s="1589">
        <v>0</v>
      </c>
      <c r="F222" s="1589">
        <v>0</v>
      </c>
      <c r="G222" s="1589">
        <v>0</v>
      </c>
      <c r="H222" s="1589">
        <v>0</v>
      </c>
      <c r="I222" s="1589">
        <v>0</v>
      </c>
      <c r="J222" s="1589">
        <v>0</v>
      </c>
      <c r="K222" s="1589">
        <v>0</v>
      </c>
      <c r="L222" s="1589">
        <v>0</v>
      </c>
      <c r="M222" s="1589">
        <v>0</v>
      </c>
      <c r="N222" s="1589">
        <v>0</v>
      </c>
      <c r="O222" s="1589">
        <v>0</v>
      </c>
      <c r="P222" s="1589">
        <v>0</v>
      </c>
      <c r="Q222" s="1589">
        <v>0</v>
      </c>
    </row>
    <row r="223" spans="1:17">
      <c r="A223" s="1727" t="s">
        <v>538</v>
      </c>
      <c r="B223" s="1589">
        <v>0</v>
      </c>
      <c r="C223" s="1589">
        <v>0</v>
      </c>
      <c r="D223" s="1589">
        <v>0</v>
      </c>
      <c r="E223" s="1589">
        <v>0</v>
      </c>
      <c r="F223" s="1589">
        <v>0</v>
      </c>
      <c r="G223" s="1589">
        <v>0</v>
      </c>
      <c r="H223" s="1589">
        <v>0</v>
      </c>
      <c r="I223" s="1589">
        <v>0</v>
      </c>
      <c r="J223" s="1589">
        <v>0</v>
      </c>
      <c r="K223" s="1589">
        <v>0</v>
      </c>
      <c r="L223" s="1589">
        <v>0</v>
      </c>
      <c r="M223" s="1589">
        <v>0</v>
      </c>
      <c r="N223" s="1589">
        <v>0</v>
      </c>
      <c r="O223" s="1589">
        <v>0</v>
      </c>
      <c r="P223" s="1589">
        <v>0</v>
      </c>
      <c r="Q223" s="1589">
        <v>0</v>
      </c>
    </row>
    <row r="224" spans="1:17">
      <c r="A224" s="1727" t="s">
        <v>540</v>
      </c>
      <c r="B224" s="1589">
        <v>0</v>
      </c>
      <c r="C224" s="1589">
        <v>0</v>
      </c>
      <c r="D224" s="1589">
        <v>0</v>
      </c>
      <c r="E224" s="1589">
        <v>0</v>
      </c>
      <c r="F224" s="1589">
        <v>0</v>
      </c>
      <c r="G224" s="1589">
        <v>0</v>
      </c>
      <c r="H224" s="1589">
        <v>0</v>
      </c>
      <c r="I224" s="1589">
        <v>0</v>
      </c>
      <c r="J224" s="1589">
        <v>0</v>
      </c>
      <c r="K224" s="1589">
        <v>0</v>
      </c>
      <c r="L224" s="1589">
        <v>0</v>
      </c>
      <c r="M224" s="1589">
        <v>0</v>
      </c>
      <c r="N224" s="1589">
        <v>0</v>
      </c>
      <c r="O224" s="1589">
        <v>0</v>
      </c>
      <c r="P224" s="1589">
        <v>0</v>
      </c>
      <c r="Q224" s="1589">
        <v>0</v>
      </c>
    </row>
    <row r="225" spans="1:17">
      <c r="A225" s="1725" t="s">
        <v>675</v>
      </c>
      <c r="B225" s="1589">
        <v>0</v>
      </c>
      <c r="C225" s="1589">
        <v>28068.519051876003</v>
      </c>
      <c r="D225" s="1589">
        <v>0</v>
      </c>
      <c r="E225" s="1589">
        <v>0</v>
      </c>
      <c r="F225" s="1589">
        <v>28068.519051876003</v>
      </c>
      <c r="G225" s="1589">
        <v>0</v>
      </c>
      <c r="H225" s="1589">
        <v>29324.063508717019</v>
      </c>
      <c r="I225" s="1589">
        <v>0</v>
      </c>
      <c r="J225" s="1589">
        <v>0</v>
      </c>
      <c r="K225" s="1589">
        <v>29324.063508717019</v>
      </c>
      <c r="L225" s="1589">
        <v>0</v>
      </c>
      <c r="M225" s="1589">
        <v>31210.9038196457</v>
      </c>
      <c r="N225" s="1589">
        <v>0</v>
      </c>
      <c r="O225" s="1589">
        <v>0</v>
      </c>
      <c r="P225" s="1589">
        <v>31210.9038196457</v>
      </c>
      <c r="Q225" s="1589">
        <v>88603.486380238697</v>
      </c>
    </row>
    <row r="226" spans="1:17">
      <c r="A226" s="1726" t="s">
        <v>2555</v>
      </c>
      <c r="B226" s="1589">
        <v>0</v>
      </c>
      <c r="C226" s="1589">
        <v>0</v>
      </c>
      <c r="D226" s="1589">
        <v>0</v>
      </c>
      <c r="E226" s="1589">
        <v>0</v>
      </c>
      <c r="F226" s="1589">
        <v>0</v>
      </c>
      <c r="G226" s="1589">
        <v>0</v>
      </c>
      <c r="H226" s="1589">
        <v>0</v>
      </c>
      <c r="I226" s="1589">
        <v>0</v>
      </c>
      <c r="J226" s="1589">
        <v>0</v>
      </c>
      <c r="K226" s="1589">
        <v>0</v>
      </c>
      <c r="L226" s="1589">
        <v>0</v>
      </c>
      <c r="M226" s="1589">
        <v>0</v>
      </c>
      <c r="N226" s="1589">
        <v>0</v>
      </c>
      <c r="O226" s="1589">
        <v>0</v>
      </c>
      <c r="P226" s="1589">
        <v>0</v>
      </c>
      <c r="Q226" s="1589">
        <v>0</v>
      </c>
    </row>
    <row r="227" spans="1:17">
      <c r="A227" s="1727" t="s">
        <v>603</v>
      </c>
      <c r="B227" s="1589">
        <v>0</v>
      </c>
      <c r="C227" s="1589">
        <v>0</v>
      </c>
      <c r="D227" s="1589">
        <v>0</v>
      </c>
      <c r="E227" s="1589">
        <v>0</v>
      </c>
      <c r="F227" s="1589">
        <v>0</v>
      </c>
      <c r="G227" s="1589">
        <v>0</v>
      </c>
      <c r="H227" s="1589">
        <v>0</v>
      </c>
      <c r="I227" s="1589">
        <v>0</v>
      </c>
      <c r="J227" s="1589">
        <v>0</v>
      </c>
      <c r="K227" s="1589">
        <v>0</v>
      </c>
      <c r="L227" s="1589">
        <v>0</v>
      </c>
      <c r="M227" s="1589">
        <v>0</v>
      </c>
      <c r="N227" s="1589">
        <v>0</v>
      </c>
      <c r="O227" s="1589">
        <v>0</v>
      </c>
      <c r="P227" s="1589">
        <v>0</v>
      </c>
      <c r="Q227" s="1589">
        <v>0</v>
      </c>
    </row>
    <row r="228" spans="1:17">
      <c r="A228" s="1727" t="s">
        <v>528</v>
      </c>
      <c r="B228" s="1589">
        <v>0</v>
      </c>
      <c r="C228" s="1589">
        <v>0</v>
      </c>
      <c r="D228" s="1589">
        <v>0</v>
      </c>
      <c r="E228" s="1589">
        <v>0</v>
      </c>
      <c r="F228" s="1589">
        <v>0</v>
      </c>
      <c r="G228" s="1589">
        <v>0</v>
      </c>
      <c r="H228" s="1589">
        <v>0</v>
      </c>
      <c r="I228" s="1589">
        <v>0</v>
      </c>
      <c r="J228" s="1589">
        <v>0</v>
      </c>
      <c r="K228" s="1589">
        <v>0</v>
      </c>
      <c r="L228" s="1589">
        <v>0</v>
      </c>
      <c r="M228" s="1589">
        <v>0</v>
      </c>
      <c r="N228" s="1589">
        <v>0</v>
      </c>
      <c r="O228" s="1589">
        <v>0</v>
      </c>
      <c r="P228" s="1589">
        <v>0</v>
      </c>
      <c r="Q228" s="1589">
        <v>0</v>
      </c>
    </row>
    <row r="229" spans="1:17">
      <c r="A229" s="1727" t="s">
        <v>530</v>
      </c>
      <c r="B229" s="1589">
        <v>0</v>
      </c>
      <c r="C229" s="1589">
        <v>0</v>
      </c>
      <c r="D229" s="1589">
        <v>0</v>
      </c>
      <c r="E229" s="1589">
        <v>0</v>
      </c>
      <c r="F229" s="1589">
        <v>0</v>
      </c>
      <c r="G229" s="1589">
        <v>0</v>
      </c>
      <c r="H229" s="1589">
        <v>0</v>
      </c>
      <c r="I229" s="1589">
        <v>0</v>
      </c>
      <c r="J229" s="1589">
        <v>0</v>
      </c>
      <c r="K229" s="1589">
        <v>0</v>
      </c>
      <c r="L229" s="1589">
        <v>0</v>
      </c>
      <c r="M229" s="1589">
        <v>0</v>
      </c>
      <c r="N229" s="1589">
        <v>0</v>
      </c>
      <c r="O229" s="1589">
        <v>0</v>
      </c>
      <c r="P229" s="1589">
        <v>0</v>
      </c>
      <c r="Q229" s="1589">
        <v>0</v>
      </c>
    </row>
    <row r="230" spans="1:17">
      <c r="A230" s="1727" t="s">
        <v>532</v>
      </c>
      <c r="B230" s="1589">
        <v>0</v>
      </c>
      <c r="C230" s="1589">
        <v>0</v>
      </c>
      <c r="D230" s="1589">
        <v>0</v>
      </c>
      <c r="E230" s="1589">
        <v>0</v>
      </c>
      <c r="F230" s="1589">
        <v>0</v>
      </c>
      <c r="G230" s="1589">
        <v>0</v>
      </c>
      <c r="H230" s="1589">
        <v>0</v>
      </c>
      <c r="I230" s="1589">
        <v>0</v>
      </c>
      <c r="J230" s="1589">
        <v>0</v>
      </c>
      <c r="K230" s="1589">
        <v>0</v>
      </c>
      <c r="L230" s="1589">
        <v>0</v>
      </c>
      <c r="M230" s="1589">
        <v>0</v>
      </c>
      <c r="N230" s="1589">
        <v>0</v>
      </c>
      <c r="O230" s="1589">
        <v>0</v>
      </c>
      <c r="P230" s="1589">
        <v>0</v>
      </c>
      <c r="Q230" s="1589">
        <v>0</v>
      </c>
    </row>
    <row r="231" spans="1:17">
      <c r="A231" s="1727" t="s">
        <v>534</v>
      </c>
      <c r="B231" s="1589">
        <v>0</v>
      </c>
      <c r="C231" s="1589">
        <v>0</v>
      </c>
      <c r="D231" s="1589">
        <v>0</v>
      </c>
      <c r="E231" s="1589">
        <v>0</v>
      </c>
      <c r="F231" s="1589">
        <v>0</v>
      </c>
      <c r="G231" s="1589">
        <v>0</v>
      </c>
      <c r="H231" s="1589">
        <v>0</v>
      </c>
      <c r="I231" s="1589">
        <v>0</v>
      </c>
      <c r="J231" s="1589">
        <v>0</v>
      </c>
      <c r="K231" s="1589">
        <v>0</v>
      </c>
      <c r="L231" s="1589">
        <v>0</v>
      </c>
      <c r="M231" s="1589">
        <v>0</v>
      </c>
      <c r="N231" s="1589">
        <v>0</v>
      </c>
      <c r="O231" s="1589">
        <v>0</v>
      </c>
      <c r="P231" s="1589">
        <v>0</v>
      </c>
      <c r="Q231" s="1589">
        <v>0</v>
      </c>
    </row>
    <row r="232" spans="1:17">
      <c r="A232" s="1727" t="s">
        <v>536</v>
      </c>
      <c r="B232" s="1589">
        <v>0</v>
      </c>
      <c r="C232" s="1589">
        <v>0</v>
      </c>
      <c r="D232" s="1589">
        <v>0</v>
      </c>
      <c r="E232" s="1589">
        <v>0</v>
      </c>
      <c r="F232" s="1589">
        <v>0</v>
      </c>
      <c r="G232" s="1589">
        <v>0</v>
      </c>
      <c r="H232" s="1589">
        <v>0</v>
      </c>
      <c r="I232" s="1589">
        <v>0</v>
      </c>
      <c r="J232" s="1589">
        <v>0</v>
      </c>
      <c r="K232" s="1589">
        <v>0</v>
      </c>
      <c r="L232" s="1589">
        <v>0</v>
      </c>
      <c r="M232" s="1589">
        <v>0</v>
      </c>
      <c r="N232" s="1589">
        <v>0</v>
      </c>
      <c r="O232" s="1589">
        <v>0</v>
      </c>
      <c r="P232" s="1589">
        <v>0</v>
      </c>
      <c r="Q232" s="1589">
        <v>0</v>
      </c>
    </row>
    <row r="233" spans="1:17">
      <c r="A233" s="1727" t="s">
        <v>538</v>
      </c>
      <c r="B233" s="1589">
        <v>0</v>
      </c>
      <c r="C233" s="1589">
        <v>0</v>
      </c>
      <c r="D233" s="1589">
        <v>0</v>
      </c>
      <c r="E233" s="1589">
        <v>0</v>
      </c>
      <c r="F233" s="1589">
        <v>0</v>
      </c>
      <c r="G233" s="1589">
        <v>0</v>
      </c>
      <c r="H233" s="1589">
        <v>0</v>
      </c>
      <c r="I233" s="1589">
        <v>0</v>
      </c>
      <c r="J233" s="1589">
        <v>0</v>
      </c>
      <c r="K233" s="1589">
        <v>0</v>
      </c>
      <c r="L233" s="1589">
        <v>0</v>
      </c>
      <c r="M233" s="1589">
        <v>0</v>
      </c>
      <c r="N233" s="1589">
        <v>0</v>
      </c>
      <c r="O233" s="1589">
        <v>0</v>
      </c>
      <c r="P233" s="1589">
        <v>0</v>
      </c>
      <c r="Q233" s="1589">
        <v>0</v>
      </c>
    </row>
    <row r="234" spans="1:17">
      <c r="A234" s="1727" t="s">
        <v>540</v>
      </c>
      <c r="B234" s="1589">
        <v>0</v>
      </c>
      <c r="C234" s="1589">
        <v>0</v>
      </c>
      <c r="D234" s="1589">
        <v>0</v>
      </c>
      <c r="E234" s="1589">
        <v>0</v>
      </c>
      <c r="F234" s="1589">
        <v>0</v>
      </c>
      <c r="G234" s="1589">
        <v>0</v>
      </c>
      <c r="H234" s="1589">
        <v>0</v>
      </c>
      <c r="I234" s="1589">
        <v>0</v>
      </c>
      <c r="J234" s="1589">
        <v>0</v>
      </c>
      <c r="K234" s="1589">
        <v>0</v>
      </c>
      <c r="L234" s="1589">
        <v>0</v>
      </c>
      <c r="M234" s="1589">
        <v>0</v>
      </c>
      <c r="N234" s="1589">
        <v>0</v>
      </c>
      <c r="O234" s="1589">
        <v>0</v>
      </c>
      <c r="P234" s="1589">
        <v>0</v>
      </c>
      <c r="Q234" s="1589">
        <v>0</v>
      </c>
    </row>
    <row r="235" spans="1:17">
      <c r="A235" s="1726" t="s">
        <v>2556</v>
      </c>
      <c r="B235" s="1589">
        <v>0</v>
      </c>
      <c r="C235" s="1589">
        <v>0</v>
      </c>
      <c r="D235" s="1589">
        <v>0</v>
      </c>
      <c r="E235" s="1589">
        <v>0</v>
      </c>
      <c r="F235" s="1589">
        <v>0</v>
      </c>
      <c r="G235" s="1589">
        <v>0</v>
      </c>
      <c r="H235" s="1589">
        <v>0</v>
      </c>
      <c r="I235" s="1589">
        <v>0</v>
      </c>
      <c r="J235" s="1589">
        <v>0</v>
      </c>
      <c r="K235" s="1589">
        <v>0</v>
      </c>
      <c r="L235" s="1589">
        <v>0</v>
      </c>
      <c r="M235" s="1589">
        <v>0</v>
      </c>
      <c r="N235" s="1589">
        <v>0</v>
      </c>
      <c r="O235" s="1589">
        <v>0</v>
      </c>
      <c r="P235" s="1589">
        <v>0</v>
      </c>
      <c r="Q235" s="1589">
        <v>0</v>
      </c>
    </row>
    <row r="236" spans="1:17">
      <c r="A236" s="1727" t="s">
        <v>603</v>
      </c>
      <c r="B236" s="1589">
        <v>0</v>
      </c>
      <c r="C236" s="1589">
        <v>0</v>
      </c>
      <c r="D236" s="1589">
        <v>0</v>
      </c>
      <c r="E236" s="1589">
        <v>0</v>
      </c>
      <c r="F236" s="1589">
        <v>0</v>
      </c>
      <c r="G236" s="1589">
        <v>0</v>
      </c>
      <c r="H236" s="1589">
        <v>0</v>
      </c>
      <c r="I236" s="1589">
        <v>0</v>
      </c>
      <c r="J236" s="1589">
        <v>0</v>
      </c>
      <c r="K236" s="1589">
        <v>0</v>
      </c>
      <c r="L236" s="1589">
        <v>0</v>
      </c>
      <c r="M236" s="1589">
        <v>0</v>
      </c>
      <c r="N236" s="1589">
        <v>0</v>
      </c>
      <c r="O236" s="1589">
        <v>0</v>
      </c>
      <c r="P236" s="1589">
        <v>0</v>
      </c>
      <c r="Q236" s="1589">
        <v>0</v>
      </c>
    </row>
    <row r="237" spans="1:17">
      <c r="A237" s="1727" t="s">
        <v>528</v>
      </c>
      <c r="B237" s="1589">
        <v>0</v>
      </c>
      <c r="C237" s="1589">
        <v>0</v>
      </c>
      <c r="D237" s="1589">
        <v>0</v>
      </c>
      <c r="E237" s="1589">
        <v>0</v>
      </c>
      <c r="F237" s="1589">
        <v>0</v>
      </c>
      <c r="G237" s="1589">
        <v>0</v>
      </c>
      <c r="H237" s="1589">
        <v>0</v>
      </c>
      <c r="I237" s="1589">
        <v>0</v>
      </c>
      <c r="J237" s="1589">
        <v>0</v>
      </c>
      <c r="K237" s="1589">
        <v>0</v>
      </c>
      <c r="L237" s="1589">
        <v>0</v>
      </c>
      <c r="M237" s="1589">
        <v>0</v>
      </c>
      <c r="N237" s="1589">
        <v>0</v>
      </c>
      <c r="O237" s="1589">
        <v>0</v>
      </c>
      <c r="P237" s="1589">
        <v>0</v>
      </c>
      <c r="Q237" s="1589">
        <v>0</v>
      </c>
    </row>
    <row r="238" spans="1:17">
      <c r="A238" s="1727" t="s">
        <v>530</v>
      </c>
      <c r="B238" s="1589">
        <v>0</v>
      </c>
      <c r="C238" s="1589">
        <v>0</v>
      </c>
      <c r="D238" s="1589">
        <v>0</v>
      </c>
      <c r="E238" s="1589">
        <v>0</v>
      </c>
      <c r="F238" s="1589">
        <v>0</v>
      </c>
      <c r="G238" s="1589">
        <v>0</v>
      </c>
      <c r="H238" s="1589">
        <v>0</v>
      </c>
      <c r="I238" s="1589">
        <v>0</v>
      </c>
      <c r="J238" s="1589">
        <v>0</v>
      </c>
      <c r="K238" s="1589">
        <v>0</v>
      </c>
      <c r="L238" s="1589">
        <v>0</v>
      </c>
      <c r="M238" s="1589">
        <v>0</v>
      </c>
      <c r="N238" s="1589">
        <v>0</v>
      </c>
      <c r="O238" s="1589">
        <v>0</v>
      </c>
      <c r="P238" s="1589">
        <v>0</v>
      </c>
      <c r="Q238" s="1589">
        <v>0</v>
      </c>
    </row>
    <row r="239" spans="1:17">
      <c r="A239" s="1727" t="s">
        <v>532</v>
      </c>
      <c r="B239" s="1589">
        <v>0</v>
      </c>
      <c r="C239" s="1589">
        <v>0</v>
      </c>
      <c r="D239" s="1589">
        <v>0</v>
      </c>
      <c r="E239" s="1589">
        <v>0</v>
      </c>
      <c r="F239" s="1589">
        <v>0</v>
      </c>
      <c r="G239" s="1589">
        <v>0</v>
      </c>
      <c r="H239" s="1589">
        <v>0</v>
      </c>
      <c r="I239" s="1589">
        <v>0</v>
      </c>
      <c r="J239" s="1589">
        <v>0</v>
      </c>
      <c r="K239" s="1589">
        <v>0</v>
      </c>
      <c r="L239" s="1589">
        <v>0</v>
      </c>
      <c r="M239" s="1589">
        <v>0</v>
      </c>
      <c r="N239" s="1589">
        <v>0</v>
      </c>
      <c r="O239" s="1589">
        <v>0</v>
      </c>
      <c r="P239" s="1589">
        <v>0</v>
      </c>
      <c r="Q239" s="1589">
        <v>0</v>
      </c>
    </row>
    <row r="240" spans="1:17">
      <c r="A240" s="1727" t="s">
        <v>534</v>
      </c>
      <c r="B240" s="1589">
        <v>0</v>
      </c>
      <c r="C240" s="1589">
        <v>0</v>
      </c>
      <c r="D240" s="1589">
        <v>0</v>
      </c>
      <c r="E240" s="1589">
        <v>0</v>
      </c>
      <c r="F240" s="1589">
        <v>0</v>
      </c>
      <c r="G240" s="1589">
        <v>0</v>
      </c>
      <c r="H240" s="1589">
        <v>0</v>
      </c>
      <c r="I240" s="1589">
        <v>0</v>
      </c>
      <c r="J240" s="1589">
        <v>0</v>
      </c>
      <c r="K240" s="1589">
        <v>0</v>
      </c>
      <c r="L240" s="1589">
        <v>0</v>
      </c>
      <c r="M240" s="1589">
        <v>0</v>
      </c>
      <c r="N240" s="1589">
        <v>0</v>
      </c>
      <c r="O240" s="1589">
        <v>0</v>
      </c>
      <c r="P240" s="1589">
        <v>0</v>
      </c>
      <c r="Q240" s="1589">
        <v>0</v>
      </c>
    </row>
    <row r="241" spans="1:17">
      <c r="A241" s="1727" t="s">
        <v>536</v>
      </c>
      <c r="B241" s="1589">
        <v>0</v>
      </c>
      <c r="C241" s="1589">
        <v>0</v>
      </c>
      <c r="D241" s="1589">
        <v>0</v>
      </c>
      <c r="E241" s="1589">
        <v>0</v>
      </c>
      <c r="F241" s="1589">
        <v>0</v>
      </c>
      <c r="G241" s="1589">
        <v>0</v>
      </c>
      <c r="H241" s="1589">
        <v>0</v>
      </c>
      <c r="I241" s="1589">
        <v>0</v>
      </c>
      <c r="J241" s="1589">
        <v>0</v>
      </c>
      <c r="K241" s="1589">
        <v>0</v>
      </c>
      <c r="L241" s="1589">
        <v>0</v>
      </c>
      <c r="M241" s="1589">
        <v>0</v>
      </c>
      <c r="N241" s="1589">
        <v>0</v>
      </c>
      <c r="O241" s="1589">
        <v>0</v>
      </c>
      <c r="P241" s="1589">
        <v>0</v>
      </c>
      <c r="Q241" s="1589">
        <v>0</v>
      </c>
    </row>
    <row r="242" spans="1:17">
      <c r="A242" s="1727" t="s">
        <v>538</v>
      </c>
      <c r="B242" s="1589">
        <v>0</v>
      </c>
      <c r="C242" s="1589">
        <v>0</v>
      </c>
      <c r="D242" s="1589">
        <v>0</v>
      </c>
      <c r="E242" s="1589">
        <v>0</v>
      </c>
      <c r="F242" s="1589">
        <v>0</v>
      </c>
      <c r="G242" s="1589">
        <v>0</v>
      </c>
      <c r="H242" s="1589">
        <v>0</v>
      </c>
      <c r="I242" s="1589">
        <v>0</v>
      </c>
      <c r="J242" s="1589">
        <v>0</v>
      </c>
      <c r="K242" s="1589">
        <v>0</v>
      </c>
      <c r="L242" s="1589">
        <v>0</v>
      </c>
      <c r="M242" s="1589">
        <v>0</v>
      </c>
      <c r="N242" s="1589">
        <v>0</v>
      </c>
      <c r="O242" s="1589">
        <v>0</v>
      </c>
      <c r="P242" s="1589">
        <v>0</v>
      </c>
      <c r="Q242" s="1589">
        <v>0</v>
      </c>
    </row>
    <row r="243" spans="1:17">
      <c r="A243" s="1727" t="s">
        <v>540</v>
      </c>
      <c r="B243" s="1589">
        <v>0</v>
      </c>
      <c r="C243" s="1589">
        <v>0</v>
      </c>
      <c r="D243" s="1589">
        <v>0</v>
      </c>
      <c r="E243" s="1589">
        <v>0</v>
      </c>
      <c r="F243" s="1589">
        <v>0</v>
      </c>
      <c r="G243" s="1589">
        <v>0</v>
      </c>
      <c r="H243" s="1589">
        <v>0</v>
      </c>
      <c r="I243" s="1589">
        <v>0</v>
      </c>
      <c r="J243" s="1589">
        <v>0</v>
      </c>
      <c r="K243" s="1589">
        <v>0</v>
      </c>
      <c r="L243" s="1589">
        <v>0</v>
      </c>
      <c r="M243" s="1589">
        <v>0</v>
      </c>
      <c r="N243" s="1589">
        <v>0</v>
      </c>
      <c r="O243" s="1589">
        <v>0</v>
      </c>
      <c r="P243" s="1589">
        <v>0</v>
      </c>
      <c r="Q243" s="1589">
        <v>0</v>
      </c>
    </row>
    <row r="244" spans="1:17">
      <c r="A244" s="1726" t="s">
        <v>2550</v>
      </c>
      <c r="B244" s="1589">
        <v>0</v>
      </c>
      <c r="C244" s="1589">
        <v>7291.6402844061004</v>
      </c>
      <c r="D244" s="1589">
        <v>0</v>
      </c>
      <c r="E244" s="1589">
        <v>0</v>
      </c>
      <c r="F244" s="1589">
        <v>7291.6402844061004</v>
      </c>
      <c r="G244" s="1589">
        <v>0</v>
      </c>
      <c r="H244" s="1589">
        <v>7628.1758304305413</v>
      </c>
      <c r="I244" s="1589">
        <v>0</v>
      </c>
      <c r="J244" s="1589">
        <v>0</v>
      </c>
      <c r="K244" s="1589">
        <v>7628.1758304305413</v>
      </c>
      <c r="L244" s="1589">
        <v>0</v>
      </c>
      <c r="M244" s="1589">
        <v>8115.9029577410429</v>
      </c>
      <c r="N244" s="1589">
        <v>0</v>
      </c>
      <c r="O244" s="1589">
        <v>0</v>
      </c>
      <c r="P244" s="1589">
        <v>8115.9029577410429</v>
      </c>
      <c r="Q244" s="1589">
        <v>23035.719072577682</v>
      </c>
    </row>
    <row r="245" spans="1:17">
      <c r="A245" s="1727" t="s">
        <v>603</v>
      </c>
      <c r="B245" s="1589">
        <v>0</v>
      </c>
      <c r="C245" s="1589">
        <v>6878.9059286849997</v>
      </c>
      <c r="D245" s="1589">
        <v>0</v>
      </c>
      <c r="E245" s="1589">
        <v>0</v>
      </c>
      <c r="F245" s="1589">
        <v>6878.9059286849997</v>
      </c>
      <c r="G245" s="1589">
        <v>0</v>
      </c>
      <c r="H245" s="1589">
        <v>7196.392292859</v>
      </c>
      <c r="I245" s="1589">
        <v>0</v>
      </c>
      <c r="J245" s="1589">
        <v>0</v>
      </c>
      <c r="K245" s="1589">
        <v>7196.392292859</v>
      </c>
      <c r="L245" s="1589">
        <v>0</v>
      </c>
      <c r="M245" s="1589">
        <v>7656.5122242840016</v>
      </c>
      <c r="N245" s="1589">
        <v>0</v>
      </c>
      <c r="O245" s="1589">
        <v>0</v>
      </c>
      <c r="P245" s="1589">
        <v>7656.5122242840016</v>
      </c>
      <c r="Q245" s="1589">
        <v>21731.810445828</v>
      </c>
    </row>
    <row r="246" spans="1:17">
      <c r="A246" s="1727" t="s">
        <v>528</v>
      </c>
      <c r="B246" s="1589">
        <v>0</v>
      </c>
      <c r="C246" s="1589">
        <v>412.73435572109997</v>
      </c>
      <c r="D246" s="1589">
        <v>0</v>
      </c>
      <c r="E246" s="1589">
        <v>0</v>
      </c>
      <c r="F246" s="1589">
        <v>412.73435572109997</v>
      </c>
      <c r="G246" s="1589">
        <v>0</v>
      </c>
      <c r="H246" s="1589">
        <v>431.78353757154002</v>
      </c>
      <c r="I246" s="1589">
        <v>0</v>
      </c>
      <c r="J246" s="1589">
        <v>0</v>
      </c>
      <c r="K246" s="1589">
        <v>431.78353757154002</v>
      </c>
      <c r="L246" s="1589">
        <v>0</v>
      </c>
      <c r="M246" s="1589">
        <v>459.39073345704003</v>
      </c>
      <c r="N246" s="1589">
        <v>0</v>
      </c>
      <c r="O246" s="1589">
        <v>0</v>
      </c>
      <c r="P246" s="1589">
        <v>459.39073345704003</v>
      </c>
      <c r="Q246" s="1589">
        <v>1303.90862674968</v>
      </c>
    </row>
    <row r="247" spans="1:17">
      <c r="A247" s="1727" t="s">
        <v>530</v>
      </c>
      <c r="B247" s="1589">
        <v>0</v>
      </c>
      <c r="C247" s="1589">
        <v>6.8789059286849986E-13</v>
      </c>
      <c r="D247" s="1589">
        <v>0</v>
      </c>
      <c r="E247" s="1589">
        <v>0</v>
      </c>
      <c r="F247" s="1589">
        <v>6.8789059286849986E-13</v>
      </c>
      <c r="G247" s="1589">
        <v>0</v>
      </c>
      <c r="H247" s="1589">
        <v>7.1963922928590004E-13</v>
      </c>
      <c r="I247" s="1589">
        <v>0</v>
      </c>
      <c r="J247" s="1589">
        <v>0</v>
      </c>
      <c r="K247" s="1589">
        <v>7.1963922928590004E-13</v>
      </c>
      <c r="L247" s="1589">
        <v>0</v>
      </c>
      <c r="M247" s="1589">
        <v>7.6565122242839996E-13</v>
      </c>
      <c r="N247" s="1589">
        <v>0</v>
      </c>
      <c r="O247" s="1589">
        <v>0</v>
      </c>
      <c r="P247" s="1589">
        <v>7.6565122242839996E-13</v>
      </c>
      <c r="Q247" s="1589">
        <v>2.1731810445827999E-12</v>
      </c>
    </row>
    <row r="248" spans="1:17">
      <c r="A248" s="1727" t="s">
        <v>532</v>
      </c>
      <c r="B248" s="1589">
        <v>0</v>
      </c>
      <c r="C248" s="1589">
        <v>0</v>
      </c>
      <c r="D248" s="1589">
        <v>0</v>
      </c>
      <c r="E248" s="1589">
        <v>0</v>
      </c>
      <c r="F248" s="1589">
        <v>0</v>
      </c>
      <c r="G248" s="1589">
        <v>0</v>
      </c>
      <c r="H248" s="1589">
        <v>0</v>
      </c>
      <c r="I248" s="1589">
        <v>0</v>
      </c>
      <c r="J248" s="1589">
        <v>0</v>
      </c>
      <c r="K248" s="1589">
        <v>0</v>
      </c>
      <c r="L248" s="1589">
        <v>0</v>
      </c>
      <c r="M248" s="1589">
        <v>0</v>
      </c>
      <c r="N248" s="1589">
        <v>0</v>
      </c>
      <c r="O248" s="1589">
        <v>0</v>
      </c>
      <c r="P248" s="1589">
        <v>0</v>
      </c>
      <c r="Q248" s="1589">
        <v>0</v>
      </c>
    </row>
    <row r="249" spans="1:17">
      <c r="A249" s="1727" t="s">
        <v>534</v>
      </c>
      <c r="B249" s="1589">
        <v>0</v>
      </c>
      <c r="C249" s="1589">
        <v>0</v>
      </c>
      <c r="D249" s="1589">
        <v>0</v>
      </c>
      <c r="E249" s="1589">
        <v>0</v>
      </c>
      <c r="F249" s="1589">
        <v>0</v>
      </c>
      <c r="G249" s="1589">
        <v>0</v>
      </c>
      <c r="H249" s="1589">
        <v>0</v>
      </c>
      <c r="I249" s="1589">
        <v>0</v>
      </c>
      <c r="J249" s="1589">
        <v>0</v>
      </c>
      <c r="K249" s="1589">
        <v>0</v>
      </c>
      <c r="L249" s="1589">
        <v>0</v>
      </c>
      <c r="M249" s="1589">
        <v>0</v>
      </c>
      <c r="N249" s="1589">
        <v>0</v>
      </c>
      <c r="O249" s="1589">
        <v>0</v>
      </c>
      <c r="P249" s="1589">
        <v>0</v>
      </c>
      <c r="Q249" s="1589">
        <v>0</v>
      </c>
    </row>
    <row r="250" spans="1:17">
      <c r="A250" s="1727" t="s">
        <v>536</v>
      </c>
      <c r="B250" s="1589">
        <v>0</v>
      </c>
      <c r="C250" s="1589">
        <v>0</v>
      </c>
      <c r="D250" s="1589">
        <v>0</v>
      </c>
      <c r="E250" s="1589">
        <v>0</v>
      </c>
      <c r="F250" s="1589">
        <v>0</v>
      </c>
      <c r="G250" s="1589">
        <v>0</v>
      </c>
      <c r="H250" s="1589">
        <v>0</v>
      </c>
      <c r="I250" s="1589">
        <v>0</v>
      </c>
      <c r="J250" s="1589">
        <v>0</v>
      </c>
      <c r="K250" s="1589">
        <v>0</v>
      </c>
      <c r="L250" s="1589">
        <v>0</v>
      </c>
      <c r="M250" s="1589">
        <v>0</v>
      </c>
      <c r="N250" s="1589">
        <v>0</v>
      </c>
      <c r="O250" s="1589">
        <v>0</v>
      </c>
      <c r="P250" s="1589">
        <v>0</v>
      </c>
      <c r="Q250" s="1589">
        <v>0</v>
      </c>
    </row>
    <row r="251" spans="1:17">
      <c r="A251" s="1727" t="s">
        <v>538</v>
      </c>
      <c r="B251" s="1589">
        <v>0</v>
      </c>
      <c r="C251" s="1589">
        <v>0</v>
      </c>
      <c r="D251" s="1589">
        <v>0</v>
      </c>
      <c r="E251" s="1589">
        <v>0</v>
      </c>
      <c r="F251" s="1589">
        <v>0</v>
      </c>
      <c r="G251" s="1589">
        <v>0</v>
      </c>
      <c r="H251" s="1589">
        <v>0</v>
      </c>
      <c r="I251" s="1589">
        <v>0</v>
      </c>
      <c r="J251" s="1589">
        <v>0</v>
      </c>
      <c r="K251" s="1589">
        <v>0</v>
      </c>
      <c r="L251" s="1589">
        <v>0</v>
      </c>
      <c r="M251" s="1589">
        <v>0</v>
      </c>
      <c r="N251" s="1589">
        <v>0</v>
      </c>
      <c r="O251" s="1589">
        <v>0</v>
      </c>
      <c r="P251" s="1589">
        <v>0</v>
      </c>
      <c r="Q251" s="1589">
        <v>0</v>
      </c>
    </row>
    <row r="252" spans="1:17">
      <c r="A252" s="1727" t="s">
        <v>540</v>
      </c>
      <c r="B252" s="1589">
        <v>0</v>
      </c>
      <c r="C252" s="1589">
        <v>0</v>
      </c>
      <c r="D252" s="1589">
        <v>0</v>
      </c>
      <c r="E252" s="1589">
        <v>0</v>
      </c>
      <c r="F252" s="1589">
        <v>0</v>
      </c>
      <c r="G252" s="1589">
        <v>0</v>
      </c>
      <c r="H252" s="1589">
        <v>0</v>
      </c>
      <c r="I252" s="1589">
        <v>0</v>
      </c>
      <c r="J252" s="1589">
        <v>0</v>
      </c>
      <c r="K252" s="1589">
        <v>0</v>
      </c>
      <c r="L252" s="1589">
        <v>0</v>
      </c>
      <c r="M252" s="1589">
        <v>0</v>
      </c>
      <c r="N252" s="1589">
        <v>0</v>
      </c>
      <c r="O252" s="1589">
        <v>0</v>
      </c>
      <c r="P252" s="1589">
        <v>0</v>
      </c>
      <c r="Q252" s="1589">
        <v>0</v>
      </c>
    </row>
    <row r="253" spans="1:17">
      <c r="A253" s="1726" t="s">
        <v>2557</v>
      </c>
      <c r="B253" s="1589">
        <v>0</v>
      </c>
      <c r="C253" s="1589">
        <v>0</v>
      </c>
      <c r="D253" s="1589">
        <v>0</v>
      </c>
      <c r="E253" s="1589">
        <v>0</v>
      </c>
      <c r="F253" s="1589">
        <v>0</v>
      </c>
      <c r="G253" s="1589">
        <v>0</v>
      </c>
      <c r="H253" s="1589">
        <v>0</v>
      </c>
      <c r="I253" s="1589">
        <v>0</v>
      </c>
      <c r="J253" s="1589">
        <v>0</v>
      </c>
      <c r="K253" s="1589">
        <v>0</v>
      </c>
      <c r="L253" s="1589">
        <v>0</v>
      </c>
      <c r="M253" s="1589">
        <v>0</v>
      </c>
      <c r="N253" s="1589">
        <v>0</v>
      </c>
      <c r="O253" s="1589">
        <v>0</v>
      </c>
      <c r="P253" s="1589">
        <v>0</v>
      </c>
      <c r="Q253" s="1589">
        <v>0</v>
      </c>
    </row>
    <row r="254" spans="1:17">
      <c r="A254" s="1727" t="s">
        <v>603</v>
      </c>
      <c r="B254" s="1589">
        <v>0</v>
      </c>
      <c r="C254" s="1589">
        <v>0</v>
      </c>
      <c r="D254" s="1589">
        <v>0</v>
      </c>
      <c r="E254" s="1589">
        <v>0</v>
      </c>
      <c r="F254" s="1589">
        <v>0</v>
      </c>
      <c r="G254" s="1589">
        <v>0</v>
      </c>
      <c r="H254" s="1589">
        <v>0</v>
      </c>
      <c r="I254" s="1589">
        <v>0</v>
      </c>
      <c r="J254" s="1589">
        <v>0</v>
      </c>
      <c r="K254" s="1589">
        <v>0</v>
      </c>
      <c r="L254" s="1589">
        <v>0</v>
      </c>
      <c r="M254" s="1589">
        <v>0</v>
      </c>
      <c r="N254" s="1589">
        <v>0</v>
      </c>
      <c r="O254" s="1589">
        <v>0</v>
      </c>
      <c r="P254" s="1589">
        <v>0</v>
      </c>
      <c r="Q254" s="1589">
        <v>0</v>
      </c>
    </row>
    <row r="255" spans="1:17">
      <c r="A255" s="1727" t="s">
        <v>528</v>
      </c>
      <c r="B255" s="1589">
        <v>0</v>
      </c>
      <c r="C255" s="1589">
        <v>0</v>
      </c>
      <c r="D255" s="1589">
        <v>0</v>
      </c>
      <c r="E255" s="1589">
        <v>0</v>
      </c>
      <c r="F255" s="1589">
        <v>0</v>
      </c>
      <c r="G255" s="1589">
        <v>0</v>
      </c>
      <c r="H255" s="1589">
        <v>0</v>
      </c>
      <c r="I255" s="1589">
        <v>0</v>
      </c>
      <c r="J255" s="1589">
        <v>0</v>
      </c>
      <c r="K255" s="1589">
        <v>0</v>
      </c>
      <c r="L255" s="1589">
        <v>0</v>
      </c>
      <c r="M255" s="1589">
        <v>0</v>
      </c>
      <c r="N255" s="1589">
        <v>0</v>
      </c>
      <c r="O255" s="1589">
        <v>0</v>
      </c>
      <c r="P255" s="1589">
        <v>0</v>
      </c>
      <c r="Q255" s="1589">
        <v>0</v>
      </c>
    </row>
    <row r="256" spans="1:17">
      <c r="A256" s="1727" t="s">
        <v>530</v>
      </c>
      <c r="B256" s="1589">
        <v>0</v>
      </c>
      <c r="C256" s="1589">
        <v>0</v>
      </c>
      <c r="D256" s="1589">
        <v>0</v>
      </c>
      <c r="E256" s="1589">
        <v>0</v>
      </c>
      <c r="F256" s="1589">
        <v>0</v>
      </c>
      <c r="G256" s="1589">
        <v>0</v>
      </c>
      <c r="H256" s="1589">
        <v>0</v>
      </c>
      <c r="I256" s="1589">
        <v>0</v>
      </c>
      <c r="J256" s="1589">
        <v>0</v>
      </c>
      <c r="K256" s="1589">
        <v>0</v>
      </c>
      <c r="L256" s="1589">
        <v>0</v>
      </c>
      <c r="M256" s="1589">
        <v>0</v>
      </c>
      <c r="N256" s="1589">
        <v>0</v>
      </c>
      <c r="O256" s="1589">
        <v>0</v>
      </c>
      <c r="P256" s="1589">
        <v>0</v>
      </c>
      <c r="Q256" s="1589">
        <v>0</v>
      </c>
    </row>
    <row r="257" spans="1:17">
      <c r="A257" s="1727" t="s">
        <v>532</v>
      </c>
      <c r="B257" s="1589">
        <v>0</v>
      </c>
      <c r="C257" s="1589">
        <v>0</v>
      </c>
      <c r="D257" s="1589">
        <v>0</v>
      </c>
      <c r="E257" s="1589">
        <v>0</v>
      </c>
      <c r="F257" s="1589">
        <v>0</v>
      </c>
      <c r="G257" s="1589">
        <v>0</v>
      </c>
      <c r="H257" s="1589">
        <v>0</v>
      </c>
      <c r="I257" s="1589">
        <v>0</v>
      </c>
      <c r="J257" s="1589">
        <v>0</v>
      </c>
      <c r="K257" s="1589">
        <v>0</v>
      </c>
      <c r="L257" s="1589">
        <v>0</v>
      </c>
      <c r="M257" s="1589">
        <v>0</v>
      </c>
      <c r="N257" s="1589">
        <v>0</v>
      </c>
      <c r="O257" s="1589">
        <v>0</v>
      </c>
      <c r="P257" s="1589">
        <v>0</v>
      </c>
      <c r="Q257" s="1589">
        <v>0</v>
      </c>
    </row>
    <row r="258" spans="1:17">
      <c r="A258" s="1727" t="s">
        <v>534</v>
      </c>
      <c r="B258" s="1589">
        <v>0</v>
      </c>
      <c r="C258" s="1589">
        <v>0</v>
      </c>
      <c r="D258" s="1589">
        <v>0</v>
      </c>
      <c r="E258" s="1589">
        <v>0</v>
      </c>
      <c r="F258" s="1589">
        <v>0</v>
      </c>
      <c r="G258" s="1589">
        <v>0</v>
      </c>
      <c r="H258" s="1589">
        <v>0</v>
      </c>
      <c r="I258" s="1589">
        <v>0</v>
      </c>
      <c r="J258" s="1589">
        <v>0</v>
      </c>
      <c r="K258" s="1589">
        <v>0</v>
      </c>
      <c r="L258" s="1589">
        <v>0</v>
      </c>
      <c r="M258" s="1589">
        <v>0</v>
      </c>
      <c r="N258" s="1589">
        <v>0</v>
      </c>
      <c r="O258" s="1589">
        <v>0</v>
      </c>
      <c r="P258" s="1589">
        <v>0</v>
      </c>
      <c r="Q258" s="1589">
        <v>0</v>
      </c>
    </row>
    <row r="259" spans="1:17">
      <c r="A259" s="1727" t="s">
        <v>536</v>
      </c>
      <c r="B259" s="1589">
        <v>0</v>
      </c>
      <c r="C259" s="1589">
        <v>0</v>
      </c>
      <c r="D259" s="1589">
        <v>0</v>
      </c>
      <c r="E259" s="1589">
        <v>0</v>
      </c>
      <c r="F259" s="1589">
        <v>0</v>
      </c>
      <c r="G259" s="1589">
        <v>0</v>
      </c>
      <c r="H259" s="1589">
        <v>0</v>
      </c>
      <c r="I259" s="1589">
        <v>0</v>
      </c>
      <c r="J259" s="1589">
        <v>0</v>
      </c>
      <c r="K259" s="1589">
        <v>0</v>
      </c>
      <c r="L259" s="1589">
        <v>0</v>
      </c>
      <c r="M259" s="1589">
        <v>0</v>
      </c>
      <c r="N259" s="1589">
        <v>0</v>
      </c>
      <c r="O259" s="1589">
        <v>0</v>
      </c>
      <c r="P259" s="1589">
        <v>0</v>
      </c>
      <c r="Q259" s="1589">
        <v>0</v>
      </c>
    </row>
    <row r="260" spans="1:17">
      <c r="A260" s="1727" t="s">
        <v>538</v>
      </c>
      <c r="B260" s="1589">
        <v>0</v>
      </c>
      <c r="C260" s="1589">
        <v>0</v>
      </c>
      <c r="D260" s="1589">
        <v>0</v>
      </c>
      <c r="E260" s="1589">
        <v>0</v>
      </c>
      <c r="F260" s="1589">
        <v>0</v>
      </c>
      <c r="G260" s="1589">
        <v>0</v>
      </c>
      <c r="H260" s="1589">
        <v>0</v>
      </c>
      <c r="I260" s="1589">
        <v>0</v>
      </c>
      <c r="J260" s="1589">
        <v>0</v>
      </c>
      <c r="K260" s="1589">
        <v>0</v>
      </c>
      <c r="L260" s="1589">
        <v>0</v>
      </c>
      <c r="M260" s="1589">
        <v>0</v>
      </c>
      <c r="N260" s="1589">
        <v>0</v>
      </c>
      <c r="O260" s="1589">
        <v>0</v>
      </c>
      <c r="P260" s="1589">
        <v>0</v>
      </c>
      <c r="Q260" s="1589">
        <v>0</v>
      </c>
    </row>
    <row r="261" spans="1:17">
      <c r="A261" s="1727" t="s">
        <v>540</v>
      </c>
      <c r="B261" s="1589">
        <v>0</v>
      </c>
      <c r="C261" s="1589">
        <v>0</v>
      </c>
      <c r="D261" s="1589">
        <v>0</v>
      </c>
      <c r="E261" s="1589">
        <v>0</v>
      </c>
      <c r="F261" s="1589">
        <v>0</v>
      </c>
      <c r="G261" s="1589">
        <v>0</v>
      </c>
      <c r="H261" s="1589">
        <v>0</v>
      </c>
      <c r="I261" s="1589">
        <v>0</v>
      </c>
      <c r="J261" s="1589">
        <v>0</v>
      </c>
      <c r="K261" s="1589">
        <v>0</v>
      </c>
      <c r="L261" s="1589">
        <v>0</v>
      </c>
      <c r="M261" s="1589">
        <v>0</v>
      </c>
      <c r="N261" s="1589">
        <v>0</v>
      </c>
      <c r="O261" s="1589">
        <v>0</v>
      </c>
      <c r="P261" s="1589">
        <v>0</v>
      </c>
      <c r="Q261" s="1589">
        <v>0</v>
      </c>
    </row>
    <row r="262" spans="1:17">
      <c r="A262" s="1726" t="s">
        <v>2554</v>
      </c>
      <c r="B262" s="1589">
        <v>0</v>
      </c>
      <c r="C262" s="1589">
        <v>0</v>
      </c>
      <c r="D262" s="1589">
        <v>0</v>
      </c>
      <c r="E262" s="1589">
        <v>0</v>
      </c>
      <c r="F262" s="1589">
        <v>0</v>
      </c>
      <c r="G262" s="1589">
        <v>0</v>
      </c>
      <c r="H262" s="1589">
        <v>0</v>
      </c>
      <c r="I262" s="1589">
        <v>0</v>
      </c>
      <c r="J262" s="1589">
        <v>0</v>
      </c>
      <c r="K262" s="1589">
        <v>0</v>
      </c>
      <c r="L262" s="1589">
        <v>0</v>
      </c>
      <c r="M262" s="1589">
        <v>0</v>
      </c>
      <c r="N262" s="1589">
        <v>0</v>
      </c>
      <c r="O262" s="1589">
        <v>0</v>
      </c>
      <c r="P262" s="1589">
        <v>0</v>
      </c>
      <c r="Q262" s="1589">
        <v>0</v>
      </c>
    </row>
    <row r="263" spans="1:17">
      <c r="A263" s="1727" t="s">
        <v>603</v>
      </c>
      <c r="B263" s="1589">
        <v>0</v>
      </c>
      <c r="C263" s="1589">
        <v>0</v>
      </c>
      <c r="D263" s="1589">
        <v>0</v>
      </c>
      <c r="E263" s="1589">
        <v>0</v>
      </c>
      <c r="F263" s="1589">
        <v>0</v>
      </c>
      <c r="G263" s="1589">
        <v>0</v>
      </c>
      <c r="H263" s="1589">
        <v>0</v>
      </c>
      <c r="I263" s="1589">
        <v>0</v>
      </c>
      <c r="J263" s="1589">
        <v>0</v>
      </c>
      <c r="K263" s="1589">
        <v>0</v>
      </c>
      <c r="L263" s="1589">
        <v>0</v>
      </c>
      <c r="M263" s="1589">
        <v>0</v>
      </c>
      <c r="N263" s="1589">
        <v>0</v>
      </c>
      <c r="O263" s="1589">
        <v>0</v>
      </c>
      <c r="P263" s="1589">
        <v>0</v>
      </c>
      <c r="Q263" s="1589">
        <v>0</v>
      </c>
    </row>
    <row r="264" spans="1:17">
      <c r="A264" s="1727" t="s">
        <v>528</v>
      </c>
      <c r="B264" s="1589">
        <v>0</v>
      </c>
      <c r="C264" s="1589">
        <v>0</v>
      </c>
      <c r="D264" s="1589">
        <v>0</v>
      </c>
      <c r="E264" s="1589">
        <v>0</v>
      </c>
      <c r="F264" s="1589">
        <v>0</v>
      </c>
      <c r="G264" s="1589">
        <v>0</v>
      </c>
      <c r="H264" s="1589">
        <v>0</v>
      </c>
      <c r="I264" s="1589">
        <v>0</v>
      </c>
      <c r="J264" s="1589">
        <v>0</v>
      </c>
      <c r="K264" s="1589">
        <v>0</v>
      </c>
      <c r="L264" s="1589">
        <v>0</v>
      </c>
      <c r="M264" s="1589">
        <v>0</v>
      </c>
      <c r="N264" s="1589">
        <v>0</v>
      </c>
      <c r="O264" s="1589">
        <v>0</v>
      </c>
      <c r="P264" s="1589">
        <v>0</v>
      </c>
      <c r="Q264" s="1589">
        <v>0</v>
      </c>
    </row>
    <row r="265" spans="1:17">
      <c r="A265" s="1727" t="s">
        <v>530</v>
      </c>
      <c r="B265" s="1589">
        <v>0</v>
      </c>
      <c r="C265" s="1589">
        <v>0</v>
      </c>
      <c r="D265" s="1589">
        <v>0</v>
      </c>
      <c r="E265" s="1589">
        <v>0</v>
      </c>
      <c r="F265" s="1589">
        <v>0</v>
      </c>
      <c r="G265" s="1589">
        <v>0</v>
      </c>
      <c r="H265" s="1589">
        <v>0</v>
      </c>
      <c r="I265" s="1589">
        <v>0</v>
      </c>
      <c r="J265" s="1589">
        <v>0</v>
      </c>
      <c r="K265" s="1589">
        <v>0</v>
      </c>
      <c r="L265" s="1589">
        <v>0</v>
      </c>
      <c r="M265" s="1589">
        <v>0</v>
      </c>
      <c r="N265" s="1589">
        <v>0</v>
      </c>
      <c r="O265" s="1589">
        <v>0</v>
      </c>
      <c r="P265" s="1589">
        <v>0</v>
      </c>
      <c r="Q265" s="1589">
        <v>0</v>
      </c>
    </row>
    <row r="266" spans="1:17">
      <c r="A266" s="1727" t="s">
        <v>532</v>
      </c>
      <c r="B266" s="1589">
        <v>0</v>
      </c>
      <c r="C266" s="1589">
        <v>0</v>
      </c>
      <c r="D266" s="1589">
        <v>0</v>
      </c>
      <c r="E266" s="1589">
        <v>0</v>
      </c>
      <c r="F266" s="1589">
        <v>0</v>
      </c>
      <c r="G266" s="1589">
        <v>0</v>
      </c>
      <c r="H266" s="1589">
        <v>0</v>
      </c>
      <c r="I266" s="1589">
        <v>0</v>
      </c>
      <c r="J266" s="1589">
        <v>0</v>
      </c>
      <c r="K266" s="1589">
        <v>0</v>
      </c>
      <c r="L266" s="1589">
        <v>0</v>
      </c>
      <c r="M266" s="1589">
        <v>0</v>
      </c>
      <c r="N266" s="1589">
        <v>0</v>
      </c>
      <c r="O266" s="1589">
        <v>0</v>
      </c>
      <c r="P266" s="1589">
        <v>0</v>
      </c>
      <c r="Q266" s="1589">
        <v>0</v>
      </c>
    </row>
    <row r="267" spans="1:17">
      <c r="A267" s="1727" t="s">
        <v>534</v>
      </c>
      <c r="B267" s="1589">
        <v>0</v>
      </c>
      <c r="C267" s="1589">
        <v>0</v>
      </c>
      <c r="D267" s="1589">
        <v>0</v>
      </c>
      <c r="E267" s="1589">
        <v>0</v>
      </c>
      <c r="F267" s="1589">
        <v>0</v>
      </c>
      <c r="G267" s="1589">
        <v>0</v>
      </c>
      <c r="H267" s="1589">
        <v>0</v>
      </c>
      <c r="I267" s="1589">
        <v>0</v>
      </c>
      <c r="J267" s="1589">
        <v>0</v>
      </c>
      <c r="K267" s="1589">
        <v>0</v>
      </c>
      <c r="L267" s="1589">
        <v>0</v>
      </c>
      <c r="M267" s="1589">
        <v>0</v>
      </c>
      <c r="N267" s="1589">
        <v>0</v>
      </c>
      <c r="O267" s="1589">
        <v>0</v>
      </c>
      <c r="P267" s="1589">
        <v>0</v>
      </c>
      <c r="Q267" s="1589">
        <v>0</v>
      </c>
    </row>
    <row r="268" spans="1:17">
      <c r="A268" s="1727" t="s">
        <v>536</v>
      </c>
      <c r="B268" s="1589">
        <v>0</v>
      </c>
      <c r="C268" s="1589">
        <v>0</v>
      </c>
      <c r="D268" s="1589">
        <v>0</v>
      </c>
      <c r="E268" s="1589">
        <v>0</v>
      </c>
      <c r="F268" s="1589">
        <v>0</v>
      </c>
      <c r="G268" s="1589">
        <v>0</v>
      </c>
      <c r="H268" s="1589">
        <v>0</v>
      </c>
      <c r="I268" s="1589">
        <v>0</v>
      </c>
      <c r="J268" s="1589">
        <v>0</v>
      </c>
      <c r="K268" s="1589">
        <v>0</v>
      </c>
      <c r="L268" s="1589">
        <v>0</v>
      </c>
      <c r="M268" s="1589">
        <v>0</v>
      </c>
      <c r="N268" s="1589">
        <v>0</v>
      </c>
      <c r="O268" s="1589">
        <v>0</v>
      </c>
      <c r="P268" s="1589">
        <v>0</v>
      </c>
      <c r="Q268" s="1589">
        <v>0</v>
      </c>
    </row>
    <row r="269" spans="1:17">
      <c r="A269" s="1727" t="s">
        <v>538</v>
      </c>
      <c r="B269" s="1589">
        <v>0</v>
      </c>
      <c r="C269" s="1589">
        <v>0</v>
      </c>
      <c r="D269" s="1589">
        <v>0</v>
      </c>
      <c r="E269" s="1589">
        <v>0</v>
      </c>
      <c r="F269" s="1589">
        <v>0</v>
      </c>
      <c r="G269" s="1589">
        <v>0</v>
      </c>
      <c r="H269" s="1589">
        <v>0</v>
      </c>
      <c r="I269" s="1589">
        <v>0</v>
      </c>
      <c r="J269" s="1589">
        <v>0</v>
      </c>
      <c r="K269" s="1589">
        <v>0</v>
      </c>
      <c r="L269" s="1589">
        <v>0</v>
      </c>
      <c r="M269" s="1589">
        <v>0</v>
      </c>
      <c r="N269" s="1589">
        <v>0</v>
      </c>
      <c r="O269" s="1589">
        <v>0</v>
      </c>
      <c r="P269" s="1589">
        <v>0</v>
      </c>
      <c r="Q269" s="1589">
        <v>0</v>
      </c>
    </row>
    <row r="270" spans="1:17">
      <c r="A270" s="1727" t="s">
        <v>540</v>
      </c>
      <c r="B270" s="1589">
        <v>0</v>
      </c>
      <c r="C270" s="1589">
        <v>0</v>
      </c>
      <c r="D270" s="1589">
        <v>0</v>
      </c>
      <c r="E270" s="1589">
        <v>0</v>
      </c>
      <c r="F270" s="1589">
        <v>0</v>
      </c>
      <c r="G270" s="1589">
        <v>0</v>
      </c>
      <c r="H270" s="1589">
        <v>0</v>
      </c>
      <c r="I270" s="1589">
        <v>0</v>
      </c>
      <c r="J270" s="1589">
        <v>0</v>
      </c>
      <c r="K270" s="1589">
        <v>0</v>
      </c>
      <c r="L270" s="1589">
        <v>0</v>
      </c>
      <c r="M270" s="1589">
        <v>0</v>
      </c>
      <c r="N270" s="1589">
        <v>0</v>
      </c>
      <c r="O270" s="1589">
        <v>0</v>
      </c>
      <c r="P270" s="1589">
        <v>0</v>
      </c>
      <c r="Q270" s="1589">
        <v>0</v>
      </c>
    </row>
    <row r="271" spans="1:17">
      <c r="A271" s="1726" t="s">
        <v>2558</v>
      </c>
      <c r="B271" s="1589">
        <v>0</v>
      </c>
      <c r="C271" s="1589">
        <v>18920.183514956461</v>
      </c>
      <c r="D271" s="1589">
        <v>0</v>
      </c>
      <c r="E271" s="1589">
        <v>0</v>
      </c>
      <c r="F271" s="1589">
        <v>18920.183514956461</v>
      </c>
      <c r="G271" s="1589">
        <v>0</v>
      </c>
      <c r="H271" s="1589">
        <v>19756.118853324257</v>
      </c>
      <c r="I271" s="1589">
        <v>0</v>
      </c>
      <c r="J271" s="1589">
        <v>0</v>
      </c>
      <c r="K271" s="1589">
        <v>19756.118853324257</v>
      </c>
      <c r="L271" s="1589">
        <v>0</v>
      </c>
      <c r="M271" s="1589">
        <v>21030.424984137677</v>
      </c>
      <c r="N271" s="1589">
        <v>0</v>
      </c>
      <c r="O271" s="1589">
        <v>0</v>
      </c>
      <c r="P271" s="1589">
        <v>21030.424984137677</v>
      </c>
      <c r="Q271" s="1589">
        <v>59706.727352418391</v>
      </c>
    </row>
    <row r="272" spans="1:17">
      <c r="A272" s="1727" t="s">
        <v>603</v>
      </c>
      <c r="B272" s="1589">
        <v>0</v>
      </c>
      <c r="C272" s="1589">
        <v>17849.229731091</v>
      </c>
      <c r="D272" s="1589">
        <v>0</v>
      </c>
      <c r="E272" s="1589">
        <v>0</v>
      </c>
      <c r="F272" s="1589">
        <v>17849.229731091</v>
      </c>
      <c r="G272" s="1589">
        <v>0</v>
      </c>
      <c r="H272" s="1589">
        <v>18637.8479748342</v>
      </c>
      <c r="I272" s="1589">
        <v>0</v>
      </c>
      <c r="J272" s="1589">
        <v>0</v>
      </c>
      <c r="K272" s="1589">
        <v>18637.8479748342</v>
      </c>
      <c r="L272" s="1589">
        <v>0</v>
      </c>
      <c r="M272" s="1589">
        <v>19840.023569941201</v>
      </c>
      <c r="N272" s="1589">
        <v>0</v>
      </c>
      <c r="O272" s="1589">
        <v>0</v>
      </c>
      <c r="P272" s="1589">
        <v>19840.023569941201</v>
      </c>
      <c r="Q272" s="1589">
        <v>56327.1012758664</v>
      </c>
    </row>
    <row r="273" spans="1:17">
      <c r="A273" s="1727" t="s">
        <v>528</v>
      </c>
      <c r="B273" s="1589">
        <v>0</v>
      </c>
      <c r="C273" s="1589">
        <v>1070.9537838654599</v>
      </c>
      <c r="D273" s="1589">
        <v>0</v>
      </c>
      <c r="E273" s="1589">
        <v>0</v>
      </c>
      <c r="F273" s="1589">
        <v>1070.9537838654599</v>
      </c>
      <c r="G273" s="1589">
        <v>0</v>
      </c>
      <c r="H273" s="1589">
        <v>1118.2708784900519</v>
      </c>
      <c r="I273" s="1589">
        <v>0</v>
      </c>
      <c r="J273" s="1589">
        <v>0</v>
      </c>
      <c r="K273" s="1589">
        <v>1118.2708784900519</v>
      </c>
      <c r="L273" s="1589">
        <v>0</v>
      </c>
      <c r="M273" s="1589">
        <v>1190.4014141964719</v>
      </c>
      <c r="N273" s="1589">
        <v>0</v>
      </c>
      <c r="O273" s="1589">
        <v>0</v>
      </c>
      <c r="P273" s="1589">
        <v>1190.4014141964719</v>
      </c>
      <c r="Q273" s="1589">
        <v>3379.6260765519837</v>
      </c>
    </row>
    <row r="274" spans="1:17">
      <c r="A274" s="1727" t="s">
        <v>530</v>
      </c>
      <c r="B274" s="1589">
        <v>0</v>
      </c>
      <c r="C274" s="1589">
        <v>1.7849229731090998E-12</v>
      </c>
      <c r="D274" s="1589">
        <v>0</v>
      </c>
      <c r="E274" s="1589">
        <v>0</v>
      </c>
      <c r="F274" s="1589">
        <v>1.7849229731090998E-12</v>
      </c>
      <c r="G274" s="1589">
        <v>0</v>
      </c>
      <c r="H274" s="1589">
        <v>1.86378479748342E-12</v>
      </c>
      <c r="I274" s="1589">
        <v>0</v>
      </c>
      <c r="J274" s="1589">
        <v>0</v>
      </c>
      <c r="K274" s="1589">
        <v>1.86378479748342E-12</v>
      </c>
      <c r="L274" s="1589">
        <v>0</v>
      </c>
      <c r="M274" s="1589">
        <v>1.9840023569941196E-12</v>
      </c>
      <c r="N274" s="1589">
        <v>0</v>
      </c>
      <c r="O274" s="1589">
        <v>0</v>
      </c>
      <c r="P274" s="1589">
        <v>1.9840023569941196E-12</v>
      </c>
      <c r="Q274" s="1589">
        <v>5.6327101275866396E-12</v>
      </c>
    </row>
    <row r="275" spans="1:17">
      <c r="A275" s="1727" t="s">
        <v>532</v>
      </c>
      <c r="B275" s="1589">
        <v>0</v>
      </c>
      <c r="C275" s="1589">
        <v>0</v>
      </c>
      <c r="D275" s="1589">
        <v>0</v>
      </c>
      <c r="E275" s="1589">
        <v>0</v>
      </c>
      <c r="F275" s="1589">
        <v>0</v>
      </c>
      <c r="G275" s="1589">
        <v>0</v>
      </c>
      <c r="H275" s="1589">
        <v>0</v>
      </c>
      <c r="I275" s="1589">
        <v>0</v>
      </c>
      <c r="J275" s="1589">
        <v>0</v>
      </c>
      <c r="K275" s="1589">
        <v>0</v>
      </c>
      <c r="L275" s="1589">
        <v>0</v>
      </c>
      <c r="M275" s="1589">
        <v>0</v>
      </c>
      <c r="N275" s="1589">
        <v>0</v>
      </c>
      <c r="O275" s="1589">
        <v>0</v>
      </c>
      <c r="P275" s="1589">
        <v>0</v>
      </c>
      <c r="Q275" s="1589">
        <v>0</v>
      </c>
    </row>
    <row r="276" spans="1:17">
      <c r="A276" s="1727" t="s">
        <v>534</v>
      </c>
      <c r="B276" s="1589">
        <v>0</v>
      </c>
      <c r="C276" s="1589">
        <v>0</v>
      </c>
      <c r="D276" s="1589">
        <v>0</v>
      </c>
      <c r="E276" s="1589">
        <v>0</v>
      </c>
      <c r="F276" s="1589">
        <v>0</v>
      </c>
      <c r="G276" s="1589">
        <v>0</v>
      </c>
      <c r="H276" s="1589">
        <v>0</v>
      </c>
      <c r="I276" s="1589">
        <v>0</v>
      </c>
      <c r="J276" s="1589">
        <v>0</v>
      </c>
      <c r="K276" s="1589">
        <v>0</v>
      </c>
      <c r="L276" s="1589">
        <v>0</v>
      </c>
      <c r="M276" s="1589">
        <v>0</v>
      </c>
      <c r="N276" s="1589">
        <v>0</v>
      </c>
      <c r="O276" s="1589">
        <v>0</v>
      </c>
      <c r="P276" s="1589">
        <v>0</v>
      </c>
      <c r="Q276" s="1589">
        <v>0</v>
      </c>
    </row>
    <row r="277" spans="1:17">
      <c r="A277" s="1727" t="s">
        <v>536</v>
      </c>
      <c r="B277" s="1589">
        <v>0</v>
      </c>
      <c r="C277" s="1589">
        <v>0</v>
      </c>
      <c r="D277" s="1589">
        <v>0</v>
      </c>
      <c r="E277" s="1589">
        <v>0</v>
      </c>
      <c r="F277" s="1589">
        <v>0</v>
      </c>
      <c r="G277" s="1589">
        <v>0</v>
      </c>
      <c r="H277" s="1589">
        <v>0</v>
      </c>
      <c r="I277" s="1589">
        <v>0</v>
      </c>
      <c r="J277" s="1589">
        <v>0</v>
      </c>
      <c r="K277" s="1589">
        <v>0</v>
      </c>
      <c r="L277" s="1589">
        <v>0</v>
      </c>
      <c r="M277" s="1589">
        <v>0</v>
      </c>
      <c r="N277" s="1589">
        <v>0</v>
      </c>
      <c r="O277" s="1589">
        <v>0</v>
      </c>
      <c r="P277" s="1589">
        <v>0</v>
      </c>
      <c r="Q277" s="1589">
        <v>0</v>
      </c>
    </row>
    <row r="278" spans="1:17">
      <c r="A278" s="1727" t="s">
        <v>538</v>
      </c>
      <c r="B278" s="1589">
        <v>0</v>
      </c>
      <c r="C278" s="1589">
        <v>0</v>
      </c>
      <c r="D278" s="1589">
        <v>0</v>
      </c>
      <c r="E278" s="1589">
        <v>0</v>
      </c>
      <c r="F278" s="1589">
        <v>0</v>
      </c>
      <c r="G278" s="1589">
        <v>0</v>
      </c>
      <c r="H278" s="1589">
        <v>0</v>
      </c>
      <c r="I278" s="1589">
        <v>0</v>
      </c>
      <c r="J278" s="1589">
        <v>0</v>
      </c>
      <c r="K278" s="1589">
        <v>0</v>
      </c>
      <c r="L278" s="1589">
        <v>0</v>
      </c>
      <c r="M278" s="1589">
        <v>0</v>
      </c>
      <c r="N278" s="1589">
        <v>0</v>
      </c>
      <c r="O278" s="1589">
        <v>0</v>
      </c>
      <c r="P278" s="1589">
        <v>0</v>
      </c>
      <c r="Q278" s="1589">
        <v>0</v>
      </c>
    </row>
    <row r="279" spans="1:17">
      <c r="A279" s="1727" t="s">
        <v>540</v>
      </c>
      <c r="B279" s="1589">
        <v>0</v>
      </c>
      <c r="C279" s="1589">
        <v>0</v>
      </c>
      <c r="D279" s="1589">
        <v>0</v>
      </c>
      <c r="E279" s="1589">
        <v>0</v>
      </c>
      <c r="F279" s="1589">
        <v>0</v>
      </c>
      <c r="G279" s="1589">
        <v>0</v>
      </c>
      <c r="H279" s="1589">
        <v>0</v>
      </c>
      <c r="I279" s="1589">
        <v>0</v>
      </c>
      <c r="J279" s="1589">
        <v>0</v>
      </c>
      <c r="K279" s="1589">
        <v>0</v>
      </c>
      <c r="L279" s="1589">
        <v>0</v>
      </c>
      <c r="M279" s="1589">
        <v>0</v>
      </c>
      <c r="N279" s="1589">
        <v>0</v>
      </c>
      <c r="O279" s="1589">
        <v>0</v>
      </c>
      <c r="P279" s="1589">
        <v>0</v>
      </c>
      <c r="Q279" s="1589">
        <v>0</v>
      </c>
    </row>
    <row r="280" spans="1:17">
      <c r="A280" s="1726" t="s">
        <v>2553</v>
      </c>
      <c r="B280" s="1589">
        <v>0</v>
      </c>
      <c r="C280" s="1589">
        <v>0</v>
      </c>
      <c r="D280" s="1589">
        <v>0</v>
      </c>
      <c r="E280" s="1589">
        <v>0</v>
      </c>
      <c r="F280" s="1589">
        <v>0</v>
      </c>
      <c r="G280" s="1589">
        <v>0</v>
      </c>
      <c r="H280" s="1589">
        <v>0</v>
      </c>
      <c r="I280" s="1589">
        <v>0</v>
      </c>
      <c r="J280" s="1589">
        <v>0</v>
      </c>
      <c r="K280" s="1589">
        <v>0</v>
      </c>
      <c r="L280" s="1589">
        <v>0</v>
      </c>
      <c r="M280" s="1589">
        <v>0</v>
      </c>
      <c r="N280" s="1589">
        <v>0</v>
      </c>
      <c r="O280" s="1589">
        <v>0</v>
      </c>
      <c r="P280" s="1589">
        <v>0</v>
      </c>
      <c r="Q280" s="1589">
        <v>0</v>
      </c>
    </row>
    <row r="281" spans="1:17">
      <c r="A281" s="1727" t="s">
        <v>603</v>
      </c>
      <c r="B281" s="1589">
        <v>0</v>
      </c>
      <c r="C281" s="1589">
        <v>0</v>
      </c>
      <c r="D281" s="1589">
        <v>0</v>
      </c>
      <c r="E281" s="1589">
        <v>0</v>
      </c>
      <c r="F281" s="1589">
        <v>0</v>
      </c>
      <c r="G281" s="1589">
        <v>0</v>
      </c>
      <c r="H281" s="1589">
        <v>0</v>
      </c>
      <c r="I281" s="1589">
        <v>0</v>
      </c>
      <c r="J281" s="1589">
        <v>0</v>
      </c>
      <c r="K281" s="1589">
        <v>0</v>
      </c>
      <c r="L281" s="1589">
        <v>0</v>
      </c>
      <c r="M281" s="1589">
        <v>0</v>
      </c>
      <c r="N281" s="1589">
        <v>0</v>
      </c>
      <c r="O281" s="1589">
        <v>0</v>
      </c>
      <c r="P281" s="1589">
        <v>0</v>
      </c>
      <c r="Q281" s="1589">
        <v>0</v>
      </c>
    </row>
    <row r="282" spans="1:17">
      <c r="A282" s="1727" t="s">
        <v>528</v>
      </c>
      <c r="B282" s="1589">
        <v>0</v>
      </c>
      <c r="C282" s="1589">
        <v>0</v>
      </c>
      <c r="D282" s="1589">
        <v>0</v>
      </c>
      <c r="E282" s="1589">
        <v>0</v>
      </c>
      <c r="F282" s="1589">
        <v>0</v>
      </c>
      <c r="G282" s="1589">
        <v>0</v>
      </c>
      <c r="H282" s="1589">
        <v>0</v>
      </c>
      <c r="I282" s="1589">
        <v>0</v>
      </c>
      <c r="J282" s="1589">
        <v>0</v>
      </c>
      <c r="K282" s="1589">
        <v>0</v>
      </c>
      <c r="L282" s="1589">
        <v>0</v>
      </c>
      <c r="M282" s="1589">
        <v>0</v>
      </c>
      <c r="N282" s="1589">
        <v>0</v>
      </c>
      <c r="O282" s="1589">
        <v>0</v>
      </c>
      <c r="P282" s="1589">
        <v>0</v>
      </c>
      <c r="Q282" s="1589">
        <v>0</v>
      </c>
    </row>
    <row r="283" spans="1:17">
      <c r="A283" s="1727" t="s">
        <v>530</v>
      </c>
      <c r="B283" s="1589">
        <v>0</v>
      </c>
      <c r="C283" s="1589">
        <v>0</v>
      </c>
      <c r="D283" s="1589">
        <v>0</v>
      </c>
      <c r="E283" s="1589">
        <v>0</v>
      </c>
      <c r="F283" s="1589">
        <v>0</v>
      </c>
      <c r="G283" s="1589">
        <v>0</v>
      </c>
      <c r="H283" s="1589">
        <v>0</v>
      </c>
      <c r="I283" s="1589">
        <v>0</v>
      </c>
      <c r="J283" s="1589">
        <v>0</v>
      </c>
      <c r="K283" s="1589">
        <v>0</v>
      </c>
      <c r="L283" s="1589">
        <v>0</v>
      </c>
      <c r="M283" s="1589">
        <v>0</v>
      </c>
      <c r="N283" s="1589">
        <v>0</v>
      </c>
      <c r="O283" s="1589">
        <v>0</v>
      </c>
      <c r="P283" s="1589">
        <v>0</v>
      </c>
      <c r="Q283" s="1589">
        <v>0</v>
      </c>
    </row>
    <row r="284" spans="1:17">
      <c r="A284" s="1727" t="s">
        <v>532</v>
      </c>
      <c r="B284" s="1589">
        <v>0</v>
      </c>
      <c r="C284" s="1589">
        <v>0</v>
      </c>
      <c r="D284" s="1589">
        <v>0</v>
      </c>
      <c r="E284" s="1589">
        <v>0</v>
      </c>
      <c r="F284" s="1589">
        <v>0</v>
      </c>
      <c r="G284" s="1589">
        <v>0</v>
      </c>
      <c r="H284" s="1589">
        <v>0</v>
      </c>
      <c r="I284" s="1589">
        <v>0</v>
      </c>
      <c r="J284" s="1589">
        <v>0</v>
      </c>
      <c r="K284" s="1589">
        <v>0</v>
      </c>
      <c r="L284" s="1589">
        <v>0</v>
      </c>
      <c r="M284" s="1589">
        <v>0</v>
      </c>
      <c r="N284" s="1589">
        <v>0</v>
      </c>
      <c r="O284" s="1589">
        <v>0</v>
      </c>
      <c r="P284" s="1589">
        <v>0</v>
      </c>
      <c r="Q284" s="1589">
        <v>0</v>
      </c>
    </row>
    <row r="285" spans="1:17">
      <c r="A285" s="1727" t="s">
        <v>534</v>
      </c>
      <c r="B285" s="1589">
        <v>0</v>
      </c>
      <c r="C285" s="1589">
        <v>0</v>
      </c>
      <c r="D285" s="1589">
        <v>0</v>
      </c>
      <c r="E285" s="1589">
        <v>0</v>
      </c>
      <c r="F285" s="1589">
        <v>0</v>
      </c>
      <c r="G285" s="1589">
        <v>0</v>
      </c>
      <c r="H285" s="1589">
        <v>0</v>
      </c>
      <c r="I285" s="1589">
        <v>0</v>
      </c>
      <c r="J285" s="1589">
        <v>0</v>
      </c>
      <c r="K285" s="1589">
        <v>0</v>
      </c>
      <c r="L285" s="1589">
        <v>0</v>
      </c>
      <c r="M285" s="1589">
        <v>0</v>
      </c>
      <c r="N285" s="1589">
        <v>0</v>
      </c>
      <c r="O285" s="1589">
        <v>0</v>
      </c>
      <c r="P285" s="1589">
        <v>0</v>
      </c>
      <c r="Q285" s="1589">
        <v>0</v>
      </c>
    </row>
    <row r="286" spans="1:17">
      <c r="A286" s="1727" t="s">
        <v>536</v>
      </c>
      <c r="B286" s="1589">
        <v>0</v>
      </c>
      <c r="C286" s="1589">
        <v>0</v>
      </c>
      <c r="D286" s="1589">
        <v>0</v>
      </c>
      <c r="E286" s="1589">
        <v>0</v>
      </c>
      <c r="F286" s="1589">
        <v>0</v>
      </c>
      <c r="G286" s="1589">
        <v>0</v>
      </c>
      <c r="H286" s="1589">
        <v>0</v>
      </c>
      <c r="I286" s="1589">
        <v>0</v>
      </c>
      <c r="J286" s="1589">
        <v>0</v>
      </c>
      <c r="K286" s="1589">
        <v>0</v>
      </c>
      <c r="L286" s="1589">
        <v>0</v>
      </c>
      <c r="M286" s="1589">
        <v>0</v>
      </c>
      <c r="N286" s="1589">
        <v>0</v>
      </c>
      <c r="O286" s="1589">
        <v>0</v>
      </c>
      <c r="P286" s="1589">
        <v>0</v>
      </c>
      <c r="Q286" s="1589">
        <v>0</v>
      </c>
    </row>
    <row r="287" spans="1:17">
      <c r="A287" s="1727" t="s">
        <v>538</v>
      </c>
      <c r="B287" s="1589">
        <v>0</v>
      </c>
      <c r="C287" s="1589">
        <v>0</v>
      </c>
      <c r="D287" s="1589">
        <v>0</v>
      </c>
      <c r="E287" s="1589">
        <v>0</v>
      </c>
      <c r="F287" s="1589">
        <v>0</v>
      </c>
      <c r="G287" s="1589">
        <v>0</v>
      </c>
      <c r="H287" s="1589">
        <v>0</v>
      </c>
      <c r="I287" s="1589">
        <v>0</v>
      </c>
      <c r="J287" s="1589">
        <v>0</v>
      </c>
      <c r="K287" s="1589">
        <v>0</v>
      </c>
      <c r="L287" s="1589">
        <v>0</v>
      </c>
      <c r="M287" s="1589">
        <v>0</v>
      </c>
      <c r="N287" s="1589">
        <v>0</v>
      </c>
      <c r="O287" s="1589">
        <v>0</v>
      </c>
      <c r="P287" s="1589">
        <v>0</v>
      </c>
      <c r="Q287" s="1589">
        <v>0</v>
      </c>
    </row>
    <row r="288" spans="1:17">
      <c r="A288" s="1727" t="s">
        <v>540</v>
      </c>
      <c r="B288" s="1589">
        <v>0</v>
      </c>
      <c r="C288" s="1589">
        <v>0</v>
      </c>
      <c r="D288" s="1589">
        <v>0</v>
      </c>
      <c r="E288" s="1589">
        <v>0</v>
      </c>
      <c r="F288" s="1589">
        <v>0</v>
      </c>
      <c r="G288" s="1589">
        <v>0</v>
      </c>
      <c r="H288" s="1589">
        <v>0</v>
      </c>
      <c r="I288" s="1589">
        <v>0</v>
      </c>
      <c r="J288" s="1589">
        <v>0</v>
      </c>
      <c r="K288" s="1589">
        <v>0</v>
      </c>
      <c r="L288" s="1589">
        <v>0</v>
      </c>
      <c r="M288" s="1589">
        <v>0</v>
      </c>
      <c r="N288" s="1589">
        <v>0</v>
      </c>
      <c r="O288" s="1589">
        <v>0</v>
      </c>
      <c r="P288" s="1589">
        <v>0</v>
      </c>
      <c r="Q288" s="1589">
        <v>0</v>
      </c>
    </row>
    <row r="289" spans="1:17">
      <c r="A289" s="1726" t="s">
        <v>2552</v>
      </c>
      <c r="B289" s="1589">
        <v>0</v>
      </c>
      <c r="C289" s="1589">
        <v>0</v>
      </c>
      <c r="D289" s="1589">
        <v>0</v>
      </c>
      <c r="E289" s="1589">
        <v>0</v>
      </c>
      <c r="F289" s="1589">
        <v>0</v>
      </c>
      <c r="G289" s="1589">
        <v>0</v>
      </c>
      <c r="H289" s="1589">
        <v>0</v>
      </c>
      <c r="I289" s="1589">
        <v>0</v>
      </c>
      <c r="J289" s="1589">
        <v>0</v>
      </c>
      <c r="K289" s="1589">
        <v>0</v>
      </c>
      <c r="L289" s="1589">
        <v>0</v>
      </c>
      <c r="M289" s="1589">
        <v>0</v>
      </c>
      <c r="N289" s="1589">
        <v>0</v>
      </c>
      <c r="O289" s="1589">
        <v>0</v>
      </c>
      <c r="P289" s="1589">
        <v>0</v>
      </c>
      <c r="Q289" s="1589">
        <v>0</v>
      </c>
    </row>
    <row r="290" spans="1:17">
      <c r="A290" s="1727" t="s">
        <v>603</v>
      </c>
      <c r="B290" s="1589">
        <v>0</v>
      </c>
      <c r="C290" s="1589">
        <v>0</v>
      </c>
      <c r="D290" s="1589">
        <v>0</v>
      </c>
      <c r="E290" s="1589">
        <v>0</v>
      </c>
      <c r="F290" s="1589">
        <v>0</v>
      </c>
      <c r="G290" s="1589">
        <v>0</v>
      </c>
      <c r="H290" s="1589">
        <v>0</v>
      </c>
      <c r="I290" s="1589">
        <v>0</v>
      </c>
      <c r="J290" s="1589">
        <v>0</v>
      </c>
      <c r="K290" s="1589">
        <v>0</v>
      </c>
      <c r="L290" s="1589">
        <v>0</v>
      </c>
      <c r="M290" s="1589">
        <v>0</v>
      </c>
      <c r="N290" s="1589">
        <v>0</v>
      </c>
      <c r="O290" s="1589">
        <v>0</v>
      </c>
      <c r="P290" s="1589">
        <v>0</v>
      </c>
      <c r="Q290" s="1589">
        <v>0</v>
      </c>
    </row>
    <row r="291" spans="1:17">
      <c r="A291" s="1727" t="s">
        <v>528</v>
      </c>
      <c r="B291" s="1589">
        <v>0</v>
      </c>
      <c r="C291" s="1589">
        <v>0</v>
      </c>
      <c r="D291" s="1589">
        <v>0</v>
      </c>
      <c r="E291" s="1589">
        <v>0</v>
      </c>
      <c r="F291" s="1589">
        <v>0</v>
      </c>
      <c r="G291" s="1589">
        <v>0</v>
      </c>
      <c r="H291" s="1589">
        <v>0</v>
      </c>
      <c r="I291" s="1589">
        <v>0</v>
      </c>
      <c r="J291" s="1589">
        <v>0</v>
      </c>
      <c r="K291" s="1589">
        <v>0</v>
      </c>
      <c r="L291" s="1589">
        <v>0</v>
      </c>
      <c r="M291" s="1589">
        <v>0</v>
      </c>
      <c r="N291" s="1589">
        <v>0</v>
      </c>
      <c r="O291" s="1589">
        <v>0</v>
      </c>
      <c r="P291" s="1589">
        <v>0</v>
      </c>
      <c r="Q291" s="1589">
        <v>0</v>
      </c>
    </row>
    <row r="292" spans="1:17">
      <c r="A292" s="1727" t="s">
        <v>530</v>
      </c>
      <c r="B292" s="1589">
        <v>0</v>
      </c>
      <c r="C292" s="1589">
        <v>0</v>
      </c>
      <c r="D292" s="1589">
        <v>0</v>
      </c>
      <c r="E292" s="1589">
        <v>0</v>
      </c>
      <c r="F292" s="1589">
        <v>0</v>
      </c>
      <c r="G292" s="1589">
        <v>0</v>
      </c>
      <c r="H292" s="1589">
        <v>0</v>
      </c>
      <c r="I292" s="1589">
        <v>0</v>
      </c>
      <c r="J292" s="1589">
        <v>0</v>
      </c>
      <c r="K292" s="1589">
        <v>0</v>
      </c>
      <c r="L292" s="1589">
        <v>0</v>
      </c>
      <c r="M292" s="1589">
        <v>0</v>
      </c>
      <c r="N292" s="1589">
        <v>0</v>
      </c>
      <c r="O292" s="1589">
        <v>0</v>
      </c>
      <c r="P292" s="1589">
        <v>0</v>
      </c>
      <c r="Q292" s="1589">
        <v>0</v>
      </c>
    </row>
    <row r="293" spans="1:17">
      <c r="A293" s="1727" t="s">
        <v>532</v>
      </c>
      <c r="B293" s="1589">
        <v>0</v>
      </c>
      <c r="C293" s="1589">
        <v>0</v>
      </c>
      <c r="D293" s="1589">
        <v>0</v>
      </c>
      <c r="E293" s="1589">
        <v>0</v>
      </c>
      <c r="F293" s="1589">
        <v>0</v>
      </c>
      <c r="G293" s="1589">
        <v>0</v>
      </c>
      <c r="H293" s="1589">
        <v>0</v>
      </c>
      <c r="I293" s="1589">
        <v>0</v>
      </c>
      <c r="J293" s="1589">
        <v>0</v>
      </c>
      <c r="K293" s="1589">
        <v>0</v>
      </c>
      <c r="L293" s="1589">
        <v>0</v>
      </c>
      <c r="M293" s="1589">
        <v>0</v>
      </c>
      <c r="N293" s="1589">
        <v>0</v>
      </c>
      <c r="O293" s="1589">
        <v>0</v>
      </c>
      <c r="P293" s="1589">
        <v>0</v>
      </c>
      <c r="Q293" s="1589">
        <v>0</v>
      </c>
    </row>
    <row r="294" spans="1:17">
      <c r="A294" s="1727" t="s">
        <v>534</v>
      </c>
      <c r="B294" s="1589">
        <v>0</v>
      </c>
      <c r="C294" s="1589">
        <v>0</v>
      </c>
      <c r="D294" s="1589">
        <v>0</v>
      </c>
      <c r="E294" s="1589">
        <v>0</v>
      </c>
      <c r="F294" s="1589">
        <v>0</v>
      </c>
      <c r="G294" s="1589">
        <v>0</v>
      </c>
      <c r="H294" s="1589">
        <v>0</v>
      </c>
      <c r="I294" s="1589">
        <v>0</v>
      </c>
      <c r="J294" s="1589">
        <v>0</v>
      </c>
      <c r="K294" s="1589">
        <v>0</v>
      </c>
      <c r="L294" s="1589">
        <v>0</v>
      </c>
      <c r="M294" s="1589">
        <v>0</v>
      </c>
      <c r="N294" s="1589">
        <v>0</v>
      </c>
      <c r="O294" s="1589">
        <v>0</v>
      </c>
      <c r="P294" s="1589">
        <v>0</v>
      </c>
      <c r="Q294" s="1589">
        <v>0</v>
      </c>
    </row>
    <row r="295" spans="1:17">
      <c r="A295" s="1727" t="s">
        <v>536</v>
      </c>
      <c r="B295" s="1589">
        <v>0</v>
      </c>
      <c r="C295" s="1589">
        <v>0</v>
      </c>
      <c r="D295" s="1589">
        <v>0</v>
      </c>
      <c r="E295" s="1589">
        <v>0</v>
      </c>
      <c r="F295" s="1589">
        <v>0</v>
      </c>
      <c r="G295" s="1589">
        <v>0</v>
      </c>
      <c r="H295" s="1589">
        <v>0</v>
      </c>
      <c r="I295" s="1589">
        <v>0</v>
      </c>
      <c r="J295" s="1589">
        <v>0</v>
      </c>
      <c r="K295" s="1589">
        <v>0</v>
      </c>
      <c r="L295" s="1589">
        <v>0</v>
      </c>
      <c r="M295" s="1589">
        <v>0</v>
      </c>
      <c r="N295" s="1589">
        <v>0</v>
      </c>
      <c r="O295" s="1589">
        <v>0</v>
      </c>
      <c r="P295" s="1589">
        <v>0</v>
      </c>
      <c r="Q295" s="1589">
        <v>0</v>
      </c>
    </row>
    <row r="296" spans="1:17">
      <c r="A296" s="1727" t="s">
        <v>538</v>
      </c>
      <c r="B296" s="1589">
        <v>0</v>
      </c>
      <c r="C296" s="1589">
        <v>0</v>
      </c>
      <c r="D296" s="1589">
        <v>0</v>
      </c>
      <c r="E296" s="1589">
        <v>0</v>
      </c>
      <c r="F296" s="1589">
        <v>0</v>
      </c>
      <c r="G296" s="1589">
        <v>0</v>
      </c>
      <c r="H296" s="1589">
        <v>0</v>
      </c>
      <c r="I296" s="1589">
        <v>0</v>
      </c>
      <c r="J296" s="1589">
        <v>0</v>
      </c>
      <c r="K296" s="1589">
        <v>0</v>
      </c>
      <c r="L296" s="1589">
        <v>0</v>
      </c>
      <c r="M296" s="1589">
        <v>0</v>
      </c>
      <c r="N296" s="1589">
        <v>0</v>
      </c>
      <c r="O296" s="1589">
        <v>0</v>
      </c>
      <c r="P296" s="1589">
        <v>0</v>
      </c>
      <c r="Q296" s="1589">
        <v>0</v>
      </c>
    </row>
    <row r="297" spans="1:17">
      <c r="A297" s="1727" t="s">
        <v>540</v>
      </c>
      <c r="B297" s="1589">
        <v>0</v>
      </c>
      <c r="C297" s="1589">
        <v>0</v>
      </c>
      <c r="D297" s="1589">
        <v>0</v>
      </c>
      <c r="E297" s="1589">
        <v>0</v>
      </c>
      <c r="F297" s="1589">
        <v>0</v>
      </c>
      <c r="G297" s="1589">
        <v>0</v>
      </c>
      <c r="H297" s="1589">
        <v>0</v>
      </c>
      <c r="I297" s="1589">
        <v>0</v>
      </c>
      <c r="J297" s="1589">
        <v>0</v>
      </c>
      <c r="K297" s="1589">
        <v>0</v>
      </c>
      <c r="L297" s="1589">
        <v>0</v>
      </c>
      <c r="M297" s="1589">
        <v>0</v>
      </c>
      <c r="N297" s="1589">
        <v>0</v>
      </c>
      <c r="O297" s="1589">
        <v>0</v>
      </c>
      <c r="P297" s="1589">
        <v>0</v>
      </c>
      <c r="Q297" s="1589">
        <v>0</v>
      </c>
    </row>
    <row r="298" spans="1:17">
      <c r="A298" s="1726" t="s">
        <v>91</v>
      </c>
      <c r="B298" s="1589">
        <v>0</v>
      </c>
      <c r="C298" s="1589">
        <v>1832.6132971824002</v>
      </c>
      <c r="D298" s="1589">
        <v>0</v>
      </c>
      <c r="E298" s="1589">
        <v>0</v>
      </c>
      <c r="F298" s="1589">
        <v>1832.6132971824002</v>
      </c>
      <c r="G298" s="1589">
        <v>0</v>
      </c>
      <c r="H298" s="1589">
        <v>1914.5771357373123</v>
      </c>
      <c r="I298" s="1589">
        <v>0</v>
      </c>
      <c r="J298" s="1589">
        <v>0</v>
      </c>
      <c r="K298" s="1589">
        <v>1914.5771357373123</v>
      </c>
      <c r="L298" s="1589">
        <v>0</v>
      </c>
      <c r="M298" s="1589">
        <v>2037.7729741705923</v>
      </c>
      <c r="N298" s="1589">
        <v>0</v>
      </c>
      <c r="O298" s="1589">
        <v>0</v>
      </c>
      <c r="P298" s="1589">
        <v>2037.7729741705923</v>
      </c>
      <c r="Q298" s="1589">
        <v>5784.9634070903057</v>
      </c>
    </row>
    <row r="299" spans="1:17">
      <c r="A299" s="1727" t="s">
        <v>603</v>
      </c>
      <c r="B299" s="1589">
        <v>0</v>
      </c>
      <c r="C299" s="1589">
        <v>1728.88046904</v>
      </c>
      <c r="D299" s="1589">
        <v>0</v>
      </c>
      <c r="E299" s="1589">
        <v>0</v>
      </c>
      <c r="F299" s="1589">
        <v>1728.88046904</v>
      </c>
      <c r="G299" s="1589">
        <v>0</v>
      </c>
      <c r="H299" s="1589">
        <v>1806.2048450352002</v>
      </c>
      <c r="I299" s="1589">
        <v>0</v>
      </c>
      <c r="J299" s="1589">
        <v>0</v>
      </c>
      <c r="K299" s="1589">
        <v>1806.2048450352002</v>
      </c>
      <c r="L299" s="1589">
        <v>0</v>
      </c>
      <c r="M299" s="1589">
        <v>1922.4273341232001</v>
      </c>
      <c r="N299" s="1589">
        <v>0</v>
      </c>
      <c r="O299" s="1589">
        <v>0</v>
      </c>
      <c r="P299" s="1589">
        <v>1922.4273341232001</v>
      </c>
      <c r="Q299" s="1589">
        <v>5457.5126481984007</v>
      </c>
    </row>
    <row r="300" spans="1:17">
      <c r="A300" s="1727" t="s">
        <v>528</v>
      </c>
      <c r="B300" s="1589">
        <v>0</v>
      </c>
      <c r="C300" s="1589">
        <v>103.7328281424</v>
      </c>
      <c r="D300" s="1589">
        <v>0</v>
      </c>
      <c r="E300" s="1589">
        <v>0</v>
      </c>
      <c r="F300" s="1589">
        <v>103.7328281424</v>
      </c>
      <c r="G300" s="1589">
        <v>0</v>
      </c>
      <c r="H300" s="1589">
        <v>108.37229070211201</v>
      </c>
      <c r="I300" s="1589">
        <v>0</v>
      </c>
      <c r="J300" s="1589">
        <v>0</v>
      </c>
      <c r="K300" s="1589">
        <v>108.37229070211201</v>
      </c>
      <c r="L300" s="1589">
        <v>0</v>
      </c>
      <c r="M300" s="1589">
        <v>115.34564004739201</v>
      </c>
      <c r="N300" s="1589">
        <v>0</v>
      </c>
      <c r="O300" s="1589">
        <v>0</v>
      </c>
      <c r="P300" s="1589">
        <v>115.34564004739201</v>
      </c>
      <c r="Q300" s="1589">
        <v>327.450758891904</v>
      </c>
    </row>
    <row r="301" spans="1:17">
      <c r="A301" s="1727" t="s">
        <v>530</v>
      </c>
      <c r="B301" s="1589">
        <v>0</v>
      </c>
      <c r="C301" s="1589">
        <v>1.7288804690400001E-13</v>
      </c>
      <c r="D301" s="1589">
        <v>0</v>
      </c>
      <c r="E301" s="1589">
        <v>0</v>
      </c>
      <c r="F301" s="1589">
        <v>1.7288804690400001E-13</v>
      </c>
      <c r="G301" s="1589">
        <v>0</v>
      </c>
      <c r="H301" s="1589">
        <v>1.8062048450352E-13</v>
      </c>
      <c r="I301" s="1589">
        <v>0</v>
      </c>
      <c r="J301" s="1589">
        <v>0</v>
      </c>
      <c r="K301" s="1589">
        <v>1.8062048450352E-13</v>
      </c>
      <c r="L301" s="1589">
        <v>0</v>
      </c>
      <c r="M301" s="1589">
        <v>1.9224273341231998E-13</v>
      </c>
      <c r="N301" s="1589">
        <v>0</v>
      </c>
      <c r="O301" s="1589">
        <v>0</v>
      </c>
      <c r="P301" s="1589">
        <v>1.9224273341231998E-13</v>
      </c>
      <c r="Q301" s="1589">
        <v>5.4575126481984004E-13</v>
      </c>
    </row>
    <row r="302" spans="1:17">
      <c r="A302" s="1727" t="s">
        <v>532</v>
      </c>
      <c r="B302" s="1589">
        <v>0</v>
      </c>
      <c r="C302" s="1589">
        <v>0</v>
      </c>
      <c r="D302" s="1589">
        <v>0</v>
      </c>
      <c r="E302" s="1589">
        <v>0</v>
      </c>
      <c r="F302" s="1589">
        <v>0</v>
      </c>
      <c r="G302" s="1589">
        <v>0</v>
      </c>
      <c r="H302" s="1589">
        <v>0</v>
      </c>
      <c r="I302" s="1589">
        <v>0</v>
      </c>
      <c r="J302" s="1589">
        <v>0</v>
      </c>
      <c r="K302" s="1589">
        <v>0</v>
      </c>
      <c r="L302" s="1589">
        <v>0</v>
      </c>
      <c r="M302" s="1589">
        <v>0</v>
      </c>
      <c r="N302" s="1589">
        <v>0</v>
      </c>
      <c r="O302" s="1589">
        <v>0</v>
      </c>
      <c r="P302" s="1589">
        <v>0</v>
      </c>
      <c r="Q302" s="1589">
        <v>0</v>
      </c>
    </row>
    <row r="303" spans="1:17">
      <c r="A303" s="1727" t="s">
        <v>534</v>
      </c>
      <c r="B303" s="1589">
        <v>0</v>
      </c>
      <c r="C303" s="1589">
        <v>0</v>
      </c>
      <c r="D303" s="1589">
        <v>0</v>
      </c>
      <c r="E303" s="1589">
        <v>0</v>
      </c>
      <c r="F303" s="1589">
        <v>0</v>
      </c>
      <c r="G303" s="1589">
        <v>0</v>
      </c>
      <c r="H303" s="1589">
        <v>0</v>
      </c>
      <c r="I303" s="1589">
        <v>0</v>
      </c>
      <c r="J303" s="1589">
        <v>0</v>
      </c>
      <c r="K303" s="1589">
        <v>0</v>
      </c>
      <c r="L303" s="1589">
        <v>0</v>
      </c>
      <c r="M303" s="1589">
        <v>0</v>
      </c>
      <c r="N303" s="1589">
        <v>0</v>
      </c>
      <c r="O303" s="1589">
        <v>0</v>
      </c>
      <c r="P303" s="1589">
        <v>0</v>
      </c>
      <c r="Q303" s="1589">
        <v>0</v>
      </c>
    </row>
    <row r="304" spans="1:17">
      <c r="A304" s="1727" t="s">
        <v>536</v>
      </c>
      <c r="B304" s="1589">
        <v>0</v>
      </c>
      <c r="C304" s="1589">
        <v>0</v>
      </c>
      <c r="D304" s="1589">
        <v>0</v>
      </c>
      <c r="E304" s="1589">
        <v>0</v>
      </c>
      <c r="F304" s="1589">
        <v>0</v>
      </c>
      <c r="G304" s="1589">
        <v>0</v>
      </c>
      <c r="H304" s="1589">
        <v>0</v>
      </c>
      <c r="I304" s="1589">
        <v>0</v>
      </c>
      <c r="J304" s="1589">
        <v>0</v>
      </c>
      <c r="K304" s="1589">
        <v>0</v>
      </c>
      <c r="L304" s="1589">
        <v>0</v>
      </c>
      <c r="M304" s="1589">
        <v>0</v>
      </c>
      <c r="N304" s="1589">
        <v>0</v>
      </c>
      <c r="O304" s="1589">
        <v>0</v>
      </c>
      <c r="P304" s="1589">
        <v>0</v>
      </c>
      <c r="Q304" s="1589">
        <v>0</v>
      </c>
    </row>
    <row r="305" spans="1:17">
      <c r="A305" s="1727" t="s">
        <v>538</v>
      </c>
      <c r="B305" s="1589">
        <v>0</v>
      </c>
      <c r="C305" s="1589">
        <v>0</v>
      </c>
      <c r="D305" s="1589">
        <v>0</v>
      </c>
      <c r="E305" s="1589">
        <v>0</v>
      </c>
      <c r="F305" s="1589">
        <v>0</v>
      </c>
      <c r="G305" s="1589">
        <v>0</v>
      </c>
      <c r="H305" s="1589">
        <v>0</v>
      </c>
      <c r="I305" s="1589">
        <v>0</v>
      </c>
      <c r="J305" s="1589">
        <v>0</v>
      </c>
      <c r="K305" s="1589">
        <v>0</v>
      </c>
      <c r="L305" s="1589">
        <v>0</v>
      </c>
      <c r="M305" s="1589">
        <v>0</v>
      </c>
      <c r="N305" s="1589">
        <v>0</v>
      </c>
      <c r="O305" s="1589">
        <v>0</v>
      </c>
      <c r="P305" s="1589">
        <v>0</v>
      </c>
      <c r="Q305" s="1589">
        <v>0</v>
      </c>
    </row>
    <row r="306" spans="1:17">
      <c r="A306" s="1727" t="s">
        <v>540</v>
      </c>
      <c r="B306" s="1589">
        <v>0</v>
      </c>
      <c r="C306" s="1589">
        <v>0</v>
      </c>
      <c r="D306" s="1589">
        <v>0</v>
      </c>
      <c r="E306" s="1589">
        <v>0</v>
      </c>
      <c r="F306" s="1589">
        <v>0</v>
      </c>
      <c r="G306" s="1589">
        <v>0</v>
      </c>
      <c r="H306" s="1589">
        <v>0</v>
      </c>
      <c r="I306" s="1589">
        <v>0</v>
      </c>
      <c r="J306" s="1589">
        <v>0</v>
      </c>
      <c r="K306" s="1589">
        <v>0</v>
      </c>
      <c r="L306" s="1589">
        <v>0</v>
      </c>
      <c r="M306" s="1589">
        <v>0</v>
      </c>
      <c r="N306" s="1589">
        <v>0</v>
      </c>
      <c r="O306" s="1589">
        <v>0</v>
      </c>
      <c r="P306" s="1589">
        <v>0</v>
      </c>
      <c r="Q306" s="1589">
        <v>0</v>
      </c>
    </row>
    <row r="307" spans="1:17">
      <c r="A307" s="1726" t="s">
        <v>2551</v>
      </c>
      <c r="B307" s="1589">
        <v>0</v>
      </c>
      <c r="C307" s="1589">
        <v>24.081955331040007</v>
      </c>
      <c r="D307" s="1589">
        <v>0</v>
      </c>
      <c r="E307" s="1589">
        <v>0</v>
      </c>
      <c r="F307" s="1589">
        <v>24.081955331040007</v>
      </c>
      <c r="G307" s="1589">
        <v>0</v>
      </c>
      <c r="H307" s="1589">
        <v>25.191689224908007</v>
      </c>
      <c r="I307" s="1589">
        <v>0</v>
      </c>
      <c r="J307" s="1589">
        <v>0</v>
      </c>
      <c r="K307" s="1589">
        <v>25.191689224908007</v>
      </c>
      <c r="L307" s="1589">
        <v>0</v>
      </c>
      <c r="M307" s="1589">
        <v>26.802903596388006</v>
      </c>
      <c r="N307" s="1589">
        <v>0</v>
      </c>
      <c r="O307" s="1589">
        <v>0</v>
      </c>
      <c r="P307" s="1589">
        <v>26.802903596388006</v>
      </c>
      <c r="Q307" s="1589">
        <v>76.076548152336031</v>
      </c>
    </row>
    <row r="308" spans="1:17">
      <c r="A308" s="1727" t="s">
        <v>603</v>
      </c>
      <c r="B308" s="1589">
        <v>0</v>
      </c>
      <c r="C308" s="1589">
        <v>22.718825784000003</v>
      </c>
      <c r="D308" s="1589">
        <v>0</v>
      </c>
      <c r="E308" s="1589">
        <v>0</v>
      </c>
      <c r="F308" s="1589">
        <v>22.718825784000003</v>
      </c>
      <c r="G308" s="1589">
        <v>0</v>
      </c>
      <c r="H308" s="1589">
        <v>23.765744551800005</v>
      </c>
      <c r="I308" s="1589">
        <v>0</v>
      </c>
      <c r="J308" s="1589">
        <v>0</v>
      </c>
      <c r="K308" s="1589">
        <v>23.765744551800005</v>
      </c>
      <c r="L308" s="1589">
        <v>0</v>
      </c>
      <c r="M308" s="1589">
        <v>25.285758109800003</v>
      </c>
      <c r="N308" s="1589">
        <v>0</v>
      </c>
      <c r="O308" s="1589">
        <v>0</v>
      </c>
      <c r="P308" s="1589">
        <v>25.285758109800003</v>
      </c>
      <c r="Q308" s="1589">
        <v>71.770328445600015</v>
      </c>
    </row>
    <row r="309" spans="1:17">
      <c r="A309" s="1727" t="s">
        <v>528</v>
      </c>
      <c r="B309" s="1589">
        <v>0</v>
      </c>
      <c r="C309" s="1589">
        <v>1.36312954704</v>
      </c>
      <c r="D309" s="1589">
        <v>0</v>
      </c>
      <c r="E309" s="1589">
        <v>0</v>
      </c>
      <c r="F309" s="1589">
        <v>1.36312954704</v>
      </c>
      <c r="G309" s="1589">
        <v>0</v>
      </c>
      <c r="H309" s="1589">
        <v>1.4259446731080001</v>
      </c>
      <c r="I309" s="1589">
        <v>0</v>
      </c>
      <c r="J309" s="1589">
        <v>0</v>
      </c>
      <c r="K309" s="1589">
        <v>1.4259446731080001</v>
      </c>
      <c r="L309" s="1589">
        <v>0</v>
      </c>
      <c r="M309" s="1589">
        <v>1.5171454865880003</v>
      </c>
      <c r="N309" s="1589">
        <v>0</v>
      </c>
      <c r="O309" s="1589">
        <v>0</v>
      </c>
      <c r="P309" s="1589">
        <v>1.5171454865880003</v>
      </c>
      <c r="Q309" s="1589">
        <v>4.306219706736</v>
      </c>
    </row>
    <row r="310" spans="1:17">
      <c r="A310" s="1727" t="s">
        <v>530</v>
      </c>
      <c r="B310" s="1589">
        <v>0</v>
      </c>
      <c r="C310" s="1589">
        <v>2.2718825784E-15</v>
      </c>
      <c r="D310" s="1589">
        <v>0</v>
      </c>
      <c r="E310" s="1589">
        <v>0</v>
      </c>
      <c r="F310" s="1589">
        <v>2.2718825784E-15</v>
      </c>
      <c r="G310" s="1589">
        <v>0</v>
      </c>
      <c r="H310" s="1589">
        <v>2.3765744551800002E-15</v>
      </c>
      <c r="I310" s="1589">
        <v>0</v>
      </c>
      <c r="J310" s="1589">
        <v>0</v>
      </c>
      <c r="K310" s="1589">
        <v>2.3765744551800002E-15</v>
      </c>
      <c r="L310" s="1589">
        <v>0</v>
      </c>
      <c r="M310" s="1589">
        <v>2.5285758109800004E-15</v>
      </c>
      <c r="N310" s="1589">
        <v>0</v>
      </c>
      <c r="O310" s="1589">
        <v>0</v>
      </c>
      <c r="P310" s="1589">
        <v>2.5285758109800004E-15</v>
      </c>
      <c r="Q310" s="1589">
        <v>7.1770328445600011E-15</v>
      </c>
    </row>
    <row r="311" spans="1:17">
      <c r="A311" s="1727" t="s">
        <v>532</v>
      </c>
      <c r="B311" s="1589">
        <v>0</v>
      </c>
      <c r="C311" s="1589">
        <v>0</v>
      </c>
      <c r="D311" s="1589">
        <v>0</v>
      </c>
      <c r="E311" s="1589">
        <v>0</v>
      </c>
      <c r="F311" s="1589">
        <v>0</v>
      </c>
      <c r="G311" s="1589">
        <v>0</v>
      </c>
      <c r="H311" s="1589">
        <v>0</v>
      </c>
      <c r="I311" s="1589">
        <v>0</v>
      </c>
      <c r="J311" s="1589">
        <v>0</v>
      </c>
      <c r="K311" s="1589">
        <v>0</v>
      </c>
      <c r="L311" s="1589">
        <v>0</v>
      </c>
      <c r="M311" s="1589">
        <v>0</v>
      </c>
      <c r="N311" s="1589">
        <v>0</v>
      </c>
      <c r="O311" s="1589">
        <v>0</v>
      </c>
      <c r="P311" s="1589">
        <v>0</v>
      </c>
      <c r="Q311" s="1589">
        <v>0</v>
      </c>
    </row>
    <row r="312" spans="1:17">
      <c r="A312" s="1727" t="s">
        <v>534</v>
      </c>
      <c r="B312" s="1589">
        <v>0</v>
      </c>
      <c r="C312" s="1589">
        <v>0</v>
      </c>
      <c r="D312" s="1589">
        <v>0</v>
      </c>
      <c r="E312" s="1589">
        <v>0</v>
      </c>
      <c r="F312" s="1589">
        <v>0</v>
      </c>
      <c r="G312" s="1589">
        <v>0</v>
      </c>
      <c r="H312" s="1589">
        <v>0</v>
      </c>
      <c r="I312" s="1589">
        <v>0</v>
      </c>
      <c r="J312" s="1589">
        <v>0</v>
      </c>
      <c r="K312" s="1589">
        <v>0</v>
      </c>
      <c r="L312" s="1589">
        <v>0</v>
      </c>
      <c r="M312" s="1589">
        <v>0</v>
      </c>
      <c r="N312" s="1589">
        <v>0</v>
      </c>
      <c r="O312" s="1589">
        <v>0</v>
      </c>
      <c r="P312" s="1589">
        <v>0</v>
      </c>
      <c r="Q312" s="1589">
        <v>0</v>
      </c>
    </row>
    <row r="313" spans="1:17">
      <c r="A313" s="1727" t="s">
        <v>536</v>
      </c>
      <c r="B313" s="1589">
        <v>0</v>
      </c>
      <c r="C313" s="1589">
        <v>0</v>
      </c>
      <c r="D313" s="1589">
        <v>0</v>
      </c>
      <c r="E313" s="1589">
        <v>0</v>
      </c>
      <c r="F313" s="1589">
        <v>0</v>
      </c>
      <c r="G313" s="1589">
        <v>0</v>
      </c>
      <c r="H313" s="1589">
        <v>0</v>
      </c>
      <c r="I313" s="1589">
        <v>0</v>
      </c>
      <c r="J313" s="1589">
        <v>0</v>
      </c>
      <c r="K313" s="1589">
        <v>0</v>
      </c>
      <c r="L313" s="1589">
        <v>0</v>
      </c>
      <c r="M313" s="1589">
        <v>0</v>
      </c>
      <c r="N313" s="1589">
        <v>0</v>
      </c>
      <c r="O313" s="1589">
        <v>0</v>
      </c>
      <c r="P313" s="1589">
        <v>0</v>
      </c>
      <c r="Q313" s="1589">
        <v>0</v>
      </c>
    </row>
    <row r="314" spans="1:17">
      <c r="A314" s="1727" t="s">
        <v>538</v>
      </c>
      <c r="B314" s="1589">
        <v>0</v>
      </c>
      <c r="C314" s="1589">
        <v>0</v>
      </c>
      <c r="D314" s="1589">
        <v>0</v>
      </c>
      <c r="E314" s="1589">
        <v>0</v>
      </c>
      <c r="F314" s="1589">
        <v>0</v>
      </c>
      <c r="G314" s="1589">
        <v>0</v>
      </c>
      <c r="H314" s="1589">
        <v>0</v>
      </c>
      <c r="I314" s="1589">
        <v>0</v>
      </c>
      <c r="J314" s="1589">
        <v>0</v>
      </c>
      <c r="K314" s="1589">
        <v>0</v>
      </c>
      <c r="L314" s="1589">
        <v>0</v>
      </c>
      <c r="M314" s="1589">
        <v>0</v>
      </c>
      <c r="N314" s="1589">
        <v>0</v>
      </c>
      <c r="O314" s="1589">
        <v>0</v>
      </c>
      <c r="P314" s="1589">
        <v>0</v>
      </c>
      <c r="Q314" s="1589">
        <v>0</v>
      </c>
    </row>
    <row r="315" spans="1:17">
      <c r="A315" s="1727" t="s">
        <v>540</v>
      </c>
      <c r="B315" s="1589">
        <v>0</v>
      </c>
      <c r="C315" s="1589">
        <v>0</v>
      </c>
      <c r="D315" s="1589">
        <v>0</v>
      </c>
      <c r="E315" s="1589">
        <v>0</v>
      </c>
      <c r="F315" s="1589">
        <v>0</v>
      </c>
      <c r="G315" s="1589">
        <v>0</v>
      </c>
      <c r="H315" s="1589">
        <v>0</v>
      </c>
      <c r="I315" s="1589">
        <v>0</v>
      </c>
      <c r="J315" s="1589">
        <v>0</v>
      </c>
      <c r="K315" s="1589">
        <v>0</v>
      </c>
      <c r="L315" s="1589">
        <v>0</v>
      </c>
      <c r="M315" s="1589">
        <v>0</v>
      </c>
      <c r="N315" s="1589">
        <v>0</v>
      </c>
      <c r="O315" s="1589">
        <v>0</v>
      </c>
      <c r="P315" s="1589">
        <v>0</v>
      </c>
      <c r="Q315" s="1589">
        <v>0</v>
      </c>
    </row>
    <row r="316" spans="1:17">
      <c r="A316" s="1588" t="s">
        <v>657</v>
      </c>
      <c r="B316" s="1589">
        <v>0</v>
      </c>
      <c r="C316" s="1589">
        <v>0</v>
      </c>
      <c r="D316" s="1589">
        <v>0</v>
      </c>
      <c r="E316" s="1589">
        <v>0</v>
      </c>
      <c r="F316" s="1589">
        <v>0</v>
      </c>
      <c r="G316" s="1589">
        <v>0</v>
      </c>
      <c r="H316" s="1589">
        <v>0</v>
      </c>
      <c r="I316" s="1589">
        <v>0</v>
      </c>
      <c r="J316" s="1589">
        <v>0</v>
      </c>
      <c r="K316" s="1589">
        <v>0</v>
      </c>
      <c r="L316" s="1589">
        <v>0</v>
      </c>
      <c r="M316" s="1589">
        <v>0</v>
      </c>
      <c r="N316" s="1589">
        <v>0</v>
      </c>
      <c r="O316" s="1589">
        <v>0</v>
      </c>
      <c r="P316" s="1589">
        <v>0</v>
      </c>
      <c r="Q316" s="1589">
        <v>0</v>
      </c>
    </row>
    <row r="317" spans="1:17">
      <c r="A317" s="1725" t="s">
        <v>658</v>
      </c>
      <c r="B317" s="1589">
        <v>0</v>
      </c>
      <c r="C317" s="1589">
        <v>0</v>
      </c>
      <c r="D317" s="1589">
        <v>0</v>
      </c>
      <c r="E317" s="1589">
        <v>0</v>
      </c>
      <c r="F317" s="1589">
        <v>0</v>
      </c>
      <c r="G317" s="1589">
        <v>0</v>
      </c>
      <c r="H317" s="1589">
        <v>0</v>
      </c>
      <c r="I317" s="1589">
        <v>0</v>
      </c>
      <c r="J317" s="1589">
        <v>0</v>
      </c>
      <c r="K317" s="1589">
        <v>0</v>
      </c>
      <c r="L317" s="1589">
        <v>0</v>
      </c>
      <c r="M317" s="1589">
        <v>0</v>
      </c>
      <c r="N317" s="1589">
        <v>0</v>
      </c>
      <c r="O317" s="1589">
        <v>0</v>
      </c>
      <c r="P317" s="1589">
        <v>0</v>
      </c>
      <c r="Q317" s="1589">
        <v>0</v>
      </c>
    </row>
    <row r="318" spans="1:17">
      <c r="A318" s="1726">
        <v>0</v>
      </c>
      <c r="B318" s="1589">
        <v>0</v>
      </c>
      <c r="C318" s="1589">
        <v>0</v>
      </c>
      <c r="D318" s="1589">
        <v>0</v>
      </c>
      <c r="E318" s="1589">
        <v>0</v>
      </c>
      <c r="F318" s="1589">
        <v>0</v>
      </c>
      <c r="G318" s="1589">
        <v>0</v>
      </c>
      <c r="H318" s="1589">
        <v>0</v>
      </c>
      <c r="I318" s="1589">
        <v>0</v>
      </c>
      <c r="J318" s="1589">
        <v>0</v>
      </c>
      <c r="K318" s="1589">
        <v>0</v>
      </c>
      <c r="L318" s="1589">
        <v>0</v>
      </c>
      <c r="M318" s="1589">
        <v>0</v>
      </c>
      <c r="N318" s="1589">
        <v>0</v>
      </c>
      <c r="O318" s="1589">
        <v>0</v>
      </c>
      <c r="P318" s="1589">
        <v>0</v>
      </c>
      <c r="Q318" s="1589">
        <v>0</v>
      </c>
    </row>
    <row r="319" spans="1:17">
      <c r="A319" s="1727" t="s">
        <v>603</v>
      </c>
      <c r="B319" s="1589">
        <v>0</v>
      </c>
      <c r="C319" s="1589">
        <v>0</v>
      </c>
      <c r="D319" s="1589">
        <v>0</v>
      </c>
      <c r="E319" s="1589">
        <v>0</v>
      </c>
      <c r="F319" s="1589">
        <v>0</v>
      </c>
      <c r="G319" s="1589">
        <v>0</v>
      </c>
      <c r="H319" s="1589">
        <v>0</v>
      </c>
      <c r="I319" s="1589">
        <v>0</v>
      </c>
      <c r="J319" s="1589">
        <v>0</v>
      </c>
      <c r="K319" s="1589">
        <v>0</v>
      </c>
      <c r="L319" s="1589">
        <v>0</v>
      </c>
      <c r="M319" s="1589">
        <v>0</v>
      </c>
      <c r="N319" s="1589">
        <v>0</v>
      </c>
      <c r="O319" s="1589">
        <v>0</v>
      </c>
      <c r="P319" s="1589">
        <v>0</v>
      </c>
      <c r="Q319" s="1589">
        <v>0</v>
      </c>
    </row>
    <row r="320" spans="1:17">
      <c r="A320" s="1727" t="s">
        <v>595</v>
      </c>
      <c r="B320" s="1589">
        <v>0</v>
      </c>
      <c r="C320" s="1589">
        <v>0</v>
      </c>
      <c r="D320" s="1589">
        <v>0</v>
      </c>
      <c r="E320" s="1589">
        <v>0</v>
      </c>
      <c r="F320" s="1589">
        <v>0</v>
      </c>
      <c r="G320" s="1589">
        <v>0</v>
      </c>
      <c r="H320" s="1589">
        <v>0</v>
      </c>
      <c r="I320" s="1589">
        <v>0</v>
      </c>
      <c r="J320" s="1589">
        <v>0</v>
      </c>
      <c r="K320" s="1589">
        <v>0</v>
      </c>
      <c r="L320" s="1589">
        <v>0</v>
      </c>
      <c r="M320" s="1589">
        <v>0</v>
      </c>
      <c r="N320" s="1589">
        <v>0</v>
      </c>
      <c r="O320" s="1589">
        <v>0</v>
      </c>
      <c r="P320" s="1589">
        <v>0</v>
      </c>
      <c r="Q320" s="1589">
        <v>0</v>
      </c>
    </row>
    <row r="321" spans="1:17">
      <c r="A321" s="1727" t="s">
        <v>597</v>
      </c>
      <c r="B321" s="1589">
        <v>0</v>
      </c>
      <c r="C321" s="1589">
        <v>0</v>
      </c>
      <c r="D321" s="1589">
        <v>0</v>
      </c>
      <c r="E321" s="1589">
        <v>0</v>
      </c>
      <c r="F321" s="1589">
        <v>0</v>
      </c>
      <c r="G321" s="1589">
        <v>0</v>
      </c>
      <c r="H321" s="1589">
        <v>0</v>
      </c>
      <c r="I321" s="1589">
        <v>0</v>
      </c>
      <c r="J321" s="1589">
        <v>0</v>
      </c>
      <c r="K321" s="1589">
        <v>0</v>
      </c>
      <c r="L321" s="1589">
        <v>0</v>
      </c>
      <c r="M321" s="1589">
        <v>0</v>
      </c>
      <c r="N321" s="1589">
        <v>0</v>
      </c>
      <c r="O321" s="1589">
        <v>0</v>
      </c>
      <c r="P321" s="1589">
        <v>0</v>
      </c>
      <c r="Q321" s="1589">
        <v>0</v>
      </c>
    </row>
    <row r="322" spans="1:17">
      <c r="A322" s="1727" t="s">
        <v>1896</v>
      </c>
      <c r="B322" s="1589">
        <v>0</v>
      </c>
      <c r="C322" s="1589">
        <v>0</v>
      </c>
      <c r="D322" s="1589">
        <v>0</v>
      </c>
      <c r="E322" s="1589">
        <v>0</v>
      </c>
      <c r="F322" s="1589">
        <v>0</v>
      </c>
      <c r="G322" s="1589">
        <v>0</v>
      </c>
      <c r="H322" s="1589">
        <v>0</v>
      </c>
      <c r="I322" s="1589">
        <v>0</v>
      </c>
      <c r="J322" s="1589">
        <v>0</v>
      </c>
      <c r="K322" s="1589">
        <v>0</v>
      </c>
      <c r="L322" s="1589">
        <v>0</v>
      </c>
      <c r="M322" s="1589">
        <v>0</v>
      </c>
      <c r="N322" s="1589">
        <v>0</v>
      </c>
      <c r="O322" s="1589">
        <v>0</v>
      </c>
      <c r="P322" s="1589">
        <v>0</v>
      </c>
      <c r="Q322" s="1589">
        <v>0</v>
      </c>
    </row>
    <row r="323" spans="1:17">
      <c r="A323" s="1727" t="s">
        <v>654</v>
      </c>
      <c r="B323" s="1589">
        <v>0</v>
      </c>
      <c r="C323" s="1589">
        <v>0</v>
      </c>
      <c r="D323" s="1589">
        <v>0</v>
      </c>
      <c r="E323" s="1589">
        <v>0</v>
      </c>
      <c r="F323" s="1589">
        <v>0</v>
      </c>
      <c r="G323" s="1589">
        <v>0</v>
      </c>
      <c r="H323" s="1589">
        <v>0</v>
      </c>
      <c r="I323" s="1589">
        <v>0</v>
      </c>
      <c r="J323" s="1589">
        <v>0</v>
      </c>
      <c r="K323" s="1589">
        <v>0</v>
      </c>
      <c r="L323" s="1589">
        <v>0</v>
      </c>
      <c r="M323" s="1589">
        <v>0</v>
      </c>
      <c r="N323" s="1589">
        <v>0</v>
      </c>
      <c r="O323" s="1589">
        <v>0</v>
      </c>
      <c r="P323" s="1589">
        <v>0</v>
      </c>
      <c r="Q323" s="1589">
        <v>0</v>
      </c>
    </row>
    <row r="324" spans="1:17">
      <c r="A324" s="1727" t="s">
        <v>593</v>
      </c>
      <c r="B324" s="1589">
        <v>0</v>
      </c>
      <c r="C324" s="1589">
        <v>0</v>
      </c>
      <c r="D324" s="1589">
        <v>0</v>
      </c>
      <c r="E324" s="1589">
        <v>0</v>
      </c>
      <c r="F324" s="1589">
        <v>0</v>
      </c>
      <c r="G324" s="1589">
        <v>0</v>
      </c>
      <c r="H324" s="1589">
        <v>0</v>
      </c>
      <c r="I324" s="1589">
        <v>0</v>
      </c>
      <c r="J324" s="1589">
        <v>0</v>
      </c>
      <c r="K324" s="1589">
        <v>0</v>
      </c>
      <c r="L324" s="1589">
        <v>0</v>
      </c>
      <c r="M324" s="1589">
        <v>0</v>
      </c>
      <c r="N324" s="1589">
        <v>0</v>
      </c>
      <c r="O324" s="1589">
        <v>0</v>
      </c>
      <c r="P324" s="1589">
        <v>0</v>
      </c>
      <c r="Q324" s="1589">
        <v>0</v>
      </c>
    </row>
    <row r="325" spans="1:17">
      <c r="A325" s="1727" t="s">
        <v>586</v>
      </c>
      <c r="B325" s="1589">
        <v>0</v>
      </c>
      <c r="C325" s="1589">
        <v>0</v>
      </c>
      <c r="D325" s="1589">
        <v>0</v>
      </c>
      <c r="E325" s="1589">
        <v>0</v>
      </c>
      <c r="F325" s="1589">
        <v>0</v>
      </c>
      <c r="G325" s="1589">
        <v>0</v>
      </c>
      <c r="H325" s="1589">
        <v>0</v>
      </c>
      <c r="I325" s="1589">
        <v>0</v>
      </c>
      <c r="J325" s="1589">
        <v>0</v>
      </c>
      <c r="K325" s="1589">
        <v>0</v>
      </c>
      <c r="L325" s="1589">
        <v>0</v>
      </c>
      <c r="M325" s="1589">
        <v>0</v>
      </c>
      <c r="N325" s="1589">
        <v>0</v>
      </c>
      <c r="O325" s="1589">
        <v>0</v>
      </c>
      <c r="P325" s="1589">
        <v>0</v>
      </c>
      <c r="Q325" s="1589">
        <v>0</v>
      </c>
    </row>
    <row r="326" spans="1:17">
      <c r="A326" s="1727" t="s">
        <v>528</v>
      </c>
      <c r="B326" s="1589">
        <v>0</v>
      </c>
      <c r="C326" s="1589">
        <v>0</v>
      </c>
      <c r="D326" s="1589">
        <v>0</v>
      </c>
      <c r="E326" s="1589">
        <v>0</v>
      </c>
      <c r="F326" s="1589">
        <v>0</v>
      </c>
      <c r="G326" s="1589">
        <v>0</v>
      </c>
      <c r="H326" s="1589">
        <v>0</v>
      </c>
      <c r="I326" s="1589">
        <v>0</v>
      </c>
      <c r="J326" s="1589">
        <v>0</v>
      </c>
      <c r="K326" s="1589">
        <v>0</v>
      </c>
      <c r="L326" s="1589">
        <v>0</v>
      </c>
      <c r="M326" s="1589">
        <v>0</v>
      </c>
      <c r="N326" s="1589">
        <v>0</v>
      </c>
      <c r="O326" s="1589">
        <v>0</v>
      </c>
      <c r="P326" s="1589">
        <v>0</v>
      </c>
      <c r="Q326" s="1589">
        <v>0</v>
      </c>
    </row>
    <row r="327" spans="1:17">
      <c r="A327" s="1727" t="s">
        <v>530</v>
      </c>
      <c r="B327" s="1589">
        <v>0</v>
      </c>
      <c r="C327" s="1589">
        <v>0</v>
      </c>
      <c r="D327" s="1589">
        <v>0</v>
      </c>
      <c r="E327" s="1589">
        <v>0</v>
      </c>
      <c r="F327" s="1589">
        <v>0</v>
      </c>
      <c r="G327" s="1589">
        <v>0</v>
      </c>
      <c r="H327" s="1589">
        <v>0</v>
      </c>
      <c r="I327" s="1589">
        <v>0</v>
      </c>
      <c r="J327" s="1589">
        <v>0</v>
      </c>
      <c r="K327" s="1589">
        <v>0</v>
      </c>
      <c r="L327" s="1589">
        <v>0</v>
      </c>
      <c r="M327" s="1589">
        <v>0</v>
      </c>
      <c r="N327" s="1589">
        <v>0</v>
      </c>
      <c r="O327" s="1589">
        <v>0</v>
      </c>
      <c r="P327" s="1589">
        <v>0</v>
      </c>
      <c r="Q327" s="1589">
        <v>0</v>
      </c>
    </row>
    <row r="328" spans="1:17">
      <c r="A328" s="1727" t="s">
        <v>532</v>
      </c>
      <c r="B328" s="1589">
        <v>0</v>
      </c>
      <c r="C328" s="1589">
        <v>0</v>
      </c>
      <c r="D328" s="1589">
        <v>0</v>
      </c>
      <c r="E328" s="1589">
        <v>0</v>
      </c>
      <c r="F328" s="1589">
        <v>0</v>
      </c>
      <c r="G328" s="1589">
        <v>0</v>
      </c>
      <c r="H328" s="1589">
        <v>0</v>
      </c>
      <c r="I328" s="1589">
        <v>0</v>
      </c>
      <c r="J328" s="1589">
        <v>0</v>
      </c>
      <c r="K328" s="1589">
        <v>0</v>
      </c>
      <c r="L328" s="1589">
        <v>0</v>
      </c>
      <c r="M328" s="1589">
        <v>0</v>
      </c>
      <c r="N328" s="1589">
        <v>0</v>
      </c>
      <c r="O328" s="1589">
        <v>0</v>
      </c>
      <c r="P328" s="1589">
        <v>0</v>
      </c>
      <c r="Q328" s="1589">
        <v>0</v>
      </c>
    </row>
    <row r="329" spans="1:17">
      <c r="A329" s="1727" t="s">
        <v>534</v>
      </c>
      <c r="B329" s="1589">
        <v>0</v>
      </c>
      <c r="C329" s="1589">
        <v>0</v>
      </c>
      <c r="D329" s="1589">
        <v>0</v>
      </c>
      <c r="E329" s="1589">
        <v>0</v>
      </c>
      <c r="F329" s="1589">
        <v>0</v>
      </c>
      <c r="G329" s="1589">
        <v>0</v>
      </c>
      <c r="H329" s="1589">
        <v>0</v>
      </c>
      <c r="I329" s="1589">
        <v>0</v>
      </c>
      <c r="J329" s="1589">
        <v>0</v>
      </c>
      <c r="K329" s="1589">
        <v>0</v>
      </c>
      <c r="L329" s="1589">
        <v>0</v>
      </c>
      <c r="M329" s="1589">
        <v>0</v>
      </c>
      <c r="N329" s="1589">
        <v>0</v>
      </c>
      <c r="O329" s="1589">
        <v>0</v>
      </c>
      <c r="P329" s="1589">
        <v>0</v>
      </c>
      <c r="Q329" s="1589">
        <v>0</v>
      </c>
    </row>
    <row r="330" spans="1:17">
      <c r="A330" s="1727" t="s">
        <v>536</v>
      </c>
      <c r="B330" s="1589">
        <v>0</v>
      </c>
      <c r="C330" s="1589">
        <v>0</v>
      </c>
      <c r="D330" s="1589">
        <v>0</v>
      </c>
      <c r="E330" s="1589">
        <v>0</v>
      </c>
      <c r="F330" s="1589">
        <v>0</v>
      </c>
      <c r="G330" s="1589">
        <v>0</v>
      </c>
      <c r="H330" s="1589">
        <v>0</v>
      </c>
      <c r="I330" s="1589">
        <v>0</v>
      </c>
      <c r="J330" s="1589">
        <v>0</v>
      </c>
      <c r="K330" s="1589">
        <v>0</v>
      </c>
      <c r="L330" s="1589">
        <v>0</v>
      </c>
      <c r="M330" s="1589">
        <v>0</v>
      </c>
      <c r="N330" s="1589">
        <v>0</v>
      </c>
      <c r="O330" s="1589">
        <v>0</v>
      </c>
      <c r="P330" s="1589">
        <v>0</v>
      </c>
      <c r="Q330" s="1589">
        <v>0</v>
      </c>
    </row>
    <row r="331" spans="1:17">
      <c r="A331" s="1727" t="s">
        <v>538</v>
      </c>
      <c r="B331" s="1589">
        <v>0</v>
      </c>
      <c r="C331" s="1589">
        <v>0</v>
      </c>
      <c r="D331" s="1589">
        <v>0</v>
      </c>
      <c r="E331" s="1589">
        <v>0</v>
      </c>
      <c r="F331" s="1589">
        <v>0</v>
      </c>
      <c r="G331" s="1589">
        <v>0</v>
      </c>
      <c r="H331" s="1589">
        <v>0</v>
      </c>
      <c r="I331" s="1589">
        <v>0</v>
      </c>
      <c r="J331" s="1589">
        <v>0</v>
      </c>
      <c r="K331" s="1589">
        <v>0</v>
      </c>
      <c r="L331" s="1589">
        <v>0</v>
      </c>
      <c r="M331" s="1589">
        <v>0</v>
      </c>
      <c r="N331" s="1589">
        <v>0</v>
      </c>
      <c r="O331" s="1589">
        <v>0</v>
      </c>
      <c r="P331" s="1589">
        <v>0</v>
      </c>
      <c r="Q331" s="1589">
        <v>0</v>
      </c>
    </row>
    <row r="332" spans="1:17">
      <c r="A332" s="1727" t="s">
        <v>540</v>
      </c>
      <c r="B332" s="1589">
        <v>0</v>
      </c>
      <c r="C332" s="1589">
        <v>0</v>
      </c>
      <c r="D332" s="1589">
        <v>0</v>
      </c>
      <c r="E332" s="1589">
        <v>0</v>
      </c>
      <c r="F332" s="1589">
        <v>0</v>
      </c>
      <c r="G332" s="1589">
        <v>0</v>
      </c>
      <c r="H332" s="1589">
        <v>0</v>
      </c>
      <c r="I332" s="1589">
        <v>0</v>
      </c>
      <c r="J332" s="1589">
        <v>0</v>
      </c>
      <c r="K332" s="1589">
        <v>0</v>
      </c>
      <c r="L332" s="1589">
        <v>0</v>
      </c>
      <c r="M332" s="1589">
        <v>0</v>
      </c>
      <c r="N332" s="1589">
        <v>0</v>
      </c>
      <c r="O332" s="1589">
        <v>0</v>
      </c>
      <c r="P332" s="1589">
        <v>0</v>
      </c>
      <c r="Q332" s="1589">
        <v>0</v>
      </c>
    </row>
    <row r="333" spans="1:17">
      <c r="A333" s="1725" t="s">
        <v>659</v>
      </c>
      <c r="B333" s="1589">
        <v>0</v>
      </c>
      <c r="C333" s="1589">
        <v>0</v>
      </c>
      <c r="D333" s="1589">
        <v>0</v>
      </c>
      <c r="E333" s="1589">
        <v>0</v>
      </c>
      <c r="F333" s="1589">
        <v>0</v>
      </c>
      <c r="G333" s="1589">
        <v>0</v>
      </c>
      <c r="H333" s="1589">
        <v>0</v>
      </c>
      <c r="I333" s="1589">
        <v>0</v>
      </c>
      <c r="J333" s="1589">
        <v>0</v>
      </c>
      <c r="K333" s="1589">
        <v>0</v>
      </c>
      <c r="L333" s="1589">
        <v>0</v>
      </c>
      <c r="M333" s="1589">
        <v>0</v>
      </c>
      <c r="N333" s="1589">
        <v>0</v>
      </c>
      <c r="O333" s="1589">
        <v>0</v>
      </c>
      <c r="P333" s="1589">
        <v>0</v>
      </c>
      <c r="Q333" s="1589">
        <v>0</v>
      </c>
    </row>
    <row r="334" spans="1:17">
      <c r="A334" s="1726">
        <v>0</v>
      </c>
      <c r="B334" s="1589">
        <v>0</v>
      </c>
      <c r="C334" s="1589">
        <v>0</v>
      </c>
      <c r="D334" s="1589">
        <v>0</v>
      </c>
      <c r="E334" s="1589">
        <v>0</v>
      </c>
      <c r="F334" s="1589">
        <v>0</v>
      </c>
      <c r="G334" s="1589">
        <v>0</v>
      </c>
      <c r="H334" s="1589">
        <v>0</v>
      </c>
      <c r="I334" s="1589">
        <v>0</v>
      </c>
      <c r="J334" s="1589">
        <v>0</v>
      </c>
      <c r="K334" s="1589">
        <v>0</v>
      </c>
      <c r="L334" s="1589">
        <v>0</v>
      </c>
      <c r="M334" s="1589">
        <v>0</v>
      </c>
      <c r="N334" s="1589">
        <v>0</v>
      </c>
      <c r="O334" s="1589">
        <v>0</v>
      </c>
      <c r="P334" s="1589">
        <v>0</v>
      </c>
      <c r="Q334" s="1589">
        <v>0</v>
      </c>
    </row>
    <row r="335" spans="1:17">
      <c r="A335" s="1727" t="s">
        <v>649</v>
      </c>
      <c r="B335" s="1589">
        <v>0</v>
      </c>
      <c r="C335" s="1589">
        <v>0</v>
      </c>
      <c r="D335" s="1589">
        <v>0</v>
      </c>
      <c r="E335" s="1589">
        <v>0</v>
      </c>
      <c r="F335" s="1589">
        <v>0</v>
      </c>
      <c r="G335" s="1589">
        <v>0</v>
      </c>
      <c r="H335" s="1589">
        <v>0</v>
      </c>
      <c r="I335" s="1589">
        <v>0</v>
      </c>
      <c r="J335" s="1589">
        <v>0</v>
      </c>
      <c r="K335" s="1589">
        <v>0</v>
      </c>
      <c r="L335" s="1589">
        <v>0</v>
      </c>
      <c r="M335" s="1589">
        <v>0</v>
      </c>
      <c r="N335" s="1589">
        <v>0</v>
      </c>
      <c r="O335" s="1589">
        <v>0</v>
      </c>
      <c r="P335" s="1589">
        <v>0</v>
      </c>
      <c r="Q335" s="1589">
        <v>0</v>
      </c>
    </row>
    <row r="336" spans="1:17">
      <c r="A336" s="1727" t="s">
        <v>651</v>
      </c>
      <c r="B336" s="1589">
        <v>0</v>
      </c>
      <c r="C336" s="1589">
        <v>0</v>
      </c>
      <c r="D336" s="1589">
        <v>0</v>
      </c>
      <c r="E336" s="1589">
        <v>0</v>
      </c>
      <c r="F336" s="1589">
        <v>0</v>
      </c>
      <c r="G336" s="1589">
        <v>0</v>
      </c>
      <c r="H336" s="1589">
        <v>0</v>
      </c>
      <c r="I336" s="1589">
        <v>0</v>
      </c>
      <c r="J336" s="1589">
        <v>0</v>
      </c>
      <c r="K336" s="1589">
        <v>0</v>
      </c>
      <c r="L336" s="1589">
        <v>0</v>
      </c>
      <c r="M336" s="1589">
        <v>0</v>
      </c>
      <c r="N336" s="1589">
        <v>0</v>
      </c>
      <c r="O336" s="1589">
        <v>0</v>
      </c>
      <c r="P336" s="1589">
        <v>0</v>
      </c>
      <c r="Q336" s="1589">
        <v>0</v>
      </c>
    </row>
    <row r="337" spans="1:17">
      <c r="A337" s="1727" t="s">
        <v>653</v>
      </c>
      <c r="B337" s="1589">
        <v>0</v>
      </c>
      <c r="C337" s="1589">
        <v>0</v>
      </c>
      <c r="D337" s="1589">
        <v>0</v>
      </c>
      <c r="E337" s="1589">
        <v>0</v>
      </c>
      <c r="F337" s="1589">
        <v>0</v>
      </c>
      <c r="G337" s="1589">
        <v>0</v>
      </c>
      <c r="H337" s="1589">
        <v>0</v>
      </c>
      <c r="I337" s="1589">
        <v>0</v>
      </c>
      <c r="J337" s="1589">
        <v>0</v>
      </c>
      <c r="K337" s="1589">
        <v>0</v>
      </c>
      <c r="L337" s="1589">
        <v>0</v>
      </c>
      <c r="M337" s="1589">
        <v>0</v>
      </c>
      <c r="N337" s="1589">
        <v>0</v>
      </c>
      <c r="O337" s="1589">
        <v>0</v>
      </c>
      <c r="P337" s="1589">
        <v>0</v>
      </c>
      <c r="Q337" s="1589">
        <v>0</v>
      </c>
    </row>
    <row r="338" spans="1:17">
      <c r="A338" s="1727" t="s">
        <v>528</v>
      </c>
      <c r="B338" s="1589">
        <v>0</v>
      </c>
      <c r="C338" s="1589">
        <v>0</v>
      </c>
      <c r="D338" s="1589">
        <v>0</v>
      </c>
      <c r="E338" s="1589">
        <v>0</v>
      </c>
      <c r="F338" s="1589">
        <v>0</v>
      </c>
      <c r="G338" s="1589">
        <v>0</v>
      </c>
      <c r="H338" s="1589">
        <v>0</v>
      </c>
      <c r="I338" s="1589">
        <v>0</v>
      </c>
      <c r="J338" s="1589">
        <v>0</v>
      </c>
      <c r="K338" s="1589">
        <v>0</v>
      </c>
      <c r="L338" s="1589">
        <v>0</v>
      </c>
      <c r="M338" s="1589">
        <v>0</v>
      </c>
      <c r="N338" s="1589">
        <v>0</v>
      </c>
      <c r="O338" s="1589">
        <v>0</v>
      </c>
      <c r="P338" s="1589">
        <v>0</v>
      </c>
      <c r="Q338" s="1589">
        <v>0</v>
      </c>
    </row>
    <row r="339" spans="1:17">
      <c r="A339" s="1727" t="s">
        <v>530</v>
      </c>
      <c r="B339" s="1589">
        <v>0</v>
      </c>
      <c r="C339" s="1589">
        <v>0</v>
      </c>
      <c r="D339" s="1589">
        <v>0</v>
      </c>
      <c r="E339" s="1589">
        <v>0</v>
      </c>
      <c r="F339" s="1589">
        <v>0</v>
      </c>
      <c r="G339" s="1589">
        <v>0</v>
      </c>
      <c r="H339" s="1589">
        <v>0</v>
      </c>
      <c r="I339" s="1589">
        <v>0</v>
      </c>
      <c r="J339" s="1589">
        <v>0</v>
      </c>
      <c r="K339" s="1589">
        <v>0</v>
      </c>
      <c r="L339" s="1589">
        <v>0</v>
      </c>
      <c r="M339" s="1589">
        <v>0</v>
      </c>
      <c r="N339" s="1589">
        <v>0</v>
      </c>
      <c r="O339" s="1589">
        <v>0</v>
      </c>
      <c r="P339" s="1589">
        <v>0</v>
      </c>
      <c r="Q339" s="1589">
        <v>0</v>
      </c>
    </row>
    <row r="340" spans="1:17">
      <c r="A340" s="1727" t="s">
        <v>532</v>
      </c>
      <c r="B340" s="1589">
        <v>0</v>
      </c>
      <c r="C340" s="1589">
        <v>0</v>
      </c>
      <c r="D340" s="1589">
        <v>0</v>
      </c>
      <c r="E340" s="1589">
        <v>0</v>
      </c>
      <c r="F340" s="1589">
        <v>0</v>
      </c>
      <c r="G340" s="1589">
        <v>0</v>
      </c>
      <c r="H340" s="1589">
        <v>0</v>
      </c>
      <c r="I340" s="1589">
        <v>0</v>
      </c>
      <c r="J340" s="1589">
        <v>0</v>
      </c>
      <c r="K340" s="1589">
        <v>0</v>
      </c>
      <c r="L340" s="1589">
        <v>0</v>
      </c>
      <c r="M340" s="1589">
        <v>0</v>
      </c>
      <c r="N340" s="1589">
        <v>0</v>
      </c>
      <c r="O340" s="1589">
        <v>0</v>
      </c>
      <c r="P340" s="1589">
        <v>0</v>
      </c>
      <c r="Q340" s="1589">
        <v>0</v>
      </c>
    </row>
    <row r="341" spans="1:17">
      <c r="A341" s="1727" t="s">
        <v>534</v>
      </c>
      <c r="B341" s="1589">
        <v>0</v>
      </c>
      <c r="C341" s="1589">
        <v>0</v>
      </c>
      <c r="D341" s="1589">
        <v>0</v>
      </c>
      <c r="E341" s="1589">
        <v>0</v>
      </c>
      <c r="F341" s="1589">
        <v>0</v>
      </c>
      <c r="G341" s="1589">
        <v>0</v>
      </c>
      <c r="H341" s="1589">
        <v>0</v>
      </c>
      <c r="I341" s="1589">
        <v>0</v>
      </c>
      <c r="J341" s="1589">
        <v>0</v>
      </c>
      <c r="K341" s="1589">
        <v>0</v>
      </c>
      <c r="L341" s="1589">
        <v>0</v>
      </c>
      <c r="M341" s="1589">
        <v>0</v>
      </c>
      <c r="N341" s="1589">
        <v>0</v>
      </c>
      <c r="O341" s="1589">
        <v>0</v>
      </c>
      <c r="P341" s="1589">
        <v>0</v>
      </c>
      <c r="Q341" s="1589">
        <v>0</v>
      </c>
    </row>
    <row r="342" spans="1:17">
      <c r="A342" s="1727" t="s">
        <v>536</v>
      </c>
      <c r="B342" s="1589">
        <v>0</v>
      </c>
      <c r="C342" s="1589">
        <v>0</v>
      </c>
      <c r="D342" s="1589">
        <v>0</v>
      </c>
      <c r="E342" s="1589">
        <v>0</v>
      </c>
      <c r="F342" s="1589">
        <v>0</v>
      </c>
      <c r="G342" s="1589">
        <v>0</v>
      </c>
      <c r="H342" s="1589">
        <v>0</v>
      </c>
      <c r="I342" s="1589">
        <v>0</v>
      </c>
      <c r="J342" s="1589">
        <v>0</v>
      </c>
      <c r="K342" s="1589">
        <v>0</v>
      </c>
      <c r="L342" s="1589">
        <v>0</v>
      </c>
      <c r="M342" s="1589">
        <v>0</v>
      </c>
      <c r="N342" s="1589">
        <v>0</v>
      </c>
      <c r="O342" s="1589">
        <v>0</v>
      </c>
      <c r="P342" s="1589">
        <v>0</v>
      </c>
      <c r="Q342" s="1589">
        <v>0</v>
      </c>
    </row>
    <row r="343" spans="1:17">
      <c r="A343" s="1727" t="s">
        <v>538</v>
      </c>
      <c r="B343" s="1589">
        <v>0</v>
      </c>
      <c r="C343" s="1589">
        <v>0</v>
      </c>
      <c r="D343" s="1589">
        <v>0</v>
      </c>
      <c r="E343" s="1589">
        <v>0</v>
      </c>
      <c r="F343" s="1589">
        <v>0</v>
      </c>
      <c r="G343" s="1589">
        <v>0</v>
      </c>
      <c r="H343" s="1589">
        <v>0</v>
      </c>
      <c r="I343" s="1589">
        <v>0</v>
      </c>
      <c r="J343" s="1589">
        <v>0</v>
      </c>
      <c r="K343" s="1589">
        <v>0</v>
      </c>
      <c r="L343" s="1589">
        <v>0</v>
      </c>
      <c r="M343" s="1589">
        <v>0</v>
      </c>
      <c r="N343" s="1589">
        <v>0</v>
      </c>
      <c r="O343" s="1589">
        <v>0</v>
      </c>
      <c r="P343" s="1589">
        <v>0</v>
      </c>
      <c r="Q343" s="1589">
        <v>0</v>
      </c>
    </row>
    <row r="344" spans="1:17">
      <c r="A344" s="1727" t="s">
        <v>540</v>
      </c>
      <c r="B344" s="1589">
        <v>0</v>
      </c>
      <c r="C344" s="1589">
        <v>0</v>
      </c>
      <c r="D344" s="1589">
        <v>0</v>
      </c>
      <c r="E344" s="1589">
        <v>0</v>
      </c>
      <c r="F344" s="1589">
        <v>0</v>
      </c>
      <c r="G344" s="1589">
        <v>0</v>
      </c>
      <c r="H344" s="1589">
        <v>0</v>
      </c>
      <c r="I344" s="1589">
        <v>0</v>
      </c>
      <c r="J344" s="1589">
        <v>0</v>
      </c>
      <c r="K344" s="1589">
        <v>0</v>
      </c>
      <c r="L344" s="1589">
        <v>0</v>
      </c>
      <c r="M344" s="1589">
        <v>0</v>
      </c>
      <c r="N344" s="1589">
        <v>0</v>
      </c>
      <c r="O344" s="1589">
        <v>0</v>
      </c>
      <c r="P344" s="1589">
        <v>0</v>
      </c>
      <c r="Q344" s="1589">
        <v>0</v>
      </c>
    </row>
    <row r="345" spans="1:17">
      <c r="A345" s="1588" t="s">
        <v>223</v>
      </c>
      <c r="B345" s="1589">
        <v>0</v>
      </c>
      <c r="C345" s="1589">
        <v>102326.46039600001</v>
      </c>
      <c r="D345" s="1589">
        <v>0</v>
      </c>
      <c r="E345" s="1589">
        <v>0</v>
      </c>
      <c r="F345" s="1589">
        <v>102326.46039600001</v>
      </c>
      <c r="G345" s="1589">
        <v>0</v>
      </c>
      <c r="H345" s="1589">
        <v>106740.41454846003</v>
      </c>
      <c r="I345" s="1589">
        <v>0</v>
      </c>
      <c r="J345" s="1589">
        <v>0</v>
      </c>
      <c r="K345" s="1589">
        <v>106740.41454846003</v>
      </c>
      <c r="L345" s="1589">
        <v>0</v>
      </c>
      <c r="M345" s="1589">
        <v>113657.42376186002</v>
      </c>
      <c r="N345" s="1589">
        <v>0</v>
      </c>
      <c r="O345" s="1589">
        <v>0</v>
      </c>
      <c r="P345" s="1589">
        <v>113657.42376186002</v>
      </c>
      <c r="Q345" s="1589">
        <v>322724.29870632006</v>
      </c>
    </row>
    <row r="346" spans="1:17">
      <c r="A346" s="1725" t="s">
        <v>669</v>
      </c>
      <c r="B346" s="1589">
        <v>0</v>
      </c>
      <c r="C346" s="1589">
        <v>0</v>
      </c>
      <c r="D346" s="1589">
        <v>0</v>
      </c>
      <c r="E346" s="1589">
        <v>0</v>
      </c>
      <c r="F346" s="1589">
        <v>0</v>
      </c>
      <c r="G346" s="1589">
        <v>0</v>
      </c>
      <c r="H346" s="1589">
        <v>0</v>
      </c>
      <c r="I346" s="1589">
        <v>0</v>
      </c>
      <c r="J346" s="1589">
        <v>0</v>
      </c>
      <c r="K346" s="1589">
        <v>0</v>
      </c>
      <c r="L346" s="1589">
        <v>0</v>
      </c>
      <c r="M346" s="1589">
        <v>0</v>
      </c>
      <c r="N346" s="1589">
        <v>0</v>
      </c>
      <c r="O346" s="1589">
        <v>0</v>
      </c>
      <c r="P346" s="1589">
        <v>0</v>
      </c>
      <c r="Q346" s="1589">
        <v>0</v>
      </c>
    </row>
    <row r="347" spans="1:17">
      <c r="A347" s="1726" t="s">
        <v>223</v>
      </c>
      <c r="B347" s="1589">
        <v>0</v>
      </c>
      <c r="C347" s="1589">
        <v>0</v>
      </c>
      <c r="D347" s="1589">
        <v>0</v>
      </c>
      <c r="E347" s="1589">
        <v>0</v>
      </c>
      <c r="F347" s="1589">
        <v>0</v>
      </c>
      <c r="G347" s="1589">
        <v>0</v>
      </c>
      <c r="H347" s="1589">
        <v>0</v>
      </c>
      <c r="I347" s="1589">
        <v>0</v>
      </c>
      <c r="J347" s="1589">
        <v>0</v>
      </c>
      <c r="K347" s="1589">
        <v>0</v>
      </c>
      <c r="L347" s="1589">
        <v>0</v>
      </c>
      <c r="M347" s="1589">
        <v>0</v>
      </c>
      <c r="N347" s="1589">
        <v>0</v>
      </c>
      <c r="O347" s="1589">
        <v>0</v>
      </c>
      <c r="P347" s="1589">
        <v>0</v>
      </c>
      <c r="Q347" s="1589">
        <v>0</v>
      </c>
    </row>
    <row r="348" spans="1:17">
      <c r="A348" s="1727" t="s">
        <v>663</v>
      </c>
      <c r="B348" s="1589">
        <v>0</v>
      </c>
      <c r="C348" s="1589">
        <v>0</v>
      </c>
      <c r="D348" s="1589">
        <v>0</v>
      </c>
      <c r="E348" s="1589">
        <v>0</v>
      </c>
      <c r="F348" s="1589">
        <v>0</v>
      </c>
      <c r="G348" s="1589">
        <v>0</v>
      </c>
      <c r="H348" s="1589">
        <v>0</v>
      </c>
      <c r="I348" s="1589">
        <v>0</v>
      </c>
      <c r="J348" s="1589">
        <v>0</v>
      </c>
      <c r="K348" s="1589">
        <v>0</v>
      </c>
      <c r="L348" s="1589">
        <v>0</v>
      </c>
      <c r="M348" s="1589">
        <v>0</v>
      </c>
      <c r="N348" s="1589">
        <v>0</v>
      </c>
      <c r="O348" s="1589">
        <v>0</v>
      </c>
      <c r="P348" s="1589">
        <v>0</v>
      </c>
      <c r="Q348" s="1589">
        <v>0</v>
      </c>
    </row>
    <row r="349" spans="1:17">
      <c r="A349" s="1727" t="s">
        <v>665</v>
      </c>
      <c r="B349" s="1589">
        <v>0</v>
      </c>
      <c r="C349" s="1589">
        <v>0</v>
      </c>
      <c r="D349" s="1589">
        <v>0</v>
      </c>
      <c r="E349" s="1589">
        <v>0</v>
      </c>
      <c r="F349" s="1589">
        <v>0</v>
      </c>
      <c r="G349" s="1589">
        <v>0</v>
      </c>
      <c r="H349" s="1589">
        <v>0</v>
      </c>
      <c r="I349" s="1589">
        <v>0</v>
      </c>
      <c r="J349" s="1589">
        <v>0</v>
      </c>
      <c r="K349" s="1589">
        <v>0</v>
      </c>
      <c r="L349" s="1589">
        <v>0</v>
      </c>
      <c r="M349" s="1589">
        <v>0</v>
      </c>
      <c r="N349" s="1589">
        <v>0</v>
      </c>
      <c r="O349" s="1589">
        <v>0</v>
      </c>
      <c r="P349" s="1589">
        <v>0</v>
      </c>
      <c r="Q349" s="1589">
        <v>0</v>
      </c>
    </row>
    <row r="350" spans="1:17">
      <c r="A350" s="1727" t="s">
        <v>597</v>
      </c>
      <c r="B350" s="1589">
        <v>0</v>
      </c>
      <c r="C350" s="1589">
        <v>0</v>
      </c>
      <c r="D350" s="1589">
        <v>0</v>
      </c>
      <c r="E350" s="1589">
        <v>0</v>
      </c>
      <c r="F350" s="1589">
        <v>0</v>
      </c>
      <c r="G350" s="1589">
        <v>0</v>
      </c>
      <c r="H350" s="1589">
        <v>0</v>
      </c>
      <c r="I350" s="1589">
        <v>0</v>
      </c>
      <c r="J350" s="1589">
        <v>0</v>
      </c>
      <c r="K350" s="1589">
        <v>0</v>
      </c>
      <c r="L350" s="1589">
        <v>0</v>
      </c>
      <c r="M350" s="1589">
        <v>0</v>
      </c>
      <c r="N350" s="1589">
        <v>0</v>
      </c>
      <c r="O350" s="1589">
        <v>0</v>
      </c>
      <c r="P350" s="1589">
        <v>0</v>
      </c>
      <c r="Q350" s="1589">
        <v>0</v>
      </c>
    </row>
    <row r="351" spans="1:17">
      <c r="A351" s="1727" t="s">
        <v>528</v>
      </c>
      <c r="B351" s="1589">
        <v>0</v>
      </c>
      <c r="C351" s="1589">
        <v>0</v>
      </c>
      <c r="D351" s="1589">
        <v>0</v>
      </c>
      <c r="E351" s="1589">
        <v>0</v>
      </c>
      <c r="F351" s="1589">
        <v>0</v>
      </c>
      <c r="G351" s="1589">
        <v>0</v>
      </c>
      <c r="H351" s="1589">
        <v>0</v>
      </c>
      <c r="I351" s="1589">
        <v>0</v>
      </c>
      <c r="J351" s="1589">
        <v>0</v>
      </c>
      <c r="K351" s="1589">
        <v>0</v>
      </c>
      <c r="L351" s="1589">
        <v>0</v>
      </c>
      <c r="M351" s="1589">
        <v>0</v>
      </c>
      <c r="N351" s="1589">
        <v>0</v>
      </c>
      <c r="O351" s="1589">
        <v>0</v>
      </c>
      <c r="P351" s="1589">
        <v>0</v>
      </c>
      <c r="Q351" s="1589">
        <v>0</v>
      </c>
    </row>
    <row r="352" spans="1:17">
      <c r="A352" s="1727" t="s">
        <v>530</v>
      </c>
      <c r="B352" s="1589">
        <v>0</v>
      </c>
      <c r="C352" s="1589">
        <v>0</v>
      </c>
      <c r="D352" s="1589">
        <v>0</v>
      </c>
      <c r="E352" s="1589">
        <v>0</v>
      </c>
      <c r="F352" s="1589">
        <v>0</v>
      </c>
      <c r="G352" s="1589">
        <v>0</v>
      </c>
      <c r="H352" s="1589">
        <v>0</v>
      </c>
      <c r="I352" s="1589">
        <v>0</v>
      </c>
      <c r="J352" s="1589">
        <v>0</v>
      </c>
      <c r="K352" s="1589">
        <v>0</v>
      </c>
      <c r="L352" s="1589">
        <v>0</v>
      </c>
      <c r="M352" s="1589">
        <v>0</v>
      </c>
      <c r="N352" s="1589">
        <v>0</v>
      </c>
      <c r="O352" s="1589">
        <v>0</v>
      </c>
      <c r="P352" s="1589">
        <v>0</v>
      </c>
      <c r="Q352" s="1589">
        <v>0</v>
      </c>
    </row>
    <row r="353" spans="1:17">
      <c r="A353" s="1727" t="s">
        <v>532</v>
      </c>
      <c r="B353" s="1589">
        <v>0</v>
      </c>
      <c r="C353" s="1589">
        <v>0</v>
      </c>
      <c r="D353" s="1589">
        <v>0</v>
      </c>
      <c r="E353" s="1589">
        <v>0</v>
      </c>
      <c r="F353" s="1589">
        <v>0</v>
      </c>
      <c r="G353" s="1589">
        <v>0</v>
      </c>
      <c r="H353" s="1589">
        <v>0</v>
      </c>
      <c r="I353" s="1589">
        <v>0</v>
      </c>
      <c r="J353" s="1589">
        <v>0</v>
      </c>
      <c r="K353" s="1589">
        <v>0</v>
      </c>
      <c r="L353" s="1589">
        <v>0</v>
      </c>
      <c r="M353" s="1589">
        <v>0</v>
      </c>
      <c r="N353" s="1589">
        <v>0</v>
      </c>
      <c r="O353" s="1589">
        <v>0</v>
      </c>
      <c r="P353" s="1589">
        <v>0</v>
      </c>
      <c r="Q353" s="1589">
        <v>0</v>
      </c>
    </row>
    <row r="354" spans="1:17">
      <c r="A354" s="1727" t="s">
        <v>534</v>
      </c>
      <c r="B354" s="1589">
        <v>0</v>
      </c>
      <c r="C354" s="1589">
        <v>0</v>
      </c>
      <c r="D354" s="1589">
        <v>0</v>
      </c>
      <c r="E354" s="1589">
        <v>0</v>
      </c>
      <c r="F354" s="1589">
        <v>0</v>
      </c>
      <c r="G354" s="1589">
        <v>0</v>
      </c>
      <c r="H354" s="1589">
        <v>0</v>
      </c>
      <c r="I354" s="1589">
        <v>0</v>
      </c>
      <c r="J354" s="1589">
        <v>0</v>
      </c>
      <c r="K354" s="1589">
        <v>0</v>
      </c>
      <c r="L354" s="1589">
        <v>0</v>
      </c>
      <c r="M354" s="1589">
        <v>0</v>
      </c>
      <c r="N354" s="1589">
        <v>0</v>
      </c>
      <c r="O354" s="1589">
        <v>0</v>
      </c>
      <c r="P354" s="1589">
        <v>0</v>
      </c>
      <c r="Q354" s="1589">
        <v>0</v>
      </c>
    </row>
    <row r="355" spans="1:17">
      <c r="A355" s="1727" t="s">
        <v>536</v>
      </c>
      <c r="B355" s="1589">
        <v>0</v>
      </c>
      <c r="C355" s="1589">
        <v>0</v>
      </c>
      <c r="D355" s="1589">
        <v>0</v>
      </c>
      <c r="E355" s="1589">
        <v>0</v>
      </c>
      <c r="F355" s="1589">
        <v>0</v>
      </c>
      <c r="G355" s="1589">
        <v>0</v>
      </c>
      <c r="H355" s="1589">
        <v>0</v>
      </c>
      <c r="I355" s="1589">
        <v>0</v>
      </c>
      <c r="J355" s="1589">
        <v>0</v>
      </c>
      <c r="K355" s="1589">
        <v>0</v>
      </c>
      <c r="L355" s="1589">
        <v>0</v>
      </c>
      <c r="M355" s="1589">
        <v>0</v>
      </c>
      <c r="N355" s="1589">
        <v>0</v>
      </c>
      <c r="O355" s="1589">
        <v>0</v>
      </c>
      <c r="P355" s="1589">
        <v>0</v>
      </c>
      <c r="Q355" s="1589">
        <v>0</v>
      </c>
    </row>
    <row r="356" spans="1:17">
      <c r="A356" s="1727" t="s">
        <v>538</v>
      </c>
      <c r="B356" s="1589">
        <v>0</v>
      </c>
      <c r="C356" s="1589">
        <v>0</v>
      </c>
      <c r="D356" s="1589">
        <v>0</v>
      </c>
      <c r="E356" s="1589">
        <v>0</v>
      </c>
      <c r="F356" s="1589">
        <v>0</v>
      </c>
      <c r="G356" s="1589">
        <v>0</v>
      </c>
      <c r="H356" s="1589">
        <v>0</v>
      </c>
      <c r="I356" s="1589">
        <v>0</v>
      </c>
      <c r="J356" s="1589">
        <v>0</v>
      </c>
      <c r="K356" s="1589">
        <v>0</v>
      </c>
      <c r="L356" s="1589">
        <v>0</v>
      </c>
      <c r="M356" s="1589">
        <v>0</v>
      </c>
      <c r="N356" s="1589">
        <v>0</v>
      </c>
      <c r="O356" s="1589">
        <v>0</v>
      </c>
      <c r="P356" s="1589">
        <v>0</v>
      </c>
      <c r="Q356" s="1589">
        <v>0</v>
      </c>
    </row>
    <row r="357" spans="1:17">
      <c r="A357" s="1727" t="s">
        <v>540</v>
      </c>
      <c r="B357" s="1589">
        <v>0</v>
      </c>
      <c r="C357" s="1589">
        <v>0</v>
      </c>
      <c r="D357" s="1589">
        <v>0</v>
      </c>
      <c r="E357" s="1589">
        <v>0</v>
      </c>
      <c r="F357" s="1589">
        <v>0</v>
      </c>
      <c r="G357" s="1589">
        <v>0</v>
      </c>
      <c r="H357" s="1589">
        <v>0</v>
      </c>
      <c r="I357" s="1589">
        <v>0</v>
      </c>
      <c r="J357" s="1589">
        <v>0</v>
      </c>
      <c r="K357" s="1589">
        <v>0</v>
      </c>
      <c r="L357" s="1589">
        <v>0</v>
      </c>
      <c r="M357" s="1589">
        <v>0</v>
      </c>
      <c r="N357" s="1589">
        <v>0</v>
      </c>
      <c r="O357" s="1589">
        <v>0</v>
      </c>
      <c r="P357" s="1589">
        <v>0</v>
      </c>
      <c r="Q357" s="1589">
        <v>0</v>
      </c>
    </row>
    <row r="358" spans="1:17">
      <c r="A358" s="1725" t="s">
        <v>670</v>
      </c>
      <c r="B358" s="1589">
        <v>0</v>
      </c>
      <c r="C358" s="1589">
        <v>102326.46039600001</v>
      </c>
      <c r="D358" s="1589">
        <v>0</v>
      </c>
      <c r="E358" s="1589">
        <v>0</v>
      </c>
      <c r="F358" s="1589">
        <v>102326.46039600001</v>
      </c>
      <c r="G358" s="1589">
        <v>0</v>
      </c>
      <c r="H358" s="1589">
        <v>106740.41454846003</v>
      </c>
      <c r="I358" s="1589">
        <v>0</v>
      </c>
      <c r="J358" s="1589">
        <v>0</v>
      </c>
      <c r="K358" s="1589">
        <v>106740.41454846003</v>
      </c>
      <c r="L358" s="1589">
        <v>0</v>
      </c>
      <c r="M358" s="1589">
        <v>113657.42376186002</v>
      </c>
      <c r="N358" s="1589">
        <v>0</v>
      </c>
      <c r="O358" s="1589">
        <v>0</v>
      </c>
      <c r="P358" s="1589">
        <v>113657.42376186002</v>
      </c>
      <c r="Q358" s="1589">
        <v>322724.29870632006</v>
      </c>
    </row>
    <row r="359" spans="1:17">
      <c r="A359" s="1726" t="s">
        <v>223</v>
      </c>
      <c r="B359" s="1589">
        <v>0</v>
      </c>
      <c r="C359" s="1589">
        <v>102326.46039600001</v>
      </c>
      <c r="D359" s="1589">
        <v>0</v>
      </c>
      <c r="E359" s="1589">
        <v>0</v>
      </c>
      <c r="F359" s="1589">
        <v>102326.46039600001</v>
      </c>
      <c r="G359" s="1589">
        <v>0</v>
      </c>
      <c r="H359" s="1589">
        <v>106740.41454846003</v>
      </c>
      <c r="I359" s="1589">
        <v>0</v>
      </c>
      <c r="J359" s="1589">
        <v>0</v>
      </c>
      <c r="K359" s="1589">
        <v>106740.41454846003</v>
      </c>
      <c r="L359" s="1589">
        <v>0</v>
      </c>
      <c r="M359" s="1589">
        <v>113657.42376186002</v>
      </c>
      <c r="N359" s="1589">
        <v>0</v>
      </c>
      <c r="O359" s="1589">
        <v>0</v>
      </c>
      <c r="P359" s="1589">
        <v>113657.42376186002</v>
      </c>
      <c r="Q359" s="1589">
        <v>322724.29870632006</v>
      </c>
    </row>
    <row r="360" spans="1:17">
      <c r="A360" s="1727" t="s">
        <v>603</v>
      </c>
      <c r="B360" s="1589">
        <v>0</v>
      </c>
      <c r="C360" s="1589">
        <v>96534.396599999993</v>
      </c>
      <c r="D360" s="1589">
        <v>0</v>
      </c>
      <c r="E360" s="1589">
        <v>0</v>
      </c>
      <c r="F360" s="1589">
        <v>96534.396599999993</v>
      </c>
      <c r="G360" s="1589">
        <v>0</v>
      </c>
      <c r="H360" s="1589">
        <v>100698.50429100002</v>
      </c>
      <c r="I360" s="1589">
        <v>0</v>
      </c>
      <c r="J360" s="1589">
        <v>0</v>
      </c>
      <c r="K360" s="1589">
        <v>100698.50429100002</v>
      </c>
      <c r="L360" s="1589">
        <v>0</v>
      </c>
      <c r="M360" s="1589">
        <v>107223.984681</v>
      </c>
      <c r="N360" s="1589">
        <v>0</v>
      </c>
      <c r="O360" s="1589">
        <v>0</v>
      </c>
      <c r="P360" s="1589">
        <v>107223.984681</v>
      </c>
      <c r="Q360" s="1589">
        <v>304456.885572</v>
      </c>
    </row>
    <row r="361" spans="1:17">
      <c r="A361" s="1727" t="s">
        <v>528</v>
      </c>
      <c r="B361" s="1589">
        <v>0</v>
      </c>
      <c r="C361" s="1589">
        <v>5792.0637959999995</v>
      </c>
      <c r="D361" s="1589">
        <v>0</v>
      </c>
      <c r="E361" s="1589">
        <v>0</v>
      </c>
      <c r="F361" s="1589">
        <v>5792.0637959999995</v>
      </c>
      <c r="G361" s="1589">
        <v>0</v>
      </c>
      <c r="H361" s="1589">
        <v>6041.9102574599992</v>
      </c>
      <c r="I361" s="1589">
        <v>0</v>
      </c>
      <c r="J361" s="1589">
        <v>0</v>
      </c>
      <c r="K361" s="1589">
        <v>6041.9102574599992</v>
      </c>
      <c r="L361" s="1589">
        <v>0</v>
      </c>
      <c r="M361" s="1589">
        <v>6433.4390808600001</v>
      </c>
      <c r="N361" s="1589">
        <v>0</v>
      </c>
      <c r="O361" s="1589">
        <v>0</v>
      </c>
      <c r="P361" s="1589">
        <v>6433.4390808600001</v>
      </c>
      <c r="Q361" s="1589">
        <v>18267.413134319999</v>
      </c>
    </row>
    <row r="362" spans="1:17">
      <c r="A362" s="1727" t="s">
        <v>530</v>
      </c>
      <c r="B362" s="1589">
        <v>0</v>
      </c>
      <c r="C362" s="1589">
        <v>9.65343966E-12</v>
      </c>
      <c r="D362" s="1589">
        <v>0</v>
      </c>
      <c r="E362" s="1589">
        <v>0</v>
      </c>
      <c r="F362" s="1589">
        <v>9.65343966E-12</v>
      </c>
      <c r="G362" s="1589">
        <v>0</v>
      </c>
      <c r="H362" s="1589">
        <v>1.00698504291E-11</v>
      </c>
      <c r="I362" s="1589">
        <v>0</v>
      </c>
      <c r="J362" s="1589">
        <v>0</v>
      </c>
      <c r="K362" s="1589">
        <v>1.00698504291E-11</v>
      </c>
      <c r="L362" s="1589">
        <v>0</v>
      </c>
      <c r="M362" s="1589">
        <v>1.0722398468100001E-11</v>
      </c>
      <c r="N362" s="1589">
        <v>0</v>
      </c>
      <c r="O362" s="1589">
        <v>0</v>
      </c>
      <c r="P362" s="1589">
        <v>1.0722398468100001E-11</v>
      </c>
      <c r="Q362" s="1589">
        <v>3.0445688557200003E-11</v>
      </c>
    </row>
    <row r="363" spans="1:17">
      <c r="A363" s="1727" t="s">
        <v>532</v>
      </c>
      <c r="B363" s="1589">
        <v>0</v>
      </c>
      <c r="C363" s="1589">
        <v>0</v>
      </c>
      <c r="D363" s="1589">
        <v>0</v>
      </c>
      <c r="E363" s="1589">
        <v>0</v>
      </c>
      <c r="F363" s="1589">
        <v>0</v>
      </c>
      <c r="G363" s="1589">
        <v>0</v>
      </c>
      <c r="H363" s="1589">
        <v>0</v>
      </c>
      <c r="I363" s="1589">
        <v>0</v>
      </c>
      <c r="J363" s="1589">
        <v>0</v>
      </c>
      <c r="K363" s="1589">
        <v>0</v>
      </c>
      <c r="L363" s="1589">
        <v>0</v>
      </c>
      <c r="M363" s="1589">
        <v>0</v>
      </c>
      <c r="N363" s="1589">
        <v>0</v>
      </c>
      <c r="O363" s="1589">
        <v>0</v>
      </c>
      <c r="P363" s="1589">
        <v>0</v>
      </c>
      <c r="Q363" s="1589">
        <v>0</v>
      </c>
    </row>
    <row r="364" spans="1:17">
      <c r="A364" s="1727" t="s">
        <v>534</v>
      </c>
      <c r="B364" s="1589">
        <v>0</v>
      </c>
      <c r="C364" s="1589">
        <v>0</v>
      </c>
      <c r="D364" s="1589">
        <v>0</v>
      </c>
      <c r="E364" s="1589">
        <v>0</v>
      </c>
      <c r="F364" s="1589">
        <v>0</v>
      </c>
      <c r="G364" s="1589">
        <v>0</v>
      </c>
      <c r="H364" s="1589">
        <v>0</v>
      </c>
      <c r="I364" s="1589">
        <v>0</v>
      </c>
      <c r="J364" s="1589">
        <v>0</v>
      </c>
      <c r="K364" s="1589">
        <v>0</v>
      </c>
      <c r="L364" s="1589">
        <v>0</v>
      </c>
      <c r="M364" s="1589">
        <v>0</v>
      </c>
      <c r="N364" s="1589">
        <v>0</v>
      </c>
      <c r="O364" s="1589">
        <v>0</v>
      </c>
      <c r="P364" s="1589">
        <v>0</v>
      </c>
      <c r="Q364" s="1589">
        <v>0</v>
      </c>
    </row>
    <row r="365" spans="1:17">
      <c r="A365" s="1727" t="s">
        <v>536</v>
      </c>
      <c r="B365" s="1589">
        <v>0</v>
      </c>
      <c r="C365" s="1589">
        <v>0</v>
      </c>
      <c r="D365" s="1589">
        <v>0</v>
      </c>
      <c r="E365" s="1589">
        <v>0</v>
      </c>
      <c r="F365" s="1589">
        <v>0</v>
      </c>
      <c r="G365" s="1589">
        <v>0</v>
      </c>
      <c r="H365" s="1589">
        <v>0</v>
      </c>
      <c r="I365" s="1589">
        <v>0</v>
      </c>
      <c r="J365" s="1589">
        <v>0</v>
      </c>
      <c r="K365" s="1589">
        <v>0</v>
      </c>
      <c r="L365" s="1589">
        <v>0</v>
      </c>
      <c r="M365" s="1589">
        <v>0</v>
      </c>
      <c r="N365" s="1589">
        <v>0</v>
      </c>
      <c r="O365" s="1589">
        <v>0</v>
      </c>
      <c r="P365" s="1589">
        <v>0</v>
      </c>
      <c r="Q365" s="1589">
        <v>0</v>
      </c>
    </row>
    <row r="366" spans="1:17">
      <c r="A366" s="1727" t="s">
        <v>538</v>
      </c>
      <c r="B366" s="1589">
        <v>0</v>
      </c>
      <c r="C366" s="1589">
        <v>0</v>
      </c>
      <c r="D366" s="1589">
        <v>0</v>
      </c>
      <c r="E366" s="1589">
        <v>0</v>
      </c>
      <c r="F366" s="1589">
        <v>0</v>
      </c>
      <c r="G366" s="1589">
        <v>0</v>
      </c>
      <c r="H366" s="1589">
        <v>0</v>
      </c>
      <c r="I366" s="1589">
        <v>0</v>
      </c>
      <c r="J366" s="1589">
        <v>0</v>
      </c>
      <c r="K366" s="1589">
        <v>0</v>
      </c>
      <c r="L366" s="1589">
        <v>0</v>
      </c>
      <c r="M366" s="1589">
        <v>0</v>
      </c>
      <c r="N366" s="1589">
        <v>0</v>
      </c>
      <c r="O366" s="1589">
        <v>0</v>
      </c>
      <c r="P366" s="1589">
        <v>0</v>
      </c>
      <c r="Q366" s="1589">
        <v>0</v>
      </c>
    </row>
    <row r="367" spans="1:17">
      <c r="A367" s="1727" t="s">
        <v>540</v>
      </c>
      <c r="B367" s="1589">
        <v>0</v>
      </c>
      <c r="C367" s="1589">
        <v>0</v>
      </c>
      <c r="D367" s="1589">
        <v>0</v>
      </c>
      <c r="E367" s="1589">
        <v>0</v>
      </c>
      <c r="F367" s="1589">
        <v>0</v>
      </c>
      <c r="G367" s="1589">
        <v>0</v>
      </c>
      <c r="H367" s="1589">
        <v>0</v>
      </c>
      <c r="I367" s="1589">
        <v>0</v>
      </c>
      <c r="J367" s="1589">
        <v>0</v>
      </c>
      <c r="K367" s="1589">
        <v>0</v>
      </c>
      <c r="L367" s="1589">
        <v>0</v>
      </c>
      <c r="M367" s="1589">
        <v>0</v>
      </c>
      <c r="N367" s="1589">
        <v>0</v>
      </c>
      <c r="O367" s="1589">
        <v>0</v>
      </c>
      <c r="P367" s="1589">
        <v>0</v>
      </c>
      <c r="Q367" s="1589">
        <v>0</v>
      </c>
    </row>
    <row r="368" spans="1:17">
      <c r="A368" s="1588" t="s">
        <v>652</v>
      </c>
      <c r="B368" s="1589">
        <v>0</v>
      </c>
      <c r="C368" s="1589">
        <v>0</v>
      </c>
      <c r="D368" s="1589">
        <v>0</v>
      </c>
      <c r="E368" s="1589">
        <v>0</v>
      </c>
      <c r="F368" s="1589">
        <v>0</v>
      </c>
      <c r="G368" s="1589">
        <v>0</v>
      </c>
      <c r="H368" s="1589">
        <v>0</v>
      </c>
      <c r="I368" s="1589">
        <v>0</v>
      </c>
      <c r="J368" s="1589">
        <v>0</v>
      </c>
      <c r="K368" s="1589">
        <v>0</v>
      </c>
      <c r="L368" s="1589">
        <v>0</v>
      </c>
      <c r="M368" s="1589">
        <v>0</v>
      </c>
      <c r="N368" s="1589">
        <v>0</v>
      </c>
      <c r="O368" s="1589">
        <v>0</v>
      </c>
      <c r="P368" s="1589">
        <v>0</v>
      </c>
      <c r="Q368" s="1589">
        <v>0</v>
      </c>
    </row>
    <row r="369" spans="1:17">
      <c r="A369" s="1725" t="s">
        <v>661</v>
      </c>
      <c r="B369" s="1589">
        <v>0</v>
      </c>
      <c r="C369" s="1589">
        <v>0</v>
      </c>
      <c r="D369" s="1589">
        <v>0</v>
      </c>
      <c r="E369" s="1589">
        <v>0</v>
      </c>
      <c r="F369" s="1589">
        <v>0</v>
      </c>
      <c r="G369" s="1589">
        <v>0</v>
      </c>
      <c r="H369" s="1589">
        <v>0</v>
      </c>
      <c r="I369" s="1589">
        <v>0</v>
      </c>
      <c r="J369" s="1589">
        <v>0</v>
      </c>
      <c r="K369" s="1589">
        <v>0</v>
      </c>
      <c r="L369" s="1589">
        <v>0</v>
      </c>
      <c r="M369" s="1589">
        <v>0</v>
      </c>
      <c r="N369" s="1589">
        <v>0</v>
      </c>
      <c r="O369" s="1589">
        <v>0</v>
      </c>
      <c r="P369" s="1589">
        <v>0</v>
      </c>
      <c r="Q369" s="1589">
        <v>0</v>
      </c>
    </row>
    <row r="370" spans="1:17">
      <c r="A370" s="1726" t="s">
        <v>2555</v>
      </c>
      <c r="B370" s="1589">
        <v>0</v>
      </c>
      <c r="C370" s="1589">
        <v>0</v>
      </c>
      <c r="D370" s="1589">
        <v>0</v>
      </c>
      <c r="E370" s="1589">
        <v>0</v>
      </c>
      <c r="F370" s="1589">
        <v>0</v>
      </c>
      <c r="G370" s="1589">
        <v>0</v>
      </c>
      <c r="H370" s="1589">
        <v>0</v>
      </c>
      <c r="I370" s="1589">
        <v>0</v>
      </c>
      <c r="J370" s="1589">
        <v>0</v>
      </c>
      <c r="K370" s="1589">
        <v>0</v>
      </c>
      <c r="L370" s="1589">
        <v>0</v>
      </c>
      <c r="M370" s="1589">
        <v>0</v>
      </c>
      <c r="N370" s="1589">
        <v>0</v>
      </c>
      <c r="O370" s="1589">
        <v>0</v>
      </c>
      <c r="P370" s="1589">
        <v>0</v>
      </c>
      <c r="Q370" s="1589">
        <v>0</v>
      </c>
    </row>
    <row r="371" spans="1:17">
      <c r="A371" s="1727" t="s">
        <v>663</v>
      </c>
      <c r="B371" s="1589">
        <v>0</v>
      </c>
      <c r="C371" s="1589">
        <v>0</v>
      </c>
      <c r="D371" s="1589">
        <v>0</v>
      </c>
      <c r="E371" s="1589">
        <v>0</v>
      </c>
      <c r="F371" s="1589">
        <v>0</v>
      </c>
      <c r="G371" s="1589">
        <v>0</v>
      </c>
      <c r="H371" s="1589">
        <v>0</v>
      </c>
      <c r="I371" s="1589">
        <v>0</v>
      </c>
      <c r="J371" s="1589">
        <v>0</v>
      </c>
      <c r="K371" s="1589">
        <v>0</v>
      </c>
      <c r="L371" s="1589">
        <v>0</v>
      </c>
      <c r="M371" s="1589">
        <v>0</v>
      </c>
      <c r="N371" s="1589">
        <v>0</v>
      </c>
      <c r="O371" s="1589">
        <v>0</v>
      </c>
      <c r="P371" s="1589">
        <v>0</v>
      </c>
      <c r="Q371" s="1589">
        <v>0</v>
      </c>
    </row>
    <row r="372" spans="1:17">
      <c r="A372" s="1727" t="s">
        <v>665</v>
      </c>
      <c r="B372" s="1589">
        <v>0</v>
      </c>
      <c r="C372" s="1589">
        <v>0</v>
      </c>
      <c r="D372" s="1589">
        <v>0</v>
      </c>
      <c r="E372" s="1589">
        <v>0</v>
      </c>
      <c r="F372" s="1589">
        <v>0</v>
      </c>
      <c r="G372" s="1589">
        <v>0</v>
      </c>
      <c r="H372" s="1589">
        <v>0</v>
      </c>
      <c r="I372" s="1589">
        <v>0</v>
      </c>
      <c r="J372" s="1589">
        <v>0</v>
      </c>
      <c r="K372" s="1589">
        <v>0</v>
      </c>
      <c r="L372" s="1589">
        <v>0</v>
      </c>
      <c r="M372" s="1589">
        <v>0</v>
      </c>
      <c r="N372" s="1589">
        <v>0</v>
      </c>
      <c r="O372" s="1589">
        <v>0</v>
      </c>
      <c r="P372" s="1589">
        <v>0</v>
      </c>
      <c r="Q372" s="1589">
        <v>0</v>
      </c>
    </row>
    <row r="373" spans="1:17">
      <c r="A373" s="1727" t="s">
        <v>597</v>
      </c>
      <c r="B373" s="1589">
        <v>0</v>
      </c>
      <c r="C373" s="1589">
        <v>0</v>
      </c>
      <c r="D373" s="1589">
        <v>0</v>
      </c>
      <c r="E373" s="1589">
        <v>0</v>
      </c>
      <c r="F373" s="1589">
        <v>0</v>
      </c>
      <c r="G373" s="1589">
        <v>0</v>
      </c>
      <c r="H373" s="1589">
        <v>0</v>
      </c>
      <c r="I373" s="1589">
        <v>0</v>
      </c>
      <c r="J373" s="1589">
        <v>0</v>
      </c>
      <c r="K373" s="1589">
        <v>0</v>
      </c>
      <c r="L373" s="1589">
        <v>0</v>
      </c>
      <c r="M373" s="1589">
        <v>0</v>
      </c>
      <c r="N373" s="1589">
        <v>0</v>
      </c>
      <c r="O373" s="1589">
        <v>0</v>
      </c>
      <c r="P373" s="1589">
        <v>0</v>
      </c>
      <c r="Q373" s="1589">
        <v>0</v>
      </c>
    </row>
    <row r="374" spans="1:17">
      <c r="A374" s="1727" t="s">
        <v>528</v>
      </c>
      <c r="B374" s="1589">
        <v>0</v>
      </c>
      <c r="C374" s="1589">
        <v>0</v>
      </c>
      <c r="D374" s="1589">
        <v>0</v>
      </c>
      <c r="E374" s="1589">
        <v>0</v>
      </c>
      <c r="F374" s="1589">
        <v>0</v>
      </c>
      <c r="G374" s="1589">
        <v>0</v>
      </c>
      <c r="H374" s="1589">
        <v>0</v>
      </c>
      <c r="I374" s="1589">
        <v>0</v>
      </c>
      <c r="J374" s="1589">
        <v>0</v>
      </c>
      <c r="K374" s="1589">
        <v>0</v>
      </c>
      <c r="L374" s="1589">
        <v>0</v>
      </c>
      <c r="M374" s="1589">
        <v>0</v>
      </c>
      <c r="N374" s="1589">
        <v>0</v>
      </c>
      <c r="O374" s="1589">
        <v>0</v>
      </c>
      <c r="P374" s="1589">
        <v>0</v>
      </c>
      <c r="Q374" s="1589">
        <v>0</v>
      </c>
    </row>
    <row r="375" spans="1:17">
      <c r="A375" s="1727" t="s">
        <v>530</v>
      </c>
      <c r="B375" s="1589">
        <v>0</v>
      </c>
      <c r="C375" s="1589">
        <v>0</v>
      </c>
      <c r="D375" s="1589">
        <v>0</v>
      </c>
      <c r="E375" s="1589">
        <v>0</v>
      </c>
      <c r="F375" s="1589">
        <v>0</v>
      </c>
      <c r="G375" s="1589">
        <v>0</v>
      </c>
      <c r="H375" s="1589">
        <v>0</v>
      </c>
      <c r="I375" s="1589">
        <v>0</v>
      </c>
      <c r="J375" s="1589">
        <v>0</v>
      </c>
      <c r="K375" s="1589">
        <v>0</v>
      </c>
      <c r="L375" s="1589">
        <v>0</v>
      </c>
      <c r="M375" s="1589">
        <v>0</v>
      </c>
      <c r="N375" s="1589">
        <v>0</v>
      </c>
      <c r="O375" s="1589">
        <v>0</v>
      </c>
      <c r="P375" s="1589">
        <v>0</v>
      </c>
      <c r="Q375" s="1589">
        <v>0</v>
      </c>
    </row>
    <row r="376" spans="1:17">
      <c r="A376" s="1727" t="s">
        <v>532</v>
      </c>
      <c r="B376" s="1589">
        <v>0</v>
      </c>
      <c r="C376" s="1589">
        <v>0</v>
      </c>
      <c r="D376" s="1589">
        <v>0</v>
      </c>
      <c r="E376" s="1589">
        <v>0</v>
      </c>
      <c r="F376" s="1589">
        <v>0</v>
      </c>
      <c r="G376" s="1589">
        <v>0</v>
      </c>
      <c r="H376" s="1589">
        <v>0</v>
      </c>
      <c r="I376" s="1589">
        <v>0</v>
      </c>
      <c r="J376" s="1589">
        <v>0</v>
      </c>
      <c r="K376" s="1589">
        <v>0</v>
      </c>
      <c r="L376" s="1589">
        <v>0</v>
      </c>
      <c r="M376" s="1589">
        <v>0</v>
      </c>
      <c r="N376" s="1589">
        <v>0</v>
      </c>
      <c r="O376" s="1589">
        <v>0</v>
      </c>
      <c r="P376" s="1589">
        <v>0</v>
      </c>
      <c r="Q376" s="1589">
        <v>0</v>
      </c>
    </row>
    <row r="377" spans="1:17">
      <c r="A377" s="1727" t="s">
        <v>534</v>
      </c>
      <c r="B377" s="1589">
        <v>0</v>
      </c>
      <c r="C377" s="1589">
        <v>0</v>
      </c>
      <c r="D377" s="1589">
        <v>0</v>
      </c>
      <c r="E377" s="1589">
        <v>0</v>
      </c>
      <c r="F377" s="1589">
        <v>0</v>
      </c>
      <c r="G377" s="1589">
        <v>0</v>
      </c>
      <c r="H377" s="1589">
        <v>0</v>
      </c>
      <c r="I377" s="1589">
        <v>0</v>
      </c>
      <c r="J377" s="1589">
        <v>0</v>
      </c>
      <c r="K377" s="1589">
        <v>0</v>
      </c>
      <c r="L377" s="1589">
        <v>0</v>
      </c>
      <c r="M377" s="1589">
        <v>0</v>
      </c>
      <c r="N377" s="1589">
        <v>0</v>
      </c>
      <c r="O377" s="1589">
        <v>0</v>
      </c>
      <c r="P377" s="1589">
        <v>0</v>
      </c>
      <c r="Q377" s="1589">
        <v>0</v>
      </c>
    </row>
    <row r="378" spans="1:17">
      <c r="A378" s="1727" t="s">
        <v>536</v>
      </c>
      <c r="B378" s="1589">
        <v>0</v>
      </c>
      <c r="C378" s="1589">
        <v>0</v>
      </c>
      <c r="D378" s="1589">
        <v>0</v>
      </c>
      <c r="E378" s="1589">
        <v>0</v>
      </c>
      <c r="F378" s="1589">
        <v>0</v>
      </c>
      <c r="G378" s="1589">
        <v>0</v>
      </c>
      <c r="H378" s="1589">
        <v>0</v>
      </c>
      <c r="I378" s="1589">
        <v>0</v>
      </c>
      <c r="J378" s="1589">
        <v>0</v>
      </c>
      <c r="K378" s="1589">
        <v>0</v>
      </c>
      <c r="L378" s="1589">
        <v>0</v>
      </c>
      <c r="M378" s="1589">
        <v>0</v>
      </c>
      <c r="N378" s="1589">
        <v>0</v>
      </c>
      <c r="O378" s="1589">
        <v>0</v>
      </c>
      <c r="P378" s="1589">
        <v>0</v>
      </c>
      <c r="Q378" s="1589">
        <v>0</v>
      </c>
    </row>
    <row r="379" spans="1:17">
      <c r="A379" s="1727" t="s">
        <v>538</v>
      </c>
      <c r="B379" s="1589">
        <v>0</v>
      </c>
      <c r="C379" s="1589">
        <v>0</v>
      </c>
      <c r="D379" s="1589">
        <v>0</v>
      </c>
      <c r="E379" s="1589">
        <v>0</v>
      </c>
      <c r="F379" s="1589">
        <v>0</v>
      </c>
      <c r="G379" s="1589">
        <v>0</v>
      </c>
      <c r="H379" s="1589">
        <v>0</v>
      </c>
      <c r="I379" s="1589">
        <v>0</v>
      </c>
      <c r="J379" s="1589">
        <v>0</v>
      </c>
      <c r="K379" s="1589">
        <v>0</v>
      </c>
      <c r="L379" s="1589">
        <v>0</v>
      </c>
      <c r="M379" s="1589">
        <v>0</v>
      </c>
      <c r="N379" s="1589">
        <v>0</v>
      </c>
      <c r="O379" s="1589">
        <v>0</v>
      </c>
      <c r="P379" s="1589">
        <v>0</v>
      </c>
      <c r="Q379" s="1589">
        <v>0</v>
      </c>
    </row>
    <row r="380" spans="1:17">
      <c r="A380" s="1727" t="s">
        <v>540</v>
      </c>
      <c r="B380" s="1589">
        <v>0</v>
      </c>
      <c r="C380" s="1589">
        <v>0</v>
      </c>
      <c r="D380" s="1589">
        <v>0</v>
      </c>
      <c r="E380" s="1589">
        <v>0</v>
      </c>
      <c r="F380" s="1589">
        <v>0</v>
      </c>
      <c r="G380" s="1589">
        <v>0</v>
      </c>
      <c r="H380" s="1589">
        <v>0</v>
      </c>
      <c r="I380" s="1589">
        <v>0</v>
      </c>
      <c r="J380" s="1589">
        <v>0</v>
      </c>
      <c r="K380" s="1589">
        <v>0</v>
      </c>
      <c r="L380" s="1589">
        <v>0</v>
      </c>
      <c r="M380" s="1589">
        <v>0</v>
      </c>
      <c r="N380" s="1589">
        <v>0</v>
      </c>
      <c r="O380" s="1589">
        <v>0</v>
      </c>
      <c r="P380" s="1589">
        <v>0</v>
      </c>
      <c r="Q380" s="1589">
        <v>0</v>
      </c>
    </row>
    <row r="381" spans="1:17">
      <c r="A381" s="1726" t="s">
        <v>2556</v>
      </c>
      <c r="B381" s="1589">
        <v>0</v>
      </c>
      <c r="C381" s="1589">
        <v>0</v>
      </c>
      <c r="D381" s="1589">
        <v>0</v>
      </c>
      <c r="E381" s="1589">
        <v>0</v>
      </c>
      <c r="F381" s="1589">
        <v>0</v>
      </c>
      <c r="G381" s="1589">
        <v>0</v>
      </c>
      <c r="H381" s="1589">
        <v>0</v>
      </c>
      <c r="I381" s="1589">
        <v>0</v>
      </c>
      <c r="J381" s="1589">
        <v>0</v>
      </c>
      <c r="K381" s="1589">
        <v>0</v>
      </c>
      <c r="L381" s="1589">
        <v>0</v>
      </c>
      <c r="M381" s="1589">
        <v>0</v>
      </c>
      <c r="N381" s="1589">
        <v>0</v>
      </c>
      <c r="O381" s="1589">
        <v>0</v>
      </c>
      <c r="P381" s="1589">
        <v>0</v>
      </c>
      <c r="Q381" s="1589">
        <v>0</v>
      </c>
    </row>
    <row r="382" spans="1:17">
      <c r="A382" s="1727" t="s">
        <v>663</v>
      </c>
      <c r="B382" s="1589">
        <v>0</v>
      </c>
      <c r="C382" s="1589">
        <v>0</v>
      </c>
      <c r="D382" s="1589">
        <v>0</v>
      </c>
      <c r="E382" s="1589">
        <v>0</v>
      </c>
      <c r="F382" s="1589">
        <v>0</v>
      </c>
      <c r="G382" s="1589">
        <v>0</v>
      </c>
      <c r="H382" s="1589">
        <v>0</v>
      </c>
      <c r="I382" s="1589">
        <v>0</v>
      </c>
      <c r="J382" s="1589">
        <v>0</v>
      </c>
      <c r="K382" s="1589">
        <v>0</v>
      </c>
      <c r="L382" s="1589">
        <v>0</v>
      </c>
      <c r="M382" s="1589">
        <v>0</v>
      </c>
      <c r="N382" s="1589">
        <v>0</v>
      </c>
      <c r="O382" s="1589">
        <v>0</v>
      </c>
      <c r="P382" s="1589">
        <v>0</v>
      </c>
      <c r="Q382" s="1589">
        <v>0</v>
      </c>
    </row>
    <row r="383" spans="1:17">
      <c r="A383" s="1727" t="s">
        <v>597</v>
      </c>
      <c r="B383" s="1589">
        <v>0</v>
      </c>
      <c r="C383" s="1589">
        <v>0</v>
      </c>
      <c r="D383" s="1589">
        <v>0</v>
      </c>
      <c r="E383" s="1589">
        <v>0</v>
      </c>
      <c r="F383" s="1589">
        <v>0</v>
      </c>
      <c r="G383" s="1589">
        <v>0</v>
      </c>
      <c r="H383" s="1589">
        <v>0</v>
      </c>
      <c r="I383" s="1589">
        <v>0</v>
      </c>
      <c r="J383" s="1589">
        <v>0</v>
      </c>
      <c r="K383" s="1589">
        <v>0</v>
      </c>
      <c r="L383" s="1589">
        <v>0</v>
      </c>
      <c r="M383" s="1589">
        <v>0</v>
      </c>
      <c r="N383" s="1589">
        <v>0</v>
      </c>
      <c r="O383" s="1589">
        <v>0</v>
      </c>
      <c r="P383" s="1589">
        <v>0</v>
      </c>
      <c r="Q383" s="1589">
        <v>0</v>
      </c>
    </row>
    <row r="384" spans="1:17">
      <c r="A384" s="1727" t="s">
        <v>528</v>
      </c>
      <c r="B384" s="1589">
        <v>0</v>
      </c>
      <c r="C384" s="1589">
        <v>0</v>
      </c>
      <c r="D384" s="1589">
        <v>0</v>
      </c>
      <c r="E384" s="1589">
        <v>0</v>
      </c>
      <c r="F384" s="1589">
        <v>0</v>
      </c>
      <c r="G384" s="1589">
        <v>0</v>
      </c>
      <c r="H384" s="1589">
        <v>0</v>
      </c>
      <c r="I384" s="1589">
        <v>0</v>
      </c>
      <c r="J384" s="1589">
        <v>0</v>
      </c>
      <c r="K384" s="1589">
        <v>0</v>
      </c>
      <c r="L384" s="1589">
        <v>0</v>
      </c>
      <c r="M384" s="1589">
        <v>0</v>
      </c>
      <c r="N384" s="1589">
        <v>0</v>
      </c>
      <c r="O384" s="1589">
        <v>0</v>
      </c>
      <c r="P384" s="1589">
        <v>0</v>
      </c>
      <c r="Q384" s="1589">
        <v>0</v>
      </c>
    </row>
    <row r="385" spans="1:17">
      <c r="A385" s="1727" t="s">
        <v>530</v>
      </c>
      <c r="B385" s="1589">
        <v>0</v>
      </c>
      <c r="C385" s="1589">
        <v>0</v>
      </c>
      <c r="D385" s="1589">
        <v>0</v>
      </c>
      <c r="E385" s="1589">
        <v>0</v>
      </c>
      <c r="F385" s="1589">
        <v>0</v>
      </c>
      <c r="G385" s="1589">
        <v>0</v>
      </c>
      <c r="H385" s="1589">
        <v>0</v>
      </c>
      <c r="I385" s="1589">
        <v>0</v>
      </c>
      <c r="J385" s="1589">
        <v>0</v>
      </c>
      <c r="K385" s="1589">
        <v>0</v>
      </c>
      <c r="L385" s="1589">
        <v>0</v>
      </c>
      <c r="M385" s="1589">
        <v>0</v>
      </c>
      <c r="N385" s="1589">
        <v>0</v>
      </c>
      <c r="O385" s="1589">
        <v>0</v>
      </c>
      <c r="P385" s="1589">
        <v>0</v>
      </c>
      <c r="Q385" s="1589">
        <v>0</v>
      </c>
    </row>
    <row r="386" spans="1:17">
      <c r="A386" s="1727" t="s">
        <v>532</v>
      </c>
      <c r="B386" s="1589">
        <v>0</v>
      </c>
      <c r="C386" s="1589">
        <v>0</v>
      </c>
      <c r="D386" s="1589">
        <v>0</v>
      </c>
      <c r="E386" s="1589">
        <v>0</v>
      </c>
      <c r="F386" s="1589">
        <v>0</v>
      </c>
      <c r="G386" s="1589">
        <v>0</v>
      </c>
      <c r="H386" s="1589">
        <v>0</v>
      </c>
      <c r="I386" s="1589">
        <v>0</v>
      </c>
      <c r="J386" s="1589">
        <v>0</v>
      </c>
      <c r="K386" s="1589">
        <v>0</v>
      </c>
      <c r="L386" s="1589">
        <v>0</v>
      </c>
      <c r="M386" s="1589">
        <v>0</v>
      </c>
      <c r="N386" s="1589">
        <v>0</v>
      </c>
      <c r="O386" s="1589">
        <v>0</v>
      </c>
      <c r="P386" s="1589">
        <v>0</v>
      </c>
      <c r="Q386" s="1589">
        <v>0</v>
      </c>
    </row>
    <row r="387" spans="1:17">
      <c r="A387" s="1727" t="s">
        <v>534</v>
      </c>
      <c r="B387" s="1589">
        <v>0</v>
      </c>
      <c r="C387" s="1589">
        <v>0</v>
      </c>
      <c r="D387" s="1589">
        <v>0</v>
      </c>
      <c r="E387" s="1589">
        <v>0</v>
      </c>
      <c r="F387" s="1589">
        <v>0</v>
      </c>
      <c r="G387" s="1589">
        <v>0</v>
      </c>
      <c r="H387" s="1589">
        <v>0</v>
      </c>
      <c r="I387" s="1589">
        <v>0</v>
      </c>
      <c r="J387" s="1589">
        <v>0</v>
      </c>
      <c r="K387" s="1589">
        <v>0</v>
      </c>
      <c r="L387" s="1589">
        <v>0</v>
      </c>
      <c r="M387" s="1589">
        <v>0</v>
      </c>
      <c r="N387" s="1589">
        <v>0</v>
      </c>
      <c r="O387" s="1589">
        <v>0</v>
      </c>
      <c r="P387" s="1589">
        <v>0</v>
      </c>
      <c r="Q387" s="1589">
        <v>0</v>
      </c>
    </row>
    <row r="388" spans="1:17">
      <c r="A388" s="1727" t="s">
        <v>536</v>
      </c>
      <c r="B388" s="1589">
        <v>0</v>
      </c>
      <c r="C388" s="1589">
        <v>0</v>
      </c>
      <c r="D388" s="1589">
        <v>0</v>
      </c>
      <c r="E388" s="1589">
        <v>0</v>
      </c>
      <c r="F388" s="1589">
        <v>0</v>
      </c>
      <c r="G388" s="1589">
        <v>0</v>
      </c>
      <c r="H388" s="1589">
        <v>0</v>
      </c>
      <c r="I388" s="1589">
        <v>0</v>
      </c>
      <c r="J388" s="1589">
        <v>0</v>
      </c>
      <c r="K388" s="1589">
        <v>0</v>
      </c>
      <c r="L388" s="1589">
        <v>0</v>
      </c>
      <c r="M388" s="1589">
        <v>0</v>
      </c>
      <c r="N388" s="1589">
        <v>0</v>
      </c>
      <c r="O388" s="1589">
        <v>0</v>
      </c>
      <c r="P388" s="1589">
        <v>0</v>
      </c>
      <c r="Q388" s="1589">
        <v>0</v>
      </c>
    </row>
    <row r="389" spans="1:17">
      <c r="A389" s="1727" t="s">
        <v>538</v>
      </c>
      <c r="B389" s="1589">
        <v>0</v>
      </c>
      <c r="C389" s="1589">
        <v>0</v>
      </c>
      <c r="D389" s="1589">
        <v>0</v>
      </c>
      <c r="E389" s="1589">
        <v>0</v>
      </c>
      <c r="F389" s="1589">
        <v>0</v>
      </c>
      <c r="G389" s="1589">
        <v>0</v>
      </c>
      <c r="H389" s="1589">
        <v>0</v>
      </c>
      <c r="I389" s="1589">
        <v>0</v>
      </c>
      <c r="J389" s="1589">
        <v>0</v>
      </c>
      <c r="K389" s="1589">
        <v>0</v>
      </c>
      <c r="L389" s="1589">
        <v>0</v>
      </c>
      <c r="M389" s="1589">
        <v>0</v>
      </c>
      <c r="N389" s="1589">
        <v>0</v>
      </c>
      <c r="O389" s="1589">
        <v>0</v>
      </c>
      <c r="P389" s="1589">
        <v>0</v>
      </c>
      <c r="Q389" s="1589">
        <v>0</v>
      </c>
    </row>
    <row r="390" spans="1:17">
      <c r="A390" s="1727" t="s">
        <v>540</v>
      </c>
      <c r="B390" s="1589">
        <v>0</v>
      </c>
      <c r="C390" s="1589">
        <v>0</v>
      </c>
      <c r="D390" s="1589">
        <v>0</v>
      </c>
      <c r="E390" s="1589">
        <v>0</v>
      </c>
      <c r="F390" s="1589">
        <v>0</v>
      </c>
      <c r="G390" s="1589">
        <v>0</v>
      </c>
      <c r="H390" s="1589">
        <v>0</v>
      </c>
      <c r="I390" s="1589">
        <v>0</v>
      </c>
      <c r="J390" s="1589">
        <v>0</v>
      </c>
      <c r="K390" s="1589">
        <v>0</v>
      </c>
      <c r="L390" s="1589">
        <v>0</v>
      </c>
      <c r="M390" s="1589">
        <v>0</v>
      </c>
      <c r="N390" s="1589">
        <v>0</v>
      </c>
      <c r="O390" s="1589">
        <v>0</v>
      </c>
      <c r="P390" s="1589">
        <v>0</v>
      </c>
      <c r="Q390" s="1589">
        <v>0</v>
      </c>
    </row>
    <row r="391" spans="1:17">
      <c r="A391" s="1726" t="s">
        <v>2550</v>
      </c>
      <c r="B391" s="1589">
        <v>0</v>
      </c>
      <c r="C391" s="1589">
        <v>0</v>
      </c>
      <c r="D391" s="1589">
        <v>0</v>
      </c>
      <c r="E391" s="1589">
        <v>0</v>
      </c>
      <c r="F391" s="1589">
        <v>0</v>
      </c>
      <c r="G391" s="1589">
        <v>0</v>
      </c>
      <c r="H391" s="1589">
        <v>0</v>
      </c>
      <c r="I391" s="1589">
        <v>0</v>
      </c>
      <c r="J391" s="1589">
        <v>0</v>
      </c>
      <c r="K391" s="1589">
        <v>0</v>
      </c>
      <c r="L391" s="1589">
        <v>0</v>
      </c>
      <c r="M391" s="1589">
        <v>0</v>
      </c>
      <c r="N391" s="1589">
        <v>0</v>
      </c>
      <c r="O391" s="1589">
        <v>0</v>
      </c>
      <c r="P391" s="1589">
        <v>0</v>
      </c>
      <c r="Q391" s="1589">
        <v>0</v>
      </c>
    </row>
    <row r="392" spans="1:17">
      <c r="A392" s="1727" t="s">
        <v>663</v>
      </c>
      <c r="B392" s="1589">
        <v>0</v>
      </c>
      <c r="C392" s="1589">
        <v>0</v>
      </c>
      <c r="D392" s="1589">
        <v>0</v>
      </c>
      <c r="E392" s="1589">
        <v>0</v>
      </c>
      <c r="F392" s="1589">
        <v>0</v>
      </c>
      <c r="G392" s="1589">
        <v>0</v>
      </c>
      <c r="H392" s="1589">
        <v>0</v>
      </c>
      <c r="I392" s="1589">
        <v>0</v>
      </c>
      <c r="J392" s="1589">
        <v>0</v>
      </c>
      <c r="K392" s="1589">
        <v>0</v>
      </c>
      <c r="L392" s="1589">
        <v>0</v>
      </c>
      <c r="M392" s="1589">
        <v>0</v>
      </c>
      <c r="N392" s="1589">
        <v>0</v>
      </c>
      <c r="O392" s="1589">
        <v>0</v>
      </c>
      <c r="P392" s="1589">
        <v>0</v>
      </c>
      <c r="Q392" s="1589">
        <v>0</v>
      </c>
    </row>
    <row r="393" spans="1:17">
      <c r="A393" s="1727" t="s">
        <v>597</v>
      </c>
      <c r="B393" s="1589">
        <v>0</v>
      </c>
      <c r="C393" s="1589">
        <v>0</v>
      </c>
      <c r="D393" s="1589">
        <v>0</v>
      </c>
      <c r="E393" s="1589">
        <v>0</v>
      </c>
      <c r="F393" s="1589">
        <v>0</v>
      </c>
      <c r="G393" s="1589">
        <v>0</v>
      </c>
      <c r="H393" s="1589">
        <v>0</v>
      </c>
      <c r="I393" s="1589">
        <v>0</v>
      </c>
      <c r="J393" s="1589">
        <v>0</v>
      </c>
      <c r="K393" s="1589">
        <v>0</v>
      </c>
      <c r="L393" s="1589">
        <v>0</v>
      </c>
      <c r="M393" s="1589">
        <v>0</v>
      </c>
      <c r="N393" s="1589">
        <v>0</v>
      </c>
      <c r="O393" s="1589">
        <v>0</v>
      </c>
      <c r="P393" s="1589">
        <v>0</v>
      </c>
      <c r="Q393" s="1589">
        <v>0</v>
      </c>
    </row>
    <row r="394" spans="1:17">
      <c r="A394" s="1727" t="s">
        <v>528</v>
      </c>
      <c r="B394" s="1589">
        <v>0</v>
      </c>
      <c r="C394" s="1589">
        <v>0</v>
      </c>
      <c r="D394" s="1589">
        <v>0</v>
      </c>
      <c r="E394" s="1589">
        <v>0</v>
      </c>
      <c r="F394" s="1589">
        <v>0</v>
      </c>
      <c r="G394" s="1589">
        <v>0</v>
      </c>
      <c r="H394" s="1589">
        <v>0</v>
      </c>
      <c r="I394" s="1589">
        <v>0</v>
      </c>
      <c r="J394" s="1589">
        <v>0</v>
      </c>
      <c r="K394" s="1589">
        <v>0</v>
      </c>
      <c r="L394" s="1589">
        <v>0</v>
      </c>
      <c r="M394" s="1589">
        <v>0</v>
      </c>
      <c r="N394" s="1589">
        <v>0</v>
      </c>
      <c r="O394" s="1589">
        <v>0</v>
      </c>
      <c r="P394" s="1589">
        <v>0</v>
      </c>
      <c r="Q394" s="1589">
        <v>0</v>
      </c>
    </row>
    <row r="395" spans="1:17">
      <c r="A395" s="1727" t="s">
        <v>530</v>
      </c>
      <c r="B395" s="1589">
        <v>0</v>
      </c>
      <c r="C395" s="1589">
        <v>0</v>
      </c>
      <c r="D395" s="1589">
        <v>0</v>
      </c>
      <c r="E395" s="1589">
        <v>0</v>
      </c>
      <c r="F395" s="1589">
        <v>0</v>
      </c>
      <c r="G395" s="1589">
        <v>0</v>
      </c>
      <c r="H395" s="1589">
        <v>0</v>
      </c>
      <c r="I395" s="1589">
        <v>0</v>
      </c>
      <c r="J395" s="1589">
        <v>0</v>
      </c>
      <c r="K395" s="1589">
        <v>0</v>
      </c>
      <c r="L395" s="1589">
        <v>0</v>
      </c>
      <c r="M395" s="1589">
        <v>0</v>
      </c>
      <c r="N395" s="1589">
        <v>0</v>
      </c>
      <c r="O395" s="1589">
        <v>0</v>
      </c>
      <c r="P395" s="1589">
        <v>0</v>
      </c>
      <c r="Q395" s="1589">
        <v>0</v>
      </c>
    </row>
    <row r="396" spans="1:17">
      <c r="A396" s="1727" t="s">
        <v>532</v>
      </c>
      <c r="B396" s="1589">
        <v>0</v>
      </c>
      <c r="C396" s="1589">
        <v>0</v>
      </c>
      <c r="D396" s="1589">
        <v>0</v>
      </c>
      <c r="E396" s="1589">
        <v>0</v>
      </c>
      <c r="F396" s="1589">
        <v>0</v>
      </c>
      <c r="G396" s="1589">
        <v>0</v>
      </c>
      <c r="H396" s="1589">
        <v>0</v>
      </c>
      <c r="I396" s="1589">
        <v>0</v>
      </c>
      <c r="J396" s="1589">
        <v>0</v>
      </c>
      <c r="K396" s="1589">
        <v>0</v>
      </c>
      <c r="L396" s="1589">
        <v>0</v>
      </c>
      <c r="M396" s="1589">
        <v>0</v>
      </c>
      <c r="N396" s="1589">
        <v>0</v>
      </c>
      <c r="O396" s="1589">
        <v>0</v>
      </c>
      <c r="P396" s="1589">
        <v>0</v>
      </c>
      <c r="Q396" s="1589">
        <v>0</v>
      </c>
    </row>
    <row r="397" spans="1:17">
      <c r="A397" s="1727" t="s">
        <v>534</v>
      </c>
      <c r="B397" s="1589">
        <v>0</v>
      </c>
      <c r="C397" s="1589">
        <v>0</v>
      </c>
      <c r="D397" s="1589">
        <v>0</v>
      </c>
      <c r="E397" s="1589">
        <v>0</v>
      </c>
      <c r="F397" s="1589">
        <v>0</v>
      </c>
      <c r="G397" s="1589">
        <v>0</v>
      </c>
      <c r="H397" s="1589">
        <v>0</v>
      </c>
      <c r="I397" s="1589">
        <v>0</v>
      </c>
      <c r="J397" s="1589">
        <v>0</v>
      </c>
      <c r="K397" s="1589">
        <v>0</v>
      </c>
      <c r="L397" s="1589">
        <v>0</v>
      </c>
      <c r="M397" s="1589">
        <v>0</v>
      </c>
      <c r="N397" s="1589">
        <v>0</v>
      </c>
      <c r="O397" s="1589">
        <v>0</v>
      </c>
      <c r="P397" s="1589">
        <v>0</v>
      </c>
      <c r="Q397" s="1589">
        <v>0</v>
      </c>
    </row>
    <row r="398" spans="1:17">
      <c r="A398" s="1727" t="s">
        <v>536</v>
      </c>
      <c r="B398" s="1589">
        <v>0</v>
      </c>
      <c r="C398" s="1589">
        <v>0</v>
      </c>
      <c r="D398" s="1589">
        <v>0</v>
      </c>
      <c r="E398" s="1589">
        <v>0</v>
      </c>
      <c r="F398" s="1589">
        <v>0</v>
      </c>
      <c r="G398" s="1589">
        <v>0</v>
      </c>
      <c r="H398" s="1589">
        <v>0</v>
      </c>
      <c r="I398" s="1589">
        <v>0</v>
      </c>
      <c r="J398" s="1589">
        <v>0</v>
      </c>
      <c r="K398" s="1589">
        <v>0</v>
      </c>
      <c r="L398" s="1589">
        <v>0</v>
      </c>
      <c r="M398" s="1589">
        <v>0</v>
      </c>
      <c r="N398" s="1589">
        <v>0</v>
      </c>
      <c r="O398" s="1589">
        <v>0</v>
      </c>
      <c r="P398" s="1589">
        <v>0</v>
      </c>
      <c r="Q398" s="1589">
        <v>0</v>
      </c>
    </row>
    <row r="399" spans="1:17">
      <c r="A399" s="1727" t="s">
        <v>538</v>
      </c>
      <c r="B399" s="1589">
        <v>0</v>
      </c>
      <c r="C399" s="1589">
        <v>0</v>
      </c>
      <c r="D399" s="1589">
        <v>0</v>
      </c>
      <c r="E399" s="1589">
        <v>0</v>
      </c>
      <c r="F399" s="1589">
        <v>0</v>
      </c>
      <c r="G399" s="1589">
        <v>0</v>
      </c>
      <c r="H399" s="1589">
        <v>0</v>
      </c>
      <c r="I399" s="1589">
        <v>0</v>
      </c>
      <c r="J399" s="1589">
        <v>0</v>
      </c>
      <c r="K399" s="1589">
        <v>0</v>
      </c>
      <c r="L399" s="1589">
        <v>0</v>
      </c>
      <c r="M399" s="1589">
        <v>0</v>
      </c>
      <c r="N399" s="1589">
        <v>0</v>
      </c>
      <c r="O399" s="1589">
        <v>0</v>
      </c>
      <c r="P399" s="1589">
        <v>0</v>
      </c>
      <c r="Q399" s="1589">
        <v>0</v>
      </c>
    </row>
    <row r="400" spans="1:17">
      <c r="A400" s="1727" t="s">
        <v>540</v>
      </c>
      <c r="B400" s="1589">
        <v>0</v>
      </c>
      <c r="C400" s="1589">
        <v>0</v>
      </c>
      <c r="D400" s="1589">
        <v>0</v>
      </c>
      <c r="E400" s="1589">
        <v>0</v>
      </c>
      <c r="F400" s="1589">
        <v>0</v>
      </c>
      <c r="G400" s="1589">
        <v>0</v>
      </c>
      <c r="H400" s="1589">
        <v>0</v>
      </c>
      <c r="I400" s="1589">
        <v>0</v>
      </c>
      <c r="J400" s="1589">
        <v>0</v>
      </c>
      <c r="K400" s="1589">
        <v>0</v>
      </c>
      <c r="L400" s="1589">
        <v>0</v>
      </c>
      <c r="M400" s="1589">
        <v>0</v>
      </c>
      <c r="N400" s="1589">
        <v>0</v>
      </c>
      <c r="O400" s="1589">
        <v>0</v>
      </c>
      <c r="P400" s="1589">
        <v>0</v>
      </c>
      <c r="Q400" s="1589">
        <v>0</v>
      </c>
    </row>
    <row r="401" spans="1:17">
      <c r="A401" s="1726" t="s">
        <v>2554</v>
      </c>
      <c r="B401" s="1589">
        <v>0</v>
      </c>
      <c r="C401" s="1589">
        <v>0</v>
      </c>
      <c r="D401" s="1589">
        <v>0</v>
      </c>
      <c r="E401" s="1589">
        <v>0</v>
      </c>
      <c r="F401" s="1589">
        <v>0</v>
      </c>
      <c r="G401" s="1589">
        <v>0</v>
      </c>
      <c r="H401" s="1589">
        <v>0</v>
      </c>
      <c r="I401" s="1589">
        <v>0</v>
      </c>
      <c r="J401" s="1589">
        <v>0</v>
      </c>
      <c r="K401" s="1589">
        <v>0</v>
      </c>
      <c r="L401" s="1589">
        <v>0</v>
      </c>
      <c r="M401" s="1589">
        <v>0</v>
      </c>
      <c r="N401" s="1589">
        <v>0</v>
      </c>
      <c r="O401" s="1589">
        <v>0</v>
      </c>
      <c r="P401" s="1589">
        <v>0</v>
      </c>
      <c r="Q401" s="1589">
        <v>0</v>
      </c>
    </row>
    <row r="402" spans="1:17">
      <c r="A402" s="1727" t="s">
        <v>663</v>
      </c>
      <c r="B402" s="1589">
        <v>0</v>
      </c>
      <c r="C402" s="1589">
        <v>0</v>
      </c>
      <c r="D402" s="1589">
        <v>0</v>
      </c>
      <c r="E402" s="1589">
        <v>0</v>
      </c>
      <c r="F402" s="1589">
        <v>0</v>
      </c>
      <c r="G402" s="1589">
        <v>0</v>
      </c>
      <c r="H402" s="1589">
        <v>0</v>
      </c>
      <c r="I402" s="1589">
        <v>0</v>
      </c>
      <c r="J402" s="1589">
        <v>0</v>
      </c>
      <c r="K402" s="1589">
        <v>0</v>
      </c>
      <c r="L402" s="1589">
        <v>0</v>
      </c>
      <c r="M402" s="1589">
        <v>0</v>
      </c>
      <c r="N402" s="1589">
        <v>0</v>
      </c>
      <c r="O402" s="1589">
        <v>0</v>
      </c>
      <c r="P402" s="1589">
        <v>0</v>
      </c>
      <c r="Q402" s="1589">
        <v>0</v>
      </c>
    </row>
    <row r="403" spans="1:17">
      <c r="A403" s="1727" t="s">
        <v>665</v>
      </c>
      <c r="B403" s="1589">
        <v>0</v>
      </c>
      <c r="C403" s="1589">
        <v>0</v>
      </c>
      <c r="D403" s="1589">
        <v>0</v>
      </c>
      <c r="E403" s="1589">
        <v>0</v>
      </c>
      <c r="F403" s="1589">
        <v>0</v>
      </c>
      <c r="G403" s="1589">
        <v>0</v>
      </c>
      <c r="H403" s="1589">
        <v>0</v>
      </c>
      <c r="I403" s="1589">
        <v>0</v>
      </c>
      <c r="J403" s="1589">
        <v>0</v>
      </c>
      <c r="K403" s="1589">
        <v>0</v>
      </c>
      <c r="L403" s="1589">
        <v>0</v>
      </c>
      <c r="M403" s="1589">
        <v>0</v>
      </c>
      <c r="N403" s="1589">
        <v>0</v>
      </c>
      <c r="O403" s="1589">
        <v>0</v>
      </c>
      <c r="P403" s="1589">
        <v>0</v>
      </c>
      <c r="Q403" s="1589">
        <v>0</v>
      </c>
    </row>
    <row r="404" spans="1:17">
      <c r="A404" s="1727" t="s">
        <v>597</v>
      </c>
      <c r="B404" s="1589">
        <v>0</v>
      </c>
      <c r="C404" s="1589">
        <v>0</v>
      </c>
      <c r="D404" s="1589">
        <v>0</v>
      </c>
      <c r="E404" s="1589">
        <v>0</v>
      </c>
      <c r="F404" s="1589">
        <v>0</v>
      </c>
      <c r="G404" s="1589">
        <v>0</v>
      </c>
      <c r="H404" s="1589">
        <v>0</v>
      </c>
      <c r="I404" s="1589">
        <v>0</v>
      </c>
      <c r="J404" s="1589">
        <v>0</v>
      </c>
      <c r="K404" s="1589">
        <v>0</v>
      </c>
      <c r="L404" s="1589">
        <v>0</v>
      </c>
      <c r="M404" s="1589">
        <v>0</v>
      </c>
      <c r="N404" s="1589">
        <v>0</v>
      </c>
      <c r="O404" s="1589">
        <v>0</v>
      </c>
      <c r="P404" s="1589">
        <v>0</v>
      </c>
      <c r="Q404" s="1589">
        <v>0</v>
      </c>
    </row>
    <row r="405" spans="1:17">
      <c r="A405" s="1727" t="s">
        <v>528</v>
      </c>
      <c r="B405" s="1589">
        <v>0</v>
      </c>
      <c r="C405" s="1589">
        <v>0</v>
      </c>
      <c r="D405" s="1589">
        <v>0</v>
      </c>
      <c r="E405" s="1589">
        <v>0</v>
      </c>
      <c r="F405" s="1589">
        <v>0</v>
      </c>
      <c r="G405" s="1589">
        <v>0</v>
      </c>
      <c r="H405" s="1589">
        <v>0</v>
      </c>
      <c r="I405" s="1589">
        <v>0</v>
      </c>
      <c r="J405" s="1589">
        <v>0</v>
      </c>
      <c r="K405" s="1589">
        <v>0</v>
      </c>
      <c r="L405" s="1589">
        <v>0</v>
      </c>
      <c r="M405" s="1589">
        <v>0</v>
      </c>
      <c r="N405" s="1589">
        <v>0</v>
      </c>
      <c r="O405" s="1589">
        <v>0</v>
      </c>
      <c r="P405" s="1589">
        <v>0</v>
      </c>
      <c r="Q405" s="1589">
        <v>0</v>
      </c>
    </row>
    <row r="406" spans="1:17">
      <c r="A406" s="1727" t="s">
        <v>530</v>
      </c>
      <c r="B406" s="1589">
        <v>0</v>
      </c>
      <c r="C406" s="1589">
        <v>0</v>
      </c>
      <c r="D406" s="1589">
        <v>0</v>
      </c>
      <c r="E406" s="1589">
        <v>0</v>
      </c>
      <c r="F406" s="1589">
        <v>0</v>
      </c>
      <c r="G406" s="1589">
        <v>0</v>
      </c>
      <c r="H406" s="1589">
        <v>0</v>
      </c>
      <c r="I406" s="1589">
        <v>0</v>
      </c>
      <c r="J406" s="1589">
        <v>0</v>
      </c>
      <c r="K406" s="1589">
        <v>0</v>
      </c>
      <c r="L406" s="1589">
        <v>0</v>
      </c>
      <c r="M406" s="1589">
        <v>0</v>
      </c>
      <c r="N406" s="1589">
        <v>0</v>
      </c>
      <c r="O406" s="1589">
        <v>0</v>
      </c>
      <c r="P406" s="1589">
        <v>0</v>
      </c>
      <c r="Q406" s="1589">
        <v>0</v>
      </c>
    </row>
    <row r="407" spans="1:17">
      <c r="A407" s="1727" t="s">
        <v>532</v>
      </c>
      <c r="B407" s="1589">
        <v>0</v>
      </c>
      <c r="C407" s="1589">
        <v>0</v>
      </c>
      <c r="D407" s="1589">
        <v>0</v>
      </c>
      <c r="E407" s="1589">
        <v>0</v>
      </c>
      <c r="F407" s="1589">
        <v>0</v>
      </c>
      <c r="G407" s="1589">
        <v>0</v>
      </c>
      <c r="H407" s="1589">
        <v>0</v>
      </c>
      <c r="I407" s="1589">
        <v>0</v>
      </c>
      <c r="J407" s="1589">
        <v>0</v>
      </c>
      <c r="K407" s="1589">
        <v>0</v>
      </c>
      <c r="L407" s="1589">
        <v>0</v>
      </c>
      <c r="M407" s="1589">
        <v>0</v>
      </c>
      <c r="N407" s="1589">
        <v>0</v>
      </c>
      <c r="O407" s="1589">
        <v>0</v>
      </c>
      <c r="P407" s="1589">
        <v>0</v>
      </c>
      <c r="Q407" s="1589">
        <v>0</v>
      </c>
    </row>
    <row r="408" spans="1:17">
      <c r="A408" s="1727" t="s">
        <v>534</v>
      </c>
      <c r="B408" s="1589">
        <v>0</v>
      </c>
      <c r="C408" s="1589">
        <v>0</v>
      </c>
      <c r="D408" s="1589">
        <v>0</v>
      </c>
      <c r="E408" s="1589">
        <v>0</v>
      </c>
      <c r="F408" s="1589">
        <v>0</v>
      </c>
      <c r="G408" s="1589">
        <v>0</v>
      </c>
      <c r="H408" s="1589">
        <v>0</v>
      </c>
      <c r="I408" s="1589">
        <v>0</v>
      </c>
      <c r="J408" s="1589">
        <v>0</v>
      </c>
      <c r="K408" s="1589">
        <v>0</v>
      </c>
      <c r="L408" s="1589">
        <v>0</v>
      </c>
      <c r="M408" s="1589">
        <v>0</v>
      </c>
      <c r="N408" s="1589">
        <v>0</v>
      </c>
      <c r="O408" s="1589">
        <v>0</v>
      </c>
      <c r="P408" s="1589">
        <v>0</v>
      </c>
      <c r="Q408" s="1589">
        <v>0</v>
      </c>
    </row>
    <row r="409" spans="1:17">
      <c r="A409" s="1727" t="s">
        <v>536</v>
      </c>
      <c r="B409" s="1589">
        <v>0</v>
      </c>
      <c r="C409" s="1589">
        <v>0</v>
      </c>
      <c r="D409" s="1589">
        <v>0</v>
      </c>
      <c r="E409" s="1589">
        <v>0</v>
      </c>
      <c r="F409" s="1589">
        <v>0</v>
      </c>
      <c r="G409" s="1589">
        <v>0</v>
      </c>
      <c r="H409" s="1589">
        <v>0</v>
      </c>
      <c r="I409" s="1589">
        <v>0</v>
      </c>
      <c r="J409" s="1589">
        <v>0</v>
      </c>
      <c r="K409" s="1589">
        <v>0</v>
      </c>
      <c r="L409" s="1589">
        <v>0</v>
      </c>
      <c r="M409" s="1589">
        <v>0</v>
      </c>
      <c r="N409" s="1589">
        <v>0</v>
      </c>
      <c r="O409" s="1589">
        <v>0</v>
      </c>
      <c r="P409" s="1589">
        <v>0</v>
      </c>
      <c r="Q409" s="1589">
        <v>0</v>
      </c>
    </row>
    <row r="410" spans="1:17">
      <c r="A410" s="1727" t="s">
        <v>538</v>
      </c>
      <c r="B410" s="1589">
        <v>0</v>
      </c>
      <c r="C410" s="1589">
        <v>0</v>
      </c>
      <c r="D410" s="1589">
        <v>0</v>
      </c>
      <c r="E410" s="1589">
        <v>0</v>
      </c>
      <c r="F410" s="1589">
        <v>0</v>
      </c>
      <c r="G410" s="1589">
        <v>0</v>
      </c>
      <c r="H410" s="1589">
        <v>0</v>
      </c>
      <c r="I410" s="1589">
        <v>0</v>
      </c>
      <c r="J410" s="1589">
        <v>0</v>
      </c>
      <c r="K410" s="1589">
        <v>0</v>
      </c>
      <c r="L410" s="1589">
        <v>0</v>
      </c>
      <c r="M410" s="1589">
        <v>0</v>
      </c>
      <c r="N410" s="1589">
        <v>0</v>
      </c>
      <c r="O410" s="1589">
        <v>0</v>
      </c>
      <c r="P410" s="1589">
        <v>0</v>
      </c>
      <c r="Q410" s="1589">
        <v>0</v>
      </c>
    </row>
    <row r="411" spans="1:17">
      <c r="A411" s="1727" t="s">
        <v>540</v>
      </c>
      <c r="B411" s="1589">
        <v>0</v>
      </c>
      <c r="C411" s="1589">
        <v>0</v>
      </c>
      <c r="D411" s="1589">
        <v>0</v>
      </c>
      <c r="E411" s="1589">
        <v>0</v>
      </c>
      <c r="F411" s="1589">
        <v>0</v>
      </c>
      <c r="G411" s="1589">
        <v>0</v>
      </c>
      <c r="H411" s="1589">
        <v>0</v>
      </c>
      <c r="I411" s="1589">
        <v>0</v>
      </c>
      <c r="J411" s="1589">
        <v>0</v>
      </c>
      <c r="K411" s="1589">
        <v>0</v>
      </c>
      <c r="L411" s="1589">
        <v>0</v>
      </c>
      <c r="M411" s="1589">
        <v>0</v>
      </c>
      <c r="N411" s="1589">
        <v>0</v>
      </c>
      <c r="O411" s="1589">
        <v>0</v>
      </c>
      <c r="P411" s="1589">
        <v>0</v>
      </c>
      <c r="Q411" s="1589">
        <v>0</v>
      </c>
    </row>
    <row r="412" spans="1:17">
      <c r="A412" s="1726" t="s">
        <v>2553</v>
      </c>
      <c r="B412" s="1589">
        <v>0</v>
      </c>
      <c r="C412" s="1589">
        <v>0</v>
      </c>
      <c r="D412" s="1589">
        <v>0</v>
      </c>
      <c r="E412" s="1589">
        <v>0</v>
      </c>
      <c r="F412" s="1589">
        <v>0</v>
      </c>
      <c r="G412" s="1589">
        <v>0</v>
      </c>
      <c r="H412" s="1589">
        <v>0</v>
      </c>
      <c r="I412" s="1589">
        <v>0</v>
      </c>
      <c r="J412" s="1589">
        <v>0</v>
      </c>
      <c r="K412" s="1589">
        <v>0</v>
      </c>
      <c r="L412" s="1589">
        <v>0</v>
      </c>
      <c r="M412" s="1589">
        <v>0</v>
      </c>
      <c r="N412" s="1589">
        <v>0</v>
      </c>
      <c r="O412" s="1589">
        <v>0</v>
      </c>
      <c r="P412" s="1589">
        <v>0</v>
      </c>
      <c r="Q412" s="1589">
        <v>0</v>
      </c>
    </row>
    <row r="413" spans="1:17">
      <c r="A413" s="1727" t="s">
        <v>663</v>
      </c>
      <c r="B413" s="1589">
        <v>0</v>
      </c>
      <c r="C413" s="1589">
        <v>0</v>
      </c>
      <c r="D413" s="1589">
        <v>0</v>
      </c>
      <c r="E413" s="1589">
        <v>0</v>
      </c>
      <c r="F413" s="1589">
        <v>0</v>
      </c>
      <c r="G413" s="1589">
        <v>0</v>
      </c>
      <c r="H413" s="1589">
        <v>0</v>
      </c>
      <c r="I413" s="1589">
        <v>0</v>
      </c>
      <c r="J413" s="1589">
        <v>0</v>
      </c>
      <c r="K413" s="1589">
        <v>0</v>
      </c>
      <c r="L413" s="1589">
        <v>0</v>
      </c>
      <c r="M413" s="1589">
        <v>0</v>
      </c>
      <c r="N413" s="1589">
        <v>0</v>
      </c>
      <c r="O413" s="1589">
        <v>0</v>
      </c>
      <c r="P413" s="1589">
        <v>0</v>
      </c>
      <c r="Q413" s="1589">
        <v>0</v>
      </c>
    </row>
    <row r="414" spans="1:17">
      <c r="A414" s="1727" t="s">
        <v>665</v>
      </c>
      <c r="B414" s="1589">
        <v>0</v>
      </c>
      <c r="C414" s="1589">
        <v>0</v>
      </c>
      <c r="D414" s="1589">
        <v>0</v>
      </c>
      <c r="E414" s="1589">
        <v>0</v>
      </c>
      <c r="F414" s="1589">
        <v>0</v>
      </c>
      <c r="G414" s="1589">
        <v>0</v>
      </c>
      <c r="H414" s="1589">
        <v>0</v>
      </c>
      <c r="I414" s="1589">
        <v>0</v>
      </c>
      <c r="J414" s="1589">
        <v>0</v>
      </c>
      <c r="K414" s="1589">
        <v>0</v>
      </c>
      <c r="L414" s="1589">
        <v>0</v>
      </c>
      <c r="M414" s="1589">
        <v>0</v>
      </c>
      <c r="N414" s="1589">
        <v>0</v>
      </c>
      <c r="O414" s="1589">
        <v>0</v>
      </c>
      <c r="P414" s="1589">
        <v>0</v>
      </c>
      <c r="Q414" s="1589">
        <v>0</v>
      </c>
    </row>
    <row r="415" spans="1:17">
      <c r="A415" s="1727" t="s">
        <v>597</v>
      </c>
      <c r="B415" s="1589">
        <v>0</v>
      </c>
      <c r="C415" s="1589">
        <v>0</v>
      </c>
      <c r="D415" s="1589">
        <v>0</v>
      </c>
      <c r="E415" s="1589">
        <v>0</v>
      </c>
      <c r="F415" s="1589">
        <v>0</v>
      </c>
      <c r="G415" s="1589">
        <v>0</v>
      </c>
      <c r="H415" s="1589">
        <v>0</v>
      </c>
      <c r="I415" s="1589">
        <v>0</v>
      </c>
      <c r="J415" s="1589">
        <v>0</v>
      </c>
      <c r="K415" s="1589">
        <v>0</v>
      </c>
      <c r="L415" s="1589">
        <v>0</v>
      </c>
      <c r="M415" s="1589">
        <v>0</v>
      </c>
      <c r="N415" s="1589">
        <v>0</v>
      </c>
      <c r="O415" s="1589">
        <v>0</v>
      </c>
      <c r="P415" s="1589">
        <v>0</v>
      </c>
      <c r="Q415" s="1589">
        <v>0</v>
      </c>
    </row>
    <row r="416" spans="1:17">
      <c r="A416" s="1727" t="s">
        <v>528</v>
      </c>
      <c r="B416" s="1589">
        <v>0</v>
      </c>
      <c r="C416" s="1589">
        <v>0</v>
      </c>
      <c r="D416" s="1589">
        <v>0</v>
      </c>
      <c r="E416" s="1589">
        <v>0</v>
      </c>
      <c r="F416" s="1589">
        <v>0</v>
      </c>
      <c r="G416" s="1589">
        <v>0</v>
      </c>
      <c r="H416" s="1589">
        <v>0</v>
      </c>
      <c r="I416" s="1589">
        <v>0</v>
      </c>
      <c r="J416" s="1589">
        <v>0</v>
      </c>
      <c r="K416" s="1589">
        <v>0</v>
      </c>
      <c r="L416" s="1589">
        <v>0</v>
      </c>
      <c r="M416" s="1589">
        <v>0</v>
      </c>
      <c r="N416" s="1589">
        <v>0</v>
      </c>
      <c r="O416" s="1589">
        <v>0</v>
      </c>
      <c r="P416" s="1589">
        <v>0</v>
      </c>
      <c r="Q416" s="1589">
        <v>0</v>
      </c>
    </row>
    <row r="417" spans="1:17">
      <c r="A417" s="1727" t="s">
        <v>530</v>
      </c>
      <c r="B417" s="1589">
        <v>0</v>
      </c>
      <c r="C417" s="1589">
        <v>0</v>
      </c>
      <c r="D417" s="1589">
        <v>0</v>
      </c>
      <c r="E417" s="1589">
        <v>0</v>
      </c>
      <c r="F417" s="1589">
        <v>0</v>
      </c>
      <c r="G417" s="1589">
        <v>0</v>
      </c>
      <c r="H417" s="1589">
        <v>0</v>
      </c>
      <c r="I417" s="1589">
        <v>0</v>
      </c>
      <c r="J417" s="1589">
        <v>0</v>
      </c>
      <c r="K417" s="1589">
        <v>0</v>
      </c>
      <c r="L417" s="1589">
        <v>0</v>
      </c>
      <c r="M417" s="1589">
        <v>0</v>
      </c>
      <c r="N417" s="1589">
        <v>0</v>
      </c>
      <c r="O417" s="1589">
        <v>0</v>
      </c>
      <c r="P417" s="1589">
        <v>0</v>
      </c>
      <c r="Q417" s="1589">
        <v>0</v>
      </c>
    </row>
    <row r="418" spans="1:17">
      <c r="A418" s="1727" t="s">
        <v>532</v>
      </c>
      <c r="B418" s="1589">
        <v>0</v>
      </c>
      <c r="C418" s="1589">
        <v>0</v>
      </c>
      <c r="D418" s="1589">
        <v>0</v>
      </c>
      <c r="E418" s="1589">
        <v>0</v>
      </c>
      <c r="F418" s="1589">
        <v>0</v>
      </c>
      <c r="G418" s="1589">
        <v>0</v>
      </c>
      <c r="H418" s="1589">
        <v>0</v>
      </c>
      <c r="I418" s="1589">
        <v>0</v>
      </c>
      <c r="J418" s="1589">
        <v>0</v>
      </c>
      <c r="K418" s="1589">
        <v>0</v>
      </c>
      <c r="L418" s="1589">
        <v>0</v>
      </c>
      <c r="M418" s="1589">
        <v>0</v>
      </c>
      <c r="N418" s="1589">
        <v>0</v>
      </c>
      <c r="O418" s="1589">
        <v>0</v>
      </c>
      <c r="P418" s="1589">
        <v>0</v>
      </c>
      <c r="Q418" s="1589">
        <v>0</v>
      </c>
    </row>
    <row r="419" spans="1:17">
      <c r="A419" s="1727" t="s">
        <v>534</v>
      </c>
      <c r="B419" s="1589">
        <v>0</v>
      </c>
      <c r="C419" s="1589">
        <v>0</v>
      </c>
      <c r="D419" s="1589">
        <v>0</v>
      </c>
      <c r="E419" s="1589">
        <v>0</v>
      </c>
      <c r="F419" s="1589">
        <v>0</v>
      </c>
      <c r="G419" s="1589">
        <v>0</v>
      </c>
      <c r="H419" s="1589">
        <v>0</v>
      </c>
      <c r="I419" s="1589">
        <v>0</v>
      </c>
      <c r="J419" s="1589">
        <v>0</v>
      </c>
      <c r="K419" s="1589">
        <v>0</v>
      </c>
      <c r="L419" s="1589">
        <v>0</v>
      </c>
      <c r="M419" s="1589">
        <v>0</v>
      </c>
      <c r="N419" s="1589">
        <v>0</v>
      </c>
      <c r="O419" s="1589">
        <v>0</v>
      </c>
      <c r="P419" s="1589">
        <v>0</v>
      </c>
      <c r="Q419" s="1589">
        <v>0</v>
      </c>
    </row>
    <row r="420" spans="1:17">
      <c r="A420" s="1727" t="s">
        <v>536</v>
      </c>
      <c r="B420" s="1589">
        <v>0</v>
      </c>
      <c r="C420" s="1589">
        <v>0</v>
      </c>
      <c r="D420" s="1589">
        <v>0</v>
      </c>
      <c r="E420" s="1589">
        <v>0</v>
      </c>
      <c r="F420" s="1589">
        <v>0</v>
      </c>
      <c r="G420" s="1589">
        <v>0</v>
      </c>
      <c r="H420" s="1589">
        <v>0</v>
      </c>
      <c r="I420" s="1589">
        <v>0</v>
      </c>
      <c r="J420" s="1589">
        <v>0</v>
      </c>
      <c r="K420" s="1589">
        <v>0</v>
      </c>
      <c r="L420" s="1589">
        <v>0</v>
      </c>
      <c r="M420" s="1589">
        <v>0</v>
      </c>
      <c r="N420" s="1589">
        <v>0</v>
      </c>
      <c r="O420" s="1589">
        <v>0</v>
      </c>
      <c r="P420" s="1589">
        <v>0</v>
      </c>
      <c r="Q420" s="1589">
        <v>0</v>
      </c>
    </row>
    <row r="421" spans="1:17">
      <c r="A421" s="1727" t="s">
        <v>538</v>
      </c>
      <c r="B421" s="1589">
        <v>0</v>
      </c>
      <c r="C421" s="1589">
        <v>0</v>
      </c>
      <c r="D421" s="1589">
        <v>0</v>
      </c>
      <c r="E421" s="1589">
        <v>0</v>
      </c>
      <c r="F421" s="1589">
        <v>0</v>
      </c>
      <c r="G421" s="1589">
        <v>0</v>
      </c>
      <c r="H421" s="1589">
        <v>0</v>
      </c>
      <c r="I421" s="1589">
        <v>0</v>
      </c>
      <c r="J421" s="1589">
        <v>0</v>
      </c>
      <c r="K421" s="1589">
        <v>0</v>
      </c>
      <c r="L421" s="1589">
        <v>0</v>
      </c>
      <c r="M421" s="1589">
        <v>0</v>
      </c>
      <c r="N421" s="1589">
        <v>0</v>
      </c>
      <c r="O421" s="1589">
        <v>0</v>
      </c>
      <c r="P421" s="1589">
        <v>0</v>
      </c>
      <c r="Q421" s="1589">
        <v>0</v>
      </c>
    </row>
    <row r="422" spans="1:17">
      <c r="A422" s="1727" t="s">
        <v>540</v>
      </c>
      <c r="B422" s="1589">
        <v>0</v>
      </c>
      <c r="C422" s="1589">
        <v>0</v>
      </c>
      <c r="D422" s="1589">
        <v>0</v>
      </c>
      <c r="E422" s="1589">
        <v>0</v>
      </c>
      <c r="F422" s="1589">
        <v>0</v>
      </c>
      <c r="G422" s="1589">
        <v>0</v>
      </c>
      <c r="H422" s="1589">
        <v>0</v>
      </c>
      <c r="I422" s="1589">
        <v>0</v>
      </c>
      <c r="J422" s="1589">
        <v>0</v>
      </c>
      <c r="K422" s="1589">
        <v>0</v>
      </c>
      <c r="L422" s="1589">
        <v>0</v>
      </c>
      <c r="M422" s="1589">
        <v>0</v>
      </c>
      <c r="N422" s="1589">
        <v>0</v>
      </c>
      <c r="O422" s="1589">
        <v>0</v>
      </c>
      <c r="P422" s="1589">
        <v>0</v>
      </c>
      <c r="Q422" s="1589">
        <v>0</v>
      </c>
    </row>
    <row r="423" spans="1:17">
      <c r="A423" s="1726" t="s">
        <v>2552</v>
      </c>
      <c r="B423" s="1589">
        <v>0</v>
      </c>
      <c r="C423" s="1589">
        <v>0</v>
      </c>
      <c r="D423" s="1589">
        <v>0</v>
      </c>
      <c r="E423" s="1589">
        <v>0</v>
      </c>
      <c r="F423" s="1589">
        <v>0</v>
      </c>
      <c r="G423" s="1589">
        <v>0</v>
      </c>
      <c r="H423" s="1589">
        <v>0</v>
      </c>
      <c r="I423" s="1589">
        <v>0</v>
      </c>
      <c r="J423" s="1589">
        <v>0</v>
      </c>
      <c r="K423" s="1589">
        <v>0</v>
      </c>
      <c r="L423" s="1589">
        <v>0</v>
      </c>
      <c r="M423" s="1589">
        <v>0</v>
      </c>
      <c r="N423" s="1589">
        <v>0</v>
      </c>
      <c r="O423" s="1589">
        <v>0</v>
      </c>
      <c r="P423" s="1589">
        <v>0</v>
      </c>
      <c r="Q423" s="1589">
        <v>0</v>
      </c>
    </row>
    <row r="424" spans="1:17">
      <c r="A424" s="1727" t="s">
        <v>663</v>
      </c>
      <c r="B424" s="1589">
        <v>0</v>
      </c>
      <c r="C424" s="1589">
        <v>0</v>
      </c>
      <c r="D424" s="1589">
        <v>0</v>
      </c>
      <c r="E424" s="1589">
        <v>0</v>
      </c>
      <c r="F424" s="1589">
        <v>0</v>
      </c>
      <c r="G424" s="1589">
        <v>0</v>
      </c>
      <c r="H424" s="1589">
        <v>0</v>
      </c>
      <c r="I424" s="1589">
        <v>0</v>
      </c>
      <c r="J424" s="1589">
        <v>0</v>
      </c>
      <c r="K424" s="1589">
        <v>0</v>
      </c>
      <c r="L424" s="1589">
        <v>0</v>
      </c>
      <c r="M424" s="1589">
        <v>0</v>
      </c>
      <c r="N424" s="1589">
        <v>0</v>
      </c>
      <c r="O424" s="1589">
        <v>0</v>
      </c>
      <c r="P424" s="1589">
        <v>0</v>
      </c>
      <c r="Q424" s="1589">
        <v>0</v>
      </c>
    </row>
    <row r="425" spans="1:17">
      <c r="A425" s="1727" t="s">
        <v>665</v>
      </c>
      <c r="B425" s="1589">
        <v>0</v>
      </c>
      <c r="C425" s="1589">
        <v>0</v>
      </c>
      <c r="D425" s="1589">
        <v>0</v>
      </c>
      <c r="E425" s="1589">
        <v>0</v>
      </c>
      <c r="F425" s="1589">
        <v>0</v>
      </c>
      <c r="G425" s="1589">
        <v>0</v>
      </c>
      <c r="H425" s="1589">
        <v>0</v>
      </c>
      <c r="I425" s="1589">
        <v>0</v>
      </c>
      <c r="J425" s="1589">
        <v>0</v>
      </c>
      <c r="K425" s="1589">
        <v>0</v>
      </c>
      <c r="L425" s="1589">
        <v>0</v>
      </c>
      <c r="M425" s="1589">
        <v>0</v>
      </c>
      <c r="N425" s="1589">
        <v>0</v>
      </c>
      <c r="O425" s="1589">
        <v>0</v>
      </c>
      <c r="P425" s="1589">
        <v>0</v>
      </c>
      <c r="Q425" s="1589">
        <v>0</v>
      </c>
    </row>
    <row r="426" spans="1:17">
      <c r="A426" s="1727" t="s">
        <v>597</v>
      </c>
      <c r="B426" s="1589">
        <v>0</v>
      </c>
      <c r="C426" s="1589">
        <v>0</v>
      </c>
      <c r="D426" s="1589">
        <v>0</v>
      </c>
      <c r="E426" s="1589">
        <v>0</v>
      </c>
      <c r="F426" s="1589">
        <v>0</v>
      </c>
      <c r="G426" s="1589">
        <v>0</v>
      </c>
      <c r="H426" s="1589">
        <v>0</v>
      </c>
      <c r="I426" s="1589">
        <v>0</v>
      </c>
      <c r="J426" s="1589">
        <v>0</v>
      </c>
      <c r="K426" s="1589">
        <v>0</v>
      </c>
      <c r="L426" s="1589">
        <v>0</v>
      </c>
      <c r="M426" s="1589">
        <v>0</v>
      </c>
      <c r="N426" s="1589">
        <v>0</v>
      </c>
      <c r="O426" s="1589">
        <v>0</v>
      </c>
      <c r="P426" s="1589">
        <v>0</v>
      </c>
      <c r="Q426" s="1589">
        <v>0</v>
      </c>
    </row>
    <row r="427" spans="1:17">
      <c r="A427" s="1727" t="s">
        <v>528</v>
      </c>
      <c r="B427" s="1589">
        <v>0</v>
      </c>
      <c r="C427" s="1589">
        <v>0</v>
      </c>
      <c r="D427" s="1589">
        <v>0</v>
      </c>
      <c r="E427" s="1589">
        <v>0</v>
      </c>
      <c r="F427" s="1589">
        <v>0</v>
      </c>
      <c r="G427" s="1589">
        <v>0</v>
      </c>
      <c r="H427" s="1589">
        <v>0</v>
      </c>
      <c r="I427" s="1589">
        <v>0</v>
      </c>
      <c r="J427" s="1589">
        <v>0</v>
      </c>
      <c r="K427" s="1589">
        <v>0</v>
      </c>
      <c r="L427" s="1589">
        <v>0</v>
      </c>
      <c r="M427" s="1589">
        <v>0</v>
      </c>
      <c r="N427" s="1589">
        <v>0</v>
      </c>
      <c r="O427" s="1589">
        <v>0</v>
      </c>
      <c r="P427" s="1589">
        <v>0</v>
      </c>
      <c r="Q427" s="1589">
        <v>0</v>
      </c>
    </row>
    <row r="428" spans="1:17">
      <c r="A428" s="1727" t="s">
        <v>530</v>
      </c>
      <c r="B428" s="1589">
        <v>0</v>
      </c>
      <c r="C428" s="1589">
        <v>0</v>
      </c>
      <c r="D428" s="1589">
        <v>0</v>
      </c>
      <c r="E428" s="1589">
        <v>0</v>
      </c>
      <c r="F428" s="1589">
        <v>0</v>
      </c>
      <c r="G428" s="1589">
        <v>0</v>
      </c>
      <c r="H428" s="1589">
        <v>0</v>
      </c>
      <c r="I428" s="1589">
        <v>0</v>
      </c>
      <c r="J428" s="1589">
        <v>0</v>
      </c>
      <c r="K428" s="1589">
        <v>0</v>
      </c>
      <c r="L428" s="1589">
        <v>0</v>
      </c>
      <c r="M428" s="1589">
        <v>0</v>
      </c>
      <c r="N428" s="1589">
        <v>0</v>
      </c>
      <c r="O428" s="1589">
        <v>0</v>
      </c>
      <c r="P428" s="1589">
        <v>0</v>
      </c>
      <c r="Q428" s="1589">
        <v>0</v>
      </c>
    </row>
    <row r="429" spans="1:17">
      <c r="A429" s="1727" t="s">
        <v>532</v>
      </c>
      <c r="B429" s="1589">
        <v>0</v>
      </c>
      <c r="C429" s="1589">
        <v>0</v>
      </c>
      <c r="D429" s="1589">
        <v>0</v>
      </c>
      <c r="E429" s="1589">
        <v>0</v>
      </c>
      <c r="F429" s="1589">
        <v>0</v>
      </c>
      <c r="G429" s="1589">
        <v>0</v>
      </c>
      <c r="H429" s="1589">
        <v>0</v>
      </c>
      <c r="I429" s="1589">
        <v>0</v>
      </c>
      <c r="J429" s="1589">
        <v>0</v>
      </c>
      <c r="K429" s="1589">
        <v>0</v>
      </c>
      <c r="L429" s="1589">
        <v>0</v>
      </c>
      <c r="M429" s="1589">
        <v>0</v>
      </c>
      <c r="N429" s="1589">
        <v>0</v>
      </c>
      <c r="O429" s="1589">
        <v>0</v>
      </c>
      <c r="P429" s="1589">
        <v>0</v>
      </c>
      <c r="Q429" s="1589">
        <v>0</v>
      </c>
    </row>
    <row r="430" spans="1:17">
      <c r="A430" s="1727" t="s">
        <v>534</v>
      </c>
      <c r="B430" s="1589">
        <v>0</v>
      </c>
      <c r="C430" s="1589">
        <v>0</v>
      </c>
      <c r="D430" s="1589">
        <v>0</v>
      </c>
      <c r="E430" s="1589">
        <v>0</v>
      </c>
      <c r="F430" s="1589">
        <v>0</v>
      </c>
      <c r="G430" s="1589">
        <v>0</v>
      </c>
      <c r="H430" s="1589">
        <v>0</v>
      </c>
      <c r="I430" s="1589">
        <v>0</v>
      </c>
      <c r="J430" s="1589">
        <v>0</v>
      </c>
      <c r="K430" s="1589">
        <v>0</v>
      </c>
      <c r="L430" s="1589">
        <v>0</v>
      </c>
      <c r="M430" s="1589">
        <v>0</v>
      </c>
      <c r="N430" s="1589">
        <v>0</v>
      </c>
      <c r="O430" s="1589">
        <v>0</v>
      </c>
      <c r="P430" s="1589">
        <v>0</v>
      </c>
      <c r="Q430" s="1589">
        <v>0</v>
      </c>
    </row>
    <row r="431" spans="1:17">
      <c r="A431" s="1727" t="s">
        <v>536</v>
      </c>
      <c r="B431" s="1589">
        <v>0</v>
      </c>
      <c r="C431" s="1589">
        <v>0</v>
      </c>
      <c r="D431" s="1589">
        <v>0</v>
      </c>
      <c r="E431" s="1589">
        <v>0</v>
      </c>
      <c r="F431" s="1589">
        <v>0</v>
      </c>
      <c r="G431" s="1589">
        <v>0</v>
      </c>
      <c r="H431" s="1589">
        <v>0</v>
      </c>
      <c r="I431" s="1589">
        <v>0</v>
      </c>
      <c r="J431" s="1589">
        <v>0</v>
      </c>
      <c r="K431" s="1589">
        <v>0</v>
      </c>
      <c r="L431" s="1589">
        <v>0</v>
      </c>
      <c r="M431" s="1589">
        <v>0</v>
      </c>
      <c r="N431" s="1589">
        <v>0</v>
      </c>
      <c r="O431" s="1589">
        <v>0</v>
      </c>
      <c r="P431" s="1589">
        <v>0</v>
      </c>
      <c r="Q431" s="1589">
        <v>0</v>
      </c>
    </row>
    <row r="432" spans="1:17">
      <c r="A432" s="1727" t="s">
        <v>538</v>
      </c>
      <c r="B432" s="1589">
        <v>0</v>
      </c>
      <c r="C432" s="1589">
        <v>0</v>
      </c>
      <c r="D432" s="1589">
        <v>0</v>
      </c>
      <c r="E432" s="1589">
        <v>0</v>
      </c>
      <c r="F432" s="1589">
        <v>0</v>
      </c>
      <c r="G432" s="1589">
        <v>0</v>
      </c>
      <c r="H432" s="1589">
        <v>0</v>
      </c>
      <c r="I432" s="1589">
        <v>0</v>
      </c>
      <c r="J432" s="1589">
        <v>0</v>
      </c>
      <c r="K432" s="1589">
        <v>0</v>
      </c>
      <c r="L432" s="1589">
        <v>0</v>
      </c>
      <c r="M432" s="1589">
        <v>0</v>
      </c>
      <c r="N432" s="1589">
        <v>0</v>
      </c>
      <c r="O432" s="1589">
        <v>0</v>
      </c>
      <c r="P432" s="1589">
        <v>0</v>
      </c>
      <c r="Q432" s="1589">
        <v>0</v>
      </c>
    </row>
    <row r="433" spans="1:17">
      <c r="A433" s="1727" t="s">
        <v>540</v>
      </c>
      <c r="B433" s="1589">
        <v>0</v>
      </c>
      <c r="C433" s="1589">
        <v>0</v>
      </c>
      <c r="D433" s="1589">
        <v>0</v>
      </c>
      <c r="E433" s="1589">
        <v>0</v>
      </c>
      <c r="F433" s="1589">
        <v>0</v>
      </c>
      <c r="G433" s="1589">
        <v>0</v>
      </c>
      <c r="H433" s="1589">
        <v>0</v>
      </c>
      <c r="I433" s="1589">
        <v>0</v>
      </c>
      <c r="J433" s="1589">
        <v>0</v>
      </c>
      <c r="K433" s="1589">
        <v>0</v>
      </c>
      <c r="L433" s="1589">
        <v>0</v>
      </c>
      <c r="M433" s="1589">
        <v>0</v>
      </c>
      <c r="N433" s="1589">
        <v>0</v>
      </c>
      <c r="O433" s="1589">
        <v>0</v>
      </c>
      <c r="P433" s="1589">
        <v>0</v>
      </c>
      <c r="Q433" s="1589">
        <v>0</v>
      </c>
    </row>
    <row r="434" spans="1:17">
      <c r="A434" s="1726" t="s">
        <v>91</v>
      </c>
      <c r="B434" s="1589">
        <v>0</v>
      </c>
      <c r="C434" s="1589">
        <v>0</v>
      </c>
      <c r="D434" s="1589">
        <v>0</v>
      </c>
      <c r="E434" s="1589">
        <v>0</v>
      </c>
      <c r="F434" s="1589">
        <v>0</v>
      </c>
      <c r="G434" s="1589">
        <v>0</v>
      </c>
      <c r="H434" s="1589">
        <v>0</v>
      </c>
      <c r="I434" s="1589">
        <v>0</v>
      </c>
      <c r="J434" s="1589">
        <v>0</v>
      </c>
      <c r="K434" s="1589">
        <v>0</v>
      </c>
      <c r="L434" s="1589">
        <v>0</v>
      </c>
      <c r="M434" s="1589">
        <v>0</v>
      </c>
      <c r="N434" s="1589">
        <v>0</v>
      </c>
      <c r="O434" s="1589">
        <v>0</v>
      </c>
      <c r="P434" s="1589">
        <v>0</v>
      </c>
      <c r="Q434" s="1589">
        <v>0</v>
      </c>
    </row>
    <row r="435" spans="1:17">
      <c r="A435" s="1727" t="s">
        <v>663</v>
      </c>
      <c r="B435" s="1589">
        <v>0</v>
      </c>
      <c r="C435" s="1589">
        <v>0</v>
      </c>
      <c r="D435" s="1589">
        <v>0</v>
      </c>
      <c r="E435" s="1589">
        <v>0</v>
      </c>
      <c r="F435" s="1589">
        <v>0</v>
      </c>
      <c r="G435" s="1589">
        <v>0</v>
      </c>
      <c r="H435" s="1589">
        <v>0</v>
      </c>
      <c r="I435" s="1589">
        <v>0</v>
      </c>
      <c r="J435" s="1589">
        <v>0</v>
      </c>
      <c r="K435" s="1589">
        <v>0</v>
      </c>
      <c r="L435" s="1589">
        <v>0</v>
      </c>
      <c r="M435" s="1589">
        <v>0</v>
      </c>
      <c r="N435" s="1589">
        <v>0</v>
      </c>
      <c r="O435" s="1589">
        <v>0</v>
      </c>
      <c r="P435" s="1589">
        <v>0</v>
      </c>
      <c r="Q435" s="1589">
        <v>0</v>
      </c>
    </row>
    <row r="436" spans="1:17">
      <c r="A436" s="1727" t="s">
        <v>665</v>
      </c>
      <c r="B436" s="1589">
        <v>0</v>
      </c>
      <c r="C436" s="1589">
        <v>0</v>
      </c>
      <c r="D436" s="1589">
        <v>0</v>
      </c>
      <c r="E436" s="1589">
        <v>0</v>
      </c>
      <c r="F436" s="1589">
        <v>0</v>
      </c>
      <c r="G436" s="1589">
        <v>0</v>
      </c>
      <c r="H436" s="1589">
        <v>0</v>
      </c>
      <c r="I436" s="1589">
        <v>0</v>
      </c>
      <c r="J436" s="1589">
        <v>0</v>
      </c>
      <c r="K436" s="1589">
        <v>0</v>
      </c>
      <c r="L436" s="1589">
        <v>0</v>
      </c>
      <c r="M436" s="1589">
        <v>0</v>
      </c>
      <c r="N436" s="1589">
        <v>0</v>
      </c>
      <c r="O436" s="1589">
        <v>0</v>
      </c>
      <c r="P436" s="1589">
        <v>0</v>
      </c>
      <c r="Q436" s="1589">
        <v>0</v>
      </c>
    </row>
    <row r="437" spans="1:17">
      <c r="A437" s="1727" t="s">
        <v>597</v>
      </c>
      <c r="B437" s="1589">
        <v>0</v>
      </c>
      <c r="C437" s="1589">
        <v>0</v>
      </c>
      <c r="D437" s="1589">
        <v>0</v>
      </c>
      <c r="E437" s="1589">
        <v>0</v>
      </c>
      <c r="F437" s="1589">
        <v>0</v>
      </c>
      <c r="G437" s="1589">
        <v>0</v>
      </c>
      <c r="H437" s="1589">
        <v>0</v>
      </c>
      <c r="I437" s="1589">
        <v>0</v>
      </c>
      <c r="J437" s="1589">
        <v>0</v>
      </c>
      <c r="K437" s="1589">
        <v>0</v>
      </c>
      <c r="L437" s="1589">
        <v>0</v>
      </c>
      <c r="M437" s="1589">
        <v>0</v>
      </c>
      <c r="N437" s="1589">
        <v>0</v>
      </c>
      <c r="O437" s="1589">
        <v>0</v>
      </c>
      <c r="P437" s="1589">
        <v>0</v>
      </c>
      <c r="Q437" s="1589">
        <v>0</v>
      </c>
    </row>
    <row r="438" spans="1:17">
      <c r="A438" s="1727" t="s">
        <v>528</v>
      </c>
      <c r="B438" s="1589">
        <v>0</v>
      </c>
      <c r="C438" s="1589">
        <v>0</v>
      </c>
      <c r="D438" s="1589">
        <v>0</v>
      </c>
      <c r="E438" s="1589">
        <v>0</v>
      </c>
      <c r="F438" s="1589">
        <v>0</v>
      </c>
      <c r="G438" s="1589">
        <v>0</v>
      </c>
      <c r="H438" s="1589">
        <v>0</v>
      </c>
      <c r="I438" s="1589">
        <v>0</v>
      </c>
      <c r="J438" s="1589">
        <v>0</v>
      </c>
      <c r="K438" s="1589">
        <v>0</v>
      </c>
      <c r="L438" s="1589">
        <v>0</v>
      </c>
      <c r="M438" s="1589">
        <v>0</v>
      </c>
      <c r="N438" s="1589">
        <v>0</v>
      </c>
      <c r="O438" s="1589">
        <v>0</v>
      </c>
      <c r="P438" s="1589">
        <v>0</v>
      </c>
      <c r="Q438" s="1589">
        <v>0</v>
      </c>
    </row>
    <row r="439" spans="1:17">
      <c r="A439" s="1727" t="s">
        <v>530</v>
      </c>
      <c r="B439" s="1589">
        <v>0</v>
      </c>
      <c r="C439" s="1589">
        <v>0</v>
      </c>
      <c r="D439" s="1589">
        <v>0</v>
      </c>
      <c r="E439" s="1589">
        <v>0</v>
      </c>
      <c r="F439" s="1589">
        <v>0</v>
      </c>
      <c r="G439" s="1589">
        <v>0</v>
      </c>
      <c r="H439" s="1589">
        <v>0</v>
      </c>
      <c r="I439" s="1589">
        <v>0</v>
      </c>
      <c r="J439" s="1589">
        <v>0</v>
      </c>
      <c r="K439" s="1589">
        <v>0</v>
      </c>
      <c r="L439" s="1589">
        <v>0</v>
      </c>
      <c r="M439" s="1589">
        <v>0</v>
      </c>
      <c r="N439" s="1589">
        <v>0</v>
      </c>
      <c r="O439" s="1589">
        <v>0</v>
      </c>
      <c r="P439" s="1589">
        <v>0</v>
      </c>
      <c r="Q439" s="1589">
        <v>0</v>
      </c>
    </row>
    <row r="440" spans="1:17">
      <c r="A440" s="1727" t="s">
        <v>532</v>
      </c>
      <c r="B440" s="1589">
        <v>0</v>
      </c>
      <c r="C440" s="1589">
        <v>0</v>
      </c>
      <c r="D440" s="1589">
        <v>0</v>
      </c>
      <c r="E440" s="1589">
        <v>0</v>
      </c>
      <c r="F440" s="1589">
        <v>0</v>
      </c>
      <c r="G440" s="1589">
        <v>0</v>
      </c>
      <c r="H440" s="1589">
        <v>0</v>
      </c>
      <c r="I440" s="1589">
        <v>0</v>
      </c>
      <c r="J440" s="1589">
        <v>0</v>
      </c>
      <c r="K440" s="1589">
        <v>0</v>
      </c>
      <c r="L440" s="1589">
        <v>0</v>
      </c>
      <c r="M440" s="1589">
        <v>0</v>
      </c>
      <c r="N440" s="1589">
        <v>0</v>
      </c>
      <c r="O440" s="1589">
        <v>0</v>
      </c>
      <c r="P440" s="1589">
        <v>0</v>
      </c>
      <c r="Q440" s="1589">
        <v>0</v>
      </c>
    </row>
    <row r="441" spans="1:17">
      <c r="A441" s="1727" t="s">
        <v>534</v>
      </c>
      <c r="B441" s="1589">
        <v>0</v>
      </c>
      <c r="C441" s="1589">
        <v>0</v>
      </c>
      <c r="D441" s="1589">
        <v>0</v>
      </c>
      <c r="E441" s="1589">
        <v>0</v>
      </c>
      <c r="F441" s="1589">
        <v>0</v>
      </c>
      <c r="G441" s="1589">
        <v>0</v>
      </c>
      <c r="H441" s="1589">
        <v>0</v>
      </c>
      <c r="I441" s="1589">
        <v>0</v>
      </c>
      <c r="J441" s="1589">
        <v>0</v>
      </c>
      <c r="K441" s="1589">
        <v>0</v>
      </c>
      <c r="L441" s="1589">
        <v>0</v>
      </c>
      <c r="M441" s="1589">
        <v>0</v>
      </c>
      <c r="N441" s="1589">
        <v>0</v>
      </c>
      <c r="O441" s="1589">
        <v>0</v>
      </c>
      <c r="P441" s="1589">
        <v>0</v>
      </c>
      <c r="Q441" s="1589">
        <v>0</v>
      </c>
    </row>
    <row r="442" spans="1:17">
      <c r="A442" s="1727" t="s">
        <v>536</v>
      </c>
      <c r="B442" s="1589">
        <v>0</v>
      </c>
      <c r="C442" s="1589">
        <v>0</v>
      </c>
      <c r="D442" s="1589">
        <v>0</v>
      </c>
      <c r="E442" s="1589">
        <v>0</v>
      </c>
      <c r="F442" s="1589">
        <v>0</v>
      </c>
      <c r="G442" s="1589">
        <v>0</v>
      </c>
      <c r="H442" s="1589">
        <v>0</v>
      </c>
      <c r="I442" s="1589">
        <v>0</v>
      </c>
      <c r="J442" s="1589">
        <v>0</v>
      </c>
      <c r="K442" s="1589">
        <v>0</v>
      </c>
      <c r="L442" s="1589">
        <v>0</v>
      </c>
      <c r="M442" s="1589">
        <v>0</v>
      </c>
      <c r="N442" s="1589">
        <v>0</v>
      </c>
      <c r="O442" s="1589">
        <v>0</v>
      </c>
      <c r="P442" s="1589">
        <v>0</v>
      </c>
      <c r="Q442" s="1589">
        <v>0</v>
      </c>
    </row>
    <row r="443" spans="1:17">
      <c r="A443" s="1727" t="s">
        <v>538</v>
      </c>
      <c r="B443" s="1589">
        <v>0</v>
      </c>
      <c r="C443" s="1589">
        <v>0</v>
      </c>
      <c r="D443" s="1589">
        <v>0</v>
      </c>
      <c r="E443" s="1589">
        <v>0</v>
      </c>
      <c r="F443" s="1589">
        <v>0</v>
      </c>
      <c r="G443" s="1589">
        <v>0</v>
      </c>
      <c r="H443" s="1589">
        <v>0</v>
      </c>
      <c r="I443" s="1589">
        <v>0</v>
      </c>
      <c r="J443" s="1589">
        <v>0</v>
      </c>
      <c r="K443" s="1589">
        <v>0</v>
      </c>
      <c r="L443" s="1589">
        <v>0</v>
      </c>
      <c r="M443" s="1589">
        <v>0</v>
      </c>
      <c r="N443" s="1589">
        <v>0</v>
      </c>
      <c r="O443" s="1589">
        <v>0</v>
      </c>
      <c r="P443" s="1589">
        <v>0</v>
      </c>
      <c r="Q443" s="1589">
        <v>0</v>
      </c>
    </row>
    <row r="444" spans="1:17">
      <c r="A444" s="1727" t="s">
        <v>540</v>
      </c>
      <c r="B444" s="1589">
        <v>0</v>
      </c>
      <c r="C444" s="1589">
        <v>0</v>
      </c>
      <c r="D444" s="1589">
        <v>0</v>
      </c>
      <c r="E444" s="1589">
        <v>0</v>
      </c>
      <c r="F444" s="1589">
        <v>0</v>
      </c>
      <c r="G444" s="1589">
        <v>0</v>
      </c>
      <c r="H444" s="1589">
        <v>0</v>
      </c>
      <c r="I444" s="1589">
        <v>0</v>
      </c>
      <c r="J444" s="1589">
        <v>0</v>
      </c>
      <c r="K444" s="1589">
        <v>0</v>
      </c>
      <c r="L444" s="1589">
        <v>0</v>
      </c>
      <c r="M444" s="1589">
        <v>0</v>
      </c>
      <c r="N444" s="1589">
        <v>0</v>
      </c>
      <c r="O444" s="1589">
        <v>0</v>
      </c>
      <c r="P444" s="1589">
        <v>0</v>
      </c>
      <c r="Q444" s="1589">
        <v>0</v>
      </c>
    </row>
    <row r="445" spans="1:17">
      <c r="A445" s="1726" t="s">
        <v>2551</v>
      </c>
      <c r="B445" s="1589">
        <v>0</v>
      </c>
      <c r="C445" s="1589">
        <v>0</v>
      </c>
      <c r="D445" s="1589">
        <v>0</v>
      </c>
      <c r="E445" s="1589">
        <v>0</v>
      </c>
      <c r="F445" s="1589">
        <v>0</v>
      </c>
      <c r="G445" s="1589">
        <v>0</v>
      </c>
      <c r="H445" s="1589">
        <v>0</v>
      </c>
      <c r="I445" s="1589">
        <v>0</v>
      </c>
      <c r="J445" s="1589">
        <v>0</v>
      </c>
      <c r="K445" s="1589">
        <v>0</v>
      </c>
      <c r="L445" s="1589">
        <v>0</v>
      </c>
      <c r="M445" s="1589">
        <v>0</v>
      </c>
      <c r="N445" s="1589">
        <v>0</v>
      </c>
      <c r="O445" s="1589">
        <v>0</v>
      </c>
      <c r="P445" s="1589">
        <v>0</v>
      </c>
      <c r="Q445" s="1589">
        <v>0</v>
      </c>
    </row>
    <row r="446" spans="1:17">
      <c r="A446" s="1727" t="s">
        <v>663</v>
      </c>
      <c r="B446" s="1589">
        <v>0</v>
      </c>
      <c r="C446" s="1589">
        <v>0</v>
      </c>
      <c r="D446" s="1589">
        <v>0</v>
      </c>
      <c r="E446" s="1589">
        <v>0</v>
      </c>
      <c r="F446" s="1589">
        <v>0</v>
      </c>
      <c r="G446" s="1589">
        <v>0</v>
      </c>
      <c r="H446" s="1589">
        <v>0</v>
      </c>
      <c r="I446" s="1589">
        <v>0</v>
      </c>
      <c r="J446" s="1589">
        <v>0</v>
      </c>
      <c r="K446" s="1589">
        <v>0</v>
      </c>
      <c r="L446" s="1589">
        <v>0</v>
      </c>
      <c r="M446" s="1589">
        <v>0</v>
      </c>
      <c r="N446" s="1589">
        <v>0</v>
      </c>
      <c r="O446" s="1589">
        <v>0</v>
      </c>
      <c r="P446" s="1589">
        <v>0</v>
      </c>
      <c r="Q446" s="1589">
        <v>0</v>
      </c>
    </row>
    <row r="447" spans="1:17">
      <c r="A447" s="1727" t="s">
        <v>665</v>
      </c>
      <c r="B447" s="1589">
        <v>0</v>
      </c>
      <c r="C447" s="1589">
        <v>0</v>
      </c>
      <c r="D447" s="1589">
        <v>0</v>
      </c>
      <c r="E447" s="1589">
        <v>0</v>
      </c>
      <c r="F447" s="1589">
        <v>0</v>
      </c>
      <c r="G447" s="1589">
        <v>0</v>
      </c>
      <c r="H447" s="1589">
        <v>0</v>
      </c>
      <c r="I447" s="1589">
        <v>0</v>
      </c>
      <c r="J447" s="1589">
        <v>0</v>
      </c>
      <c r="K447" s="1589">
        <v>0</v>
      </c>
      <c r="L447" s="1589">
        <v>0</v>
      </c>
      <c r="M447" s="1589">
        <v>0</v>
      </c>
      <c r="N447" s="1589">
        <v>0</v>
      </c>
      <c r="O447" s="1589">
        <v>0</v>
      </c>
      <c r="P447" s="1589">
        <v>0</v>
      </c>
      <c r="Q447" s="1589">
        <v>0</v>
      </c>
    </row>
    <row r="448" spans="1:17">
      <c r="A448" s="1727" t="s">
        <v>597</v>
      </c>
      <c r="B448" s="1589">
        <v>0</v>
      </c>
      <c r="C448" s="1589">
        <v>0</v>
      </c>
      <c r="D448" s="1589">
        <v>0</v>
      </c>
      <c r="E448" s="1589">
        <v>0</v>
      </c>
      <c r="F448" s="1589">
        <v>0</v>
      </c>
      <c r="G448" s="1589">
        <v>0</v>
      </c>
      <c r="H448" s="1589">
        <v>0</v>
      </c>
      <c r="I448" s="1589">
        <v>0</v>
      </c>
      <c r="J448" s="1589">
        <v>0</v>
      </c>
      <c r="K448" s="1589">
        <v>0</v>
      </c>
      <c r="L448" s="1589">
        <v>0</v>
      </c>
      <c r="M448" s="1589">
        <v>0</v>
      </c>
      <c r="N448" s="1589">
        <v>0</v>
      </c>
      <c r="O448" s="1589">
        <v>0</v>
      </c>
      <c r="P448" s="1589">
        <v>0</v>
      </c>
      <c r="Q448" s="1589">
        <v>0</v>
      </c>
    </row>
    <row r="449" spans="1:17">
      <c r="A449" s="1727" t="s">
        <v>528</v>
      </c>
      <c r="B449" s="1589">
        <v>0</v>
      </c>
      <c r="C449" s="1589">
        <v>0</v>
      </c>
      <c r="D449" s="1589">
        <v>0</v>
      </c>
      <c r="E449" s="1589">
        <v>0</v>
      </c>
      <c r="F449" s="1589">
        <v>0</v>
      </c>
      <c r="G449" s="1589">
        <v>0</v>
      </c>
      <c r="H449" s="1589">
        <v>0</v>
      </c>
      <c r="I449" s="1589">
        <v>0</v>
      </c>
      <c r="J449" s="1589">
        <v>0</v>
      </c>
      <c r="K449" s="1589">
        <v>0</v>
      </c>
      <c r="L449" s="1589">
        <v>0</v>
      </c>
      <c r="M449" s="1589">
        <v>0</v>
      </c>
      <c r="N449" s="1589">
        <v>0</v>
      </c>
      <c r="O449" s="1589">
        <v>0</v>
      </c>
      <c r="P449" s="1589">
        <v>0</v>
      </c>
      <c r="Q449" s="1589">
        <v>0</v>
      </c>
    </row>
    <row r="450" spans="1:17">
      <c r="A450" s="1727" t="s">
        <v>530</v>
      </c>
      <c r="B450" s="1589">
        <v>0</v>
      </c>
      <c r="C450" s="1589">
        <v>0</v>
      </c>
      <c r="D450" s="1589">
        <v>0</v>
      </c>
      <c r="E450" s="1589">
        <v>0</v>
      </c>
      <c r="F450" s="1589">
        <v>0</v>
      </c>
      <c r="G450" s="1589">
        <v>0</v>
      </c>
      <c r="H450" s="1589">
        <v>0</v>
      </c>
      <c r="I450" s="1589">
        <v>0</v>
      </c>
      <c r="J450" s="1589">
        <v>0</v>
      </c>
      <c r="K450" s="1589">
        <v>0</v>
      </c>
      <c r="L450" s="1589">
        <v>0</v>
      </c>
      <c r="M450" s="1589">
        <v>0</v>
      </c>
      <c r="N450" s="1589">
        <v>0</v>
      </c>
      <c r="O450" s="1589">
        <v>0</v>
      </c>
      <c r="P450" s="1589">
        <v>0</v>
      </c>
      <c r="Q450" s="1589">
        <v>0</v>
      </c>
    </row>
    <row r="451" spans="1:17">
      <c r="A451" s="1727" t="s">
        <v>532</v>
      </c>
      <c r="B451" s="1589">
        <v>0</v>
      </c>
      <c r="C451" s="1589">
        <v>0</v>
      </c>
      <c r="D451" s="1589">
        <v>0</v>
      </c>
      <c r="E451" s="1589">
        <v>0</v>
      </c>
      <c r="F451" s="1589">
        <v>0</v>
      </c>
      <c r="G451" s="1589">
        <v>0</v>
      </c>
      <c r="H451" s="1589">
        <v>0</v>
      </c>
      <c r="I451" s="1589">
        <v>0</v>
      </c>
      <c r="J451" s="1589">
        <v>0</v>
      </c>
      <c r="K451" s="1589">
        <v>0</v>
      </c>
      <c r="L451" s="1589">
        <v>0</v>
      </c>
      <c r="M451" s="1589">
        <v>0</v>
      </c>
      <c r="N451" s="1589">
        <v>0</v>
      </c>
      <c r="O451" s="1589">
        <v>0</v>
      </c>
      <c r="P451" s="1589">
        <v>0</v>
      </c>
      <c r="Q451" s="1589">
        <v>0</v>
      </c>
    </row>
    <row r="452" spans="1:17">
      <c r="A452" s="1727" t="s">
        <v>534</v>
      </c>
      <c r="B452" s="1589">
        <v>0</v>
      </c>
      <c r="C452" s="1589">
        <v>0</v>
      </c>
      <c r="D452" s="1589">
        <v>0</v>
      </c>
      <c r="E452" s="1589">
        <v>0</v>
      </c>
      <c r="F452" s="1589">
        <v>0</v>
      </c>
      <c r="G452" s="1589">
        <v>0</v>
      </c>
      <c r="H452" s="1589">
        <v>0</v>
      </c>
      <c r="I452" s="1589">
        <v>0</v>
      </c>
      <c r="J452" s="1589">
        <v>0</v>
      </c>
      <c r="K452" s="1589">
        <v>0</v>
      </c>
      <c r="L452" s="1589">
        <v>0</v>
      </c>
      <c r="M452" s="1589">
        <v>0</v>
      </c>
      <c r="N452" s="1589">
        <v>0</v>
      </c>
      <c r="O452" s="1589">
        <v>0</v>
      </c>
      <c r="P452" s="1589">
        <v>0</v>
      </c>
      <c r="Q452" s="1589">
        <v>0</v>
      </c>
    </row>
    <row r="453" spans="1:17">
      <c r="A453" s="1727" t="s">
        <v>536</v>
      </c>
      <c r="B453" s="1589">
        <v>0</v>
      </c>
      <c r="C453" s="1589">
        <v>0</v>
      </c>
      <c r="D453" s="1589">
        <v>0</v>
      </c>
      <c r="E453" s="1589">
        <v>0</v>
      </c>
      <c r="F453" s="1589">
        <v>0</v>
      </c>
      <c r="G453" s="1589">
        <v>0</v>
      </c>
      <c r="H453" s="1589">
        <v>0</v>
      </c>
      <c r="I453" s="1589">
        <v>0</v>
      </c>
      <c r="J453" s="1589">
        <v>0</v>
      </c>
      <c r="K453" s="1589">
        <v>0</v>
      </c>
      <c r="L453" s="1589">
        <v>0</v>
      </c>
      <c r="M453" s="1589">
        <v>0</v>
      </c>
      <c r="N453" s="1589">
        <v>0</v>
      </c>
      <c r="O453" s="1589">
        <v>0</v>
      </c>
      <c r="P453" s="1589">
        <v>0</v>
      </c>
      <c r="Q453" s="1589">
        <v>0</v>
      </c>
    </row>
    <row r="454" spans="1:17">
      <c r="A454" s="1727" t="s">
        <v>538</v>
      </c>
      <c r="B454" s="1589">
        <v>0</v>
      </c>
      <c r="C454" s="1589">
        <v>0</v>
      </c>
      <c r="D454" s="1589">
        <v>0</v>
      </c>
      <c r="E454" s="1589">
        <v>0</v>
      </c>
      <c r="F454" s="1589">
        <v>0</v>
      </c>
      <c r="G454" s="1589">
        <v>0</v>
      </c>
      <c r="H454" s="1589">
        <v>0</v>
      </c>
      <c r="I454" s="1589">
        <v>0</v>
      </c>
      <c r="J454" s="1589">
        <v>0</v>
      </c>
      <c r="K454" s="1589">
        <v>0</v>
      </c>
      <c r="L454" s="1589">
        <v>0</v>
      </c>
      <c r="M454" s="1589">
        <v>0</v>
      </c>
      <c r="N454" s="1589">
        <v>0</v>
      </c>
      <c r="O454" s="1589">
        <v>0</v>
      </c>
      <c r="P454" s="1589">
        <v>0</v>
      </c>
      <c r="Q454" s="1589">
        <v>0</v>
      </c>
    </row>
    <row r="455" spans="1:17">
      <c r="A455" s="1727" t="s">
        <v>540</v>
      </c>
      <c r="B455" s="1589">
        <v>0</v>
      </c>
      <c r="C455" s="1589">
        <v>0</v>
      </c>
      <c r="D455" s="1589">
        <v>0</v>
      </c>
      <c r="E455" s="1589">
        <v>0</v>
      </c>
      <c r="F455" s="1589">
        <v>0</v>
      </c>
      <c r="G455" s="1589">
        <v>0</v>
      </c>
      <c r="H455" s="1589">
        <v>0</v>
      </c>
      <c r="I455" s="1589">
        <v>0</v>
      </c>
      <c r="J455" s="1589">
        <v>0</v>
      </c>
      <c r="K455" s="1589">
        <v>0</v>
      </c>
      <c r="L455" s="1589">
        <v>0</v>
      </c>
      <c r="M455" s="1589">
        <v>0</v>
      </c>
      <c r="N455" s="1589">
        <v>0</v>
      </c>
      <c r="O455" s="1589">
        <v>0</v>
      </c>
      <c r="P455" s="1589">
        <v>0</v>
      </c>
      <c r="Q455" s="1589">
        <v>0</v>
      </c>
    </row>
    <row r="456" spans="1:17">
      <c r="A456" s="1725" t="s">
        <v>668</v>
      </c>
      <c r="B456" s="1589">
        <v>0</v>
      </c>
      <c r="C456" s="1589">
        <v>0</v>
      </c>
      <c r="D456" s="1589">
        <v>0</v>
      </c>
      <c r="E456" s="1589">
        <v>0</v>
      </c>
      <c r="F456" s="1589">
        <v>0</v>
      </c>
      <c r="G456" s="1589">
        <v>0</v>
      </c>
      <c r="H456" s="1589">
        <v>0</v>
      </c>
      <c r="I456" s="1589">
        <v>0</v>
      </c>
      <c r="J456" s="1589">
        <v>0</v>
      </c>
      <c r="K456" s="1589">
        <v>0</v>
      </c>
      <c r="L456" s="1589">
        <v>0</v>
      </c>
      <c r="M456" s="1589">
        <v>0</v>
      </c>
      <c r="N456" s="1589">
        <v>0</v>
      </c>
      <c r="O456" s="1589">
        <v>0</v>
      </c>
      <c r="P456" s="1589">
        <v>0</v>
      </c>
      <c r="Q456" s="1589">
        <v>0</v>
      </c>
    </row>
    <row r="457" spans="1:17">
      <c r="A457" s="1726" t="s">
        <v>2557</v>
      </c>
      <c r="B457" s="1589">
        <v>0</v>
      </c>
      <c r="C457" s="1589">
        <v>0</v>
      </c>
      <c r="D457" s="1589">
        <v>0</v>
      </c>
      <c r="E457" s="1589">
        <v>0</v>
      </c>
      <c r="F457" s="1589">
        <v>0</v>
      </c>
      <c r="G457" s="1589">
        <v>0</v>
      </c>
      <c r="H457" s="1589">
        <v>0</v>
      </c>
      <c r="I457" s="1589">
        <v>0</v>
      </c>
      <c r="J457" s="1589">
        <v>0</v>
      </c>
      <c r="K457" s="1589">
        <v>0</v>
      </c>
      <c r="L457" s="1589">
        <v>0</v>
      </c>
      <c r="M457" s="1589">
        <v>0</v>
      </c>
      <c r="N457" s="1589">
        <v>0</v>
      </c>
      <c r="O457" s="1589">
        <v>0</v>
      </c>
      <c r="P457" s="1589">
        <v>0</v>
      </c>
      <c r="Q457" s="1589">
        <v>0</v>
      </c>
    </row>
    <row r="458" spans="1:17">
      <c r="A458" s="1727" t="s">
        <v>663</v>
      </c>
      <c r="B458" s="1589">
        <v>0</v>
      </c>
      <c r="C458" s="1589">
        <v>0</v>
      </c>
      <c r="D458" s="1589">
        <v>0</v>
      </c>
      <c r="E458" s="1589">
        <v>0</v>
      </c>
      <c r="F458" s="1589">
        <v>0</v>
      </c>
      <c r="G458" s="1589">
        <v>0</v>
      </c>
      <c r="H458" s="1589">
        <v>0</v>
      </c>
      <c r="I458" s="1589">
        <v>0</v>
      </c>
      <c r="J458" s="1589">
        <v>0</v>
      </c>
      <c r="K458" s="1589">
        <v>0</v>
      </c>
      <c r="L458" s="1589">
        <v>0</v>
      </c>
      <c r="M458" s="1589">
        <v>0</v>
      </c>
      <c r="N458" s="1589">
        <v>0</v>
      </c>
      <c r="O458" s="1589">
        <v>0</v>
      </c>
      <c r="P458" s="1589">
        <v>0</v>
      </c>
      <c r="Q458" s="1589">
        <v>0</v>
      </c>
    </row>
    <row r="459" spans="1:17">
      <c r="A459" s="1727" t="s">
        <v>665</v>
      </c>
      <c r="B459" s="1589">
        <v>0</v>
      </c>
      <c r="C459" s="1589">
        <v>0</v>
      </c>
      <c r="D459" s="1589">
        <v>0</v>
      </c>
      <c r="E459" s="1589">
        <v>0</v>
      </c>
      <c r="F459" s="1589">
        <v>0</v>
      </c>
      <c r="G459" s="1589">
        <v>0</v>
      </c>
      <c r="H459" s="1589">
        <v>0</v>
      </c>
      <c r="I459" s="1589">
        <v>0</v>
      </c>
      <c r="J459" s="1589">
        <v>0</v>
      </c>
      <c r="K459" s="1589">
        <v>0</v>
      </c>
      <c r="L459" s="1589">
        <v>0</v>
      </c>
      <c r="M459" s="1589">
        <v>0</v>
      </c>
      <c r="N459" s="1589">
        <v>0</v>
      </c>
      <c r="O459" s="1589">
        <v>0</v>
      </c>
      <c r="P459" s="1589">
        <v>0</v>
      </c>
      <c r="Q459" s="1589">
        <v>0</v>
      </c>
    </row>
    <row r="460" spans="1:17">
      <c r="A460" s="1727" t="s">
        <v>597</v>
      </c>
      <c r="B460" s="1589">
        <v>0</v>
      </c>
      <c r="C460" s="1589">
        <v>0</v>
      </c>
      <c r="D460" s="1589">
        <v>0</v>
      </c>
      <c r="E460" s="1589">
        <v>0</v>
      </c>
      <c r="F460" s="1589">
        <v>0</v>
      </c>
      <c r="G460" s="1589">
        <v>0</v>
      </c>
      <c r="H460" s="1589">
        <v>0</v>
      </c>
      <c r="I460" s="1589">
        <v>0</v>
      </c>
      <c r="J460" s="1589">
        <v>0</v>
      </c>
      <c r="K460" s="1589">
        <v>0</v>
      </c>
      <c r="L460" s="1589">
        <v>0</v>
      </c>
      <c r="M460" s="1589">
        <v>0</v>
      </c>
      <c r="N460" s="1589">
        <v>0</v>
      </c>
      <c r="O460" s="1589">
        <v>0</v>
      </c>
      <c r="P460" s="1589">
        <v>0</v>
      </c>
      <c r="Q460" s="1589">
        <v>0</v>
      </c>
    </row>
    <row r="461" spans="1:17">
      <c r="A461" s="1727" t="s">
        <v>528</v>
      </c>
      <c r="B461" s="1589">
        <v>0</v>
      </c>
      <c r="C461" s="1589">
        <v>0</v>
      </c>
      <c r="D461" s="1589">
        <v>0</v>
      </c>
      <c r="E461" s="1589">
        <v>0</v>
      </c>
      <c r="F461" s="1589">
        <v>0</v>
      </c>
      <c r="G461" s="1589">
        <v>0</v>
      </c>
      <c r="H461" s="1589">
        <v>0</v>
      </c>
      <c r="I461" s="1589">
        <v>0</v>
      </c>
      <c r="J461" s="1589">
        <v>0</v>
      </c>
      <c r="K461" s="1589">
        <v>0</v>
      </c>
      <c r="L461" s="1589">
        <v>0</v>
      </c>
      <c r="M461" s="1589">
        <v>0</v>
      </c>
      <c r="N461" s="1589">
        <v>0</v>
      </c>
      <c r="O461" s="1589">
        <v>0</v>
      </c>
      <c r="P461" s="1589">
        <v>0</v>
      </c>
      <c r="Q461" s="1589">
        <v>0</v>
      </c>
    </row>
    <row r="462" spans="1:17">
      <c r="A462" s="1727" t="s">
        <v>530</v>
      </c>
      <c r="B462" s="1589">
        <v>0</v>
      </c>
      <c r="C462" s="1589">
        <v>0</v>
      </c>
      <c r="D462" s="1589">
        <v>0</v>
      </c>
      <c r="E462" s="1589">
        <v>0</v>
      </c>
      <c r="F462" s="1589">
        <v>0</v>
      </c>
      <c r="G462" s="1589">
        <v>0</v>
      </c>
      <c r="H462" s="1589">
        <v>0</v>
      </c>
      <c r="I462" s="1589">
        <v>0</v>
      </c>
      <c r="J462" s="1589">
        <v>0</v>
      </c>
      <c r="K462" s="1589">
        <v>0</v>
      </c>
      <c r="L462" s="1589">
        <v>0</v>
      </c>
      <c r="M462" s="1589">
        <v>0</v>
      </c>
      <c r="N462" s="1589">
        <v>0</v>
      </c>
      <c r="O462" s="1589">
        <v>0</v>
      </c>
      <c r="P462" s="1589">
        <v>0</v>
      </c>
      <c r="Q462" s="1589">
        <v>0</v>
      </c>
    </row>
    <row r="463" spans="1:17">
      <c r="A463" s="1727" t="s">
        <v>532</v>
      </c>
      <c r="B463" s="1589">
        <v>0</v>
      </c>
      <c r="C463" s="1589">
        <v>0</v>
      </c>
      <c r="D463" s="1589">
        <v>0</v>
      </c>
      <c r="E463" s="1589">
        <v>0</v>
      </c>
      <c r="F463" s="1589">
        <v>0</v>
      </c>
      <c r="G463" s="1589">
        <v>0</v>
      </c>
      <c r="H463" s="1589">
        <v>0</v>
      </c>
      <c r="I463" s="1589">
        <v>0</v>
      </c>
      <c r="J463" s="1589">
        <v>0</v>
      </c>
      <c r="K463" s="1589">
        <v>0</v>
      </c>
      <c r="L463" s="1589">
        <v>0</v>
      </c>
      <c r="M463" s="1589">
        <v>0</v>
      </c>
      <c r="N463" s="1589">
        <v>0</v>
      </c>
      <c r="O463" s="1589">
        <v>0</v>
      </c>
      <c r="P463" s="1589">
        <v>0</v>
      </c>
      <c r="Q463" s="1589">
        <v>0</v>
      </c>
    </row>
    <row r="464" spans="1:17">
      <c r="A464" s="1727" t="s">
        <v>534</v>
      </c>
      <c r="B464" s="1589">
        <v>0</v>
      </c>
      <c r="C464" s="1589">
        <v>0</v>
      </c>
      <c r="D464" s="1589">
        <v>0</v>
      </c>
      <c r="E464" s="1589">
        <v>0</v>
      </c>
      <c r="F464" s="1589">
        <v>0</v>
      </c>
      <c r="G464" s="1589">
        <v>0</v>
      </c>
      <c r="H464" s="1589">
        <v>0</v>
      </c>
      <c r="I464" s="1589">
        <v>0</v>
      </c>
      <c r="J464" s="1589">
        <v>0</v>
      </c>
      <c r="K464" s="1589">
        <v>0</v>
      </c>
      <c r="L464" s="1589">
        <v>0</v>
      </c>
      <c r="M464" s="1589">
        <v>0</v>
      </c>
      <c r="N464" s="1589">
        <v>0</v>
      </c>
      <c r="O464" s="1589">
        <v>0</v>
      </c>
      <c r="P464" s="1589">
        <v>0</v>
      </c>
      <c r="Q464" s="1589">
        <v>0</v>
      </c>
    </row>
    <row r="465" spans="1:17">
      <c r="A465" s="1727" t="s">
        <v>536</v>
      </c>
      <c r="B465" s="1589">
        <v>0</v>
      </c>
      <c r="C465" s="1589">
        <v>0</v>
      </c>
      <c r="D465" s="1589">
        <v>0</v>
      </c>
      <c r="E465" s="1589">
        <v>0</v>
      </c>
      <c r="F465" s="1589">
        <v>0</v>
      </c>
      <c r="G465" s="1589">
        <v>0</v>
      </c>
      <c r="H465" s="1589">
        <v>0</v>
      </c>
      <c r="I465" s="1589">
        <v>0</v>
      </c>
      <c r="J465" s="1589">
        <v>0</v>
      </c>
      <c r="K465" s="1589">
        <v>0</v>
      </c>
      <c r="L465" s="1589">
        <v>0</v>
      </c>
      <c r="M465" s="1589">
        <v>0</v>
      </c>
      <c r="N465" s="1589">
        <v>0</v>
      </c>
      <c r="O465" s="1589">
        <v>0</v>
      </c>
      <c r="P465" s="1589">
        <v>0</v>
      </c>
      <c r="Q465" s="1589">
        <v>0</v>
      </c>
    </row>
    <row r="466" spans="1:17">
      <c r="A466" s="1727" t="s">
        <v>538</v>
      </c>
      <c r="B466" s="1589">
        <v>0</v>
      </c>
      <c r="C466" s="1589">
        <v>0</v>
      </c>
      <c r="D466" s="1589">
        <v>0</v>
      </c>
      <c r="E466" s="1589">
        <v>0</v>
      </c>
      <c r="F466" s="1589">
        <v>0</v>
      </c>
      <c r="G466" s="1589">
        <v>0</v>
      </c>
      <c r="H466" s="1589">
        <v>0</v>
      </c>
      <c r="I466" s="1589">
        <v>0</v>
      </c>
      <c r="J466" s="1589">
        <v>0</v>
      </c>
      <c r="K466" s="1589">
        <v>0</v>
      </c>
      <c r="L466" s="1589">
        <v>0</v>
      </c>
      <c r="M466" s="1589">
        <v>0</v>
      </c>
      <c r="N466" s="1589">
        <v>0</v>
      </c>
      <c r="O466" s="1589">
        <v>0</v>
      </c>
      <c r="P466" s="1589">
        <v>0</v>
      </c>
      <c r="Q466" s="1589">
        <v>0</v>
      </c>
    </row>
    <row r="467" spans="1:17">
      <c r="A467" s="1727" t="s">
        <v>540</v>
      </c>
      <c r="B467" s="1589">
        <v>0</v>
      </c>
      <c r="C467" s="1589">
        <v>0</v>
      </c>
      <c r="D467" s="1589">
        <v>0</v>
      </c>
      <c r="E467" s="1589">
        <v>0</v>
      </c>
      <c r="F467" s="1589">
        <v>0</v>
      </c>
      <c r="G467" s="1589">
        <v>0</v>
      </c>
      <c r="H467" s="1589">
        <v>0</v>
      </c>
      <c r="I467" s="1589">
        <v>0</v>
      </c>
      <c r="J467" s="1589">
        <v>0</v>
      </c>
      <c r="K467" s="1589">
        <v>0</v>
      </c>
      <c r="L467" s="1589">
        <v>0</v>
      </c>
      <c r="M467" s="1589">
        <v>0</v>
      </c>
      <c r="N467" s="1589">
        <v>0</v>
      </c>
      <c r="O467" s="1589">
        <v>0</v>
      </c>
      <c r="P467" s="1589">
        <v>0</v>
      </c>
      <c r="Q467" s="1589">
        <v>0</v>
      </c>
    </row>
    <row r="468" spans="1:17">
      <c r="A468" s="1725" t="s">
        <v>666</v>
      </c>
      <c r="B468" s="1589">
        <v>0</v>
      </c>
      <c r="C468" s="1589">
        <v>0</v>
      </c>
      <c r="D468" s="1589">
        <v>0</v>
      </c>
      <c r="E468" s="1589">
        <v>0</v>
      </c>
      <c r="F468" s="1589">
        <v>0</v>
      </c>
      <c r="G468" s="1589">
        <v>0</v>
      </c>
      <c r="H468" s="1589">
        <v>0</v>
      </c>
      <c r="I468" s="1589">
        <v>0</v>
      </c>
      <c r="J468" s="1589">
        <v>0</v>
      </c>
      <c r="K468" s="1589">
        <v>0</v>
      </c>
      <c r="L468" s="1589">
        <v>0</v>
      </c>
      <c r="M468" s="1589">
        <v>0</v>
      </c>
      <c r="N468" s="1589">
        <v>0</v>
      </c>
      <c r="O468" s="1589">
        <v>0</v>
      </c>
      <c r="P468" s="1589">
        <v>0</v>
      </c>
      <c r="Q468" s="1589">
        <v>0</v>
      </c>
    </row>
    <row r="469" spans="1:17">
      <c r="A469" s="1726" t="s">
        <v>2552</v>
      </c>
      <c r="B469" s="1589">
        <v>0</v>
      </c>
      <c r="C469" s="1589">
        <v>0</v>
      </c>
      <c r="D469" s="1589">
        <v>0</v>
      </c>
      <c r="E469" s="1589">
        <v>0</v>
      </c>
      <c r="F469" s="1589">
        <v>0</v>
      </c>
      <c r="G469" s="1589">
        <v>0</v>
      </c>
      <c r="H469" s="1589">
        <v>0</v>
      </c>
      <c r="I469" s="1589">
        <v>0</v>
      </c>
      <c r="J469" s="1589">
        <v>0</v>
      </c>
      <c r="K469" s="1589">
        <v>0</v>
      </c>
      <c r="L469" s="1589">
        <v>0</v>
      </c>
      <c r="M469" s="1589">
        <v>0</v>
      </c>
      <c r="N469" s="1589">
        <v>0</v>
      </c>
      <c r="O469" s="1589">
        <v>0</v>
      </c>
      <c r="P469" s="1589">
        <v>0</v>
      </c>
      <c r="Q469" s="1589">
        <v>0</v>
      </c>
    </row>
    <row r="470" spans="1:17">
      <c r="A470" s="1727" t="s">
        <v>653</v>
      </c>
      <c r="B470" s="1589">
        <v>0</v>
      </c>
      <c r="C470" s="1589">
        <v>0</v>
      </c>
      <c r="D470" s="1589">
        <v>0</v>
      </c>
      <c r="E470" s="1589">
        <v>0</v>
      </c>
      <c r="F470" s="1589">
        <v>0</v>
      </c>
      <c r="G470" s="1589">
        <v>0</v>
      </c>
      <c r="H470" s="1589">
        <v>0</v>
      </c>
      <c r="I470" s="1589">
        <v>0</v>
      </c>
      <c r="J470" s="1589">
        <v>0</v>
      </c>
      <c r="K470" s="1589">
        <v>0</v>
      </c>
      <c r="L470" s="1589">
        <v>0</v>
      </c>
      <c r="M470" s="1589">
        <v>0</v>
      </c>
      <c r="N470" s="1589">
        <v>0</v>
      </c>
      <c r="O470" s="1589">
        <v>0</v>
      </c>
      <c r="P470" s="1589">
        <v>0</v>
      </c>
      <c r="Q470" s="1589">
        <v>0</v>
      </c>
    </row>
    <row r="471" spans="1:17">
      <c r="A471" s="1725" t="s">
        <v>667</v>
      </c>
      <c r="B471" s="1589">
        <v>0</v>
      </c>
      <c r="C471" s="1589">
        <v>0</v>
      </c>
      <c r="D471" s="1589">
        <v>0</v>
      </c>
      <c r="E471" s="1589">
        <v>0</v>
      </c>
      <c r="F471" s="1589">
        <v>0</v>
      </c>
      <c r="G471" s="1589">
        <v>0</v>
      </c>
      <c r="H471" s="1589">
        <v>0</v>
      </c>
      <c r="I471" s="1589">
        <v>0</v>
      </c>
      <c r="J471" s="1589">
        <v>0</v>
      </c>
      <c r="K471" s="1589">
        <v>0</v>
      </c>
      <c r="L471" s="1589">
        <v>0</v>
      </c>
      <c r="M471" s="1589">
        <v>0</v>
      </c>
      <c r="N471" s="1589">
        <v>0</v>
      </c>
      <c r="O471" s="1589">
        <v>0</v>
      </c>
      <c r="P471" s="1589">
        <v>0</v>
      </c>
      <c r="Q471" s="1589">
        <v>0</v>
      </c>
    </row>
    <row r="472" spans="1:17">
      <c r="A472" s="1726" t="s">
        <v>2552</v>
      </c>
      <c r="B472" s="1589">
        <v>0</v>
      </c>
      <c r="C472" s="1589">
        <v>0</v>
      </c>
      <c r="D472" s="1589">
        <v>0</v>
      </c>
      <c r="E472" s="1589">
        <v>0</v>
      </c>
      <c r="F472" s="1589">
        <v>0</v>
      </c>
      <c r="G472" s="1589">
        <v>0</v>
      </c>
      <c r="H472" s="1589">
        <v>0</v>
      </c>
      <c r="I472" s="1589">
        <v>0</v>
      </c>
      <c r="J472" s="1589">
        <v>0</v>
      </c>
      <c r="K472" s="1589">
        <v>0</v>
      </c>
      <c r="L472" s="1589">
        <v>0</v>
      </c>
      <c r="M472" s="1589">
        <v>0</v>
      </c>
      <c r="N472" s="1589">
        <v>0</v>
      </c>
      <c r="O472" s="1589">
        <v>0</v>
      </c>
      <c r="P472" s="1589">
        <v>0</v>
      </c>
      <c r="Q472" s="1589">
        <v>0</v>
      </c>
    </row>
    <row r="473" spans="1:17">
      <c r="A473" s="1727" t="s">
        <v>664</v>
      </c>
      <c r="B473" s="1589">
        <v>0</v>
      </c>
      <c r="C473" s="1589">
        <v>0</v>
      </c>
      <c r="D473" s="1589">
        <v>0</v>
      </c>
      <c r="E473" s="1589">
        <v>0</v>
      </c>
      <c r="F473" s="1589">
        <v>0</v>
      </c>
      <c r="G473" s="1589">
        <v>0</v>
      </c>
      <c r="H473" s="1589">
        <v>0</v>
      </c>
      <c r="I473" s="1589">
        <v>0</v>
      </c>
      <c r="J473" s="1589">
        <v>0</v>
      </c>
      <c r="K473" s="1589">
        <v>0</v>
      </c>
      <c r="L473" s="1589">
        <v>0</v>
      </c>
      <c r="M473" s="1589">
        <v>0</v>
      </c>
      <c r="N473" s="1589">
        <v>0</v>
      </c>
      <c r="O473" s="1589">
        <v>0</v>
      </c>
      <c r="P473" s="1589">
        <v>0</v>
      </c>
      <c r="Q473" s="1589">
        <v>0</v>
      </c>
    </row>
    <row r="474" spans="1:17">
      <c r="A474" s="1727" t="s">
        <v>528</v>
      </c>
      <c r="B474" s="1589">
        <v>0</v>
      </c>
      <c r="C474" s="1589">
        <v>0</v>
      </c>
      <c r="D474" s="1589">
        <v>0</v>
      </c>
      <c r="E474" s="1589">
        <v>0</v>
      </c>
      <c r="F474" s="1589">
        <v>0</v>
      </c>
      <c r="G474" s="1589">
        <v>0</v>
      </c>
      <c r="H474" s="1589">
        <v>0</v>
      </c>
      <c r="I474" s="1589">
        <v>0</v>
      </c>
      <c r="J474" s="1589">
        <v>0</v>
      </c>
      <c r="K474" s="1589">
        <v>0</v>
      </c>
      <c r="L474" s="1589">
        <v>0</v>
      </c>
      <c r="M474" s="1589">
        <v>0</v>
      </c>
      <c r="N474" s="1589">
        <v>0</v>
      </c>
      <c r="O474" s="1589">
        <v>0</v>
      </c>
      <c r="P474" s="1589">
        <v>0</v>
      </c>
      <c r="Q474" s="1589">
        <v>0</v>
      </c>
    </row>
    <row r="475" spans="1:17">
      <c r="A475" s="1727" t="s">
        <v>530</v>
      </c>
      <c r="B475" s="1589">
        <v>0</v>
      </c>
      <c r="C475" s="1589">
        <v>0</v>
      </c>
      <c r="D475" s="1589">
        <v>0</v>
      </c>
      <c r="E475" s="1589">
        <v>0</v>
      </c>
      <c r="F475" s="1589">
        <v>0</v>
      </c>
      <c r="G475" s="1589">
        <v>0</v>
      </c>
      <c r="H475" s="1589">
        <v>0</v>
      </c>
      <c r="I475" s="1589">
        <v>0</v>
      </c>
      <c r="J475" s="1589">
        <v>0</v>
      </c>
      <c r="K475" s="1589">
        <v>0</v>
      </c>
      <c r="L475" s="1589">
        <v>0</v>
      </c>
      <c r="M475" s="1589">
        <v>0</v>
      </c>
      <c r="N475" s="1589">
        <v>0</v>
      </c>
      <c r="O475" s="1589">
        <v>0</v>
      </c>
      <c r="P475" s="1589">
        <v>0</v>
      </c>
      <c r="Q475" s="1589">
        <v>0</v>
      </c>
    </row>
    <row r="476" spans="1:17">
      <c r="A476" s="1727" t="s">
        <v>532</v>
      </c>
      <c r="B476" s="1589">
        <v>0</v>
      </c>
      <c r="C476" s="1589">
        <v>0</v>
      </c>
      <c r="D476" s="1589">
        <v>0</v>
      </c>
      <c r="E476" s="1589">
        <v>0</v>
      </c>
      <c r="F476" s="1589">
        <v>0</v>
      </c>
      <c r="G476" s="1589">
        <v>0</v>
      </c>
      <c r="H476" s="1589">
        <v>0</v>
      </c>
      <c r="I476" s="1589">
        <v>0</v>
      </c>
      <c r="J476" s="1589">
        <v>0</v>
      </c>
      <c r="K476" s="1589">
        <v>0</v>
      </c>
      <c r="L476" s="1589">
        <v>0</v>
      </c>
      <c r="M476" s="1589">
        <v>0</v>
      </c>
      <c r="N476" s="1589">
        <v>0</v>
      </c>
      <c r="O476" s="1589">
        <v>0</v>
      </c>
      <c r="P476" s="1589">
        <v>0</v>
      </c>
      <c r="Q476" s="1589">
        <v>0</v>
      </c>
    </row>
    <row r="477" spans="1:17">
      <c r="A477" s="1727" t="s">
        <v>534</v>
      </c>
      <c r="B477" s="1589">
        <v>0</v>
      </c>
      <c r="C477" s="1589">
        <v>0</v>
      </c>
      <c r="D477" s="1589">
        <v>0</v>
      </c>
      <c r="E477" s="1589">
        <v>0</v>
      </c>
      <c r="F477" s="1589">
        <v>0</v>
      </c>
      <c r="G477" s="1589">
        <v>0</v>
      </c>
      <c r="H477" s="1589">
        <v>0</v>
      </c>
      <c r="I477" s="1589">
        <v>0</v>
      </c>
      <c r="J477" s="1589">
        <v>0</v>
      </c>
      <c r="K477" s="1589">
        <v>0</v>
      </c>
      <c r="L477" s="1589">
        <v>0</v>
      </c>
      <c r="M477" s="1589">
        <v>0</v>
      </c>
      <c r="N477" s="1589">
        <v>0</v>
      </c>
      <c r="O477" s="1589">
        <v>0</v>
      </c>
      <c r="P477" s="1589">
        <v>0</v>
      </c>
      <c r="Q477" s="1589">
        <v>0</v>
      </c>
    </row>
    <row r="478" spans="1:17">
      <c r="A478" s="1727" t="s">
        <v>536</v>
      </c>
      <c r="B478" s="1589">
        <v>0</v>
      </c>
      <c r="C478" s="1589">
        <v>0</v>
      </c>
      <c r="D478" s="1589">
        <v>0</v>
      </c>
      <c r="E478" s="1589">
        <v>0</v>
      </c>
      <c r="F478" s="1589">
        <v>0</v>
      </c>
      <c r="G478" s="1589">
        <v>0</v>
      </c>
      <c r="H478" s="1589">
        <v>0</v>
      </c>
      <c r="I478" s="1589">
        <v>0</v>
      </c>
      <c r="J478" s="1589">
        <v>0</v>
      </c>
      <c r="K478" s="1589">
        <v>0</v>
      </c>
      <c r="L478" s="1589">
        <v>0</v>
      </c>
      <c r="M478" s="1589">
        <v>0</v>
      </c>
      <c r="N478" s="1589">
        <v>0</v>
      </c>
      <c r="O478" s="1589">
        <v>0</v>
      </c>
      <c r="P478" s="1589">
        <v>0</v>
      </c>
      <c r="Q478" s="1589">
        <v>0</v>
      </c>
    </row>
    <row r="479" spans="1:17">
      <c r="A479" s="1727" t="s">
        <v>538</v>
      </c>
      <c r="B479" s="1589">
        <v>0</v>
      </c>
      <c r="C479" s="1589">
        <v>0</v>
      </c>
      <c r="D479" s="1589">
        <v>0</v>
      </c>
      <c r="E479" s="1589">
        <v>0</v>
      </c>
      <c r="F479" s="1589">
        <v>0</v>
      </c>
      <c r="G479" s="1589">
        <v>0</v>
      </c>
      <c r="H479" s="1589">
        <v>0</v>
      </c>
      <c r="I479" s="1589">
        <v>0</v>
      </c>
      <c r="J479" s="1589">
        <v>0</v>
      </c>
      <c r="K479" s="1589">
        <v>0</v>
      </c>
      <c r="L479" s="1589">
        <v>0</v>
      </c>
      <c r="M479" s="1589">
        <v>0</v>
      </c>
      <c r="N479" s="1589">
        <v>0</v>
      </c>
      <c r="O479" s="1589">
        <v>0</v>
      </c>
      <c r="P479" s="1589">
        <v>0</v>
      </c>
      <c r="Q479" s="1589">
        <v>0</v>
      </c>
    </row>
    <row r="480" spans="1:17">
      <c r="A480" s="1727" t="s">
        <v>540</v>
      </c>
      <c r="B480" s="1589">
        <v>0</v>
      </c>
      <c r="C480" s="1589">
        <v>0</v>
      </c>
      <c r="D480" s="1589">
        <v>0</v>
      </c>
      <c r="E480" s="1589">
        <v>0</v>
      </c>
      <c r="F480" s="1589">
        <v>0</v>
      </c>
      <c r="G480" s="1589">
        <v>0</v>
      </c>
      <c r="H480" s="1589">
        <v>0</v>
      </c>
      <c r="I480" s="1589">
        <v>0</v>
      </c>
      <c r="J480" s="1589">
        <v>0</v>
      </c>
      <c r="K480" s="1589">
        <v>0</v>
      </c>
      <c r="L480" s="1589">
        <v>0</v>
      </c>
      <c r="M480" s="1589">
        <v>0</v>
      </c>
      <c r="N480" s="1589">
        <v>0</v>
      </c>
      <c r="O480" s="1589">
        <v>0</v>
      </c>
      <c r="P480" s="1589">
        <v>0</v>
      </c>
      <c r="Q480" s="1589">
        <v>0</v>
      </c>
    </row>
    <row r="481" spans="1:17">
      <c r="A481" s="1588" t="s">
        <v>612</v>
      </c>
      <c r="B481" s="1589">
        <v>0</v>
      </c>
      <c r="C481" s="1589">
        <v>0</v>
      </c>
      <c r="D481" s="1589">
        <v>0</v>
      </c>
      <c r="E481" s="1589">
        <v>0</v>
      </c>
      <c r="F481" s="1589">
        <v>0</v>
      </c>
      <c r="G481" s="1589">
        <v>0</v>
      </c>
      <c r="H481" s="1589">
        <v>0</v>
      </c>
      <c r="I481" s="1589">
        <v>0</v>
      </c>
      <c r="J481" s="1589">
        <v>0</v>
      </c>
      <c r="K481" s="1589">
        <v>0</v>
      </c>
      <c r="L481" s="1589">
        <v>0</v>
      </c>
      <c r="M481" s="1589">
        <v>0</v>
      </c>
      <c r="N481" s="1589">
        <v>0</v>
      </c>
      <c r="O481" s="1589">
        <v>0</v>
      </c>
      <c r="P481" s="1589">
        <v>0</v>
      </c>
      <c r="Q481" s="1589">
        <v>0</v>
      </c>
    </row>
    <row r="482" spans="1:17">
      <c r="A482" s="1725" t="s">
        <v>621</v>
      </c>
      <c r="B482" s="1589">
        <v>0</v>
      </c>
      <c r="C482" s="1589">
        <v>0</v>
      </c>
      <c r="D482" s="1589">
        <v>0</v>
      </c>
      <c r="E482" s="1589">
        <v>0</v>
      </c>
      <c r="F482" s="1589">
        <v>0</v>
      </c>
      <c r="G482" s="1589">
        <v>0</v>
      </c>
      <c r="H482" s="1589">
        <v>0</v>
      </c>
      <c r="I482" s="1589">
        <v>0</v>
      </c>
      <c r="J482" s="1589">
        <v>0</v>
      </c>
      <c r="K482" s="1589">
        <v>0</v>
      </c>
      <c r="L482" s="1589">
        <v>0</v>
      </c>
      <c r="M482" s="1589">
        <v>0</v>
      </c>
      <c r="N482" s="1589">
        <v>0</v>
      </c>
      <c r="O482" s="1589">
        <v>0</v>
      </c>
      <c r="P482" s="1589">
        <v>0</v>
      </c>
      <c r="Q482" s="1589">
        <v>0</v>
      </c>
    </row>
    <row r="483" spans="1:17">
      <c r="A483" s="1726">
        <v>0</v>
      </c>
      <c r="B483" s="1589">
        <v>0</v>
      </c>
      <c r="C483" s="1589">
        <v>0</v>
      </c>
      <c r="D483" s="1589">
        <v>0</v>
      </c>
      <c r="E483" s="1589">
        <v>0</v>
      </c>
      <c r="F483" s="1589">
        <v>0</v>
      </c>
      <c r="G483" s="1589">
        <v>0</v>
      </c>
      <c r="H483" s="1589">
        <v>0</v>
      </c>
      <c r="I483" s="1589">
        <v>0</v>
      </c>
      <c r="J483" s="1589">
        <v>0</v>
      </c>
      <c r="K483" s="1589">
        <v>0</v>
      </c>
      <c r="L483" s="1589">
        <v>0</v>
      </c>
      <c r="M483" s="1589">
        <v>0</v>
      </c>
      <c r="N483" s="1589">
        <v>0</v>
      </c>
      <c r="O483" s="1589">
        <v>0</v>
      </c>
      <c r="P483" s="1589">
        <v>0</v>
      </c>
      <c r="Q483" s="1589">
        <v>0</v>
      </c>
    </row>
    <row r="484" spans="1:17">
      <c r="A484" s="1727" t="s">
        <v>600</v>
      </c>
      <c r="B484" s="1589">
        <v>0</v>
      </c>
      <c r="C484" s="1589">
        <v>0</v>
      </c>
      <c r="D484" s="1589">
        <v>0</v>
      </c>
      <c r="E484" s="1589">
        <v>0</v>
      </c>
      <c r="F484" s="1589">
        <v>0</v>
      </c>
      <c r="G484" s="1589">
        <v>0</v>
      </c>
      <c r="H484" s="1589">
        <v>0</v>
      </c>
      <c r="I484" s="1589">
        <v>0</v>
      </c>
      <c r="J484" s="1589">
        <v>0</v>
      </c>
      <c r="K484" s="1589">
        <v>0</v>
      </c>
      <c r="L484" s="1589">
        <v>0</v>
      </c>
      <c r="M484" s="1589">
        <v>0</v>
      </c>
      <c r="N484" s="1589">
        <v>0</v>
      </c>
      <c r="O484" s="1589">
        <v>0</v>
      </c>
      <c r="P484" s="1589">
        <v>0</v>
      </c>
      <c r="Q484" s="1589">
        <v>0</v>
      </c>
    </row>
    <row r="485" spans="1:17">
      <c r="A485" s="1727" t="s">
        <v>528</v>
      </c>
      <c r="B485" s="1589">
        <v>0</v>
      </c>
      <c r="C485" s="1589">
        <v>0</v>
      </c>
      <c r="D485" s="1589">
        <v>0</v>
      </c>
      <c r="E485" s="1589">
        <v>0</v>
      </c>
      <c r="F485" s="1589">
        <v>0</v>
      </c>
      <c r="G485" s="1589">
        <v>0</v>
      </c>
      <c r="H485" s="1589">
        <v>0</v>
      </c>
      <c r="I485" s="1589">
        <v>0</v>
      </c>
      <c r="J485" s="1589">
        <v>0</v>
      </c>
      <c r="K485" s="1589">
        <v>0</v>
      </c>
      <c r="L485" s="1589">
        <v>0</v>
      </c>
      <c r="M485" s="1589">
        <v>0</v>
      </c>
      <c r="N485" s="1589">
        <v>0</v>
      </c>
      <c r="O485" s="1589">
        <v>0</v>
      </c>
      <c r="P485" s="1589">
        <v>0</v>
      </c>
      <c r="Q485" s="1589">
        <v>0</v>
      </c>
    </row>
    <row r="486" spans="1:17">
      <c r="A486" s="1727" t="s">
        <v>530</v>
      </c>
      <c r="B486" s="1589">
        <v>0</v>
      </c>
      <c r="C486" s="1589">
        <v>0</v>
      </c>
      <c r="D486" s="1589">
        <v>0</v>
      </c>
      <c r="E486" s="1589">
        <v>0</v>
      </c>
      <c r="F486" s="1589">
        <v>0</v>
      </c>
      <c r="G486" s="1589">
        <v>0</v>
      </c>
      <c r="H486" s="1589">
        <v>0</v>
      </c>
      <c r="I486" s="1589">
        <v>0</v>
      </c>
      <c r="J486" s="1589">
        <v>0</v>
      </c>
      <c r="K486" s="1589">
        <v>0</v>
      </c>
      <c r="L486" s="1589">
        <v>0</v>
      </c>
      <c r="M486" s="1589">
        <v>0</v>
      </c>
      <c r="N486" s="1589">
        <v>0</v>
      </c>
      <c r="O486" s="1589">
        <v>0</v>
      </c>
      <c r="P486" s="1589">
        <v>0</v>
      </c>
      <c r="Q486" s="1589">
        <v>0</v>
      </c>
    </row>
    <row r="487" spans="1:17">
      <c r="A487" s="1727" t="s">
        <v>532</v>
      </c>
      <c r="B487" s="1589">
        <v>0</v>
      </c>
      <c r="C487" s="1589">
        <v>0</v>
      </c>
      <c r="D487" s="1589">
        <v>0</v>
      </c>
      <c r="E487" s="1589">
        <v>0</v>
      </c>
      <c r="F487" s="1589">
        <v>0</v>
      </c>
      <c r="G487" s="1589">
        <v>0</v>
      </c>
      <c r="H487" s="1589">
        <v>0</v>
      </c>
      <c r="I487" s="1589">
        <v>0</v>
      </c>
      <c r="J487" s="1589">
        <v>0</v>
      </c>
      <c r="K487" s="1589">
        <v>0</v>
      </c>
      <c r="L487" s="1589">
        <v>0</v>
      </c>
      <c r="M487" s="1589">
        <v>0</v>
      </c>
      <c r="N487" s="1589">
        <v>0</v>
      </c>
      <c r="O487" s="1589">
        <v>0</v>
      </c>
      <c r="P487" s="1589">
        <v>0</v>
      </c>
      <c r="Q487" s="1589">
        <v>0</v>
      </c>
    </row>
    <row r="488" spans="1:17">
      <c r="A488" s="1727" t="s">
        <v>534</v>
      </c>
      <c r="B488" s="1589">
        <v>0</v>
      </c>
      <c r="C488" s="1589">
        <v>0</v>
      </c>
      <c r="D488" s="1589">
        <v>0</v>
      </c>
      <c r="E488" s="1589">
        <v>0</v>
      </c>
      <c r="F488" s="1589">
        <v>0</v>
      </c>
      <c r="G488" s="1589">
        <v>0</v>
      </c>
      <c r="H488" s="1589">
        <v>0</v>
      </c>
      <c r="I488" s="1589">
        <v>0</v>
      </c>
      <c r="J488" s="1589">
        <v>0</v>
      </c>
      <c r="K488" s="1589">
        <v>0</v>
      </c>
      <c r="L488" s="1589">
        <v>0</v>
      </c>
      <c r="M488" s="1589">
        <v>0</v>
      </c>
      <c r="N488" s="1589">
        <v>0</v>
      </c>
      <c r="O488" s="1589">
        <v>0</v>
      </c>
      <c r="P488" s="1589">
        <v>0</v>
      </c>
      <c r="Q488" s="1589">
        <v>0</v>
      </c>
    </row>
    <row r="489" spans="1:17">
      <c r="A489" s="1727" t="s">
        <v>536</v>
      </c>
      <c r="B489" s="1589">
        <v>0</v>
      </c>
      <c r="C489" s="1589">
        <v>0</v>
      </c>
      <c r="D489" s="1589">
        <v>0</v>
      </c>
      <c r="E489" s="1589">
        <v>0</v>
      </c>
      <c r="F489" s="1589">
        <v>0</v>
      </c>
      <c r="G489" s="1589">
        <v>0</v>
      </c>
      <c r="H489" s="1589">
        <v>0</v>
      </c>
      <c r="I489" s="1589">
        <v>0</v>
      </c>
      <c r="J489" s="1589">
        <v>0</v>
      </c>
      <c r="K489" s="1589">
        <v>0</v>
      </c>
      <c r="L489" s="1589">
        <v>0</v>
      </c>
      <c r="M489" s="1589">
        <v>0</v>
      </c>
      <c r="N489" s="1589">
        <v>0</v>
      </c>
      <c r="O489" s="1589">
        <v>0</v>
      </c>
      <c r="P489" s="1589">
        <v>0</v>
      </c>
      <c r="Q489" s="1589">
        <v>0</v>
      </c>
    </row>
    <row r="490" spans="1:17">
      <c r="A490" s="1727" t="s">
        <v>538</v>
      </c>
      <c r="B490" s="1589">
        <v>0</v>
      </c>
      <c r="C490" s="1589">
        <v>0</v>
      </c>
      <c r="D490" s="1589">
        <v>0</v>
      </c>
      <c r="E490" s="1589">
        <v>0</v>
      </c>
      <c r="F490" s="1589">
        <v>0</v>
      </c>
      <c r="G490" s="1589">
        <v>0</v>
      </c>
      <c r="H490" s="1589">
        <v>0</v>
      </c>
      <c r="I490" s="1589">
        <v>0</v>
      </c>
      <c r="J490" s="1589">
        <v>0</v>
      </c>
      <c r="K490" s="1589">
        <v>0</v>
      </c>
      <c r="L490" s="1589">
        <v>0</v>
      </c>
      <c r="M490" s="1589">
        <v>0</v>
      </c>
      <c r="N490" s="1589">
        <v>0</v>
      </c>
      <c r="O490" s="1589">
        <v>0</v>
      </c>
      <c r="P490" s="1589">
        <v>0</v>
      </c>
      <c r="Q490" s="1589">
        <v>0</v>
      </c>
    </row>
    <row r="491" spans="1:17">
      <c r="A491" s="1727" t="s">
        <v>540</v>
      </c>
      <c r="B491" s="1589">
        <v>0</v>
      </c>
      <c r="C491" s="1589">
        <v>0</v>
      </c>
      <c r="D491" s="1589">
        <v>0</v>
      </c>
      <c r="E491" s="1589">
        <v>0</v>
      </c>
      <c r="F491" s="1589">
        <v>0</v>
      </c>
      <c r="G491" s="1589">
        <v>0</v>
      </c>
      <c r="H491" s="1589">
        <v>0</v>
      </c>
      <c r="I491" s="1589">
        <v>0</v>
      </c>
      <c r="J491" s="1589">
        <v>0</v>
      </c>
      <c r="K491" s="1589">
        <v>0</v>
      </c>
      <c r="L491" s="1589">
        <v>0</v>
      </c>
      <c r="M491" s="1589">
        <v>0</v>
      </c>
      <c r="N491" s="1589">
        <v>0</v>
      </c>
      <c r="O491" s="1589">
        <v>0</v>
      </c>
      <c r="P491" s="1589">
        <v>0</v>
      </c>
      <c r="Q491" s="1589">
        <v>0</v>
      </c>
    </row>
    <row r="492" spans="1:17">
      <c r="A492" s="1725" t="s">
        <v>613</v>
      </c>
      <c r="B492" s="1589">
        <v>0</v>
      </c>
      <c r="C492" s="1589">
        <v>0</v>
      </c>
      <c r="D492" s="1589">
        <v>0</v>
      </c>
      <c r="E492" s="1589">
        <v>0</v>
      </c>
      <c r="F492" s="1589">
        <v>0</v>
      </c>
      <c r="G492" s="1589">
        <v>0</v>
      </c>
      <c r="H492" s="1589">
        <v>0</v>
      </c>
      <c r="I492" s="1589">
        <v>0</v>
      </c>
      <c r="J492" s="1589">
        <v>0</v>
      </c>
      <c r="K492" s="1589">
        <v>0</v>
      </c>
      <c r="L492" s="1589">
        <v>0</v>
      </c>
      <c r="M492" s="1589">
        <v>0</v>
      </c>
      <c r="N492" s="1589">
        <v>0</v>
      </c>
      <c r="O492" s="1589">
        <v>0</v>
      </c>
      <c r="P492" s="1589">
        <v>0</v>
      </c>
      <c r="Q492" s="1589">
        <v>0</v>
      </c>
    </row>
    <row r="493" spans="1:17">
      <c r="A493" s="1726">
        <v>0</v>
      </c>
      <c r="B493" s="1589">
        <v>0</v>
      </c>
      <c r="C493" s="1589">
        <v>0</v>
      </c>
      <c r="D493" s="1589">
        <v>0</v>
      </c>
      <c r="E493" s="1589">
        <v>0</v>
      </c>
      <c r="F493" s="1589">
        <v>0</v>
      </c>
      <c r="G493" s="1589">
        <v>0</v>
      </c>
      <c r="H493" s="1589">
        <v>0</v>
      </c>
      <c r="I493" s="1589">
        <v>0</v>
      </c>
      <c r="J493" s="1589">
        <v>0</v>
      </c>
      <c r="K493" s="1589">
        <v>0</v>
      </c>
      <c r="L493" s="1589">
        <v>0</v>
      </c>
      <c r="M493" s="1589">
        <v>0</v>
      </c>
      <c r="N493" s="1589">
        <v>0</v>
      </c>
      <c r="O493" s="1589">
        <v>0</v>
      </c>
      <c r="P493" s="1589">
        <v>0</v>
      </c>
      <c r="Q493" s="1589">
        <v>0</v>
      </c>
    </row>
    <row r="494" spans="1:17">
      <c r="A494" s="1727" t="s">
        <v>600</v>
      </c>
      <c r="B494" s="1589">
        <v>0</v>
      </c>
      <c r="C494" s="1589">
        <v>0</v>
      </c>
      <c r="D494" s="1589">
        <v>0</v>
      </c>
      <c r="E494" s="1589">
        <v>0</v>
      </c>
      <c r="F494" s="1589">
        <v>0</v>
      </c>
      <c r="G494" s="1589">
        <v>0</v>
      </c>
      <c r="H494" s="1589">
        <v>0</v>
      </c>
      <c r="I494" s="1589">
        <v>0</v>
      </c>
      <c r="J494" s="1589">
        <v>0</v>
      </c>
      <c r="K494" s="1589">
        <v>0</v>
      </c>
      <c r="L494" s="1589">
        <v>0</v>
      </c>
      <c r="M494" s="1589">
        <v>0</v>
      </c>
      <c r="N494" s="1589">
        <v>0</v>
      </c>
      <c r="O494" s="1589">
        <v>0</v>
      </c>
      <c r="P494" s="1589">
        <v>0</v>
      </c>
      <c r="Q494" s="1589">
        <v>0</v>
      </c>
    </row>
    <row r="495" spans="1:17">
      <c r="A495" s="1727" t="s">
        <v>528</v>
      </c>
      <c r="B495" s="1589">
        <v>0</v>
      </c>
      <c r="C495" s="1589">
        <v>0</v>
      </c>
      <c r="D495" s="1589">
        <v>0</v>
      </c>
      <c r="E495" s="1589">
        <v>0</v>
      </c>
      <c r="F495" s="1589">
        <v>0</v>
      </c>
      <c r="G495" s="1589">
        <v>0</v>
      </c>
      <c r="H495" s="1589">
        <v>0</v>
      </c>
      <c r="I495" s="1589">
        <v>0</v>
      </c>
      <c r="J495" s="1589">
        <v>0</v>
      </c>
      <c r="K495" s="1589">
        <v>0</v>
      </c>
      <c r="L495" s="1589">
        <v>0</v>
      </c>
      <c r="M495" s="1589">
        <v>0</v>
      </c>
      <c r="N495" s="1589">
        <v>0</v>
      </c>
      <c r="O495" s="1589">
        <v>0</v>
      </c>
      <c r="P495" s="1589">
        <v>0</v>
      </c>
      <c r="Q495" s="1589">
        <v>0</v>
      </c>
    </row>
    <row r="496" spans="1:17">
      <c r="A496" s="1727" t="s">
        <v>530</v>
      </c>
      <c r="B496" s="1589">
        <v>0</v>
      </c>
      <c r="C496" s="1589">
        <v>0</v>
      </c>
      <c r="D496" s="1589">
        <v>0</v>
      </c>
      <c r="E496" s="1589">
        <v>0</v>
      </c>
      <c r="F496" s="1589">
        <v>0</v>
      </c>
      <c r="G496" s="1589">
        <v>0</v>
      </c>
      <c r="H496" s="1589">
        <v>0</v>
      </c>
      <c r="I496" s="1589">
        <v>0</v>
      </c>
      <c r="J496" s="1589">
        <v>0</v>
      </c>
      <c r="K496" s="1589">
        <v>0</v>
      </c>
      <c r="L496" s="1589">
        <v>0</v>
      </c>
      <c r="M496" s="1589">
        <v>0</v>
      </c>
      <c r="N496" s="1589">
        <v>0</v>
      </c>
      <c r="O496" s="1589">
        <v>0</v>
      </c>
      <c r="P496" s="1589">
        <v>0</v>
      </c>
      <c r="Q496" s="1589">
        <v>0</v>
      </c>
    </row>
    <row r="497" spans="1:17">
      <c r="A497" s="1727" t="s">
        <v>532</v>
      </c>
      <c r="B497" s="1589">
        <v>0</v>
      </c>
      <c r="C497" s="1589">
        <v>0</v>
      </c>
      <c r="D497" s="1589">
        <v>0</v>
      </c>
      <c r="E497" s="1589">
        <v>0</v>
      </c>
      <c r="F497" s="1589">
        <v>0</v>
      </c>
      <c r="G497" s="1589">
        <v>0</v>
      </c>
      <c r="H497" s="1589">
        <v>0</v>
      </c>
      <c r="I497" s="1589">
        <v>0</v>
      </c>
      <c r="J497" s="1589">
        <v>0</v>
      </c>
      <c r="K497" s="1589">
        <v>0</v>
      </c>
      <c r="L497" s="1589">
        <v>0</v>
      </c>
      <c r="M497" s="1589">
        <v>0</v>
      </c>
      <c r="N497" s="1589">
        <v>0</v>
      </c>
      <c r="O497" s="1589">
        <v>0</v>
      </c>
      <c r="P497" s="1589">
        <v>0</v>
      </c>
      <c r="Q497" s="1589">
        <v>0</v>
      </c>
    </row>
    <row r="498" spans="1:17">
      <c r="A498" s="1727" t="s">
        <v>534</v>
      </c>
      <c r="B498" s="1589">
        <v>0</v>
      </c>
      <c r="C498" s="1589">
        <v>0</v>
      </c>
      <c r="D498" s="1589">
        <v>0</v>
      </c>
      <c r="E498" s="1589">
        <v>0</v>
      </c>
      <c r="F498" s="1589">
        <v>0</v>
      </c>
      <c r="G498" s="1589">
        <v>0</v>
      </c>
      <c r="H498" s="1589">
        <v>0</v>
      </c>
      <c r="I498" s="1589">
        <v>0</v>
      </c>
      <c r="J498" s="1589">
        <v>0</v>
      </c>
      <c r="K498" s="1589">
        <v>0</v>
      </c>
      <c r="L498" s="1589">
        <v>0</v>
      </c>
      <c r="M498" s="1589">
        <v>0</v>
      </c>
      <c r="N498" s="1589">
        <v>0</v>
      </c>
      <c r="O498" s="1589">
        <v>0</v>
      </c>
      <c r="P498" s="1589">
        <v>0</v>
      </c>
      <c r="Q498" s="1589">
        <v>0</v>
      </c>
    </row>
    <row r="499" spans="1:17">
      <c r="A499" s="1727" t="s">
        <v>536</v>
      </c>
      <c r="B499" s="1589">
        <v>0</v>
      </c>
      <c r="C499" s="1589">
        <v>0</v>
      </c>
      <c r="D499" s="1589">
        <v>0</v>
      </c>
      <c r="E499" s="1589">
        <v>0</v>
      </c>
      <c r="F499" s="1589">
        <v>0</v>
      </c>
      <c r="G499" s="1589">
        <v>0</v>
      </c>
      <c r="H499" s="1589">
        <v>0</v>
      </c>
      <c r="I499" s="1589">
        <v>0</v>
      </c>
      <c r="J499" s="1589">
        <v>0</v>
      </c>
      <c r="K499" s="1589">
        <v>0</v>
      </c>
      <c r="L499" s="1589">
        <v>0</v>
      </c>
      <c r="M499" s="1589">
        <v>0</v>
      </c>
      <c r="N499" s="1589">
        <v>0</v>
      </c>
      <c r="O499" s="1589">
        <v>0</v>
      </c>
      <c r="P499" s="1589">
        <v>0</v>
      </c>
      <c r="Q499" s="1589">
        <v>0</v>
      </c>
    </row>
    <row r="500" spans="1:17">
      <c r="A500" s="1727" t="s">
        <v>538</v>
      </c>
      <c r="B500" s="1589">
        <v>0</v>
      </c>
      <c r="C500" s="1589">
        <v>0</v>
      </c>
      <c r="D500" s="1589">
        <v>0</v>
      </c>
      <c r="E500" s="1589">
        <v>0</v>
      </c>
      <c r="F500" s="1589">
        <v>0</v>
      </c>
      <c r="G500" s="1589">
        <v>0</v>
      </c>
      <c r="H500" s="1589">
        <v>0</v>
      </c>
      <c r="I500" s="1589">
        <v>0</v>
      </c>
      <c r="J500" s="1589">
        <v>0</v>
      </c>
      <c r="K500" s="1589">
        <v>0</v>
      </c>
      <c r="L500" s="1589">
        <v>0</v>
      </c>
      <c r="M500" s="1589">
        <v>0</v>
      </c>
      <c r="N500" s="1589">
        <v>0</v>
      </c>
      <c r="O500" s="1589">
        <v>0</v>
      </c>
      <c r="P500" s="1589">
        <v>0</v>
      </c>
      <c r="Q500" s="1589">
        <v>0</v>
      </c>
    </row>
    <row r="501" spans="1:17">
      <c r="A501" s="1727" t="s">
        <v>540</v>
      </c>
      <c r="B501" s="1589">
        <v>0</v>
      </c>
      <c r="C501" s="1589">
        <v>0</v>
      </c>
      <c r="D501" s="1589">
        <v>0</v>
      </c>
      <c r="E501" s="1589">
        <v>0</v>
      </c>
      <c r="F501" s="1589">
        <v>0</v>
      </c>
      <c r="G501" s="1589">
        <v>0</v>
      </c>
      <c r="H501" s="1589">
        <v>0</v>
      </c>
      <c r="I501" s="1589">
        <v>0</v>
      </c>
      <c r="J501" s="1589">
        <v>0</v>
      </c>
      <c r="K501" s="1589">
        <v>0</v>
      </c>
      <c r="L501" s="1589">
        <v>0</v>
      </c>
      <c r="M501" s="1589">
        <v>0</v>
      </c>
      <c r="N501" s="1589">
        <v>0</v>
      </c>
      <c r="O501" s="1589">
        <v>0</v>
      </c>
      <c r="P501" s="1589">
        <v>0</v>
      </c>
      <c r="Q501" s="1589">
        <v>0</v>
      </c>
    </row>
    <row r="502" spans="1:17">
      <c r="A502" s="1725" t="s">
        <v>637</v>
      </c>
      <c r="B502" s="1589">
        <v>0</v>
      </c>
      <c r="C502" s="1589">
        <v>0</v>
      </c>
      <c r="D502" s="1589">
        <v>0</v>
      </c>
      <c r="E502" s="1589">
        <v>0</v>
      </c>
      <c r="F502" s="1589">
        <v>0</v>
      </c>
      <c r="G502" s="1589">
        <v>0</v>
      </c>
      <c r="H502" s="1589">
        <v>0</v>
      </c>
      <c r="I502" s="1589">
        <v>0</v>
      </c>
      <c r="J502" s="1589">
        <v>0</v>
      </c>
      <c r="K502" s="1589">
        <v>0</v>
      </c>
      <c r="L502" s="1589">
        <v>0</v>
      </c>
      <c r="M502" s="1589">
        <v>0</v>
      </c>
      <c r="N502" s="1589">
        <v>0</v>
      </c>
      <c r="O502" s="1589">
        <v>0</v>
      </c>
      <c r="P502" s="1589">
        <v>0</v>
      </c>
      <c r="Q502" s="1589">
        <v>0</v>
      </c>
    </row>
    <row r="503" spans="1:17">
      <c r="A503" s="1726">
        <v>0</v>
      </c>
      <c r="B503" s="1589">
        <v>0</v>
      </c>
      <c r="C503" s="1589">
        <v>0</v>
      </c>
      <c r="D503" s="1589">
        <v>0</v>
      </c>
      <c r="E503" s="1589">
        <v>0</v>
      </c>
      <c r="F503" s="1589">
        <v>0</v>
      </c>
      <c r="G503" s="1589">
        <v>0</v>
      </c>
      <c r="H503" s="1589">
        <v>0</v>
      </c>
      <c r="I503" s="1589">
        <v>0</v>
      </c>
      <c r="J503" s="1589">
        <v>0</v>
      </c>
      <c r="K503" s="1589">
        <v>0</v>
      </c>
      <c r="L503" s="1589">
        <v>0</v>
      </c>
      <c r="M503" s="1589">
        <v>0</v>
      </c>
      <c r="N503" s="1589">
        <v>0</v>
      </c>
      <c r="O503" s="1589">
        <v>0</v>
      </c>
      <c r="P503" s="1589">
        <v>0</v>
      </c>
      <c r="Q503" s="1589">
        <v>0</v>
      </c>
    </row>
    <row r="504" spans="1:17">
      <c r="A504" s="1727" t="s">
        <v>600</v>
      </c>
      <c r="B504" s="1589">
        <v>0</v>
      </c>
      <c r="C504" s="1589">
        <v>0</v>
      </c>
      <c r="D504" s="1589">
        <v>0</v>
      </c>
      <c r="E504" s="1589">
        <v>0</v>
      </c>
      <c r="F504" s="1589">
        <v>0</v>
      </c>
      <c r="G504" s="1589">
        <v>0</v>
      </c>
      <c r="H504" s="1589">
        <v>0</v>
      </c>
      <c r="I504" s="1589">
        <v>0</v>
      </c>
      <c r="J504" s="1589">
        <v>0</v>
      </c>
      <c r="K504" s="1589">
        <v>0</v>
      </c>
      <c r="L504" s="1589">
        <v>0</v>
      </c>
      <c r="M504" s="1589">
        <v>0</v>
      </c>
      <c r="N504" s="1589">
        <v>0</v>
      </c>
      <c r="O504" s="1589">
        <v>0</v>
      </c>
      <c r="P504" s="1589">
        <v>0</v>
      </c>
      <c r="Q504" s="1589">
        <v>0</v>
      </c>
    </row>
    <row r="505" spans="1:17">
      <c r="A505" s="1727" t="s">
        <v>528</v>
      </c>
      <c r="B505" s="1589">
        <v>0</v>
      </c>
      <c r="C505" s="1589">
        <v>0</v>
      </c>
      <c r="D505" s="1589">
        <v>0</v>
      </c>
      <c r="E505" s="1589">
        <v>0</v>
      </c>
      <c r="F505" s="1589">
        <v>0</v>
      </c>
      <c r="G505" s="1589">
        <v>0</v>
      </c>
      <c r="H505" s="1589">
        <v>0</v>
      </c>
      <c r="I505" s="1589">
        <v>0</v>
      </c>
      <c r="J505" s="1589">
        <v>0</v>
      </c>
      <c r="K505" s="1589">
        <v>0</v>
      </c>
      <c r="L505" s="1589">
        <v>0</v>
      </c>
      <c r="M505" s="1589">
        <v>0</v>
      </c>
      <c r="N505" s="1589">
        <v>0</v>
      </c>
      <c r="O505" s="1589">
        <v>0</v>
      </c>
      <c r="P505" s="1589">
        <v>0</v>
      </c>
      <c r="Q505" s="1589">
        <v>0</v>
      </c>
    </row>
    <row r="506" spans="1:17">
      <c r="A506" s="1727" t="s">
        <v>530</v>
      </c>
      <c r="B506" s="1589">
        <v>0</v>
      </c>
      <c r="C506" s="1589">
        <v>0</v>
      </c>
      <c r="D506" s="1589">
        <v>0</v>
      </c>
      <c r="E506" s="1589">
        <v>0</v>
      </c>
      <c r="F506" s="1589">
        <v>0</v>
      </c>
      <c r="G506" s="1589">
        <v>0</v>
      </c>
      <c r="H506" s="1589">
        <v>0</v>
      </c>
      <c r="I506" s="1589">
        <v>0</v>
      </c>
      <c r="J506" s="1589">
        <v>0</v>
      </c>
      <c r="K506" s="1589">
        <v>0</v>
      </c>
      <c r="L506" s="1589">
        <v>0</v>
      </c>
      <c r="M506" s="1589">
        <v>0</v>
      </c>
      <c r="N506" s="1589">
        <v>0</v>
      </c>
      <c r="O506" s="1589">
        <v>0</v>
      </c>
      <c r="P506" s="1589">
        <v>0</v>
      </c>
      <c r="Q506" s="1589">
        <v>0</v>
      </c>
    </row>
    <row r="507" spans="1:17">
      <c r="A507" s="1727" t="s">
        <v>532</v>
      </c>
      <c r="B507" s="1589">
        <v>0</v>
      </c>
      <c r="C507" s="1589">
        <v>0</v>
      </c>
      <c r="D507" s="1589">
        <v>0</v>
      </c>
      <c r="E507" s="1589">
        <v>0</v>
      </c>
      <c r="F507" s="1589">
        <v>0</v>
      </c>
      <c r="G507" s="1589">
        <v>0</v>
      </c>
      <c r="H507" s="1589">
        <v>0</v>
      </c>
      <c r="I507" s="1589">
        <v>0</v>
      </c>
      <c r="J507" s="1589">
        <v>0</v>
      </c>
      <c r="K507" s="1589">
        <v>0</v>
      </c>
      <c r="L507" s="1589">
        <v>0</v>
      </c>
      <c r="M507" s="1589">
        <v>0</v>
      </c>
      <c r="N507" s="1589">
        <v>0</v>
      </c>
      <c r="O507" s="1589">
        <v>0</v>
      </c>
      <c r="P507" s="1589">
        <v>0</v>
      </c>
      <c r="Q507" s="1589">
        <v>0</v>
      </c>
    </row>
    <row r="508" spans="1:17">
      <c r="A508" s="1727" t="s">
        <v>534</v>
      </c>
      <c r="B508" s="1589">
        <v>0</v>
      </c>
      <c r="C508" s="1589">
        <v>0</v>
      </c>
      <c r="D508" s="1589">
        <v>0</v>
      </c>
      <c r="E508" s="1589">
        <v>0</v>
      </c>
      <c r="F508" s="1589">
        <v>0</v>
      </c>
      <c r="G508" s="1589">
        <v>0</v>
      </c>
      <c r="H508" s="1589">
        <v>0</v>
      </c>
      <c r="I508" s="1589">
        <v>0</v>
      </c>
      <c r="J508" s="1589">
        <v>0</v>
      </c>
      <c r="K508" s="1589">
        <v>0</v>
      </c>
      <c r="L508" s="1589">
        <v>0</v>
      </c>
      <c r="M508" s="1589">
        <v>0</v>
      </c>
      <c r="N508" s="1589">
        <v>0</v>
      </c>
      <c r="O508" s="1589">
        <v>0</v>
      </c>
      <c r="P508" s="1589">
        <v>0</v>
      </c>
      <c r="Q508" s="1589">
        <v>0</v>
      </c>
    </row>
    <row r="509" spans="1:17">
      <c r="A509" s="1727" t="s">
        <v>536</v>
      </c>
      <c r="B509" s="1589">
        <v>0</v>
      </c>
      <c r="C509" s="1589">
        <v>0</v>
      </c>
      <c r="D509" s="1589">
        <v>0</v>
      </c>
      <c r="E509" s="1589">
        <v>0</v>
      </c>
      <c r="F509" s="1589">
        <v>0</v>
      </c>
      <c r="G509" s="1589">
        <v>0</v>
      </c>
      <c r="H509" s="1589">
        <v>0</v>
      </c>
      <c r="I509" s="1589">
        <v>0</v>
      </c>
      <c r="J509" s="1589">
        <v>0</v>
      </c>
      <c r="K509" s="1589">
        <v>0</v>
      </c>
      <c r="L509" s="1589">
        <v>0</v>
      </c>
      <c r="M509" s="1589">
        <v>0</v>
      </c>
      <c r="N509" s="1589">
        <v>0</v>
      </c>
      <c r="O509" s="1589">
        <v>0</v>
      </c>
      <c r="P509" s="1589">
        <v>0</v>
      </c>
      <c r="Q509" s="1589">
        <v>0</v>
      </c>
    </row>
    <row r="510" spans="1:17">
      <c r="A510" s="1727" t="s">
        <v>538</v>
      </c>
      <c r="B510" s="1589">
        <v>0</v>
      </c>
      <c r="C510" s="1589">
        <v>0</v>
      </c>
      <c r="D510" s="1589">
        <v>0</v>
      </c>
      <c r="E510" s="1589">
        <v>0</v>
      </c>
      <c r="F510" s="1589">
        <v>0</v>
      </c>
      <c r="G510" s="1589">
        <v>0</v>
      </c>
      <c r="H510" s="1589">
        <v>0</v>
      </c>
      <c r="I510" s="1589">
        <v>0</v>
      </c>
      <c r="J510" s="1589">
        <v>0</v>
      </c>
      <c r="K510" s="1589">
        <v>0</v>
      </c>
      <c r="L510" s="1589">
        <v>0</v>
      </c>
      <c r="M510" s="1589">
        <v>0</v>
      </c>
      <c r="N510" s="1589">
        <v>0</v>
      </c>
      <c r="O510" s="1589">
        <v>0</v>
      </c>
      <c r="P510" s="1589">
        <v>0</v>
      </c>
      <c r="Q510" s="1589">
        <v>0</v>
      </c>
    </row>
    <row r="511" spans="1:17">
      <c r="A511" s="1727" t="s">
        <v>540</v>
      </c>
      <c r="B511" s="1589">
        <v>0</v>
      </c>
      <c r="C511" s="1589">
        <v>0</v>
      </c>
      <c r="D511" s="1589">
        <v>0</v>
      </c>
      <c r="E511" s="1589">
        <v>0</v>
      </c>
      <c r="F511" s="1589">
        <v>0</v>
      </c>
      <c r="G511" s="1589">
        <v>0</v>
      </c>
      <c r="H511" s="1589">
        <v>0</v>
      </c>
      <c r="I511" s="1589">
        <v>0</v>
      </c>
      <c r="J511" s="1589">
        <v>0</v>
      </c>
      <c r="K511" s="1589">
        <v>0</v>
      </c>
      <c r="L511" s="1589">
        <v>0</v>
      </c>
      <c r="M511" s="1589">
        <v>0</v>
      </c>
      <c r="N511" s="1589">
        <v>0</v>
      </c>
      <c r="O511" s="1589">
        <v>0</v>
      </c>
      <c r="P511" s="1589">
        <v>0</v>
      </c>
      <c r="Q511" s="1589">
        <v>0</v>
      </c>
    </row>
    <row r="512" spans="1:17">
      <c r="A512" s="1725" t="s">
        <v>629</v>
      </c>
      <c r="B512" s="1589">
        <v>0</v>
      </c>
      <c r="C512" s="1589">
        <v>0</v>
      </c>
      <c r="D512" s="1589">
        <v>0</v>
      </c>
      <c r="E512" s="1589">
        <v>0</v>
      </c>
      <c r="F512" s="1589">
        <v>0</v>
      </c>
      <c r="G512" s="1589">
        <v>0</v>
      </c>
      <c r="H512" s="1589">
        <v>0</v>
      </c>
      <c r="I512" s="1589">
        <v>0</v>
      </c>
      <c r="J512" s="1589">
        <v>0</v>
      </c>
      <c r="K512" s="1589">
        <v>0</v>
      </c>
      <c r="L512" s="1589">
        <v>0</v>
      </c>
      <c r="M512" s="1589">
        <v>0</v>
      </c>
      <c r="N512" s="1589">
        <v>0</v>
      </c>
      <c r="O512" s="1589">
        <v>0</v>
      </c>
      <c r="P512" s="1589">
        <v>0</v>
      </c>
      <c r="Q512" s="1589">
        <v>0</v>
      </c>
    </row>
    <row r="513" spans="1:17">
      <c r="A513" s="1726">
        <v>0</v>
      </c>
      <c r="B513" s="1589">
        <v>0</v>
      </c>
      <c r="C513" s="1589">
        <v>0</v>
      </c>
      <c r="D513" s="1589">
        <v>0</v>
      </c>
      <c r="E513" s="1589">
        <v>0</v>
      </c>
      <c r="F513" s="1589">
        <v>0</v>
      </c>
      <c r="G513" s="1589">
        <v>0</v>
      </c>
      <c r="H513" s="1589">
        <v>0</v>
      </c>
      <c r="I513" s="1589">
        <v>0</v>
      </c>
      <c r="J513" s="1589">
        <v>0</v>
      </c>
      <c r="K513" s="1589">
        <v>0</v>
      </c>
      <c r="L513" s="1589">
        <v>0</v>
      </c>
      <c r="M513" s="1589">
        <v>0</v>
      </c>
      <c r="N513" s="1589">
        <v>0</v>
      </c>
      <c r="O513" s="1589">
        <v>0</v>
      </c>
      <c r="P513" s="1589">
        <v>0</v>
      </c>
      <c r="Q513" s="1589">
        <v>0</v>
      </c>
    </row>
    <row r="514" spans="1:17">
      <c r="A514" s="1727" t="s">
        <v>600</v>
      </c>
      <c r="B514" s="1589">
        <v>0</v>
      </c>
      <c r="C514" s="1589">
        <v>0</v>
      </c>
      <c r="D514" s="1589">
        <v>0</v>
      </c>
      <c r="E514" s="1589">
        <v>0</v>
      </c>
      <c r="F514" s="1589">
        <v>0</v>
      </c>
      <c r="G514" s="1589">
        <v>0</v>
      </c>
      <c r="H514" s="1589">
        <v>0</v>
      </c>
      <c r="I514" s="1589">
        <v>0</v>
      </c>
      <c r="J514" s="1589">
        <v>0</v>
      </c>
      <c r="K514" s="1589">
        <v>0</v>
      </c>
      <c r="L514" s="1589">
        <v>0</v>
      </c>
      <c r="M514" s="1589">
        <v>0</v>
      </c>
      <c r="N514" s="1589">
        <v>0</v>
      </c>
      <c r="O514" s="1589">
        <v>0</v>
      </c>
      <c r="P514" s="1589">
        <v>0</v>
      </c>
      <c r="Q514" s="1589">
        <v>0</v>
      </c>
    </row>
    <row r="515" spans="1:17">
      <c r="A515" s="1727" t="s">
        <v>528</v>
      </c>
      <c r="B515" s="1589">
        <v>0</v>
      </c>
      <c r="C515" s="1589">
        <v>0</v>
      </c>
      <c r="D515" s="1589">
        <v>0</v>
      </c>
      <c r="E515" s="1589">
        <v>0</v>
      </c>
      <c r="F515" s="1589">
        <v>0</v>
      </c>
      <c r="G515" s="1589">
        <v>0</v>
      </c>
      <c r="H515" s="1589">
        <v>0</v>
      </c>
      <c r="I515" s="1589">
        <v>0</v>
      </c>
      <c r="J515" s="1589">
        <v>0</v>
      </c>
      <c r="K515" s="1589">
        <v>0</v>
      </c>
      <c r="L515" s="1589">
        <v>0</v>
      </c>
      <c r="M515" s="1589">
        <v>0</v>
      </c>
      <c r="N515" s="1589">
        <v>0</v>
      </c>
      <c r="O515" s="1589">
        <v>0</v>
      </c>
      <c r="P515" s="1589">
        <v>0</v>
      </c>
      <c r="Q515" s="1589">
        <v>0</v>
      </c>
    </row>
    <row r="516" spans="1:17">
      <c r="A516" s="1727" t="s">
        <v>530</v>
      </c>
      <c r="B516" s="1589">
        <v>0</v>
      </c>
      <c r="C516" s="1589">
        <v>0</v>
      </c>
      <c r="D516" s="1589">
        <v>0</v>
      </c>
      <c r="E516" s="1589">
        <v>0</v>
      </c>
      <c r="F516" s="1589">
        <v>0</v>
      </c>
      <c r="G516" s="1589">
        <v>0</v>
      </c>
      <c r="H516" s="1589">
        <v>0</v>
      </c>
      <c r="I516" s="1589">
        <v>0</v>
      </c>
      <c r="J516" s="1589">
        <v>0</v>
      </c>
      <c r="K516" s="1589">
        <v>0</v>
      </c>
      <c r="L516" s="1589">
        <v>0</v>
      </c>
      <c r="M516" s="1589">
        <v>0</v>
      </c>
      <c r="N516" s="1589">
        <v>0</v>
      </c>
      <c r="O516" s="1589">
        <v>0</v>
      </c>
      <c r="P516" s="1589">
        <v>0</v>
      </c>
      <c r="Q516" s="1589">
        <v>0</v>
      </c>
    </row>
    <row r="517" spans="1:17">
      <c r="A517" s="1727" t="s">
        <v>532</v>
      </c>
      <c r="B517" s="1589">
        <v>0</v>
      </c>
      <c r="C517" s="1589">
        <v>0</v>
      </c>
      <c r="D517" s="1589">
        <v>0</v>
      </c>
      <c r="E517" s="1589">
        <v>0</v>
      </c>
      <c r="F517" s="1589">
        <v>0</v>
      </c>
      <c r="G517" s="1589">
        <v>0</v>
      </c>
      <c r="H517" s="1589">
        <v>0</v>
      </c>
      <c r="I517" s="1589">
        <v>0</v>
      </c>
      <c r="J517" s="1589">
        <v>0</v>
      </c>
      <c r="K517" s="1589">
        <v>0</v>
      </c>
      <c r="L517" s="1589">
        <v>0</v>
      </c>
      <c r="M517" s="1589">
        <v>0</v>
      </c>
      <c r="N517" s="1589">
        <v>0</v>
      </c>
      <c r="O517" s="1589">
        <v>0</v>
      </c>
      <c r="P517" s="1589">
        <v>0</v>
      </c>
      <c r="Q517" s="1589">
        <v>0</v>
      </c>
    </row>
    <row r="518" spans="1:17">
      <c r="A518" s="1727" t="s">
        <v>534</v>
      </c>
      <c r="B518" s="1589">
        <v>0</v>
      </c>
      <c r="C518" s="1589">
        <v>0</v>
      </c>
      <c r="D518" s="1589">
        <v>0</v>
      </c>
      <c r="E518" s="1589">
        <v>0</v>
      </c>
      <c r="F518" s="1589">
        <v>0</v>
      </c>
      <c r="G518" s="1589">
        <v>0</v>
      </c>
      <c r="H518" s="1589">
        <v>0</v>
      </c>
      <c r="I518" s="1589">
        <v>0</v>
      </c>
      <c r="J518" s="1589">
        <v>0</v>
      </c>
      <c r="K518" s="1589">
        <v>0</v>
      </c>
      <c r="L518" s="1589">
        <v>0</v>
      </c>
      <c r="M518" s="1589">
        <v>0</v>
      </c>
      <c r="N518" s="1589">
        <v>0</v>
      </c>
      <c r="O518" s="1589">
        <v>0</v>
      </c>
      <c r="P518" s="1589">
        <v>0</v>
      </c>
      <c r="Q518" s="1589">
        <v>0</v>
      </c>
    </row>
    <row r="519" spans="1:17">
      <c r="A519" s="1727" t="s">
        <v>536</v>
      </c>
      <c r="B519" s="1589">
        <v>0</v>
      </c>
      <c r="C519" s="1589">
        <v>0</v>
      </c>
      <c r="D519" s="1589">
        <v>0</v>
      </c>
      <c r="E519" s="1589">
        <v>0</v>
      </c>
      <c r="F519" s="1589">
        <v>0</v>
      </c>
      <c r="G519" s="1589">
        <v>0</v>
      </c>
      <c r="H519" s="1589">
        <v>0</v>
      </c>
      <c r="I519" s="1589">
        <v>0</v>
      </c>
      <c r="J519" s="1589">
        <v>0</v>
      </c>
      <c r="K519" s="1589">
        <v>0</v>
      </c>
      <c r="L519" s="1589">
        <v>0</v>
      </c>
      <c r="M519" s="1589">
        <v>0</v>
      </c>
      <c r="N519" s="1589">
        <v>0</v>
      </c>
      <c r="O519" s="1589">
        <v>0</v>
      </c>
      <c r="P519" s="1589">
        <v>0</v>
      </c>
      <c r="Q519" s="1589">
        <v>0</v>
      </c>
    </row>
    <row r="520" spans="1:17">
      <c r="A520" s="1727" t="s">
        <v>538</v>
      </c>
      <c r="B520" s="1589">
        <v>0</v>
      </c>
      <c r="C520" s="1589">
        <v>0</v>
      </c>
      <c r="D520" s="1589">
        <v>0</v>
      </c>
      <c r="E520" s="1589">
        <v>0</v>
      </c>
      <c r="F520" s="1589">
        <v>0</v>
      </c>
      <c r="G520" s="1589">
        <v>0</v>
      </c>
      <c r="H520" s="1589">
        <v>0</v>
      </c>
      <c r="I520" s="1589">
        <v>0</v>
      </c>
      <c r="J520" s="1589">
        <v>0</v>
      </c>
      <c r="K520" s="1589">
        <v>0</v>
      </c>
      <c r="L520" s="1589">
        <v>0</v>
      </c>
      <c r="M520" s="1589">
        <v>0</v>
      </c>
      <c r="N520" s="1589">
        <v>0</v>
      </c>
      <c r="O520" s="1589">
        <v>0</v>
      </c>
      <c r="P520" s="1589">
        <v>0</v>
      </c>
      <c r="Q520" s="1589">
        <v>0</v>
      </c>
    </row>
    <row r="521" spans="1:17">
      <c r="A521" s="1727" t="s">
        <v>540</v>
      </c>
      <c r="B521" s="1589">
        <v>0</v>
      </c>
      <c r="C521" s="1589">
        <v>0</v>
      </c>
      <c r="D521" s="1589">
        <v>0</v>
      </c>
      <c r="E521" s="1589">
        <v>0</v>
      </c>
      <c r="F521" s="1589">
        <v>0</v>
      </c>
      <c r="G521" s="1589">
        <v>0</v>
      </c>
      <c r="H521" s="1589">
        <v>0</v>
      </c>
      <c r="I521" s="1589">
        <v>0</v>
      </c>
      <c r="J521" s="1589">
        <v>0</v>
      </c>
      <c r="K521" s="1589">
        <v>0</v>
      </c>
      <c r="L521" s="1589">
        <v>0</v>
      </c>
      <c r="M521" s="1589">
        <v>0</v>
      </c>
      <c r="N521" s="1589">
        <v>0</v>
      </c>
      <c r="O521" s="1589">
        <v>0</v>
      </c>
      <c r="P521" s="1589">
        <v>0</v>
      </c>
      <c r="Q521" s="1589">
        <v>0</v>
      </c>
    </row>
    <row r="522" spans="1:17">
      <c r="A522" s="1588" t="s">
        <v>645</v>
      </c>
      <c r="B522" s="1589">
        <v>0</v>
      </c>
      <c r="C522" s="1589">
        <v>0</v>
      </c>
      <c r="D522" s="1589">
        <v>0</v>
      </c>
      <c r="E522" s="1589">
        <v>0</v>
      </c>
      <c r="F522" s="1589">
        <v>0</v>
      </c>
      <c r="G522" s="1589">
        <v>0</v>
      </c>
      <c r="H522" s="1589">
        <v>0</v>
      </c>
      <c r="I522" s="1589">
        <v>0</v>
      </c>
      <c r="J522" s="1589">
        <v>0</v>
      </c>
      <c r="K522" s="1589">
        <v>0</v>
      </c>
      <c r="L522" s="1589">
        <v>0</v>
      </c>
      <c r="M522" s="1589">
        <v>0</v>
      </c>
      <c r="N522" s="1589">
        <v>0</v>
      </c>
      <c r="O522" s="1589">
        <v>0</v>
      </c>
      <c r="P522" s="1589">
        <v>0</v>
      </c>
      <c r="Q522" s="1589">
        <v>0</v>
      </c>
    </row>
    <row r="523" spans="1:17">
      <c r="A523" s="1725" t="s">
        <v>646</v>
      </c>
      <c r="B523" s="1589">
        <v>0</v>
      </c>
      <c r="C523" s="1589">
        <v>0</v>
      </c>
      <c r="D523" s="1589">
        <v>0</v>
      </c>
      <c r="E523" s="1589">
        <v>0</v>
      </c>
      <c r="F523" s="1589">
        <v>0</v>
      </c>
      <c r="G523" s="1589">
        <v>0</v>
      </c>
      <c r="H523" s="1589">
        <v>0</v>
      </c>
      <c r="I523" s="1589">
        <v>0</v>
      </c>
      <c r="J523" s="1589">
        <v>0</v>
      </c>
      <c r="K523" s="1589">
        <v>0</v>
      </c>
      <c r="L523" s="1589">
        <v>0</v>
      </c>
      <c r="M523" s="1589">
        <v>0</v>
      </c>
      <c r="N523" s="1589">
        <v>0</v>
      </c>
      <c r="O523" s="1589">
        <v>0</v>
      </c>
      <c r="P523" s="1589">
        <v>0</v>
      </c>
      <c r="Q523" s="1589">
        <v>0</v>
      </c>
    </row>
    <row r="524" spans="1:17">
      <c r="A524" s="1726">
        <v>0</v>
      </c>
      <c r="B524" s="1589">
        <v>0</v>
      </c>
      <c r="C524" s="1589">
        <v>0</v>
      </c>
      <c r="D524" s="1589">
        <v>0</v>
      </c>
      <c r="E524" s="1589">
        <v>0</v>
      </c>
      <c r="F524" s="1589">
        <v>0</v>
      </c>
      <c r="G524" s="1589">
        <v>0</v>
      </c>
      <c r="H524" s="1589">
        <v>0</v>
      </c>
      <c r="I524" s="1589">
        <v>0</v>
      </c>
      <c r="J524" s="1589">
        <v>0</v>
      </c>
      <c r="K524" s="1589">
        <v>0</v>
      </c>
      <c r="L524" s="1589">
        <v>0</v>
      </c>
      <c r="M524" s="1589">
        <v>0</v>
      </c>
      <c r="N524" s="1589">
        <v>0</v>
      </c>
      <c r="O524" s="1589">
        <v>0</v>
      </c>
      <c r="P524" s="1589">
        <v>0</v>
      </c>
      <c r="Q524" s="1589">
        <v>0</v>
      </c>
    </row>
    <row r="525" spans="1:17">
      <c r="A525" s="1727" t="s">
        <v>603</v>
      </c>
      <c r="B525" s="1589">
        <v>0</v>
      </c>
      <c r="C525" s="1589">
        <v>0</v>
      </c>
      <c r="D525" s="1589">
        <v>0</v>
      </c>
      <c r="E525" s="1589">
        <v>0</v>
      </c>
      <c r="F525" s="1589">
        <v>0</v>
      </c>
      <c r="G525" s="1589">
        <v>0</v>
      </c>
      <c r="H525" s="1589">
        <v>0</v>
      </c>
      <c r="I525" s="1589">
        <v>0</v>
      </c>
      <c r="J525" s="1589">
        <v>0</v>
      </c>
      <c r="K525" s="1589">
        <v>0</v>
      </c>
      <c r="L525" s="1589">
        <v>0</v>
      </c>
      <c r="M525" s="1589">
        <v>0</v>
      </c>
      <c r="N525" s="1589">
        <v>0</v>
      </c>
      <c r="O525" s="1589">
        <v>0</v>
      </c>
      <c r="P525" s="1589">
        <v>0</v>
      </c>
      <c r="Q525" s="1589">
        <v>0</v>
      </c>
    </row>
    <row r="526" spans="1:17">
      <c r="A526" s="1727" t="s">
        <v>595</v>
      </c>
      <c r="B526" s="1589">
        <v>0</v>
      </c>
      <c r="C526" s="1589">
        <v>0</v>
      </c>
      <c r="D526" s="1589">
        <v>0</v>
      </c>
      <c r="E526" s="1589">
        <v>0</v>
      </c>
      <c r="F526" s="1589">
        <v>0</v>
      </c>
      <c r="G526" s="1589">
        <v>0</v>
      </c>
      <c r="H526" s="1589">
        <v>0</v>
      </c>
      <c r="I526" s="1589">
        <v>0</v>
      </c>
      <c r="J526" s="1589">
        <v>0</v>
      </c>
      <c r="K526" s="1589">
        <v>0</v>
      </c>
      <c r="L526" s="1589">
        <v>0</v>
      </c>
      <c r="M526" s="1589">
        <v>0</v>
      </c>
      <c r="N526" s="1589">
        <v>0</v>
      </c>
      <c r="O526" s="1589">
        <v>0</v>
      </c>
      <c r="P526" s="1589">
        <v>0</v>
      </c>
      <c r="Q526" s="1589">
        <v>0</v>
      </c>
    </row>
    <row r="527" spans="1:17">
      <c r="A527" s="1727" t="s">
        <v>597</v>
      </c>
      <c r="B527" s="1589">
        <v>0</v>
      </c>
      <c r="C527" s="1589">
        <v>0</v>
      </c>
      <c r="D527" s="1589">
        <v>0</v>
      </c>
      <c r="E527" s="1589">
        <v>0</v>
      </c>
      <c r="F527" s="1589">
        <v>0</v>
      </c>
      <c r="G527" s="1589">
        <v>0</v>
      </c>
      <c r="H527" s="1589">
        <v>0</v>
      </c>
      <c r="I527" s="1589">
        <v>0</v>
      </c>
      <c r="J527" s="1589">
        <v>0</v>
      </c>
      <c r="K527" s="1589">
        <v>0</v>
      </c>
      <c r="L527" s="1589">
        <v>0</v>
      </c>
      <c r="M527" s="1589">
        <v>0</v>
      </c>
      <c r="N527" s="1589">
        <v>0</v>
      </c>
      <c r="O527" s="1589">
        <v>0</v>
      </c>
      <c r="P527" s="1589">
        <v>0</v>
      </c>
      <c r="Q527" s="1589">
        <v>0</v>
      </c>
    </row>
    <row r="528" spans="1:17">
      <c r="A528" s="1727" t="s">
        <v>1896</v>
      </c>
      <c r="B528" s="1589">
        <v>0</v>
      </c>
      <c r="C528" s="1589">
        <v>0</v>
      </c>
      <c r="D528" s="1589">
        <v>0</v>
      </c>
      <c r="E528" s="1589">
        <v>0</v>
      </c>
      <c r="F528" s="1589">
        <v>0</v>
      </c>
      <c r="G528" s="1589">
        <v>0</v>
      </c>
      <c r="H528" s="1589">
        <v>0</v>
      </c>
      <c r="I528" s="1589">
        <v>0</v>
      </c>
      <c r="J528" s="1589">
        <v>0</v>
      </c>
      <c r="K528" s="1589">
        <v>0</v>
      </c>
      <c r="L528" s="1589">
        <v>0</v>
      </c>
      <c r="M528" s="1589">
        <v>0</v>
      </c>
      <c r="N528" s="1589">
        <v>0</v>
      </c>
      <c r="O528" s="1589">
        <v>0</v>
      </c>
      <c r="P528" s="1589">
        <v>0</v>
      </c>
      <c r="Q528" s="1589">
        <v>0</v>
      </c>
    </row>
    <row r="529" spans="1:17">
      <c r="A529" s="1727" t="s">
        <v>654</v>
      </c>
      <c r="B529" s="1589">
        <v>0</v>
      </c>
      <c r="C529" s="1589">
        <v>0</v>
      </c>
      <c r="D529" s="1589">
        <v>0</v>
      </c>
      <c r="E529" s="1589">
        <v>0</v>
      </c>
      <c r="F529" s="1589">
        <v>0</v>
      </c>
      <c r="G529" s="1589">
        <v>0</v>
      </c>
      <c r="H529" s="1589">
        <v>0</v>
      </c>
      <c r="I529" s="1589">
        <v>0</v>
      </c>
      <c r="J529" s="1589">
        <v>0</v>
      </c>
      <c r="K529" s="1589">
        <v>0</v>
      </c>
      <c r="L529" s="1589">
        <v>0</v>
      </c>
      <c r="M529" s="1589">
        <v>0</v>
      </c>
      <c r="N529" s="1589">
        <v>0</v>
      </c>
      <c r="O529" s="1589">
        <v>0</v>
      </c>
      <c r="P529" s="1589">
        <v>0</v>
      </c>
      <c r="Q529" s="1589">
        <v>0</v>
      </c>
    </row>
    <row r="530" spans="1:17">
      <c r="A530" s="1727" t="s">
        <v>593</v>
      </c>
      <c r="B530" s="1589">
        <v>0</v>
      </c>
      <c r="C530" s="1589">
        <v>0</v>
      </c>
      <c r="D530" s="1589">
        <v>0</v>
      </c>
      <c r="E530" s="1589">
        <v>0</v>
      </c>
      <c r="F530" s="1589">
        <v>0</v>
      </c>
      <c r="G530" s="1589">
        <v>0</v>
      </c>
      <c r="H530" s="1589">
        <v>0</v>
      </c>
      <c r="I530" s="1589">
        <v>0</v>
      </c>
      <c r="J530" s="1589">
        <v>0</v>
      </c>
      <c r="K530" s="1589">
        <v>0</v>
      </c>
      <c r="L530" s="1589">
        <v>0</v>
      </c>
      <c r="M530" s="1589">
        <v>0</v>
      </c>
      <c r="N530" s="1589">
        <v>0</v>
      </c>
      <c r="O530" s="1589">
        <v>0</v>
      </c>
      <c r="P530" s="1589">
        <v>0</v>
      </c>
      <c r="Q530" s="1589">
        <v>0</v>
      </c>
    </row>
    <row r="531" spans="1:17">
      <c r="A531" s="1727" t="s">
        <v>586</v>
      </c>
      <c r="B531" s="1589">
        <v>0</v>
      </c>
      <c r="C531" s="1589">
        <v>0</v>
      </c>
      <c r="D531" s="1589">
        <v>0</v>
      </c>
      <c r="E531" s="1589">
        <v>0</v>
      </c>
      <c r="F531" s="1589">
        <v>0</v>
      </c>
      <c r="G531" s="1589">
        <v>0</v>
      </c>
      <c r="H531" s="1589">
        <v>0</v>
      </c>
      <c r="I531" s="1589">
        <v>0</v>
      </c>
      <c r="J531" s="1589">
        <v>0</v>
      </c>
      <c r="K531" s="1589">
        <v>0</v>
      </c>
      <c r="L531" s="1589">
        <v>0</v>
      </c>
      <c r="M531" s="1589">
        <v>0</v>
      </c>
      <c r="N531" s="1589">
        <v>0</v>
      </c>
      <c r="O531" s="1589">
        <v>0</v>
      </c>
      <c r="P531" s="1589">
        <v>0</v>
      </c>
      <c r="Q531" s="1589">
        <v>0</v>
      </c>
    </row>
    <row r="532" spans="1:17">
      <c r="A532" s="1727" t="s">
        <v>528</v>
      </c>
      <c r="B532" s="1589">
        <v>0</v>
      </c>
      <c r="C532" s="1589">
        <v>0</v>
      </c>
      <c r="D532" s="1589">
        <v>0</v>
      </c>
      <c r="E532" s="1589">
        <v>0</v>
      </c>
      <c r="F532" s="1589">
        <v>0</v>
      </c>
      <c r="G532" s="1589">
        <v>0</v>
      </c>
      <c r="H532" s="1589">
        <v>0</v>
      </c>
      <c r="I532" s="1589">
        <v>0</v>
      </c>
      <c r="J532" s="1589">
        <v>0</v>
      </c>
      <c r="K532" s="1589">
        <v>0</v>
      </c>
      <c r="L532" s="1589">
        <v>0</v>
      </c>
      <c r="M532" s="1589">
        <v>0</v>
      </c>
      <c r="N532" s="1589">
        <v>0</v>
      </c>
      <c r="O532" s="1589">
        <v>0</v>
      </c>
      <c r="P532" s="1589">
        <v>0</v>
      </c>
      <c r="Q532" s="1589">
        <v>0</v>
      </c>
    </row>
    <row r="533" spans="1:17">
      <c r="A533" s="1727" t="s">
        <v>530</v>
      </c>
      <c r="B533" s="1589">
        <v>0</v>
      </c>
      <c r="C533" s="1589">
        <v>0</v>
      </c>
      <c r="D533" s="1589">
        <v>0</v>
      </c>
      <c r="E533" s="1589">
        <v>0</v>
      </c>
      <c r="F533" s="1589">
        <v>0</v>
      </c>
      <c r="G533" s="1589">
        <v>0</v>
      </c>
      <c r="H533" s="1589">
        <v>0</v>
      </c>
      <c r="I533" s="1589">
        <v>0</v>
      </c>
      <c r="J533" s="1589">
        <v>0</v>
      </c>
      <c r="K533" s="1589">
        <v>0</v>
      </c>
      <c r="L533" s="1589">
        <v>0</v>
      </c>
      <c r="M533" s="1589">
        <v>0</v>
      </c>
      <c r="N533" s="1589">
        <v>0</v>
      </c>
      <c r="O533" s="1589">
        <v>0</v>
      </c>
      <c r="P533" s="1589">
        <v>0</v>
      </c>
      <c r="Q533" s="1589">
        <v>0</v>
      </c>
    </row>
    <row r="534" spans="1:17">
      <c r="A534" s="1727" t="s">
        <v>532</v>
      </c>
      <c r="B534" s="1589">
        <v>0</v>
      </c>
      <c r="C534" s="1589">
        <v>0</v>
      </c>
      <c r="D534" s="1589">
        <v>0</v>
      </c>
      <c r="E534" s="1589">
        <v>0</v>
      </c>
      <c r="F534" s="1589">
        <v>0</v>
      </c>
      <c r="G534" s="1589">
        <v>0</v>
      </c>
      <c r="H534" s="1589">
        <v>0</v>
      </c>
      <c r="I534" s="1589">
        <v>0</v>
      </c>
      <c r="J534" s="1589">
        <v>0</v>
      </c>
      <c r="K534" s="1589">
        <v>0</v>
      </c>
      <c r="L534" s="1589">
        <v>0</v>
      </c>
      <c r="M534" s="1589">
        <v>0</v>
      </c>
      <c r="N534" s="1589">
        <v>0</v>
      </c>
      <c r="O534" s="1589">
        <v>0</v>
      </c>
      <c r="P534" s="1589">
        <v>0</v>
      </c>
      <c r="Q534" s="1589">
        <v>0</v>
      </c>
    </row>
    <row r="535" spans="1:17">
      <c r="A535" s="1727" t="s">
        <v>534</v>
      </c>
      <c r="B535" s="1589">
        <v>0</v>
      </c>
      <c r="C535" s="1589">
        <v>0</v>
      </c>
      <c r="D535" s="1589">
        <v>0</v>
      </c>
      <c r="E535" s="1589">
        <v>0</v>
      </c>
      <c r="F535" s="1589">
        <v>0</v>
      </c>
      <c r="G535" s="1589">
        <v>0</v>
      </c>
      <c r="H535" s="1589">
        <v>0</v>
      </c>
      <c r="I535" s="1589">
        <v>0</v>
      </c>
      <c r="J535" s="1589">
        <v>0</v>
      </c>
      <c r="K535" s="1589">
        <v>0</v>
      </c>
      <c r="L535" s="1589">
        <v>0</v>
      </c>
      <c r="M535" s="1589">
        <v>0</v>
      </c>
      <c r="N535" s="1589">
        <v>0</v>
      </c>
      <c r="O535" s="1589">
        <v>0</v>
      </c>
      <c r="P535" s="1589">
        <v>0</v>
      </c>
      <c r="Q535" s="1589">
        <v>0</v>
      </c>
    </row>
    <row r="536" spans="1:17">
      <c r="A536" s="1727" t="s">
        <v>536</v>
      </c>
      <c r="B536" s="1589">
        <v>0</v>
      </c>
      <c r="C536" s="1589">
        <v>0</v>
      </c>
      <c r="D536" s="1589">
        <v>0</v>
      </c>
      <c r="E536" s="1589">
        <v>0</v>
      </c>
      <c r="F536" s="1589">
        <v>0</v>
      </c>
      <c r="G536" s="1589">
        <v>0</v>
      </c>
      <c r="H536" s="1589">
        <v>0</v>
      </c>
      <c r="I536" s="1589">
        <v>0</v>
      </c>
      <c r="J536" s="1589">
        <v>0</v>
      </c>
      <c r="K536" s="1589">
        <v>0</v>
      </c>
      <c r="L536" s="1589">
        <v>0</v>
      </c>
      <c r="M536" s="1589">
        <v>0</v>
      </c>
      <c r="N536" s="1589">
        <v>0</v>
      </c>
      <c r="O536" s="1589">
        <v>0</v>
      </c>
      <c r="P536" s="1589">
        <v>0</v>
      </c>
      <c r="Q536" s="1589">
        <v>0</v>
      </c>
    </row>
    <row r="537" spans="1:17">
      <c r="A537" s="1727" t="s">
        <v>538</v>
      </c>
      <c r="B537" s="1589">
        <v>0</v>
      </c>
      <c r="C537" s="1589">
        <v>0</v>
      </c>
      <c r="D537" s="1589">
        <v>0</v>
      </c>
      <c r="E537" s="1589">
        <v>0</v>
      </c>
      <c r="F537" s="1589">
        <v>0</v>
      </c>
      <c r="G537" s="1589">
        <v>0</v>
      </c>
      <c r="H537" s="1589">
        <v>0</v>
      </c>
      <c r="I537" s="1589">
        <v>0</v>
      </c>
      <c r="J537" s="1589">
        <v>0</v>
      </c>
      <c r="K537" s="1589">
        <v>0</v>
      </c>
      <c r="L537" s="1589">
        <v>0</v>
      </c>
      <c r="M537" s="1589">
        <v>0</v>
      </c>
      <c r="N537" s="1589">
        <v>0</v>
      </c>
      <c r="O537" s="1589">
        <v>0</v>
      </c>
      <c r="P537" s="1589">
        <v>0</v>
      </c>
      <c r="Q537" s="1589">
        <v>0</v>
      </c>
    </row>
    <row r="538" spans="1:17">
      <c r="A538" s="1727" t="s">
        <v>540</v>
      </c>
      <c r="B538" s="1589">
        <v>0</v>
      </c>
      <c r="C538" s="1589">
        <v>0</v>
      </c>
      <c r="D538" s="1589">
        <v>0</v>
      </c>
      <c r="E538" s="1589">
        <v>0</v>
      </c>
      <c r="F538" s="1589">
        <v>0</v>
      </c>
      <c r="G538" s="1589">
        <v>0</v>
      </c>
      <c r="H538" s="1589">
        <v>0</v>
      </c>
      <c r="I538" s="1589">
        <v>0</v>
      </c>
      <c r="J538" s="1589">
        <v>0</v>
      </c>
      <c r="K538" s="1589">
        <v>0</v>
      </c>
      <c r="L538" s="1589">
        <v>0</v>
      </c>
      <c r="M538" s="1589">
        <v>0</v>
      </c>
      <c r="N538" s="1589">
        <v>0</v>
      </c>
      <c r="O538" s="1589">
        <v>0</v>
      </c>
      <c r="P538" s="1589">
        <v>0</v>
      </c>
      <c r="Q538" s="1589">
        <v>0</v>
      </c>
    </row>
    <row r="539" spans="1:17">
      <c r="A539" s="1725" t="s">
        <v>652</v>
      </c>
      <c r="B539" s="1589">
        <v>0</v>
      </c>
      <c r="C539" s="1589">
        <v>0</v>
      </c>
      <c r="D539" s="1589">
        <v>0</v>
      </c>
      <c r="E539" s="1589">
        <v>0</v>
      </c>
      <c r="F539" s="1589">
        <v>0</v>
      </c>
      <c r="G539" s="1589">
        <v>0</v>
      </c>
      <c r="H539" s="1589">
        <v>0</v>
      </c>
      <c r="I539" s="1589">
        <v>0</v>
      </c>
      <c r="J539" s="1589">
        <v>0</v>
      </c>
      <c r="K539" s="1589">
        <v>0</v>
      </c>
      <c r="L539" s="1589">
        <v>0</v>
      </c>
      <c r="M539" s="1589">
        <v>0</v>
      </c>
      <c r="N539" s="1589">
        <v>0</v>
      </c>
      <c r="O539" s="1589">
        <v>0</v>
      </c>
      <c r="P539" s="1589">
        <v>0</v>
      </c>
      <c r="Q539" s="1589">
        <v>0</v>
      </c>
    </row>
    <row r="540" spans="1:17">
      <c r="A540" s="1726">
        <v>0</v>
      </c>
      <c r="B540" s="1589">
        <v>0</v>
      </c>
      <c r="C540" s="1589">
        <v>0</v>
      </c>
      <c r="D540" s="1589">
        <v>0</v>
      </c>
      <c r="E540" s="1589">
        <v>0</v>
      </c>
      <c r="F540" s="1589">
        <v>0</v>
      </c>
      <c r="G540" s="1589">
        <v>0</v>
      </c>
      <c r="H540" s="1589">
        <v>0</v>
      </c>
      <c r="I540" s="1589">
        <v>0</v>
      </c>
      <c r="J540" s="1589">
        <v>0</v>
      </c>
      <c r="K540" s="1589">
        <v>0</v>
      </c>
      <c r="L540" s="1589">
        <v>0</v>
      </c>
      <c r="M540" s="1589">
        <v>0</v>
      </c>
      <c r="N540" s="1589">
        <v>0</v>
      </c>
      <c r="O540" s="1589">
        <v>0</v>
      </c>
      <c r="P540" s="1589">
        <v>0</v>
      </c>
      <c r="Q540" s="1589">
        <v>0</v>
      </c>
    </row>
    <row r="541" spans="1:17">
      <c r="A541" s="1727" t="s">
        <v>649</v>
      </c>
      <c r="B541" s="1589">
        <v>0</v>
      </c>
      <c r="C541" s="1589">
        <v>0</v>
      </c>
      <c r="D541" s="1589">
        <v>0</v>
      </c>
      <c r="E541" s="1589">
        <v>0</v>
      </c>
      <c r="F541" s="1589">
        <v>0</v>
      </c>
      <c r="G541" s="1589">
        <v>0</v>
      </c>
      <c r="H541" s="1589">
        <v>0</v>
      </c>
      <c r="I541" s="1589">
        <v>0</v>
      </c>
      <c r="J541" s="1589">
        <v>0</v>
      </c>
      <c r="K541" s="1589">
        <v>0</v>
      </c>
      <c r="L541" s="1589">
        <v>0</v>
      </c>
      <c r="M541" s="1589">
        <v>0</v>
      </c>
      <c r="N541" s="1589">
        <v>0</v>
      </c>
      <c r="O541" s="1589">
        <v>0</v>
      </c>
      <c r="P541" s="1589">
        <v>0</v>
      </c>
      <c r="Q541" s="1589">
        <v>0</v>
      </c>
    </row>
    <row r="542" spans="1:17">
      <c r="A542" s="1725" t="s">
        <v>647</v>
      </c>
      <c r="B542" s="1589">
        <v>0</v>
      </c>
      <c r="C542" s="1589">
        <v>0</v>
      </c>
      <c r="D542" s="1589">
        <v>0</v>
      </c>
      <c r="E542" s="1589">
        <v>0</v>
      </c>
      <c r="F542" s="1589">
        <v>0</v>
      </c>
      <c r="G542" s="1589">
        <v>0</v>
      </c>
      <c r="H542" s="1589">
        <v>0</v>
      </c>
      <c r="I542" s="1589">
        <v>0</v>
      </c>
      <c r="J542" s="1589">
        <v>0</v>
      </c>
      <c r="K542" s="1589">
        <v>0</v>
      </c>
      <c r="L542" s="1589">
        <v>0</v>
      </c>
      <c r="M542" s="1589">
        <v>0</v>
      </c>
      <c r="N542" s="1589">
        <v>0</v>
      </c>
      <c r="O542" s="1589">
        <v>0</v>
      </c>
      <c r="P542" s="1589">
        <v>0</v>
      </c>
      <c r="Q542" s="1589">
        <v>0</v>
      </c>
    </row>
    <row r="543" spans="1:17">
      <c r="A543" s="1726">
        <v>0</v>
      </c>
      <c r="B543" s="1589">
        <v>0</v>
      </c>
      <c r="C543" s="1589">
        <v>0</v>
      </c>
      <c r="D543" s="1589">
        <v>0</v>
      </c>
      <c r="E543" s="1589">
        <v>0</v>
      </c>
      <c r="F543" s="1589">
        <v>0</v>
      </c>
      <c r="G543" s="1589">
        <v>0</v>
      </c>
      <c r="H543" s="1589">
        <v>0</v>
      </c>
      <c r="I543" s="1589">
        <v>0</v>
      </c>
      <c r="J543" s="1589">
        <v>0</v>
      </c>
      <c r="K543" s="1589">
        <v>0</v>
      </c>
      <c r="L543" s="1589">
        <v>0</v>
      </c>
      <c r="M543" s="1589">
        <v>0</v>
      </c>
      <c r="N543" s="1589">
        <v>0</v>
      </c>
      <c r="O543" s="1589">
        <v>0</v>
      </c>
      <c r="P543" s="1589">
        <v>0</v>
      </c>
      <c r="Q543" s="1589">
        <v>0</v>
      </c>
    </row>
    <row r="544" spans="1:17">
      <c r="A544" s="1727" t="s">
        <v>649</v>
      </c>
      <c r="B544" s="1589">
        <v>0</v>
      </c>
      <c r="C544" s="1589">
        <v>0</v>
      </c>
      <c r="D544" s="1589">
        <v>0</v>
      </c>
      <c r="E544" s="1589">
        <v>0</v>
      </c>
      <c r="F544" s="1589">
        <v>0</v>
      </c>
      <c r="G544" s="1589">
        <v>0</v>
      </c>
      <c r="H544" s="1589">
        <v>0</v>
      </c>
      <c r="I544" s="1589">
        <v>0</v>
      </c>
      <c r="J544" s="1589">
        <v>0</v>
      </c>
      <c r="K544" s="1589">
        <v>0</v>
      </c>
      <c r="L544" s="1589">
        <v>0</v>
      </c>
      <c r="M544" s="1589">
        <v>0</v>
      </c>
      <c r="N544" s="1589">
        <v>0</v>
      </c>
      <c r="O544" s="1589">
        <v>0</v>
      </c>
      <c r="P544" s="1589">
        <v>0</v>
      </c>
      <c r="Q544" s="1589">
        <v>0</v>
      </c>
    </row>
    <row r="545" spans="1:17">
      <c r="A545" s="1727" t="s">
        <v>528</v>
      </c>
      <c r="B545" s="1589">
        <v>0</v>
      </c>
      <c r="C545" s="1589">
        <v>0</v>
      </c>
      <c r="D545" s="1589">
        <v>0</v>
      </c>
      <c r="E545" s="1589">
        <v>0</v>
      </c>
      <c r="F545" s="1589">
        <v>0</v>
      </c>
      <c r="G545" s="1589">
        <v>0</v>
      </c>
      <c r="H545" s="1589">
        <v>0</v>
      </c>
      <c r="I545" s="1589">
        <v>0</v>
      </c>
      <c r="J545" s="1589">
        <v>0</v>
      </c>
      <c r="K545" s="1589">
        <v>0</v>
      </c>
      <c r="L545" s="1589">
        <v>0</v>
      </c>
      <c r="M545" s="1589">
        <v>0</v>
      </c>
      <c r="N545" s="1589">
        <v>0</v>
      </c>
      <c r="O545" s="1589">
        <v>0</v>
      </c>
      <c r="P545" s="1589">
        <v>0</v>
      </c>
      <c r="Q545" s="1589">
        <v>0</v>
      </c>
    </row>
    <row r="546" spans="1:17">
      <c r="A546" s="1727" t="s">
        <v>530</v>
      </c>
      <c r="B546" s="1589">
        <v>0</v>
      </c>
      <c r="C546" s="1589">
        <v>0</v>
      </c>
      <c r="D546" s="1589">
        <v>0</v>
      </c>
      <c r="E546" s="1589">
        <v>0</v>
      </c>
      <c r="F546" s="1589">
        <v>0</v>
      </c>
      <c r="G546" s="1589">
        <v>0</v>
      </c>
      <c r="H546" s="1589">
        <v>0</v>
      </c>
      <c r="I546" s="1589">
        <v>0</v>
      </c>
      <c r="J546" s="1589">
        <v>0</v>
      </c>
      <c r="K546" s="1589">
        <v>0</v>
      </c>
      <c r="L546" s="1589">
        <v>0</v>
      </c>
      <c r="M546" s="1589">
        <v>0</v>
      </c>
      <c r="N546" s="1589">
        <v>0</v>
      </c>
      <c r="O546" s="1589">
        <v>0</v>
      </c>
      <c r="P546" s="1589">
        <v>0</v>
      </c>
      <c r="Q546" s="1589">
        <v>0</v>
      </c>
    </row>
    <row r="547" spans="1:17">
      <c r="A547" s="1727" t="s">
        <v>532</v>
      </c>
      <c r="B547" s="1589">
        <v>0</v>
      </c>
      <c r="C547" s="1589">
        <v>0</v>
      </c>
      <c r="D547" s="1589">
        <v>0</v>
      </c>
      <c r="E547" s="1589">
        <v>0</v>
      </c>
      <c r="F547" s="1589">
        <v>0</v>
      </c>
      <c r="G547" s="1589">
        <v>0</v>
      </c>
      <c r="H547" s="1589">
        <v>0</v>
      </c>
      <c r="I547" s="1589">
        <v>0</v>
      </c>
      <c r="J547" s="1589">
        <v>0</v>
      </c>
      <c r="K547" s="1589">
        <v>0</v>
      </c>
      <c r="L547" s="1589">
        <v>0</v>
      </c>
      <c r="M547" s="1589">
        <v>0</v>
      </c>
      <c r="N547" s="1589">
        <v>0</v>
      </c>
      <c r="O547" s="1589">
        <v>0</v>
      </c>
      <c r="P547" s="1589">
        <v>0</v>
      </c>
      <c r="Q547" s="1589">
        <v>0</v>
      </c>
    </row>
    <row r="548" spans="1:17">
      <c r="A548" s="1727" t="s">
        <v>534</v>
      </c>
      <c r="B548" s="1589">
        <v>0</v>
      </c>
      <c r="C548" s="1589">
        <v>0</v>
      </c>
      <c r="D548" s="1589">
        <v>0</v>
      </c>
      <c r="E548" s="1589">
        <v>0</v>
      </c>
      <c r="F548" s="1589">
        <v>0</v>
      </c>
      <c r="G548" s="1589">
        <v>0</v>
      </c>
      <c r="H548" s="1589">
        <v>0</v>
      </c>
      <c r="I548" s="1589">
        <v>0</v>
      </c>
      <c r="J548" s="1589">
        <v>0</v>
      </c>
      <c r="K548" s="1589">
        <v>0</v>
      </c>
      <c r="L548" s="1589">
        <v>0</v>
      </c>
      <c r="M548" s="1589">
        <v>0</v>
      </c>
      <c r="N548" s="1589">
        <v>0</v>
      </c>
      <c r="O548" s="1589">
        <v>0</v>
      </c>
      <c r="P548" s="1589">
        <v>0</v>
      </c>
      <c r="Q548" s="1589">
        <v>0</v>
      </c>
    </row>
    <row r="549" spans="1:17">
      <c r="A549" s="1727" t="s">
        <v>536</v>
      </c>
      <c r="B549" s="1589">
        <v>0</v>
      </c>
      <c r="C549" s="1589">
        <v>0</v>
      </c>
      <c r="D549" s="1589">
        <v>0</v>
      </c>
      <c r="E549" s="1589">
        <v>0</v>
      </c>
      <c r="F549" s="1589">
        <v>0</v>
      </c>
      <c r="G549" s="1589">
        <v>0</v>
      </c>
      <c r="H549" s="1589">
        <v>0</v>
      </c>
      <c r="I549" s="1589">
        <v>0</v>
      </c>
      <c r="J549" s="1589">
        <v>0</v>
      </c>
      <c r="K549" s="1589">
        <v>0</v>
      </c>
      <c r="L549" s="1589">
        <v>0</v>
      </c>
      <c r="M549" s="1589">
        <v>0</v>
      </c>
      <c r="N549" s="1589">
        <v>0</v>
      </c>
      <c r="O549" s="1589">
        <v>0</v>
      </c>
      <c r="P549" s="1589">
        <v>0</v>
      </c>
      <c r="Q549" s="1589">
        <v>0</v>
      </c>
    </row>
    <row r="550" spans="1:17">
      <c r="A550" s="1727" t="s">
        <v>538</v>
      </c>
      <c r="B550" s="1589">
        <v>0</v>
      </c>
      <c r="C550" s="1589">
        <v>0</v>
      </c>
      <c r="D550" s="1589">
        <v>0</v>
      </c>
      <c r="E550" s="1589">
        <v>0</v>
      </c>
      <c r="F550" s="1589">
        <v>0</v>
      </c>
      <c r="G550" s="1589">
        <v>0</v>
      </c>
      <c r="H550" s="1589">
        <v>0</v>
      </c>
      <c r="I550" s="1589">
        <v>0</v>
      </c>
      <c r="J550" s="1589">
        <v>0</v>
      </c>
      <c r="K550" s="1589">
        <v>0</v>
      </c>
      <c r="L550" s="1589">
        <v>0</v>
      </c>
      <c r="M550" s="1589">
        <v>0</v>
      </c>
      <c r="N550" s="1589">
        <v>0</v>
      </c>
      <c r="O550" s="1589">
        <v>0</v>
      </c>
      <c r="P550" s="1589">
        <v>0</v>
      </c>
      <c r="Q550" s="1589">
        <v>0</v>
      </c>
    </row>
    <row r="551" spans="1:17">
      <c r="A551" s="1727" t="s">
        <v>540</v>
      </c>
      <c r="B551" s="1589">
        <v>0</v>
      </c>
      <c r="C551" s="1589">
        <v>0</v>
      </c>
      <c r="D551" s="1589">
        <v>0</v>
      </c>
      <c r="E551" s="1589">
        <v>0</v>
      </c>
      <c r="F551" s="1589">
        <v>0</v>
      </c>
      <c r="G551" s="1589">
        <v>0</v>
      </c>
      <c r="H551" s="1589">
        <v>0</v>
      </c>
      <c r="I551" s="1589">
        <v>0</v>
      </c>
      <c r="J551" s="1589">
        <v>0</v>
      </c>
      <c r="K551" s="1589">
        <v>0</v>
      </c>
      <c r="L551" s="1589">
        <v>0</v>
      </c>
      <c r="M551" s="1589">
        <v>0</v>
      </c>
      <c r="N551" s="1589">
        <v>0</v>
      </c>
      <c r="O551" s="1589">
        <v>0</v>
      </c>
      <c r="P551" s="1589">
        <v>0</v>
      </c>
      <c r="Q551" s="1589">
        <v>0</v>
      </c>
    </row>
    <row r="552" spans="1:17">
      <c r="A552" s="1588" t="s">
        <v>676</v>
      </c>
      <c r="B552" s="1589">
        <v>0</v>
      </c>
      <c r="C552" s="1589">
        <v>834777.49640000006</v>
      </c>
      <c r="D552" s="1589">
        <v>1401685.7000000002</v>
      </c>
      <c r="E552" s="1589">
        <v>0</v>
      </c>
      <c r="F552" s="1589">
        <v>2236463.1964000002</v>
      </c>
      <c r="G552" s="1589">
        <v>0</v>
      </c>
      <c r="H552" s="1589">
        <v>2103126.7927999999</v>
      </c>
      <c r="I552" s="1589">
        <v>0</v>
      </c>
      <c r="J552" s="1589">
        <v>0</v>
      </c>
      <c r="K552" s="1589">
        <v>2103126.7927999999</v>
      </c>
      <c r="L552" s="1589">
        <v>0</v>
      </c>
      <c r="M552" s="1589">
        <v>2260947.2460000003</v>
      </c>
      <c r="N552" s="1589">
        <v>0</v>
      </c>
      <c r="O552" s="1589">
        <v>0</v>
      </c>
      <c r="P552" s="1589">
        <v>2260947.2460000003</v>
      </c>
      <c r="Q552" s="1589">
        <v>6600537.2352000009</v>
      </c>
    </row>
    <row r="553" spans="1:17">
      <c r="A553" s="1725" t="s">
        <v>677</v>
      </c>
      <c r="B553" s="1589">
        <v>0</v>
      </c>
      <c r="C553" s="1589">
        <v>673538.24640000006</v>
      </c>
      <c r="D553" s="1589">
        <v>1401685.7000000002</v>
      </c>
      <c r="E553" s="1589">
        <v>0</v>
      </c>
      <c r="F553" s="1589">
        <v>2075223.9464000002</v>
      </c>
      <c r="G553" s="1589">
        <v>0</v>
      </c>
      <c r="H553" s="1589">
        <v>1941887.5428000002</v>
      </c>
      <c r="I553" s="1589">
        <v>0</v>
      </c>
      <c r="J553" s="1589">
        <v>0</v>
      </c>
      <c r="K553" s="1589">
        <v>1941887.5428000002</v>
      </c>
      <c r="L553" s="1589">
        <v>0</v>
      </c>
      <c r="M553" s="1589">
        <v>2099707.9960000003</v>
      </c>
      <c r="N553" s="1589">
        <v>0</v>
      </c>
      <c r="O553" s="1589">
        <v>0</v>
      </c>
      <c r="P553" s="1589">
        <v>2099707.9960000003</v>
      </c>
      <c r="Q553" s="1589">
        <v>6116819.4852000009</v>
      </c>
    </row>
    <row r="554" spans="1:17">
      <c r="A554" s="1726">
        <v>0</v>
      </c>
      <c r="B554" s="1589">
        <v>0</v>
      </c>
      <c r="C554" s="1589">
        <v>673538.24640000006</v>
      </c>
      <c r="D554" s="1589">
        <v>1401685.7000000002</v>
      </c>
      <c r="E554" s="1589">
        <v>0</v>
      </c>
      <c r="F554" s="1589">
        <v>2075223.9464000002</v>
      </c>
      <c r="G554" s="1589">
        <v>0</v>
      </c>
      <c r="H554" s="1589">
        <v>1941887.5428000002</v>
      </c>
      <c r="I554" s="1589">
        <v>0</v>
      </c>
      <c r="J554" s="1589">
        <v>0</v>
      </c>
      <c r="K554" s="1589">
        <v>1941887.5428000002</v>
      </c>
      <c r="L554" s="1589">
        <v>0</v>
      </c>
      <c r="M554" s="1589">
        <v>2099707.9960000003</v>
      </c>
      <c r="N554" s="1589">
        <v>0</v>
      </c>
      <c r="O554" s="1589">
        <v>0</v>
      </c>
      <c r="P554" s="1589">
        <v>2099707.9960000003</v>
      </c>
      <c r="Q554" s="1589">
        <v>6116819.4852000009</v>
      </c>
    </row>
    <row r="555" spans="1:17">
      <c r="A555" s="1727" t="s">
        <v>655</v>
      </c>
      <c r="B555" s="1589">
        <v>0</v>
      </c>
      <c r="C555" s="1589">
        <v>0</v>
      </c>
      <c r="D555" s="1589">
        <v>0</v>
      </c>
      <c r="E555" s="1589">
        <v>0</v>
      </c>
      <c r="F555" s="1589">
        <v>0</v>
      </c>
      <c r="G555" s="1589">
        <v>0</v>
      </c>
      <c r="H555" s="1589">
        <v>0</v>
      </c>
      <c r="I555" s="1589">
        <v>0</v>
      </c>
      <c r="J555" s="1589">
        <v>0</v>
      </c>
      <c r="K555" s="1589">
        <v>0</v>
      </c>
      <c r="L555" s="1589">
        <v>0</v>
      </c>
      <c r="M555" s="1589">
        <v>0</v>
      </c>
      <c r="N555" s="1589">
        <v>0</v>
      </c>
      <c r="O555" s="1589">
        <v>0</v>
      </c>
      <c r="P555" s="1589">
        <v>0</v>
      </c>
      <c r="Q555" s="1589">
        <v>0</v>
      </c>
    </row>
    <row r="556" spans="1:17">
      <c r="A556" s="1727" t="s">
        <v>595</v>
      </c>
      <c r="B556" s="1589">
        <v>0</v>
      </c>
      <c r="C556" s="1589">
        <v>380413.43999999994</v>
      </c>
      <c r="D556" s="1589">
        <v>1136451</v>
      </c>
      <c r="E556" s="1589">
        <v>0</v>
      </c>
      <c r="F556" s="1589">
        <v>1516864.44</v>
      </c>
      <c r="G556" s="1589">
        <v>0</v>
      </c>
      <c r="H556" s="1589">
        <v>1644015.38</v>
      </c>
      <c r="I556" s="1589">
        <v>0</v>
      </c>
      <c r="J556" s="1589">
        <v>0</v>
      </c>
      <c r="K556" s="1589">
        <v>1644015.38</v>
      </c>
      <c r="L556" s="1589">
        <v>0</v>
      </c>
      <c r="M556" s="1589">
        <v>1789812.6</v>
      </c>
      <c r="N556" s="1589">
        <v>0</v>
      </c>
      <c r="O556" s="1589">
        <v>0</v>
      </c>
      <c r="P556" s="1589">
        <v>1789812.6</v>
      </c>
      <c r="Q556" s="1589">
        <v>4950692.42</v>
      </c>
    </row>
    <row r="557" spans="1:17">
      <c r="A557" s="1727" t="s">
        <v>597</v>
      </c>
      <c r="B557" s="1589">
        <v>0</v>
      </c>
      <c r="C557" s="1589">
        <v>0</v>
      </c>
      <c r="D557" s="1589">
        <v>185894</v>
      </c>
      <c r="E557" s="1589">
        <v>0</v>
      </c>
      <c r="F557" s="1589">
        <v>185894</v>
      </c>
      <c r="G557" s="1589">
        <v>0</v>
      </c>
      <c r="H557" s="1589">
        <v>187954</v>
      </c>
      <c r="I557" s="1589">
        <v>0</v>
      </c>
      <c r="J557" s="1589">
        <v>0</v>
      </c>
      <c r="K557" s="1589">
        <v>187954</v>
      </c>
      <c r="L557" s="1589">
        <v>0</v>
      </c>
      <c r="M557" s="1589">
        <v>191044</v>
      </c>
      <c r="N557" s="1589">
        <v>0</v>
      </c>
      <c r="O557" s="1589">
        <v>0</v>
      </c>
      <c r="P557" s="1589">
        <v>191044</v>
      </c>
      <c r="Q557" s="1589">
        <v>564892</v>
      </c>
    </row>
    <row r="558" spans="1:17">
      <c r="A558" s="1727" t="s">
        <v>678</v>
      </c>
      <c r="B558" s="1589">
        <v>0</v>
      </c>
      <c r="C558" s="1589">
        <v>0</v>
      </c>
      <c r="D558" s="1589">
        <v>0</v>
      </c>
      <c r="E558" s="1589">
        <v>0</v>
      </c>
      <c r="F558" s="1589">
        <v>0</v>
      </c>
      <c r="G558" s="1589">
        <v>0</v>
      </c>
      <c r="H558" s="1589">
        <v>0</v>
      </c>
      <c r="I558" s="1589">
        <v>0</v>
      </c>
      <c r="J558" s="1589">
        <v>0</v>
      </c>
      <c r="K558" s="1589">
        <v>0</v>
      </c>
      <c r="L558" s="1589">
        <v>0</v>
      </c>
      <c r="M558" s="1589">
        <v>0</v>
      </c>
      <c r="N558" s="1589">
        <v>0</v>
      </c>
      <c r="O558" s="1589">
        <v>0</v>
      </c>
      <c r="P558" s="1589">
        <v>0</v>
      </c>
      <c r="Q558" s="1589">
        <v>0</v>
      </c>
    </row>
    <row r="559" spans="1:17">
      <c r="A559" s="1727" t="s">
        <v>671</v>
      </c>
      <c r="B559" s="1589">
        <v>0</v>
      </c>
      <c r="C559" s="1589">
        <v>0</v>
      </c>
      <c r="D559" s="1589">
        <v>0</v>
      </c>
      <c r="E559" s="1589">
        <v>0</v>
      </c>
      <c r="F559" s="1589">
        <v>0</v>
      </c>
      <c r="G559" s="1589">
        <v>0</v>
      </c>
      <c r="H559" s="1589">
        <v>0</v>
      </c>
      <c r="I559" s="1589">
        <v>0</v>
      </c>
      <c r="J559" s="1589">
        <v>0</v>
      </c>
      <c r="K559" s="1589">
        <v>0</v>
      </c>
      <c r="L559" s="1589">
        <v>0</v>
      </c>
      <c r="M559" s="1589">
        <v>0</v>
      </c>
      <c r="N559" s="1589">
        <v>0</v>
      </c>
      <c r="O559" s="1589">
        <v>0</v>
      </c>
      <c r="P559" s="1589">
        <v>0</v>
      </c>
      <c r="Q559" s="1589">
        <v>0</v>
      </c>
    </row>
    <row r="560" spans="1:17">
      <c r="A560" s="1727" t="s">
        <v>654</v>
      </c>
      <c r="B560" s="1589">
        <v>0</v>
      </c>
      <c r="C560" s="1589">
        <v>0</v>
      </c>
      <c r="D560" s="1589">
        <v>0</v>
      </c>
      <c r="E560" s="1589">
        <v>0</v>
      </c>
      <c r="F560" s="1589">
        <v>0</v>
      </c>
      <c r="G560" s="1589">
        <v>0</v>
      </c>
      <c r="H560" s="1589">
        <v>0</v>
      </c>
      <c r="I560" s="1589">
        <v>0</v>
      </c>
      <c r="J560" s="1589">
        <v>0</v>
      </c>
      <c r="K560" s="1589">
        <v>0</v>
      </c>
      <c r="L560" s="1589">
        <v>0</v>
      </c>
      <c r="M560" s="1589">
        <v>0</v>
      </c>
      <c r="N560" s="1589">
        <v>0</v>
      </c>
      <c r="O560" s="1589">
        <v>0</v>
      </c>
      <c r="P560" s="1589">
        <v>0</v>
      </c>
      <c r="Q560" s="1589">
        <v>0</v>
      </c>
    </row>
    <row r="561" spans="1:17">
      <c r="A561" s="1727" t="s">
        <v>593</v>
      </c>
      <c r="B561" s="1589">
        <v>0</v>
      </c>
      <c r="C561" s="1589">
        <v>0</v>
      </c>
      <c r="D561" s="1589">
        <v>0</v>
      </c>
      <c r="E561" s="1589">
        <v>0</v>
      </c>
      <c r="F561" s="1589">
        <v>0</v>
      </c>
      <c r="G561" s="1589">
        <v>0</v>
      </c>
      <c r="H561" s="1589">
        <v>0</v>
      </c>
      <c r="I561" s="1589">
        <v>0</v>
      </c>
      <c r="J561" s="1589">
        <v>0</v>
      </c>
      <c r="K561" s="1589">
        <v>0</v>
      </c>
      <c r="L561" s="1589">
        <v>0</v>
      </c>
      <c r="M561" s="1589">
        <v>0</v>
      </c>
      <c r="N561" s="1589">
        <v>0</v>
      </c>
      <c r="O561" s="1589">
        <v>0</v>
      </c>
      <c r="P561" s="1589">
        <v>0</v>
      </c>
      <c r="Q561" s="1589">
        <v>0</v>
      </c>
    </row>
    <row r="562" spans="1:17">
      <c r="A562" s="1727" t="s">
        <v>586</v>
      </c>
      <c r="B562" s="1589">
        <v>0</v>
      </c>
      <c r="C562" s="1589">
        <v>255000</v>
      </c>
      <c r="D562" s="1589">
        <v>0</v>
      </c>
      <c r="E562" s="1589">
        <v>0</v>
      </c>
      <c r="F562" s="1589">
        <v>255000</v>
      </c>
      <c r="G562" s="1589">
        <v>0</v>
      </c>
      <c r="H562" s="1589">
        <v>0</v>
      </c>
      <c r="I562" s="1589">
        <v>0</v>
      </c>
      <c r="J562" s="1589">
        <v>0</v>
      </c>
      <c r="K562" s="1589">
        <v>0</v>
      </c>
      <c r="L562" s="1589">
        <v>0</v>
      </c>
      <c r="M562" s="1589">
        <v>0</v>
      </c>
      <c r="N562" s="1589">
        <v>0</v>
      </c>
      <c r="O562" s="1589">
        <v>0</v>
      </c>
      <c r="P562" s="1589">
        <v>0</v>
      </c>
      <c r="Q562" s="1589">
        <v>255000</v>
      </c>
    </row>
    <row r="563" spans="1:17">
      <c r="A563" s="1727" t="s">
        <v>528</v>
      </c>
      <c r="B563" s="1589">
        <v>0</v>
      </c>
      <c r="C563" s="1589">
        <v>38124.806399999994</v>
      </c>
      <c r="D563" s="1589">
        <v>79340.7</v>
      </c>
      <c r="E563" s="1589">
        <v>0</v>
      </c>
      <c r="F563" s="1589">
        <v>117465.50639999998</v>
      </c>
      <c r="G563" s="1589">
        <v>0</v>
      </c>
      <c r="H563" s="1589">
        <v>109918.16279999999</v>
      </c>
      <c r="I563" s="1589">
        <v>0</v>
      </c>
      <c r="J563" s="1589">
        <v>0</v>
      </c>
      <c r="K563" s="1589">
        <v>109918.16279999999</v>
      </c>
      <c r="L563" s="1589">
        <v>0</v>
      </c>
      <c r="M563" s="1589">
        <v>118851.39599999999</v>
      </c>
      <c r="N563" s="1589">
        <v>0</v>
      </c>
      <c r="O563" s="1589">
        <v>0</v>
      </c>
      <c r="P563" s="1589">
        <v>118851.39599999999</v>
      </c>
      <c r="Q563" s="1589">
        <v>346235.06519999995</v>
      </c>
    </row>
    <row r="564" spans="1:17">
      <c r="A564" s="1727" t="s">
        <v>530</v>
      </c>
      <c r="B564" s="1589">
        <v>0</v>
      </c>
      <c r="C564" s="1589">
        <v>6.3541343999999995E-11</v>
      </c>
      <c r="D564" s="1589">
        <v>1.322345E-10</v>
      </c>
      <c r="E564" s="1589">
        <v>0</v>
      </c>
      <c r="F564" s="1589">
        <v>1.95775844E-10</v>
      </c>
      <c r="G564" s="1589">
        <v>0</v>
      </c>
      <c r="H564" s="1589">
        <v>1.8319693799999998E-10</v>
      </c>
      <c r="I564" s="1589">
        <v>0</v>
      </c>
      <c r="J564" s="1589">
        <v>0</v>
      </c>
      <c r="K564" s="1589">
        <v>1.8319693799999998E-10</v>
      </c>
      <c r="L564" s="1589">
        <v>0</v>
      </c>
      <c r="M564" s="1589">
        <v>1.9808565999999999E-10</v>
      </c>
      <c r="N564" s="1589">
        <v>0</v>
      </c>
      <c r="O564" s="1589">
        <v>0</v>
      </c>
      <c r="P564" s="1589">
        <v>1.9808565999999999E-10</v>
      </c>
      <c r="Q564" s="1589">
        <v>5.7705844199999994E-10</v>
      </c>
    </row>
    <row r="565" spans="1:17">
      <c r="A565" s="1727" t="s">
        <v>532</v>
      </c>
      <c r="B565" s="1589">
        <v>0</v>
      </c>
      <c r="C565" s="1589">
        <v>0</v>
      </c>
      <c r="D565" s="1589">
        <v>0</v>
      </c>
      <c r="E565" s="1589">
        <v>0</v>
      </c>
      <c r="F565" s="1589">
        <v>0</v>
      </c>
      <c r="G565" s="1589">
        <v>0</v>
      </c>
      <c r="H565" s="1589">
        <v>0</v>
      </c>
      <c r="I565" s="1589">
        <v>0</v>
      </c>
      <c r="J565" s="1589">
        <v>0</v>
      </c>
      <c r="K565" s="1589">
        <v>0</v>
      </c>
      <c r="L565" s="1589">
        <v>0</v>
      </c>
      <c r="M565" s="1589">
        <v>0</v>
      </c>
      <c r="N565" s="1589">
        <v>0</v>
      </c>
      <c r="O565" s="1589">
        <v>0</v>
      </c>
      <c r="P565" s="1589">
        <v>0</v>
      </c>
      <c r="Q565" s="1589">
        <v>0</v>
      </c>
    </row>
    <row r="566" spans="1:17">
      <c r="A566" s="1727" t="s">
        <v>534</v>
      </c>
      <c r="B566" s="1589">
        <v>0</v>
      </c>
      <c r="C566" s="1589">
        <v>0</v>
      </c>
      <c r="D566" s="1589">
        <v>0</v>
      </c>
      <c r="E566" s="1589">
        <v>0</v>
      </c>
      <c r="F566" s="1589">
        <v>0</v>
      </c>
      <c r="G566" s="1589">
        <v>0</v>
      </c>
      <c r="H566" s="1589">
        <v>0</v>
      </c>
      <c r="I566" s="1589">
        <v>0</v>
      </c>
      <c r="J566" s="1589">
        <v>0</v>
      </c>
      <c r="K566" s="1589">
        <v>0</v>
      </c>
      <c r="L566" s="1589">
        <v>0</v>
      </c>
      <c r="M566" s="1589">
        <v>0</v>
      </c>
      <c r="N566" s="1589">
        <v>0</v>
      </c>
      <c r="O566" s="1589">
        <v>0</v>
      </c>
      <c r="P566" s="1589">
        <v>0</v>
      </c>
      <c r="Q566" s="1589">
        <v>0</v>
      </c>
    </row>
    <row r="567" spans="1:17">
      <c r="A567" s="1727" t="s">
        <v>536</v>
      </c>
      <c r="B567" s="1589">
        <v>0</v>
      </c>
      <c r="C567" s="1589">
        <v>0</v>
      </c>
      <c r="D567" s="1589">
        <v>0</v>
      </c>
      <c r="E567" s="1589">
        <v>0</v>
      </c>
      <c r="F567" s="1589">
        <v>0</v>
      </c>
      <c r="G567" s="1589">
        <v>0</v>
      </c>
      <c r="H567" s="1589">
        <v>0</v>
      </c>
      <c r="I567" s="1589">
        <v>0</v>
      </c>
      <c r="J567" s="1589">
        <v>0</v>
      </c>
      <c r="K567" s="1589">
        <v>0</v>
      </c>
      <c r="L567" s="1589">
        <v>0</v>
      </c>
      <c r="M567" s="1589">
        <v>0</v>
      </c>
      <c r="N567" s="1589">
        <v>0</v>
      </c>
      <c r="O567" s="1589">
        <v>0</v>
      </c>
      <c r="P567" s="1589">
        <v>0</v>
      </c>
      <c r="Q567" s="1589">
        <v>0</v>
      </c>
    </row>
    <row r="568" spans="1:17">
      <c r="A568" s="1727" t="s">
        <v>538</v>
      </c>
      <c r="B568" s="1589">
        <v>0</v>
      </c>
      <c r="C568" s="1589">
        <v>0</v>
      </c>
      <c r="D568" s="1589">
        <v>0</v>
      </c>
      <c r="E568" s="1589">
        <v>0</v>
      </c>
      <c r="F568" s="1589">
        <v>0</v>
      </c>
      <c r="G568" s="1589">
        <v>0</v>
      </c>
      <c r="H568" s="1589">
        <v>0</v>
      </c>
      <c r="I568" s="1589">
        <v>0</v>
      </c>
      <c r="J568" s="1589">
        <v>0</v>
      </c>
      <c r="K568" s="1589">
        <v>0</v>
      </c>
      <c r="L568" s="1589">
        <v>0</v>
      </c>
      <c r="M568" s="1589">
        <v>0</v>
      </c>
      <c r="N568" s="1589">
        <v>0</v>
      </c>
      <c r="O568" s="1589">
        <v>0</v>
      </c>
      <c r="P568" s="1589">
        <v>0</v>
      </c>
      <c r="Q568" s="1589">
        <v>0</v>
      </c>
    </row>
    <row r="569" spans="1:17">
      <c r="A569" s="1727" t="s">
        <v>540</v>
      </c>
      <c r="B569" s="1589">
        <v>0</v>
      </c>
      <c r="C569" s="1589">
        <v>0</v>
      </c>
      <c r="D569" s="1589">
        <v>0</v>
      </c>
      <c r="E569" s="1589">
        <v>0</v>
      </c>
      <c r="F569" s="1589">
        <v>0</v>
      </c>
      <c r="G569" s="1589">
        <v>0</v>
      </c>
      <c r="H569" s="1589">
        <v>0</v>
      </c>
      <c r="I569" s="1589">
        <v>0</v>
      </c>
      <c r="J569" s="1589">
        <v>0</v>
      </c>
      <c r="K569" s="1589">
        <v>0</v>
      </c>
      <c r="L569" s="1589">
        <v>0</v>
      </c>
      <c r="M569" s="1589">
        <v>0</v>
      </c>
      <c r="N569" s="1589">
        <v>0</v>
      </c>
      <c r="O569" s="1589">
        <v>0</v>
      </c>
      <c r="P569" s="1589">
        <v>0</v>
      </c>
      <c r="Q569" s="1589">
        <v>0</v>
      </c>
    </row>
    <row r="570" spans="1:17">
      <c r="A570" s="1725" t="s">
        <v>679</v>
      </c>
      <c r="B570" s="1589">
        <v>0</v>
      </c>
      <c r="C570" s="1589">
        <v>161239.25000000003</v>
      </c>
      <c r="D570" s="1589">
        <v>0</v>
      </c>
      <c r="E570" s="1589">
        <v>0</v>
      </c>
      <c r="F570" s="1589">
        <v>161239.25000000003</v>
      </c>
      <c r="G570" s="1589">
        <v>0</v>
      </c>
      <c r="H570" s="1589">
        <v>161239.25000000003</v>
      </c>
      <c r="I570" s="1589">
        <v>0</v>
      </c>
      <c r="J570" s="1589">
        <v>0</v>
      </c>
      <c r="K570" s="1589">
        <v>161239.25000000003</v>
      </c>
      <c r="L570" s="1589">
        <v>0</v>
      </c>
      <c r="M570" s="1589">
        <v>161239.25000000003</v>
      </c>
      <c r="N570" s="1589">
        <v>0</v>
      </c>
      <c r="O570" s="1589">
        <v>0</v>
      </c>
      <c r="P570" s="1589">
        <v>161239.25000000003</v>
      </c>
      <c r="Q570" s="1589">
        <v>483717.75000000006</v>
      </c>
    </row>
    <row r="571" spans="1:17">
      <c r="A571" s="1726">
        <v>0</v>
      </c>
      <c r="B571" s="1589">
        <v>0</v>
      </c>
      <c r="C571" s="1589">
        <v>161239.25000000003</v>
      </c>
      <c r="D571" s="1589">
        <v>0</v>
      </c>
      <c r="E571" s="1589">
        <v>0</v>
      </c>
      <c r="F571" s="1589">
        <v>161239.25000000003</v>
      </c>
      <c r="G571" s="1589">
        <v>0</v>
      </c>
      <c r="H571" s="1589">
        <v>161239.25000000003</v>
      </c>
      <c r="I571" s="1589">
        <v>0</v>
      </c>
      <c r="J571" s="1589">
        <v>0</v>
      </c>
      <c r="K571" s="1589">
        <v>161239.25000000003</v>
      </c>
      <c r="L571" s="1589">
        <v>0</v>
      </c>
      <c r="M571" s="1589">
        <v>161239.25000000003</v>
      </c>
      <c r="N571" s="1589">
        <v>0</v>
      </c>
      <c r="O571" s="1589">
        <v>0</v>
      </c>
      <c r="P571" s="1589">
        <v>161239.25000000003</v>
      </c>
      <c r="Q571" s="1589">
        <v>483717.75000000006</v>
      </c>
    </row>
    <row r="572" spans="1:17">
      <c r="A572" s="1727" t="s">
        <v>649</v>
      </c>
      <c r="B572" s="1589">
        <v>0</v>
      </c>
      <c r="C572" s="1589">
        <v>0</v>
      </c>
      <c r="D572" s="1589">
        <v>0</v>
      </c>
      <c r="E572" s="1589">
        <v>0</v>
      </c>
      <c r="F572" s="1589">
        <v>0</v>
      </c>
      <c r="G572" s="1589">
        <v>0</v>
      </c>
      <c r="H572" s="1589">
        <v>0</v>
      </c>
      <c r="I572" s="1589">
        <v>0</v>
      </c>
      <c r="J572" s="1589">
        <v>0</v>
      </c>
      <c r="K572" s="1589">
        <v>0</v>
      </c>
      <c r="L572" s="1589">
        <v>0</v>
      </c>
      <c r="M572" s="1589">
        <v>0</v>
      </c>
      <c r="N572" s="1589">
        <v>0</v>
      </c>
      <c r="O572" s="1589">
        <v>0</v>
      </c>
      <c r="P572" s="1589">
        <v>0</v>
      </c>
      <c r="Q572" s="1589">
        <v>0</v>
      </c>
    </row>
    <row r="573" spans="1:17">
      <c r="A573" s="1727" t="s">
        <v>656</v>
      </c>
      <c r="B573" s="1589">
        <v>0</v>
      </c>
      <c r="C573" s="1589">
        <v>88680</v>
      </c>
      <c r="D573" s="1589">
        <v>0</v>
      </c>
      <c r="E573" s="1589">
        <v>0</v>
      </c>
      <c r="F573" s="1589">
        <v>88680</v>
      </c>
      <c r="G573" s="1589">
        <v>0</v>
      </c>
      <c r="H573" s="1589">
        <v>88680</v>
      </c>
      <c r="I573" s="1589">
        <v>0</v>
      </c>
      <c r="J573" s="1589">
        <v>0</v>
      </c>
      <c r="K573" s="1589">
        <v>88680</v>
      </c>
      <c r="L573" s="1589">
        <v>0</v>
      </c>
      <c r="M573" s="1589">
        <v>88680</v>
      </c>
      <c r="N573" s="1589">
        <v>0</v>
      </c>
      <c r="O573" s="1589">
        <v>0</v>
      </c>
      <c r="P573" s="1589">
        <v>88680</v>
      </c>
      <c r="Q573" s="1589">
        <v>266040</v>
      </c>
    </row>
    <row r="574" spans="1:17">
      <c r="A574" s="1727" t="s">
        <v>651</v>
      </c>
      <c r="B574" s="1589">
        <v>0</v>
      </c>
      <c r="C574" s="1589">
        <v>63432.5</v>
      </c>
      <c r="D574" s="1589">
        <v>0</v>
      </c>
      <c r="E574" s="1589">
        <v>0</v>
      </c>
      <c r="F574" s="1589">
        <v>63432.5</v>
      </c>
      <c r="G574" s="1589">
        <v>0</v>
      </c>
      <c r="H574" s="1589">
        <v>63432.5</v>
      </c>
      <c r="I574" s="1589">
        <v>0</v>
      </c>
      <c r="J574" s="1589">
        <v>0</v>
      </c>
      <c r="K574" s="1589">
        <v>63432.5</v>
      </c>
      <c r="L574" s="1589">
        <v>0</v>
      </c>
      <c r="M574" s="1589">
        <v>63432.5</v>
      </c>
      <c r="N574" s="1589">
        <v>0</v>
      </c>
      <c r="O574" s="1589">
        <v>0</v>
      </c>
      <c r="P574" s="1589">
        <v>63432.5</v>
      </c>
      <c r="Q574" s="1589">
        <v>190297.5</v>
      </c>
    </row>
    <row r="575" spans="1:17">
      <c r="A575" s="1727" t="s">
        <v>528</v>
      </c>
      <c r="B575" s="1589">
        <v>0</v>
      </c>
      <c r="C575" s="1589">
        <v>9126.75</v>
      </c>
      <c r="D575" s="1589">
        <v>0</v>
      </c>
      <c r="E575" s="1589">
        <v>0</v>
      </c>
      <c r="F575" s="1589">
        <v>9126.75</v>
      </c>
      <c r="G575" s="1589">
        <v>0</v>
      </c>
      <c r="H575" s="1589">
        <v>9126.75</v>
      </c>
      <c r="I575" s="1589">
        <v>0</v>
      </c>
      <c r="J575" s="1589">
        <v>0</v>
      </c>
      <c r="K575" s="1589">
        <v>9126.75</v>
      </c>
      <c r="L575" s="1589">
        <v>0</v>
      </c>
      <c r="M575" s="1589">
        <v>9126.75</v>
      </c>
      <c r="N575" s="1589">
        <v>0</v>
      </c>
      <c r="O575" s="1589">
        <v>0</v>
      </c>
      <c r="P575" s="1589">
        <v>9126.75</v>
      </c>
      <c r="Q575" s="1589">
        <v>27380.25</v>
      </c>
    </row>
    <row r="576" spans="1:17">
      <c r="A576" s="1727" t="s">
        <v>530</v>
      </c>
      <c r="B576" s="1589">
        <v>0</v>
      </c>
      <c r="C576" s="1589">
        <v>1.5211249999999999E-11</v>
      </c>
      <c r="D576" s="1589">
        <v>0</v>
      </c>
      <c r="E576" s="1589">
        <v>0</v>
      </c>
      <c r="F576" s="1589">
        <v>1.5211249999999999E-11</v>
      </c>
      <c r="G576" s="1589">
        <v>0</v>
      </c>
      <c r="H576" s="1589">
        <v>1.5211249999999999E-11</v>
      </c>
      <c r="I576" s="1589">
        <v>0</v>
      </c>
      <c r="J576" s="1589">
        <v>0</v>
      </c>
      <c r="K576" s="1589">
        <v>1.5211249999999999E-11</v>
      </c>
      <c r="L576" s="1589">
        <v>0</v>
      </c>
      <c r="M576" s="1589">
        <v>1.5211249999999999E-11</v>
      </c>
      <c r="N576" s="1589">
        <v>0</v>
      </c>
      <c r="O576" s="1589">
        <v>0</v>
      </c>
      <c r="P576" s="1589">
        <v>1.5211249999999999E-11</v>
      </c>
      <c r="Q576" s="1589">
        <v>4.5633749999999995E-11</v>
      </c>
    </row>
    <row r="577" spans="1:17">
      <c r="A577" s="1727" t="s">
        <v>532</v>
      </c>
      <c r="B577" s="1589">
        <v>0</v>
      </c>
      <c r="C577" s="1589">
        <v>0</v>
      </c>
      <c r="D577" s="1589">
        <v>0</v>
      </c>
      <c r="E577" s="1589">
        <v>0</v>
      </c>
      <c r="F577" s="1589">
        <v>0</v>
      </c>
      <c r="G577" s="1589">
        <v>0</v>
      </c>
      <c r="H577" s="1589">
        <v>0</v>
      </c>
      <c r="I577" s="1589">
        <v>0</v>
      </c>
      <c r="J577" s="1589">
        <v>0</v>
      </c>
      <c r="K577" s="1589">
        <v>0</v>
      </c>
      <c r="L577" s="1589">
        <v>0</v>
      </c>
      <c r="M577" s="1589">
        <v>0</v>
      </c>
      <c r="N577" s="1589">
        <v>0</v>
      </c>
      <c r="O577" s="1589">
        <v>0</v>
      </c>
      <c r="P577" s="1589">
        <v>0</v>
      </c>
      <c r="Q577" s="1589">
        <v>0</v>
      </c>
    </row>
    <row r="578" spans="1:17">
      <c r="A578" s="1727" t="s">
        <v>534</v>
      </c>
      <c r="B578" s="1589">
        <v>0</v>
      </c>
      <c r="C578" s="1589">
        <v>0</v>
      </c>
      <c r="D578" s="1589">
        <v>0</v>
      </c>
      <c r="E578" s="1589">
        <v>0</v>
      </c>
      <c r="F578" s="1589">
        <v>0</v>
      </c>
      <c r="G578" s="1589">
        <v>0</v>
      </c>
      <c r="H578" s="1589">
        <v>0</v>
      </c>
      <c r="I578" s="1589">
        <v>0</v>
      </c>
      <c r="J578" s="1589">
        <v>0</v>
      </c>
      <c r="K578" s="1589">
        <v>0</v>
      </c>
      <c r="L578" s="1589">
        <v>0</v>
      </c>
      <c r="M578" s="1589">
        <v>0</v>
      </c>
      <c r="N578" s="1589">
        <v>0</v>
      </c>
      <c r="O578" s="1589">
        <v>0</v>
      </c>
      <c r="P578" s="1589">
        <v>0</v>
      </c>
      <c r="Q578" s="1589">
        <v>0</v>
      </c>
    </row>
    <row r="579" spans="1:17">
      <c r="A579" s="1727" t="s">
        <v>536</v>
      </c>
      <c r="B579" s="1589">
        <v>0</v>
      </c>
      <c r="C579" s="1589">
        <v>0</v>
      </c>
      <c r="D579" s="1589">
        <v>0</v>
      </c>
      <c r="E579" s="1589">
        <v>0</v>
      </c>
      <c r="F579" s="1589">
        <v>0</v>
      </c>
      <c r="G579" s="1589">
        <v>0</v>
      </c>
      <c r="H579" s="1589">
        <v>0</v>
      </c>
      <c r="I579" s="1589">
        <v>0</v>
      </c>
      <c r="J579" s="1589">
        <v>0</v>
      </c>
      <c r="K579" s="1589">
        <v>0</v>
      </c>
      <c r="L579" s="1589">
        <v>0</v>
      </c>
      <c r="M579" s="1589">
        <v>0</v>
      </c>
      <c r="N579" s="1589">
        <v>0</v>
      </c>
      <c r="O579" s="1589">
        <v>0</v>
      </c>
      <c r="P579" s="1589">
        <v>0</v>
      </c>
      <c r="Q579" s="1589">
        <v>0</v>
      </c>
    </row>
    <row r="580" spans="1:17">
      <c r="A580" s="1727" t="s">
        <v>538</v>
      </c>
      <c r="B580" s="1589">
        <v>0</v>
      </c>
      <c r="C580" s="1589">
        <v>0</v>
      </c>
      <c r="D580" s="1589">
        <v>0</v>
      </c>
      <c r="E580" s="1589">
        <v>0</v>
      </c>
      <c r="F580" s="1589">
        <v>0</v>
      </c>
      <c r="G580" s="1589">
        <v>0</v>
      </c>
      <c r="H580" s="1589">
        <v>0</v>
      </c>
      <c r="I580" s="1589">
        <v>0</v>
      </c>
      <c r="J580" s="1589">
        <v>0</v>
      </c>
      <c r="K580" s="1589">
        <v>0</v>
      </c>
      <c r="L580" s="1589">
        <v>0</v>
      </c>
      <c r="M580" s="1589">
        <v>0</v>
      </c>
      <c r="N580" s="1589">
        <v>0</v>
      </c>
      <c r="O580" s="1589">
        <v>0</v>
      </c>
      <c r="P580" s="1589">
        <v>0</v>
      </c>
      <c r="Q580" s="1589">
        <v>0</v>
      </c>
    </row>
    <row r="581" spans="1:17">
      <c r="A581" s="1727" t="s">
        <v>540</v>
      </c>
      <c r="B581" s="1589">
        <v>0</v>
      </c>
      <c r="C581" s="1589">
        <v>0</v>
      </c>
      <c r="D581" s="1589">
        <v>0</v>
      </c>
      <c r="E581" s="1589">
        <v>0</v>
      </c>
      <c r="F581" s="1589">
        <v>0</v>
      </c>
      <c r="G581" s="1589">
        <v>0</v>
      </c>
      <c r="H581" s="1589">
        <v>0</v>
      </c>
      <c r="I581" s="1589">
        <v>0</v>
      </c>
      <c r="J581" s="1589">
        <v>0</v>
      </c>
      <c r="K581" s="1589">
        <v>0</v>
      </c>
      <c r="L581" s="1589">
        <v>0</v>
      </c>
      <c r="M581" s="1589">
        <v>0</v>
      </c>
      <c r="N581" s="1589">
        <v>0</v>
      </c>
      <c r="O581" s="1589">
        <v>0</v>
      </c>
      <c r="P581" s="1589">
        <v>0</v>
      </c>
      <c r="Q581" s="1589">
        <v>0</v>
      </c>
    </row>
    <row r="582" spans="1:17">
      <c r="A582" s="1588" t="s">
        <v>523</v>
      </c>
      <c r="B582" s="1589">
        <v>0</v>
      </c>
      <c r="C582" s="1589">
        <v>0</v>
      </c>
      <c r="D582" s="1589">
        <v>0</v>
      </c>
      <c r="E582" s="1589">
        <v>0</v>
      </c>
      <c r="F582" s="1589">
        <v>0</v>
      </c>
      <c r="G582" s="1589">
        <v>0</v>
      </c>
      <c r="H582" s="1589">
        <v>0</v>
      </c>
      <c r="I582" s="1589">
        <v>0</v>
      </c>
      <c r="J582" s="1589">
        <v>0</v>
      </c>
      <c r="K582" s="1589">
        <v>0</v>
      </c>
      <c r="L582" s="1589">
        <v>0</v>
      </c>
      <c r="M582" s="1589">
        <v>0</v>
      </c>
      <c r="N582" s="1589">
        <v>0</v>
      </c>
      <c r="O582" s="1589">
        <v>0</v>
      </c>
      <c r="P582" s="1589">
        <v>0</v>
      </c>
      <c r="Q582" s="1589">
        <v>0</v>
      </c>
    </row>
    <row r="583" spans="1:17">
      <c r="A583" s="1725" t="s">
        <v>583</v>
      </c>
      <c r="B583" s="1589">
        <v>0</v>
      </c>
      <c r="C583" s="1589">
        <v>0</v>
      </c>
      <c r="D583" s="1589">
        <v>0</v>
      </c>
      <c r="E583" s="1589">
        <v>0</v>
      </c>
      <c r="F583" s="1589">
        <v>0</v>
      </c>
      <c r="G583" s="1589">
        <v>0</v>
      </c>
      <c r="H583" s="1589">
        <v>0</v>
      </c>
      <c r="I583" s="1589">
        <v>0</v>
      </c>
      <c r="J583" s="1589">
        <v>0</v>
      </c>
      <c r="K583" s="1589">
        <v>0</v>
      </c>
      <c r="L583" s="1589">
        <v>0</v>
      </c>
      <c r="M583" s="1589">
        <v>0</v>
      </c>
      <c r="N583" s="1589">
        <v>0</v>
      </c>
      <c r="O583" s="1589">
        <v>0</v>
      </c>
      <c r="P583" s="1589">
        <v>0</v>
      </c>
      <c r="Q583" s="1589">
        <v>0</v>
      </c>
    </row>
    <row r="584" spans="1:17">
      <c r="A584" s="1726">
        <v>0</v>
      </c>
      <c r="B584" s="1589">
        <v>0</v>
      </c>
      <c r="C584" s="1589">
        <v>0</v>
      </c>
      <c r="D584" s="1589">
        <v>0</v>
      </c>
      <c r="E584" s="1589">
        <v>0</v>
      </c>
      <c r="F584" s="1589">
        <v>0</v>
      </c>
      <c r="G584" s="1589">
        <v>0</v>
      </c>
      <c r="H584" s="1589">
        <v>0</v>
      </c>
      <c r="I584" s="1589">
        <v>0</v>
      </c>
      <c r="J584" s="1589">
        <v>0</v>
      </c>
      <c r="K584" s="1589">
        <v>0</v>
      </c>
      <c r="L584" s="1589">
        <v>0</v>
      </c>
      <c r="M584" s="1589">
        <v>0</v>
      </c>
      <c r="N584" s="1589">
        <v>0</v>
      </c>
      <c r="O584" s="1589">
        <v>0</v>
      </c>
      <c r="P584" s="1589">
        <v>0</v>
      </c>
      <c r="Q584" s="1589">
        <v>0</v>
      </c>
    </row>
    <row r="585" spans="1:17">
      <c r="A585" s="1727" t="s">
        <v>585</v>
      </c>
      <c r="B585" s="1589">
        <v>0</v>
      </c>
      <c r="C585" s="1589">
        <v>0</v>
      </c>
      <c r="D585" s="1589">
        <v>0</v>
      </c>
      <c r="E585" s="1589">
        <v>0</v>
      </c>
      <c r="F585" s="1589">
        <v>0</v>
      </c>
      <c r="G585" s="1589">
        <v>0</v>
      </c>
      <c r="H585" s="1589">
        <v>0</v>
      </c>
      <c r="I585" s="1589">
        <v>0</v>
      </c>
      <c r="J585" s="1589">
        <v>0</v>
      </c>
      <c r="K585" s="1589">
        <v>0</v>
      </c>
      <c r="L585" s="1589">
        <v>0</v>
      </c>
      <c r="M585" s="1589">
        <v>0</v>
      </c>
      <c r="N585" s="1589">
        <v>0</v>
      </c>
      <c r="O585" s="1589">
        <v>0</v>
      </c>
      <c r="P585" s="1589">
        <v>0</v>
      </c>
      <c r="Q585" s="1589">
        <v>0</v>
      </c>
    </row>
    <row r="586" spans="1:17">
      <c r="A586" s="1727" t="s">
        <v>586</v>
      </c>
      <c r="B586" s="1589">
        <v>0</v>
      </c>
      <c r="C586" s="1589">
        <v>0</v>
      </c>
      <c r="D586" s="1589">
        <v>0</v>
      </c>
      <c r="E586" s="1589">
        <v>0</v>
      </c>
      <c r="F586" s="1589">
        <v>0</v>
      </c>
      <c r="G586" s="1589">
        <v>0</v>
      </c>
      <c r="H586" s="1589">
        <v>0</v>
      </c>
      <c r="I586" s="1589">
        <v>0</v>
      </c>
      <c r="J586" s="1589">
        <v>0</v>
      </c>
      <c r="K586" s="1589">
        <v>0</v>
      </c>
      <c r="L586" s="1589">
        <v>0</v>
      </c>
      <c r="M586" s="1589">
        <v>0</v>
      </c>
      <c r="N586" s="1589">
        <v>0</v>
      </c>
      <c r="O586" s="1589">
        <v>0</v>
      </c>
      <c r="P586" s="1589">
        <v>0</v>
      </c>
      <c r="Q586" s="1589">
        <v>0</v>
      </c>
    </row>
    <row r="587" spans="1:17">
      <c r="A587" s="1727" t="s">
        <v>528</v>
      </c>
      <c r="B587" s="1589">
        <v>0</v>
      </c>
      <c r="C587" s="1589">
        <v>0</v>
      </c>
      <c r="D587" s="1589">
        <v>0</v>
      </c>
      <c r="E587" s="1589">
        <v>0</v>
      </c>
      <c r="F587" s="1589">
        <v>0</v>
      </c>
      <c r="G587" s="1589">
        <v>0</v>
      </c>
      <c r="H587" s="1589">
        <v>0</v>
      </c>
      <c r="I587" s="1589">
        <v>0</v>
      </c>
      <c r="J587" s="1589">
        <v>0</v>
      </c>
      <c r="K587" s="1589">
        <v>0</v>
      </c>
      <c r="L587" s="1589">
        <v>0</v>
      </c>
      <c r="M587" s="1589">
        <v>0</v>
      </c>
      <c r="N587" s="1589">
        <v>0</v>
      </c>
      <c r="O587" s="1589">
        <v>0</v>
      </c>
      <c r="P587" s="1589">
        <v>0</v>
      </c>
      <c r="Q587" s="1589">
        <v>0</v>
      </c>
    </row>
    <row r="588" spans="1:17">
      <c r="A588" s="1727" t="s">
        <v>530</v>
      </c>
      <c r="B588" s="1589">
        <v>0</v>
      </c>
      <c r="C588" s="1589">
        <v>0</v>
      </c>
      <c r="D588" s="1589">
        <v>0</v>
      </c>
      <c r="E588" s="1589">
        <v>0</v>
      </c>
      <c r="F588" s="1589">
        <v>0</v>
      </c>
      <c r="G588" s="1589">
        <v>0</v>
      </c>
      <c r="H588" s="1589">
        <v>0</v>
      </c>
      <c r="I588" s="1589">
        <v>0</v>
      </c>
      <c r="J588" s="1589">
        <v>0</v>
      </c>
      <c r="K588" s="1589">
        <v>0</v>
      </c>
      <c r="L588" s="1589">
        <v>0</v>
      </c>
      <c r="M588" s="1589">
        <v>0</v>
      </c>
      <c r="N588" s="1589">
        <v>0</v>
      </c>
      <c r="O588" s="1589">
        <v>0</v>
      </c>
      <c r="P588" s="1589">
        <v>0</v>
      </c>
      <c r="Q588" s="1589">
        <v>0</v>
      </c>
    </row>
    <row r="589" spans="1:17">
      <c r="A589" s="1727" t="s">
        <v>532</v>
      </c>
      <c r="B589" s="1589">
        <v>0</v>
      </c>
      <c r="C589" s="1589">
        <v>0</v>
      </c>
      <c r="D589" s="1589">
        <v>0</v>
      </c>
      <c r="E589" s="1589">
        <v>0</v>
      </c>
      <c r="F589" s="1589">
        <v>0</v>
      </c>
      <c r="G589" s="1589">
        <v>0</v>
      </c>
      <c r="H589" s="1589">
        <v>0</v>
      </c>
      <c r="I589" s="1589">
        <v>0</v>
      </c>
      <c r="J589" s="1589">
        <v>0</v>
      </c>
      <c r="K589" s="1589">
        <v>0</v>
      </c>
      <c r="L589" s="1589">
        <v>0</v>
      </c>
      <c r="M589" s="1589">
        <v>0</v>
      </c>
      <c r="N589" s="1589">
        <v>0</v>
      </c>
      <c r="O589" s="1589">
        <v>0</v>
      </c>
      <c r="P589" s="1589">
        <v>0</v>
      </c>
      <c r="Q589" s="1589">
        <v>0</v>
      </c>
    </row>
    <row r="590" spans="1:17">
      <c r="A590" s="1727" t="s">
        <v>534</v>
      </c>
      <c r="B590" s="1589">
        <v>0</v>
      </c>
      <c r="C590" s="1589">
        <v>0</v>
      </c>
      <c r="D590" s="1589">
        <v>0</v>
      </c>
      <c r="E590" s="1589">
        <v>0</v>
      </c>
      <c r="F590" s="1589">
        <v>0</v>
      </c>
      <c r="G590" s="1589">
        <v>0</v>
      </c>
      <c r="H590" s="1589">
        <v>0</v>
      </c>
      <c r="I590" s="1589">
        <v>0</v>
      </c>
      <c r="J590" s="1589">
        <v>0</v>
      </c>
      <c r="K590" s="1589">
        <v>0</v>
      </c>
      <c r="L590" s="1589">
        <v>0</v>
      </c>
      <c r="M590" s="1589">
        <v>0</v>
      </c>
      <c r="N590" s="1589">
        <v>0</v>
      </c>
      <c r="O590" s="1589">
        <v>0</v>
      </c>
      <c r="P590" s="1589">
        <v>0</v>
      </c>
      <c r="Q590" s="1589">
        <v>0</v>
      </c>
    </row>
    <row r="591" spans="1:17">
      <c r="A591" s="1727" t="s">
        <v>536</v>
      </c>
      <c r="B591" s="1589">
        <v>0</v>
      </c>
      <c r="C591" s="1589">
        <v>0</v>
      </c>
      <c r="D591" s="1589">
        <v>0</v>
      </c>
      <c r="E591" s="1589">
        <v>0</v>
      </c>
      <c r="F591" s="1589">
        <v>0</v>
      </c>
      <c r="G591" s="1589">
        <v>0</v>
      </c>
      <c r="H591" s="1589">
        <v>0</v>
      </c>
      <c r="I591" s="1589">
        <v>0</v>
      </c>
      <c r="J591" s="1589">
        <v>0</v>
      </c>
      <c r="K591" s="1589">
        <v>0</v>
      </c>
      <c r="L591" s="1589">
        <v>0</v>
      </c>
      <c r="M591" s="1589">
        <v>0</v>
      </c>
      <c r="N591" s="1589">
        <v>0</v>
      </c>
      <c r="O591" s="1589">
        <v>0</v>
      </c>
      <c r="P591" s="1589">
        <v>0</v>
      </c>
      <c r="Q591" s="1589">
        <v>0</v>
      </c>
    </row>
    <row r="592" spans="1:17">
      <c r="A592" s="1727" t="s">
        <v>538</v>
      </c>
      <c r="B592" s="1589">
        <v>0</v>
      </c>
      <c r="C592" s="1589">
        <v>0</v>
      </c>
      <c r="D592" s="1589">
        <v>0</v>
      </c>
      <c r="E592" s="1589">
        <v>0</v>
      </c>
      <c r="F592" s="1589">
        <v>0</v>
      </c>
      <c r="G592" s="1589">
        <v>0</v>
      </c>
      <c r="H592" s="1589">
        <v>0</v>
      </c>
      <c r="I592" s="1589">
        <v>0</v>
      </c>
      <c r="J592" s="1589">
        <v>0</v>
      </c>
      <c r="K592" s="1589">
        <v>0</v>
      </c>
      <c r="L592" s="1589">
        <v>0</v>
      </c>
      <c r="M592" s="1589">
        <v>0</v>
      </c>
      <c r="N592" s="1589">
        <v>0</v>
      </c>
      <c r="O592" s="1589">
        <v>0</v>
      </c>
      <c r="P592" s="1589">
        <v>0</v>
      </c>
      <c r="Q592" s="1589">
        <v>0</v>
      </c>
    </row>
    <row r="593" spans="1:17">
      <c r="A593" s="1727" t="s">
        <v>540</v>
      </c>
      <c r="B593" s="1589">
        <v>0</v>
      </c>
      <c r="C593" s="1589">
        <v>0</v>
      </c>
      <c r="D593" s="1589">
        <v>0</v>
      </c>
      <c r="E593" s="1589">
        <v>0</v>
      </c>
      <c r="F593" s="1589">
        <v>0</v>
      </c>
      <c r="G593" s="1589">
        <v>0</v>
      </c>
      <c r="H593" s="1589">
        <v>0</v>
      </c>
      <c r="I593" s="1589">
        <v>0</v>
      </c>
      <c r="J593" s="1589">
        <v>0</v>
      </c>
      <c r="K593" s="1589">
        <v>0</v>
      </c>
      <c r="L593" s="1589">
        <v>0</v>
      </c>
      <c r="M593" s="1589">
        <v>0</v>
      </c>
      <c r="N593" s="1589">
        <v>0</v>
      </c>
      <c r="O593" s="1589">
        <v>0</v>
      </c>
      <c r="P593" s="1589">
        <v>0</v>
      </c>
      <c r="Q593" s="1589">
        <v>0</v>
      </c>
    </row>
    <row r="594" spans="1:17">
      <c r="A594" s="1725" t="s">
        <v>551</v>
      </c>
      <c r="B594" s="1589">
        <v>0</v>
      </c>
      <c r="C594" s="1589">
        <v>0</v>
      </c>
      <c r="D594" s="1589">
        <v>0</v>
      </c>
      <c r="E594" s="1589">
        <v>0</v>
      </c>
      <c r="F594" s="1589">
        <v>0</v>
      </c>
      <c r="G594" s="1589">
        <v>0</v>
      </c>
      <c r="H594" s="1589">
        <v>0</v>
      </c>
      <c r="I594" s="1589">
        <v>0</v>
      </c>
      <c r="J594" s="1589">
        <v>0</v>
      </c>
      <c r="K594" s="1589">
        <v>0</v>
      </c>
      <c r="L594" s="1589">
        <v>0</v>
      </c>
      <c r="M594" s="1589">
        <v>0</v>
      </c>
      <c r="N594" s="1589">
        <v>0</v>
      </c>
      <c r="O594" s="1589">
        <v>0</v>
      </c>
      <c r="P594" s="1589">
        <v>0</v>
      </c>
      <c r="Q594" s="1589">
        <v>0</v>
      </c>
    </row>
    <row r="595" spans="1:17">
      <c r="A595" s="1726">
        <v>0</v>
      </c>
      <c r="B595" s="1589">
        <v>0</v>
      </c>
      <c r="C595" s="1589">
        <v>0</v>
      </c>
      <c r="D595" s="1589">
        <v>0</v>
      </c>
      <c r="E595" s="1589">
        <v>0</v>
      </c>
      <c r="F595" s="1589">
        <v>0</v>
      </c>
      <c r="G595" s="1589">
        <v>0</v>
      </c>
      <c r="H595" s="1589">
        <v>0</v>
      </c>
      <c r="I595" s="1589">
        <v>0</v>
      </c>
      <c r="J595" s="1589">
        <v>0</v>
      </c>
      <c r="K595" s="1589">
        <v>0</v>
      </c>
      <c r="L595" s="1589">
        <v>0</v>
      </c>
      <c r="M595" s="1589">
        <v>0</v>
      </c>
      <c r="N595" s="1589">
        <v>0</v>
      </c>
      <c r="O595" s="1589">
        <v>0</v>
      </c>
      <c r="P595" s="1589">
        <v>0</v>
      </c>
      <c r="Q595" s="1589">
        <v>0</v>
      </c>
    </row>
    <row r="596" spans="1:17">
      <c r="A596" s="1727" t="s">
        <v>525</v>
      </c>
      <c r="B596" s="1589">
        <v>0</v>
      </c>
      <c r="C596" s="1589">
        <v>0</v>
      </c>
      <c r="D596" s="1589">
        <v>0</v>
      </c>
      <c r="E596" s="1589">
        <v>0</v>
      </c>
      <c r="F596" s="1589">
        <v>0</v>
      </c>
      <c r="G596" s="1589">
        <v>0</v>
      </c>
      <c r="H596" s="1589">
        <v>0</v>
      </c>
      <c r="I596" s="1589">
        <v>0</v>
      </c>
      <c r="J596" s="1589">
        <v>0</v>
      </c>
      <c r="K596" s="1589">
        <v>0</v>
      </c>
      <c r="L596" s="1589">
        <v>0</v>
      </c>
      <c r="M596" s="1589">
        <v>0</v>
      </c>
      <c r="N596" s="1589">
        <v>0</v>
      </c>
      <c r="O596" s="1589">
        <v>0</v>
      </c>
      <c r="P596" s="1589">
        <v>0</v>
      </c>
      <c r="Q596" s="1589">
        <v>0</v>
      </c>
    </row>
    <row r="597" spans="1:17">
      <c r="A597" s="1727" t="s">
        <v>528</v>
      </c>
      <c r="B597" s="1589">
        <v>0</v>
      </c>
      <c r="C597" s="1589">
        <v>0</v>
      </c>
      <c r="D597" s="1589">
        <v>0</v>
      </c>
      <c r="E597" s="1589">
        <v>0</v>
      </c>
      <c r="F597" s="1589">
        <v>0</v>
      </c>
      <c r="G597" s="1589">
        <v>0</v>
      </c>
      <c r="H597" s="1589">
        <v>0</v>
      </c>
      <c r="I597" s="1589">
        <v>0</v>
      </c>
      <c r="J597" s="1589">
        <v>0</v>
      </c>
      <c r="K597" s="1589">
        <v>0</v>
      </c>
      <c r="L597" s="1589">
        <v>0</v>
      </c>
      <c r="M597" s="1589">
        <v>0</v>
      </c>
      <c r="N597" s="1589">
        <v>0</v>
      </c>
      <c r="O597" s="1589">
        <v>0</v>
      </c>
      <c r="P597" s="1589">
        <v>0</v>
      </c>
      <c r="Q597" s="1589">
        <v>0</v>
      </c>
    </row>
    <row r="598" spans="1:17">
      <c r="A598" s="1727" t="s">
        <v>530</v>
      </c>
      <c r="B598" s="1589">
        <v>0</v>
      </c>
      <c r="C598" s="1589">
        <v>0</v>
      </c>
      <c r="D598" s="1589">
        <v>0</v>
      </c>
      <c r="E598" s="1589">
        <v>0</v>
      </c>
      <c r="F598" s="1589">
        <v>0</v>
      </c>
      <c r="G598" s="1589">
        <v>0</v>
      </c>
      <c r="H598" s="1589">
        <v>0</v>
      </c>
      <c r="I598" s="1589">
        <v>0</v>
      </c>
      <c r="J598" s="1589">
        <v>0</v>
      </c>
      <c r="K598" s="1589">
        <v>0</v>
      </c>
      <c r="L598" s="1589">
        <v>0</v>
      </c>
      <c r="M598" s="1589">
        <v>0</v>
      </c>
      <c r="N598" s="1589">
        <v>0</v>
      </c>
      <c r="O598" s="1589">
        <v>0</v>
      </c>
      <c r="P598" s="1589">
        <v>0</v>
      </c>
      <c r="Q598" s="1589">
        <v>0</v>
      </c>
    </row>
    <row r="599" spans="1:17">
      <c r="A599" s="1727" t="s">
        <v>532</v>
      </c>
      <c r="B599" s="1589">
        <v>0</v>
      </c>
      <c r="C599" s="1589">
        <v>0</v>
      </c>
      <c r="D599" s="1589">
        <v>0</v>
      </c>
      <c r="E599" s="1589">
        <v>0</v>
      </c>
      <c r="F599" s="1589">
        <v>0</v>
      </c>
      <c r="G599" s="1589">
        <v>0</v>
      </c>
      <c r="H599" s="1589">
        <v>0</v>
      </c>
      <c r="I599" s="1589">
        <v>0</v>
      </c>
      <c r="J599" s="1589">
        <v>0</v>
      </c>
      <c r="K599" s="1589">
        <v>0</v>
      </c>
      <c r="L599" s="1589">
        <v>0</v>
      </c>
      <c r="M599" s="1589">
        <v>0</v>
      </c>
      <c r="N599" s="1589">
        <v>0</v>
      </c>
      <c r="O599" s="1589">
        <v>0</v>
      </c>
      <c r="P599" s="1589">
        <v>0</v>
      </c>
      <c r="Q599" s="1589">
        <v>0</v>
      </c>
    </row>
    <row r="600" spans="1:17">
      <c r="A600" s="1727" t="s">
        <v>534</v>
      </c>
      <c r="B600" s="1589">
        <v>0</v>
      </c>
      <c r="C600" s="1589">
        <v>0</v>
      </c>
      <c r="D600" s="1589">
        <v>0</v>
      </c>
      <c r="E600" s="1589">
        <v>0</v>
      </c>
      <c r="F600" s="1589">
        <v>0</v>
      </c>
      <c r="G600" s="1589">
        <v>0</v>
      </c>
      <c r="H600" s="1589">
        <v>0</v>
      </c>
      <c r="I600" s="1589">
        <v>0</v>
      </c>
      <c r="J600" s="1589">
        <v>0</v>
      </c>
      <c r="K600" s="1589">
        <v>0</v>
      </c>
      <c r="L600" s="1589">
        <v>0</v>
      </c>
      <c r="M600" s="1589">
        <v>0</v>
      </c>
      <c r="N600" s="1589">
        <v>0</v>
      </c>
      <c r="O600" s="1589">
        <v>0</v>
      </c>
      <c r="P600" s="1589">
        <v>0</v>
      </c>
      <c r="Q600" s="1589">
        <v>0</v>
      </c>
    </row>
    <row r="601" spans="1:17">
      <c r="A601" s="1727" t="s">
        <v>536</v>
      </c>
      <c r="B601" s="1589">
        <v>0</v>
      </c>
      <c r="C601" s="1589">
        <v>0</v>
      </c>
      <c r="D601" s="1589">
        <v>0</v>
      </c>
      <c r="E601" s="1589">
        <v>0</v>
      </c>
      <c r="F601" s="1589">
        <v>0</v>
      </c>
      <c r="G601" s="1589">
        <v>0</v>
      </c>
      <c r="H601" s="1589">
        <v>0</v>
      </c>
      <c r="I601" s="1589">
        <v>0</v>
      </c>
      <c r="J601" s="1589">
        <v>0</v>
      </c>
      <c r="K601" s="1589">
        <v>0</v>
      </c>
      <c r="L601" s="1589">
        <v>0</v>
      </c>
      <c r="M601" s="1589">
        <v>0</v>
      </c>
      <c r="N601" s="1589">
        <v>0</v>
      </c>
      <c r="O601" s="1589">
        <v>0</v>
      </c>
      <c r="P601" s="1589">
        <v>0</v>
      </c>
      <c r="Q601" s="1589">
        <v>0</v>
      </c>
    </row>
    <row r="602" spans="1:17">
      <c r="A602" s="1727" t="s">
        <v>538</v>
      </c>
      <c r="B602" s="1589">
        <v>0</v>
      </c>
      <c r="C602" s="1589">
        <v>0</v>
      </c>
      <c r="D602" s="1589">
        <v>0</v>
      </c>
      <c r="E602" s="1589">
        <v>0</v>
      </c>
      <c r="F602" s="1589">
        <v>0</v>
      </c>
      <c r="G602" s="1589">
        <v>0</v>
      </c>
      <c r="H602" s="1589">
        <v>0</v>
      </c>
      <c r="I602" s="1589">
        <v>0</v>
      </c>
      <c r="J602" s="1589">
        <v>0</v>
      </c>
      <c r="K602" s="1589">
        <v>0</v>
      </c>
      <c r="L602" s="1589">
        <v>0</v>
      </c>
      <c r="M602" s="1589">
        <v>0</v>
      </c>
      <c r="N602" s="1589">
        <v>0</v>
      </c>
      <c r="O602" s="1589">
        <v>0</v>
      </c>
      <c r="P602" s="1589">
        <v>0</v>
      </c>
      <c r="Q602" s="1589">
        <v>0</v>
      </c>
    </row>
    <row r="603" spans="1:17">
      <c r="A603" s="1727" t="s">
        <v>540</v>
      </c>
      <c r="B603" s="1589">
        <v>0</v>
      </c>
      <c r="C603" s="1589">
        <v>0</v>
      </c>
      <c r="D603" s="1589">
        <v>0</v>
      </c>
      <c r="E603" s="1589">
        <v>0</v>
      </c>
      <c r="F603" s="1589">
        <v>0</v>
      </c>
      <c r="G603" s="1589">
        <v>0</v>
      </c>
      <c r="H603" s="1589">
        <v>0</v>
      </c>
      <c r="I603" s="1589">
        <v>0</v>
      </c>
      <c r="J603" s="1589">
        <v>0</v>
      </c>
      <c r="K603" s="1589">
        <v>0</v>
      </c>
      <c r="L603" s="1589">
        <v>0</v>
      </c>
      <c r="M603" s="1589">
        <v>0</v>
      </c>
      <c r="N603" s="1589">
        <v>0</v>
      </c>
      <c r="O603" s="1589">
        <v>0</v>
      </c>
      <c r="P603" s="1589">
        <v>0</v>
      </c>
      <c r="Q603" s="1589">
        <v>0</v>
      </c>
    </row>
    <row r="604" spans="1:17">
      <c r="A604" s="1725" t="s">
        <v>575</v>
      </c>
      <c r="B604" s="1589">
        <v>0</v>
      </c>
      <c r="C604" s="1589">
        <v>0</v>
      </c>
      <c r="D604" s="1589">
        <v>0</v>
      </c>
      <c r="E604" s="1589">
        <v>0</v>
      </c>
      <c r="F604" s="1589">
        <v>0</v>
      </c>
      <c r="G604" s="1589">
        <v>0</v>
      </c>
      <c r="H604" s="1589">
        <v>0</v>
      </c>
      <c r="I604" s="1589">
        <v>0</v>
      </c>
      <c r="J604" s="1589">
        <v>0</v>
      </c>
      <c r="K604" s="1589">
        <v>0</v>
      </c>
      <c r="L604" s="1589">
        <v>0</v>
      </c>
      <c r="M604" s="1589">
        <v>0</v>
      </c>
      <c r="N604" s="1589">
        <v>0</v>
      </c>
      <c r="O604" s="1589">
        <v>0</v>
      </c>
      <c r="P604" s="1589">
        <v>0</v>
      </c>
      <c r="Q604" s="1589">
        <v>0</v>
      </c>
    </row>
    <row r="605" spans="1:17">
      <c r="A605" s="1726">
        <v>0</v>
      </c>
      <c r="B605" s="1589">
        <v>0</v>
      </c>
      <c r="C605" s="1589">
        <v>0</v>
      </c>
      <c r="D605" s="1589">
        <v>0</v>
      </c>
      <c r="E605" s="1589">
        <v>0</v>
      </c>
      <c r="F605" s="1589">
        <v>0</v>
      </c>
      <c r="G605" s="1589">
        <v>0</v>
      </c>
      <c r="H605" s="1589">
        <v>0</v>
      </c>
      <c r="I605" s="1589">
        <v>0</v>
      </c>
      <c r="J605" s="1589">
        <v>0</v>
      </c>
      <c r="K605" s="1589">
        <v>0</v>
      </c>
      <c r="L605" s="1589">
        <v>0</v>
      </c>
      <c r="M605" s="1589">
        <v>0</v>
      </c>
      <c r="N605" s="1589">
        <v>0</v>
      </c>
      <c r="O605" s="1589">
        <v>0</v>
      </c>
      <c r="P605" s="1589">
        <v>0</v>
      </c>
      <c r="Q605" s="1589">
        <v>0</v>
      </c>
    </row>
    <row r="606" spans="1:17">
      <c r="A606" s="1727" t="s">
        <v>525</v>
      </c>
      <c r="B606" s="1589">
        <v>0</v>
      </c>
      <c r="C606" s="1589">
        <v>0</v>
      </c>
      <c r="D606" s="1589">
        <v>0</v>
      </c>
      <c r="E606" s="1589">
        <v>0</v>
      </c>
      <c r="F606" s="1589">
        <v>0</v>
      </c>
      <c r="G606" s="1589">
        <v>0</v>
      </c>
      <c r="H606" s="1589">
        <v>0</v>
      </c>
      <c r="I606" s="1589">
        <v>0</v>
      </c>
      <c r="J606" s="1589">
        <v>0</v>
      </c>
      <c r="K606" s="1589">
        <v>0</v>
      </c>
      <c r="L606" s="1589">
        <v>0</v>
      </c>
      <c r="M606" s="1589">
        <v>0</v>
      </c>
      <c r="N606" s="1589">
        <v>0</v>
      </c>
      <c r="O606" s="1589">
        <v>0</v>
      </c>
      <c r="P606" s="1589">
        <v>0</v>
      </c>
      <c r="Q606" s="1589">
        <v>0</v>
      </c>
    </row>
    <row r="607" spans="1:17">
      <c r="A607" s="1727" t="s">
        <v>528</v>
      </c>
      <c r="B607" s="1589">
        <v>0</v>
      </c>
      <c r="C607" s="1589">
        <v>0</v>
      </c>
      <c r="D607" s="1589">
        <v>0</v>
      </c>
      <c r="E607" s="1589">
        <v>0</v>
      </c>
      <c r="F607" s="1589">
        <v>0</v>
      </c>
      <c r="G607" s="1589">
        <v>0</v>
      </c>
      <c r="H607" s="1589">
        <v>0</v>
      </c>
      <c r="I607" s="1589">
        <v>0</v>
      </c>
      <c r="J607" s="1589">
        <v>0</v>
      </c>
      <c r="K607" s="1589">
        <v>0</v>
      </c>
      <c r="L607" s="1589">
        <v>0</v>
      </c>
      <c r="M607" s="1589">
        <v>0</v>
      </c>
      <c r="N607" s="1589">
        <v>0</v>
      </c>
      <c r="O607" s="1589">
        <v>0</v>
      </c>
      <c r="P607" s="1589">
        <v>0</v>
      </c>
      <c r="Q607" s="1589">
        <v>0</v>
      </c>
    </row>
    <row r="608" spans="1:17">
      <c r="A608" s="1727" t="s">
        <v>530</v>
      </c>
      <c r="B608" s="1589">
        <v>0</v>
      </c>
      <c r="C608" s="1589">
        <v>0</v>
      </c>
      <c r="D608" s="1589">
        <v>0</v>
      </c>
      <c r="E608" s="1589">
        <v>0</v>
      </c>
      <c r="F608" s="1589">
        <v>0</v>
      </c>
      <c r="G608" s="1589">
        <v>0</v>
      </c>
      <c r="H608" s="1589">
        <v>0</v>
      </c>
      <c r="I608" s="1589">
        <v>0</v>
      </c>
      <c r="J608" s="1589">
        <v>0</v>
      </c>
      <c r="K608" s="1589">
        <v>0</v>
      </c>
      <c r="L608" s="1589">
        <v>0</v>
      </c>
      <c r="M608" s="1589">
        <v>0</v>
      </c>
      <c r="N608" s="1589">
        <v>0</v>
      </c>
      <c r="O608" s="1589">
        <v>0</v>
      </c>
      <c r="P608" s="1589">
        <v>0</v>
      </c>
      <c r="Q608" s="1589">
        <v>0</v>
      </c>
    </row>
    <row r="609" spans="1:17">
      <c r="A609" s="1727" t="s">
        <v>532</v>
      </c>
      <c r="B609" s="1589">
        <v>0</v>
      </c>
      <c r="C609" s="1589">
        <v>0</v>
      </c>
      <c r="D609" s="1589">
        <v>0</v>
      </c>
      <c r="E609" s="1589">
        <v>0</v>
      </c>
      <c r="F609" s="1589">
        <v>0</v>
      </c>
      <c r="G609" s="1589">
        <v>0</v>
      </c>
      <c r="H609" s="1589">
        <v>0</v>
      </c>
      <c r="I609" s="1589">
        <v>0</v>
      </c>
      <c r="J609" s="1589">
        <v>0</v>
      </c>
      <c r="K609" s="1589">
        <v>0</v>
      </c>
      <c r="L609" s="1589">
        <v>0</v>
      </c>
      <c r="M609" s="1589">
        <v>0</v>
      </c>
      <c r="N609" s="1589">
        <v>0</v>
      </c>
      <c r="O609" s="1589">
        <v>0</v>
      </c>
      <c r="P609" s="1589">
        <v>0</v>
      </c>
      <c r="Q609" s="1589">
        <v>0</v>
      </c>
    </row>
    <row r="610" spans="1:17">
      <c r="A610" s="1727" t="s">
        <v>534</v>
      </c>
      <c r="B610" s="1589">
        <v>0</v>
      </c>
      <c r="C610" s="1589">
        <v>0</v>
      </c>
      <c r="D610" s="1589">
        <v>0</v>
      </c>
      <c r="E610" s="1589">
        <v>0</v>
      </c>
      <c r="F610" s="1589">
        <v>0</v>
      </c>
      <c r="G610" s="1589">
        <v>0</v>
      </c>
      <c r="H610" s="1589">
        <v>0</v>
      </c>
      <c r="I610" s="1589">
        <v>0</v>
      </c>
      <c r="J610" s="1589">
        <v>0</v>
      </c>
      <c r="K610" s="1589">
        <v>0</v>
      </c>
      <c r="L610" s="1589">
        <v>0</v>
      </c>
      <c r="M610" s="1589">
        <v>0</v>
      </c>
      <c r="N610" s="1589">
        <v>0</v>
      </c>
      <c r="O610" s="1589">
        <v>0</v>
      </c>
      <c r="P610" s="1589">
        <v>0</v>
      </c>
      <c r="Q610" s="1589">
        <v>0</v>
      </c>
    </row>
    <row r="611" spans="1:17">
      <c r="A611" s="1727" t="s">
        <v>536</v>
      </c>
      <c r="B611" s="1589">
        <v>0</v>
      </c>
      <c r="C611" s="1589">
        <v>0</v>
      </c>
      <c r="D611" s="1589">
        <v>0</v>
      </c>
      <c r="E611" s="1589">
        <v>0</v>
      </c>
      <c r="F611" s="1589">
        <v>0</v>
      </c>
      <c r="G611" s="1589">
        <v>0</v>
      </c>
      <c r="H611" s="1589">
        <v>0</v>
      </c>
      <c r="I611" s="1589">
        <v>0</v>
      </c>
      <c r="J611" s="1589">
        <v>0</v>
      </c>
      <c r="K611" s="1589">
        <v>0</v>
      </c>
      <c r="L611" s="1589">
        <v>0</v>
      </c>
      <c r="M611" s="1589">
        <v>0</v>
      </c>
      <c r="N611" s="1589">
        <v>0</v>
      </c>
      <c r="O611" s="1589">
        <v>0</v>
      </c>
      <c r="P611" s="1589">
        <v>0</v>
      </c>
      <c r="Q611" s="1589">
        <v>0</v>
      </c>
    </row>
    <row r="612" spans="1:17">
      <c r="A612" s="1727" t="s">
        <v>538</v>
      </c>
      <c r="B612" s="1589">
        <v>0</v>
      </c>
      <c r="C612" s="1589">
        <v>0</v>
      </c>
      <c r="D612" s="1589">
        <v>0</v>
      </c>
      <c r="E612" s="1589">
        <v>0</v>
      </c>
      <c r="F612" s="1589">
        <v>0</v>
      </c>
      <c r="G612" s="1589">
        <v>0</v>
      </c>
      <c r="H612" s="1589">
        <v>0</v>
      </c>
      <c r="I612" s="1589">
        <v>0</v>
      </c>
      <c r="J612" s="1589">
        <v>0</v>
      </c>
      <c r="K612" s="1589">
        <v>0</v>
      </c>
      <c r="L612" s="1589">
        <v>0</v>
      </c>
      <c r="M612" s="1589">
        <v>0</v>
      </c>
      <c r="N612" s="1589">
        <v>0</v>
      </c>
      <c r="O612" s="1589">
        <v>0</v>
      </c>
      <c r="P612" s="1589">
        <v>0</v>
      </c>
      <c r="Q612" s="1589">
        <v>0</v>
      </c>
    </row>
    <row r="613" spans="1:17">
      <c r="A613" s="1727" t="s">
        <v>540</v>
      </c>
      <c r="B613" s="1589">
        <v>0</v>
      </c>
      <c r="C613" s="1589">
        <v>0</v>
      </c>
      <c r="D613" s="1589">
        <v>0</v>
      </c>
      <c r="E613" s="1589">
        <v>0</v>
      </c>
      <c r="F613" s="1589">
        <v>0</v>
      </c>
      <c r="G613" s="1589">
        <v>0</v>
      </c>
      <c r="H613" s="1589">
        <v>0</v>
      </c>
      <c r="I613" s="1589">
        <v>0</v>
      </c>
      <c r="J613" s="1589">
        <v>0</v>
      </c>
      <c r="K613" s="1589">
        <v>0</v>
      </c>
      <c r="L613" s="1589">
        <v>0</v>
      </c>
      <c r="M613" s="1589">
        <v>0</v>
      </c>
      <c r="N613" s="1589">
        <v>0</v>
      </c>
      <c r="O613" s="1589">
        <v>0</v>
      </c>
      <c r="P613" s="1589">
        <v>0</v>
      </c>
      <c r="Q613" s="1589">
        <v>0</v>
      </c>
    </row>
    <row r="614" spans="1:17">
      <c r="A614" s="1725" t="s">
        <v>559</v>
      </c>
      <c r="B614" s="1589">
        <v>0</v>
      </c>
      <c r="C614" s="1589">
        <v>0</v>
      </c>
      <c r="D614" s="1589">
        <v>0</v>
      </c>
      <c r="E614" s="1589">
        <v>0</v>
      </c>
      <c r="F614" s="1589">
        <v>0</v>
      </c>
      <c r="G614" s="1589">
        <v>0</v>
      </c>
      <c r="H614" s="1589">
        <v>0</v>
      </c>
      <c r="I614" s="1589">
        <v>0</v>
      </c>
      <c r="J614" s="1589">
        <v>0</v>
      </c>
      <c r="K614" s="1589">
        <v>0</v>
      </c>
      <c r="L614" s="1589">
        <v>0</v>
      </c>
      <c r="M614" s="1589">
        <v>0</v>
      </c>
      <c r="N614" s="1589">
        <v>0</v>
      </c>
      <c r="O614" s="1589">
        <v>0</v>
      </c>
      <c r="P614" s="1589">
        <v>0</v>
      </c>
      <c r="Q614" s="1589">
        <v>0</v>
      </c>
    </row>
    <row r="615" spans="1:17">
      <c r="A615" s="1726">
        <v>0</v>
      </c>
      <c r="B615" s="1589">
        <v>0</v>
      </c>
      <c r="C615" s="1589">
        <v>0</v>
      </c>
      <c r="D615" s="1589">
        <v>0</v>
      </c>
      <c r="E615" s="1589">
        <v>0</v>
      </c>
      <c r="F615" s="1589">
        <v>0</v>
      </c>
      <c r="G615" s="1589">
        <v>0</v>
      </c>
      <c r="H615" s="1589">
        <v>0</v>
      </c>
      <c r="I615" s="1589">
        <v>0</v>
      </c>
      <c r="J615" s="1589">
        <v>0</v>
      </c>
      <c r="K615" s="1589">
        <v>0</v>
      </c>
      <c r="L615" s="1589">
        <v>0</v>
      </c>
      <c r="M615" s="1589">
        <v>0</v>
      </c>
      <c r="N615" s="1589">
        <v>0</v>
      </c>
      <c r="O615" s="1589">
        <v>0</v>
      </c>
      <c r="P615" s="1589">
        <v>0</v>
      </c>
      <c r="Q615" s="1589">
        <v>0</v>
      </c>
    </row>
    <row r="616" spans="1:17">
      <c r="A616" s="1727" t="s">
        <v>525</v>
      </c>
      <c r="B616" s="1589">
        <v>0</v>
      </c>
      <c r="C616" s="1589">
        <v>0</v>
      </c>
      <c r="D616" s="1589">
        <v>0</v>
      </c>
      <c r="E616" s="1589">
        <v>0</v>
      </c>
      <c r="F616" s="1589">
        <v>0</v>
      </c>
      <c r="G616" s="1589">
        <v>0</v>
      </c>
      <c r="H616" s="1589">
        <v>0</v>
      </c>
      <c r="I616" s="1589">
        <v>0</v>
      </c>
      <c r="J616" s="1589">
        <v>0</v>
      </c>
      <c r="K616" s="1589">
        <v>0</v>
      </c>
      <c r="L616" s="1589">
        <v>0</v>
      </c>
      <c r="M616" s="1589">
        <v>0</v>
      </c>
      <c r="N616" s="1589">
        <v>0</v>
      </c>
      <c r="O616" s="1589">
        <v>0</v>
      </c>
      <c r="P616" s="1589">
        <v>0</v>
      </c>
      <c r="Q616" s="1589">
        <v>0</v>
      </c>
    </row>
    <row r="617" spans="1:17">
      <c r="A617" s="1727" t="s">
        <v>528</v>
      </c>
      <c r="B617" s="1589">
        <v>0</v>
      </c>
      <c r="C617" s="1589">
        <v>0</v>
      </c>
      <c r="D617" s="1589">
        <v>0</v>
      </c>
      <c r="E617" s="1589">
        <v>0</v>
      </c>
      <c r="F617" s="1589">
        <v>0</v>
      </c>
      <c r="G617" s="1589">
        <v>0</v>
      </c>
      <c r="H617" s="1589">
        <v>0</v>
      </c>
      <c r="I617" s="1589">
        <v>0</v>
      </c>
      <c r="J617" s="1589">
        <v>0</v>
      </c>
      <c r="K617" s="1589">
        <v>0</v>
      </c>
      <c r="L617" s="1589">
        <v>0</v>
      </c>
      <c r="M617" s="1589">
        <v>0</v>
      </c>
      <c r="N617" s="1589">
        <v>0</v>
      </c>
      <c r="O617" s="1589">
        <v>0</v>
      </c>
      <c r="P617" s="1589">
        <v>0</v>
      </c>
      <c r="Q617" s="1589">
        <v>0</v>
      </c>
    </row>
    <row r="618" spans="1:17">
      <c r="A618" s="1727" t="s">
        <v>530</v>
      </c>
      <c r="B618" s="1589">
        <v>0</v>
      </c>
      <c r="C618" s="1589">
        <v>0</v>
      </c>
      <c r="D618" s="1589">
        <v>0</v>
      </c>
      <c r="E618" s="1589">
        <v>0</v>
      </c>
      <c r="F618" s="1589">
        <v>0</v>
      </c>
      <c r="G618" s="1589">
        <v>0</v>
      </c>
      <c r="H618" s="1589">
        <v>0</v>
      </c>
      <c r="I618" s="1589">
        <v>0</v>
      </c>
      <c r="J618" s="1589">
        <v>0</v>
      </c>
      <c r="K618" s="1589">
        <v>0</v>
      </c>
      <c r="L618" s="1589">
        <v>0</v>
      </c>
      <c r="M618" s="1589">
        <v>0</v>
      </c>
      <c r="N618" s="1589">
        <v>0</v>
      </c>
      <c r="O618" s="1589">
        <v>0</v>
      </c>
      <c r="P618" s="1589">
        <v>0</v>
      </c>
      <c r="Q618" s="1589">
        <v>0</v>
      </c>
    </row>
    <row r="619" spans="1:17">
      <c r="A619" s="1727" t="s">
        <v>532</v>
      </c>
      <c r="B619" s="1589">
        <v>0</v>
      </c>
      <c r="C619" s="1589">
        <v>0</v>
      </c>
      <c r="D619" s="1589">
        <v>0</v>
      </c>
      <c r="E619" s="1589">
        <v>0</v>
      </c>
      <c r="F619" s="1589">
        <v>0</v>
      </c>
      <c r="G619" s="1589">
        <v>0</v>
      </c>
      <c r="H619" s="1589">
        <v>0</v>
      </c>
      <c r="I619" s="1589">
        <v>0</v>
      </c>
      <c r="J619" s="1589">
        <v>0</v>
      </c>
      <c r="K619" s="1589">
        <v>0</v>
      </c>
      <c r="L619" s="1589">
        <v>0</v>
      </c>
      <c r="M619" s="1589">
        <v>0</v>
      </c>
      <c r="N619" s="1589">
        <v>0</v>
      </c>
      <c r="O619" s="1589">
        <v>0</v>
      </c>
      <c r="P619" s="1589">
        <v>0</v>
      </c>
      <c r="Q619" s="1589">
        <v>0</v>
      </c>
    </row>
    <row r="620" spans="1:17">
      <c r="A620" s="1727" t="s">
        <v>534</v>
      </c>
      <c r="B620" s="1589">
        <v>0</v>
      </c>
      <c r="C620" s="1589">
        <v>0</v>
      </c>
      <c r="D620" s="1589">
        <v>0</v>
      </c>
      <c r="E620" s="1589">
        <v>0</v>
      </c>
      <c r="F620" s="1589">
        <v>0</v>
      </c>
      <c r="G620" s="1589">
        <v>0</v>
      </c>
      <c r="H620" s="1589">
        <v>0</v>
      </c>
      <c r="I620" s="1589">
        <v>0</v>
      </c>
      <c r="J620" s="1589">
        <v>0</v>
      </c>
      <c r="K620" s="1589">
        <v>0</v>
      </c>
      <c r="L620" s="1589">
        <v>0</v>
      </c>
      <c r="M620" s="1589">
        <v>0</v>
      </c>
      <c r="N620" s="1589">
        <v>0</v>
      </c>
      <c r="O620" s="1589">
        <v>0</v>
      </c>
      <c r="P620" s="1589">
        <v>0</v>
      </c>
      <c r="Q620" s="1589">
        <v>0</v>
      </c>
    </row>
    <row r="621" spans="1:17">
      <c r="A621" s="1727" t="s">
        <v>536</v>
      </c>
      <c r="B621" s="1589">
        <v>0</v>
      </c>
      <c r="C621" s="1589">
        <v>0</v>
      </c>
      <c r="D621" s="1589">
        <v>0</v>
      </c>
      <c r="E621" s="1589">
        <v>0</v>
      </c>
      <c r="F621" s="1589">
        <v>0</v>
      </c>
      <c r="G621" s="1589">
        <v>0</v>
      </c>
      <c r="H621" s="1589">
        <v>0</v>
      </c>
      <c r="I621" s="1589">
        <v>0</v>
      </c>
      <c r="J621" s="1589">
        <v>0</v>
      </c>
      <c r="K621" s="1589">
        <v>0</v>
      </c>
      <c r="L621" s="1589">
        <v>0</v>
      </c>
      <c r="M621" s="1589">
        <v>0</v>
      </c>
      <c r="N621" s="1589">
        <v>0</v>
      </c>
      <c r="O621" s="1589">
        <v>0</v>
      </c>
      <c r="P621" s="1589">
        <v>0</v>
      </c>
      <c r="Q621" s="1589">
        <v>0</v>
      </c>
    </row>
    <row r="622" spans="1:17">
      <c r="A622" s="1727" t="s">
        <v>538</v>
      </c>
      <c r="B622" s="1589">
        <v>0</v>
      </c>
      <c r="C622" s="1589">
        <v>0</v>
      </c>
      <c r="D622" s="1589">
        <v>0</v>
      </c>
      <c r="E622" s="1589">
        <v>0</v>
      </c>
      <c r="F622" s="1589">
        <v>0</v>
      </c>
      <c r="G622" s="1589">
        <v>0</v>
      </c>
      <c r="H622" s="1589">
        <v>0</v>
      </c>
      <c r="I622" s="1589">
        <v>0</v>
      </c>
      <c r="J622" s="1589">
        <v>0</v>
      </c>
      <c r="K622" s="1589">
        <v>0</v>
      </c>
      <c r="L622" s="1589">
        <v>0</v>
      </c>
      <c r="M622" s="1589">
        <v>0</v>
      </c>
      <c r="N622" s="1589">
        <v>0</v>
      </c>
      <c r="O622" s="1589">
        <v>0</v>
      </c>
      <c r="P622" s="1589">
        <v>0</v>
      </c>
      <c r="Q622" s="1589">
        <v>0</v>
      </c>
    </row>
    <row r="623" spans="1:17">
      <c r="A623" s="1727" t="s">
        <v>540</v>
      </c>
      <c r="B623" s="1589">
        <v>0</v>
      </c>
      <c r="C623" s="1589">
        <v>0</v>
      </c>
      <c r="D623" s="1589">
        <v>0</v>
      </c>
      <c r="E623" s="1589">
        <v>0</v>
      </c>
      <c r="F623" s="1589">
        <v>0</v>
      </c>
      <c r="G623" s="1589">
        <v>0</v>
      </c>
      <c r="H623" s="1589">
        <v>0</v>
      </c>
      <c r="I623" s="1589">
        <v>0</v>
      </c>
      <c r="J623" s="1589">
        <v>0</v>
      </c>
      <c r="K623" s="1589">
        <v>0</v>
      </c>
      <c r="L623" s="1589">
        <v>0</v>
      </c>
      <c r="M623" s="1589">
        <v>0</v>
      </c>
      <c r="N623" s="1589">
        <v>0</v>
      </c>
      <c r="O623" s="1589">
        <v>0</v>
      </c>
      <c r="P623" s="1589">
        <v>0</v>
      </c>
      <c r="Q623" s="1589">
        <v>0</v>
      </c>
    </row>
    <row r="624" spans="1:17">
      <c r="A624" s="1725" t="s">
        <v>567</v>
      </c>
      <c r="B624" s="1589">
        <v>0</v>
      </c>
      <c r="C624" s="1589">
        <v>0</v>
      </c>
      <c r="D624" s="1589">
        <v>0</v>
      </c>
      <c r="E624" s="1589">
        <v>0</v>
      </c>
      <c r="F624" s="1589">
        <v>0</v>
      </c>
      <c r="G624" s="1589">
        <v>0</v>
      </c>
      <c r="H624" s="1589">
        <v>0</v>
      </c>
      <c r="I624" s="1589">
        <v>0</v>
      </c>
      <c r="J624" s="1589">
        <v>0</v>
      </c>
      <c r="K624" s="1589">
        <v>0</v>
      </c>
      <c r="L624" s="1589">
        <v>0</v>
      </c>
      <c r="M624" s="1589">
        <v>0</v>
      </c>
      <c r="N624" s="1589">
        <v>0</v>
      </c>
      <c r="O624" s="1589">
        <v>0</v>
      </c>
      <c r="P624" s="1589">
        <v>0</v>
      </c>
      <c r="Q624" s="1589">
        <v>0</v>
      </c>
    </row>
    <row r="625" spans="1:17">
      <c r="A625" s="1726">
        <v>0</v>
      </c>
      <c r="B625" s="1589">
        <v>0</v>
      </c>
      <c r="C625" s="1589">
        <v>0</v>
      </c>
      <c r="D625" s="1589">
        <v>0</v>
      </c>
      <c r="E625" s="1589">
        <v>0</v>
      </c>
      <c r="F625" s="1589">
        <v>0</v>
      </c>
      <c r="G625" s="1589">
        <v>0</v>
      </c>
      <c r="H625" s="1589">
        <v>0</v>
      </c>
      <c r="I625" s="1589">
        <v>0</v>
      </c>
      <c r="J625" s="1589">
        <v>0</v>
      </c>
      <c r="K625" s="1589">
        <v>0</v>
      </c>
      <c r="L625" s="1589">
        <v>0</v>
      </c>
      <c r="M625" s="1589">
        <v>0</v>
      </c>
      <c r="N625" s="1589">
        <v>0</v>
      </c>
      <c r="O625" s="1589">
        <v>0</v>
      </c>
      <c r="P625" s="1589">
        <v>0</v>
      </c>
      <c r="Q625" s="1589">
        <v>0</v>
      </c>
    </row>
    <row r="626" spans="1:17">
      <c r="A626" s="1727" t="s">
        <v>525</v>
      </c>
      <c r="B626" s="1589">
        <v>0</v>
      </c>
      <c r="C626" s="1589">
        <v>0</v>
      </c>
      <c r="D626" s="1589">
        <v>0</v>
      </c>
      <c r="E626" s="1589">
        <v>0</v>
      </c>
      <c r="F626" s="1589">
        <v>0</v>
      </c>
      <c r="G626" s="1589">
        <v>0</v>
      </c>
      <c r="H626" s="1589">
        <v>0</v>
      </c>
      <c r="I626" s="1589">
        <v>0</v>
      </c>
      <c r="J626" s="1589">
        <v>0</v>
      </c>
      <c r="K626" s="1589">
        <v>0</v>
      </c>
      <c r="L626" s="1589">
        <v>0</v>
      </c>
      <c r="M626" s="1589">
        <v>0</v>
      </c>
      <c r="N626" s="1589">
        <v>0</v>
      </c>
      <c r="O626" s="1589">
        <v>0</v>
      </c>
      <c r="P626" s="1589">
        <v>0</v>
      </c>
      <c r="Q626" s="1589">
        <v>0</v>
      </c>
    </row>
    <row r="627" spans="1:17">
      <c r="A627" s="1727" t="s">
        <v>528</v>
      </c>
      <c r="B627" s="1589">
        <v>0</v>
      </c>
      <c r="C627" s="1589">
        <v>0</v>
      </c>
      <c r="D627" s="1589">
        <v>0</v>
      </c>
      <c r="E627" s="1589">
        <v>0</v>
      </c>
      <c r="F627" s="1589">
        <v>0</v>
      </c>
      <c r="G627" s="1589">
        <v>0</v>
      </c>
      <c r="H627" s="1589">
        <v>0</v>
      </c>
      <c r="I627" s="1589">
        <v>0</v>
      </c>
      <c r="J627" s="1589">
        <v>0</v>
      </c>
      <c r="K627" s="1589">
        <v>0</v>
      </c>
      <c r="L627" s="1589">
        <v>0</v>
      </c>
      <c r="M627" s="1589">
        <v>0</v>
      </c>
      <c r="N627" s="1589">
        <v>0</v>
      </c>
      <c r="O627" s="1589">
        <v>0</v>
      </c>
      <c r="P627" s="1589">
        <v>0</v>
      </c>
      <c r="Q627" s="1589">
        <v>0</v>
      </c>
    </row>
    <row r="628" spans="1:17">
      <c r="A628" s="1727" t="s">
        <v>530</v>
      </c>
      <c r="B628" s="1589">
        <v>0</v>
      </c>
      <c r="C628" s="1589">
        <v>0</v>
      </c>
      <c r="D628" s="1589">
        <v>0</v>
      </c>
      <c r="E628" s="1589">
        <v>0</v>
      </c>
      <c r="F628" s="1589">
        <v>0</v>
      </c>
      <c r="G628" s="1589">
        <v>0</v>
      </c>
      <c r="H628" s="1589">
        <v>0</v>
      </c>
      <c r="I628" s="1589">
        <v>0</v>
      </c>
      <c r="J628" s="1589">
        <v>0</v>
      </c>
      <c r="K628" s="1589">
        <v>0</v>
      </c>
      <c r="L628" s="1589">
        <v>0</v>
      </c>
      <c r="M628" s="1589">
        <v>0</v>
      </c>
      <c r="N628" s="1589">
        <v>0</v>
      </c>
      <c r="O628" s="1589">
        <v>0</v>
      </c>
      <c r="P628" s="1589">
        <v>0</v>
      </c>
      <c r="Q628" s="1589">
        <v>0</v>
      </c>
    </row>
    <row r="629" spans="1:17">
      <c r="A629" s="1727" t="s">
        <v>532</v>
      </c>
      <c r="B629" s="1589">
        <v>0</v>
      </c>
      <c r="C629" s="1589">
        <v>0</v>
      </c>
      <c r="D629" s="1589">
        <v>0</v>
      </c>
      <c r="E629" s="1589">
        <v>0</v>
      </c>
      <c r="F629" s="1589">
        <v>0</v>
      </c>
      <c r="G629" s="1589">
        <v>0</v>
      </c>
      <c r="H629" s="1589">
        <v>0</v>
      </c>
      <c r="I629" s="1589">
        <v>0</v>
      </c>
      <c r="J629" s="1589">
        <v>0</v>
      </c>
      <c r="K629" s="1589">
        <v>0</v>
      </c>
      <c r="L629" s="1589">
        <v>0</v>
      </c>
      <c r="M629" s="1589">
        <v>0</v>
      </c>
      <c r="N629" s="1589">
        <v>0</v>
      </c>
      <c r="O629" s="1589">
        <v>0</v>
      </c>
      <c r="P629" s="1589">
        <v>0</v>
      </c>
      <c r="Q629" s="1589">
        <v>0</v>
      </c>
    </row>
    <row r="630" spans="1:17">
      <c r="A630" s="1727" t="s">
        <v>534</v>
      </c>
      <c r="B630" s="1589">
        <v>0</v>
      </c>
      <c r="C630" s="1589">
        <v>0</v>
      </c>
      <c r="D630" s="1589">
        <v>0</v>
      </c>
      <c r="E630" s="1589">
        <v>0</v>
      </c>
      <c r="F630" s="1589">
        <v>0</v>
      </c>
      <c r="G630" s="1589">
        <v>0</v>
      </c>
      <c r="H630" s="1589">
        <v>0</v>
      </c>
      <c r="I630" s="1589">
        <v>0</v>
      </c>
      <c r="J630" s="1589">
        <v>0</v>
      </c>
      <c r="K630" s="1589">
        <v>0</v>
      </c>
      <c r="L630" s="1589">
        <v>0</v>
      </c>
      <c r="M630" s="1589">
        <v>0</v>
      </c>
      <c r="N630" s="1589">
        <v>0</v>
      </c>
      <c r="O630" s="1589">
        <v>0</v>
      </c>
      <c r="P630" s="1589">
        <v>0</v>
      </c>
      <c r="Q630" s="1589">
        <v>0</v>
      </c>
    </row>
    <row r="631" spans="1:17">
      <c r="A631" s="1727" t="s">
        <v>536</v>
      </c>
      <c r="B631" s="1589">
        <v>0</v>
      </c>
      <c r="C631" s="1589">
        <v>0</v>
      </c>
      <c r="D631" s="1589">
        <v>0</v>
      </c>
      <c r="E631" s="1589">
        <v>0</v>
      </c>
      <c r="F631" s="1589">
        <v>0</v>
      </c>
      <c r="G631" s="1589">
        <v>0</v>
      </c>
      <c r="H631" s="1589">
        <v>0</v>
      </c>
      <c r="I631" s="1589">
        <v>0</v>
      </c>
      <c r="J631" s="1589">
        <v>0</v>
      </c>
      <c r="K631" s="1589">
        <v>0</v>
      </c>
      <c r="L631" s="1589">
        <v>0</v>
      </c>
      <c r="M631" s="1589">
        <v>0</v>
      </c>
      <c r="N631" s="1589">
        <v>0</v>
      </c>
      <c r="O631" s="1589">
        <v>0</v>
      </c>
      <c r="P631" s="1589">
        <v>0</v>
      </c>
      <c r="Q631" s="1589">
        <v>0</v>
      </c>
    </row>
    <row r="632" spans="1:17">
      <c r="A632" s="1727" t="s">
        <v>538</v>
      </c>
      <c r="B632" s="1589">
        <v>0</v>
      </c>
      <c r="C632" s="1589">
        <v>0</v>
      </c>
      <c r="D632" s="1589">
        <v>0</v>
      </c>
      <c r="E632" s="1589">
        <v>0</v>
      </c>
      <c r="F632" s="1589">
        <v>0</v>
      </c>
      <c r="G632" s="1589">
        <v>0</v>
      </c>
      <c r="H632" s="1589">
        <v>0</v>
      </c>
      <c r="I632" s="1589">
        <v>0</v>
      </c>
      <c r="J632" s="1589">
        <v>0</v>
      </c>
      <c r="K632" s="1589">
        <v>0</v>
      </c>
      <c r="L632" s="1589">
        <v>0</v>
      </c>
      <c r="M632" s="1589">
        <v>0</v>
      </c>
      <c r="N632" s="1589">
        <v>0</v>
      </c>
      <c r="O632" s="1589">
        <v>0</v>
      </c>
      <c r="P632" s="1589">
        <v>0</v>
      </c>
      <c r="Q632" s="1589">
        <v>0</v>
      </c>
    </row>
    <row r="633" spans="1:17">
      <c r="A633" s="1727" t="s">
        <v>540</v>
      </c>
      <c r="B633" s="1589">
        <v>0</v>
      </c>
      <c r="C633" s="1589">
        <v>0</v>
      </c>
      <c r="D633" s="1589">
        <v>0</v>
      </c>
      <c r="E633" s="1589">
        <v>0</v>
      </c>
      <c r="F633" s="1589">
        <v>0</v>
      </c>
      <c r="G633" s="1589">
        <v>0</v>
      </c>
      <c r="H633" s="1589">
        <v>0</v>
      </c>
      <c r="I633" s="1589">
        <v>0</v>
      </c>
      <c r="J633" s="1589">
        <v>0</v>
      </c>
      <c r="K633" s="1589">
        <v>0</v>
      </c>
      <c r="L633" s="1589">
        <v>0</v>
      </c>
      <c r="M633" s="1589">
        <v>0</v>
      </c>
      <c r="N633" s="1589">
        <v>0</v>
      </c>
      <c r="O633" s="1589">
        <v>0</v>
      </c>
      <c r="P633" s="1589">
        <v>0</v>
      </c>
      <c r="Q633" s="1589">
        <v>0</v>
      </c>
    </row>
    <row r="634" spans="1:17">
      <c r="A634" s="1725" t="s">
        <v>542</v>
      </c>
      <c r="B634" s="1589">
        <v>0</v>
      </c>
      <c r="C634" s="1589">
        <v>0</v>
      </c>
      <c r="D634" s="1589">
        <v>0</v>
      </c>
      <c r="E634" s="1589">
        <v>0</v>
      </c>
      <c r="F634" s="1589">
        <v>0</v>
      </c>
      <c r="G634" s="1589">
        <v>0</v>
      </c>
      <c r="H634" s="1589">
        <v>0</v>
      </c>
      <c r="I634" s="1589">
        <v>0</v>
      </c>
      <c r="J634" s="1589">
        <v>0</v>
      </c>
      <c r="K634" s="1589">
        <v>0</v>
      </c>
      <c r="L634" s="1589">
        <v>0</v>
      </c>
      <c r="M634" s="1589">
        <v>0</v>
      </c>
      <c r="N634" s="1589">
        <v>0</v>
      </c>
      <c r="O634" s="1589">
        <v>0</v>
      </c>
      <c r="P634" s="1589">
        <v>0</v>
      </c>
      <c r="Q634" s="1589">
        <v>0</v>
      </c>
    </row>
    <row r="635" spans="1:17">
      <c r="A635" s="1726">
        <v>0</v>
      </c>
      <c r="B635" s="1589">
        <v>0</v>
      </c>
      <c r="C635" s="1589">
        <v>0</v>
      </c>
      <c r="D635" s="1589">
        <v>0</v>
      </c>
      <c r="E635" s="1589">
        <v>0</v>
      </c>
      <c r="F635" s="1589">
        <v>0</v>
      </c>
      <c r="G635" s="1589">
        <v>0</v>
      </c>
      <c r="H635" s="1589">
        <v>0</v>
      </c>
      <c r="I635" s="1589">
        <v>0</v>
      </c>
      <c r="J635" s="1589">
        <v>0</v>
      </c>
      <c r="K635" s="1589">
        <v>0</v>
      </c>
      <c r="L635" s="1589">
        <v>0</v>
      </c>
      <c r="M635" s="1589">
        <v>0</v>
      </c>
      <c r="N635" s="1589">
        <v>0</v>
      </c>
      <c r="O635" s="1589">
        <v>0</v>
      </c>
      <c r="P635" s="1589">
        <v>0</v>
      </c>
      <c r="Q635" s="1589">
        <v>0</v>
      </c>
    </row>
    <row r="636" spans="1:17">
      <c r="A636" s="1727" t="s">
        <v>525</v>
      </c>
      <c r="B636" s="1589">
        <v>0</v>
      </c>
      <c r="C636" s="1589">
        <v>0</v>
      </c>
      <c r="D636" s="1589">
        <v>0</v>
      </c>
      <c r="E636" s="1589">
        <v>0</v>
      </c>
      <c r="F636" s="1589">
        <v>0</v>
      </c>
      <c r="G636" s="1589">
        <v>0</v>
      </c>
      <c r="H636" s="1589">
        <v>0</v>
      </c>
      <c r="I636" s="1589">
        <v>0</v>
      </c>
      <c r="J636" s="1589">
        <v>0</v>
      </c>
      <c r="K636" s="1589">
        <v>0</v>
      </c>
      <c r="L636" s="1589">
        <v>0</v>
      </c>
      <c r="M636" s="1589">
        <v>0</v>
      </c>
      <c r="N636" s="1589">
        <v>0</v>
      </c>
      <c r="O636" s="1589">
        <v>0</v>
      </c>
      <c r="P636" s="1589">
        <v>0</v>
      </c>
      <c r="Q636" s="1589">
        <v>0</v>
      </c>
    </row>
    <row r="637" spans="1:17">
      <c r="A637" s="1727" t="s">
        <v>528</v>
      </c>
      <c r="B637" s="1589">
        <v>0</v>
      </c>
      <c r="C637" s="1589">
        <v>0</v>
      </c>
      <c r="D637" s="1589">
        <v>0</v>
      </c>
      <c r="E637" s="1589">
        <v>0</v>
      </c>
      <c r="F637" s="1589">
        <v>0</v>
      </c>
      <c r="G637" s="1589">
        <v>0</v>
      </c>
      <c r="H637" s="1589">
        <v>0</v>
      </c>
      <c r="I637" s="1589">
        <v>0</v>
      </c>
      <c r="J637" s="1589">
        <v>0</v>
      </c>
      <c r="K637" s="1589">
        <v>0</v>
      </c>
      <c r="L637" s="1589">
        <v>0</v>
      </c>
      <c r="M637" s="1589">
        <v>0</v>
      </c>
      <c r="N637" s="1589">
        <v>0</v>
      </c>
      <c r="O637" s="1589">
        <v>0</v>
      </c>
      <c r="P637" s="1589">
        <v>0</v>
      </c>
      <c r="Q637" s="1589">
        <v>0</v>
      </c>
    </row>
    <row r="638" spans="1:17">
      <c r="A638" s="1727" t="s">
        <v>530</v>
      </c>
      <c r="B638" s="1589">
        <v>0</v>
      </c>
      <c r="C638" s="1589">
        <v>0</v>
      </c>
      <c r="D638" s="1589">
        <v>0</v>
      </c>
      <c r="E638" s="1589">
        <v>0</v>
      </c>
      <c r="F638" s="1589">
        <v>0</v>
      </c>
      <c r="G638" s="1589">
        <v>0</v>
      </c>
      <c r="H638" s="1589">
        <v>0</v>
      </c>
      <c r="I638" s="1589">
        <v>0</v>
      </c>
      <c r="J638" s="1589">
        <v>0</v>
      </c>
      <c r="K638" s="1589">
        <v>0</v>
      </c>
      <c r="L638" s="1589">
        <v>0</v>
      </c>
      <c r="M638" s="1589">
        <v>0</v>
      </c>
      <c r="N638" s="1589">
        <v>0</v>
      </c>
      <c r="O638" s="1589">
        <v>0</v>
      </c>
      <c r="P638" s="1589">
        <v>0</v>
      </c>
      <c r="Q638" s="1589">
        <v>0</v>
      </c>
    </row>
    <row r="639" spans="1:17">
      <c r="A639" s="1727" t="s">
        <v>532</v>
      </c>
      <c r="B639" s="1589">
        <v>0</v>
      </c>
      <c r="C639" s="1589">
        <v>0</v>
      </c>
      <c r="D639" s="1589">
        <v>0</v>
      </c>
      <c r="E639" s="1589">
        <v>0</v>
      </c>
      <c r="F639" s="1589">
        <v>0</v>
      </c>
      <c r="G639" s="1589">
        <v>0</v>
      </c>
      <c r="H639" s="1589">
        <v>0</v>
      </c>
      <c r="I639" s="1589">
        <v>0</v>
      </c>
      <c r="J639" s="1589">
        <v>0</v>
      </c>
      <c r="K639" s="1589">
        <v>0</v>
      </c>
      <c r="L639" s="1589">
        <v>0</v>
      </c>
      <c r="M639" s="1589">
        <v>0</v>
      </c>
      <c r="N639" s="1589">
        <v>0</v>
      </c>
      <c r="O639" s="1589">
        <v>0</v>
      </c>
      <c r="P639" s="1589">
        <v>0</v>
      </c>
      <c r="Q639" s="1589">
        <v>0</v>
      </c>
    </row>
    <row r="640" spans="1:17">
      <c r="A640" s="1727" t="s">
        <v>534</v>
      </c>
      <c r="B640" s="1589">
        <v>0</v>
      </c>
      <c r="C640" s="1589">
        <v>0</v>
      </c>
      <c r="D640" s="1589">
        <v>0</v>
      </c>
      <c r="E640" s="1589">
        <v>0</v>
      </c>
      <c r="F640" s="1589">
        <v>0</v>
      </c>
      <c r="G640" s="1589">
        <v>0</v>
      </c>
      <c r="H640" s="1589">
        <v>0</v>
      </c>
      <c r="I640" s="1589">
        <v>0</v>
      </c>
      <c r="J640" s="1589">
        <v>0</v>
      </c>
      <c r="K640" s="1589">
        <v>0</v>
      </c>
      <c r="L640" s="1589">
        <v>0</v>
      </c>
      <c r="M640" s="1589">
        <v>0</v>
      </c>
      <c r="N640" s="1589">
        <v>0</v>
      </c>
      <c r="O640" s="1589">
        <v>0</v>
      </c>
      <c r="P640" s="1589">
        <v>0</v>
      </c>
      <c r="Q640" s="1589">
        <v>0</v>
      </c>
    </row>
    <row r="641" spans="1:17">
      <c r="A641" s="1727" t="s">
        <v>536</v>
      </c>
      <c r="B641" s="1589">
        <v>0</v>
      </c>
      <c r="C641" s="1589">
        <v>0</v>
      </c>
      <c r="D641" s="1589">
        <v>0</v>
      </c>
      <c r="E641" s="1589">
        <v>0</v>
      </c>
      <c r="F641" s="1589">
        <v>0</v>
      </c>
      <c r="G641" s="1589">
        <v>0</v>
      </c>
      <c r="H641" s="1589">
        <v>0</v>
      </c>
      <c r="I641" s="1589">
        <v>0</v>
      </c>
      <c r="J641" s="1589">
        <v>0</v>
      </c>
      <c r="K641" s="1589">
        <v>0</v>
      </c>
      <c r="L641" s="1589">
        <v>0</v>
      </c>
      <c r="M641" s="1589">
        <v>0</v>
      </c>
      <c r="N641" s="1589">
        <v>0</v>
      </c>
      <c r="O641" s="1589">
        <v>0</v>
      </c>
      <c r="P641" s="1589">
        <v>0</v>
      </c>
      <c r="Q641" s="1589">
        <v>0</v>
      </c>
    </row>
    <row r="642" spans="1:17">
      <c r="A642" s="1727" t="s">
        <v>538</v>
      </c>
      <c r="B642" s="1589">
        <v>0</v>
      </c>
      <c r="C642" s="1589">
        <v>0</v>
      </c>
      <c r="D642" s="1589">
        <v>0</v>
      </c>
      <c r="E642" s="1589">
        <v>0</v>
      </c>
      <c r="F642" s="1589">
        <v>0</v>
      </c>
      <c r="G642" s="1589">
        <v>0</v>
      </c>
      <c r="H642" s="1589">
        <v>0</v>
      </c>
      <c r="I642" s="1589">
        <v>0</v>
      </c>
      <c r="J642" s="1589">
        <v>0</v>
      </c>
      <c r="K642" s="1589">
        <v>0</v>
      </c>
      <c r="L642" s="1589">
        <v>0</v>
      </c>
      <c r="M642" s="1589">
        <v>0</v>
      </c>
      <c r="N642" s="1589">
        <v>0</v>
      </c>
      <c r="O642" s="1589">
        <v>0</v>
      </c>
      <c r="P642" s="1589">
        <v>0</v>
      </c>
      <c r="Q642" s="1589">
        <v>0</v>
      </c>
    </row>
    <row r="643" spans="1:17">
      <c r="A643" s="1727" t="s">
        <v>540</v>
      </c>
      <c r="B643" s="1589">
        <v>0</v>
      </c>
      <c r="C643" s="1589">
        <v>0</v>
      </c>
      <c r="D643" s="1589">
        <v>0</v>
      </c>
      <c r="E643" s="1589">
        <v>0</v>
      </c>
      <c r="F643" s="1589">
        <v>0</v>
      </c>
      <c r="G643" s="1589">
        <v>0</v>
      </c>
      <c r="H643" s="1589">
        <v>0</v>
      </c>
      <c r="I643" s="1589">
        <v>0</v>
      </c>
      <c r="J643" s="1589">
        <v>0</v>
      </c>
      <c r="K643" s="1589">
        <v>0</v>
      </c>
      <c r="L643" s="1589">
        <v>0</v>
      </c>
      <c r="M643" s="1589">
        <v>0</v>
      </c>
      <c r="N643" s="1589">
        <v>0</v>
      </c>
      <c r="O643" s="1589">
        <v>0</v>
      </c>
      <c r="P643" s="1589">
        <v>0</v>
      </c>
      <c r="Q643" s="1589">
        <v>0</v>
      </c>
    </row>
    <row r="644" spans="1:17">
      <c r="A644" s="1725" t="s">
        <v>524</v>
      </c>
      <c r="B644" s="1589">
        <v>0</v>
      </c>
      <c r="C644" s="1589">
        <v>0</v>
      </c>
      <c r="D644" s="1589">
        <v>0</v>
      </c>
      <c r="E644" s="1589">
        <v>0</v>
      </c>
      <c r="F644" s="1589">
        <v>0</v>
      </c>
      <c r="G644" s="1589">
        <v>0</v>
      </c>
      <c r="H644" s="1589">
        <v>0</v>
      </c>
      <c r="I644" s="1589">
        <v>0</v>
      </c>
      <c r="J644" s="1589">
        <v>0</v>
      </c>
      <c r="K644" s="1589">
        <v>0</v>
      </c>
      <c r="L644" s="1589">
        <v>0</v>
      </c>
      <c r="M644" s="1589">
        <v>0</v>
      </c>
      <c r="N644" s="1589">
        <v>0</v>
      </c>
      <c r="O644" s="1589">
        <v>0</v>
      </c>
      <c r="P644" s="1589">
        <v>0</v>
      </c>
      <c r="Q644" s="1589">
        <v>0</v>
      </c>
    </row>
    <row r="645" spans="1:17">
      <c r="A645" s="1726">
        <v>0</v>
      </c>
      <c r="B645" s="1589">
        <v>0</v>
      </c>
      <c r="C645" s="1589">
        <v>0</v>
      </c>
      <c r="D645" s="1589">
        <v>0</v>
      </c>
      <c r="E645" s="1589">
        <v>0</v>
      </c>
      <c r="F645" s="1589">
        <v>0</v>
      </c>
      <c r="G645" s="1589">
        <v>0</v>
      </c>
      <c r="H645" s="1589">
        <v>0</v>
      </c>
      <c r="I645" s="1589">
        <v>0</v>
      </c>
      <c r="J645" s="1589">
        <v>0</v>
      </c>
      <c r="K645" s="1589">
        <v>0</v>
      </c>
      <c r="L645" s="1589">
        <v>0</v>
      </c>
      <c r="M645" s="1589">
        <v>0</v>
      </c>
      <c r="N645" s="1589">
        <v>0</v>
      </c>
      <c r="O645" s="1589">
        <v>0</v>
      </c>
      <c r="P645" s="1589">
        <v>0</v>
      </c>
      <c r="Q645" s="1589">
        <v>0</v>
      </c>
    </row>
    <row r="646" spans="1:17">
      <c r="A646" s="1727" t="s">
        <v>525</v>
      </c>
      <c r="B646" s="1589">
        <v>0</v>
      </c>
      <c r="C646" s="1589">
        <v>0</v>
      </c>
      <c r="D646" s="1589">
        <v>0</v>
      </c>
      <c r="E646" s="1589">
        <v>0</v>
      </c>
      <c r="F646" s="1589">
        <v>0</v>
      </c>
      <c r="G646" s="1589">
        <v>0</v>
      </c>
      <c r="H646" s="1589">
        <v>0</v>
      </c>
      <c r="I646" s="1589">
        <v>0</v>
      </c>
      <c r="J646" s="1589">
        <v>0</v>
      </c>
      <c r="K646" s="1589">
        <v>0</v>
      </c>
      <c r="L646" s="1589">
        <v>0</v>
      </c>
      <c r="M646" s="1589">
        <v>0</v>
      </c>
      <c r="N646" s="1589">
        <v>0</v>
      </c>
      <c r="O646" s="1589">
        <v>0</v>
      </c>
      <c r="P646" s="1589">
        <v>0</v>
      </c>
      <c r="Q646" s="1589">
        <v>0</v>
      </c>
    </row>
    <row r="647" spans="1:17">
      <c r="A647" s="1727" t="s">
        <v>528</v>
      </c>
      <c r="B647" s="1589">
        <v>0</v>
      </c>
      <c r="C647" s="1589">
        <v>0</v>
      </c>
      <c r="D647" s="1589">
        <v>0</v>
      </c>
      <c r="E647" s="1589">
        <v>0</v>
      </c>
      <c r="F647" s="1589">
        <v>0</v>
      </c>
      <c r="G647" s="1589">
        <v>0</v>
      </c>
      <c r="H647" s="1589">
        <v>0</v>
      </c>
      <c r="I647" s="1589">
        <v>0</v>
      </c>
      <c r="J647" s="1589">
        <v>0</v>
      </c>
      <c r="K647" s="1589">
        <v>0</v>
      </c>
      <c r="L647" s="1589">
        <v>0</v>
      </c>
      <c r="M647" s="1589">
        <v>0</v>
      </c>
      <c r="N647" s="1589">
        <v>0</v>
      </c>
      <c r="O647" s="1589">
        <v>0</v>
      </c>
      <c r="P647" s="1589">
        <v>0</v>
      </c>
      <c r="Q647" s="1589">
        <v>0</v>
      </c>
    </row>
    <row r="648" spans="1:17">
      <c r="A648" s="1727" t="s">
        <v>530</v>
      </c>
      <c r="B648" s="1589">
        <v>0</v>
      </c>
      <c r="C648" s="1589">
        <v>0</v>
      </c>
      <c r="D648" s="1589">
        <v>0</v>
      </c>
      <c r="E648" s="1589">
        <v>0</v>
      </c>
      <c r="F648" s="1589">
        <v>0</v>
      </c>
      <c r="G648" s="1589">
        <v>0</v>
      </c>
      <c r="H648" s="1589">
        <v>0</v>
      </c>
      <c r="I648" s="1589">
        <v>0</v>
      </c>
      <c r="J648" s="1589">
        <v>0</v>
      </c>
      <c r="K648" s="1589">
        <v>0</v>
      </c>
      <c r="L648" s="1589">
        <v>0</v>
      </c>
      <c r="M648" s="1589">
        <v>0</v>
      </c>
      <c r="N648" s="1589">
        <v>0</v>
      </c>
      <c r="O648" s="1589">
        <v>0</v>
      </c>
      <c r="P648" s="1589">
        <v>0</v>
      </c>
      <c r="Q648" s="1589">
        <v>0</v>
      </c>
    </row>
    <row r="649" spans="1:17">
      <c r="A649" s="1727" t="s">
        <v>532</v>
      </c>
      <c r="B649" s="1589">
        <v>0</v>
      </c>
      <c r="C649" s="1589">
        <v>0</v>
      </c>
      <c r="D649" s="1589">
        <v>0</v>
      </c>
      <c r="E649" s="1589">
        <v>0</v>
      </c>
      <c r="F649" s="1589">
        <v>0</v>
      </c>
      <c r="G649" s="1589">
        <v>0</v>
      </c>
      <c r="H649" s="1589">
        <v>0</v>
      </c>
      <c r="I649" s="1589">
        <v>0</v>
      </c>
      <c r="J649" s="1589">
        <v>0</v>
      </c>
      <c r="K649" s="1589">
        <v>0</v>
      </c>
      <c r="L649" s="1589">
        <v>0</v>
      </c>
      <c r="M649" s="1589">
        <v>0</v>
      </c>
      <c r="N649" s="1589">
        <v>0</v>
      </c>
      <c r="O649" s="1589">
        <v>0</v>
      </c>
      <c r="P649" s="1589">
        <v>0</v>
      </c>
      <c r="Q649" s="1589">
        <v>0</v>
      </c>
    </row>
    <row r="650" spans="1:17">
      <c r="A650" s="1727" t="s">
        <v>534</v>
      </c>
      <c r="B650" s="1589">
        <v>0</v>
      </c>
      <c r="C650" s="1589">
        <v>0</v>
      </c>
      <c r="D650" s="1589">
        <v>0</v>
      </c>
      <c r="E650" s="1589">
        <v>0</v>
      </c>
      <c r="F650" s="1589">
        <v>0</v>
      </c>
      <c r="G650" s="1589">
        <v>0</v>
      </c>
      <c r="H650" s="1589">
        <v>0</v>
      </c>
      <c r="I650" s="1589">
        <v>0</v>
      </c>
      <c r="J650" s="1589">
        <v>0</v>
      </c>
      <c r="K650" s="1589">
        <v>0</v>
      </c>
      <c r="L650" s="1589">
        <v>0</v>
      </c>
      <c r="M650" s="1589">
        <v>0</v>
      </c>
      <c r="N650" s="1589">
        <v>0</v>
      </c>
      <c r="O650" s="1589">
        <v>0</v>
      </c>
      <c r="P650" s="1589">
        <v>0</v>
      </c>
      <c r="Q650" s="1589">
        <v>0</v>
      </c>
    </row>
    <row r="651" spans="1:17">
      <c r="A651" s="1727" t="s">
        <v>536</v>
      </c>
      <c r="B651" s="1589">
        <v>0</v>
      </c>
      <c r="C651" s="1589">
        <v>0</v>
      </c>
      <c r="D651" s="1589">
        <v>0</v>
      </c>
      <c r="E651" s="1589">
        <v>0</v>
      </c>
      <c r="F651" s="1589">
        <v>0</v>
      </c>
      <c r="G651" s="1589">
        <v>0</v>
      </c>
      <c r="H651" s="1589">
        <v>0</v>
      </c>
      <c r="I651" s="1589">
        <v>0</v>
      </c>
      <c r="J651" s="1589">
        <v>0</v>
      </c>
      <c r="K651" s="1589">
        <v>0</v>
      </c>
      <c r="L651" s="1589">
        <v>0</v>
      </c>
      <c r="M651" s="1589">
        <v>0</v>
      </c>
      <c r="N651" s="1589">
        <v>0</v>
      </c>
      <c r="O651" s="1589">
        <v>0</v>
      </c>
      <c r="P651" s="1589">
        <v>0</v>
      </c>
      <c r="Q651" s="1589">
        <v>0</v>
      </c>
    </row>
    <row r="652" spans="1:17">
      <c r="A652" s="1727" t="s">
        <v>538</v>
      </c>
      <c r="B652" s="1589">
        <v>0</v>
      </c>
      <c r="C652" s="1589">
        <v>0</v>
      </c>
      <c r="D652" s="1589">
        <v>0</v>
      </c>
      <c r="E652" s="1589">
        <v>0</v>
      </c>
      <c r="F652" s="1589">
        <v>0</v>
      </c>
      <c r="G652" s="1589">
        <v>0</v>
      </c>
      <c r="H652" s="1589">
        <v>0</v>
      </c>
      <c r="I652" s="1589">
        <v>0</v>
      </c>
      <c r="J652" s="1589">
        <v>0</v>
      </c>
      <c r="K652" s="1589">
        <v>0</v>
      </c>
      <c r="L652" s="1589">
        <v>0</v>
      </c>
      <c r="M652" s="1589">
        <v>0</v>
      </c>
      <c r="N652" s="1589">
        <v>0</v>
      </c>
      <c r="O652" s="1589">
        <v>0</v>
      </c>
      <c r="P652" s="1589">
        <v>0</v>
      </c>
      <c r="Q652" s="1589">
        <v>0</v>
      </c>
    </row>
    <row r="653" spans="1:17">
      <c r="A653" s="1727" t="s">
        <v>540</v>
      </c>
      <c r="B653" s="1589">
        <v>0</v>
      </c>
      <c r="C653" s="1589">
        <v>0</v>
      </c>
      <c r="D653" s="1589">
        <v>0</v>
      </c>
      <c r="E653" s="1589">
        <v>0</v>
      </c>
      <c r="F653" s="1589">
        <v>0</v>
      </c>
      <c r="G653" s="1589">
        <v>0</v>
      </c>
      <c r="H653" s="1589">
        <v>0</v>
      </c>
      <c r="I653" s="1589">
        <v>0</v>
      </c>
      <c r="J653" s="1589">
        <v>0</v>
      </c>
      <c r="K653" s="1589">
        <v>0</v>
      </c>
      <c r="L653" s="1589">
        <v>0</v>
      </c>
      <c r="M653" s="1589">
        <v>0</v>
      </c>
      <c r="N653" s="1589">
        <v>0</v>
      </c>
      <c r="O653" s="1589">
        <v>0</v>
      </c>
      <c r="P653" s="1589">
        <v>0</v>
      </c>
      <c r="Q653" s="1589">
        <v>0</v>
      </c>
    </row>
    <row r="654" spans="1:17">
      <c r="A654" s="1588" t="s">
        <v>3085</v>
      </c>
      <c r="B654" s="1589">
        <v>0</v>
      </c>
      <c r="C654" s="1589">
        <v>0</v>
      </c>
      <c r="D654" s="1589">
        <v>0</v>
      </c>
      <c r="E654" s="1589">
        <v>0</v>
      </c>
      <c r="F654" s="1589">
        <v>0</v>
      </c>
      <c r="G654" s="1589">
        <v>0</v>
      </c>
      <c r="H654" s="1589">
        <v>0</v>
      </c>
      <c r="I654" s="1589">
        <v>0</v>
      </c>
      <c r="J654" s="1589">
        <v>0</v>
      </c>
      <c r="K654" s="1589">
        <v>0</v>
      </c>
      <c r="L654" s="1589">
        <v>0</v>
      </c>
      <c r="M654" s="1589">
        <v>0</v>
      </c>
      <c r="N654" s="1589">
        <v>0</v>
      </c>
      <c r="O654" s="1589">
        <v>0</v>
      </c>
      <c r="P654" s="1589">
        <v>0</v>
      </c>
      <c r="Q654" s="1589">
        <v>0</v>
      </c>
    </row>
    <row r="655" spans="1:17">
      <c r="A655" s="1725" t="s">
        <v>3086</v>
      </c>
      <c r="B655" s="1589">
        <v>0</v>
      </c>
      <c r="C655" s="1589">
        <v>0</v>
      </c>
      <c r="D655" s="1589">
        <v>0</v>
      </c>
      <c r="E655" s="1589">
        <v>0</v>
      </c>
      <c r="F655" s="1589">
        <v>0</v>
      </c>
      <c r="G655" s="1589">
        <v>0</v>
      </c>
      <c r="H655" s="1589">
        <v>0</v>
      </c>
      <c r="I655" s="1589">
        <v>0</v>
      </c>
      <c r="J655" s="1589">
        <v>0</v>
      </c>
      <c r="K655" s="1589">
        <v>0</v>
      </c>
      <c r="L655" s="1589">
        <v>0</v>
      </c>
      <c r="M655" s="1589">
        <v>0</v>
      </c>
      <c r="N655" s="1589">
        <v>0</v>
      </c>
      <c r="O655" s="1589">
        <v>0</v>
      </c>
      <c r="P655" s="1589">
        <v>0</v>
      </c>
      <c r="Q655" s="1589">
        <v>0</v>
      </c>
    </row>
    <row r="656" spans="1:17">
      <c r="A656" s="1726">
        <v>0</v>
      </c>
      <c r="B656" s="1589">
        <v>0</v>
      </c>
      <c r="C656" s="1589">
        <v>0</v>
      </c>
      <c r="D656" s="1589">
        <v>0</v>
      </c>
      <c r="E656" s="1589">
        <v>0</v>
      </c>
      <c r="F656" s="1589">
        <v>0</v>
      </c>
      <c r="G656" s="1589">
        <v>0</v>
      </c>
      <c r="H656" s="1589">
        <v>0</v>
      </c>
      <c r="I656" s="1589">
        <v>0</v>
      </c>
      <c r="J656" s="1589">
        <v>0</v>
      </c>
      <c r="K656" s="1589">
        <v>0</v>
      </c>
      <c r="L656" s="1589">
        <v>0</v>
      </c>
      <c r="M656" s="1589">
        <v>0</v>
      </c>
      <c r="N656" s="1589">
        <v>0</v>
      </c>
      <c r="O656" s="1589">
        <v>0</v>
      </c>
      <c r="P656" s="1589">
        <v>0</v>
      </c>
      <c r="Q656" s="1589">
        <v>0</v>
      </c>
    </row>
    <row r="657" spans="1:17">
      <c r="A657" s="1727" t="s">
        <v>651</v>
      </c>
      <c r="B657" s="1589">
        <v>0</v>
      </c>
      <c r="C657" s="1589">
        <v>0</v>
      </c>
      <c r="D657" s="1589">
        <v>0</v>
      </c>
      <c r="E657" s="1589">
        <v>0</v>
      </c>
      <c r="F657" s="1589">
        <v>0</v>
      </c>
      <c r="G657" s="1589">
        <v>0</v>
      </c>
      <c r="H657" s="1589">
        <v>0</v>
      </c>
      <c r="I657" s="1589">
        <v>0</v>
      </c>
      <c r="J657" s="1589">
        <v>0</v>
      </c>
      <c r="K657" s="1589">
        <v>0</v>
      </c>
      <c r="L657" s="1589">
        <v>0</v>
      </c>
      <c r="M657" s="1589">
        <v>0</v>
      </c>
      <c r="N657" s="1589">
        <v>0</v>
      </c>
      <c r="O657" s="1589">
        <v>0</v>
      </c>
      <c r="P657" s="1589">
        <v>0</v>
      </c>
      <c r="Q657" s="1589">
        <v>0</v>
      </c>
    </row>
    <row r="658" spans="1:17">
      <c r="A658" s="1727" t="s">
        <v>595</v>
      </c>
      <c r="B658" s="1589">
        <v>0</v>
      </c>
      <c r="C658" s="1589">
        <v>0</v>
      </c>
      <c r="D658" s="1589">
        <v>0</v>
      </c>
      <c r="E658" s="1589">
        <v>0</v>
      </c>
      <c r="F658" s="1589">
        <v>0</v>
      </c>
      <c r="G658" s="1589">
        <v>0</v>
      </c>
      <c r="H658" s="1589">
        <v>0</v>
      </c>
      <c r="I658" s="1589">
        <v>0</v>
      </c>
      <c r="J658" s="1589">
        <v>0</v>
      </c>
      <c r="K658" s="1589">
        <v>0</v>
      </c>
      <c r="L658" s="1589">
        <v>0</v>
      </c>
      <c r="M658" s="1589">
        <v>0</v>
      </c>
      <c r="N658" s="1589">
        <v>0</v>
      </c>
      <c r="O658" s="1589">
        <v>0</v>
      </c>
      <c r="P658" s="1589">
        <v>0</v>
      </c>
      <c r="Q658" s="1589">
        <v>0</v>
      </c>
    </row>
    <row r="659" spans="1:17">
      <c r="A659" s="1727" t="s">
        <v>597</v>
      </c>
      <c r="B659" s="1589">
        <v>0</v>
      </c>
      <c r="C659" s="1589">
        <v>0</v>
      </c>
      <c r="D659" s="1589">
        <v>0</v>
      </c>
      <c r="E659" s="1589">
        <v>0</v>
      </c>
      <c r="F659" s="1589">
        <v>0</v>
      </c>
      <c r="G659" s="1589">
        <v>0</v>
      </c>
      <c r="H659" s="1589">
        <v>0</v>
      </c>
      <c r="I659" s="1589">
        <v>0</v>
      </c>
      <c r="J659" s="1589">
        <v>0</v>
      </c>
      <c r="K659" s="1589">
        <v>0</v>
      </c>
      <c r="L659" s="1589">
        <v>0</v>
      </c>
      <c r="M659" s="1589">
        <v>0</v>
      </c>
      <c r="N659" s="1589">
        <v>0</v>
      </c>
      <c r="O659" s="1589">
        <v>0</v>
      </c>
      <c r="P659" s="1589">
        <v>0</v>
      </c>
      <c r="Q659" s="1589">
        <v>0</v>
      </c>
    </row>
    <row r="660" spans="1:17">
      <c r="A660" s="1727" t="s">
        <v>586</v>
      </c>
      <c r="B660" s="1589">
        <v>0</v>
      </c>
      <c r="C660" s="1589">
        <v>0</v>
      </c>
      <c r="D660" s="1589">
        <v>0</v>
      </c>
      <c r="E660" s="1589">
        <v>0</v>
      </c>
      <c r="F660" s="1589">
        <v>0</v>
      </c>
      <c r="G660" s="1589">
        <v>0</v>
      </c>
      <c r="H660" s="1589">
        <v>0</v>
      </c>
      <c r="I660" s="1589">
        <v>0</v>
      </c>
      <c r="J660" s="1589">
        <v>0</v>
      </c>
      <c r="K660" s="1589">
        <v>0</v>
      </c>
      <c r="L660" s="1589">
        <v>0</v>
      </c>
      <c r="M660" s="1589">
        <v>0</v>
      </c>
      <c r="N660" s="1589">
        <v>0</v>
      </c>
      <c r="O660" s="1589">
        <v>0</v>
      </c>
      <c r="P660" s="1589">
        <v>0</v>
      </c>
      <c r="Q660" s="1589">
        <v>0</v>
      </c>
    </row>
    <row r="661" spans="1:17">
      <c r="A661" s="1727" t="s">
        <v>528</v>
      </c>
      <c r="B661" s="1589">
        <v>0</v>
      </c>
      <c r="C661" s="1589">
        <v>0</v>
      </c>
      <c r="D661" s="1589">
        <v>0</v>
      </c>
      <c r="E661" s="1589">
        <v>0</v>
      </c>
      <c r="F661" s="1589">
        <v>0</v>
      </c>
      <c r="G661" s="1589">
        <v>0</v>
      </c>
      <c r="H661" s="1589">
        <v>0</v>
      </c>
      <c r="I661" s="1589">
        <v>0</v>
      </c>
      <c r="J661" s="1589">
        <v>0</v>
      </c>
      <c r="K661" s="1589">
        <v>0</v>
      </c>
      <c r="L661" s="1589">
        <v>0</v>
      </c>
      <c r="M661" s="1589">
        <v>0</v>
      </c>
      <c r="N661" s="1589">
        <v>0</v>
      </c>
      <c r="O661" s="1589">
        <v>0</v>
      </c>
      <c r="P661" s="1589">
        <v>0</v>
      </c>
      <c r="Q661" s="1589">
        <v>0</v>
      </c>
    </row>
    <row r="662" spans="1:17">
      <c r="A662" s="1727" t="s">
        <v>530</v>
      </c>
      <c r="B662" s="1589">
        <v>0</v>
      </c>
      <c r="C662" s="1589">
        <v>0</v>
      </c>
      <c r="D662" s="1589">
        <v>0</v>
      </c>
      <c r="E662" s="1589">
        <v>0</v>
      </c>
      <c r="F662" s="1589">
        <v>0</v>
      </c>
      <c r="G662" s="1589">
        <v>0</v>
      </c>
      <c r="H662" s="1589">
        <v>0</v>
      </c>
      <c r="I662" s="1589">
        <v>0</v>
      </c>
      <c r="J662" s="1589">
        <v>0</v>
      </c>
      <c r="K662" s="1589">
        <v>0</v>
      </c>
      <c r="L662" s="1589">
        <v>0</v>
      </c>
      <c r="M662" s="1589">
        <v>0</v>
      </c>
      <c r="N662" s="1589">
        <v>0</v>
      </c>
      <c r="O662" s="1589">
        <v>0</v>
      </c>
      <c r="P662" s="1589">
        <v>0</v>
      </c>
      <c r="Q662" s="1589">
        <v>0</v>
      </c>
    </row>
    <row r="663" spans="1:17">
      <c r="A663" s="1727" t="s">
        <v>532</v>
      </c>
      <c r="B663" s="1589">
        <v>0</v>
      </c>
      <c r="C663" s="1589">
        <v>0</v>
      </c>
      <c r="D663" s="1589">
        <v>0</v>
      </c>
      <c r="E663" s="1589">
        <v>0</v>
      </c>
      <c r="F663" s="1589">
        <v>0</v>
      </c>
      <c r="G663" s="1589">
        <v>0</v>
      </c>
      <c r="H663" s="1589">
        <v>0</v>
      </c>
      <c r="I663" s="1589">
        <v>0</v>
      </c>
      <c r="J663" s="1589">
        <v>0</v>
      </c>
      <c r="K663" s="1589">
        <v>0</v>
      </c>
      <c r="L663" s="1589">
        <v>0</v>
      </c>
      <c r="M663" s="1589">
        <v>0</v>
      </c>
      <c r="N663" s="1589">
        <v>0</v>
      </c>
      <c r="O663" s="1589">
        <v>0</v>
      </c>
      <c r="P663" s="1589">
        <v>0</v>
      </c>
      <c r="Q663" s="1589">
        <v>0</v>
      </c>
    </row>
    <row r="664" spans="1:17">
      <c r="A664" s="1727" t="s">
        <v>534</v>
      </c>
      <c r="B664" s="1589">
        <v>0</v>
      </c>
      <c r="C664" s="1589">
        <v>0</v>
      </c>
      <c r="D664" s="1589">
        <v>0</v>
      </c>
      <c r="E664" s="1589">
        <v>0</v>
      </c>
      <c r="F664" s="1589">
        <v>0</v>
      </c>
      <c r="G664" s="1589">
        <v>0</v>
      </c>
      <c r="H664" s="1589">
        <v>0</v>
      </c>
      <c r="I664" s="1589">
        <v>0</v>
      </c>
      <c r="J664" s="1589">
        <v>0</v>
      </c>
      <c r="K664" s="1589">
        <v>0</v>
      </c>
      <c r="L664" s="1589">
        <v>0</v>
      </c>
      <c r="M664" s="1589">
        <v>0</v>
      </c>
      <c r="N664" s="1589">
        <v>0</v>
      </c>
      <c r="O664" s="1589">
        <v>0</v>
      </c>
      <c r="P664" s="1589">
        <v>0</v>
      </c>
      <c r="Q664" s="1589">
        <v>0</v>
      </c>
    </row>
    <row r="665" spans="1:17">
      <c r="A665" s="1727" t="s">
        <v>536</v>
      </c>
      <c r="B665" s="1589">
        <v>0</v>
      </c>
      <c r="C665" s="1589">
        <v>0</v>
      </c>
      <c r="D665" s="1589">
        <v>0</v>
      </c>
      <c r="E665" s="1589">
        <v>0</v>
      </c>
      <c r="F665" s="1589">
        <v>0</v>
      </c>
      <c r="G665" s="1589">
        <v>0</v>
      </c>
      <c r="H665" s="1589">
        <v>0</v>
      </c>
      <c r="I665" s="1589">
        <v>0</v>
      </c>
      <c r="J665" s="1589">
        <v>0</v>
      </c>
      <c r="K665" s="1589">
        <v>0</v>
      </c>
      <c r="L665" s="1589">
        <v>0</v>
      </c>
      <c r="M665" s="1589">
        <v>0</v>
      </c>
      <c r="N665" s="1589">
        <v>0</v>
      </c>
      <c r="O665" s="1589">
        <v>0</v>
      </c>
      <c r="P665" s="1589">
        <v>0</v>
      </c>
      <c r="Q665" s="1589">
        <v>0</v>
      </c>
    </row>
    <row r="666" spans="1:17">
      <c r="A666" s="1727" t="s">
        <v>538</v>
      </c>
      <c r="B666" s="1589">
        <v>0</v>
      </c>
      <c r="C666" s="1589">
        <v>0</v>
      </c>
      <c r="D666" s="1589">
        <v>0</v>
      </c>
      <c r="E666" s="1589">
        <v>0</v>
      </c>
      <c r="F666" s="1589">
        <v>0</v>
      </c>
      <c r="G666" s="1589">
        <v>0</v>
      </c>
      <c r="H666" s="1589">
        <v>0</v>
      </c>
      <c r="I666" s="1589">
        <v>0</v>
      </c>
      <c r="J666" s="1589">
        <v>0</v>
      </c>
      <c r="K666" s="1589">
        <v>0</v>
      </c>
      <c r="L666" s="1589">
        <v>0</v>
      </c>
      <c r="M666" s="1589">
        <v>0</v>
      </c>
      <c r="N666" s="1589">
        <v>0</v>
      </c>
      <c r="O666" s="1589">
        <v>0</v>
      </c>
      <c r="P666" s="1589">
        <v>0</v>
      </c>
      <c r="Q666" s="1589">
        <v>0</v>
      </c>
    </row>
    <row r="667" spans="1:17">
      <c r="A667" s="1727" t="s">
        <v>540</v>
      </c>
      <c r="B667" s="1589">
        <v>0</v>
      </c>
      <c r="C667" s="1589">
        <v>0</v>
      </c>
      <c r="D667" s="1589">
        <v>0</v>
      </c>
      <c r="E667" s="1589">
        <v>0</v>
      </c>
      <c r="F667" s="1589">
        <v>0</v>
      </c>
      <c r="G667" s="1589">
        <v>0</v>
      </c>
      <c r="H667" s="1589">
        <v>0</v>
      </c>
      <c r="I667" s="1589">
        <v>0</v>
      </c>
      <c r="J667" s="1589">
        <v>0</v>
      </c>
      <c r="K667" s="1589">
        <v>0</v>
      </c>
      <c r="L667" s="1589">
        <v>0</v>
      </c>
      <c r="M667" s="1589">
        <v>0</v>
      </c>
      <c r="N667" s="1589">
        <v>0</v>
      </c>
      <c r="O667" s="1589">
        <v>0</v>
      </c>
      <c r="P667" s="1589">
        <v>0</v>
      </c>
      <c r="Q667" s="1589">
        <v>0</v>
      </c>
    </row>
    <row r="668" spans="1:17">
      <c r="A668" s="1726" t="s">
        <v>4288</v>
      </c>
      <c r="B668" s="1589">
        <v>0</v>
      </c>
      <c r="C668" s="1589">
        <v>0</v>
      </c>
      <c r="D668" s="1589">
        <v>0</v>
      </c>
      <c r="E668" s="1589">
        <v>0</v>
      </c>
      <c r="F668" s="1589">
        <v>0</v>
      </c>
      <c r="G668" s="1589">
        <v>0</v>
      </c>
      <c r="H668" s="1589">
        <v>0</v>
      </c>
      <c r="I668" s="1589">
        <v>0</v>
      </c>
      <c r="J668" s="1589">
        <v>0</v>
      </c>
      <c r="K668" s="1589">
        <v>0</v>
      </c>
      <c r="L668" s="1589">
        <v>0</v>
      </c>
      <c r="M668" s="1589">
        <v>0</v>
      </c>
      <c r="N668" s="1589">
        <v>0</v>
      </c>
      <c r="O668" s="1589">
        <v>0</v>
      </c>
      <c r="P668" s="1589">
        <v>0</v>
      </c>
      <c r="Q668" s="1589">
        <v>0</v>
      </c>
    </row>
    <row r="669" spans="1:17">
      <c r="A669" s="1727" t="s">
        <v>593</v>
      </c>
      <c r="B669" s="1589">
        <v>0</v>
      </c>
      <c r="C669" s="1589">
        <v>0</v>
      </c>
      <c r="D669" s="1589">
        <v>0</v>
      </c>
      <c r="E669" s="1589">
        <v>0</v>
      </c>
      <c r="F669" s="1589">
        <v>0</v>
      </c>
      <c r="G669" s="1589">
        <v>0</v>
      </c>
      <c r="H669" s="1589">
        <v>0</v>
      </c>
      <c r="I669" s="1589">
        <v>0</v>
      </c>
      <c r="J669" s="1589">
        <v>0</v>
      </c>
      <c r="K669" s="1589">
        <v>0</v>
      </c>
      <c r="L669" s="1589">
        <v>0</v>
      </c>
      <c r="M669" s="1589">
        <v>0</v>
      </c>
      <c r="N669" s="1589">
        <v>0</v>
      </c>
      <c r="O669" s="1589">
        <v>0</v>
      </c>
      <c r="P669" s="1589">
        <v>0</v>
      </c>
      <c r="Q669" s="1589">
        <v>0</v>
      </c>
    </row>
    <row r="670" spans="1:17">
      <c r="A670" s="1588" t="s">
        <v>4286</v>
      </c>
      <c r="B670" s="1589">
        <v>0</v>
      </c>
      <c r="C670" s="1589">
        <v>1098082.5564000001</v>
      </c>
      <c r="D670" s="1589">
        <v>1401685.7000000002</v>
      </c>
      <c r="E670" s="1589">
        <v>0</v>
      </c>
      <c r="F670" s="1589">
        <v>2499768.2563999998</v>
      </c>
      <c r="G670" s="1589">
        <v>0</v>
      </c>
      <c r="H670" s="1589">
        <v>2377995.4246</v>
      </c>
      <c r="I670" s="1589">
        <v>0</v>
      </c>
      <c r="J670" s="1589">
        <v>0</v>
      </c>
      <c r="K670" s="1589">
        <v>2377995.4246</v>
      </c>
      <c r="L670" s="1589">
        <v>0</v>
      </c>
      <c r="M670" s="1589">
        <v>2553566.3198000002</v>
      </c>
      <c r="N670" s="1589">
        <v>0</v>
      </c>
      <c r="O670" s="1589">
        <v>0</v>
      </c>
      <c r="P670" s="1589">
        <v>2553566.3198000002</v>
      </c>
      <c r="Q670" s="1589">
        <v>7431330.0008000005</v>
      </c>
    </row>
  </sheetData>
  <pageMargins left="0.7" right="0.7" top="0.75" bottom="0.75" header="0.3" footer="0.3"/>
  <pageSetup orientation="portrait" horizontalDpi="90" verticalDpi="9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0" tint="-0.499984740745262"/>
  </sheetPr>
  <dimension ref="A3:T280"/>
  <sheetViews>
    <sheetView showGridLines="0" topLeftCell="P267" workbookViewId="0">
      <selection activeCell="T271" sqref="T271"/>
    </sheetView>
  </sheetViews>
  <sheetFormatPr baseColWidth="10" defaultColWidth="9.26953125" defaultRowHeight="13"/>
  <cols>
    <col min="1" max="1" width="35" style="7" bestFit="1" customWidth="1"/>
    <col min="2" max="2" width="38.453125" style="7" customWidth="1"/>
    <col min="3" max="3" width="62" style="7" bestFit="1" customWidth="1"/>
    <col min="4" max="4" width="44.1796875" style="7" bestFit="1" customWidth="1"/>
    <col min="5" max="6" width="17.7265625" style="7" bestFit="1" customWidth="1"/>
    <col min="7" max="8" width="17" style="7" bestFit="1" customWidth="1"/>
    <col min="9" max="9" width="23.7265625" style="7" bestFit="1" customWidth="1"/>
    <col min="10" max="13" width="17" style="7" bestFit="1" customWidth="1"/>
    <col min="14" max="14" width="23.7265625" style="7" bestFit="1" customWidth="1"/>
    <col min="15" max="15" width="17" style="7" bestFit="1" customWidth="1"/>
    <col min="16" max="18" width="17.81640625" style="7" bestFit="1" customWidth="1"/>
    <col min="19" max="19" width="23.7265625" style="7" bestFit="1" customWidth="1"/>
    <col min="20" max="20" width="25.1796875" style="7" bestFit="1" customWidth="1"/>
    <col min="21" max="16384" width="9.26953125" style="7"/>
  </cols>
  <sheetData>
    <row r="3" spans="1:20">
      <c r="A3" s="1587" t="s">
        <v>487</v>
      </c>
      <c r="B3" s="1587" t="s">
        <v>488</v>
      </c>
      <c r="C3" s="1587" t="s">
        <v>2644</v>
      </c>
      <c r="D3" s="1587" t="s">
        <v>416</v>
      </c>
      <c r="E3" s="7" t="s">
        <v>2645</v>
      </c>
      <c r="F3" s="7" t="s">
        <v>2646</v>
      </c>
      <c r="G3" s="7" t="s">
        <v>2647</v>
      </c>
      <c r="H3" s="7" t="s">
        <v>2648</v>
      </c>
      <c r="I3" s="7" t="s">
        <v>2543</v>
      </c>
      <c r="J3" s="7" t="s">
        <v>2649</v>
      </c>
      <c r="K3" s="7" t="s">
        <v>2650</v>
      </c>
      <c r="L3" s="7" t="s">
        <v>2651</v>
      </c>
      <c r="M3" s="7" t="s">
        <v>2652</v>
      </c>
      <c r="N3" s="7" t="s">
        <v>2544</v>
      </c>
      <c r="O3" s="7" t="s">
        <v>2653</v>
      </c>
      <c r="P3" s="7" t="s">
        <v>2654</v>
      </c>
      <c r="Q3" s="7" t="s">
        <v>2655</v>
      </c>
      <c r="R3" s="7" t="s">
        <v>2656</v>
      </c>
      <c r="S3" s="7" t="s">
        <v>2545</v>
      </c>
      <c r="T3" s="7" t="s">
        <v>2546</v>
      </c>
    </row>
    <row r="4" spans="1:20">
      <c r="A4" s="7" t="s">
        <v>598</v>
      </c>
      <c r="B4" s="7" t="s">
        <v>599</v>
      </c>
      <c r="C4" s="7" t="s">
        <v>2567</v>
      </c>
      <c r="D4" s="7" t="s">
        <v>593</v>
      </c>
      <c r="E4" s="1589">
        <v>0</v>
      </c>
      <c r="F4" s="1589">
        <v>0</v>
      </c>
      <c r="G4" s="1589">
        <v>0</v>
      </c>
      <c r="H4" s="1589">
        <v>0</v>
      </c>
      <c r="I4" s="1589">
        <v>0</v>
      </c>
      <c r="J4" s="1589">
        <v>0</v>
      </c>
      <c r="K4" s="1589">
        <v>0</v>
      </c>
      <c r="L4" s="1589">
        <v>0</v>
      </c>
      <c r="M4" s="1589">
        <v>0</v>
      </c>
      <c r="N4" s="1589">
        <v>0</v>
      </c>
      <c r="O4" s="1589">
        <v>0</v>
      </c>
      <c r="P4" s="1589">
        <v>0</v>
      </c>
      <c r="Q4" s="1589">
        <v>0</v>
      </c>
      <c r="R4" s="1589">
        <v>0</v>
      </c>
      <c r="S4" s="1589">
        <v>0</v>
      </c>
      <c r="T4" s="1589">
        <v>0</v>
      </c>
    </row>
    <row r="5" spans="1:20">
      <c r="C5" s="7" t="s">
        <v>2562</v>
      </c>
      <c r="D5" s="7" t="s">
        <v>600</v>
      </c>
      <c r="E5" s="1589">
        <v>0</v>
      </c>
      <c r="F5" s="1589">
        <v>0</v>
      </c>
      <c r="G5" s="1589">
        <v>0</v>
      </c>
      <c r="H5" s="1589">
        <v>0</v>
      </c>
      <c r="I5" s="1589">
        <v>0</v>
      </c>
      <c r="J5" s="1589">
        <v>0</v>
      </c>
      <c r="K5" s="1589">
        <v>0</v>
      </c>
      <c r="L5" s="1589">
        <v>0</v>
      </c>
      <c r="M5" s="1589">
        <v>0</v>
      </c>
      <c r="N5" s="1589">
        <v>0</v>
      </c>
      <c r="O5" s="1589">
        <v>0</v>
      </c>
      <c r="P5" s="1589">
        <v>0</v>
      </c>
      <c r="Q5" s="1589">
        <v>0</v>
      </c>
      <c r="R5" s="1589">
        <v>0</v>
      </c>
      <c r="S5" s="1589">
        <v>0</v>
      </c>
      <c r="T5" s="1589">
        <v>0</v>
      </c>
    </row>
    <row r="6" spans="1:20">
      <c r="C6" s="7" t="s">
        <v>596</v>
      </c>
      <c r="D6" s="7" t="s">
        <v>597</v>
      </c>
      <c r="E6" s="1589">
        <v>0</v>
      </c>
      <c r="F6" s="1589">
        <v>0</v>
      </c>
      <c r="G6" s="1589">
        <v>0</v>
      </c>
      <c r="H6" s="1589">
        <v>0</v>
      </c>
      <c r="I6" s="1589">
        <v>0</v>
      </c>
      <c r="J6" s="1589">
        <v>0</v>
      </c>
      <c r="K6" s="1589">
        <v>0</v>
      </c>
      <c r="L6" s="1589">
        <v>0</v>
      </c>
      <c r="M6" s="1589">
        <v>0</v>
      </c>
      <c r="N6" s="1589">
        <v>0</v>
      </c>
      <c r="O6" s="1589">
        <v>0</v>
      </c>
      <c r="P6" s="1589">
        <v>0</v>
      </c>
      <c r="Q6" s="1589">
        <v>0</v>
      </c>
      <c r="R6" s="1589">
        <v>0</v>
      </c>
      <c r="S6" s="1589">
        <v>0</v>
      </c>
      <c r="T6" s="1589">
        <v>0</v>
      </c>
    </row>
    <row r="7" spans="1:20">
      <c r="C7" s="7" t="s">
        <v>594</v>
      </c>
      <c r="D7" s="7" t="s">
        <v>595</v>
      </c>
      <c r="E7" s="1589">
        <v>0</v>
      </c>
      <c r="F7" s="1589">
        <v>0</v>
      </c>
      <c r="G7" s="1589">
        <v>0</v>
      </c>
      <c r="H7" s="1589">
        <v>0</v>
      </c>
      <c r="I7" s="1589">
        <v>0</v>
      </c>
      <c r="J7" s="1589">
        <v>0</v>
      </c>
      <c r="K7" s="1589">
        <v>0</v>
      </c>
      <c r="L7" s="1589">
        <v>0</v>
      </c>
      <c r="M7" s="1589">
        <v>0</v>
      </c>
      <c r="N7" s="1589">
        <v>0</v>
      </c>
      <c r="O7" s="1589">
        <v>0</v>
      </c>
      <c r="P7" s="1589">
        <v>0</v>
      </c>
      <c r="Q7" s="1589">
        <v>0</v>
      </c>
      <c r="R7" s="1589">
        <v>0</v>
      </c>
      <c r="S7" s="1589">
        <v>0</v>
      </c>
      <c r="T7" s="1589">
        <v>0</v>
      </c>
    </row>
    <row r="8" spans="1:20">
      <c r="C8" s="7" t="s">
        <v>2563</v>
      </c>
      <c r="D8" s="7" t="s">
        <v>1896</v>
      </c>
      <c r="E8" s="1589">
        <v>0</v>
      </c>
      <c r="F8" s="1589">
        <v>0</v>
      </c>
      <c r="G8" s="1589">
        <v>0</v>
      </c>
      <c r="H8" s="1589">
        <v>0</v>
      </c>
      <c r="I8" s="1589">
        <v>0</v>
      </c>
      <c r="J8" s="1589">
        <v>0</v>
      </c>
      <c r="K8" s="1589">
        <v>0</v>
      </c>
      <c r="L8" s="1589">
        <v>0</v>
      </c>
      <c r="M8" s="1589">
        <v>0</v>
      </c>
      <c r="N8" s="1589">
        <v>0</v>
      </c>
      <c r="O8" s="1589">
        <v>0</v>
      </c>
      <c r="P8" s="1589">
        <v>0</v>
      </c>
      <c r="Q8" s="1589">
        <v>0</v>
      </c>
      <c r="R8" s="1589">
        <v>0</v>
      </c>
      <c r="S8" s="1589">
        <v>0</v>
      </c>
      <c r="T8" s="1589">
        <v>0</v>
      </c>
    </row>
    <row r="9" spans="1:20">
      <c r="C9" s="7" t="s">
        <v>1883</v>
      </c>
      <c r="D9" s="7" t="s">
        <v>586</v>
      </c>
      <c r="E9" s="1589">
        <v>0</v>
      </c>
      <c r="F9" s="1589">
        <v>0</v>
      </c>
      <c r="G9" s="1589">
        <v>0</v>
      </c>
      <c r="H9" s="1589">
        <v>0</v>
      </c>
      <c r="I9" s="1589">
        <v>0</v>
      </c>
      <c r="J9" s="1589">
        <v>0</v>
      </c>
      <c r="K9" s="1589">
        <v>0</v>
      </c>
      <c r="L9" s="1589">
        <v>0</v>
      </c>
      <c r="M9" s="1589">
        <v>0</v>
      </c>
      <c r="N9" s="1589">
        <v>0</v>
      </c>
      <c r="O9" s="1589">
        <v>0</v>
      </c>
      <c r="P9" s="1589">
        <v>0</v>
      </c>
      <c r="Q9" s="1589">
        <v>0</v>
      </c>
      <c r="R9" s="1589">
        <v>0</v>
      </c>
      <c r="S9" s="1589">
        <v>0</v>
      </c>
      <c r="T9" s="1589">
        <v>0</v>
      </c>
    </row>
    <row r="10" spans="1:20">
      <c r="C10" s="7" t="s">
        <v>602</v>
      </c>
      <c r="D10" s="7" t="s">
        <v>603</v>
      </c>
      <c r="E10" s="1589">
        <v>0</v>
      </c>
      <c r="F10" s="1589">
        <v>0</v>
      </c>
      <c r="G10" s="1589">
        <v>0</v>
      </c>
      <c r="H10" s="1589">
        <v>0</v>
      </c>
      <c r="I10" s="1589">
        <v>0</v>
      </c>
      <c r="J10" s="1589">
        <v>0</v>
      </c>
      <c r="K10" s="1589">
        <v>0</v>
      </c>
      <c r="L10" s="1589">
        <v>0</v>
      </c>
      <c r="M10" s="1589">
        <v>0</v>
      </c>
      <c r="N10" s="1589">
        <v>0</v>
      </c>
      <c r="O10" s="1589">
        <v>0</v>
      </c>
      <c r="P10" s="1589">
        <v>0</v>
      </c>
      <c r="Q10" s="1589">
        <v>0</v>
      </c>
      <c r="R10" s="1589">
        <v>0</v>
      </c>
      <c r="S10" s="1589">
        <v>0</v>
      </c>
      <c r="T10" s="1589">
        <v>0</v>
      </c>
    </row>
    <row r="11" spans="1:20">
      <c r="C11" s="7" t="s">
        <v>527</v>
      </c>
      <c r="D11" s="7" t="s">
        <v>528</v>
      </c>
      <c r="E11" s="1589">
        <v>0</v>
      </c>
      <c r="F11" s="1589">
        <v>0</v>
      </c>
      <c r="G11" s="1589">
        <v>0</v>
      </c>
      <c r="H11" s="1589">
        <v>0</v>
      </c>
      <c r="I11" s="1589">
        <v>0</v>
      </c>
      <c r="J11" s="1589">
        <v>0</v>
      </c>
      <c r="K11" s="1589">
        <v>0</v>
      </c>
      <c r="L11" s="1589">
        <v>0</v>
      </c>
      <c r="M11" s="1589">
        <v>0</v>
      </c>
      <c r="N11" s="1589">
        <v>0</v>
      </c>
      <c r="O11" s="1589">
        <v>0</v>
      </c>
      <c r="P11" s="1589">
        <v>0</v>
      </c>
      <c r="Q11" s="1589">
        <v>0</v>
      </c>
      <c r="R11" s="1589">
        <v>0</v>
      </c>
      <c r="S11" s="1589">
        <v>0</v>
      </c>
      <c r="T11" s="1589">
        <v>0</v>
      </c>
    </row>
    <row r="12" spans="1:20">
      <c r="D12" s="7" t="s">
        <v>530</v>
      </c>
      <c r="E12" s="1589">
        <v>0</v>
      </c>
      <c r="F12" s="1589">
        <v>0</v>
      </c>
      <c r="G12" s="1589">
        <v>0</v>
      </c>
      <c r="H12" s="1589">
        <v>0</v>
      </c>
      <c r="I12" s="1589">
        <v>0</v>
      </c>
      <c r="J12" s="1589">
        <v>0</v>
      </c>
      <c r="K12" s="1589">
        <v>0</v>
      </c>
      <c r="L12" s="1589">
        <v>0</v>
      </c>
      <c r="M12" s="1589">
        <v>0</v>
      </c>
      <c r="N12" s="1589">
        <v>0</v>
      </c>
      <c r="O12" s="1589">
        <v>0</v>
      </c>
      <c r="P12" s="1589">
        <v>0</v>
      </c>
      <c r="Q12" s="1589">
        <v>0</v>
      </c>
      <c r="R12" s="1589">
        <v>0</v>
      </c>
      <c r="S12" s="1589">
        <v>0</v>
      </c>
      <c r="T12" s="1589">
        <v>0</v>
      </c>
    </row>
    <row r="13" spans="1:20">
      <c r="D13" s="7" t="s">
        <v>532</v>
      </c>
      <c r="E13" s="1589">
        <v>0</v>
      </c>
      <c r="F13" s="1589">
        <v>0</v>
      </c>
      <c r="G13" s="1589">
        <v>0</v>
      </c>
      <c r="H13" s="1589">
        <v>0</v>
      </c>
      <c r="I13" s="1589">
        <v>0</v>
      </c>
      <c r="J13" s="1589">
        <v>0</v>
      </c>
      <c r="K13" s="1589">
        <v>0</v>
      </c>
      <c r="L13" s="1589">
        <v>0</v>
      </c>
      <c r="M13" s="1589">
        <v>0</v>
      </c>
      <c r="N13" s="1589">
        <v>0</v>
      </c>
      <c r="O13" s="1589">
        <v>0</v>
      </c>
      <c r="P13" s="1589">
        <v>0</v>
      </c>
      <c r="Q13" s="1589">
        <v>0</v>
      </c>
      <c r="R13" s="1589">
        <v>0</v>
      </c>
      <c r="S13" s="1589">
        <v>0</v>
      </c>
      <c r="T13" s="1589">
        <v>0</v>
      </c>
    </row>
    <row r="14" spans="1:20">
      <c r="D14" s="7" t="s">
        <v>534</v>
      </c>
      <c r="E14" s="1589">
        <v>0</v>
      </c>
      <c r="F14" s="1589">
        <v>0</v>
      </c>
      <c r="G14" s="1589">
        <v>0</v>
      </c>
      <c r="H14" s="1589">
        <v>0</v>
      </c>
      <c r="I14" s="1589">
        <v>0</v>
      </c>
      <c r="J14" s="1589">
        <v>0</v>
      </c>
      <c r="K14" s="1589">
        <v>0</v>
      </c>
      <c r="L14" s="1589">
        <v>0</v>
      </c>
      <c r="M14" s="1589">
        <v>0</v>
      </c>
      <c r="N14" s="1589">
        <v>0</v>
      </c>
      <c r="O14" s="1589">
        <v>0</v>
      </c>
      <c r="P14" s="1589">
        <v>0</v>
      </c>
      <c r="Q14" s="1589">
        <v>0</v>
      </c>
      <c r="R14" s="1589">
        <v>0</v>
      </c>
      <c r="S14" s="1589">
        <v>0</v>
      </c>
      <c r="T14" s="1589">
        <v>0</v>
      </c>
    </row>
    <row r="15" spans="1:20">
      <c r="D15" s="7" t="s">
        <v>536</v>
      </c>
      <c r="E15" s="1589">
        <v>0</v>
      </c>
      <c r="F15" s="1589">
        <v>0</v>
      </c>
      <c r="G15" s="1589">
        <v>0</v>
      </c>
      <c r="H15" s="1589">
        <v>0</v>
      </c>
      <c r="I15" s="1589">
        <v>0</v>
      </c>
      <c r="J15" s="1589">
        <v>0</v>
      </c>
      <c r="K15" s="1589">
        <v>0</v>
      </c>
      <c r="L15" s="1589">
        <v>0</v>
      </c>
      <c r="M15" s="1589">
        <v>0</v>
      </c>
      <c r="N15" s="1589">
        <v>0</v>
      </c>
      <c r="O15" s="1589">
        <v>0</v>
      </c>
      <c r="P15" s="1589">
        <v>0</v>
      </c>
      <c r="Q15" s="1589">
        <v>0</v>
      </c>
      <c r="R15" s="1589">
        <v>0</v>
      </c>
      <c r="S15" s="1589">
        <v>0</v>
      </c>
      <c r="T15" s="1589">
        <v>0</v>
      </c>
    </row>
    <row r="16" spans="1:20">
      <c r="D16" s="7" t="s">
        <v>538</v>
      </c>
      <c r="E16" s="1589">
        <v>0</v>
      </c>
      <c r="F16" s="1589">
        <v>0</v>
      </c>
      <c r="G16" s="1589">
        <v>0</v>
      </c>
      <c r="H16" s="1589">
        <v>0</v>
      </c>
      <c r="I16" s="1589">
        <v>0</v>
      </c>
      <c r="J16" s="1589">
        <v>0</v>
      </c>
      <c r="K16" s="1589">
        <v>0</v>
      </c>
      <c r="L16" s="1589">
        <v>0</v>
      </c>
      <c r="M16" s="1589">
        <v>0</v>
      </c>
      <c r="N16" s="1589">
        <v>0</v>
      </c>
      <c r="O16" s="1589">
        <v>0</v>
      </c>
      <c r="P16" s="1589">
        <v>0</v>
      </c>
      <c r="Q16" s="1589">
        <v>0</v>
      </c>
      <c r="R16" s="1589">
        <v>0</v>
      </c>
      <c r="S16" s="1589">
        <v>0</v>
      </c>
      <c r="T16" s="1589">
        <v>0</v>
      </c>
    </row>
    <row r="17" spans="2:20">
      <c r="D17" s="7" t="s">
        <v>540</v>
      </c>
      <c r="E17" s="1589">
        <v>0</v>
      </c>
      <c r="F17" s="1589">
        <v>0</v>
      </c>
      <c r="G17" s="1589">
        <v>0</v>
      </c>
      <c r="H17" s="1589">
        <v>0</v>
      </c>
      <c r="I17" s="1589">
        <v>0</v>
      </c>
      <c r="J17" s="1589">
        <v>0</v>
      </c>
      <c r="K17" s="1589">
        <v>0</v>
      </c>
      <c r="L17" s="1589">
        <v>0</v>
      </c>
      <c r="M17" s="1589">
        <v>0</v>
      </c>
      <c r="N17" s="1589">
        <v>0</v>
      </c>
      <c r="O17" s="1589">
        <v>0</v>
      </c>
      <c r="P17" s="1589">
        <v>0</v>
      </c>
      <c r="Q17" s="1589">
        <v>0</v>
      </c>
      <c r="R17" s="1589">
        <v>0</v>
      </c>
      <c r="S17" s="1589">
        <v>0</v>
      </c>
      <c r="T17" s="1589">
        <v>0</v>
      </c>
    </row>
    <row r="18" spans="2:20">
      <c r="B18" s="7" t="s">
        <v>606</v>
      </c>
      <c r="C18" s="7" t="s">
        <v>2562</v>
      </c>
      <c r="D18" s="7" t="s">
        <v>600</v>
      </c>
      <c r="E18" s="1589">
        <v>0</v>
      </c>
      <c r="F18" s="1589">
        <v>0</v>
      </c>
      <c r="G18" s="1589">
        <v>0</v>
      </c>
      <c r="H18" s="1589">
        <v>0</v>
      </c>
      <c r="I18" s="1589">
        <v>0</v>
      </c>
      <c r="J18" s="1589">
        <v>0</v>
      </c>
      <c r="K18" s="1589">
        <v>0</v>
      </c>
      <c r="L18" s="1589">
        <v>0</v>
      </c>
      <c r="M18" s="1589">
        <v>0</v>
      </c>
      <c r="N18" s="1589">
        <v>0</v>
      </c>
      <c r="O18" s="1589">
        <v>0</v>
      </c>
      <c r="P18" s="1589">
        <v>0</v>
      </c>
      <c r="Q18" s="1589">
        <v>0</v>
      </c>
      <c r="R18" s="1589">
        <v>0</v>
      </c>
      <c r="S18" s="1589">
        <v>0</v>
      </c>
      <c r="T18" s="1589">
        <v>0</v>
      </c>
    </row>
    <row r="19" spans="2:20">
      <c r="C19" s="7" t="s">
        <v>602</v>
      </c>
      <c r="D19" s="7" t="s">
        <v>603</v>
      </c>
      <c r="E19" s="1589">
        <v>0</v>
      </c>
      <c r="F19" s="1589">
        <v>0</v>
      </c>
      <c r="G19" s="1589">
        <v>0</v>
      </c>
      <c r="H19" s="1589">
        <v>0</v>
      </c>
      <c r="I19" s="1589">
        <v>0</v>
      </c>
      <c r="J19" s="1589">
        <v>0</v>
      </c>
      <c r="K19" s="1589">
        <v>0</v>
      </c>
      <c r="L19" s="1589">
        <v>0</v>
      </c>
      <c r="M19" s="1589">
        <v>0</v>
      </c>
      <c r="N19" s="1589">
        <v>0</v>
      </c>
      <c r="O19" s="1589">
        <v>0</v>
      </c>
      <c r="P19" s="1589">
        <v>0</v>
      </c>
      <c r="Q19" s="1589">
        <v>0</v>
      </c>
      <c r="R19" s="1589">
        <v>0</v>
      </c>
      <c r="S19" s="1589">
        <v>0</v>
      </c>
      <c r="T19" s="1589">
        <v>0</v>
      </c>
    </row>
    <row r="20" spans="2:20">
      <c r="C20" s="7" t="s">
        <v>527</v>
      </c>
      <c r="D20" s="7" t="s">
        <v>528</v>
      </c>
      <c r="E20" s="1589">
        <v>0</v>
      </c>
      <c r="F20" s="1589">
        <v>0</v>
      </c>
      <c r="G20" s="1589">
        <v>0</v>
      </c>
      <c r="H20" s="1589">
        <v>0</v>
      </c>
      <c r="I20" s="1589">
        <v>0</v>
      </c>
      <c r="J20" s="1589">
        <v>0</v>
      </c>
      <c r="K20" s="1589">
        <v>0</v>
      </c>
      <c r="L20" s="1589">
        <v>0</v>
      </c>
      <c r="M20" s="1589">
        <v>0</v>
      </c>
      <c r="N20" s="1589">
        <v>0</v>
      </c>
      <c r="O20" s="1589">
        <v>0</v>
      </c>
      <c r="P20" s="1589">
        <v>0</v>
      </c>
      <c r="Q20" s="1589">
        <v>0</v>
      </c>
      <c r="R20" s="1589">
        <v>0</v>
      </c>
      <c r="S20" s="1589">
        <v>0</v>
      </c>
      <c r="T20" s="1589">
        <v>0</v>
      </c>
    </row>
    <row r="21" spans="2:20">
      <c r="D21" s="7" t="s">
        <v>530</v>
      </c>
      <c r="E21" s="1589">
        <v>0</v>
      </c>
      <c r="F21" s="1589">
        <v>0</v>
      </c>
      <c r="G21" s="1589">
        <v>0</v>
      </c>
      <c r="H21" s="1589">
        <v>0</v>
      </c>
      <c r="I21" s="1589">
        <v>0</v>
      </c>
      <c r="J21" s="1589">
        <v>0</v>
      </c>
      <c r="K21" s="1589">
        <v>0</v>
      </c>
      <c r="L21" s="1589">
        <v>0</v>
      </c>
      <c r="M21" s="1589">
        <v>0</v>
      </c>
      <c r="N21" s="1589">
        <v>0</v>
      </c>
      <c r="O21" s="1589">
        <v>0</v>
      </c>
      <c r="P21" s="1589">
        <v>0</v>
      </c>
      <c r="Q21" s="1589">
        <v>0</v>
      </c>
      <c r="R21" s="1589">
        <v>0</v>
      </c>
      <c r="S21" s="1589">
        <v>0</v>
      </c>
      <c r="T21" s="1589">
        <v>0</v>
      </c>
    </row>
    <row r="22" spans="2:20">
      <c r="D22" s="7" t="s">
        <v>532</v>
      </c>
      <c r="E22" s="1589">
        <v>0</v>
      </c>
      <c r="F22" s="1589">
        <v>0</v>
      </c>
      <c r="G22" s="1589">
        <v>0</v>
      </c>
      <c r="H22" s="1589">
        <v>0</v>
      </c>
      <c r="I22" s="1589">
        <v>0</v>
      </c>
      <c r="J22" s="1589">
        <v>0</v>
      </c>
      <c r="K22" s="1589">
        <v>0</v>
      </c>
      <c r="L22" s="1589">
        <v>0</v>
      </c>
      <c r="M22" s="1589">
        <v>0</v>
      </c>
      <c r="N22" s="1589">
        <v>0</v>
      </c>
      <c r="O22" s="1589">
        <v>0</v>
      </c>
      <c r="P22" s="1589">
        <v>0</v>
      </c>
      <c r="Q22" s="1589">
        <v>0</v>
      </c>
      <c r="R22" s="1589">
        <v>0</v>
      </c>
      <c r="S22" s="1589">
        <v>0</v>
      </c>
      <c r="T22" s="1589">
        <v>0</v>
      </c>
    </row>
    <row r="23" spans="2:20">
      <c r="D23" s="7" t="s">
        <v>534</v>
      </c>
      <c r="E23" s="1589">
        <v>0</v>
      </c>
      <c r="F23" s="1589">
        <v>0</v>
      </c>
      <c r="G23" s="1589">
        <v>0</v>
      </c>
      <c r="H23" s="1589">
        <v>0</v>
      </c>
      <c r="I23" s="1589">
        <v>0</v>
      </c>
      <c r="J23" s="1589">
        <v>0</v>
      </c>
      <c r="K23" s="1589">
        <v>0</v>
      </c>
      <c r="L23" s="1589">
        <v>0</v>
      </c>
      <c r="M23" s="1589">
        <v>0</v>
      </c>
      <c r="N23" s="1589">
        <v>0</v>
      </c>
      <c r="O23" s="1589">
        <v>0</v>
      </c>
      <c r="P23" s="1589">
        <v>0</v>
      </c>
      <c r="Q23" s="1589">
        <v>0</v>
      </c>
      <c r="R23" s="1589">
        <v>0</v>
      </c>
      <c r="S23" s="1589">
        <v>0</v>
      </c>
      <c r="T23" s="1589">
        <v>0</v>
      </c>
    </row>
    <row r="24" spans="2:20">
      <c r="D24" s="7" t="s">
        <v>536</v>
      </c>
      <c r="E24" s="1589">
        <v>0</v>
      </c>
      <c r="F24" s="1589">
        <v>0</v>
      </c>
      <c r="G24" s="1589">
        <v>0</v>
      </c>
      <c r="H24" s="1589">
        <v>0</v>
      </c>
      <c r="I24" s="1589">
        <v>0</v>
      </c>
      <c r="J24" s="1589">
        <v>0</v>
      </c>
      <c r="K24" s="1589">
        <v>0</v>
      </c>
      <c r="L24" s="1589">
        <v>0</v>
      </c>
      <c r="M24" s="1589">
        <v>0</v>
      </c>
      <c r="N24" s="1589">
        <v>0</v>
      </c>
      <c r="O24" s="1589">
        <v>0</v>
      </c>
      <c r="P24" s="1589">
        <v>0</v>
      </c>
      <c r="Q24" s="1589">
        <v>0</v>
      </c>
      <c r="R24" s="1589">
        <v>0</v>
      </c>
      <c r="S24" s="1589">
        <v>0</v>
      </c>
      <c r="T24" s="1589">
        <v>0</v>
      </c>
    </row>
    <row r="25" spans="2:20">
      <c r="D25" s="7" t="s">
        <v>538</v>
      </c>
      <c r="E25" s="1589">
        <v>0</v>
      </c>
      <c r="F25" s="1589">
        <v>0</v>
      </c>
      <c r="G25" s="1589">
        <v>0</v>
      </c>
      <c r="H25" s="1589">
        <v>0</v>
      </c>
      <c r="I25" s="1589">
        <v>0</v>
      </c>
      <c r="J25" s="1589">
        <v>0</v>
      </c>
      <c r="K25" s="1589">
        <v>0</v>
      </c>
      <c r="L25" s="1589">
        <v>0</v>
      </c>
      <c r="M25" s="1589">
        <v>0</v>
      </c>
      <c r="N25" s="1589">
        <v>0</v>
      </c>
      <c r="O25" s="1589">
        <v>0</v>
      </c>
      <c r="P25" s="1589">
        <v>0</v>
      </c>
      <c r="Q25" s="1589">
        <v>0</v>
      </c>
      <c r="R25" s="1589">
        <v>0</v>
      </c>
      <c r="S25" s="1589">
        <v>0</v>
      </c>
      <c r="T25" s="1589">
        <v>0</v>
      </c>
    </row>
    <row r="26" spans="2:20">
      <c r="D26" s="7" t="s">
        <v>540</v>
      </c>
      <c r="E26" s="1589">
        <v>0</v>
      </c>
      <c r="F26" s="1589">
        <v>0</v>
      </c>
      <c r="G26" s="1589">
        <v>0</v>
      </c>
      <c r="H26" s="1589">
        <v>0</v>
      </c>
      <c r="I26" s="1589">
        <v>0</v>
      </c>
      <c r="J26" s="1589">
        <v>0</v>
      </c>
      <c r="K26" s="1589">
        <v>0</v>
      </c>
      <c r="L26" s="1589">
        <v>0</v>
      </c>
      <c r="M26" s="1589">
        <v>0</v>
      </c>
      <c r="N26" s="1589">
        <v>0</v>
      </c>
      <c r="O26" s="1589">
        <v>0</v>
      </c>
      <c r="P26" s="1589">
        <v>0</v>
      </c>
      <c r="Q26" s="1589">
        <v>0</v>
      </c>
      <c r="R26" s="1589">
        <v>0</v>
      </c>
      <c r="S26" s="1589">
        <v>0</v>
      </c>
      <c r="T26" s="1589">
        <v>0</v>
      </c>
    </row>
    <row r="27" spans="2:20">
      <c r="B27" s="7" t="s">
        <v>609</v>
      </c>
      <c r="C27" s="7" t="s">
        <v>2562</v>
      </c>
      <c r="D27" s="7" t="s">
        <v>600</v>
      </c>
      <c r="E27" s="1589">
        <v>0</v>
      </c>
      <c r="F27" s="1589">
        <v>0</v>
      </c>
      <c r="G27" s="1589">
        <v>0</v>
      </c>
      <c r="H27" s="1589">
        <v>0</v>
      </c>
      <c r="I27" s="1589">
        <v>0</v>
      </c>
      <c r="J27" s="1589">
        <v>0</v>
      </c>
      <c r="K27" s="1589">
        <v>0</v>
      </c>
      <c r="L27" s="1589">
        <v>0</v>
      </c>
      <c r="M27" s="1589">
        <v>0</v>
      </c>
      <c r="N27" s="1589">
        <v>0</v>
      </c>
      <c r="O27" s="1589">
        <v>0</v>
      </c>
      <c r="P27" s="1589">
        <v>0</v>
      </c>
      <c r="Q27" s="1589">
        <v>0</v>
      </c>
      <c r="R27" s="1589">
        <v>0</v>
      </c>
      <c r="S27" s="1589">
        <v>0</v>
      </c>
      <c r="T27" s="1589">
        <v>0</v>
      </c>
    </row>
    <row r="28" spans="2:20">
      <c r="C28" s="7" t="s">
        <v>602</v>
      </c>
      <c r="D28" s="7" t="s">
        <v>603</v>
      </c>
      <c r="E28" s="1589">
        <v>0</v>
      </c>
      <c r="F28" s="1589">
        <v>0</v>
      </c>
      <c r="G28" s="1589">
        <v>0</v>
      </c>
      <c r="H28" s="1589">
        <v>0</v>
      </c>
      <c r="I28" s="1589">
        <v>0</v>
      </c>
      <c r="J28" s="1589">
        <v>0</v>
      </c>
      <c r="K28" s="1589">
        <v>0</v>
      </c>
      <c r="L28" s="1589">
        <v>0</v>
      </c>
      <c r="M28" s="1589">
        <v>0</v>
      </c>
      <c r="N28" s="1589">
        <v>0</v>
      </c>
      <c r="O28" s="1589">
        <v>0</v>
      </c>
      <c r="P28" s="1589">
        <v>0</v>
      </c>
      <c r="Q28" s="1589">
        <v>0</v>
      </c>
      <c r="R28" s="1589">
        <v>0</v>
      </c>
      <c r="S28" s="1589">
        <v>0</v>
      </c>
      <c r="T28" s="1589">
        <v>0</v>
      </c>
    </row>
    <row r="29" spans="2:20">
      <c r="C29" s="7" t="s">
        <v>527</v>
      </c>
      <c r="D29" s="7" t="s">
        <v>528</v>
      </c>
      <c r="E29" s="1589">
        <v>0</v>
      </c>
      <c r="F29" s="1589">
        <v>0</v>
      </c>
      <c r="G29" s="1589">
        <v>0</v>
      </c>
      <c r="H29" s="1589">
        <v>0</v>
      </c>
      <c r="I29" s="1589">
        <v>0</v>
      </c>
      <c r="J29" s="1589">
        <v>0</v>
      </c>
      <c r="K29" s="1589">
        <v>0</v>
      </c>
      <c r="L29" s="1589">
        <v>0</v>
      </c>
      <c r="M29" s="1589">
        <v>0</v>
      </c>
      <c r="N29" s="1589">
        <v>0</v>
      </c>
      <c r="O29" s="1589">
        <v>0</v>
      </c>
      <c r="P29" s="1589">
        <v>0</v>
      </c>
      <c r="Q29" s="1589">
        <v>0</v>
      </c>
      <c r="R29" s="1589">
        <v>0</v>
      </c>
      <c r="S29" s="1589">
        <v>0</v>
      </c>
      <c r="T29" s="1589">
        <v>0</v>
      </c>
    </row>
    <row r="30" spans="2:20">
      <c r="D30" s="7" t="s">
        <v>530</v>
      </c>
      <c r="E30" s="1589">
        <v>0</v>
      </c>
      <c r="F30" s="1589">
        <v>0</v>
      </c>
      <c r="G30" s="1589">
        <v>0</v>
      </c>
      <c r="H30" s="1589">
        <v>0</v>
      </c>
      <c r="I30" s="1589">
        <v>0</v>
      </c>
      <c r="J30" s="1589">
        <v>0</v>
      </c>
      <c r="K30" s="1589">
        <v>0</v>
      </c>
      <c r="L30" s="1589">
        <v>0</v>
      </c>
      <c r="M30" s="1589">
        <v>0</v>
      </c>
      <c r="N30" s="1589">
        <v>0</v>
      </c>
      <c r="O30" s="1589">
        <v>0</v>
      </c>
      <c r="P30" s="1589">
        <v>0</v>
      </c>
      <c r="Q30" s="1589">
        <v>0</v>
      </c>
      <c r="R30" s="1589">
        <v>0</v>
      </c>
      <c r="S30" s="1589">
        <v>0</v>
      </c>
      <c r="T30" s="1589">
        <v>0</v>
      </c>
    </row>
    <row r="31" spans="2:20">
      <c r="D31" s="7" t="s">
        <v>532</v>
      </c>
      <c r="E31" s="1589">
        <v>0</v>
      </c>
      <c r="F31" s="1589">
        <v>0</v>
      </c>
      <c r="G31" s="1589">
        <v>0</v>
      </c>
      <c r="H31" s="1589">
        <v>0</v>
      </c>
      <c r="I31" s="1589">
        <v>0</v>
      </c>
      <c r="J31" s="1589">
        <v>0</v>
      </c>
      <c r="K31" s="1589">
        <v>0</v>
      </c>
      <c r="L31" s="1589">
        <v>0</v>
      </c>
      <c r="M31" s="1589">
        <v>0</v>
      </c>
      <c r="N31" s="1589">
        <v>0</v>
      </c>
      <c r="O31" s="1589">
        <v>0</v>
      </c>
      <c r="P31" s="1589">
        <v>0</v>
      </c>
      <c r="Q31" s="1589">
        <v>0</v>
      </c>
      <c r="R31" s="1589">
        <v>0</v>
      </c>
      <c r="S31" s="1589">
        <v>0</v>
      </c>
      <c r="T31" s="1589">
        <v>0</v>
      </c>
    </row>
    <row r="32" spans="2:20">
      <c r="D32" s="7" t="s">
        <v>534</v>
      </c>
      <c r="E32" s="1589">
        <v>0</v>
      </c>
      <c r="F32" s="1589">
        <v>0</v>
      </c>
      <c r="G32" s="1589">
        <v>0</v>
      </c>
      <c r="H32" s="1589">
        <v>0</v>
      </c>
      <c r="I32" s="1589">
        <v>0</v>
      </c>
      <c r="J32" s="1589">
        <v>0</v>
      </c>
      <c r="K32" s="1589">
        <v>0</v>
      </c>
      <c r="L32" s="1589">
        <v>0</v>
      </c>
      <c r="M32" s="1589">
        <v>0</v>
      </c>
      <c r="N32" s="1589">
        <v>0</v>
      </c>
      <c r="O32" s="1589">
        <v>0</v>
      </c>
      <c r="P32" s="1589">
        <v>0</v>
      </c>
      <c r="Q32" s="1589">
        <v>0</v>
      </c>
      <c r="R32" s="1589">
        <v>0</v>
      </c>
      <c r="S32" s="1589">
        <v>0</v>
      </c>
      <c r="T32" s="1589">
        <v>0</v>
      </c>
    </row>
    <row r="33" spans="1:20">
      <c r="D33" s="7" t="s">
        <v>536</v>
      </c>
      <c r="E33" s="1589">
        <v>0</v>
      </c>
      <c r="F33" s="1589">
        <v>0</v>
      </c>
      <c r="G33" s="1589">
        <v>0</v>
      </c>
      <c r="H33" s="1589">
        <v>0</v>
      </c>
      <c r="I33" s="1589">
        <v>0</v>
      </c>
      <c r="J33" s="1589">
        <v>0</v>
      </c>
      <c r="K33" s="1589">
        <v>0</v>
      </c>
      <c r="L33" s="1589">
        <v>0</v>
      </c>
      <c r="M33" s="1589">
        <v>0</v>
      </c>
      <c r="N33" s="1589">
        <v>0</v>
      </c>
      <c r="O33" s="1589">
        <v>0</v>
      </c>
      <c r="P33" s="1589">
        <v>0</v>
      </c>
      <c r="Q33" s="1589">
        <v>0</v>
      </c>
      <c r="R33" s="1589">
        <v>0</v>
      </c>
      <c r="S33" s="1589">
        <v>0</v>
      </c>
      <c r="T33" s="1589">
        <v>0</v>
      </c>
    </row>
    <row r="34" spans="1:20">
      <c r="D34" s="7" t="s">
        <v>538</v>
      </c>
      <c r="E34" s="1589">
        <v>0</v>
      </c>
      <c r="F34" s="1589">
        <v>0</v>
      </c>
      <c r="G34" s="1589">
        <v>0</v>
      </c>
      <c r="H34" s="1589">
        <v>0</v>
      </c>
      <c r="I34" s="1589">
        <v>0</v>
      </c>
      <c r="J34" s="1589">
        <v>0</v>
      </c>
      <c r="K34" s="1589">
        <v>0</v>
      </c>
      <c r="L34" s="1589">
        <v>0</v>
      </c>
      <c r="M34" s="1589">
        <v>0</v>
      </c>
      <c r="N34" s="1589">
        <v>0</v>
      </c>
      <c r="O34" s="1589">
        <v>0</v>
      </c>
      <c r="P34" s="1589">
        <v>0</v>
      </c>
      <c r="Q34" s="1589">
        <v>0</v>
      </c>
      <c r="R34" s="1589">
        <v>0</v>
      </c>
      <c r="S34" s="1589">
        <v>0</v>
      </c>
      <c r="T34" s="1589">
        <v>0</v>
      </c>
    </row>
    <row r="35" spans="1:20">
      <c r="D35" s="7" t="s">
        <v>540</v>
      </c>
      <c r="E35" s="1589">
        <v>0</v>
      </c>
      <c r="F35" s="1589">
        <v>0</v>
      </c>
      <c r="G35" s="1589">
        <v>0</v>
      </c>
      <c r="H35" s="1589">
        <v>0</v>
      </c>
      <c r="I35" s="1589">
        <v>0</v>
      </c>
      <c r="J35" s="1589">
        <v>0</v>
      </c>
      <c r="K35" s="1589">
        <v>0</v>
      </c>
      <c r="L35" s="1589">
        <v>0</v>
      </c>
      <c r="M35" s="1589">
        <v>0</v>
      </c>
      <c r="N35" s="1589">
        <v>0</v>
      </c>
      <c r="O35" s="1589">
        <v>0</v>
      </c>
      <c r="P35" s="1589">
        <v>0</v>
      </c>
      <c r="Q35" s="1589">
        <v>0</v>
      </c>
      <c r="R35" s="1589">
        <v>0</v>
      </c>
      <c r="S35" s="1589">
        <v>0</v>
      </c>
      <c r="T35" s="1589">
        <v>0</v>
      </c>
    </row>
    <row r="36" spans="1:20">
      <c r="A36" s="7" t="s">
        <v>672</v>
      </c>
      <c r="B36" s="7" t="s">
        <v>674</v>
      </c>
      <c r="C36" s="7" t="s">
        <v>2570</v>
      </c>
      <c r="D36" s="7" t="s">
        <v>603</v>
      </c>
      <c r="E36" s="1589">
        <v>0</v>
      </c>
      <c r="F36" s="1589">
        <v>0</v>
      </c>
      <c r="G36" s="1589">
        <v>0</v>
      </c>
      <c r="H36" s="1589">
        <v>0</v>
      </c>
      <c r="I36" s="1589">
        <v>0</v>
      </c>
      <c r="J36" s="1589">
        <v>0</v>
      </c>
      <c r="K36" s="1589">
        <v>0</v>
      </c>
      <c r="L36" s="1589">
        <v>0</v>
      </c>
      <c r="M36" s="1589">
        <v>0</v>
      </c>
      <c r="N36" s="1589">
        <v>0</v>
      </c>
      <c r="O36" s="1589">
        <v>0</v>
      </c>
      <c r="P36" s="1589">
        <v>0</v>
      </c>
      <c r="Q36" s="1589">
        <v>0</v>
      </c>
      <c r="R36" s="1589">
        <v>0</v>
      </c>
      <c r="S36" s="1589">
        <v>0</v>
      </c>
      <c r="T36" s="1589">
        <v>0</v>
      </c>
    </row>
    <row r="37" spans="1:20">
      <c r="C37" s="7" t="s">
        <v>527</v>
      </c>
      <c r="D37" s="7" t="s">
        <v>528</v>
      </c>
      <c r="E37" s="1589">
        <v>0</v>
      </c>
      <c r="F37" s="1589">
        <v>0</v>
      </c>
      <c r="G37" s="1589">
        <v>0</v>
      </c>
      <c r="H37" s="1589">
        <v>0</v>
      </c>
      <c r="I37" s="1589">
        <v>0</v>
      </c>
      <c r="J37" s="1589">
        <v>0</v>
      </c>
      <c r="K37" s="1589">
        <v>0</v>
      </c>
      <c r="L37" s="1589">
        <v>0</v>
      </c>
      <c r="M37" s="1589">
        <v>0</v>
      </c>
      <c r="N37" s="1589">
        <v>0</v>
      </c>
      <c r="O37" s="1589">
        <v>0</v>
      </c>
      <c r="P37" s="1589">
        <v>0</v>
      </c>
      <c r="Q37" s="1589">
        <v>0</v>
      </c>
      <c r="R37" s="1589">
        <v>0</v>
      </c>
      <c r="S37" s="1589">
        <v>0</v>
      </c>
      <c r="T37" s="1589">
        <v>0</v>
      </c>
    </row>
    <row r="38" spans="1:20">
      <c r="D38" s="7" t="s">
        <v>530</v>
      </c>
      <c r="E38" s="1589">
        <v>0</v>
      </c>
      <c r="F38" s="1589">
        <v>0</v>
      </c>
      <c r="G38" s="1589">
        <v>0</v>
      </c>
      <c r="H38" s="1589">
        <v>0</v>
      </c>
      <c r="I38" s="1589">
        <v>0</v>
      </c>
      <c r="J38" s="1589">
        <v>0</v>
      </c>
      <c r="K38" s="1589">
        <v>0</v>
      </c>
      <c r="L38" s="1589">
        <v>0</v>
      </c>
      <c r="M38" s="1589">
        <v>0</v>
      </c>
      <c r="N38" s="1589">
        <v>0</v>
      </c>
      <c r="O38" s="1589">
        <v>0</v>
      </c>
      <c r="P38" s="1589">
        <v>0</v>
      </c>
      <c r="Q38" s="1589">
        <v>0</v>
      </c>
      <c r="R38" s="1589">
        <v>0</v>
      </c>
      <c r="S38" s="1589">
        <v>0</v>
      </c>
      <c r="T38" s="1589">
        <v>0</v>
      </c>
    </row>
    <row r="39" spans="1:20">
      <c r="D39" s="7" t="s">
        <v>532</v>
      </c>
      <c r="E39" s="1589">
        <v>0</v>
      </c>
      <c r="F39" s="1589">
        <v>0</v>
      </c>
      <c r="G39" s="1589">
        <v>0</v>
      </c>
      <c r="H39" s="1589">
        <v>0</v>
      </c>
      <c r="I39" s="1589">
        <v>0</v>
      </c>
      <c r="J39" s="1589">
        <v>0</v>
      </c>
      <c r="K39" s="1589">
        <v>0</v>
      </c>
      <c r="L39" s="1589">
        <v>0</v>
      </c>
      <c r="M39" s="1589">
        <v>0</v>
      </c>
      <c r="N39" s="1589">
        <v>0</v>
      </c>
      <c r="O39" s="1589">
        <v>0</v>
      </c>
      <c r="P39" s="1589">
        <v>0</v>
      </c>
      <c r="Q39" s="1589">
        <v>0</v>
      </c>
      <c r="R39" s="1589">
        <v>0</v>
      </c>
      <c r="S39" s="1589">
        <v>0</v>
      </c>
      <c r="T39" s="1589">
        <v>0</v>
      </c>
    </row>
    <row r="40" spans="1:20">
      <c r="D40" s="7" t="s">
        <v>534</v>
      </c>
      <c r="E40" s="1589">
        <v>0</v>
      </c>
      <c r="F40" s="1589">
        <v>0</v>
      </c>
      <c r="G40" s="1589">
        <v>0</v>
      </c>
      <c r="H40" s="1589">
        <v>0</v>
      </c>
      <c r="I40" s="1589">
        <v>0</v>
      </c>
      <c r="J40" s="1589">
        <v>0</v>
      </c>
      <c r="K40" s="1589">
        <v>0</v>
      </c>
      <c r="L40" s="1589">
        <v>0</v>
      </c>
      <c r="M40" s="1589">
        <v>0</v>
      </c>
      <c r="N40" s="1589">
        <v>0</v>
      </c>
      <c r="O40" s="1589">
        <v>0</v>
      </c>
      <c r="P40" s="1589">
        <v>0</v>
      </c>
      <c r="Q40" s="1589">
        <v>0</v>
      </c>
      <c r="R40" s="1589">
        <v>0</v>
      </c>
      <c r="S40" s="1589">
        <v>0</v>
      </c>
      <c r="T40" s="1589">
        <v>0</v>
      </c>
    </row>
    <row r="41" spans="1:20">
      <c r="D41" s="7" t="s">
        <v>536</v>
      </c>
      <c r="E41" s="1589">
        <v>0</v>
      </c>
      <c r="F41" s="1589">
        <v>0</v>
      </c>
      <c r="G41" s="1589">
        <v>0</v>
      </c>
      <c r="H41" s="1589">
        <v>0</v>
      </c>
      <c r="I41" s="1589">
        <v>0</v>
      </c>
      <c r="J41" s="1589">
        <v>0</v>
      </c>
      <c r="K41" s="1589">
        <v>0</v>
      </c>
      <c r="L41" s="1589">
        <v>0</v>
      </c>
      <c r="M41" s="1589">
        <v>0</v>
      </c>
      <c r="N41" s="1589">
        <v>0</v>
      </c>
      <c r="O41" s="1589">
        <v>0</v>
      </c>
      <c r="P41" s="1589">
        <v>0</v>
      </c>
      <c r="Q41" s="1589">
        <v>0</v>
      </c>
      <c r="R41" s="1589">
        <v>0</v>
      </c>
      <c r="S41" s="1589">
        <v>0</v>
      </c>
      <c r="T41" s="1589">
        <v>0</v>
      </c>
    </row>
    <row r="42" spans="1:20">
      <c r="D42" s="7" t="s">
        <v>538</v>
      </c>
      <c r="E42" s="1589">
        <v>0</v>
      </c>
      <c r="F42" s="1589">
        <v>0</v>
      </c>
      <c r="G42" s="1589">
        <v>0</v>
      </c>
      <c r="H42" s="1589">
        <v>0</v>
      </c>
      <c r="I42" s="1589">
        <v>0</v>
      </c>
      <c r="J42" s="1589">
        <v>0</v>
      </c>
      <c r="K42" s="1589">
        <v>0</v>
      </c>
      <c r="L42" s="1589">
        <v>0</v>
      </c>
      <c r="M42" s="1589">
        <v>0</v>
      </c>
      <c r="N42" s="1589">
        <v>0</v>
      </c>
      <c r="O42" s="1589">
        <v>0</v>
      </c>
      <c r="P42" s="1589">
        <v>0</v>
      </c>
      <c r="Q42" s="1589">
        <v>0</v>
      </c>
      <c r="R42" s="1589">
        <v>0</v>
      </c>
      <c r="S42" s="1589">
        <v>0</v>
      </c>
      <c r="T42" s="1589">
        <v>0</v>
      </c>
    </row>
    <row r="43" spans="1:20">
      <c r="D43" s="7" t="s">
        <v>540</v>
      </c>
      <c r="E43" s="1589">
        <v>0</v>
      </c>
      <c r="F43" s="1589">
        <v>0</v>
      </c>
      <c r="G43" s="1589">
        <v>0</v>
      </c>
      <c r="H43" s="1589">
        <v>0</v>
      </c>
      <c r="I43" s="1589">
        <v>0</v>
      </c>
      <c r="J43" s="1589">
        <v>0</v>
      </c>
      <c r="K43" s="1589">
        <v>0</v>
      </c>
      <c r="L43" s="1589">
        <v>0</v>
      </c>
      <c r="M43" s="1589">
        <v>0</v>
      </c>
      <c r="N43" s="1589">
        <v>0</v>
      </c>
      <c r="O43" s="1589">
        <v>0</v>
      </c>
      <c r="P43" s="1589">
        <v>0</v>
      </c>
      <c r="Q43" s="1589">
        <v>0</v>
      </c>
      <c r="R43" s="1589">
        <v>0</v>
      </c>
      <c r="S43" s="1589">
        <v>0</v>
      </c>
      <c r="T43" s="1589">
        <v>0</v>
      </c>
    </row>
    <row r="44" spans="1:20">
      <c r="B44" s="7" t="s">
        <v>673</v>
      </c>
      <c r="C44" s="7" t="s">
        <v>2570</v>
      </c>
      <c r="D44" s="7" t="s">
        <v>603</v>
      </c>
      <c r="E44" s="1589">
        <v>0</v>
      </c>
      <c r="F44" s="1589">
        <v>125386.8684454</v>
      </c>
      <c r="G44" s="1589">
        <v>0</v>
      </c>
      <c r="H44" s="1589">
        <v>0</v>
      </c>
      <c r="I44" s="1589">
        <v>125386.8684454</v>
      </c>
      <c r="J44" s="1589">
        <v>0</v>
      </c>
      <c r="K44" s="1589">
        <v>130947.31485171981</v>
      </c>
      <c r="L44" s="1589">
        <v>0</v>
      </c>
      <c r="M44" s="1589">
        <v>0</v>
      </c>
      <c r="N44" s="1589">
        <v>130947.31485171981</v>
      </c>
      <c r="O44" s="1589">
        <v>0</v>
      </c>
      <c r="P44" s="1589">
        <v>139387.49643254181</v>
      </c>
      <c r="Q44" s="1589">
        <v>0</v>
      </c>
      <c r="R44" s="1589">
        <v>0</v>
      </c>
      <c r="S44" s="1589">
        <v>139387.49643254181</v>
      </c>
      <c r="T44" s="1589">
        <v>395721.67972966167</v>
      </c>
    </row>
    <row r="45" spans="1:20">
      <c r="C45" s="7" t="s">
        <v>527</v>
      </c>
      <c r="D45" s="7" t="s">
        <v>528</v>
      </c>
      <c r="E45" s="1589">
        <v>0</v>
      </c>
      <c r="F45" s="1589">
        <v>7523.2121067239996</v>
      </c>
      <c r="G45" s="1589">
        <v>0</v>
      </c>
      <c r="H45" s="1589">
        <v>0</v>
      </c>
      <c r="I45" s="1589">
        <v>7523.2121067239996</v>
      </c>
      <c r="J45" s="1589">
        <v>0</v>
      </c>
      <c r="K45" s="1589">
        <v>7856.8388911031889</v>
      </c>
      <c r="L45" s="1589">
        <v>0</v>
      </c>
      <c r="M45" s="1589">
        <v>0</v>
      </c>
      <c r="N45" s="1589">
        <v>7856.8388911031889</v>
      </c>
      <c r="O45" s="1589">
        <v>0</v>
      </c>
      <c r="P45" s="1589">
        <v>8363.2497859525083</v>
      </c>
      <c r="Q45" s="1589">
        <v>0</v>
      </c>
      <c r="R45" s="1589">
        <v>0</v>
      </c>
      <c r="S45" s="1589">
        <v>8363.2497859525083</v>
      </c>
      <c r="T45" s="1589">
        <v>23743.300783779698</v>
      </c>
    </row>
    <row r="46" spans="1:20">
      <c r="D46" s="7" t="s">
        <v>530</v>
      </c>
      <c r="E46" s="1589">
        <v>0</v>
      </c>
      <c r="F46" s="1589">
        <v>1.2538686844540001E-11</v>
      </c>
      <c r="G46" s="1589">
        <v>0</v>
      </c>
      <c r="H46" s="1589">
        <v>0</v>
      </c>
      <c r="I46" s="1589">
        <v>1.2538686844540001E-11</v>
      </c>
      <c r="J46" s="1589">
        <v>0</v>
      </c>
      <c r="K46" s="1589">
        <v>1.3094731485171981E-11</v>
      </c>
      <c r="L46" s="1589">
        <v>0</v>
      </c>
      <c r="M46" s="1589">
        <v>0</v>
      </c>
      <c r="N46" s="1589">
        <v>1.3094731485171981E-11</v>
      </c>
      <c r="O46" s="1589">
        <v>0</v>
      </c>
      <c r="P46" s="1589">
        <v>1.3938749643254178E-11</v>
      </c>
      <c r="Q46" s="1589">
        <v>0</v>
      </c>
      <c r="R46" s="1589">
        <v>0</v>
      </c>
      <c r="S46" s="1589">
        <v>1.3938749643254178E-11</v>
      </c>
      <c r="T46" s="1589">
        <v>3.9572167972966157E-11</v>
      </c>
    </row>
    <row r="47" spans="1:20">
      <c r="D47" s="7" t="s">
        <v>532</v>
      </c>
      <c r="E47" s="1589">
        <v>0</v>
      </c>
      <c r="F47" s="1589">
        <v>0</v>
      </c>
      <c r="G47" s="1589">
        <v>0</v>
      </c>
      <c r="H47" s="1589">
        <v>0</v>
      </c>
      <c r="I47" s="1589">
        <v>0</v>
      </c>
      <c r="J47" s="1589">
        <v>0</v>
      </c>
      <c r="K47" s="1589">
        <v>0</v>
      </c>
      <c r="L47" s="1589">
        <v>0</v>
      </c>
      <c r="M47" s="1589">
        <v>0</v>
      </c>
      <c r="N47" s="1589">
        <v>0</v>
      </c>
      <c r="O47" s="1589">
        <v>0</v>
      </c>
      <c r="P47" s="1589">
        <v>0</v>
      </c>
      <c r="Q47" s="1589">
        <v>0</v>
      </c>
      <c r="R47" s="1589">
        <v>0</v>
      </c>
      <c r="S47" s="1589">
        <v>0</v>
      </c>
      <c r="T47" s="1589">
        <v>0</v>
      </c>
    </row>
    <row r="48" spans="1:20">
      <c r="D48" s="7" t="s">
        <v>534</v>
      </c>
      <c r="E48" s="1589">
        <v>0</v>
      </c>
      <c r="F48" s="1589">
        <v>0</v>
      </c>
      <c r="G48" s="1589">
        <v>0</v>
      </c>
      <c r="H48" s="1589">
        <v>0</v>
      </c>
      <c r="I48" s="1589">
        <v>0</v>
      </c>
      <c r="J48" s="1589">
        <v>0</v>
      </c>
      <c r="K48" s="1589">
        <v>0</v>
      </c>
      <c r="L48" s="1589">
        <v>0</v>
      </c>
      <c r="M48" s="1589">
        <v>0</v>
      </c>
      <c r="N48" s="1589">
        <v>0</v>
      </c>
      <c r="O48" s="1589">
        <v>0</v>
      </c>
      <c r="P48" s="1589">
        <v>0</v>
      </c>
      <c r="Q48" s="1589">
        <v>0</v>
      </c>
      <c r="R48" s="1589">
        <v>0</v>
      </c>
      <c r="S48" s="1589">
        <v>0</v>
      </c>
      <c r="T48" s="1589">
        <v>0</v>
      </c>
    </row>
    <row r="49" spans="1:20">
      <c r="D49" s="7" t="s">
        <v>536</v>
      </c>
      <c r="E49" s="1589">
        <v>0</v>
      </c>
      <c r="F49" s="1589">
        <v>0</v>
      </c>
      <c r="G49" s="1589">
        <v>0</v>
      </c>
      <c r="H49" s="1589">
        <v>0</v>
      </c>
      <c r="I49" s="1589">
        <v>0</v>
      </c>
      <c r="J49" s="1589">
        <v>0</v>
      </c>
      <c r="K49" s="1589">
        <v>0</v>
      </c>
      <c r="L49" s="1589">
        <v>0</v>
      </c>
      <c r="M49" s="1589">
        <v>0</v>
      </c>
      <c r="N49" s="1589">
        <v>0</v>
      </c>
      <c r="O49" s="1589">
        <v>0</v>
      </c>
      <c r="P49" s="1589">
        <v>0</v>
      </c>
      <c r="Q49" s="1589">
        <v>0</v>
      </c>
      <c r="R49" s="1589">
        <v>0</v>
      </c>
      <c r="S49" s="1589">
        <v>0</v>
      </c>
      <c r="T49" s="1589">
        <v>0</v>
      </c>
    </row>
    <row r="50" spans="1:20">
      <c r="D50" s="7" t="s">
        <v>538</v>
      </c>
      <c r="E50" s="1589">
        <v>0</v>
      </c>
      <c r="F50" s="1589">
        <v>0</v>
      </c>
      <c r="G50" s="1589">
        <v>0</v>
      </c>
      <c r="H50" s="1589">
        <v>0</v>
      </c>
      <c r="I50" s="1589">
        <v>0</v>
      </c>
      <c r="J50" s="1589">
        <v>0</v>
      </c>
      <c r="K50" s="1589">
        <v>0</v>
      </c>
      <c r="L50" s="1589">
        <v>0</v>
      </c>
      <c r="M50" s="1589">
        <v>0</v>
      </c>
      <c r="N50" s="1589">
        <v>0</v>
      </c>
      <c r="O50" s="1589">
        <v>0</v>
      </c>
      <c r="P50" s="1589">
        <v>0</v>
      </c>
      <c r="Q50" s="1589">
        <v>0</v>
      </c>
      <c r="R50" s="1589">
        <v>0</v>
      </c>
      <c r="S50" s="1589">
        <v>0</v>
      </c>
      <c r="T50" s="1589">
        <v>0</v>
      </c>
    </row>
    <row r="51" spans="1:20">
      <c r="D51" s="7" t="s">
        <v>540</v>
      </c>
      <c r="E51" s="1589">
        <v>0</v>
      </c>
      <c r="F51" s="1589">
        <v>0</v>
      </c>
      <c r="G51" s="1589">
        <v>0</v>
      </c>
      <c r="H51" s="1589">
        <v>0</v>
      </c>
      <c r="I51" s="1589">
        <v>0</v>
      </c>
      <c r="J51" s="1589">
        <v>0</v>
      </c>
      <c r="K51" s="1589">
        <v>0</v>
      </c>
      <c r="L51" s="1589">
        <v>0</v>
      </c>
      <c r="M51" s="1589">
        <v>0</v>
      </c>
      <c r="N51" s="1589">
        <v>0</v>
      </c>
      <c r="O51" s="1589">
        <v>0</v>
      </c>
      <c r="P51" s="1589">
        <v>0</v>
      </c>
      <c r="Q51" s="1589">
        <v>0</v>
      </c>
      <c r="R51" s="1589">
        <v>0</v>
      </c>
      <c r="S51" s="1589">
        <v>0</v>
      </c>
      <c r="T51" s="1589">
        <v>0</v>
      </c>
    </row>
    <row r="52" spans="1:20">
      <c r="B52" s="7" t="s">
        <v>675</v>
      </c>
      <c r="C52" s="7" t="s">
        <v>2570</v>
      </c>
      <c r="D52" s="7" t="s">
        <v>603</v>
      </c>
      <c r="E52" s="1589">
        <v>0</v>
      </c>
      <c r="F52" s="1589">
        <v>26479.7349546</v>
      </c>
      <c r="G52" s="1589">
        <v>0</v>
      </c>
      <c r="H52" s="1589">
        <v>0</v>
      </c>
      <c r="I52" s="1589">
        <v>26479.7349546</v>
      </c>
      <c r="J52" s="1589">
        <v>0</v>
      </c>
      <c r="K52" s="1589">
        <v>27664.210857280199</v>
      </c>
      <c r="L52" s="1589">
        <v>0</v>
      </c>
      <c r="M52" s="1589">
        <v>0</v>
      </c>
      <c r="N52" s="1589">
        <v>27664.210857280199</v>
      </c>
      <c r="O52" s="1589">
        <v>0</v>
      </c>
      <c r="P52" s="1589">
        <v>29444.248886458201</v>
      </c>
      <c r="Q52" s="1589">
        <v>0</v>
      </c>
      <c r="R52" s="1589">
        <v>0</v>
      </c>
      <c r="S52" s="1589">
        <v>29444.248886458201</v>
      </c>
      <c r="T52" s="1589">
        <v>83588.194698338397</v>
      </c>
    </row>
    <row r="53" spans="1:20">
      <c r="C53" s="7" t="s">
        <v>527</v>
      </c>
      <c r="D53" s="7" t="s">
        <v>528</v>
      </c>
      <c r="E53" s="1589">
        <v>0</v>
      </c>
      <c r="F53" s="1589">
        <v>1588.7840972759998</v>
      </c>
      <c r="G53" s="1589">
        <v>0</v>
      </c>
      <c r="H53" s="1589">
        <v>0</v>
      </c>
      <c r="I53" s="1589">
        <v>1588.7840972759998</v>
      </c>
      <c r="J53" s="1589">
        <v>0</v>
      </c>
      <c r="K53" s="1589">
        <v>1659.8526514368118</v>
      </c>
      <c r="L53" s="1589">
        <v>0</v>
      </c>
      <c r="M53" s="1589">
        <v>0</v>
      </c>
      <c r="N53" s="1589">
        <v>1659.8526514368118</v>
      </c>
      <c r="O53" s="1589">
        <v>0</v>
      </c>
      <c r="P53" s="1589">
        <v>1766.6549331874921</v>
      </c>
      <c r="Q53" s="1589">
        <v>0</v>
      </c>
      <c r="R53" s="1589">
        <v>0</v>
      </c>
      <c r="S53" s="1589">
        <v>1766.6549331874921</v>
      </c>
      <c r="T53" s="1589">
        <v>5015.291681900304</v>
      </c>
    </row>
    <row r="54" spans="1:20">
      <c r="D54" s="7" t="s">
        <v>530</v>
      </c>
      <c r="E54" s="1589">
        <v>0</v>
      </c>
      <c r="F54" s="1589">
        <v>2.6479734954599999E-12</v>
      </c>
      <c r="G54" s="1589">
        <v>0</v>
      </c>
      <c r="H54" s="1589">
        <v>0</v>
      </c>
      <c r="I54" s="1589">
        <v>2.6479734954599999E-12</v>
      </c>
      <c r="J54" s="1589">
        <v>0</v>
      </c>
      <c r="K54" s="1589">
        <v>2.7664210857280201E-12</v>
      </c>
      <c r="L54" s="1589">
        <v>0</v>
      </c>
      <c r="M54" s="1589">
        <v>0</v>
      </c>
      <c r="N54" s="1589">
        <v>2.7664210857280201E-12</v>
      </c>
      <c r="O54" s="1589">
        <v>0</v>
      </c>
      <c r="P54" s="1589">
        <v>2.9444248886458197E-12</v>
      </c>
      <c r="Q54" s="1589">
        <v>0</v>
      </c>
      <c r="R54" s="1589">
        <v>0</v>
      </c>
      <c r="S54" s="1589">
        <v>2.9444248886458197E-12</v>
      </c>
      <c r="T54" s="1589">
        <v>8.3588194698338389E-12</v>
      </c>
    </row>
    <row r="55" spans="1:20">
      <c r="D55" s="7" t="s">
        <v>532</v>
      </c>
      <c r="E55" s="1589">
        <v>0</v>
      </c>
      <c r="F55" s="1589">
        <v>0</v>
      </c>
      <c r="G55" s="1589">
        <v>0</v>
      </c>
      <c r="H55" s="1589">
        <v>0</v>
      </c>
      <c r="I55" s="1589">
        <v>0</v>
      </c>
      <c r="J55" s="1589">
        <v>0</v>
      </c>
      <c r="K55" s="1589">
        <v>0</v>
      </c>
      <c r="L55" s="1589">
        <v>0</v>
      </c>
      <c r="M55" s="1589">
        <v>0</v>
      </c>
      <c r="N55" s="1589">
        <v>0</v>
      </c>
      <c r="O55" s="1589">
        <v>0</v>
      </c>
      <c r="P55" s="1589">
        <v>0</v>
      </c>
      <c r="Q55" s="1589">
        <v>0</v>
      </c>
      <c r="R55" s="1589">
        <v>0</v>
      </c>
      <c r="S55" s="1589">
        <v>0</v>
      </c>
      <c r="T55" s="1589">
        <v>0</v>
      </c>
    </row>
    <row r="56" spans="1:20">
      <c r="D56" s="7" t="s">
        <v>534</v>
      </c>
      <c r="E56" s="1589">
        <v>0</v>
      </c>
      <c r="F56" s="1589">
        <v>0</v>
      </c>
      <c r="G56" s="1589">
        <v>0</v>
      </c>
      <c r="H56" s="1589">
        <v>0</v>
      </c>
      <c r="I56" s="1589">
        <v>0</v>
      </c>
      <c r="J56" s="1589">
        <v>0</v>
      </c>
      <c r="K56" s="1589">
        <v>0</v>
      </c>
      <c r="L56" s="1589">
        <v>0</v>
      </c>
      <c r="M56" s="1589">
        <v>0</v>
      </c>
      <c r="N56" s="1589">
        <v>0</v>
      </c>
      <c r="O56" s="1589">
        <v>0</v>
      </c>
      <c r="P56" s="1589">
        <v>0</v>
      </c>
      <c r="Q56" s="1589">
        <v>0</v>
      </c>
      <c r="R56" s="1589">
        <v>0</v>
      </c>
      <c r="S56" s="1589">
        <v>0</v>
      </c>
      <c r="T56" s="1589">
        <v>0</v>
      </c>
    </row>
    <row r="57" spans="1:20">
      <c r="D57" s="7" t="s">
        <v>536</v>
      </c>
      <c r="E57" s="1589">
        <v>0</v>
      </c>
      <c r="F57" s="1589">
        <v>0</v>
      </c>
      <c r="G57" s="1589">
        <v>0</v>
      </c>
      <c r="H57" s="1589">
        <v>0</v>
      </c>
      <c r="I57" s="1589">
        <v>0</v>
      </c>
      <c r="J57" s="1589">
        <v>0</v>
      </c>
      <c r="K57" s="1589">
        <v>0</v>
      </c>
      <c r="L57" s="1589">
        <v>0</v>
      </c>
      <c r="M57" s="1589">
        <v>0</v>
      </c>
      <c r="N57" s="1589">
        <v>0</v>
      </c>
      <c r="O57" s="1589">
        <v>0</v>
      </c>
      <c r="P57" s="1589">
        <v>0</v>
      </c>
      <c r="Q57" s="1589">
        <v>0</v>
      </c>
      <c r="R57" s="1589">
        <v>0</v>
      </c>
      <c r="S57" s="1589">
        <v>0</v>
      </c>
      <c r="T57" s="1589">
        <v>0</v>
      </c>
    </row>
    <row r="58" spans="1:20">
      <c r="D58" s="7" t="s">
        <v>538</v>
      </c>
      <c r="E58" s="1589">
        <v>0</v>
      </c>
      <c r="F58" s="1589">
        <v>0</v>
      </c>
      <c r="G58" s="1589">
        <v>0</v>
      </c>
      <c r="H58" s="1589">
        <v>0</v>
      </c>
      <c r="I58" s="1589">
        <v>0</v>
      </c>
      <c r="J58" s="1589">
        <v>0</v>
      </c>
      <c r="K58" s="1589">
        <v>0</v>
      </c>
      <c r="L58" s="1589">
        <v>0</v>
      </c>
      <c r="M58" s="1589">
        <v>0</v>
      </c>
      <c r="N58" s="1589">
        <v>0</v>
      </c>
      <c r="O58" s="1589">
        <v>0</v>
      </c>
      <c r="P58" s="1589">
        <v>0</v>
      </c>
      <c r="Q58" s="1589">
        <v>0</v>
      </c>
      <c r="R58" s="1589">
        <v>0</v>
      </c>
      <c r="S58" s="1589">
        <v>0</v>
      </c>
      <c r="T58" s="1589">
        <v>0</v>
      </c>
    </row>
    <row r="59" spans="1:20">
      <c r="D59" s="7" t="s">
        <v>540</v>
      </c>
      <c r="E59" s="1589">
        <v>0</v>
      </c>
      <c r="F59" s="1589">
        <v>0</v>
      </c>
      <c r="G59" s="1589">
        <v>0</v>
      </c>
      <c r="H59" s="1589">
        <v>0</v>
      </c>
      <c r="I59" s="1589">
        <v>0</v>
      </c>
      <c r="J59" s="1589">
        <v>0</v>
      </c>
      <c r="K59" s="1589">
        <v>0</v>
      </c>
      <c r="L59" s="1589">
        <v>0</v>
      </c>
      <c r="M59" s="1589">
        <v>0</v>
      </c>
      <c r="N59" s="1589">
        <v>0</v>
      </c>
      <c r="O59" s="1589">
        <v>0</v>
      </c>
      <c r="P59" s="1589">
        <v>0</v>
      </c>
      <c r="Q59" s="1589">
        <v>0</v>
      </c>
      <c r="R59" s="1589">
        <v>0</v>
      </c>
      <c r="S59" s="1589">
        <v>0</v>
      </c>
      <c r="T59" s="1589">
        <v>0</v>
      </c>
    </row>
    <row r="60" spans="1:20">
      <c r="A60" s="7" t="s">
        <v>657</v>
      </c>
      <c r="B60" s="7" t="s">
        <v>658</v>
      </c>
      <c r="C60" s="7" t="s">
        <v>2567</v>
      </c>
      <c r="D60" s="7" t="s">
        <v>593</v>
      </c>
      <c r="E60" s="1589">
        <v>0</v>
      </c>
      <c r="F60" s="1589">
        <v>0</v>
      </c>
      <c r="G60" s="1589">
        <v>0</v>
      </c>
      <c r="H60" s="1589">
        <v>0</v>
      </c>
      <c r="I60" s="1589">
        <v>0</v>
      </c>
      <c r="J60" s="1589">
        <v>0</v>
      </c>
      <c r="K60" s="1589">
        <v>0</v>
      </c>
      <c r="L60" s="1589">
        <v>0</v>
      </c>
      <c r="M60" s="1589">
        <v>0</v>
      </c>
      <c r="N60" s="1589">
        <v>0</v>
      </c>
      <c r="O60" s="1589">
        <v>0</v>
      </c>
      <c r="P60" s="1589">
        <v>0</v>
      </c>
      <c r="Q60" s="1589">
        <v>0</v>
      </c>
      <c r="R60" s="1589">
        <v>0</v>
      </c>
      <c r="S60" s="1589">
        <v>0</v>
      </c>
      <c r="T60" s="1589">
        <v>0</v>
      </c>
    </row>
    <row r="61" spans="1:20">
      <c r="C61" s="7" t="s">
        <v>596</v>
      </c>
      <c r="D61" s="7" t="s">
        <v>597</v>
      </c>
      <c r="E61" s="1589">
        <v>0</v>
      </c>
      <c r="F61" s="1589">
        <v>0</v>
      </c>
      <c r="G61" s="1589">
        <v>0</v>
      </c>
      <c r="H61" s="1589">
        <v>0</v>
      </c>
      <c r="I61" s="1589">
        <v>0</v>
      </c>
      <c r="J61" s="1589">
        <v>0</v>
      </c>
      <c r="K61" s="1589">
        <v>0</v>
      </c>
      <c r="L61" s="1589">
        <v>0</v>
      </c>
      <c r="M61" s="1589">
        <v>0</v>
      </c>
      <c r="N61" s="1589">
        <v>0</v>
      </c>
      <c r="O61" s="1589">
        <v>0</v>
      </c>
      <c r="P61" s="1589">
        <v>0</v>
      </c>
      <c r="Q61" s="1589">
        <v>0</v>
      </c>
      <c r="R61" s="1589">
        <v>0</v>
      </c>
      <c r="S61" s="1589">
        <v>0</v>
      </c>
      <c r="T61" s="1589">
        <v>0</v>
      </c>
    </row>
    <row r="62" spans="1:20">
      <c r="C62" s="7" t="s">
        <v>594</v>
      </c>
      <c r="D62" s="7" t="s">
        <v>595</v>
      </c>
      <c r="E62" s="1589">
        <v>0</v>
      </c>
      <c r="F62" s="1589">
        <v>0</v>
      </c>
      <c r="G62" s="1589">
        <v>0</v>
      </c>
      <c r="H62" s="1589">
        <v>0</v>
      </c>
      <c r="I62" s="1589">
        <v>0</v>
      </c>
      <c r="J62" s="1589">
        <v>0</v>
      </c>
      <c r="K62" s="1589">
        <v>0</v>
      </c>
      <c r="L62" s="1589">
        <v>0</v>
      </c>
      <c r="M62" s="1589">
        <v>0</v>
      </c>
      <c r="N62" s="1589">
        <v>0</v>
      </c>
      <c r="O62" s="1589">
        <v>0</v>
      </c>
      <c r="P62" s="1589">
        <v>0</v>
      </c>
      <c r="Q62" s="1589">
        <v>0</v>
      </c>
      <c r="R62" s="1589">
        <v>0</v>
      </c>
      <c r="S62" s="1589">
        <v>0</v>
      </c>
      <c r="T62" s="1589">
        <v>0</v>
      </c>
    </row>
    <row r="63" spans="1:20">
      <c r="C63" s="7" t="s">
        <v>2563</v>
      </c>
      <c r="D63" s="7" t="s">
        <v>1896</v>
      </c>
      <c r="E63" s="1589">
        <v>0</v>
      </c>
      <c r="F63" s="1589">
        <v>0</v>
      </c>
      <c r="G63" s="1589">
        <v>0</v>
      </c>
      <c r="H63" s="1589">
        <v>0</v>
      </c>
      <c r="I63" s="1589">
        <v>0</v>
      </c>
      <c r="J63" s="1589">
        <v>0</v>
      </c>
      <c r="K63" s="1589">
        <v>0</v>
      </c>
      <c r="L63" s="1589">
        <v>0</v>
      </c>
      <c r="M63" s="1589">
        <v>0</v>
      </c>
      <c r="N63" s="1589">
        <v>0</v>
      </c>
      <c r="O63" s="1589">
        <v>0</v>
      </c>
      <c r="P63" s="1589">
        <v>0</v>
      </c>
      <c r="Q63" s="1589">
        <v>0</v>
      </c>
      <c r="R63" s="1589">
        <v>0</v>
      </c>
      <c r="S63" s="1589">
        <v>0</v>
      </c>
      <c r="T63" s="1589">
        <v>0</v>
      </c>
    </row>
    <row r="64" spans="1:20">
      <c r="C64" s="7" t="s">
        <v>1883</v>
      </c>
      <c r="D64" s="7" t="s">
        <v>586</v>
      </c>
      <c r="E64" s="1589">
        <v>0</v>
      </c>
      <c r="F64" s="1589">
        <v>0</v>
      </c>
      <c r="G64" s="1589">
        <v>0</v>
      </c>
      <c r="H64" s="1589">
        <v>0</v>
      </c>
      <c r="I64" s="1589">
        <v>0</v>
      </c>
      <c r="J64" s="1589">
        <v>0</v>
      </c>
      <c r="K64" s="1589">
        <v>0</v>
      </c>
      <c r="L64" s="1589">
        <v>0</v>
      </c>
      <c r="M64" s="1589">
        <v>0</v>
      </c>
      <c r="N64" s="1589">
        <v>0</v>
      </c>
      <c r="O64" s="1589">
        <v>0</v>
      </c>
      <c r="P64" s="1589">
        <v>0</v>
      </c>
      <c r="Q64" s="1589">
        <v>0</v>
      </c>
      <c r="R64" s="1589">
        <v>0</v>
      </c>
      <c r="S64" s="1589">
        <v>0</v>
      </c>
      <c r="T64" s="1589">
        <v>0</v>
      </c>
    </row>
    <row r="65" spans="2:20">
      <c r="C65" s="7" t="s">
        <v>2565</v>
      </c>
      <c r="D65" s="7" t="s">
        <v>603</v>
      </c>
      <c r="E65" s="1589">
        <v>0</v>
      </c>
      <c r="F65" s="1589">
        <v>0</v>
      </c>
      <c r="G65" s="1589">
        <v>0</v>
      </c>
      <c r="H65" s="1589">
        <v>0</v>
      </c>
      <c r="I65" s="1589">
        <v>0</v>
      </c>
      <c r="J65" s="1589">
        <v>0</v>
      </c>
      <c r="K65" s="1589">
        <v>0</v>
      </c>
      <c r="L65" s="1589">
        <v>0</v>
      </c>
      <c r="M65" s="1589">
        <v>0</v>
      </c>
      <c r="N65" s="1589">
        <v>0</v>
      </c>
      <c r="O65" s="1589">
        <v>0</v>
      </c>
      <c r="P65" s="1589">
        <v>0</v>
      </c>
      <c r="Q65" s="1589">
        <v>0</v>
      </c>
      <c r="R65" s="1589">
        <v>0</v>
      </c>
      <c r="S65" s="1589">
        <v>0</v>
      </c>
      <c r="T65" s="1589">
        <v>0</v>
      </c>
    </row>
    <row r="66" spans="2:20">
      <c r="C66" s="7" t="s">
        <v>2566</v>
      </c>
      <c r="D66" s="7" t="s">
        <v>654</v>
      </c>
      <c r="E66" s="1589">
        <v>0</v>
      </c>
      <c r="F66" s="1589">
        <v>0</v>
      </c>
      <c r="G66" s="1589">
        <v>0</v>
      </c>
      <c r="H66" s="1589">
        <v>0</v>
      </c>
      <c r="I66" s="1589">
        <v>0</v>
      </c>
      <c r="J66" s="1589">
        <v>0</v>
      </c>
      <c r="K66" s="1589">
        <v>0</v>
      </c>
      <c r="L66" s="1589">
        <v>0</v>
      </c>
      <c r="M66" s="1589">
        <v>0</v>
      </c>
      <c r="N66" s="1589">
        <v>0</v>
      </c>
      <c r="O66" s="1589">
        <v>0</v>
      </c>
      <c r="P66" s="1589">
        <v>0</v>
      </c>
      <c r="Q66" s="1589">
        <v>0</v>
      </c>
      <c r="R66" s="1589">
        <v>0</v>
      </c>
      <c r="S66" s="1589">
        <v>0</v>
      </c>
      <c r="T66" s="1589">
        <v>0</v>
      </c>
    </row>
    <row r="67" spans="2:20">
      <c r="C67" s="7" t="s">
        <v>527</v>
      </c>
      <c r="D67" s="7" t="s">
        <v>528</v>
      </c>
      <c r="E67" s="1589">
        <v>0</v>
      </c>
      <c r="F67" s="1589">
        <v>0</v>
      </c>
      <c r="G67" s="1589">
        <v>0</v>
      </c>
      <c r="H67" s="1589">
        <v>0</v>
      </c>
      <c r="I67" s="1589">
        <v>0</v>
      </c>
      <c r="J67" s="1589">
        <v>0</v>
      </c>
      <c r="K67" s="1589">
        <v>0</v>
      </c>
      <c r="L67" s="1589">
        <v>0</v>
      </c>
      <c r="M67" s="1589">
        <v>0</v>
      </c>
      <c r="N67" s="1589">
        <v>0</v>
      </c>
      <c r="O67" s="1589">
        <v>0</v>
      </c>
      <c r="P67" s="1589">
        <v>0</v>
      </c>
      <c r="Q67" s="1589">
        <v>0</v>
      </c>
      <c r="R67" s="1589">
        <v>0</v>
      </c>
      <c r="S67" s="1589">
        <v>0</v>
      </c>
      <c r="T67" s="1589">
        <v>0</v>
      </c>
    </row>
    <row r="68" spans="2:20">
      <c r="D68" s="7" t="s">
        <v>530</v>
      </c>
      <c r="E68" s="1589">
        <v>0</v>
      </c>
      <c r="F68" s="1589">
        <v>0</v>
      </c>
      <c r="G68" s="1589">
        <v>0</v>
      </c>
      <c r="H68" s="1589">
        <v>0</v>
      </c>
      <c r="I68" s="1589">
        <v>0</v>
      </c>
      <c r="J68" s="1589">
        <v>0</v>
      </c>
      <c r="K68" s="1589">
        <v>0</v>
      </c>
      <c r="L68" s="1589">
        <v>0</v>
      </c>
      <c r="M68" s="1589">
        <v>0</v>
      </c>
      <c r="N68" s="1589">
        <v>0</v>
      </c>
      <c r="O68" s="1589">
        <v>0</v>
      </c>
      <c r="P68" s="1589">
        <v>0</v>
      </c>
      <c r="Q68" s="1589">
        <v>0</v>
      </c>
      <c r="R68" s="1589">
        <v>0</v>
      </c>
      <c r="S68" s="1589">
        <v>0</v>
      </c>
      <c r="T68" s="1589">
        <v>0</v>
      </c>
    </row>
    <row r="69" spans="2:20">
      <c r="D69" s="7" t="s">
        <v>532</v>
      </c>
      <c r="E69" s="1589">
        <v>0</v>
      </c>
      <c r="F69" s="1589">
        <v>0</v>
      </c>
      <c r="G69" s="1589">
        <v>0</v>
      </c>
      <c r="H69" s="1589">
        <v>0</v>
      </c>
      <c r="I69" s="1589">
        <v>0</v>
      </c>
      <c r="J69" s="1589">
        <v>0</v>
      </c>
      <c r="K69" s="1589">
        <v>0</v>
      </c>
      <c r="L69" s="1589">
        <v>0</v>
      </c>
      <c r="M69" s="1589">
        <v>0</v>
      </c>
      <c r="N69" s="1589">
        <v>0</v>
      </c>
      <c r="O69" s="1589">
        <v>0</v>
      </c>
      <c r="P69" s="1589">
        <v>0</v>
      </c>
      <c r="Q69" s="1589">
        <v>0</v>
      </c>
      <c r="R69" s="1589">
        <v>0</v>
      </c>
      <c r="S69" s="1589">
        <v>0</v>
      </c>
      <c r="T69" s="1589">
        <v>0</v>
      </c>
    </row>
    <row r="70" spans="2:20">
      <c r="D70" s="7" t="s">
        <v>534</v>
      </c>
      <c r="E70" s="1589">
        <v>0</v>
      </c>
      <c r="F70" s="1589">
        <v>0</v>
      </c>
      <c r="G70" s="1589">
        <v>0</v>
      </c>
      <c r="H70" s="1589">
        <v>0</v>
      </c>
      <c r="I70" s="1589">
        <v>0</v>
      </c>
      <c r="J70" s="1589">
        <v>0</v>
      </c>
      <c r="K70" s="1589">
        <v>0</v>
      </c>
      <c r="L70" s="1589">
        <v>0</v>
      </c>
      <c r="M70" s="1589">
        <v>0</v>
      </c>
      <c r="N70" s="1589">
        <v>0</v>
      </c>
      <c r="O70" s="1589">
        <v>0</v>
      </c>
      <c r="P70" s="1589">
        <v>0</v>
      </c>
      <c r="Q70" s="1589">
        <v>0</v>
      </c>
      <c r="R70" s="1589">
        <v>0</v>
      </c>
      <c r="S70" s="1589">
        <v>0</v>
      </c>
      <c r="T70" s="1589">
        <v>0</v>
      </c>
    </row>
    <row r="71" spans="2:20">
      <c r="D71" s="7" t="s">
        <v>536</v>
      </c>
      <c r="E71" s="1589">
        <v>0</v>
      </c>
      <c r="F71" s="1589">
        <v>0</v>
      </c>
      <c r="G71" s="1589">
        <v>0</v>
      </c>
      <c r="H71" s="1589">
        <v>0</v>
      </c>
      <c r="I71" s="1589">
        <v>0</v>
      </c>
      <c r="J71" s="1589">
        <v>0</v>
      </c>
      <c r="K71" s="1589">
        <v>0</v>
      </c>
      <c r="L71" s="1589">
        <v>0</v>
      </c>
      <c r="M71" s="1589">
        <v>0</v>
      </c>
      <c r="N71" s="1589">
        <v>0</v>
      </c>
      <c r="O71" s="1589">
        <v>0</v>
      </c>
      <c r="P71" s="1589">
        <v>0</v>
      </c>
      <c r="Q71" s="1589">
        <v>0</v>
      </c>
      <c r="R71" s="1589">
        <v>0</v>
      </c>
      <c r="S71" s="1589">
        <v>0</v>
      </c>
      <c r="T71" s="1589">
        <v>0</v>
      </c>
    </row>
    <row r="72" spans="2:20">
      <c r="D72" s="7" t="s">
        <v>538</v>
      </c>
      <c r="E72" s="1589">
        <v>0</v>
      </c>
      <c r="F72" s="1589">
        <v>0</v>
      </c>
      <c r="G72" s="1589">
        <v>0</v>
      </c>
      <c r="H72" s="1589">
        <v>0</v>
      </c>
      <c r="I72" s="1589">
        <v>0</v>
      </c>
      <c r="J72" s="1589">
        <v>0</v>
      </c>
      <c r="K72" s="1589">
        <v>0</v>
      </c>
      <c r="L72" s="1589">
        <v>0</v>
      </c>
      <c r="M72" s="1589">
        <v>0</v>
      </c>
      <c r="N72" s="1589">
        <v>0</v>
      </c>
      <c r="O72" s="1589">
        <v>0</v>
      </c>
      <c r="P72" s="1589">
        <v>0</v>
      </c>
      <c r="Q72" s="1589">
        <v>0</v>
      </c>
      <c r="R72" s="1589">
        <v>0</v>
      </c>
      <c r="S72" s="1589">
        <v>0</v>
      </c>
      <c r="T72" s="1589">
        <v>0</v>
      </c>
    </row>
    <row r="73" spans="2:20">
      <c r="D73" s="7" t="s">
        <v>540</v>
      </c>
      <c r="E73" s="1589">
        <v>0</v>
      </c>
      <c r="F73" s="1589">
        <v>0</v>
      </c>
      <c r="G73" s="1589">
        <v>0</v>
      </c>
      <c r="H73" s="1589">
        <v>0</v>
      </c>
      <c r="I73" s="1589">
        <v>0</v>
      </c>
      <c r="J73" s="1589">
        <v>0</v>
      </c>
      <c r="K73" s="1589">
        <v>0</v>
      </c>
      <c r="L73" s="1589">
        <v>0</v>
      </c>
      <c r="M73" s="1589">
        <v>0</v>
      </c>
      <c r="N73" s="1589">
        <v>0</v>
      </c>
      <c r="O73" s="1589">
        <v>0</v>
      </c>
      <c r="P73" s="1589">
        <v>0</v>
      </c>
      <c r="Q73" s="1589">
        <v>0</v>
      </c>
      <c r="R73" s="1589">
        <v>0</v>
      </c>
      <c r="S73" s="1589">
        <v>0</v>
      </c>
      <c r="T73" s="1589">
        <v>0</v>
      </c>
    </row>
    <row r="74" spans="2:20">
      <c r="B74" s="7" t="s">
        <v>659</v>
      </c>
      <c r="C74" s="7" t="s">
        <v>2569</v>
      </c>
      <c r="D74" s="7" t="s">
        <v>651</v>
      </c>
      <c r="E74" s="1589">
        <v>0</v>
      </c>
      <c r="F74" s="1589">
        <v>0</v>
      </c>
      <c r="G74" s="1589">
        <v>0</v>
      </c>
      <c r="H74" s="1589">
        <v>0</v>
      </c>
      <c r="I74" s="1589">
        <v>0</v>
      </c>
      <c r="J74" s="1589">
        <v>0</v>
      </c>
      <c r="K74" s="1589">
        <v>0</v>
      </c>
      <c r="L74" s="1589">
        <v>0</v>
      </c>
      <c r="M74" s="1589">
        <v>0</v>
      </c>
      <c r="N74" s="1589">
        <v>0</v>
      </c>
      <c r="O74" s="1589">
        <v>0</v>
      </c>
      <c r="P74" s="1589">
        <v>0</v>
      </c>
      <c r="Q74" s="1589">
        <v>0</v>
      </c>
      <c r="R74" s="1589">
        <v>0</v>
      </c>
      <c r="S74" s="1589">
        <v>0</v>
      </c>
      <c r="T74" s="1589">
        <v>0</v>
      </c>
    </row>
    <row r="75" spans="2:20">
      <c r="C75" s="7" t="s">
        <v>527</v>
      </c>
      <c r="D75" s="7" t="s">
        <v>528</v>
      </c>
      <c r="E75" s="1589">
        <v>0</v>
      </c>
      <c r="F75" s="1589">
        <v>0</v>
      </c>
      <c r="G75" s="1589">
        <v>0</v>
      </c>
      <c r="H75" s="1589">
        <v>0</v>
      </c>
      <c r="I75" s="1589">
        <v>0</v>
      </c>
      <c r="J75" s="1589">
        <v>0</v>
      </c>
      <c r="K75" s="1589">
        <v>0</v>
      </c>
      <c r="L75" s="1589">
        <v>0</v>
      </c>
      <c r="M75" s="1589">
        <v>0</v>
      </c>
      <c r="N75" s="1589">
        <v>0</v>
      </c>
      <c r="O75" s="1589">
        <v>0</v>
      </c>
      <c r="P75" s="1589">
        <v>0</v>
      </c>
      <c r="Q75" s="1589">
        <v>0</v>
      </c>
      <c r="R75" s="1589">
        <v>0</v>
      </c>
      <c r="S75" s="1589">
        <v>0</v>
      </c>
      <c r="T75" s="1589">
        <v>0</v>
      </c>
    </row>
    <row r="76" spans="2:20">
      <c r="D76" s="7" t="s">
        <v>530</v>
      </c>
      <c r="E76" s="1589">
        <v>0</v>
      </c>
      <c r="F76" s="1589">
        <v>0</v>
      </c>
      <c r="G76" s="1589">
        <v>0</v>
      </c>
      <c r="H76" s="1589">
        <v>0</v>
      </c>
      <c r="I76" s="1589">
        <v>0</v>
      </c>
      <c r="J76" s="1589">
        <v>0</v>
      </c>
      <c r="K76" s="1589">
        <v>0</v>
      </c>
      <c r="L76" s="1589">
        <v>0</v>
      </c>
      <c r="M76" s="1589">
        <v>0</v>
      </c>
      <c r="N76" s="1589">
        <v>0</v>
      </c>
      <c r="O76" s="1589">
        <v>0</v>
      </c>
      <c r="P76" s="1589">
        <v>0</v>
      </c>
      <c r="Q76" s="1589">
        <v>0</v>
      </c>
      <c r="R76" s="1589">
        <v>0</v>
      </c>
      <c r="S76" s="1589">
        <v>0</v>
      </c>
      <c r="T76" s="1589">
        <v>0</v>
      </c>
    </row>
    <row r="77" spans="2:20">
      <c r="D77" s="7" t="s">
        <v>532</v>
      </c>
      <c r="E77" s="1589">
        <v>0</v>
      </c>
      <c r="F77" s="1589">
        <v>0</v>
      </c>
      <c r="G77" s="1589">
        <v>0</v>
      </c>
      <c r="H77" s="1589">
        <v>0</v>
      </c>
      <c r="I77" s="1589">
        <v>0</v>
      </c>
      <c r="J77" s="1589">
        <v>0</v>
      </c>
      <c r="K77" s="1589">
        <v>0</v>
      </c>
      <c r="L77" s="1589">
        <v>0</v>
      </c>
      <c r="M77" s="1589">
        <v>0</v>
      </c>
      <c r="N77" s="1589">
        <v>0</v>
      </c>
      <c r="O77" s="1589">
        <v>0</v>
      </c>
      <c r="P77" s="1589">
        <v>0</v>
      </c>
      <c r="Q77" s="1589">
        <v>0</v>
      </c>
      <c r="R77" s="1589">
        <v>0</v>
      </c>
      <c r="S77" s="1589">
        <v>0</v>
      </c>
      <c r="T77" s="1589">
        <v>0</v>
      </c>
    </row>
    <row r="78" spans="2:20">
      <c r="D78" s="7" t="s">
        <v>534</v>
      </c>
      <c r="E78" s="1589">
        <v>0</v>
      </c>
      <c r="F78" s="1589">
        <v>0</v>
      </c>
      <c r="G78" s="1589">
        <v>0</v>
      </c>
      <c r="H78" s="1589">
        <v>0</v>
      </c>
      <c r="I78" s="1589">
        <v>0</v>
      </c>
      <c r="J78" s="1589">
        <v>0</v>
      </c>
      <c r="K78" s="1589">
        <v>0</v>
      </c>
      <c r="L78" s="1589">
        <v>0</v>
      </c>
      <c r="M78" s="1589">
        <v>0</v>
      </c>
      <c r="N78" s="1589">
        <v>0</v>
      </c>
      <c r="O78" s="1589">
        <v>0</v>
      </c>
      <c r="P78" s="1589">
        <v>0</v>
      </c>
      <c r="Q78" s="1589">
        <v>0</v>
      </c>
      <c r="R78" s="1589">
        <v>0</v>
      </c>
      <c r="S78" s="1589">
        <v>0</v>
      </c>
      <c r="T78" s="1589">
        <v>0</v>
      </c>
    </row>
    <row r="79" spans="2:20">
      <c r="D79" s="7" t="s">
        <v>536</v>
      </c>
      <c r="E79" s="1589">
        <v>0</v>
      </c>
      <c r="F79" s="1589">
        <v>0</v>
      </c>
      <c r="G79" s="1589">
        <v>0</v>
      </c>
      <c r="H79" s="1589">
        <v>0</v>
      </c>
      <c r="I79" s="1589">
        <v>0</v>
      </c>
      <c r="J79" s="1589">
        <v>0</v>
      </c>
      <c r="K79" s="1589">
        <v>0</v>
      </c>
      <c r="L79" s="1589">
        <v>0</v>
      </c>
      <c r="M79" s="1589">
        <v>0</v>
      </c>
      <c r="N79" s="1589">
        <v>0</v>
      </c>
      <c r="O79" s="1589">
        <v>0</v>
      </c>
      <c r="P79" s="1589">
        <v>0</v>
      </c>
      <c r="Q79" s="1589">
        <v>0</v>
      </c>
      <c r="R79" s="1589">
        <v>0</v>
      </c>
      <c r="S79" s="1589">
        <v>0</v>
      </c>
      <c r="T79" s="1589">
        <v>0</v>
      </c>
    </row>
    <row r="80" spans="2:20">
      <c r="D80" s="7" t="s">
        <v>538</v>
      </c>
      <c r="E80" s="1589">
        <v>0</v>
      </c>
      <c r="F80" s="1589">
        <v>0</v>
      </c>
      <c r="G80" s="1589">
        <v>0</v>
      </c>
      <c r="H80" s="1589">
        <v>0</v>
      </c>
      <c r="I80" s="1589">
        <v>0</v>
      </c>
      <c r="J80" s="1589">
        <v>0</v>
      </c>
      <c r="K80" s="1589">
        <v>0</v>
      </c>
      <c r="L80" s="1589">
        <v>0</v>
      </c>
      <c r="M80" s="1589">
        <v>0</v>
      </c>
      <c r="N80" s="1589">
        <v>0</v>
      </c>
      <c r="O80" s="1589">
        <v>0</v>
      </c>
      <c r="P80" s="1589">
        <v>0</v>
      </c>
      <c r="Q80" s="1589">
        <v>0</v>
      </c>
      <c r="R80" s="1589">
        <v>0</v>
      </c>
      <c r="S80" s="1589">
        <v>0</v>
      </c>
      <c r="T80" s="1589">
        <v>0</v>
      </c>
    </row>
    <row r="81" spans="1:20">
      <c r="D81" s="7" t="s">
        <v>540</v>
      </c>
      <c r="E81" s="1589">
        <v>0</v>
      </c>
      <c r="F81" s="1589">
        <v>0</v>
      </c>
      <c r="G81" s="1589">
        <v>0</v>
      </c>
      <c r="H81" s="1589">
        <v>0</v>
      </c>
      <c r="I81" s="1589">
        <v>0</v>
      </c>
      <c r="J81" s="1589">
        <v>0</v>
      </c>
      <c r="K81" s="1589">
        <v>0</v>
      </c>
      <c r="L81" s="1589">
        <v>0</v>
      </c>
      <c r="M81" s="1589">
        <v>0</v>
      </c>
      <c r="N81" s="1589">
        <v>0</v>
      </c>
      <c r="O81" s="1589">
        <v>0</v>
      </c>
      <c r="P81" s="1589">
        <v>0</v>
      </c>
      <c r="Q81" s="1589">
        <v>0</v>
      </c>
      <c r="R81" s="1589">
        <v>0</v>
      </c>
      <c r="S81" s="1589">
        <v>0</v>
      </c>
      <c r="T81" s="1589">
        <v>0</v>
      </c>
    </row>
    <row r="82" spans="1:20">
      <c r="C82" s="7" t="s">
        <v>660</v>
      </c>
      <c r="D82" s="7" t="s">
        <v>649</v>
      </c>
      <c r="E82" s="1589">
        <v>0</v>
      </c>
      <c r="F82" s="1589">
        <v>0</v>
      </c>
      <c r="G82" s="1589">
        <v>0</v>
      </c>
      <c r="H82" s="1589">
        <v>0</v>
      </c>
      <c r="I82" s="1589">
        <v>0</v>
      </c>
      <c r="J82" s="1589">
        <v>0</v>
      </c>
      <c r="K82" s="1589">
        <v>0</v>
      </c>
      <c r="L82" s="1589">
        <v>0</v>
      </c>
      <c r="M82" s="1589">
        <v>0</v>
      </c>
      <c r="N82" s="1589">
        <v>0</v>
      </c>
      <c r="O82" s="1589">
        <v>0</v>
      </c>
      <c r="P82" s="1589">
        <v>0</v>
      </c>
      <c r="Q82" s="1589">
        <v>0</v>
      </c>
      <c r="R82" s="1589">
        <v>0</v>
      </c>
      <c r="S82" s="1589">
        <v>0</v>
      </c>
      <c r="T82" s="1589">
        <v>0</v>
      </c>
    </row>
    <row r="83" spans="1:20">
      <c r="D83" s="7" t="s">
        <v>653</v>
      </c>
      <c r="E83" s="1589">
        <v>0</v>
      </c>
      <c r="F83" s="1589">
        <v>0</v>
      </c>
      <c r="G83" s="1589">
        <v>0</v>
      </c>
      <c r="H83" s="1589">
        <v>0</v>
      </c>
      <c r="I83" s="1589">
        <v>0</v>
      </c>
      <c r="J83" s="1589">
        <v>0</v>
      </c>
      <c r="K83" s="1589">
        <v>0</v>
      </c>
      <c r="L83" s="1589">
        <v>0</v>
      </c>
      <c r="M83" s="1589">
        <v>0</v>
      </c>
      <c r="N83" s="1589">
        <v>0</v>
      </c>
      <c r="O83" s="1589">
        <v>0</v>
      </c>
      <c r="P83" s="1589">
        <v>0</v>
      </c>
      <c r="Q83" s="1589">
        <v>0</v>
      </c>
      <c r="R83" s="1589">
        <v>0</v>
      </c>
      <c r="S83" s="1589">
        <v>0</v>
      </c>
      <c r="T83" s="1589">
        <v>0</v>
      </c>
    </row>
    <row r="84" spans="1:20">
      <c r="A84" s="7" t="s">
        <v>223</v>
      </c>
      <c r="B84" s="7" t="s">
        <v>669</v>
      </c>
      <c r="C84" s="7" t="s">
        <v>662</v>
      </c>
      <c r="D84" s="7" t="s">
        <v>663</v>
      </c>
      <c r="E84" s="1589">
        <v>0</v>
      </c>
      <c r="F84" s="1589">
        <v>0</v>
      </c>
      <c r="G84" s="1589">
        <v>0</v>
      </c>
      <c r="H84" s="1589">
        <v>0</v>
      </c>
      <c r="I84" s="1589">
        <v>0</v>
      </c>
      <c r="J84" s="1589">
        <v>0</v>
      </c>
      <c r="K84" s="1589">
        <v>0</v>
      </c>
      <c r="L84" s="1589">
        <v>0</v>
      </c>
      <c r="M84" s="1589">
        <v>0</v>
      </c>
      <c r="N84" s="1589">
        <v>0</v>
      </c>
      <c r="O84" s="1589">
        <v>0</v>
      </c>
      <c r="P84" s="1589">
        <v>0</v>
      </c>
      <c r="Q84" s="1589">
        <v>0</v>
      </c>
      <c r="R84" s="1589">
        <v>0</v>
      </c>
      <c r="S84" s="1589">
        <v>0</v>
      </c>
      <c r="T84" s="1589">
        <v>0</v>
      </c>
    </row>
    <row r="85" spans="1:20">
      <c r="D85" s="7" t="s">
        <v>665</v>
      </c>
      <c r="E85" s="1589">
        <v>0</v>
      </c>
      <c r="F85" s="1589">
        <v>0</v>
      </c>
      <c r="G85" s="1589">
        <v>0</v>
      </c>
      <c r="H85" s="1589">
        <v>0</v>
      </c>
      <c r="I85" s="1589">
        <v>0</v>
      </c>
      <c r="J85" s="1589">
        <v>0</v>
      </c>
      <c r="K85" s="1589">
        <v>0</v>
      </c>
      <c r="L85" s="1589">
        <v>0</v>
      </c>
      <c r="M85" s="1589">
        <v>0</v>
      </c>
      <c r="N85" s="1589">
        <v>0</v>
      </c>
      <c r="O85" s="1589">
        <v>0</v>
      </c>
      <c r="P85" s="1589">
        <v>0</v>
      </c>
      <c r="Q85" s="1589">
        <v>0</v>
      </c>
      <c r="R85" s="1589">
        <v>0</v>
      </c>
      <c r="S85" s="1589">
        <v>0</v>
      </c>
      <c r="T85" s="1589">
        <v>0</v>
      </c>
    </row>
    <row r="86" spans="1:20">
      <c r="D86" s="7" t="s">
        <v>597</v>
      </c>
      <c r="E86" s="1589">
        <v>0</v>
      </c>
      <c r="F86" s="1589">
        <v>0</v>
      </c>
      <c r="G86" s="1589">
        <v>0</v>
      </c>
      <c r="H86" s="1589">
        <v>0</v>
      </c>
      <c r="I86" s="1589">
        <v>0</v>
      </c>
      <c r="J86" s="1589">
        <v>0</v>
      </c>
      <c r="K86" s="1589">
        <v>0</v>
      </c>
      <c r="L86" s="1589">
        <v>0</v>
      </c>
      <c r="M86" s="1589">
        <v>0</v>
      </c>
      <c r="N86" s="1589">
        <v>0</v>
      </c>
      <c r="O86" s="1589">
        <v>0</v>
      </c>
      <c r="P86" s="1589">
        <v>0</v>
      </c>
      <c r="Q86" s="1589">
        <v>0</v>
      </c>
      <c r="R86" s="1589">
        <v>0</v>
      </c>
      <c r="S86" s="1589">
        <v>0</v>
      </c>
      <c r="T86" s="1589">
        <v>0</v>
      </c>
    </row>
    <row r="87" spans="1:20">
      <c r="C87" s="7" t="s">
        <v>527</v>
      </c>
      <c r="D87" s="7" t="s">
        <v>528</v>
      </c>
      <c r="E87" s="1589">
        <v>0</v>
      </c>
      <c r="F87" s="1589">
        <v>0</v>
      </c>
      <c r="G87" s="1589">
        <v>0</v>
      </c>
      <c r="H87" s="1589">
        <v>0</v>
      </c>
      <c r="I87" s="1589">
        <v>0</v>
      </c>
      <c r="J87" s="1589">
        <v>0</v>
      </c>
      <c r="K87" s="1589">
        <v>0</v>
      </c>
      <c r="L87" s="1589">
        <v>0</v>
      </c>
      <c r="M87" s="1589">
        <v>0</v>
      </c>
      <c r="N87" s="1589">
        <v>0</v>
      </c>
      <c r="O87" s="1589">
        <v>0</v>
      </c>
      <c r="P87" s="1589">
        <v>0</v>
      </c>
      <c r="Q87" s="1589">
        <v>0</v>
      </c>
      <c r="R87" s="1589">
        <v>0</v>
      </c>
      <c r="S87" s="1589">
        <v>0</v>
      </c>
      <c r="T87" s="1589">
        <v>0</v>
      </c>
    </row>
    <row r="88" spans="1:20">
      <c r="D88" s="7" t="s">
        <v>530</v>
      </c>
      <c r="E88" s="1589">
        <v>0</v>
      </c>
      <c r="F88" s="1589">
        <v>0</v>
      </c>
      <c r="G88" s="1589">
        <v>0</v>
      </c>
      <c r="H88" s="1589">
        <v>0</v>
      </c>
      <c r="I88" s="1589">
        <v>0</v>
      </c>
      <c r="J88" s="1589">
        <v>0</v>
      </c>
      <c r="K88" s="1589">
        <v>0</v>
      </c>
      <c r="L88" s="1589">
        <v>0</v>
      </c>
      <c r="M88" s="1589">
        <v>0</v>
      </c>
      <c r="N88" s="1589">
        <v>0</v>
      </c>
      <c r="O88" s="1589">
        <v>0</v>
      </c>
      <c r="P88" s="1589">
        <v>0</v>
      </c>
      <c r="Q88" s="1589">
        <v>0</v>
      </c>
      <c r="R88" s="1589">
        <v>0</v>
      </c>
      <c r="S88" s="1589">
        <v>0</v>
      </c>
      <c r="T88" s="1589">
        <v>0</v>
      </c>
    </row>
    <row r="89" spans="1:20">
      <c r="D89" s="7" t="s">
        <v>532</v>
      </c>
      <c r="E89" s="1589">
        <v>0</v>
      </c>
      <c r="F89" s="1589">
        <v>0</v>
      </c>
      <c r="G89" s="1589">
        <v>0</v>
      </c>
      <c r="H89" s="1589">
        <v>0</v>
      </c>
      <c r="I89" s="1589">
        <v>0</v>
      </c>
      <c r="J89" s="1589">
        <v>0</v>
      </c>
      <c r="K89" s="1589">
        <v>0</v>
      </c>
      <c r="L89" s="1589">
        <v>0</v>
      </c>
      <c r="M89" s="1589">
        <v>0</v>
      </c>
      <c r="N89" s="1589">
        <v>0</v>
      </c>
      <c r="O89" s="1589">
        <v>0</v>
      </c>
      <c r="P89" s="1589">
        <v>0</v>
      </c>
      <c r="Q89" s="1589">
        <v>0</v>
      </c>
      <c r="R89" s="1589">
        <v>0</v>
      </c>
      <c r="S89" s="1589">
        <v>0</v>
      </c>
      <c r="T89" s="1589">
        <v>0</v>
      </c>
    </row>
    <row r="90" spans="1:20">
      <c r="D90" s="7" t="s">
        <v>534</v>
      </c>
      <c r="E90" s="1589">
        <v>0</v>
      </c>
      <c r="F90" s="1589">
        <v>0</v>
      </c>
      <c r="G90" s="1589">
        <v>0</v>
      </c>
      <c r="H90" s="1589">
        <v>0</v>
      </c>
      <c r="I90" s="1589">
        <v>0</v>
      </c>
      <c r="J90" s="1589">
        <v>0</v>
      </c>
      <c r="K90" s="1589">
        <v>0</v>
      </c>
      <c r="L90" s="1589">
        <v>0</v>
      </c>
      <c r="M90" s="1589">
        <v>0</v>
      </c>
      <c r="N90" s="1589">
        <v>0</v>
      </c>
      <c r="O90" s="1589">
        <v>0</v>
      </c>
      <c r="P90" s="1589">
        <v>0</v>
      </c>
      <c r="Q90" s="1589">
        <v>0</v>
      </c>
      <c r="R90" s="1589">
        <v>0</v>
      </c>
      <c r="S90" s="1589">
        <v>0</v>
      </c>
      <c r="T90" s="1589">
        <v>0</v>
      </c>
    </row>
    <row r="91" spans="1:20">
      <c r="D91" s="7" t="s">
        <v>536</v>
      </c>
      <c r="E91" s="1589">
        <v>0</v>
      </c>
      <c r="F91" s="1589">
        <v>0</v>
      </c>
      <c r="G91" s="1589">
        <v>0</v>
      </c>
      <c r="H91" s="1589">
        <v>0</v>
      </c>
      <c r="I91" s="1589">
        <v>0</v>
      </c>
      <c r="J91" s="1589">
        <v>0</v>
      </c>
      <c r="K91" s="1589">
        <v>0</v>
      </c>
      <c r="L91" s="1589">
        <v>0</v>
      </c>
      <c r="M91" s="1589">
        <v>0</v>
      </c>
      <c r="N91" s="1589">
        <v>0</v>
      </c>
      <c r="O91" s="1589">
        <v>0</v>
      </c>
      <c r="P91" s="1589">
        <v>0</v>
      </c>
      <c r="Q91" s="1589">
        <v>0</v>
      </c>
      <c r="R91" s="1589">
        <v>0</v>
      </c>
      <c r="S91" s="1589">
        <v>0</v>
      </c>
      <c r="T91" s="1589">
        <v>0</v>
      </c>
    </row>
    <row r="92" spans="1:20">
      <c r="D92" s="7" t="s">
        <v>538</v>
      </c>
      <c r="E92" s="1589">
        <v>0</v>
      </c>
      <c r="F92" s="1589">
        <v>0</v>
      </c>
      <c r="G92" s="1589">
        <v>0</v>
      </c>
      <c r="H92" s="1589">
        <v>0</v>
      </c>
      <c r="I92" s="1589">
        <v>0</v>
      </c>
      <c r="J92" s="1589">
        <v>0</v>
      </c>
      <c r="K92" s="1589">
        <v>0</v>
      </c>
      <c r="L92" s="1589">
        <v>0</v>
      </c>
      <c r="M92" s="1589">
        <v>0</v>
      </c>
      <c r="N92" s="1589">
        <v>0</v>
      </c>
      <c r="O92" s="1589">
        <v>0</v>
      </c>
      <c r="P92" s="1589">
        <v>0</v>
      </c>
      <c r="Q92" s="1589">
        <v>0</v>
      </c>
      <c r="R92" s="1589">
        <v>0</v>
      </c>
      <c r="S92" s="1589">
        <v>0</v>
      </c>
      <c r="T92" s="1589">
        <v>0</v>
      </c>
    </row>
    <row r="93" spans="1:20">
      <c r="D93" s="7" t="s">
        <v>540</v>
      </c>
      <c r="E93" s="1589">
        <v>0</v>
      </c>
      <c r="F93" s="1589">
        <v>0</v>
      </c>
      <c r="G93" s="1589">
        <v>0</v>
      </c>
      <c r="H93" s="1589">
        <v>0</v>
      </c>
      <c r="I93" s="1589">
        <v>0</v>
      </c>
      <c r="J93" s="1589">
        <v>0</v>
      </c>
      <c r="K93" s="1589">
        <v>0</v>
      </c>
      <c r="L93" s="1589">
        <v>0</v>
      </c>
      <c r="M93" s="1589">
        <v>0</v>
      </c>
      <c r="N93" s="1589">
        <v>0</v>
      </c>
      <c r="O93" s="1589">
        <v>0</v>
      </c>
      <c r="P93" s="1589">
        <v>0</v>
      </c>
      <c r="Q93" s="1589">
        <v>0</v>
      </c>
      <c r="R93" s="1589">
        <v>0</v>
      </c>
      <c r="S93" s="1589">
        <v>0</v>
      </c>
      <c r="T93" s="1589">
        <v>0</v>
      </c>
    </row>
    <row r="94" spans="1:20">
      <c r="B94" s="7" t="s">
        <v>670</v>
      </c>
      <c r="C94" s="7" t="s">
        <v>2570</v>
      </c>
      <c r="D94" s="7" t="s">
        <v>603</v>
      </c>
      <c r="E94" s="1589">
        <v>0</v>
      </c>
      <c r="F94" s="1589">
        <v>96534.396599999993</v>
      </c>
      <c r="G94" s="1589">
        <v>0</v>
      </c>
      <c r="H94" s="1589">
        <v>0</v>
      </c>
      <c r="I94" s="1589">
        <v>96534.396599999993</v>
      </c>
      <c r="J94" s="1589">
        <v>0</v>
      </c>
      <c r="K94" s="1589">
        <v>100698.50429100002</v>
      </c>
      <c r="L94" s="1589">
        <v>0</v>
      </c>
      <c r="M94" s="1589">
        <v>0</v>
      </c>
      <c r="N94" s="1589">
        <v>100698.50429100002</v>
      </c>
      <c r="O94" s="1589">
        <v>0</v>
      </c>
      <c r="P94" s="1589">
        <v>107223.984681</v>
      </c>
      <c r="Q94" s="1589">
        <v>0</v>
      </c>
      <c r="R94" s="1589">
        <v>0</v>
      </c>
      <c r="S94" s="1589">
        <v>107223.984681</v>
      </c>
      <c r="T94" s="1589">
        <v>304456.885572</v>
      </c>
    </row>
    <row r="95" spans="1:20">
      <c r="C95" s="7" t="s">
        <v>527</v>
      </c>
      <c r="D95" s="7" t="s">
        <v>528</v>
      </c>
      <c r="E95" s="1589">
        <v>0</v>
      </c>
      <c r="F95" s="1589">
        <v>5792.0637959999995</v>
      </c>
      <c r="G95" s="1589">
        <v>0</v>
      </c>
      <c r="H95" s="1589">
        <v>0</v>
      </c>
      <c r="I95" s="1589">
        <v>5792.0637959999995</v>
      </c>
      <c r="J95" s="1589">
        <v>0</v>
      </c>
      <c r="K95" s="1589">
        <v>6041.9102574599992</v>
      </c>
      <c r="L95" s="1589">
        <v>0</v>
      </c>
      <c r="M95" s="1589">
        <v>0</v>
      </c>
      <c r="N95" s="1589">
        <v>6041.9102574599992</v>
      </c>
      <c r="O95" s="1589">
        <v>0</v>
      </c>
      <c r="P95" s="1589">
        <v>6433.4390808600001</v>
      </c>
      <c r="Q95" s="1589">
        <v>0</v>
      </c>
      <c r="R95" s="1589">
        <v>0</v>
      </c>
      <c r="S95" s="1589">
        <v>6433.4390808600001</v>
      </c>
      <c r="T95" s="1589">
        <v>18267.413134319999</v>
      </c>
    </row>
    <row r="96" spans="1:20">
      <c r="D96" s="7" t="s">
        <v>530</v>
      </c>
      <c r="E96" s="1589">
        <v>0</v>
      </c>
      <c r="F96" s="1589">
        <v>9.65343966E-12</v>
      </c>
      <c r="G96" s="1589">
        <v>0</v>
      </c>
      <c r="H96" s="1589">
        <v>0</v>
      </c>
      <c r="I96" s="1589">
        <v>9.65343966E-12</v>
      </c>
      <c r="J96" s="1589">
        <v>0</v>
      </c>
      <c r="K96" s="1589">
        <v>1.00698504291E-11</v>
      </c>
      <c r="L96" s="1589">
        <v>0</v>
      </c>
      <c r="M96" s="1589">
        <v>0</v>
      </c>
      <c r="N96" s="1589">
        <v>1.00698504291E-11</v>
      </c>
      <c r="O96" s="1589">
        <v>0</v>
      </c>
      <c r="P96" s="1589">
        <v>1.0722398468100001E-11</v>
      </c>
      <c r="Q96" s="1589">
        <v>0</v>
      </c>
      <c r="R96" s="1589">
        <v>0</v>
      </c>
      <c r="S96" s="1589">
        <v>1.0722398468100001E-11</v>
      </c>
      <c r="T96" s="1589">
        <v>3.0445688557200003E-11</v>
      </c>
    </row>
    <row r="97" spans="1:20">
      <c r="D97" s="7" t="s">
        <v>532</v>
      </c>
      <c r="E97" s="1589">
        <v>0</v>
      </c>
      <c r="F97" s="1589">
        <v>0</v>
      </c>
      <c r="G97" s="1589">
        <v>0</v>
      </c>
      <c r="H97" s="1589">
        <v>0</v>
      </c>
      <c r="I97" s="1589">
        <v>0</v>
      </c>
      <c r="J97" s="1589">
        <v>0</v>
      </c>
      <c r="K97" s="1589">
        <v>0</v>
      </c>
      <c r="L97" s="1589">
        <v>0</v>
      </c>
      <c r="M97" s="1589">
        <v>0</v>
      </c>
      <c r="N97" s="1589">
        <v>0</v>
      </c>
      <c r="O97" s="1589">
        <v>0</v>
      </c>
      <c r="P97" s="1589">
        <v>0</v>
      </c>
      <c r="Q97" s="1589">
        <v>0</v>
      </c>
      <c r="R97" s="1589">
        <v>0</v>
      </c>
      <c r="S97" s="1589">
        <v>0</v>
      </c>
      <c r="T97" s="1589">
        <v>0</v>
      </c>
    </row>
    <row r="98" spans="1:20">
      <c r="D98" s="7" t="s">
        <v>534</v>
      </c>
      <c r="E98" s="1589">
        <v>0</v>
      </c>
      <c r="F98" s="1589">
        <v>0</v>
      </c>
      <c r="G98" s="1589">
        <v>0</v>
      </c>
      <c r="H98" s="1589">
        <v>0</v>
      </c>
      <c r="I98" s="1589">
        <v>0</v>
      </c>
      <c r="J98" s="1589">
        <v>0</v>
      </c>
      <c r="K98" s="1589">
        <v>0</v>
      </c>
      <c r="L98" s="1589">
        <v>0</v>
      </c>
      <c r="M98" s="1589">
        <v>0</v>
      </c>
      <c r="N98" s="1589">
        <v>0</v>
      </c>
      <c r="O98" s="1589">
        <v>0</v>
      </c>
      <c r="P98" s="1589">
        <v>0</v>
      </c>
      <c r="Q98" s="1589">
        <v>0</v>
      </c>
      <c r="R98" s="1589">
        <v>0</v>
      </c>
      <c r="S98" s="1589">
        <v>0</v>
      </c>
      <c r="T98" s="1589">
        <v>0</v>
      </c>
    </row>
    <row r="99" spans="1:20">
      <c r="D99" s="7" t="s">
        <v>536</v>
      </c>
      <c r="E99" s="1589">
        <v>0</v>
      </c>
      <c r="F99" s="1589">
        <v>0</v>
      </c>
      <c r="G99" s="1589">
        <v>0</v>
      </c>
      <c r="H99" s="1589">
        <v>0</v>
      </c>
      <c r="I99" s="1589">
        <v>0</v>
      </c>
      <c r="J99" s="1589">
        <v>0</v>
      </c>
      <c r="K99" s="1589">
        <v>0</v>
      </c>
      <c r="L99" s="1589">
        <v>0</v>
      </c>
      <c r="M99" s="1589">
        <v>0</v>
      </c>
      <c r="N99" s="1589">
        <v>0</v>
      </c>
      <c r="O99" s="1589">
        <v>0</v>
      </c>
      <c r="P99" s="1589">
        <v>0</v>
      </c>
      <c r="Q99" s="1589">
        <v>0</v>
      </c>
      <c r="R99" s="1589">
        <v>0</v>
      </c>
      <c r="S99" s="1589">
        <v>0</v>
      </c>
      <c r="T99" s="1589">
        <v>0</v>
      </c>
    </row>
    <row r="100" spans="1:20">
      <c r="D100" s="7" t="s">
        <v>538</v>
      </c>
      <c r="E100" s="1589">
        <v>0</v>
      </c>
      <c r="F100" s="1589">
        <v>0</v>
      </c>
      <c r="G100" s="1589">
        <v>0</v>
      </c>
      <c r="H100" s="1589">
        <v>0</v>
      </c>
      <c r="I100" s="1589">
        <v>0</v>
      </c>
      <c r="J100" s="1589">
        <v>0</v>
      </c>
      <c r="K100" s="1589">
        <v>0</v>
      </c>
      <c r="L100" s="1589">
        <v>0</v>
      </c>
      <c r="M100" s="1589">
        <v>0</v>
      </c>
      <c r="N100" s="1589">
        <v>0</v>
      </c>
      <c r="O100" s="1589">
        <v>0</v>
      </c>
      <c r="P100" s="1589">
        <v>0</v>
      </c>
      <c r="Q100" s="1589">
        <v>0</v>
      </c>
      <c r="R100" s="1589">
        <v>0</v>
      </c>
      <c r="S100" s="1589">
        <v>0</v>
      </c>
      <c r="T100" s="1589">
        <v>0</v>
      </c>
    </row>
    <row r="101" spans="1:20">
      <c r="D101" s="7" t="s">
        <v>540</v>
      </c>
      <c r="E101" s="1589">
        <v>0</v>
      </c>
      <c r="F101" s="1589">
        <v>0</v>
      </c>
      <c r="G101" s="1589">
        <v>0</v>
      </c>
      <c r="H101" s="1589">
        <v>0</v>
      </c>
      <c r="I101" s="1589">
        <v>0</v>
      </c>
      <c r="J101" s="1589">
        <v>0</v>
      </c>
      <c r="K101" s="1589">
        <v>0</v>
      </c>
      <c r="L101" s="1589">
        <v>0</v>
      </c>
      <c r="M101" s="1589">
        <v>0</v>
      </c>
      <c r="N101" s="1589">
        <v>0</v>
      </c>
      <c r="O101" s="1589">
        <v>0</v>
      </c>
      <c r="P101" s="1589">
        <v>0</v>
      </c>
      <c r="Q101" s="1589">
        <v>0</v>
      </c>
      <c r="R101" s="1589">
        <v>0</v>
      </c>
      <c r="S101" s="1589">
        <v>0</v>
      </c>
      <c r="T101" s="1589">
        <v>0</v>
      </c>
    </row>
    <row r="102" spans="1:20">
      <c r="A102" s="7" t="s">
        <v>652</v>
      </c>
      <c r="B102" s="7" t="s">
        <v>661</v>
      </c>
      <c r="C102" s="7" t="s">
        <v>662</v>
      </c>
      <c r="D102" s="7" t="s">
        <v>663</v>
      </c>
      <c r="E102" s="1589">
        <v>0</v>
      </c>
      <c r="F102" s="1589">
        <v>0</v>
      </c>
      <c r="G102" s="1589">
        <v>0</v>
      </c>
      <c r="H102" s="1589">
        <v>0</v>
      </c>
      <c r="I102" s="1589">
        <v>0</v>
      </c>
      <c r="J102" s="1589">
        <v>0</v>
      </c>
      <c r="K102" s="1589">
        <v>0</v>
      </c>
      <c r="L102" s="1589">
        <v>0</v>
      </c>
      <c r="M102" s="1589">
        <v>0</v>
      </c>
      <c r="N102" s="1589">
        <v>0</v>
      </c>
      <c r="O102" s="1589">
        <v>0</v>
      </c>
      <c r="P102" s="1589">
        <v>0</v>
      </c>
      <c r="Q102" s="1589">
        <v>0</v>
      </c>
      <c r="R102" s="1589">
        <v>0</v>
      </c>
      <c r="S102" s="1589">
        <v>0</v>
      </c>
      <c r="T102" s="1589">
        <v>0</v>
      </c>
    </row>
    <row r="103" spans="1:20">
      <c r="D103" s="7" t="s">
        <v>665</v>
      </c>
      <c r="E103" s="1589">
        <v>0</v>
      </c>
      <c r="F103" s="1589">
        <v>0</v>
      </c>
      <c r="G103" s="1589">
        <v>0</v>
      </c>
      <c r="H103" s="1589">
        <v>0</v>
      </c>
      <c r="I103" s="1589">
        <v>0</v>
      </c>
      <c r="J103" s="1589">
        <v>0</v>
      </c>
      <c r="K103" s="1589">
        <v>0</v>
      </c>
      <c r="L103" s="1589">
        <v>0</v>
      </c>
      <c r="M103" s="1589">
        <v>0</v>
      </c>
      <c r="N103" s="1589">
        <v>0</v>
      </c>
      <c r="O103" s="1589">
        <v>0</v>
      </c>
      <c r="P103" s="1589">
        <v>0</v>
      </c>
      <c r="Q103" s="1589">
        <v>0</v>
      </c>
      <c r="R103" s="1589">
        <v>0</v>
      </c>
      <c r="S103" s="1589">
        <v>0</v>
      </c>
      <c r="T103" s="1589">
        <v>0</v>
      </c>
    </row>
    <row r="104" spans="1:20">
      <c r="D104" s="7" t="s">
        <v>597</v>
      </c>
      <c r="E104" s="1589">
        <v>0</v>
      </c>
      <c r="F104" s="1589">
        <v>0</v>
      </c>
      <c r="G104" s="1589">
        <v>0</v>
      </c>
      <c r="H104" s="1589">
        <v>0</v>
      </c>
      <c r="I104" s="1589">
        <v>0</v>
      </c>
      <c r="J104" s="1589">
        <v>0</v>
      </c>
      <c r="K104" s="1589">
        <v>0</v>
      </c>
      <c r="L104" s="1589">
        <v>0</v>
      </c>
      <c r="M104" s="1589">
        <v>0</v>
      </c>
      <c r="N104" s="1589">
        <v>0</v>
      </c>
      <c r="O104" s="1589">
        <v>0</v>
      </c>
      <c r="P104" s="1589">
        <v>0</v>
      </c>
      <c r="Q104" s="1589">
        <v>0</v>
      </c>
      <c r="R104" s="1589">
        <v>0</v>
      </c>
      <c r="S104" s="1589">
        <v>0</v>
      </c>
      <c r="T104" s="1589">
        <v>0</v>
      </c>
    </row>
    <row r="105" spans="1:20">
      <c r="C105" s="7" t="s">
        <v>527</v>
      </c>
      <c r="D105" s="7" t="s">
        <v>528</v>
      </c>
      <c r="E105" s="1589">
        <v>0</v>
      </c>
      <c r="F105" s="1589">
        <v>0</v>
      </c>
      <c r="G105" s="1589">
        <v>0</v>
      </c>
      <c r="H105" s="1589">
        <v>0</v>
      </c>
      <c r="I105" s="1589">
        <v>0</v>
      </c>
      <c r="J105" s="1589">
        <v>0</v>
      </c>
      <c r="K105" s="1589">
        <v>0</v>
      </c>
      <c r="L105" s="1589">
        <v>0</v>
      </c>
      <c r="M105" s="1589">
        <v>0</v>
      </c>
      <c r="N105" s="1589">
        <v>0</v>
      </c>
      <c r="O105" s="1589">
        <v>0</v>
      </c>
      <c r="P105" s="1589">
        <v>0</v>
      </c>
      <c r="Q105" s="1589">
        <v>0</v>
      </c>
      <c r="R105" s="1589">
        <v>0</v>
      </c>
      <c r="S105" s="1589">
        <v>0</v>
      </c>
      <c r="T105" s="1589">
        <v>0</v>
      </c>
    </row>
    <row r="106" spans="1:20">
      <c r="D106" s="7" t="s">
        <v>530</v>
      </c>
      <c r="E106" s="1589">
        <v>0</v>
      </c>
      <c r="F106" s="1589">
        <v>0</v>
      </c>
      <c r="G106" s="1589">
        <v>0</v>
      </c>
      <c r="H106" s="1589">
        <v>0</v>
      </c>
      <c r="I106" s="1589">
        <v>0</v>
      </c>
      <c r="J106" s="1589">
        <v>0</v>
      </c>
      <c r="K106" s="1589">
        <v>0</v>
      </c>
      <c r="L106" s="1589">
        <v>0</v>
      </c>
      <c r="M106" s="1589">
        <v>0</v>
      </c>
      <c r="N106" s="1589">
        <v>0</v>
      </c>
      <c r="O106" s="1589">
        <v>0</v>
      </c>
      <c r="P106" s="1589">
        <v>0</v>
      </c>
      <c r="Q106" s="1589">
        <v>0</v>
      </c>
      <c r="R106" s="1589">
        <v>0</v>
      </c>
      <c r="S106" s="1589">
        <v>0</v>
      </c>
      <c r="T106" s="1589">
        <v>0</v>
      </c>
    </row>
    <row r="107" spans="1:20">
      <c r="D107" s="7" t="s">
        <v>532</v>
      </c>
      <c r="E107" s="1589">
        <v>0</v>
      </c>
      <c r="F107" s="1589">
        <v>0</v>
      </c>
      <c r="G107" s="1589">
        <v>0</v>
      </c>
      <c r="H107" s="1589">
        <v>0</v>
      </c>
      <c r="I107" s="1589">
        <v>0</v>
      </c>
      <c r="J107" s="1589">
        <v>0</v>
      </c>
      <c r="K107" s="1589">
        <v>0</v>
      </c>
      <c r="L107" s="1589">
        <v>0</v>
      </c>
      <c r="M107" s="1589">
        <v>0</v>
      </c>
      <c r="N107" s="1589">
        <v>0</v>
      </c>
      <c r="O107" s="1589">
        <v>0</v>
      </c>
      <c r="P107" s="1589">
        <v>0</v>
      </c>
      <c r="Q107" s="1589">
        <v>0</v>
      </c>
      <c r="R107" s="1589">
        <v>0</v>
      </c>
      <c r="S107" s="1589">
        <v>0</v>
      </c>
      <c r="T107" s="1589">
        <v>0</v>
      </c>
    </row>
    <row r="108" spans="1:20">
      <c r="D108" s="7" t="s">
        <v>534</v>
      </c>
      <c r="E108" s="1589">
        <v>0</v>
      </c>
      <c r="F108" s="1589">
        <v>0</v>
      </c>
      <c r="G108" s="1589">
        <v>0</v>
      </c>
      <c r="H108" s="1589">
        <v>0</v>
      </c>
      <c r="I108" s="1589">
        <v>0</v>
      </c>
      <c r="J108" s="1589">
        <v>0</v>
      </c>
      <c r="K108" s="1589">
        <v>0</v>
      </c>
      <c r="L108" s="1589">
        <v>0</v>
      </c>
      <c r="M108" s="1589">
        <v>0</v>
      </c>
      <c r="N108" s="1589">
        <v>0</v>
      </c>
      <c r="O108" s="1589">
        <v>0</v>
      </c>
      <c r="P108" s="1589">
        <v>0</v>
      </c>
      <c r="Q108" s="1589">
        <v>0</v>
      </c>
      <c r="R108" s="1589">
        <v>0</v>
      </c>
      <c r="S108" s="1589">
        <v>0</v>
      </c>
      <c r="T108" s="1589">
        <v>0</v>
      </c>
    </row>
    <row r="109" spans="1:20">
      <c r="D109" s="7" t="s">
        <v>536</v>
      </c>
      <c r="E109" s="1589">
        <v>0</v>
      </c>
      <c r="F109" s="1589">
        <v>0</v>
      </c>
      <c r="G109" s="1589">
        <v>0</v>
      </c>
      <c r="H109" s="1589">
        <v>0</v>
      </c>
      <c r="I109" s="1589">
        <v>0</v>
      </c>
      <c r="J109" s="1589">
        <v>0</v>
      </c>
      <c r="K109" s="1589">
        <v>0</v>
      </c>
      <c r="L109" s="1589">
        <v>0</v>
      </c>
      <c r="M109" s="1589">
        <v>0</v>
      </c>
      <c r="N109" s="1589">
        <v>0</v>
      </c>
      <c r="O109" s="1589">
        <v>0</v>
      </c>
      <c r="P109" s="1589">
        <v>0</v>
      </c>
      <c r="Q109" s="1589">
        <v>0</v>
      </c>
      <c r="R109" s="1589">
        <v>0</v>
      </c>
      <c r="S109" s="1589">
        <v>0</v>
      </c>
      <c r="T109" s="1589">
        <v>0</v>
      </c>
    </row>
    <row r="110" spans="1:20">
      <c r="D110" s="7" t="s">
        <v>538</v>
      </c>
      <c r="E110" s="1589">
        <v>0</v>
      </c>
      <c r="F110" s="1589">
        <v>0</v>
      </c>
      <c r="G110" s="1589">
        <v>0</v>
      </c>
      <c r="H110" s="1589">
        <v>0</v>
      </c>
      <c r="I110" s="1589">
        <v>0</v>
      </c>
      <c r="J110" s="1589">
        <v>0</v>
      </c>
      <c r="K110" s="1589">
        <v>0</v>
      </c>
      <c r="L110" s="1589">
        <v>0</v>
      </c>
      <c r="M110" s="1589">
        <v>0</v>
      </c>
      <c r="N110" s="1589">
        <v>0</v>
      </c>
      <c r="O110" s="1589">
        <v>0</v>
      </c>
      <c r="P110" s="1589">
        <v>0</v>
      </c>
      <c r="Q110" s="1589">
        <v>0</v>
      </c>
      <c r="R110" s="1589">
        <v>0</v>
      </c>
      <c r="S110" s="1589">
        <v>0</v>
      </c>
      <c r="T110" s="1589">
        <v>0</v>
      </c>
    </row>
    <row r="111" spans="1:20">
      <c r="D111" s="7" t="s">
        <v>540</v>
      </c>
      <c r="E111" s="1589">
        <v>0</v>
      </c>
      <c r="F111" s="1589">
        <v>0</v>
      </c>
      <c r="G111" s="1589">
        <v>0</v>
      </c>
      <c r="H111" s="1589">
        <v>0</v>
      </c>
      <c r="I111" s="1589">
        <v>0</v>
      </c>
      <c r="J111" s="1589">
        <v>0</v>
      </c>
      <c r="K111" s="1589">
        <v>0</v>
      </c>
      <c r="L111" s="1589">
        <v>0</v>
      </c>
      <c r="M111" s="1589">
        <v>0</v>
      </c>
      <c r="N111" s="1589">
        <v>0</v>
      </c>
      <c r="O111" s="1589">
        <v>0</v>
      </c>
      <c r="P111" s="1589">
        <v>0</v>
      </c>
      <c r="Q111" s="1589">
        <v>0</v>
      </c>
      <c r="R111" s="1589">
        <v>0</v>
      </c>
      <c r="S111" s="1589">
        <v>0</v>
      </c>
      <c r="T111" s="1589">
        <v>0</v>
      </c>
    </row>
    <row r="112" spans="1:20">
      <c r="B112" s="7" t="s">
        <v>668</v>
      </c>
      <c r="C112" s="7" t="s">
        <v>662</v>
      </c>
      <c r="D112" s="7" t="s">
        <v>663</v>
      </c>
      <c r="E112" s="1589">
        <v>0</v>
      </c>
      <c r="F112" s="1589">
        <v>0</v>
      </c>
      <c r="G112" s="1589">
        <v>0</v>
      </c>
      <c r="H112" s="1589">
        <v>0</v>
      </c>
      <c r="I112" s="1589">
        <v>0</v>
      </c>
      <c r="J112" s="1589">
        <v>0</v>
      </c>
      <c r="K112" s="1589">
        <v>0</v>
      </c>
      <c r="L112" s="1589">
        <v>0</v>
      </c>
      <c r="M112" s="1589">
        <v>0</v>
      </c>
      <c r="N112" s="1589">
        <v>0</v>
      </c>
      <c r="O112" s="1589">
        <v>0</v>
      </c>
      <c r="P112" s="1589">
        <v>0</v>
      </c>
      <c r="Q112" s="1589">
        <v>0</v>
      </c>
      <c r="R112" s="1589">
        <v>0</v>
      </c>
      <c r="S112" s="1589">
        <v>0</v>
      </c>
      <c r="T112" s="1589">
        <v>0</v>
      </c>
    </row>
    <row r="113" spans="2:20">
      <c r="D113" s="7" t="s">
        <v>665</v>
      </c>
      <c r="E113" s="1589">
        <v>0</v>
      </c>
      <c r="F113" s="1589">
        <v>0</v>
      </c>
      <c r="G113" s="1589">
        <v>0</v>
      </c>
      <c r="H113" s="1589">
        <v>0</v>
      </c>
      <c r="I113" s="1589">
        <v>0</v>
      </c>
      <c r="J113" s="1589">
        <v>0</v>
      </c>
      <c r="K113" s="1589">
        <v>0</v>
      </c>
      <c r="L113" s="1589">
        <v>0</v>
      </c>
      <c r="M113" s="1589">
        <v>0</v>
      </c>
      <c r="N113" s="1589">
        <v>0</v>
      </c>
      <c r="O113" s="1589">
        <v>0</v>
      </c>
      <c r="P113" s="1589">
        <v>0</v>
      </c>
      <c r="Q113" s="1589">
        <v>0</v>
      </c>
      <c r="R113" s="1589">
        <v>0</v>
      </c>
      <c r="S113" s="1589">
        <v>0</v>
      </c>
      <c r="T113" s="1589">
        <v>0</v>
      </c>
    </row>
    <row r="114" spans="2:20">
      <c r="D114" s="7" t="s">
        <v>597</v>
      </c>
      <c r="E114" s="1589">
        <v>0</v>
      </c>
      <c r="F114" s="1589">
        <v>0</v>
      </c>
      <c r="G114" s="1589">
        <v>0</v>
      </c>
      <c r="H114" s="1589">
        <v>0</v>
      </c>
      <c r="I114" s="1589">
        <v>0</v>
      </c>
      <c r="J114" s="1589">
        <v>0</v>
      </c>
      <c r="K114" s="1589">
        <v>0</v>
      </c>
      <c r="L114" s="1589">
        <v>0</v>
      </c>
      <c r="M114" s="1589">
        <v>0</v>
      </c>
      <c r="N114" s="1589">
        <v>0</v>
      </c>
      <c r="O114" s="1589">
        <v>0</v>
      </c>
      <c r="P114" s="1589">
        <v>0</v>
      </c>
      <c r="Q114" s="1589">
        <v>0</v>
      </c>
      <c r="R114" s="1589">
        <v>0</v>
      </c>
      <c r="S114" s="1589">
        <v>0</v>
      </c>
      <c r="T114" s="1589">
        <v>0</v>
      </c>
    </row>
    <row r="115" spans="2:20">
      <c r="C115" s="7" t="s">
        <v>527</v>
      </c>
      <c r="D115" s="7" t="s">
        <v>528</v>
      </c>
      <c r="E115" s="1589">
        <v>0</v>
      </c>
      <c r="F115" s="1589">
        <v>0</v>
      </c>
      <c r="G115" s="1589">
        <v>0</v>
      </c>
      <c r="H115" s="1589">
        <v>0</v>
      </c>
      <c r="I115" s="1589">
        <v>0</v>
      </c>
      <c r="J115" s="1589">
        <v>0</v>
      </c>
      <c r="K115" s="1589">
        <v>0</v>
      </c>
      <c r="L115" s="1589">
        <v>0</v>
      </c>
      <c r="M115" s="1589">
        <v>0</v>
      </c>
      <c r="N115" s="1589">
        <v>0</v>
      </c>
      <c r="O115" s="1589">
        <v>0</v>
      </c>
      <c r="P115" s="1589">
        <v>0</v>
      </c>
      <c r="Q115" s="1589">
        <v>0</v>
      </c>
      <c r="R115" s="1589">
        <v>0</v>
      </c>
      <c r="S115" s="1589">
        <v>0</v>
      </c>
      <c r="T115" s="1589">
        <v>0</v>
      </c>
    </row>
    <row r="116" spans="2:20">
      <c r="D116" s="7" t="s">
        <v>530</v>
      </c>
      <c r="E116" s="1589">
        <v>0</v>
      </c>
      <c r="F116" s="1589">
        <v>0</v>
      </c>
      <c r="G116" s="1589">
        <v>0</v>
      </c>
      <c r="H116" s="1589">
        <v>0</v>
      </c>
      <c r="I116" s="1589">
        <v>0</v>
      </c>
      <c r="J116" s="1589">
        <v>0</v>
      </c>
      <c r="K116" s="1589">
        <v>0</v>
      </c>
      <c r="L116" s="1589">
        <v>0</v>
      </c>
      <c r="M116" s="1589">
        <v>0</v>
      </c>
      <c r="N116" s="1589">
        <v>0</v>
      </c>
      <c r="O116" s="1589">
        <v>0</v>
      </c>
      <c r="P116" s="1589">
        <v>0</v>
      </c>
      <c r="Q116" s="1589">
        <v>0</v>
      </c>
      <c r="R116" s="1589">
        <v>0</v>
      </c>
      <c r="S116" s="1589">
        <v>0</v>
      </c>
      <c r="T116" s="1589">
        <v>0</v>
      </c>
    </row>
    <row r="117" spans="2:20">
      <c r="D117" s="7" t="s">
        <v>532</v>
      </c>
      <c r="E117" s="1589">
        <v>0</v>
      </c>
      <c r="F117" s="1589">
        <v>0</v>
      </c>
      <c r="G117" s="1589">
        <v>0</v>
      </c>
      <c r="H117" s="1589">
        <v>0</v>
      </c>
      <c r="I117" s="1589">
        <v>0</v>
      </c>
      <c r="J117" s="1589">
        <v>0</v>
      </c>
      <c r="K117" s="1589">
        <v>0</v>
      </c>
      <c r="L117" s="1589">
        <v>0</v>
      </c>
      <c r="M117" s="1589">
        <v>0</v>
      </c>
      <c r="N117" s="1589">
        <v>0</v>
      </c>
      <c r="O117" s="1589">
        <v>0</v>
      </c>
      <c r="P117" s="1589">
        <v>0</v>
      </c>
      <c r="Q117" s="1589">
        <v>0</v>
      </c>
      <c r="R117" s="1589">
        <v>0</v>
      </c>
      <c r="S117" s="1589">
        <v>0</v>
      </c>
      <c r="T117" s="1589">
        <v>0</v>
      </c>
    </row>
    <row r="118" spans="2:20">
      <c r="D118" s="7" t="s">
        <v>534</v>
      </c>
      <c r="E118" s="1589">
        <v>0</v>
      </c>
      <c r="F118" s="1589">
        <v>0</v>
      </c>
      <c r="G118" s="1589">
        <v>0</v>
      </c>
      <c r="H118" s="1589">
        <v>0</v>
      </c>
      <c r="I118" s="1589">
        <v>0</v>
      </c>
      <c r="J118" s="1589">
        <v>0</v>
      </c>
      <c r="K118" s="1589">
        <v>0</v>
      </c>
      <c r="L118" s="1589">
        <v>0</v>
      </c>
      <c r="M118" s="1589">
        <v>0</v>
      </c>
      <c r="N118" s="1589">
        <v>0</v>
      </c>
      <c r="O118" s="1589">
        <v>0</v>
      </c>
      <c r="P118" s="1589">
        <v>0</v>
      </c>
      <c r="Q118" s="1589">
        <v>0</v>
      </c>
      <c r="R118" s="1589">
        <v>0</v>
      </c>
      <c r="S118" s="1589">
        <v>0</v>
      </c>
      <c r="T118" s="1589">
        <v>0</v>
      </c>
    </row>
    <row r="119" spans="2:20">
      <c r="D119" s="7" t="s">
        <v>536</v>
      </c>
      <c r="E119" s="1589">
        <v>0</v>
      </c>
      <c r="F119" s="1589">
        <v>0</v>
      </c>
      <c r="G119" s="1589">
        <v>0</v>
      </c>
      <c r="H119" s="1589">
        <v>0</v>
      </c>
      <c r="I119" s="1589">
        <v>0</v>
      </c>
      <c r="J119" s="1589">
        <v>0</v>
      </c>
      <c r="K119" s="1589">
        <v>0</v>
      </c>
      <c r="L119" s="1589">
        <v>0</v>
      </c>
      <c r="M119" s="1589">
        <v>0</v>
      </c>
      <c r="N119" s="1589">
        <v>0</v>
      </c>
      <c r="O119" s="1589">
        <v>0</v>
      </c>
      <c r="P119" s="1589">
        <v>0</v>
      </c>
      <c r="Q119" s="1589">
        <v>0</v>
      </c>
      <c r="R119" s="1589">
        <v>0</v>
      </c>
      <c r="S119" s="1589">
        <v>0</v>
      </c>
      <c r="T119" s="1589">
        <v>0</v>
      </c>
    </row>
    <row r="120" spans="2:20">
      <c r="D120" s="7" t="s">
        <v>538</v>
      </c>
      <c r="E120" s="1589">
        <v>0</v>
      </c>
      <c r="F120" s="1589">
        <v>0</v>
      </c>
      <c r="G120" s="1589">
        <v>0</v>
      </c>
      <c r="H120" s="1589">
        <v>0</v>
      </c>
      <c r="I120" s="1589">
        <v>0</v>
      </c>
      <c r="J120" s="1589">
        <v>0</v>
      </c>
      <c r="K120" s="1589">
        <v>0</v>
      </c>
      <c r="L120" s="1589">
        <v>0</v>
      </c>
      <c r="M120" s="1589">
        <v>0</v>
      </c>
      <c r="N120" s="1589">
        <v>0</v>
      </c>
      <c r="O120" s="1589">
        <v>0</v>
      </c>
      <c r="P120" s="1589">
        <v>0</v>
      </c>
      <c r="Q120" s="1589">
        <v>0</v>
      </c>
      <c r="R120" s="1589">
        <v>0</v>
      </c>
      <c r="S120" s="1589">
        <v>0</v>
      </c>
      <c r="T120" s="1589">
        <v>0</v>
      </c>
    </row>
    <row r="121" spans="2:20">
      <c r="D121" s="7" t="s">
        <v>540</v>
      </c>
      <c r="E121" s="1589">
        <v>0</v>
      </c>
      <c r="F121" s="1589">
        <v>0</v>
      </c>
      <c r="G121" s="1589">
        <v>0</v>
      </c>
      <c r="H121" s="1589">
        <v>0</v>
      </c>
      <c r="I121" s="1589">
        <v>0</v>
      </c>
      <c r="J121" s="1589">
        <v>0</v>
      </c>
      <c r="K121" s="1589">
        <v>0</v>
      </c>
      <c r="L121" s="1589">
        <v>0</v>
      </c>
      <c r="M121" s="1589">
        <v>0</v>
      </c>
      <c r="N121" s="1589">
        <v>0</v>
      </c>
      <c r="O121" s="1589">
        <v>0</v>
      </c>
      <c r="P121" s="1589">
        <v>0</v>
      </c>
      <c r="Q121" s="1589">
        <v>0</v>
      </c>
      <c r="R121" s="1589">
        <v>0</v>
      </c>
      <c r="S121" s="1589">
        <v>0</v>
      </c>
      <c r="T121" s="1589">
        <v>0</v>
      </c>
    </row>
    <row r="122" spans="2:20">
      <c r="B122" s="7" t="s">
        <v>666</v>
      </c>
      <c r="C122" s="7" t="s">
        <v>2511</v>
      </c>
      <c r="D122" s="7" t="s">
        <v>653</v>
      </c>
      <c r="E122" s="1589">
        <v>0</v>
      </c>
      <c r="F122" s="1589">
        <v>0</v>
      </c>
      <c r="G122" s="1589">
        <v>0</v>
      </c>
      <c r="H122" s="1589">
        <v>0</v>
      </c>
      <c r="I122" s="1589">
        <v>0</v>
      </c>
      <c r="J122" s="1589">
        <v>0</v>
      </c>
      <c r="K122" s="1589">
        <v>0</v>
      </c>
      <c r="L122" s="1589">
        <v>0</v>
      </c>
      <c r="M122" s="1589">
        <v>0</v>
      </c>
      <c r="N122" s="1589">
        <v>0</v>
      </c>
      <c r="O122" s="1589">
        <v>0</v>
      </c>
      <c r="P122" s="1589">
        <v>0</v>
      </c>
      <c r="Q122" s="1589">
        <v>0</v>
      </c>
      <c r="R122" s="1589">
        <v>0</v>
      </c>
      <c r="S122" s="1589">
        <v>0</v>
      </c>
      <c r="T122" s="1589">
        <v>0</v>
      </c>
    </row>
    <row r="123" spans="2:20">
      <c r="B123" s="7" t="s">
        <v>667</v>
      </c>
      <c r="C123" s="7" t="s">
        <v>2513</v>
      </c>
      <c r="D123" s="7" t="s">
        <v>664</v>
      </c>
      <c r="E123" s="1589">
        <v>0</v>
      </c>
      <c r="F123" s="1589">
        <v>0</v>
      </c>
      <c r="G123" s="1589">
        <v>0</v>
      </c>
      <c r="H123" s="1589">
        <v>0</v>
      </c>
      <c r="I123" s="1589">
        <v>0</v>
      </c>
      <c r="J123" s="1589">
        <v>0</v>
      </c>
      <c r="K123" s="1589">
        <v>0</v>
      </c>
      <c r="L123" s="1589">
        <v>0</v>
      </c>
      <c r="M123" s="1589">
        <v>0</v>
      </c>
      <c r="N123" s="1589">
        <v>0</v>
      </c>
      <c r="O123" s="1589">
        <v>0</v>
      </c>
      <c r="P123" s="1589">
        <v>0</v>
      </c>
      <c r="Q123" s="1589">
        <v>0</v>
      </c>
      <c r="R123" s="1589">
        <v>0</v>
      </c>
      <c r="S123" s="1589">
        <v>0</v>
      </c>
      <c r="T123" s="1589">
        <v>0</v>
      </c>
    </row>
    <row r="124" spans="2:20">
      <c r="C124" s="7" t="s">
        <v>527</v>
      </c>
      <c r="D124" s="7" t="s">
        <v>528</v>
      </c>
      <c r="E124" s="1589">
        <v>0</v>
      </c>
      <c r="F124" s="1589">
        <v>0</v>
      </c>
      <c r="G124" s="1589">
        <v>0</v>
      </c>
      <c r="H124" s="1589">
        <v>0</v>
      </c>
      <c r="I124" s="1589">
        <v>0</v>
      </c>
      <c r="J124" s="1589">
        <v>0</v>
      </c>
      <c r="K124" s="1589">
        <v>0</v>
      </c>
      <c r="L124" s="1589">
        <v>0</v>
      </c>
      <c r="M124" s="1589">
        <v>0</v>
      </c>
      <c r="N124" s="1589">
        <v>0</v>
      </c>
      <c r="O124" s="1589">
        <v>0</v>
      </c>
      <c r="P124" s="1589">
        <v>0</v>
      </c>
      <c r="Q124" s="1589">
        <v>0</v>
      </c>
      <c r="R124" s="1589">
        <v>0</v>
      </c>
      <c r="S124" s="1589">
        <v>0</v>
      </c>
      <c r="T124" s="1589">
        <v>0</v>
      </c>
    </row>
    <row r="125" spans="2:20">
      <c r="D125" s="7" t="s">
        <v>530</v>
      </c>
      <c r="E125" s="1589">
        <v>0</v>
      </c>
      <c r="F125" s="1589">
        <v>0</v>
      </c>
      <c r="G125" s="1589">
        <v>0</v>
      </c>
      <c r="H125" s="1589">
        <v>0</v>
      </c>
      <c r="I125" s="1589">
        <v>0</v>
      </c>
      <c r="J125" s="1589">
        <v>0</v>
      </c>
      <c r="K125" s="1589">
        <v>0</v>
      </c>
      <c r="L125" s="1589">
        <v>0</v>
      </c>
      <c r="M125" s="1589">
        <v>0</v>
      </c>
      <c r="N125" s="1589">
        <v>0</v>
      </c>
      <c r="O125" s="1589">
        <v>0</v>
      </c>
      <c r="P125" s="1589">
        <v>0</v>
      </c>
      <c r="Q125" s="1589">
        <v>0</v>
      </c>
      <c r="R125" s="1589">
        <v>0</v>
      </c>
      <c r="S125" s="1589">
        <v>0</v>
      </c>
      <c r="T125" s="1589">
        <v>0</v>
      </c>
    </row>
    <row r="126" spans="2:20">
      <c r="D126" s="7" t="s">
        <v>532</v>
      </c>
      <c r="E126" s="1589">
        <v>0</v>
      </c>
      <c r="F126" s="1589">
        <v>0</v>
      </c>
      <c r="G126" s="1589">
        <v>0</v>
      </c>
      <c r="H126" s="1589">
        <v>0</v>
      </c>
      <c r="I126" s="1589">
        <v>0</v>
      </c>
      <c r="J126" s="1589">
        <v>0</v>
      </c>
      <c r="K126" s="1589">
        <v>0</v>
      </c>
      <c r="L126" s="1589">
        <v>0</v>
      </c>
      <c r="M126" s="1589">
        <v>0</v>
      </c>
      <c r="N126" s="1589">
        <v>0</v>
      </c>
      <c r="O126" s="1589">
        <v>0</v>
      </c>
      <c r="P126" s="1589">
        <v>0</v>
      </c>
      <c r="Q126" s="1589">
        <v>0</v>
      </c>
      <c r="R126" s="1589">
        <v>0</v>
      </c>
      <c r="S126" s="1589">
        <v>0</v>
      </c>
      <c r="T126" s="1589">
        <v>0</v>
      </c>
    </row>
    <row r="127" spans="2:20">
      <c r="D127" s="7" t="s">
        <v>534</v>
      </c>
      <c r="E127" s="1589">
        <v>0</v>
      </c>
      <c r="F127" s="1589">
        <v>0</v>
      </c>
      <c r="G127" s="1589">
        <v>0</v>
      </c>
      <c r="H127" s="1589">
        <v>0</v>
      </c>
      <c r="I127" s="1589">
        <v>0</v>
      </c>
      <c r="J127" s="1589">
        <v>0</v>
      </c>
      <c r="K127" s="1589">
        <v>0</v>
      </c>
      <c r="L127" s="1589">
        <v>0</v>
      </c>
      <c r="M127" s="1589">
        <v>0</v>
      </c>
      <c r="N127" s="1589">
        <v>0</v>
      </c>
      <c r="O127" s="1589">
        <v>0</v>
      </c>
      <c r="P127" s="1589">
        <v>0</v>
      </c>
      <c r="Q127" s="1589">
        <v>0</v>
      </c>
      <c r="R127" s="1589">
        <v>0</v>
      </c>
      <c r="S127" s="1589">
        <v>0</v>
      </c>
      <c r="T127" s="1589">
        <v>0</v>
      </c>
    </row>
    <row r="128" spans="2:20">
      <c r="D128" s="7" t="s">
        <v>536</v>
      </c>
      <c r="E128" s="1589">
        <v>0</v>
      </c>
      <c r="F128" s="1589">
        <v>0</v>
      </c>
      <c r="G128" s="1589">
        <v>0</v>
      </c>
      <c r="H128" s="1589">
        <v>0</v>
      </c>
      <c r="I128" s="1589">
        <v>0</v>
      </c>
      <c r="J128" s="1589">
        <v>0</v>
      </c>
      <c r="K128" s="1589">
        <v>0</v>
      </c>
      <c r="L128" s="1589">
        <v>0</v>
      </c>
      <c r="M128" s="1589">
        <v>0</v>
      </c>
      <c r="N128" s="1589">
        <v>0</v>
      </c>
      <c r="O128" s="1589">
        <v>0</v>
      </c>
      <c r="P128" s="1589">
        <v>0</v>
      </c>
      <c r="Q128" s="1589">
        <v>0</v>
      </c>
      <c r="R128" s="1589">
        <v>0</v>
      </c>
      <c r="S128" s="1589">
        <v>0</v>
      </c>
      <c r="T128" s="1589">
        <v>0</v>
      </c>
    </row>
    <row r="129" spans="1:20">
      <c r="D129" s="7" t="s">
        <v>538</v>
      </c>
      <c r="E129" s="1589">
        <v>0</v>
      </c>
      <c r="F129" s="1589">
        <v>0</v>
      </c>
      <c r="G129" s="1589">
        <v>0</v>
      </c>
      <c r="H129" s="1589">
        <v>0</v>
      </c>
      <c r="I129" s="1589">
        <v>0</v>
      </c>
      <c r="J129" s="1589">
        <v>0</v>
      </c>
      <c r="K129" s="1589">
        <v>0</v>
      </c>
      <c r="L129" s="1589">
        <v>0</v>
      </c>
      <c r="M129" s="1589">
        <v>0</v>
      </c>
      <c r="N129" s="1589">
        <v>0</v>
      </c>
      <c r="O129" s="1589">
        <v>0</v>
      </c>
      <c r="P129" s="1589">
        <v>0</v>
      </c>
      <c r="Q129" s="1589">
        <v>0</v>
      </c>
      <c r="R129" s="1589">
        <v>0</v>
      </c>
      <c r="S129" s="1589">
        <v>0</v>
      </c>
      <c r="T129" s="1589">
        <v>0</v>
      </c>
    </row>
    <row r="130" spans="1:20">
      <c r="D130" s="7" t="s">
        <v>540</v>
      </c>
      <c r="E130" s="1589">
        <v>0</v>
      </c>
      <c r="F130" s="1589">
        <v>0</v>
      </c>
      <c r="G130" s="1589">
        <v>0</v>
      </c>
      <c r="H130" s="1589">
        <v>0</v>
      </c>
      <c r="I130" s="1589">
        <v>0</v>
      </c>
      <c r="J130" s="1589">
        <v>0</v>
      </c>
      <c r="K130" s="1589">
        <v>0</v>
      </c>
      <c r="L130" s="1589">
        <v>0</v>
      </c>
      <c r="M130" s="1589">
        <v>0</v>
      </c>
      <c r="N130" s="1589">
        <v>0</v>
      </c>
      <c r="O130" s="1589">
        <v>0</v>
      </c>
      <c r="P130" s="1589">
        <v>0</v>
      </c>
      <c r="Q130" s="1589">
        <v>0</v>
      </c>
      <c r="R130" s="1589">
        <v>0</v>
      </c>
      <c r="S130" s="1589">
        <v>0</v>
      </c>
      <c r="T130" s="1589">
        <v>0</v>
      </c>
    </row>
    <row r="131" spans="1:20">
      <c r="A131" s="7" t="s">
        <v>612</v>
      </c>
      <c r="B131" s="7" t="s">
        <v>621</v>
      </c>
      <c r="C131" s="7" t="s">
        <v>2564</v>
      </c>
      <c r="D131" s="7" t="s">
        <v>600</v>
      </c>
      <c r="E131" s="1589">
        <v>0</v>
      </c>
      <c r="F131" s="1589">
        <v>0</v>
      </c>
      <c r="G131" s="1589">
        <v>0</v>
      </c>
      <c r="H131" s="1589">
        <v>0</v>
      </c>
      <c r="I131" s="1589">
        <v>0</v>
      </c>
      <c r="J131" s="1589">
        <v>0</v>
      </c>
      <c r="K131" s="1589">
        <v>0</v>
      </c>
      <c r="L131" s="1589">
        <v>0</v>
      </c>
      <c r="M131" s="1589">
        <v>0</v>
      </c>
      <c r="N131" s="1589">
        <v>0</v>
      </c>
      <c r="O131" s="1589">
        <v>0</v>
      </c>
      <c r="P131" s="1589">
        <v>0</v>
      </c>
      <c r="Q131" s="1589">
        <v>0</v>
      </c>
      <c r="R131" s="1589">
        <v>0</v>
      </c>
      <c r="S131" s="1589">
        <v>0</v>
      </c>
      <c r="T131" s="1589">
        <v>0</v>
      </c>
    </row>
    <row r="132" spans="1:20">
      <c r="C132" s="7" t="s">
        <v>527</v>
      </c>
      <c r="D132" s="7" t="s">
        <v>528</v>
      </c>
      <c r="E132" s="1589">
        <v>0</v>
      </c>
      <c r="F132" s="1589">
        <v>0</v>
      </c>
      <c r="G132" s="1589">
        <v>0</v>
      </c>
      <c r="H132" s="1589">
        <v>0</v>
      </c>
      <c r="I132" s="1589">
        <v>0</v>
      </c>
      <c r="J132" s="1589">
        <v>0</v>
      </c>
      <c r="K132" s="1589">
        <v>0</v>
      </c>
      <c r="L132" s="1589">
        <v>0</v>
      </c>
      <c r="M132" s="1589">
        <v>0</v>
      </c>
      <c r="N132" s="1589">
        <v>0</v>
      </c>
      <c r="O132" s="1589">
        <v>0</v>
      </c>
      <c r="P132" s="1589">
        <v>0</v>
      </c>
      <c r="Q132" s="1589">
        <v>0</v>
      </c>
      <c r="R132" s="1589">
        <v>0</v>
      </c>
      <c r="S132" s="1589">
        <v>0</v>
      </c>
      <c r="T132" s="1589">
        <v>0</v>
      </c>
    </row>
    <row r="133" spans="1:20">
      <c r="D133" s="7" t="s">
        <v>530</v>
      </c>
      <c r="E133" s="1589">
        <v>0</v>
      </c>
      <c r="F133" s="1589">
        <v>0</v>
      </c>
      <c r="G133" s="1589">
        <v>0</v>
      </c>
      <c r="H133" s="1589">
        <v>0</v>
      </c>
      <c r="I133" s="1589">
        <v>0</v>
      </c>
      <c r="J133" s="1589">
        <v>0</v>
      </c>
      <c r="K133" s="1589">
        <v>0</v>
      </c>
      <c r="L133" s="1589">
        <v>0</v>
      </c>
      <c r="M133" s="1589">
        <v>0</v>
      </c>
      <c r="N133" s="1589">
        <v>0</v>
      </c>
      <c r="O133" s="1589">
        <v>0</v>
      </c>
      <c r="P133" s="1589">
        <v>0</v>
      </c>
      <c r="Q133" s="1589">
        <v>0</v>
      </c>
      <c r="R133" s="1589">
        <v>0</v>
      </c>
      <c r="S133" s="1589">
        <v>0</v>
      </c>
      <c r="T133" s="1589">
        <v>0</v>
      </c>
    </row>
    <row r="134" spans="1:20">
      <c r="D134" s="7" t="s">
        <v>532</v>
      </c>
      <c r="E134" s="1589">
        <v>0</v>
      </c>
      <c r="F134" s="1589">
        <v>0</v>
      </c>
      <c r="G134" s="1589">
        <v>0</v>
      </c>
      <c r="H134" s="1589">
        <v>0</v>
      </c>
      <c r="I134" s="1589">
        <v>0</v>
      </c>
      <c r="J134" s="1589">
        <v>0</v>
      </c>
      <c r="K134" s="1589">
        <v>0</v>
      </c>
      <c r="L134" s="1589">
        <v>0</v>
      </c>
      <c r="M134" s="1589">
        <v>0</v>
      </c>
      <c r="N134" s="1589">
        <v>0</v>
      </c>
      <c r="O134" s="1589">
        <v>0</v>
      </c>
      <c r="P134" s="1589">
        <v>0</v>
      </c>
      <c r="Q134" s="1589">
        <v>0</v>
      </c>
      <c r="R134" s="1589">
        <v>0</v>
      </c>
      <c r="S134" s="1589">
        <v>0</v>
      </c>
      <c r="T134" s="1589">
        <v>0</v>
      </c>
    </row>
    <row r="135" spans="1:20">
      <c r="D135" s="7" t="s">
        <v>534</v>
      </c>
      <c r="E135" s="1589">
        <v>0</v>
      </c>
      <c r="F135" s="1589">
        <v>0</v>
      </c>
      <c r="G135" s="1589">
        <v>0</v>
      </c>
      <c r="H135" s="1589">
        <v>0</v>
      </c>
      <c r="I135" s="1589">
        <v>0</v>
      </c>
      <c r="J135" s="1589">
        <v>0</v>
      </c>
      <c r="K135" s="1589">
        <v>0</v>
      </c>
      <c r="L135" s="1589">
        <v>0</v>
      </c>
      <c r="M135" s="1589">
        <v>0</v>
      </c>
      <c r="N135" s="1589">
        <v>0</v>
      </c>
      <c r="O135" s="1589">
        <v>0</v>
      </c>
      <c r="P135" s="1589">
        <v>0</v>
      </c>
      <c r="Q135" s="1589">
        <v>0</v>
      </c>
      <c r="R135" s="1589">
        <v>0</v>
      </c>
      <c r="S135" s="1589">
        <v>0</v>
      </c>
      <c r="T135" s="1589">
        <v>0</v>
      </c>
    </row>
    <row r="136" spans="1:20">
      <c r="D136" s="7" t="s">
        <v>536</v>
      </c>
      <c r="E136" s="1589">
        <v>0</v>
      </c>
      <c r="F136" s="1589">
        <v>0</v>
      </c>
      <c r="G136" s="1589">
        <v>0</v>
      </c>
      <c r="H136" s="1589">
        <v>0</v>
      </c>
      <c r="I136" s="1589">
        <v>0</v>
      </c>
      <c r="J136" s="1589">
        <v>0</v>
      </c>
      <c r="K136" s="1589">
        <v>0</v>
      </c>
      <c r="L136" s="1589">
        <v>0</v>
      </c>
      <c r="M136" s="1589">
        <v>0</v>
      </c>
      <c r="N136" s="1589">
        <v>0</v>
      </c>
      <c r="O136" s="1589">
        <v>0</v>
      </c>
      <c r="P136" s="1589">
        <v>0</v>
      </c>
      <c r="Q136" s="1589">
        <v>0</v>
      </c>
      <c r="R136" s="1589">
        <v>0</v>
      </c>
      <c r="S136" s="1589">
        <v>0</v>
      </c>
      <c r="T136" s="1589">
        <v>0</v>
      </c>
    </row>
    <row r="137" spans="1:20">
      <c r="D137" s="7" t="s">
        <v>538</v>
      </c>
      <c r="E137" s="1589">
        <v>0</v>
      </c>
      <c r="F137" s="1589">
        <v>0</v>
      </c>
      <c r="G137" s="1589">
        <v>0</v>
      </c>
      <c r="H137" s="1589">
        <v>0</v>
      </c>
      <c r="I137" s="1589">
        <v>0</v>
      </c>
      <c r="J137" s="1589">
        <v>0</v>
      </c>
      <c r="K137" s="1589">
        <v>0</v>
      </c>
      <c r="L137" s="1589">
        <v>0</v>
      </c>
      <c r="M137" s="1589">
        <v>0</v>
      </c>
      <c r="N137" s="1589">
        <v>0</v>
      </c>
      <c r="O137" s="1589">
        <v>0</v>
      </c>
      <c r="P137" s="1589">
        <v>0</v>
      </c>
      <c r="Q137" s="1589">
        <v>0</v>
      </c>
      <c r="R137" s="1589">
        <v>0</v>
      </c>
      <c r="S137" s="1589">
        <v>0</v>
      </c>
      <c r="T137" s="1589">
        <v>0</v>
      </c>
    </row>
    <row r="138" spans="1:20">
      <c r="D138" s="7" t="s">
        <v>540</v>
      </c>
      <c r="E138" s="1589">
        <v>0</v>
      </c>
      <c r="F138" s="1589">
        <v>0</v>
      </c>
      <c r="G138" s="1589">
        <v>0</v>
      </c>
      <c r="H138" s="1589">
        <v>0</v>
      </c>
      <c r="I138" s="1589">
        <v>0</v>
      </c>
      <c r="J138" s="1589">
        <v>0</v>
      </c>
      <c r="K138" s="1589">
        <v>0</v>
      </c>
      <c r="L138" s="1589">
        <v>0</v>
      </c>
      <c r="M138" s="1589">
        <v>0</v>
      </c>
      <c r="N138" s="1589">
        <v>0</v>
      </c>
      <c r="O138" s="1589">
        <v>0</v>
      </c>
      <c r="P138" s="1589">
        <v>0</v>
      </c>
      <c r="Q138" s="1589">
        <v>0</v>
      </c>
      <c r="R138" s="1589">
        <v>0</v>
      </c>
      <c r="S138" s="1589">
        <v>0</v>
      </c>
      <c r="T138" s="1589">
        <v>0</v>
      </c>
    </row>
    <row r="139" spans="1:20">
      <c r="B139" s="7" t="s">
        <v>613</v>
      </c>
      <c r="C139" s="7" t="s">
        <v>2564</v>
      </c>
      <c r="D139" s="7" t="s">
        <v>600</v>
      </c>
      <c r="E139" s="1589">
        <v>0</v>
      </c>
      <c r="F139" s="1589">
        <v>0</v>
      </c>
      <c r="G139" s="1589">
        <v>0</v>
      </c>
      <c r="H139" s="1589">
        <v>0</v>
      </c>
      <c r="I139" s="1589">
        <v>0</v>
      </c>
      <c r="J139" s="1589">
        <v>0</v>
      </c>
      <c r="K139" s="1589">
        <v>0</v>
      </c>
      <c r="L139" s="1589">
        <v>0</v>
      </c>
      <c r="M139" s="1589">
        <v>0</v>
      </c>
      <c r="N139" s="1589">
        <v>0</v>
      </c>
      <c r="O139" s="1589">
        <v>0</v>
      </c>
      <c r="P139" s="1589">
        <v>0</v>
      </c>
      <c r="Q139" s="1589">
        <v>0</v>
      </c>
      <c r="R139" s="1589">
        <v>0</v>
      </c>
      <c r="S139" s="1589">
        <v>0</v>
      </c>
      <c r="T139" s="1589">
        <v>0</v>
      </c>
    </row>
    <row r="140" spans="1:20">
      <c r="C140" s="7" t="s">
        <v>527</v>
      </c>
      <c r="D140" s="7" t="s">
        <v>528</v>
      </c>
      <c r="E140" s="1589">
        <v>0</v>
      </c>
      <c r="F140" s="1589">
        <v>0</v>
      </c>
      <c r="G140" s="1589">
        <v>0</v>
      </c>
      <c r="H140" s="1589">
        <v>0</v>
      </c>
      <c r="I140" s="1589">
        <v>0</v>
      </c>
      <c r="J140" s="1589">
        <v>0</v>
      </c>
      <c r="K140" s="1589">
        <v>0</v>
      </c>
      <c r="L140" s="1589">
        <v>0</v>
      </c>
      <c r="M140" s="1589">
        <v>0</v>
      </c>
      <c r="N140" s="1589">
        <v>0</v>
      </c>
      <c r="O140" s="1589">
        <v>0</v>
      </c>
      <c r="P140" s="1589">
        <v>0</v>
      </c>
      <c r="Q140" s="1589">
        <v>0</v>
      </c>
      <c r="R140" s="1589">
        <v>0</v>
      </c>
      <c r="S140" s="1589">
        <v>0</v>
      </c>
      <c r="T140" s="1589">
        <v>0</v>
      </c>
    </row>
    <row r="141" spans="1:20">
      <c r="D141" s="7" t="s">
        <v>530</v>
      </c>
      <c r="E141" s="1589">
        <v>0</v>
      </c>
      <c r="F141" s="1589">
        <v>0</v>
      </c>
      <c r="G141" s="1589">
        <v>0</v>
      </c>
      <c r="H141" s="1589">
        <v>0</v>
      </c>
      <c r="I141" s="1589">
        <v>0</v>
      </c>
      <c r="J141" s="1589">
        <v>0</v>
      </c>
      <c r="K141" s="1589">
        <v>0</v>
      </c>
      <c r="L141" s="1589">
        <v>0</v>
      </c>
      <c r="M141" s="1589">
        <v>0</v>
      </c>
      <c r="N141" s="1589">
        <v>0</v>
      </c>
      <c r="O141" s="1589">
        <v>0</v>
      </c>
      <c r="P141" s="1589">
        <v>0</v>
      </c>
      <c r="Q141" s="1589">
        <v>0</v>
      </c>
      <c r="R141" s="1589">
        <v>0</v>
      </c>
      <c r="S141" s="1589">
        <v>0</v>
      </c>
      <c r="T141" s="1589">
        <v>0</v>
      </c>
    </row>
    <row r="142" spans="1:20">
      <c r="D142" s="7" t="s">
        <v>532</v>
      </c>
      <c r="E142" s="1589">
        <v>0</v>
      </c>
      <c r="F142" s="1589">
        <v>0</v>
      </c>
      <c r="G142" s="1589">
        <v>0</v>
      </c>
      <c r="H142" s="1589">
        <v>0</v>
      </c>
      <c r="I142" s="1589">
        <v>0</v>
      </c>
      <c r="J142" s="1589">
        <v>0</v>
      </c>
      <c r="K142" s="1589">
        <v>0</v>
      </c>
      <c r="L142" s="1589">
        <v>0</v>
      </c>
      <c r="M142" s="1589">
        <v>0</v>
      </c>
      <c r="N142" s="1589">
        <v>0</v>
      </c>
      <c r="O142" s="1589">
        <v>0</v>
      </c>
      <c r="P142" s="1589">
        <v>0</v>
      </c>
      <c r="Q142" s="1589">
        <v>0</v>
      </c>
      <c r="R142" s="1589">
        <v>0</v>
      </c>
      <c r="S142" s="1589">
        <v>0</v>
      </c>
      <c r="T142" s="1589">
        <v>0</v>
      </c>
    </row>
    <row r="143" spans="1:20">
      <c r="D143" s="7" t="s">
        <v>534</v>
      </c>
      <c r="E143" s="1589">
        <v>0</v>
      </c>
      <c r="F143" s="1589">
        <v>0</v>
      </c>
      <c r="G143" s="1589">
        <v>0</v>
      </c>
      <c r="H143" s="1589">
        <v>0</v>
      </c>
      <c r="I143" s="1589">
        <v>0</v>
      </c>
      <c r="J143" s="1589">
        <v>0</v>
      </c>
      <c r="K143" s="1589">
        <v>0</v>
      </c>
      <c r="L143" s="1589">
        <v>0</v>
      </c>
      <c r="M143" s="1589">
        <v>0</v>
      </c>
      <c r="N143" s="1589">
        <v>0</v>
      </c>
      <c r="O143" s="1589">
        <v>0</v>
      </c>
      <c r="P143" s="1589">
        <v>0</v>
      </c>
      <c r="Q143" s="1589">
        <v>0</v>
      </c>
      <c r="R143" s="1589">
        <v>0</v>
      </c>
      <c r="S143" s="1589">
        <v>0</v>
      </c>
      <c r="T143" s="1589">
        <v>0</v>
      </c>
    </row>
    <row r="144" spans="1:20">
      <c r="D144" s="7" t="s">
        <v>536</v>
      </c>
      <c r="E144" s="1589">
        <v>0</v>
      </c>
      <c r="F144" s="1589">
        <v>0</v>
      </c>
      <c r="G144" s="1589">
        <v>0</v>
      </c>
      <c r="H144" s="1589">
        <v>0</v>
      </c>
      <c r="I144" s="1589">
        <v>0</v>
      </c>
      <c r="J144" s="1589">
        <v>0</v>
      </c>
      <c r="K144" s="1589">
        <v>0</v>
      </c>
      <c r="L144" s="1589">
        <v>0</v>
      </c>
      <c r="M144" s="1589">
        <v>0</v>
      </c>
      <c r="N144" s="1589">
        <v>0</v>
      </c>
      <c r="O144" s="1589">
        <v>0</v>
      </c>
      <c r="P144" s="1589">
        <v>0</v>
      </c>
      <c r="Q144" s="1589">
        <v>0</v>
      </c>
      <c r="R144" s="1589">
        <v>0</v>
      </c>
      <c r="S144" s="1589">
        <v>0</v>
      </c>
      <c r="T144" s="1589">
        <v>0</v>
      </c>
    </row>
    <row r="145" spans="2:20">
      <c r="D145" s="7" t="s">
        <v>538</v>
      </c>
      <c r="E145" s="1589">
        <v>0</v>
      </c>
      <c r="F145" s="1589">
        <v>0</v>
      </c>
      <c r="G145" s="1589">
        <v>0</v>
      </c>
      <c r="H145" s="1589">
        <v>0</v>
      </c>
      <c r="I145" s="1589">
        <v>0</v>
      </c>
      <c r="J145" s="1589">
        <v>0</v>
      </c>
      <c r="K145" s="1589">
        <v>0</v>
      </c>
      <c r="L145" s="1589">
        <v>0</v>
      </c>
      <c r="M145" s="1589">
        <v>0</v>
      </c>
      <c r="N145" s="1589">
        <v>0</v>
      </c>
      <c r="O145" s="1589">
        <v>0</v>
      </c>
      <c r="P145" s="1589">
        <v>0</v>
      </c>
      <c r="Q145" s="1589">
        <v>0</v>
      </c>
      <c r="R145" s="1589">
        <v>0</v>
      </c>
      <c r="S145" s="1589">
        <v>0</v>
      </c>
      <c r="T145" s="1589">
        <v>0</v>
      </c>
    </row>
    <row r="146" spans="2:20">
      <c r="D146" s="7" t="s">
        <v>540</v>
      </c>
      <c r="E146" s="1589">
        <v>0</v>
      </c>
      <c r="F146" s="1589">
        <v>0</v>
      </c>
      <c r="G146" s="1589">
        <v>0</v>
      </c>
      <c r="H146" s="1589">
        <v>0</v>
      </c>
      <c r="I146" s="1589">
        <v>0</v>
      </c>
      <c r="J146" s="1589">
        <v>0</v>
      </c>
      <c r="K146" s="1589">
        <v>0</v>
      </c>
      <c r="L146" s="1589">
        <v>0</v>
      </c>
      <c r="M146" s="1589">
        <v>0</v>
      </c>
      <c r="N146" s="1589">
        <v>0</v>
      </c>
      <c r="O146" s="1589">
        <v>0</v>
      </c>
      <c r="P146" s="1589">
        <v>0</v>
      </c>
      <c r="Q146" s="1589">
        <v>0</v>
      </c>
      <c r="R146" s="1589">
        <v>0</v>
      </c>
      <c r="S146" s="1589">
        <v>0</v>
      </c>
      <c r="T146" s="1589">
        <v>0</v>
      </c>
    </row>
    <row r="147" spans="2:20">
      <c r="B147" s="7" t="s">
        <v>637</v>
      </c>
      <c r="C147" s="7" t="s">
        <v>2564</v>
      </c>
      <c r="D147" s="7" t="s">
        <v>600</v>
      </c>
      <c r="E147" s="1589">
        <v>0</v>
      </c>
      <c r="F147" s="1589">
        <v>0</v>
      </c>
      <c r="G147" s="1589">
        <v>0</v>
      </c>
      <c r="H147" s="1589">
        <v>0</v>
      </c>
      <c r="I147" s="1589">
        <v>0</v>
      </c>
      <c r="J147" s="1589">
        <v>0</v>
      </c>
      <c r="K147" s="1589">
        <v>0</v>
      </c>
      <c r="L147" s="1589">
        <v>0</v>
      </c>
      <c r="M147" s="1589">
        <v>0</v>
      </c>
      <c r="N147" s="1589">
        <v>0</v>
      </c>
      <c r="O147" s="1589">
        <v>0</v>
      </c>
      <c r="P147" s="1589">
        <v>0</v>
      </c>
      <c r="Q147" s="1589">
        <v>0</v>
      </c>
      <c r="R147" s="1589">
        <v>0</v>
      </c>
      <c r="S147" s="1589">
        <v>0</v>
      </c>
      <c r="T147" s="1589">
        <v>0</v>
      </c>
    </row>
    <row r="148" spans="2:20">
      <c r="C148" s="7" t="s">
        <v>527</v>
      </c>
      <c r="D148" s="7" t="s">
        <v>528</v>
      </c>
      <c r="E148" s="1589">
        <v>0</v>
      </c>
      <c r="F148" s="1589">
        <v>0</v>
      </c>
      <c r="G148" s="1589">
        <v>0</v>
      </c>
      <c r="H148" s="1589">
        <v>0</v>
      </c>
      <c r="I148" s="1589">
        <v>0</v>
      </c>
      <c r="J148" s="1589">
        <v>0</v>
      </c>
      <c r="K148" s="1589">
        <v>0</v>
      </c>
      <c r="L148" s="1589">
        <v>0</v>
      </c>
      <c r="M148" s="1589">
        <v>0</v>
      </c>
      <c r="N148" s="1589">
        <v>0</v>
      </c>
      <c r="O148" s="1589">
        <v>0</v>
      </c>
      <c r="P148" s="1589">
        <v>0</v>
      </c>
      <c r="Q148" s="1589">
        <v>0</v>
      </c>
      <c r="R148" s="1589">
        <v>0</v>
      </c>
      <c r="S148" s="1589">
        <v>0</v>
      </c>
      <c r="T148" s="1589">
        <v>0</v>
      </c>
    </row>
    <row r="149" spans="2:20">
      <c r="D149" s="7" t="s">
        <v>530</v>
      </c>
      <c r="E149" s="1589">
        <v>0</v>
      </c>
      <c r="F149" s="1589">
        <v>0</v>
      </c>
      <c r="G149" s="1589">
        <v>0</v>
      </c>
      <c r="H149" s="1589">
        <v>0</v>
      </c>
      <c r="I149" s="1589">
        <v>0</v>
      </c>
      <c r="J149" s="1589">
        <v>0</v>
      </c>
      <c r="K149" s="1589">
        <v>0</v>
      </c>
      <c r="L149" s="1589">
        <v>0</v>
      </c>
      <c r="M149" s="1589">
        <v>0</v>
      </c>
      <c r="N149" s="1589">
        <v>0</v>
      </c>
      <c r="O149" s="1589">
        <v>0</v>
      </c>
      <c r="P149" s="1589">
        <v>0</v>
      </c>
      <c r="Q149" s="1589">
        <v>0</v>
      </c>
      <c r="R149" s="1589">
        <v>0</v>
      </c>
      <c r="S149" s="1589">
        <v>0</v>
      </c>
      <c r="T149" s="1589">
        <v>0</v>
      </c>
    </row>
    <row r="150" spans="2:20">
      <c r="D150" s="7" t="s">
        <v>532</v>
      </c>
      <c r="E150" s="1589">
        <v>0</v>
      </c>
      <c r="F150" s="1589">
        <v>0</v>
      </c>
      <c r="G150" s="1589">
        <v>0</v>
      </c>
      <c r="H150" s="1589">
        <v>0</v>
      </c>
      <c r="I150" s="1589">
        <v>0</v>
      </c>
      <c r="J150" s="1589">
        <v>0</v>
      </c>
      <c r="K150" s="1589">
        <v>0</v>
      </c>
      <c r="L150" s="1589">
        <v>0</v>
      </c>
      <c r="M150" s="1589">
        <v>0</v>
      </c>
      <c r="N150" s="1589">
        <v>0</v>
      </c>
      <c r="O150" s="1589">
        <v>0</v>
      </c>
      <c r="P150" s="1589">
        <v>0</v>
      </c>
      <c r="Q150" s="1589">
        <v>0</v>
      </c>
      <c r="R150" s="1589">
        <v>0</v>
      </c>
      <c r="S150" s="1589">
        <v>0</v>
      </c>
      <c r="T150" s="1589">
        <v>0</v>
      </c>
    </row>
    <row r="151" spans="2:20">
      <c r="D151" s="7" t="s">
        <v>534</v>
      </c>
      <c r="E151" s="1589">
        <v>0</v>
      </c>
      <c r="F151" s="1589">
        <v>0</v>
      </c>
      <c r="G151" s="1589">
        <v>0</v>
      </c>
      <c r="H151" s="1589">
        <v>0</v>
      </c>
      <c r="I151" s="1589">
        <v>0</v>
      </c>
      <c r="J151" s="1589">
        <v>0</v>
      </c>
      <c r="K151" s="1589">
        <v>0</v>
      </c>
      <c r="L151" s="1589">
        <v>0</v>
      </c>
      <c r="M151" s="1589">
        <v>0</v>
      </c>
      <c r="N151" s="1589">
        <v>0</v>
      </c>
      <c r="O151" s="1589">
        <v>0</v>
      </c>
      <c r="P151" s="1589">
        <v>0</v>
      </c>
      <c r="Q151" s="1589">
        <v>0</v>
      </c>
      <c r="R151" s="1589">
        <v>0</v>
      </c>
      <c r="S151" s="1589">
        <v>0</v>
      </c>
      <c r="T151" s="1589">
        <v>0</v>
      </c>
    </row>
    <row r="152" spans="2:20">
      <c r="D152" s="7" t="s">
        <v>536</v>
      </c>
      <c r="E152" s="1589">
        <v>0</v>
      </c>
      <c r="F152" s="1589">
        <v>0</v>
      </c>
      <c r="G152" s="1589">
        <v>0</v>
      </c>
      <c r="H152" s="1589">
        <v>0</v>
      </c>
      <c r="I152" s="1589">
        <v>0</v>
      </c>
      <c r="J152" s="1589">
        <v>0</v>
      </c>
      <c r="K152" s="1589">
        <v>0</v>
      </c>
      <c r="L152" s="1589">
        <v>0</v>
      </c>
      <c r="M152" s="1589">
        <v>0</v>
      </c>
      <c r="N152" s="1589">
        <v>0</v>
      </c>
      <c r="O152" s="1589">
        <v>0</v>
      </c>
      <c r="P152" s="1589">
        <v>0</v>
      </c>
      <c r="Q152" s="1589">
        <v>0</v>
      </c>
      <c r="R152" s="1589">
        <v>0</v>
      </c>
      <c r="S152" s="1589">
        <v>0</v>
      </c>
      <c r="T152" s="1589">
        <v>0</v>
      </c>
    </row>
    <row r="153" spans="2:20">
      <c r="D153" s="7" t="s">
        <v>538</v>
      </c>
      <c r="E153" s="1589">
        <v>0</v>
      </c>
      <c r="F153" s="1589">
        <v>0</v>
      </c>
      <c r="G153" s="1589">
        <v>0</v>
      </c>
      <c r="H153" s="1589">
        <v>0</v>
      </c>
      <c r="I153" s="1589">
        <v>0</v>
      </c>
      <c r="J153" s="1589">
        <v>0</v>
      </c>
      <c r="K153" s="1589">
        <v>0</v>
      </c>
      <c r="L153" s="1589">
        <v>0</v>
      </c>
      <c r="M153" s="1589">
        <v>0</v>
      </c>
      <c r="N153" s="1589">
        <v>0</v>
      </c>
      <c r="O153" s="1589">
        <v>0</v>
      </c>
      <c r="P153" s="1589">
        <v>0</v>
      </c>
      <c r="Q153" s="1589">
        <v>0</v>
      </c>
      <c r="R153" s="1589">
        <v>0</v>
      </c>
      <c r="S153" s="1589">
        <v>0</v>
      </c>
      <c r="T153" s="1589">
        <v>0</v>
      </c>
    </row>
    <row r="154" spans="2:20">
      <c r="D154" s="7" t="s">
        <v>540</v>
      </c>
      <c r="E154" s="1589">
        <v>0</v>
      </c>
      <c r="F154" s="1589">
        <v>0</v>
      </c>
      <c r="G154" s="1589">
        <v>0</v>
      </c>
      <c r="H154" s="1589">
        <v>0</v>
      </c>
      <c r="I154" s="1589">
        <v>0</v>
      </c>
      <c r="J154" s="1589">
        <v>0</v>
      </c>
      <c r="K154" s="1589">
        <v>0</v>
      </c>
      <c r="L154" s="1589">
        <v>0</v>
      </c>
      <c r="M154" s="1589">
        <v>0</v>
      </c>
      <c r="N154" s="1589">
        <v>0</v>
      </c>
      <c r="O154" s="1589">
        <v>0</v>
      </c>
      <c r="P154" s="1589">
        <v>0</v>
      </c>
      <c r="Q154" s="1589">
        <v>0</v>
      </c>
      <c r="R154" s="1589">
        <v>0</v>
      </c>
      <c r="S154" s="1589">
        <v>0</v>
      </c>
      <c r="T154" s="1589">
        <v>0</v>
      </c>
    </row>
    <row r="155" spans="2:20">
      <c r="B155" s="7" t="s">
        <v>629</v>
      </c>
      <c r="C155" s="7" t="s">
        <v>2564</v>
      </c>
      <c r="D155" s="7" t="s">
        <v>600</v>
      </c>
      <c r="E155" s="1589">
        <v>0</v>
      </c>
      <c r="F155" s="1589">
        <v>0</v>
      </c>
      <c r="G155" s="1589">
        <v>0</v>
      </c>
      <c r="H155" s="1589">
        <v>0</v>
      </c>
      <c r="I155" s="1589">
        <v>0</v>
      </c>
      <c r="J155" s="1589">
        <v>0</v>
      </c>
      <c r="K155" s="1589">
        <v>0</v>
      </c>
      <c r="L155" s="1589">
        <v>0</v>
      </c>
      <c r="M155" s="1589">
        <v>0</v>
      </c>
      <c r="N155" s="1589">
        <v>0</v>
      </c>
      <c r="O155" s="1589">
        <v>0</v>
      </c>
      <c r="P155" s="1589">
        <v>0</v>
      </c>
      <c r="Q155" s="1589">
        <v>0</v>
      </c>
      <c r="R155" s="1589">
        <v>0</v>
      </c>
      <c r="S155" s="1589">
        <v>0</v>
      </c>
      <c r="T155" s="1589">
        <v>0</v>
      </c>
    </row>
    <row r="156" spans="2:20">
      <c r="C156" s="7" t="s">
        <v>527</v>
      </c>
      <c r="D156" s="7" t="s">
        <v>528</v>
      </c>
      <c r="E156" s="1589">
        <v>0</v>
      </c>
      <c r="F156" s="1589">
        <v>0</v>
      </c>
      <c r="G156" s="1589">
        <v>0</v>
      </c>
      <c r="H156" s="1589">
        <v>0</v>
      </c>
      <c r="I156" s="1589">
        <v>0</v>
      </c>
      <c r="J156" s="1589">
        <v>0</v>
      </c>
      <c r="K156" s="1589">
        <v>0</v>
      </c>
      <c r="L156" s="1589">
        <v>0</v>
      </c>
      <c r="M156" s="1589">
        <v>0</v>
      </c>
      <c r="N156" s="1589">
        <v>0</v>
      </c>
      <c r="O156" s="1589">
        <v>0</v>
      </c>
      <c r="P156" s="1589">
        <v>0</v>
      </c>
      <c r="Q156" s="1589">
        <v>0</v>
      </c>
      <c r="R156" s="1589">
        <v>0</v>
      </c>
      <c r="S156" s="1589">
        <v>0</v>
      </c>
      <c r="T156" s="1589">
        <v>0</v>
      </c>
    </row>
    <row r="157" spans="2:20">
      <c r="D157" s="7" t="s">
        <v>530</v>
      </c>
      <c r="E157" s="1589">
        <v>0</v>
      </c>
      <c r="F157" s="1589">
        <v>0</v>
      </c>
      <c r="G157" s="1589">
        <v>0</v>
      </c>
      <c r="H157" s="1589">
        <v>0</v>
      </c>
      <c r="I157" s="1589">
        <v>0</v>
      </c>
      <c r="J157" s="1589">
        <v>0</v>
      </c>
      <c r="K157" s="1589">
        <v>0</v>
      </c>
      <c r="L157" s="1589">
        <v>0</v>
      </c>
      <c r="M157" s="1589">
        <v>0</v>
      </c>
      <c r="N157" s="1589">
        <v>0</v>
      </c>
      <c r="O157" s="1589">
        <v>0</v>
      </c>
      <c r="P157" s="1589">
        <v>0</v>
      </c>
      <c r="Q157" s="1589">
        <v>0</v>
      </c>
      <c r="R157" s="1589">
        <v>0</v>
      </c>
      <c r="S157" s="1589">
        <v>0</v>
      </c>
      <c r="T157" s="1589">
        <v>0</v>
      </c>
    </row>
    <row r="158" spans="2:20">
      <c r="D158" s="7" t="s">
        <v>532</v>
      </c>
      <c r="E158" s="1589">
        <v>0</v>
      </c>
      <c r="F158" s="1589">
        <v>0</v>
      </c>
      <c r="G158" s="1589">
        <v>0</v>
      </c>
      <c r="H158" s="1589">
        <v>0</v>
      </c>
      <c r="I158" s="1589">
        <v>0</v>
      </c>
      <c r="J158" s="1589">
        <v>0</v>
      </c>
      <c r="K158" s="1589">
        <v>0</v>
      </c>
      <c r="L158" s="1589">
        <v>0</v>
      </c>
      <c r="M158" s="1589">
        <v>0</v>
      </c>
      <c r="N158" s="1589">
        <v>0</v>
      </c>
      <c r="O158" s="1589">
        <v>0</v>
      </c>
      <c r="P158" s="1589">
        <v>0</v>
      </c>
      <c r="Q158" s="1589">
        <v>0</v>
      </c>
      <c r="R158" s="1589">
        <v>0</v>
      </c>
      <c r="S158" s="1589">
        <v>0</v>
      </c>
      <c r="T158" s="1589">
        <v>0</v>
      </c>
    </row>
    <row r="159" spans="2:20">
      <c r="D159" s="7" t="s">
        <v>534</v>
      </c>
      <c r="E159" s="1589">
        <v>0</v>
      </c>
      <c r="F159" s="1589">
        <v>0</v>
      </c>
      <c r="G159" s="1589">
        <v>0</v>
      </c>
      <c r="H159" s="1589">
        <v>0</v>
      </c>
      <c r="I159" s="1589">
        <v>0</v>
      </c>
      <c r="J159" s="1589">
        <v>0</v>
      </c>
      <c r="K159" s="1589">
        <v>0</v>
      </c>
      <c r="L159" s="1589">
        <v>0</v>
      </c>
      <c r="M159" s="1589">
        <v>0</v>
      </c>
      <c r="N159" s="1589">
        <v>0</v>
      </c>
      <c r="O159" s="1589">
        <v>0</v>
      </c>
      <c r="P159" s="1589">
        <v>0</v>
      </c>
      <c r="Q159" s="1589">
        <v>0</v>
      </c>
      <c r="R159" s="1589">
        <v>0</v>
      </c>
      <c r="S159" s="1589">
        <v>0</v>
      </c>
      <c r="T159" s="1589">
        <v>0</v>
      </c>
    </row>
    <row r="160" spans="2:20">
      <c r="D160" s="7" t="s">
        <v>536</v>
      </c>
      <c r="E160" s="1589">
        <v>0</v>
      </c>
      <c r="F160" s="1589">
        <v>0</v>
      </c>
      <c r="G160" s="1589">
        <v>0</v>
      </c>
      <c r="H160" s="1589">
        <v>0</v>
      </c>
      <c r="I160" s="1589">
        <v>0</v>
      </c>
      <c r="J160" s="1589">
        <v>0</v>
      </c>
      <c r="K160" s="1589">
        <v>0</v>
      </c>
      <c r="L160" s="1589">
        <v>0</v>
      </c>
      <c r="M160" s="1589">
        <v>0</v>
      </c>
      <c r="N160" s="1589">
        <v>0</v>
      </c>
      <c r="O160" s="1589">
        <v>0</v>
      </c>
      <c r="P160" s="1589">
        <v>0</v>
      </c>
      <c r="Q160" s="1589">
        <v>0</v>
      </c>
      <c r="R160" s="1589">
        <v>0</v>
      </c>
      <c r="S160" s="1589">
        <v>0</v>
      </c>
      <c r="T160" s="1589">
        <v>0</v>
      </c>
    </row>
    <row r="161" spans="1:20">
      <c r="D161" s="7" t="s">
        <v>538</v>
      </c>
      <c r="E161" s="1589">
        <v>0</v>
      </c>
      <c r="F161" s="1589">
        <v>0</v>
      </c>
      <c r="G161" s="1589">
        <v>0</v>
      </c>
      <c r="H161" s="1589">
        <v>0</v>
      </c>
      <c r="I161" s="1589">
        <v>0</v>
      </c>
      <c r="J161" s="1589">
        <v>0</v>
      </c>
      <c r="K161" s="1589">
        <v>0</v>
      </c>
      <c r="L161" s="1589">
        <v>0</v>
      </c>
      <c r="M161" s="1589">
        <v>0</v>
      </c>
      <c r="N161" s="1589">
        <v>0</v>
      </c>
      <c r="O161" s="1589">
        <v>0</v>
      </c>
      <c r="P161" s="1589">
        <v>0</v>
      </c>
      <c r="Q161" s="1589">
        <v>0</v>
      </c>
      <c r="R161" s="1589">
        <v>0</v>
      </c>
      <c r="S161" s="1589">
        <v>0</v>
      </c>
      <c r="T161" s="1589">
        <v>0</v>
      </c>
    </row>
    <row r="162" spans="1:20">
      <c r="D162" s="7" t="s">
        <v>540</v>
      </c>
      <c r="E162" s="1589">
        <v>0</v>
      </c>
      <c r="F162" s="1589">
        <v>0</v>
      </c>
      <c r="G162" s="1589">
        <v>0</v>
      </c>
      <c r="H162" s="1589">
        <v>0</v>
      </c>
      <c r="I162" s="1589">
        <v>0</v>
      </c>
      <c r="J162" s="1589">
        <v>0</v>
      </c>
      <c r="K162" s="1589">
        <v>0</v>
      </c>
      <c r="L162" s="1589">
        <v>0</v>
      </c>
      <c r="M162" s="1589">
        <v>0</v>
      </c>
      <c r="N162" s="1589">
        <v>0</v>
      </c>
      <c r="O162" s="1589">
        <v>0</v>
      </c>
      <c r="P162" s="1589">
        <v>0</v>
      </c>
      <c r="Q162" s="1589">
        <v>0</v>
      </c>
      <c r="R162" s="1589">
        <v>0</v>
      </c>
      <c r="S162" s="1589">
        <v>0</v>
      </c>
      <c r="T162" s="1589">
        <v>0</v>
      </c>
    </row>
    <row r="163" spans="1:20">
      <c r="A163" s="7" t="s">
        <v>645</v>
      </c>
      <c r="B163" s="7" t="s">
        <v>646</v>
      </c>
      <c r="C163" s="7" t="s">
        <v>2567</v>
      </c>
      <c r="D163" s="7" t="s">
        <v>593</v>
      </c>
      <c r="E163" s="1589">
        <v>0</v>
      </c>
      <c r="F163" s="1589">
        <v>0</v>
      </c>
      <c r="G163" s="1589">
        <v>0</v>
      </c>
      <c r="H163" s="1589">
        <v>0</v>
      </c>
      <c r="I163" s="1589">
        <v>0</v>
      </c>
      <c r="J163" s="1589">
        <v>0</v>
      </c>
      <c r="K163" s="1589">
        <v>0</v>
      </c>
      <c r="L163" s="1589">
        <v>0</v>
      </c>
      <c r="M163" s="1589">
        <v>0</v>
      </c>
      <c r="N163" s="1589">
        <v>0</v>
      </c>
      <c r="O163" s="1589">
        <v>0</v>
      </c>
      <c r="P163" s="1589">
        <v>0</v>
      </c>
      <c r="Q163" s="1589">
        <v>0</v>
      </c>
      <c r="R163" s="1589">
        <v>0</v>
      </c>
      <c r="S163" s="1589">
        <v>0</v>
      </c>
      <c r="T163" s="1589">
        <v>0</v>
      </c>
    </row>
    <row r="164" spans="1:20">
      <c r="C164" s="7" t="s">
        <v>596</v>
      </c>
      <c r="D164" s="7" t="s">
        <v>597</v>
      </c>
      <c r="E164" s="1589">
        <v>0</v>
      </c>
      <c r="F164" s="1589">
        <v>0</v>
      </c>
      <c r="G164" s="1589">
        <v>0</v>
      </c>
      <c r="H164" s="1589">
        <v>0</v>
      </c>
      <c r="I164" s="1589">
        <v>0</v>
      </c>
      <c r="J164" s="1589">
        <v>0</v>
      </c>
      <c r="K164" s="1589">
        <v>0</v>
      </c>
      <c r="L164" s="1589">
        <v>0</v>
      </c>
      <c r="M164" s="1589">
        <v>0</v>
      </c>
      <c r="N164" s="1589">
        <v>0</v>
      </c>
      <c r="O164" s="1589">
        <v>0</v>
      </c>
      <c r="P164" s="1589">
        <v>0</v>
      </c>
      <c r="Q164" s="1589">
        <v>0</v>
      </c>
      <c r="R164" s="1589">
        <v>0</v>
      </c>
      <c r="S164" s="1589">
        <v>0</v>
      </c>
      <c r="T164" s="1589">
        <v>0</v>
      </c>
    </row>
    <row r="165" spans="1:20">
      <c r="C165" s="7" t="s">
        <v>594</v>
      </c>
      <c r="D165" s="7" t="s">
        <v>595</v>
      </c>
      <c r="E165" s="1589">
        <v>0</v>
      </c>
      <c r="F165" s="1589">
        <v>0</v>
      </c>
      <c r="G165" s="1589">
        <v>0</v>
      </c>
      <c r="H165" s="1589">
        <v>0</v>
      </c>
      <c r="I165" s="1589">
        <v>0</v>
      </c>
      <c r="J165" s="1589">
        <v>0</v>
      </c>
      <c r="K165" s="1589">
        <v>0</v>
      </c>
      <c r="L165" s="1589">
        <v>0</v>
      </c>
      <c r="M165" s="1589">
        <v>0</v>
      </c>
      <c r="N165" s="1589">
        <v>0</v>
      </c>
      <c r="O165" s="1589">
        <v>0</v>
      </c>
      <c r="P165" s="1589">
        <v>0</v>
      </c>
      <c r="Q165" s="1589">
        <v>0</v>
      </c>
      <c r="R165" s="1589">
        <v>0</v>
      </c>
      <c r="S165" s="1589">
        <v>0</v>
      </c>
      <c r="T165" s="1589">
        <v>0</v>
      </c>
    </row>
    <row r="166" spans="1:20">
      <c r="C166" s="7" t="s">
        <v>2563</v>
      </c>
      <c r="D166" s="7" t="s">
        <v>1896</v>
      </c>
      <c r="E166" s="1589">
        <v>0</v>
      </c>
      <c r="F166" s="1589">
        <v>0</v>
      </c>
      <c r="G166" s="1589">
        <v>0</v>
      </c>
      <c r="H166" s="1589">
        <v>0</v>
      </c>
      <c r="I166" s="1589">
        <v>0</v>
      </c>
      <c r="J166" s="1589">
        <v>0</v>
      </c>
      <c r="K166" s="1589">
        <v>0</v>
      </c>
      <c r="L166" s="1589">
        <v>0</v>
      </c>
      <c r="M166" s="1589">
        <v>0</v>
      </c>
      <c r="N166" s="1589">
        <v>0</v>
      </c>
      <c r="O166" s="1589">
        <v>0</v>
      </c>
      <c r="P166" s="1589">
        <v>0</v>
      </c>
      <c r="Q166" s="1589">
        <v>0</v>
      </c>
      <c r="R166" s="1589">
        <v>0</v>
      </c>
      <c r="S166" s="1589">
        <v>0</v>
      </c>
      <c r="T166" s="1589">
        <v>0</v>
      </c>
    </row>
    <row r="167" spans="1:20">
      <c r="C167" s="7" t="s">
        <v>1883</v>
      </c>
      <c r="D167" s="7" t="s">
        <v>586</v>
      </c>
      <c r="E167" s="1589">
        <v>0</v>
      </c>
      <c r="F167" s="1589">
        <v>0</v>
      </c>
      <c r="G167" s="1589">
        <v>0</v>
      </c>
      <c r="H167" s="1589">
        <v>0</v>
      </c>
      <c r="I167" s="1589">
        <v>0</v>
      </c>
      <c r="J167" s="1589">
        <v>0</v>
      </c>
      <c r="K167" s="1589">
        <v>0</v>
      </c>
      <c r="L167" s="1589">
        <v>0</v>
      </c>
      <c r="M167" s="1589">
        <v>0</v>
      </c>
      <c r="N167" s="1589">
        <v>0</v>
      </c>
      <c r="O167" s="1589">
        <v>0</v>
      </c>
      <c r="P167" s="1589">
        <v>0</v>
      </c>
      <c r="Q167" s="1589">
        <v>0</v>
      </c>
      <c r="R167" s="1589">
        <v>0</v>
      </c>
      <c r="S167" s="1589">
        <v>0</v>
      </c>
      <c r="T167" s="1589">
        <v>0</v>
      </c>
    </row>
    <row r="168" spans="1:20">
      <c r="C168" s="7" t="s">
        <v>2565</v>
      </c>
      <c r="D168" s="7" t="s">
        <v>603</v>
      </c>
      <c r="E168" s="1589">
        <v>0</v>
      </c>
      <c r="F168" s="1589">
        <v>0</v>
      </c>
      <c r="G168" s="1589">
        <v>0</v>
      </c>
      <c r="H168" s="1589">
        <v>0</v>
      </c>
      <c r="I168" s="1589">
        <v>0</v>
      </c>
      <c r="J168" s="1589">
        <v>0</v>
      </c>
      <c r="K168" s="1589">
        <v>0</v>
      </c>
      <c r="L168" s="1589">
        <v>0</v>
      </c>
      <c r="M168" s="1589">
        <v>0</v>
      </c>
      <c r="N168" s="1589">
        <v>0</v>
      </c>
      <c r="O168" s="1589">
        <v>0</v>
      </c>
      <c r="P168" s="1589">
        <v>0</v>
      </c>
      <c r="Q168" s="1589">
        <v>0</v>
      </c>
      <c r="R168" s="1589">
        <v>0</v>
      </c>
      <c r="S168" s="1589">
        <v>0</v>
      </c>
      <c r="T168" s="1589">
        <v>0</v>
      </c>
    </row>
    <row r="169" spans="1:20">
      <c r="C169" s="7" t="s">
        <v>2566</v>
      </c>
      <c r="D169" s="7" t="s">
        <v>654</v>
      </c>
      <c r="E169" s="1589">
        <v>0</v>
      </c>
      <c r="F169" s="1589">
        <v>0</v>
      </c>
      <c r="G169" s="1589">
        <v>0</v>
      </c>
      <c r="H169" s="1589">
        <v>0</v>
      </c>
      <c r="I169" s="1589">
        <v>0</v>
      </c>
      <c r="J169" s="1589">
        <v>0</v>
      </c>
      <c r="K169" s="1589">
        <v>0</v>
      </c>
      <c r="L169" s="1589">
        <v>0</v>
      </c>
      <c r="M169" s="1589">
        <v>0</v>
      </c>
      <c r="N169" s="1589">
        <v>0</v>
      </c>
      <c r="O169" s="1589">
        <v>0</v>
      </c>
      <c r="P169" s="1589">
        <v>0</v>
      </c>
      <c r="Q169" s="1589">
        <v>0</v>
      </c>
      <c r="R169" s="1589">
        <v>0</v>
      </c>
      <c r="S169" s="1589">
        <v>0</v>
      </c>
      <c r="T169" s="1589">
        <v>0</v>
      </c>
    </row>
    <row r="170" spans="1:20">
      <c r="C170" s="7" t="s">
        <v>527</v>
      </c>
      <c r="D170" s="7" t="s">
        <v>528</v>
      </c>
      <c r="E170" s="1589">
        <v>0</v>
      </c>
      <c r="F170" s="1589">
        <v>0</v>
      </c>
      <c r="G170" s="1589">
        <v>0</v>
      </c>
      <c r="H170" s="1589">
        <v>0</v>
      </c>
      <c r="I170" s="1589">
        <v>0</v>
      </c>
      <c r="J170" s="1589">
        <v>0</v>
      </c>
      <c r="K170" s="1589">
        <v>0</v>
      </c>
      <c r="L170" s="1589">
        <v>0</v>
      </c>
      <c r="M170" s="1589">
        <v>0</v>
      </c>
      <c r="N170" s="1589">
        <v>0</v>
      </c>
      <c r="O170" s="1589">
        <v>0</v>
      </c>
      <c r="P170" s="1589">
        <v>0</v>
      </c>
      <c r="Q170" s="1589">
        <v>0</v>
      </c>
      <c r="R170" s="1589">
        <v>0</v>
      </c>
      <c r="S170" s="1589">
        <v>0</v>
      </c>
      <c r="T170" s="1589">
        <v>0</v>
      </c>
    </row>
    <row r="171" spans="1:20">
      <c r="D171" s="7" t="s">
        <v>530</v>
      </c>
      <c r="E171" s="1589">
        <v>0</v>
      </c>
      <c r="F171" s="1589">
        <v>0</v>
      </c>
      <c r="G171" s="1589">
        <v>0</v>
      </c>
      <c r="H171" s="1589">
        <v>0</v>
      </c>
      <c r="I171" s="1589">
        <v>0</v>
      </c>
      <c r="J171" s="1589">
        <v>0</v>
      </c>
      <c r="K171" s="1589">
        <v>0</v>
      </c>
      <c r="L171" s="1589">
        <v>0</v>
      </c>
      <c r="M171" s="1589">
        <v>0</v>
      </c>
      <c r="N171" s="1589">
        <v>0</v>
      </c>
      <c r="O171" s="1589">
        <v>0</v>
      </c>
      <c r="P171" s="1589">
        <v>0</v>
      </c>
      <c r="Q171" s="1589">
        <v>0</v>
      </c>
      <c r="R171" s="1589">
        <v>0</v>
      </c>
      <c r="S171" s="1589">
        <v>0</v>
      </c>
      <c r="T171" s="1589">
        <v>0</v>
      </c>
    </row>
    <row r="172" spans="1:20">
      <c r="D172" s="7" t="s">
        <v>532</v>
      </c>
      <c r="E172" s="1589">
        <v>0</v>
      </c>
      <c r="F172" s="1589">
        <v>0</v>
      </c>
      <c r="G172" s="1589">
        <v>0</v>
      </c>
      <c r="H172" s="1589">
        <v>0</v>
      </c>
      <c r="I172" s="1589">
        <v>0</v>
      </c>
      <c r="J172" s="1589">
        <v>0</v>
      </c>
      <c r="K172" s="1589">
        <v>0</v>
      </c>
      <c r="L172" s="1589">
        <v>0</v>
      </c>
      <c r="M172" s="1589">
        <v>0</v>
      </c>
      <c r="N172" s="1589">
        <v>0</v>
      </c>
      <c r="O172" s="1589">
        <v>0</v>
      </c>
      <c r="P172" s="1589">
        <v>0</v>
      </c>
      <c r="Q172" s="1589">
        <v>0</v>
      </c>
      <c r="R172" s="1589">
        <v>0</v>
      </c>
      <c r="S172" s="1589">
        <v>0</v>
      </c>
      <c r="T172" s="1589">
        <v>0</v>
      </c>
    </row>
    <row r="173" spans="1:20">
      <c r="D173" s="7" t="s">
        <v>534</v>
      </c>
      <c r="E173" s="1589">
        <v>0</v>
      </c>
      <c r="F173" s="1589">
        <v>0</v>
      </c>
      <c r="G173" s="1589">
        <v>0</v>
      </c>
      <c r="H173" s="1589">
        <v>0</v>
      </c>
      <c r="I173" s="1589">
        <v>0</v>
      </c>
      <c r="J173" s="1589">
        <v>0</v>
      </c>
      <c r="K173" s="1589">
        <v>0</v>
      </c>
      <c r="L173" s="1589">
        <v>0</v>
      </c>
      <c r="M173" s="1589">
        <v>0</v>
      </c>
      <c r="N173" s="1589">
        <v>0</v>
      </c>
      <c r="O173" s="1589">
        <v>0</v>
      </c>
      <c r="P173" s="1589">
        <v>0</v>
      </c>
      <c r="Q173" s="1589">
        <v>0</v>
      </c>
      <c r="R173" s="1589">
        <v>0</v>
      </c>
      <c r="S173" s="1589">
        <v>0</v>
      </c>
      <c r="T173" s="1589">
        <v>0</v>
      </c>
    </row>
    <row r="174" spans="1:20">
      <c r="D174" s="7" t="s">
        <v>536</v>
      </c>
      <c r="E174" s="1589">
        <v>0</v>
      </c>
      <c r="F174" s="1589">
        <v>0</v>
      </c>
      <c r="G174" s="1589">
        <v>0</v>
      </c>
      <c r="H174" s="1589">
        <v>0</v>
      </c>
      <c r="I174" s="1589">
        <v>0</v>
      </c>
      <c r="J174" s="1589">
        <v>0</v>
      </c>
      <c r="K174" s="1589">
        <v>0</v>
      </c>
      <c r="L174" s="1589">
        <v>0</v>
      </c>
      <c r="M174" s="1589">
        <v>0</v>
      </c>
      <c r="N174" s="1589">
        <v>0</v>
      </c>
      <c r="O174" s="1589">
        <v>0</v>
      </c>
      <c r="P174" s="1589">
        <v>0</v>
      </c>
      <c r="Q174" s="1589">
        <v>0</v>
      </c>
      <c r="R174" s="1589">
        <v>0</v>
      </c>
      <c r="S174" s="1589">
        <v>0</v>
      </c>
      <c r="T174" s="1589">
        <v>0</v>
      </c>
    </row>
    <row r="175" spans="1:20">
      <c r="D175" s="7" t="s">
        <v>538</v>
      </c>
      <c r="E175" s="1589">
        <v>0</v>
      </c>
      <c r="F175" s="1589">
        <v>0</v>
      </c>
      <c r="G175" s="1589">
        <v>0</v>
      </c>
      <c r="H175" s="1589">
        <v>0</v>
      </c>
      <c r="I175" s="1589">
        <v>0</v>
      </c>
      <c r="J175" s="1589">
        <v>0</v>
      </c>
      <c r="K175" s="1589">
        <v>0</v>
      </c>
      <c r="L175" s="1589">
        <v>0</v>
      </c>
      <c r="M175" s="1589">
        <v>0</v>
      </c>
      <c r="N175" s="1589">
        <v>0</v>
      </c>
      <c r="O175" s="1589">
        <v>0</v>
      </c>
      <c r="P175" s="1589">
        <v>0</v>
      </c>
      <c r="Q175" s="1589">
        <v>0</v>
      </c>
      <c r="R175" s="1589">
        <v>0</v>
      </c>
      <c r="S175" s="1589">
        <v>0</v>
      </c>
      <c r="T175" s="1589">
        <v>0</v>
      </c>
    </row>
    <row r="176" spans="1:20">
      <c r="D176" s="7" t="s">
        <v>540</v>
      </c>
      <c r="E176" s="1589">
        <v>0</v>
      </c>
      <c r="F176" s="1589">
        <v>0</v>
      </c>
      <c r="G176" s="1589">
        <v>0</v>
      </c>
      <c r="H176" s="1589">
        <v>0</v>
      </c>
      <c r="I176" s="1589">
        <v>0</v>
      </c>
      <c r="J176" s="1589">
        <v>0</v>
      </c>
      <c r="K176" s="1589">
        <v>0</v>
      </c>
      <c r="L176" s="1589">
        <v>0</v>
      </c>
      <c r="M176" s="1589">
        <v>0</v>
      </c>
      <c r="N176" s="1589">
        <v>0</v>
      </c>
      <c r="O176" s="1589">
        <v>0</v>
      </c>
      <c r="P176" s="1589">
        <v>0</v>
      </c>
      <c r="Q176" s="1589">
        <v>0</v>
      </c>
      <c r="R176" s="1589">
        <v>0</v>
      </c>
      <c r="S176" s="1589">
        <v>0</v>
      </c>
      <c r="T176" s="1589">
        <v>0</v>
      </c>
    </row>
    <row r="177" spans="1:20">
      <c r="B177" s="7" t="s">
        <v>652</v>
      </c>
      <c r="C177" s="7" t="s">
        <v>2568</v>
      </c>
      <c r="D177" s="7" t="s">
        <v>649</v>
      </c>
      <c r="E177" s="1589">
        <v>0</v>
      </c>
      <c r="F177" s="1589">
        <v>0</v>
      </c>
      <c r="G177" s="1589">
        <v>0</v>
      </c>
      <c r="H177" s="1589">
        <v>0</v>
      </c>
      <c r="I177" s="1589">
        <v>0</v>
      </c>
      <c r="J177" s="1589">
        <v>0</v>
      </c>
      <c r="K177" s="1589">
        <v>0</v>
      </c>
      <c r="L177" s="1589">
        <v>0</v>
      </c>
      <c r="M177" s="1589">
        <v>0</v>
      </c>
      <c r="N177" s="1589">
        <v>0</v>
      </c>
      <c r="O177" s="1589">
        <v>0</v>
      </c>
      <c r="P177" s="1589">
        <v>0</v>
      </c>
      <c r="Q177" s="1589">
        <v>0</v>
      </c>
      <c r="R177" s="1589">
        <v>0</v>
      </c>
      <c r="S177" s="1589">
        <v>0</v>
      </c>
      <c r="T177" s="1589">
        <v>0</v>
      </c>
    </row>
    <row r="178" spans="1:20">
      <c r="B178" s="7" t="s">
        <v>647</v>
      </c>
      <c r="C178" s="7" t="s">
        <v>527</v>
      </c>
      <c r="D178" s="7" t="s">
        <v>528</v>
      </c>
      <c r="E178" s="1589">
        <v>0</v>
      </c>
      <c r="F178" s="1589">
        <v>0</v>
      </c>
      <c r="G178" s="1589">
        <v>0</v>
      </c>
      <c r="H178" s="1589">
        <v>0</v>
      </c>
      <c r="I178" s="1589">
        <v>0</v>
      </c>
      <c r="J178" s="1589">
        <v>0</v>
      </c>
      <c r="K178" s="1589">
        <v>0</v>
      </c>
      <c r="L178" s="1589">
        <v>0</v>
      </c>
      <c r="M178" s="1589">
        <v>0</v>
      </c>
      <c r="N178" s="1589">
        <v>0</v>
      </c>
      <c r="O178" s="1589">
        <v>0</v>
      </c>
      <c r="P178" s="1589">
        <v>0</v>
      </c>
      <c r="Q178" s="1589">
        <v>0</v>
      </c>
      <c r="R178" s="1589">
        <v>0</v>
      </c>
      <c r="S178" s="1589">
        <v>0</v>
      </c>
      <c r="T178" s="1589">
        <v>0</v>
      </c>
    </row>
    <row r="179" spans="1:20">
      <c r="D179" s="7" t="s">
        <v>530</v>
      </c>
      <c r="E179" s="1589">
        <v>0</v>
      </c>
      <c r="F179" s="1589">
        <v>0</v>
      </c>
      <c r="G179" s="1589">
        <v>0</v>
      </c>
      <c r="H179" s="1589">
        <v>0</v>
      </c>
      <c r="I179" s="1589">
        <v>0</v>
      </c>
      <c r="J179" s="1589">
        <v>0</v>
      </c>
      <c r="K179" s="1589">
        <v>0</v>
      </c>
      <c r="L179" s="1589">
        <v>0</v>
      </c>
      <c r="M179" s="1589">
        <v>0</v>
      </c>
      <c r="N179" s="1589">
        <v>0</v>
      </c>
      <c r="O179" s="1589">
        <v>0</v>
      </c>
      <c r="P179" s="1589">
        <v>0</v>
      </c>
      <c r="Q179" s="1589">
        <v>0</v>
      </c>
      <c r="R179" s="1589">
        <v>0</v>
      </c>
      <c r="S179" s="1589">
        <v>0</v>
      </c>
      <c r="T179" s="1589">
        <v>0</v>
      </c>
    </row>
    <row r="180" spans="1:20">
      <c r="D180" s="7" t="s">
        <v>532</v>
      </c>
      <c r="E180" s="1589">
        <v>0</v>
      </c>
      <c r="F180" s="1589">
        <v>0</v>
      </c>
      <c r="G180" s="1589">
        <v>0</v>
      </c>
      <c r="H180" s="1589">
        <v>0</v>
      </c>
      <c r="I180" s="1589">
        <v>0</v>
      </c>
      <c r="J180" s="1589">
        <v>0</v>
      </c>
      <c r="K180" s="1589">
        <v>0</v>
      </c>
      <c r="L180" s="1589">
        <v>0</v>
      </c>
      <c r="M180" s="1589">
        <v>0</v>
      </c>
      <c r="N180" s="1589">
        <v>0</v>
      </c>
      <c r="O180" s="1589">
        <v>0</v>
      </c>
      <c r="P180" s="1589">
        <v>0</v>
      </c>
      <c r="Q180" s="1589">
        <v>0</v>
      </c>
      <c r="R180" s="1589">
        <v>0</v>
      </c>
      <c r="S180" s="1589">
        <v>0</v>
      </c>
      <c r="T180" s="1589">
        <v>0</v>
      </c>
    </row>
    <row r="181" spans="1:20">
      <c r="D181" s="7" t="s">
        <v>534</v>
      </c>
      <c r="E181" s="1589">
        <v>0</v>
      </c>
      <c r="F181" s="1589">
        <v>0</v>
      </c>
      <c r="G181" s="1589">
        <v>0</v>
      </c>
      <c r="H181" s="1589">
        <v>0</v>
      </c>
      <c r="I181" s="1589">
        <v>0</v>
      </c>
      <c r="J181" s="1589">
        <v>0</v>
      </c>
      <c r="K181" s="1589">
        <v>0</v>
      </c>
      <c r="L181" s="1589">
        <v>0</v>
      </c>
      <c r="M181" s="1589">
        <v>0</v>
      </c>
      <c r="N181" s="1589">
        <v>0</v>
      </c>
      <c r="O181" s="1589">
        <v>0</v>
      </c>
      <c r="P181" s="1589">
        <v>0</v>
      </c>
      <c r="Q181" s="1589">
        <v>0</v>
      </c>
      <c r="R181" s="1589">
        <v>0</v>
      </c>
      <c r="S181" s="1589">
        <v>0</v>
      </c>
      <c r="T181" s="1589">
        <v>0</v>
      </c>
    </row>
    <row r="182" spans="1:20">
      <c r="D182" s="7" t="s">
        <v>536</v>
      </c>
      <c r="E182" s="1589">
        <v>0</v>
      </c>
      <c r="F182" s="1589">
        <v>0</v>
      </c>
      <c r="G182" s="1589">
        <v>0</v>
      </c>
      <c r="H182" s="1589">
        <v>0</v>
      </c>
      <c r="I182" s="1589">
        <v>0</v>
      </c>
      <c r="J182" s="1589">
        <v>0</v>
      </c>
      <c r="K182" s="1589">
        <v>0</v>
      </c>
      <c r="L182" s="1589">
        <v>0</v>
      </c>
      <c r="M182" s="1589">
        <v>0</v>
      </c>
      <c r="N182" s="1589">
        <v>0</v>
      </c>
      <c r="O182" s="1589">
        <v>0</v>
      </c>
      <c r="P182" s="1589">
        <v>0</v>
      </c>
      <c r="Q182" s="1589">
        <v>0</v>
      </c>
      <c r="R182" s="1589">
        <v>0</v>
      </c>
      <c r="S182" s="1589">
        <v>0</v>
      </c>
      <c r="T182" s="1589">
        <v>0</v>
      </c>
    </row>
    <row r="183" spans="1:20">
      <c r="D183" s="7" t="s">
        <v>538</v>
      </c>
      <c r="E183" s="1589">
        <v>0</v>
      </c>
      <c r="F183" s="1589">
        <v>0</v>
      </c>
      <c r="G183" s="1589">
        <v>0</v>
      </c>
      <c r="H183" s="1589">
        <v>0</v>
      </c>
      <c r="I183" s="1589">
        <v>0</v>
      </c>
      <c r="J183" s="1589">
        <v>0</v>
      </c>
      <c r="K183" s="1589">
        <v>0</v>
      </c>
      <c r="L183" s="1589">
        <v>0</v>
      </c>
      <c r="M183" s="1589">
        <v>0</v>
      </c>
      <c r="N183" s="1589">
        <v>0</v>
      </c>
      <c r="O183" s="1589">
        <v>0</v>
      </c>
      <c r="P183" s="1589">
        <v>0</v>
      </c>
      <c r="Q183" s="1589">
        <v>0</v>
      </c>
      <c r="R183" s="1589">
        <v>0</v>
      </c>
      <c r="S183" s="1589">
        <v>0</v>
      </c>
      <c r="T183" s="1589">
        <v>0</v>
      </c>
    </row>
    <row r="184" spans="1:20">
      <c r="D184" s="7" t="s">
        <v>540</v>
      </c>
      <c r="E184" s="1589">
        <v>0</v>
      </c>
      <c r="F184" s="1589">
        <v>0</v>
      </c>
      <c r="G184" s="1589">
        <v>0</v>
      </c>
      <c r="H184" s="1589">
        <v>0</v>
      </c>
      <c r="I184" s="1589">
        <v>0</v>
      </c>
      <c r="J184" s="1589">
        <v>0</v>
      </c>
      <c r="K184" s="1589">
        <v>0</v>
      </c>
      <c r="L184" s="1589">
        <v>0</v>
      </c>
      <c r="M184" s="1589">
        <v>0</v>
      </c>
      <c r="N184" s="1589">
        <v>0</v>
      </c>
      <c r="O184" s="1589">
        <v>0</v>
      </c>
      <c r="P184" s="1589">
        <v>0</v>
      </c>
      <c r="Q184" s="1589">
        <v>0</v>
      </c>
      <c r="R184" s="1589">
        <v>0</v>
      </c>
      <c r="S184" s="1589">
        <v>0</v>
      </c>
      <c r="T184" s="1589">
        <v>0</v>
      </c>
    </row>
    <row r="185" spans="1:20">
      <c r="C185" s="7" t="s">
        <v>648</v>
      </c>
      <c r="D185" s="7" t="s">
        <v>649</v>
      </c>
      <c r="E185" s="1589">
        <v>0</v>
      </c>
      <c r="F185" s="1589">
        <v>0</v>
      </c>
      <c r="G185" s="1589">
        <v>0</v>
      </c>
      <c r="H185" s="1589">
        <v>0</v>
      </c>
      <c r="I185" s="1589">
        <v>0</v>
      </c>
      <c r="J185" s="1589">
        <v>0</v>
      </c>
      <c r="K185" s="1589">
        <v>0</v>
      </c>
      <c r="L185" s="1589">
        <v>0</v>
      </c>
      <c r="M185" s="1589">
        <v>0</v>
      </c>
      <c r="N185" s="1589">
        <v>0</v>
      </c>
      <c r="O185" s="1589">
        <v>0</v>
      </c>
      <c r="P185" s="1589">
        <v>0</v>
      </c>
      <c r="Q185" s="1589">
        <v>0</v>
      </c>
      <c r="R185" s="1589">
        <v>0</v>
      </c>
      <c r="S185" s="1589">
        <v>0</v>
      </c>
      <c r="T185" s="1589">
        <v>0</v>
      </c>
    </row>
    <row r="186" spans="1:20">
      <c r="A186" s="7" t="s">
        <v>676</v>
      </c>
      <c r="B186" s="7" t="s">
        <v>677</v>
      </c>
      <c r="C186" s="7" t="s">
        <v>2567</v>
      </c>
      <c r="D186" s="7" t="s">
        <v>593</v>
      </c>
      <c r="E186" s="1589">
        <v>0</v>
      </c>
      <c r="F186" s="1589">
        <v>0</v>
      </c>
      <c r="G186" s="1589">
        <v>0</v>
      </c>
      <c r="H186" s="1589">
        <v>0</v>
      </c>
      <c r="I186" s="1589">
        <v>0</v>
      </c>
      <c r="J186" s="1589">
        <v>0</v>
      </c>
      <c r="K186" s="1589">
        <v>0</v>
      </c>
      <c r="L186" s="1589">
        <v>0</v>
      </c>
      <c r="M186" s="1589">
        <v>0</v>
      </c>
      <c r="N186" s="1589">
        <v>0</v>
      </c>
      <c r="O186" s="1589">
        <v>0</v>
      </c>
      <c r="P186" s="1589">
        <v>0</v>
      </c>
      <c r="Q186" s="1589">
        <v>0</v>
      </c>
      <c r="R186" s="1589">
        <v>0</v>
      </c>
      <c r="S186" s="1589">
        <v>0</v>
      </c>
      <c r="T186" s="1589">
        <v>0</v>
      </c>
    </row>
    <row r="187" spans="1:20">
      <c r="C187" s="7" t="s">
        <v>2548</v>
      </c>
      <c r="D187" s="7" t="s">
        <v>655</v>
      </c>
      <c r="E187" s="1589">
        <v>0</v>
      </c>
      <c r="F187" s="1589">
        <v>0</v>
      </c>
      <c r="G187" s="1589">
        <v>0</v>
      </c>
      <c r="H187" s="1589">
        <v>0</v>
      </c>
      <c r="I187" s="1589">
        <v>0</v>
      </c>
      <c r="J187" s="1589">
        <v>0</v>
      </c>
      <c r="K187" s="1589">
        <v>0</v>
      </c>
      <c r="L187" s="1589">
        <v>0</v>
      </c>
      <c r="M187" s="1589">
        <v>0</v>
      </c>
      <c r="N187" s="1589">
        <v>0</v>
      </c>
      <c r="O187" s="1589">
        <v>0</v>
      </c>
      <c r="P187" s="1589">
        <v>0</v>
      </c>
      <c r="Q187" s="1589">
        <v>0</v>
      </c>
      <c r="R187" s="1589">
        <v>0</v>
      </c>
      <c r="S187" s="1589">
        <v>0</v>
      </c>
      <c r="T187" s="1589">
        <v>0</v>
      </c>
    </row>
    <row r="188" spans="1:20">
      <c r="C188" s="7" t="s">
        <v>2581</v>
      </c>
      <c r="D188" s="7" t="s">
        <v>678</v>
      </c>
      <c r="E188" s="1589">
        <v>0</v>
      </c>
      <c r="F188" s="1589">
        <v>0</v>
      </c>
      <c r="G188" s="1589">
        <v>0</v>
      </c>
      <c r="H188" s="1589">
        <v>0</v>
      </c>
      <c r="I188" s="1589">
        <v>0</v>
      </c>
      <c r="J188" s="1589">
        <v>0</v>
      </c>
      <c r="K188" s="1589">
        <v>0</v>
      </c>
      <c r="L188" s="1589">
        <v>0</v>
      </c>
      <c r="M188" s="1589">
        <v>0</v>
      </c>
      <c r="N188" s="1589">
        <v>0</v>
      </c>
      <c r="O188" s="1589">
        <v>0</v>
      </c>
      <c r="P188" s="1589">
        <v>0</v>
      </c>
      <c r="Q188" s="1589">
        <v>0</v>
      </c>
      <c r="R188" s="1589">
        <v>0</v>
      </c>
      <c r="S188" s="1589">
        <v>0</v>
      </c>
      <c r="T188" s="1589">
        <v>0</v>
      </c>
    </row>
    <row r="189" spans="1:20">
      <c r="C189" s="7" t="s">
        <v>596</v>
      </c>
      <c r="D189" s="7" t="s">
        <v>597</v>
      </c>
      <c r="E189" s="1589">
        <v>0</v>
      </c>
      <c r="F189" s="1589">
        <v>0</v>
      </c>
      <c r="G189" s="1589">
        <v>185894</v>
      </c>
      <c r="H189" s="1589">
        <v>0</v>
      </c>
      <c r="I189" s="1589">
        <v>185894</v>
      </c>
      <c r="J189" s="1589">
        <v>0</v>
      </c>
      <c r="K189" s="1589">
        <v>187954</v>
      </c>
      <c r="L189" s="1589">
        <v>0</v>
      </c>
      <c r="M189" s="1589">
        <v>0</v>
      </c>
      <c r="N189" s="1589">
        <v>187954</v>
      </c>
      <c r="O189" s="1589">
        <v>0</v>
      </c>
      <c r="P189" s="1589">
        <v>191044</v>
      </c>
      <c r="Q189" s="1589">
        <v>0</v>
      </c>
      <c r="R189" s="1589">
        <v>0</v>
      </c>
      <c r="S189" s="1589">
        <v>191044</v>
      </c>
      <c r="T189" s="1589">
        <v>564892</v>
      </c>
    </row>
    <row r="190" spans="1:20">
      <c r="C190" s="7" t="s">
        <v>594</v>
      </c>
      <c r="D190" s="7" t="s">
        <v>595</v>
      </c>
      <c r="E190" s="1589">
        <v>0</v>
      </c>
      <c r="F190" s="1589">
        <v>380413.43999999994</v>
      </c>
      <c r="G190" s="1589">
        <v>1136451</v>
      </c>
      <c r="H190" s="1589">
        <v>0</v>
      </c>
      <c r="I190" s="1589">
        <v>1516864.44</v>
      </c>
      <c r="J190" s="1589">
        <v>0</v>
      </c>
      <c r="K190" s="1589">
        <v>1644015.38</v>
      </c>
      <c r="L190" s="1589">
        <v>0</v>
      </c>
      <c r="M190" s="1589">
        <v>0</v>
      </c>
      <c r="N190" s="1589">
        <v>1644015.38</v>
      </c>
      <c r="O190" s="1589">
        <v>0</v>
      </c>
      <c r="P190" s="1589">
        <v>1789812.6</v>
      </c>
      <c r="Q190" s="1589">
        <v>0</v>
      </c>
      <c r="R190" s="1589">
        <v>0</v>
      </c>
      <c r="S190" s="1589">
        <v>1789812.6</v>
      </c>
      <c r="T190" s="1589">
        <v>4950692.42</v>
      </c>
    </row>
    <row r="191" spans="1:20">
      <c r="C191" s="7" t="s">
        <v>1883</v>
      </c>
      <c r="D191" s="7" t="s">
        <v>586</v>
      </c>
      <c r="E191" s="1589">
        <v>0</v>
      </c>
      <c r="F191" s="1589">
        <v>255000</v>
      </c>
      <c r="G191" s="1589">
        <v>0</v>
      </c>
      <c r="H191" s="1589">
        <v>0</v>
      </c>
      <c r="I191" s="1589">
        <v>255000</v>
      </c>
      <c r="J191" s="1589">
        <v>0</v>
      </c>
      <c r="K191" s="1589">
        <v>0</v>
      </c>
      <c r="L191" s="1589">
        <v>0</v>
      </c>
      <c r="M191" s="1589">
        <v>0</v>
      </c>
      <c r="N191" s="1589">
        <v>0</v>
      </c>
      <c r="O191" s="1589">
        <v>0</v>
      </c>
      <c r="P191" s="1589">
        <v>0</v>
      </c>
      <c r="Q191" s="1589">
        <v>0</v>
      </c>
      <c r="R191" s="1589">
        <v>0</v>
      </c>
      <c r="S191" s="1589">
        <v>0</v>
      </c>
      <c r="T191" s="1589">
        <v>255000</v>
      </c>
    </row>
    <row r="192" spans="1:20">
      <c r="C192" s="7" t="s">
        <v>2566</v>
      </c>
      <c r="D192" s="7" t="s">
        <v>654</v>
      </c>
      <c r="E192" s="1589">
        <v>0</v>
      </c>
      <c r="F192" s="1589">
        <v>0</v>
      </c>
      <c r="G192" s="1589">
        <v>0</v>
      </c>
      <c r="H192" s="1589">
        <v>0</v>
      </c>
      <c r="I192" s="1589">
        <v>0</v>
      </c>
      <c r="J192" s="1589">
        <v>0</v>
      </c>
      <c r="K192" s="1589">
        <v>0</v>
      </c>
      <c r="L192" s="1589">
        <v>0</v>
      </c>
      <c r="M192" s="1589">
        <v>0</v>
      </c>
      <c r="N192" s="1589">
        <v>0</v>
      </c>
      <c r="O192" s="1589">
        <v>0</v>
      </c>
      <c r="P192" s="1589">
        <v>0</v>
      </c>
      <c r="Q192" s="1589">
        <v>0</v>
      </c>
      <c r="R192" s="1589">
        <v>0</v>
      </c>
      <c r="S192" s="1589">
        <v>0</v>
      </c>
      <c r="T192" s="1589">
        <v>0</v>
      </c>
    </row>
    <row r="193" spans="2:20">
      <c r="C193" s="7" t="s">
        <v>2582</v>
      </c>
      <c r="D193" s="7" t="s">
        <v>671</v>
      </c>
      <c r="E193" s="1589">
        <v>0</v>
      </c>
      <c r="F193" s="1589">
        <v>0</v>
      </c>
      <c r="G193" s="1589">
        <v>0</v>
      </c>
      <c r="H193" s="1589">
        <v>0</v>
      </c>
      <c r="I193" s="1589">
        <v>0</v>
      </c>
      <c r="J193" s="1589">
        <v>0</v>
      </c>
      <c r="K193" s="1589">
        <v>0</v>
      </c>
      <c r="L193" s="1589">
        <v>0</v>
      </c>
      <c r="M193" s="1589">
        <v>0</v>
      </c>
      <c r="N193" s="1589">
        <v>0</v>
      </c>
      <c r="O193" s="1589">
        <v>0</v>
      </c>
      <c r="P193" s="1589">
        <v>0</v>
      </c>
      <c r="Q193" s="1589">
        <v>0</v>
      </c>
      <c r="R193" s="1589">
        <v>0</v>
      </c>
      <c r="S193" s="1589">
        <v>0</v>
      </c>
      <c r="T193" s="1589">
        <v>0</v>
      </c>
    </row>
    <row r="194" spans="2:20">
      <c r="C194" s="7" t="s">
        <v>527</v>
      </c>
      <c r="D194" s="7" t="s">
        <v>528</v>
      </c>
      <c r="E194" s="1589">
        <v>0</v>
      </c>
      <c r="F194" s="1589">
        <v>38124.806399999994</v>
      </c>
      <c r="G194" s="1589">
        <v>79340.7</v>
      </c>
      <c r="H194" s="1589">
        <v>0</v>
      </c>
      <c r="I194" s="1589">
        <v>117465.50639999998</v>
      </c>
      <c r="J194" s="1589">
        <v>0</v>
      </c>
      <c r="K194" s="1589">
        <v>109918.16279999999</v>
      </c>
      <c r="L194" s="1589">
        <v>0</v>
      </c>
      <c r="M194" s="1589">
        <v>0</v>
      </c>
      <c r="N194" s="1589">
        <v>109918.16279999999</v>
      </c>
      <c r="O194" s="1589">
        <v>0</v>
      </c>
      <c r="P194" s="1589">
        <v>118851.39599999999</v>
      </c>
      <c r="Q194" s="1589">
        <v>0</v>
      </c>
      <c r="R194" s="1589">
        <v>0</v>
      </c>
      <c r="S194" s="1589">
        <v>118851.39599999999</v>
      </c>
      <c r="T194" s="1589">
        <v>346235.06519999995</v>
      </c>
    </row>
    <row r="195" spans="2:20">
      <c r="D195" s="7" t="s">
        <v>530</v>
      </c>
      <c r="E195" s="1589">
        <v>0</v>
      </c>
      <c r="F195" s="1589">
        <v>6.3541343999999995E-11</v>
      </c>
      <c r="G195" s="1589">
        <v>1.322345E-10</v>
      </c>
      <c r="H195" s="1589">
        <v>0</v>
      </c>
      <c r="I195" s="1589">
        <v>1.95775844E-10</v>
      </c>
      <c r="J195" s="1589">
        <v>0</v>
      </c>
      <c r="K195" s="1589">
        <v>1.8319693799999998E-10</v>
      </c>
      <c r="L195" s="1589">
        <v>0</v>
      </c>
      <c r="M195" s="1589">
        <v>0</v>
      </c>
      <c r="N195" s="1589">
        <v>1.8319693799999998E-10</v>
      </c>
      <c r="O195" s="1589">
        <v>0</v>
      </c>
      <c r="P195" s="1589">
        <v>1.9808565999999999E-10</v>
      </c>
      <c r="Q195" s="1589">
        <v>0</v>
      </c>
      <c r="R195" s="1589">
        <v>0</v>
      </c>
      <c r="S195" s="1589">
        <v>1.9808565999999999E-10</v>
      </c>
      <c r="T195" s="1589">
        <v>5.7705844199999994E-10</v>
      </c>
    </row>
    <row r="196" spans="2:20">
      <c r="D196" s="7" t="s">
        <v>532</v>
      </c>
      <c r="E196" s="1589">
        <v>0</v>
      </c>
      <c r="F196" s="1589">
        <v>0</v>
      </c>
      <c r="G196" s="1589">
        <v>0</v>
      </c>
      <c r="H196" s="1589">
        <v>0</v>
      </c>
      <c r="I196" s="1589">
        <v>0</v>
      </c>
      <c r="J196" s="1589">
        <v>0</v>
      </c>
      <c r="K196" s="1589">
        <v>0</v>
      </c>
      <c r="L196" s="1589">
        <v>0</v>
      </c>
      <c r="M196" s="1589">
        <v>0</v>
      </c>
      <c r="N196" s="1589">
        <v>0</v>
      </c>
      <c r="O196" s="1589">
        <v>0</v>
      </c>
      <c r="P196" s="1589">
        <v>0</v>
      </c>
      <c r="Q196" s="1589">
        <v>0</v>
      </c>
      <c r="R196" s="1589">
        <v>0</v>
      </c>
      <c r="S196" s="1589">
        <v>0</v>
      </c>
      <c r="T196" s="1589">
        <v>0</v>
      </c>
    </row>
    <row r="197" spans="2:20">
      <c r="D197" s="7" t="s">
        <v>534</v>
      </c>
      <c r="E197" s="1589">
        <v>0</v>
      </c>
      <c r="F197" s="1589">
        <v>0</v>
      </c>
      <c r="G197" s="1589">
        <v>0</v>
      </c>
      <c r="H197" s="1589">
        <v>0</v>
      </c>
      <c r="I197" s="1589">
        <v>0</v>
      </c>
      <c r="J197" s="1589">
        <v>0</v>
      </c>
      <c r="K197" s="1589">
        <v>0</v>
      </c>
      <c r="L197" s="1589">
        <v>0</v>
      </c>
      <c r="M197" s="1589">
        <v>0</v>
      </c>
      <c r="N197" s="1589">
        <v>0</v>
      </c>
      <c r="O197" s="1589">
        <v>0</v>
      </c>
      <c r="P197" s="1589">
        <v>0</v>
      </c>
      <c r="Q197" s="1589">
        <v>0</v>
      </c>
      <c r="R197" s="1589">
        <v>0</v>
      </c>
      <c r="S197" s="1589">
        <v>0</v>
      </c>
      <c r="T197" s="1589">
        <v>0</v>
      </c>
    </row>
    <row r="198" spans="2:20">
      <c r="D198" s="7" t="s">
        <v>536</v>
      </c>
      <c r="E198" s="1589">
        <v>0</v>
      </c>
      <c r="F198" s="1589">
        <v>0</v>
      </c>
      <c r="G198" s="1589">
        <v>0</v>
      </c>
      <c r="H198" s="1589">
        <v>0</v>
      </c>
      <c r="I198" s="1589">
        <v>0</v>
      </c>
      <c r="J198" s="1589">
        <v>0</v>
      </c>
      <c r="K198" s="1589">
        <v>0</v>
      </c>
      <c r="L198" s="1589">
        <v>0</v>
      </c>
      <c r="M198" s="1589">
        <v>0</v>
      </c>
      <c r="N198" s="1589">
        <v>0</v>
      </c>
      <c r="O198" s="1589">
        <v>0</v>
      </c>
      <c r="P198" s="1589">
        <v>0</v>
      </c>
      <c r="Q198" s="1589">
        <v>0</v>
      </c>
      <c r="R198" s="1589">
        <v>0</v>
      </c>
      <c r="S198" s="1589">
        <v>0</v>
      </c>
      <c r="T198" s="1589">
        <v>0</v>
      </c>
    </row>
    <row r="199" spans="2:20">
      <c r="D199" s="7" t="s">
        <v>538</v>
      </c>
      <c r="E199" s="1589">
        <v>0</v>
      </c>
      <c r="F199" s="1589">
        <v>0</v>
      </c>
      <c r="G199" s="1589">
        <v>0</v>
      </c>
      <c r="H199" s="1589">
        <v>0</v>
      </c>
      <c r="I199" s="1589">
        <v>0</v>
      </c>
      <c r="J199" s="1589">
        <v>0</v>
      </c>
      <c r="K199" s="1589">
        <v>0</v>
      </c>
      <c r="L199" s="1589">
        <v>0</v>
      </c>
      <c r="M199" s="1589">
        <v>0</v>
      </c>
      <c r="N199" s="1589">
        <v>0</v>
      </c>
      <c r="O199" s="1589">
        <v>0</v>
      </c>
      <c r="P199" s="1589">
        <v>0</v>
      </c>
      <c r="Q199" s="1589">
        <v>0</v>
      </c>
      <c r="R199" s="1589">
        <v>0</v>
      </c>
      <c r="S199" s="1589">
        <v>0</v>
      </c>
      <c r="T199" s="1589">
        <v>0</v>
      </c>
    </row>
    <row r="200" spans="2:20">
      <c r="D200" s="7" t="s">
        <v>540</v>
      </c>
      <c r="E200" s="1589">
        <v>0</v>
      </c>
      <c r="F200" s="1589">
        <v>0</v>
      </c>
      <c r="G200" s="1589">
        <v>0</v>
      </c>
      <c r="H200" s="1589">
        <v>0</v>
      </c>
      <c r="I200" s="1589">
        <v>0</v>
      </c>
      <c r="J200" s="1589">
        <v>0</v>
      </c>
      <c r="K200" s="1589">
        <v>0</v>
      </c>
      <c r="L200" s="1589">
        <v>0</v>
      </c>
      <c r="M200" s="1589">
        <v>0</v>
      </c>
      <c r="N200" s="1589">
        <v>0</v>
      </c>
      <c r="O200" s="1589">
        <v>0</v>
      </c>
      <c r="P200" s="1589">
        <v>0</v>
      </c>
      <c r="Q200" s="1589">
        <v>0</v>
      </c>
      <c r="R200" s="1589">
        <v>0</v>
      </c>
      <c r="S200" s="1589">
        <v>0</v>
      </c>
      <c r="T200" s="1589">
        <v>0</v>
      </c>
    </row>
    <row r="201" spans="2:20">
      <c r="B201" s="7" t="s">
        <v>679</v>
      </c>
      <c r="C201" s="7" t="s">
        <v>2568</v>
      </c>
      <c r="D201" s="7" t="s">
        <v>649</v>
      </c>
      <c r="E201" s="1589">
        <v>0</v>
      </c>
      <c r="F201" s="1589">
        <v>0</v>
      </c>
      <c r="G201" s="1589">
        <v>0</v>
      </c>
      <c r="H201" s="1589">
        <v>0</v>
      </c>
      <c r="I201" s="1589">
        <v>0</v>
      </c>
      <c r="J201" s="1589">
        <v>0</v>
      </c>
      <c r="K201" s="1589">
        <v>0</v>
      </c>
      <c r="L201" s="1589">
        <v>0</v>
      </c>
      <c r="M201" s="1589">
        <v>0</v>
      </c>
      <c r="N201" s="1589">
        <v>0</v>
      </c>
      <c r="O201" s="1589">
        <v>0</v>
      </c>
      <c r="P201" s="1589">
        <v>0</v>
      </c>
      <c r="Q201" s="1589">
        <v>0</v>
      </c>
      <c r="R201" s="1589">
        <v>0</v>
      </c>
      <c r="S201" s="1589">
        <v>0</v>
      </c>
      <c r="T201" s="1589">
        <v>0</v>
      </c>
    </row>
    <row r="202" spans="2:20">
      <c r="C202" s="7" t="s">
        <v>2583</v>
      </c>
      <c r="D202" s="7" t="s">
        <v>656</v>
      </c>
      <c r="E202" s="1589">
        <v>0</v>
      </c>
      <c r="F202" s="1589">
        <v>88680</v>
      </c>
      <c r="G202" s="1589">
        <v>0</v>
      </c>
      <c r="H202" s="1589">
        <v>0</v>
      </c>
      <c r="I202" s="1589">
        <v>88680</v>
      </c>
      <c r="J202" s="1589">
        <v>0</v>
      </c>
      <c r="K202" s="1589">
        <v>88680</v>
      </c>
      <c r="L202" s="1589">
        <v>0</v>
      </c>
      <c r="M202" s="1589">
        <v>0</v>
      </c>
      <c r="N202" s="1589">
        <v>88680</v>
      </c>
      <c r="O202" s="1589">
        <v>0</v>
      </c>
      <c r="P202" s="1589">
        <v>88680</v>
      </c>
      <c r="Q202" s="1589">
        <v>0</v>
      </c>
      <c r="R202" s="1589">
        <v>0</v>
      </c>
      <c r="S202" s="1589">
        <v>88680</v>
      </c>
      <c r="T202" s="1589">
        <v>266040</v>
      </c>
    </row>
    <row r="203" spans="2:20">
      <c r="C203" s="7" t="s">
        <v>2584</v>
      </c>
      <c r="D203" s="7" t="s">
        <v>651</v>
      </c>
      <c r="E203" s="1589">
        <v>0</v>
      </c>
      <c r="F203" s="1589">
        <v>63432.5</v>
      </c>
      <c r="G203" s="1589">
        <v>0</v>
      </c>
      <c r="H203" s="1589">
        <v>0</v>
      </c>
      <c r="I203" s="1589">
        <v>63432.5</v>
      </c>
      <c r="J203" s="1589">
        <v>0</v>
      </c>
      <c r="K203" s="1589">
        <v>63432.5</v>
      </c>
      <c r="L203" s="1589">
        <v>0</v>
      </c>
      <c r="M203" s="1589">
        <v>0</v>
      </c>
      <c r="N203" s="1589">
        <v>63432.5</v>
      </c>
      <c r="O203" s="1589">
        <v>0</v>
      </c>
      <c r="P203" s="1589">
        <v>63432.5</v>
      </c>
      <c r="Q203" s="1589">
        <v>0</v>
      </c>
      <c r="R203" s="1589">
        <v>0</v>
      </c>
      <c r="S203" s="1589">
        <v>63432.5</v>
      </c>
      <c r="T203" s="1589">
        <v>190297.5</v>
      </c>
    </row>
    <row r="204" spans="2:20">
      <c r="C204" s="7" t="s">
        <v>527</v>
      </c>
      <c r="D204" s="7" t="s">
        <v>528</v>
      </c>
      <c r="E204" s="1589">
        <v>0</v>
      </c>
      <c r="F204" s="1589">
        <v>9126.75</v>
      </c>
      <c r="G204" s="1589">
        <v>0</v>
      </c>
      <c r="H204" s="1589">
        <v>0</v>
      </c>
      <c r="I204" s="1589">
        <v>9126.75</v>
      </c>
      <c r="J204" s="1589">
        <v>0</v>
      </c>
      <c r="K204" s="1589">
        <v>9126.75</v>
      </c>
      <c r="L204" s="1589">
        <v>0</v>
      </c>
      <c r="M204" s="1589">
        <v>0</v>
      </c>
      <c r="N204" s="1589">
        <v>9126.75</v>
      </c>
      <c r="O204" s="1589">
        <v>0</v>
      </c>
      <c r="P204" s="1589">
        <v>9126.75</v>
      </c>
      <c r="Q204" s="1589">
        <v>0</v>
      </c>
      <c r="R204" s="1589">
        <v>0</v>
      </c>
      <c r="S204" s="1589">
        <v>9126.75</v>
      </c>
      <c r="T204" s="1589">
        <v>27380.25</v>
      </c>
    </row>
    <row r="205" spans="2:20">
      <c r="D205" s="7" t="s">
        <v>530</v>
      </c>
      <c r="E205" s="1589">
        <v>0</v>
      </c>
      <c r="F205" s="1589">
        <v>1.5211249999999999E-11</v>
      </c>
      <c r="G205" s="1589">
        <v>0</v>
      </c>
      <c r="H205" s="1589">
        <v>0</v>
      </c>
      <c r="I205" s="1589">
        <v>1.5211249999999999E-11</v>
      </c>
      <c r="J205" s="1589">
        <v>0</v>
      </c>
      <c r="K205" s="1589">
        <v>1.5211249999999999E-11</v>
      </c>
      <c r="L205" s="1589">
        <v>0</v>
      </c>
      <c r="M205" s="1589">
        <v>0</v>
      </c>
      <c r="N205" s="1589">
        <v>1.5211249999999999E-11</v>
      </c>
      <c r="O205" s="1589">
        <v>0</v>
      </c>
      <c r="P205" s="1589">
        <v>1.5211249999999999E-11</v>
      </c>
      <c r="Q205" s="1589">
        <v>0</v>
      </c>
      <c r="R205" s="1589">
        <v>0</v>
      </c>
      <c r="S205" s="1589">
        <v>1.5211249999999999E-11</v>
      </c>
      <c r="T205" s="1589">
        <v>4.5633749999999995E-11</v>
      </c>
    </row>
    <row r="206" spans="2:20">
      <c r="D206" s="7" t="s">
        <v>532</v>
      </c>
      <c r="E206" s="1589">
        <v>0</v>
      </c>
      <c r="F206" s="1589">
        <v>0</v>
      </c>
      <c r="G206" s="1589">
        <v>0</v>
      </c>
      <c r="H206" s="1589">
        <v>0</v>
      </c>
      <c r="I206" s="1589">
        <v>0</v>
      </c>
      <c r="J206" s="1589">
        <v>0</v>
      </c>
      <c r="K206" s="1589">
        <v>0</v>
      </c>
      <c r="L206" s="1589">
        <v>0</v>
      </c>
      <c r="M206" s="1589">
        <v>0</v>
      </c>
      <c r="N206" s="1589">
        <v>0</v>
      </c>
      <c r="O206" s="1589">
        <v>0</v>
      </c>
      <c r="P206" s="1589">
        <v>0</v>
      </c>
      <c r="Q206" s="1589">
        <v>0</v>
      </c>
      <c r="R206" s="1589">
        <v>0</v>
      </c>
      <c r="S206" s="1589">
        <v>0</v>
      </c>
      <c r="T206" s="1589">
        <v>0</v>
      </c>
    </row>
    <row r="207" spans="2:20">
      <c r="D207" s="7" t="s">
        <v>534</v>
      </c>
      <c r="E207" s="1589">
        <v>0</v>
      </c>
      <c r="F207" s="1589">
        <v>0</v>
      </c>
      <c r="G207" s="1589">
        <v>0</v>
      </c>
      <c r="H207" s="1589">
        <v>0</v>
      </c>
      <c r="I207" s="1589">
        <v>0</v>
      </c>
      <c r="J207" s="1589">
        <v>0</v>
      </c>
      <c r="K207" s="1589">
        <v>0</v>
      </c>
      <c r="L207" s="1589">
        <v>0</v>
      </c>
      <c r="M207" s="1589">
        <v>0</v>
      </c>
      <c r="N207" s="1589">
        <v>0</v>
      </c>
      <c r="O207" s="1589">
        <v>0</v>
      </c>
      <c r="P207" s="1589">
        <v>0</v>
      </c>
      <c r="Q207" s="1589">
        <v>0</v>
      </c>
      <c r="R207" s="1589">
        <v>0</v>
      </c>
      <c r="S207" s="1589">
        <v>0</v>
      </c>
      <c r="T207" s="1589">
        <v>0</v>
      </c>
    </row>
    <row r="208" spans="2:20">
      <c r="D208" s="7" t="s">
        <v>536</v>
      </c>
      <c r="E208" s="1589">
        <v>0</v>
      </c>
      <c r="F208" s="1589">
        <v>0</v>
      </c>
      <c r="G208" s="1589">
        <v>0</v>
      </c>
      <c r="H208" s="1589">
        <v>0</v>
      </c>
      <c r="I208" s="1589">
        <v>0</v>
      </c>
      <c r="J208" s="1589">
        <v>0</v>
      </c>
      <c r="K208" s="1589">
        <v>0</v>
      </c>
      <c r="L208" s="1589">
        <v>0</v>
      </c>
      <c r="M208" s="1589">
        <v>0</v>
      </c>
      <c r="N208" s="1589">
        <v>0</v>
      </c>
      <c r="O208" s="1589">
        <v>0</v>
      </c>
      <c r="P208" s="1589">
        <v>0</v>
      </c>
      <c r="Q208" s="1589">
        <v>0</v>
      </c>
      <c r="R208" s="1589">
        <v>0</v>
      </c>
      <c r="S208" s="1589">
        <v>0</v>
      </c>
      <c r="T208" s="1589">
        <v>0</v>
      </c>
    </row>
    <row r="209" spans="1:20">
      <c r="D209" s="7" t="s">
        <v>538</v>
      </c>
      <c r="E209" s="1589">
        <v>0</v>
      </c>
      <c r="F209" s="1589">
        <v>0</v>
      </c>
      <c r="G209" s="1589">
        <v>0</v>
      </c>
      <c r="H209" s="1589">
        <v>0</v>
      </c>
      <c r="I209" s="1589">
        <v>0</v>
      </c>
      <c r="J209" s="1589">
        <v>0</v>
      </c>
      <c r="K209" s="1589">
        <v>0</v>
      </c>
      <c r="L209" s="1589">
        <v>0</v>
      </c>
      <c r="M209" s="1589">
        <v>0</v>
      </c>
      <c r="N209" s="1589">
        <v>0</v>
      </c>
      <c r="O209" s="1589">
        <v>0</v>
      </c>
      <c r="P209" s="1589">
        <v>0</v>
      </c>
      <c r="Q209" s="1589">
        <v>0</v>
      </c>
      <c r="R209" s="1589">
        <v>0</v>
      </c>
      <c r="S209" s="1589">
        <v>0</v>
      </c>
      <c r="T209" s="1589">
        <v>0</v>
      </c>
    </row>
    <row r="210" spans="1:20">
      <c r="D210" s="7" t="s">
        <v>540</v>
      </c>
      <c r="E210" s="1589">
        <v>0</v>
      </c>
      <c r="F210" s="1589">
        <v>0</v>
      </c>
      <c r="G210" s="1589">
        <v>0</v>
      </c>
      <c r="H210" s="1589">
        <v>0</v>
      </c>
      <c r="I210" s="1589">
        <v>0</v>
      </c>
      <c r="J210" s="1589">
        <v>0</v>
      </c>
      <c r="K210" s="1589">
        <v>0</v>
      </c>
      <c r="L210" s="1589">
        <v>0</v>
      </c>
      <c r="M210" s="1589">
        <v>0</v>
      </c>
      <c r="N210" s="1589">
        <v>0</v>
      </c>
      <c r="O210" s="1589">
        <v>0</v>
      </c>
      <c r="P210" s="1589">
        <v>0</v>
      </c>
      <c r="Q210" s="1589">
        <v>0</v>
      </c>
      <c r="R210" s="1589">
        <v>0</v>
      </c>
      <c r="S210" s="1589">
        <v>0</v>
      </c>
      <c r="T210" s="1589">
        <v>0</v>
      </c>
    </row>
    <row r="211" spans="1:20">
      <c r="A211" s="7" t="s">
        <v>523</v>
      </c>
      <c r="B211" s="7" t="s">
        <v>583</v>
      </c>
      <c r="C211" s="7" t="s">
        <v>2561</v>
      </c>
      <c r="D211" s="7" t="s">
        <v>586</v>
      </c>
      <c r="E211" s="1589">
        <v>0</v>
      </c>
      <c r="F211" s="1589">
        <v>0</v>
      </c>
      <c r="G211" s="1589">
        <v>0</v>
      </c>
      <c r="H211" s="1589">
        <v>0</v>
      </c>
      <c r="I211" s="1589">
        <v>0</v>
      </c>
      <c r="J211" s="1589">
        <v>0</v>
      </c>
      <c r="K211" s="1589">
        <v>0</v>
      </c>
      <c r="L211" s="1589">
        <v>0</v>
      </c>
      <c r="M211" s="1589">
        <v>0</v>
      </c>
      <c r="N211" s="1589">
        <v>0</v>
      </c>
      <c r="O211" s="1589">
        <v>0</v>
      </c>
      <c r="P211" s="1589">
        <v>0</v>
      </c>
      <c r="Q211" s="1589">
        <v>0</v>
      </c>
      <c r="R211" s="1589">
        <v>0</v>
      </c>
      <c r="S211" s="1589">
        <v>0</v>
      </c>
      <c r="T211" s="1589">
        <v>0</v>
      </c>
    </row>
    <row r="212" spans="1:20">
      <c r="C212" s="7" t="s">
        <v>584</v>
      </c>
      <c r="D212" s="7" t="s">
        <v>585</v>
      </c>
      <c r="E212" s="1589">
        <v>0</v>
      </c>
      <c r="F212" s="1589">
        <v>0</v>
      </c>
      <c r="G212" s="1589">
        <v>0</v>
      </c>
      <c r="H212" s="1589">
        <v>0</v>
      </c>
      <c r="I212" s="1589">
        <v>0</v>
      </c>
      <c r="J212" s="1589">
        <v>0</v>
      </c>
      <c r="K212" s="1589">
        <v>0</v>
      </c>
      <c r="L212" s="1589">
        <v>0</v>
      </c>
      <c r="M212" s="1589">
        <v>0</v>
      </c>
      <c r="N212" s="1589">
        <v>0</v>
      </c>
      <c r="O212" s="1589">
        <v>0</v>
      </c>
      <c r="P212" s="1589">
        <v>0</v>
      </c>
      <c r="Q212" s="1589">
        <v>0</v>
      </c>
      <c r="R212" s="1589">
        <v>0</v>
      </c>
      <c r="S212" s="1589">
        <v>0</v>
      </c>
      <c r="T212" s="1589">
        <v>0</v>
      </c>
    </row>
    <row r="213" spans="1:20">
      <c r="C213" s="7" t="s">
        <v>527</v>
      </c>
      <c r="D213" s="7" t="s">
        <v>528</v>
      </c>
      <c r="E213" s="1589">
        <v>0</v>
      </c>
      <c r="F213" s="1589">
        <v>0</v>
      </c>
      <c r="G213" s="1589">
        <v>0</v>
      </c>
      <c r="H213" s="1589">
        <v>0</v>
      </c>
      <c r="I213" s="1589">
        <v>0</v>
      </c>
      <c r="J213" s="1589">
        <v>0</v>
      </c>
      <c r="K213" s="1589">
        <v>0</v>
      </c>
      <c r="L213" s="1589">
        <v>0</v>
      </c>
      <c r="M213" s="1589">
        <v>0</v>
      </c>
      <c r="N213" s="1589">
        <v>0</v>
      </c>
      <c r="O213" s="1589">
        <v>0</v>
      </c>
      <c r="P213" s="1589">
        <v>0</v>
      </c>
      <c r="Q213" s="1589">
        <v>0</v>
      </c>
      <c r="R213" s="1589">
        <v>0</v>
      </c>
      <c r="S213" s="1589">
        <v>0</v>
      </c>
      <c r="T213" s="1589">
        <v>0</v>
      </c>
    </row>
    <row r="214" spans="1:20">
      <c r="D214" s="7" t="s">
        <v>530</v>
      </c>
      <c r="E214" s="1589">
        <v>0</v>
      </c>
      <c r="F214" s="1589">
        <v>0</v>
      </c>
      <c r="G214" s="1589">
        <v>0</v>
      </c>
      <c r="H214" s="1589">
        <v>0</v>
      </c>
      <c r="I214" s="1589">
        <v>0</v>
      </c>
      <c r="J214" s="1589">
        <v>0</v>
      </c>
      <c r="K214" s="1589">
        <v>0</v>
      </c>
      <c r="L214" s="1589">
        <v>0</v>
      </c>
      <c r="M214" s="1589">
        <v>0</v>
      </c>
      <c r="N214" s="1589">
        <v>0</v>
      </c>
      <c r="O214" s="1589">
        <v>0</v>
      </c>
      <c r="P214" s="1589">
        <v>0</v>
      </c>
      <c r="Q214" s="1589">
        <v>0</v>
      </c>
      <c r="R214" s="1589">
        <v>0</v>
      </c>
      <c r="S214" s="1589">
        <v>0</v>
      </c>
      <c r="T214" s="1589">
        <v>0</v>
      </c>
    </row>
    <row r="215" spans="1:20">
      <c r="D215" s="7" t="s">
        <v>532</v>
      </c>
      <c r="E215" s="1589">
        <v>0</v>
      </c>
      <c r="F215" s="1589">
        <v>0</v>
      </c>
      <c r="G215" s="1589">
        <v>0</v>
      </c>
      <c r="H215" s="1589">
        <v>0</v>
      </c>
      <c r="I215" s="1589">
        <v>0</v>
      </c>
      <c r="J215" s="1589">
        <v>0</v>
      </c>
      <c r="K215" s="1589">
        <v>0</v>
      </c>
      <c r="L215" s="1589">
        <v>0</v>
      </c>
      <c r="M215" s="1589">
        <v>0</v>
      </c>
      <c r="N215" s="1589">
        <v>0</v>
      </c>
      <c r="O215" s="1589">
        <v>0</v>
      </c>
      <c r="P215" s="1589">
        <v>0</v>
      </c>
      <c r="Q215" s="1589">
        <v>0</v>
      </c>
      <c r="R215" s="1589">
        <v>0</v>
      </c>
      <c r="S215" s="1589">
        <v>0</v>
      </c>
      <c r="T215" s="1589">
        <v>0</v>
      </c>
    </row>
    <row r="216" spans="1:20">
      <c r="D216" s="7" t="s">
        <v>534</v>
      </c>
      <c r="E216" s="1589">
        <v>0</v>
      </c>
      <c r="F216" s="1589">
        <v>0</v>
      </c>
      <c r="G216" s="1589">
        <v>0</v>
      </c>
      <c r="H216" s="1589">
        <v>0</v>
      </c>
      <c r="I216" s="1589">
        <v>0</v>
      </c>
      <c r="J216" s="1589">
        <v>0</v>
      </c>
      <c r="K216" s="1589">
        <v>0</v>
      </c>
      <c r="L216" s="1589">
        <v>0</v>
      </c>
      <c r="M216" s="1589">
        <v>0</v>
      </c>
      <c r="N216" s="1589">
        <v>0</v>
      </c>
      <c r="O216" s="1589">
        <v>0</v>
      </c>
      <c r="P216" s="1589">
        <v>0</v>
      </c>
      <c r="Q216" s="1589">
        <v>0</v>
      </c>
      <c r="R216" s="1589">
        <v>0</v>
      </c>
      <c r="S216" s="1589">
        <v>0</v>
      </c>
      <c r="T216" s="1589">
        <v>0</v>
      </c>
    </row>
    <row r="217" spans="1:20">
      <c r="D217" s="7" t="s">
        <v>536</v>
      </c>
      <c r="E217" s="1589">
        <v>0</v>
      </c>
      <c r="F217" s="1589">
        <v>0</v>
      </c>
      <c r="G217" s="1589">
        <v>0</v>
      </c>
      <c r="H217" s="1589">
        <v>0</v>
      </c>
      <c r="I217" s="1589">
        <v>0</v>
      </c>
      <c r="J217" s="1589">
        <v>0</v>
      </c>
      <c r="K217" s="1589">
        <v>0</v>
      </c>
      <c r="L217" s="1589">
        <v>0</v>
      </c>
      <c r="M217" s="1589">
        <v>0</v>
      </c>
      <c r="N217" s="1589">
        <v>0</v>
      </c>
      <c r="O217" s="1589">
        <v>0</v>
      </c>
      <c r="P217" s="1589">
        <v>0</v>
      </c>
      <c r="Q217" s="1589">
        <v>0</v>
      </c>
      <c r="R217" s="1589">
        <v>0</v>
      </c>
      <c r="S217" s="1589">
        <v>0</v>
      </c>
      <c r="T217" s="1589">
        <v>0</v>
      </c>
    </row>
    <row r="218" spans="1:20">
      <c r="D218" s="7" t="s">
        <v>538</v>
      </c>
      <c r="E218" s="1589">
        <v>0</v>
      </c>
      <c r="F218" s="1589">
        <v>0</v>
      </c>
      <c r="G218" s="1589">
        <v>0</v>
      </c>
      <c r="H218" s="1589">
        <v>0</v>
      </c>
      <c r="I218" s="1589">
        <v>0</v>
      </c>
      <c r="J218" s="1589">
        <v>0</v>
      </c>
      <c r="K218" s="1589">
        <v>0</v>
      </c>
      <c r="L218" s="1589">
        <v>0</v>
      </c>
      <c r="M218" s="1589">
        <v>0</v>
      </c>
      <c r="N218" s="1589">
        <v>0</v>
      </c>
      <c r="O218" s="1589">
        <v>0</v>
      </c>
      <c r="P218" s="1589">
        <v>0</v>
      </c>
      <c r="Q218" s="1589">
        <v>0</v>
      </c>
      <c r="R218" s="1589">
        <v>0</v>
      </c>
      <c r="S218" s="1589">
        <v>0</v>
      </c>
      <c r="T218" s="1589">
        <v>0</v>
      </c>
    </row>
    <row r="219" spans="1:20">
      <c r="D219" s="7" t="s">
        <v>540</v>
      </c>
      <c r="E219" s="1589">
        <v>0</v>
      </c>
      <c r="F219" s="1589">
        <v>0</v>
      </c>
      <c r="G219" s="1589">
        <v>0</v>
      </c>
      <c r="H219" s="1589">
        <v>0</v>
      </c>
      <c r="I219" s="1589">
        <v>0</v>
      </c>
      <c r="J219" s="1589">
        <v>0</v>
      </c>
      <c r="K219" s="1589">
        <v>0</v>
      </c>
      <c r="L219" s="1589">
        <v>0</v>
      </c>
      <c r="M219" s="1589">
        <v>0</v>
      </c>
      <c r="N219" s="1589">
        <v>0</v>
      </c>
      <c r="O219" s="1589">
        <v>0</v>
      </c>
      <c r="P219" s="1589">
        <v>0</v>
      </c>
      <c r="Q219" s="1589">
        <v>0</v>
      </c>
      <c r="R219" s="1589">
        <v>0</v>
      </c>
      <c r="S219" s="1589">
        <v>0</v>
      </c>
      <c r="T219" s="1589">
        <v>0</v>
      </c>
    </row>
    <row r="220" spans="1:20">
      <c r="B220" s="7" t="s">
        <v>551</v>
      </c>
      <c r="C220" s="7" t="s">
        <v>2560</v>
      </c>
      <c r="D220" s="7" t="s">
        <v>525</v>
      </c>
      <c r="E220" s="1589">
        <v>0</v>
      </c>
      <c r="F220" s="1589">
        <v>0</v>
      </c>
      <c r="G220" s="1589">
        <v>0</v>
      </c>
      <c r="H220" s="1589">
        <v>0</v>
      </c>
      <c r="I220" s="1589">
        <v>0</v>
      </c>
      <c r="J220" s="1589">
        <v>0</v>
      </c>
      <c r="K220" s="1589">
        <v>0</v>
      </c>
      <c r="L220" s="1589">
        <v>0</v>
      </c>
      <c r="M220" s="1589">
        <v>0</v>
      </c>
      <c r="N220" s="1589">
        <v>0</v>
      </c>
      <c r="O220" s="1589">
        <v>0</v>
      </c>
      <c r="P220" s="1589">
        <v>0</v>
      </c>
      <c r="Q220" s="1589">
        <v>0</v>
      </c>
      <c r="R220" s="1589">
        <v>0</v>
      </c>
      <c r="S220" s="1589">
        <v>0</v>
      </c>
      <c r="T220" s="1589">
        <v>0</v>
      </c>
    </row>
    <row r="221" spans="1:20">
      <c r="C221" s="7" t="s">
        <v>527</v>
      </c>
      <c r="D221" s="7" t="s">
        <v>528</v>
      </c>
      <c r="E221" s="1589">
        <v>0</v>
      </c>
      <c r="F221" s="1589">
        <v>0</v>
      </c>
      <c r="G221" s="1589">
        <v>0</v>
      </c>
      <c r="H221" s="1589">
        <v>0</v>
      </c>
      <c r="I221" s="1589">
        <v>0</v>
      </c>
      <c r="J221" s="1589">
        <v>0</v>
      </c>
      <c r="K221" s="1589">
        <v>0</v>
      </c>
      <c r="L221" s="1589">
        <v>0</v>
      </c>
      <c r="M221" s="1589">
        <v>0</v>
      </c>
      <c r="N221" s="1589">
        <v>0</v>
      </c>
      <c r="O221" s="1589">
        <v>0</v>
      </c>
      <c r="P221" s="1589">
        <v>0</v>
      </c>
      <c r="Q221" s="1589">
        <v>0</v>
      </c>
      <c r="R221" s="1589">
        <v>0</v>
      </c>
      <c r="S221" s="1589">
        <v>0</v>
      </c>
      <c r="T221" s="1589">
        <v>0</v>
      </c>
    </row>
    <row r="222" spans="1:20">
      <c r="D222" s="7" t="s">
        <v>530</v>
      </c>
      <c r="E222" s="1589">
        <v>0</v>
      </c>
      <c r="F222" s="1589">
        <v>0</v>
      </c>
      <c r="G222" s="1589">
        <v>0</v>
      </c>
      <c r="H222" s="1589">
        <v>0</v>
      </c>
      <c r="I222" s="1589">
        <v>0</v>
      </c>
      <c r="J222" s="1589">
        <v>0</v>
      </c>
      <c r="K222" s="1589">
        <v>0</v>
      </c>
      <c r="L222" s="1589">
        <v>0</v>
      </c>
      <c r="M222" s="1589">
        <v>0</v>
      </c>
      <c r="N222" s="1589">
        <v>0</v>
      </c>
      <c r="O222" s="1589">
        <v>0</v>
      </c>
      <c r="P222" s="1589">
        <v>0</v>
      </c>
      <c r="Q222" s="1589">
        <v>0</v>
      </c>
      <c r="R222" s="1589">
        <v>0</v>
      </c>
      <c r="S222" s="1589">
        <v>0</v>
      </c>
      <c r="T222" s="1589">
        <v>0</v>
      </c>
    </row>
    <row r="223" spans="1:20">
      <c r="D223" s="7" t="s">
        <v>532</v>
      </c>
      <c r="E223" s="1589">
        <v>0</v>
      </c>
      <c r="F223" s="1589">
        <v>0</v>
      </c>
      <c r="G223" s="1589">
        <v>0</v>
      </c>
      <c r="H223" s="1589">
        <v>0</v>
      </c>
      <c r="I223" s="1589">
        <v>0</v>
      </c>
      <c r="J223" s="1589">
        <v>0</v>
      </c>
      <c r="K223" s="1589">
        <v>0</v>
      </c>
      <c r="L223" s="1589">
        <v>0</v>
      </c>
      <c r="M223" s="1589">
        <v>0</v>
      </c>
      <c r="N223" s="1589">
        <v>0</v>
      </c>
      <c r="O223" s="1589">
        <v>0</v>
      </c>
      <c r="P223" s="1589">
        <v>0</v>
      </c>
      <c r="Q223" s="1589">
        <v>0</v>
      </c>
      <c r="R223" s="1589">
        <v>0</v>
      </c>
      <c r="S223" s="1589">
        <v>0</v>
      </c>
      <c r="T223" s="1589">
        <v>0</v>
      </c>
    </row>
    <row r="224" spans="1:20">
      <c r="D224" s="7" t="s">
        <v>534</v>
      </c>
      <c r="E224" s="1589">
        <v>0</v>
      </c>
      <c r="F224" s="1589">
        <v>0</v>
      </c>
      <c r="G224" s="1589">
        <v>0</v>
      </c>
      <c r="H224" s="1589">
        <v>0</v>
      </c>
      <c r="I224" s="1589">
        <v>0</v>
      </c>
      <c r="J224" s="1589">
        <v>0</v>
      </c>
      <c r="K224" s="1589">
        <v>0</v>
      </c>
      <c r="L224" s="1589">
        <v>0</v>
      </c>
      <c r="M224" s="1589">
        <v>0</v>
      </c>
      <c r="N224" s="1589">
        <v>0</v>
      </c>
      <c r="O224" s="1589">
        <v>0</v>
      </c>
      <c r="P224" s="1589">
        <v>0</v>
      </c>
      <c r="Q224" s="1589">
        <v>0</v>
      </c>
      <c r="R224" s="1589">
        <v>0</v>
      </c>
      <c r="S224" s="1589">
        <v>0</v>
      </c>
      <c r="T224" s="1589">
        <v>0</v>
      </c>
    </row>
    <row r="225" spans="2:20">
      <c r="D225" s="7" t="s">
        <v>536</v>
      </c>
      <c r="E225" s="1589">
        <v>0</v>
      </c>
      <c r="F225" s="1589">
        <v>0</v>
      </c>
      <c r="G225" s="1589">
        <v>0</v>
      </c>
      <c r="H225" s="1589">
        <v>0</v>
      </c>
      <c r="I225" s="1589">
        <v>0</v>
      </c>
      <c r="J225" s="1589">
        <v>0</v>
      </c>
      <c r="K225" s="1589">
        <v>0</v>
      </c>
      <c r="L225" s="1589">
        <v>0</v>
      </c>
      <c r="M225" s="1589">
        <v>0</v>
      </c>
      <c r="N225" s="1589">
        <v>0</v>
      </c>
      <c r="O225" s="1589">
        <v>0</v>
      </c>
      <c r="P225" s="1589">
        <v>0</v>
      </c>
      <c r="Q225" s="1589">
        <v>0</v>
      </c>
      <c r="R225" s="1589">
        <v>0</v>
      </c>
      <c r="S225" s="1589">
        <v>0</v>
      </c>
      <c r="T225" s="1589">
        <v>0</v>
      </c>
    </row>
    <row r="226" spans="2:20">
      <c r="D226" s="7" t="s">
        <v>538</v>
      </c>
      <c r="E226" s="1589">
        <v>0</v>
      </c>
      <c r="F226" s="1589">
        <v>0</v>
      </c>
      <c r="G226" s="1589">
        <v>0</v>
      </c>
      <c r="H226" s="1589">
        <v>0</v>
      </c>
      <c r="I226" s="1589">
        <v>0</v>
      </c>
      <c r="J226" s="1589">
        <v>0</v>
      </c>
      <c r="K226" s="1589">
        <v>0</v>
      </c>
      <c r="L226" s="1589">
        <v>0</v>
      </c>
      <c r="M226" s="1589">
        <v>0</v>
      </c>
      <c r="N226" s="1589">
        <v>0</v>
      </c>
      <c r="O226" s="1589">
        <v>0</v>
      </c>
      <c r="P226" s="1589">
        <v>0</v>
      </c>
      <c r="Q226" s="1589">
        <v>0</v>
      </c>
      <c r="R226" s="1589">
        <v>0</v>
      </c>
      <c r="S226" s="1589">
        <v>0</v>
      </c>
      <c r="T226" s="1589">
        <v>0</v>
      </c>
    </row>
    <row r="227" spans="2:20">
      <c r="D227" s="7" t="s">
        <v>540</v>
      </c>
      <c r="E227" s="1589">
        <v>0</v>
      </c>
      <c r="F227" s="1589">
        <v>0</v>
      </c>
      <c r="G227" s="1589">
        <v>0</v>
      </c>
      <c r="H227" s="1589">
        <v>0</v>
      </c>
      <c r="I227" s="1589">
        <v>0</v>
      </c>
      <c r="J227" s="1589">
        <v>0</v>
      </c>
      <c r="K227" s="1589">
        <v>0</v>
      </c>
      <c r="L227" s="1589">
        <v>0</v>
      </c>
      <c r="M227" s="1589">
        <v>0</v>
      </c>
      <c r="N227" s="1589">
        <v>0</v>
      </c>
      <c r="O227" s="1589">
        <v>0</v>
      </c>
      <c r="P227" s="1589">
        <v>0</v>
      </c>
      <c r="Q227" s="1589">
        <v>0</v>
      </c>
      <c r="R227" s="1589">
        <v>0</v>
      </c>
      <c r="S227" s="1589">
        <v>0</v>
      </c>
      <c r="T227" s="1589">
        <v>0</v>
      </c>
    </row>
    <row r="228" spans="2:20">
      <c r="B228" s="7" t="s">
        <v>575</v>
      </c>
      <c r="C228" s="7" t="s">
        <v>2560</v>
      </c>
      <c r="D228" s="7" t="s">
        <v>525</v>
      </c>
      <c r="E228" s="1589">
        <v>0</v>
      </c>
      <c r="F228" s="1589">
        <v>0</v>
      </c>
      <c r="G228" s="1589">
        <v>0</v>
      </c>
      <c r="H228" s="1589">
        <v>0</v>
      </c>
      <c r="I228" s="1589">
        <v>0</v>
      </c>
      <c r="J228" s="1589">
        <v>0</v>
      </c>
      <c r="K228" s="1589">
        <v>0</v>
      </c>
      <c r="L228" s="1589">
        <v>0</v>
      </c>
      <c r="M228" s="1589">
        <v>0</v>
      </c>
      <c r="N228" s="1589">
        <v>0</v>
      </c>
      <c r="O228" s="1589">
        <v>0</v>
      </c>
      <c r="P228" s="1589">
        <v>0</v>
      </c>
      <c r="Q228" s="1589">
        <v>0</v>
      </c>
      <c r="R228" s="1589">
        <v>0</v>
      </c>
      <c r="S228" s="1589">
        <v>0</v>
      </c>
      <c r="T228" s="1589">
        <v>0</v>
      </c>
    </row>
    <row r="229" spans="2:20">
      <c r="C229" s="7" t="s">
        <v>527</v>
      </c>
      <c r="D229" s="7" t="s">
        <v>528</v>
      </c>
      <c r="E229" s="1589">
        <v>0</v>
      </c>
      <c r="F229" s="1589">
        <v>0</v>
      </c>
      <c r="G229" s="1589">
        <v>0</v>
      </c>
      <c r="H229" s="1589">
        <v>0</v>
      </c>
      <c r="I229" s="1589">
        <v>0</v>
      </c>
      <c r="J229" s="1589">
        <v>0</v>
      </c>
      <c r="K229" s="1589">
        <v>0</v>
      </c>
      <c r="L229" s="1589">
        <v>0</v>
      </c>
      <c r="M229" s="1589">
        <v>0</v>
      </c>
      <c r="N229" s="1589">
        <v>0</v>
      </c>
      <c r="O229" s="1589">
        <v>0</v>
      </c>
      <c r="P229" s="1589">
        <v>0</v>
      </c>
      <c r="Q229" s="1589">
        <v>0</v>
      </c>
      <c r="R229" s="1589">
        <v>0</v>
      </c>
      <c r="S229" s="1589">
        <v>0</v>
      </c>
      <c r="T229" s="1589">
        <v>0</v>
      </c>
    </row>
    <row r="230" spans="2:20">
      <c r="D230" s="7" t="s">
        <v>530</v>
      </c>
      <c r="E230" s="1589">
        <v>0</v>
      </c>
      <c r="F230" s="1589">
        <v>0</v>
      </c>
      <c r="G230" s="1589">
        <v>0</v>
      </c>
      <c r="H230" s="1589">
        <v>0</v>
      </c>
      <c r="I230" s="1589">
        <v>0</v>
      </c>
      <c r="J230" s="1589">
        <v>0</v>
      </c>
      <c r="K230" s="1589">
        <v>0</v>
      </c>
      <c r="L230" s="1589">
        <v>0</v>
      </c>
      <c r="M230" s="1589">
        <v>0</v>
      </c>
      <c r="N230" s="1589">
        <v>0</v>
      </c>
      <c r="O230" s="1589">
        <v>0</v>
      </c>
      <c r="P230" s="1589">
        <v>0</v>
      </c>
      <c r="Q230" s="1589">
        <v>0</v>
      </c>
      <c r="R230" s="1589">
        <v>0</v>
      </c>
      <c r="S230" s="1589">
        <v>0</v>
      </c>
      <c r="T230" s="1589">
        <v>0</v>
      </c>
    </row>
    <row r="231" spans="2:20">
      <c r="D231" s="7" t="s">
        <v>532</v>
      </c>
      <c r="E231" s="1589">
        <v>0</v>
      </c>
      <c r="F231" s="1589">
        <v>0</v>
      </c>
      <c r="G231" s="1589">
        <v>0</v>
      </c>
      <c r="H231" s="1589">
        <v>0</v>
      </c>
      <c r="I231" s="1589">
        <v>0</v>
      </c>
      <c r="J231" s="1589">
        <v>0</v>
      </c>
      <c r="K231" s="1589">
        <v>0</v>
      </c>
      <c r="L231" s="1589">
        <v>0</v>
      </c>
      <c r="M231" s="1589">
        <v>0</v>
      </c>
      <c r="N231" s="1589">
        <v>0</v>
      </c>
      <c r="O231" s="1589">
        <v>0</v>
      </c>
      <c r="P231" s="1589">
        <v>0</v>
      </c>
      <c r="Q231" s="1589">
        <v>0</v>
      </c>
      <c r="R231" s="1589">
        <v>0</v>
      </c>
      <c r="S231" s="1589">
        <v>0</v>
      </c>
      <c r="T231" s="1589">
        <v>0</v>
      </c>
    </row>
    <row r="232" spans="2:20">
      <c r="D232" s="7" t="s">
        <v>534</v>
      </c>
      <c r="E232" s="1589">
        <v>0</v>
      </c>
      <c r="F232" s="1589">
        <v>0</v>
      </c>
      <c r="G232" s="1589">
        <v>0</v>
      </c>
      <c r="H232" s="1589">
        <v>0</v>
      </c>
      <c r="I232" s="1589">
        <v>0</v>
      </c>
      <c r="J232" s="1589">
        <v>0</v>
      </c>
      <c r="K232" s="1589">
        <v>0</v>
      </c>
      <c r="L232" s="1589">
        <v>0</v>
      </c>
      <c r="M232" s="1589">
        <v>0</v>
      </c>
      <c r="N232" s="1589">
        <v>0</v>
      </c>
      <c r="O232" s="1589">
        <v>0</v>
      </c>
      <c r="P232" s="1589">
        <v>0</v>
      </c>
      <c r="Q232" s="1589">
        <v>0</v>
      </c>
      <c r="R232" s="1589">
        <v>0</v>
      </c>
      <c r="S232" s="1589">
        <v>0</v>
      </c>
      <c r="T232" s="1589">
        <v>0</v>
      </c>
    </row>
    <row r="233" spans="2:20">
      <c r="D233" s="7" t="s">
        <v>536</v>
      </c>
      <c r="E233" s="1589">
        <v>0</v>
      </c>
      <c r="F233" s="1589">
        <v>0</v>
      </c>
      <c r="G233" s="1589">
        <v>0</v>
      </c>
      <c r="H233" s="1589">
        <v>0</v>
      </c>
      <c r="I233" s="1589">
        <v>0</v>
      </c>
      <c r="J233" s="1589">
        <v>0</v>
      </c>
      <c r="K233" s="1589">
        <v>0</v>
      </c>
      <c r="L233" s="1589">
        <v>0</v>
      </c>
      <c r="M233" s="1589">
        <v>0</v>
      </c>
      <c r="N233" s="1589">
        <v>0</v>
      </c>
      <c r="O233" s="1589">
        <v>0</v>
      </c>
      <c r="P233" s="1589">
        <v>0</v>
      </c>
      <c r="Q233" s="1589">
        <v>0</v>
      </c>
      <c r="R233" s="1589">
        <v>0</v>
      </c>
      <c r="S233" s="1589">
        <v>0</v>
      </c>
      <c r="T233" s="1589">
        <v>0</v>
      </c>
    </row>
    <row r="234" spans="2:20">
      <c r="D234" s="7" t="s">
        <v>538</v>
      </c>
      <c r="E234" s="1589">
        <v>0</v>
      </c>
      <c r="F234" s="1589">
        <v>0</v>
      </c>
      <c r="G234" s="1589">
        <v>0</v>
      </c>
      <c r="H234" s="1589">
        <v>0</v>
      </c>
      <c r="I234" s="1589">
        <v>0</v>
      </c>
      <c r="J234" s="1589">
        <v>0</v>
      </c>
      <c r="K234" s="1589">
        <v>0</v>
      </c>
      <c r="L234" s="1589">
        <v>0</v>
      </c>
      <c r="M234" s="1589">
        <v>0</v>
      </c>
      <c r="N234" s="1589">
        <v>0</v>
      </c>
      <c r="O234" s="1589">
        <v>0</v>
      </c>
      <c r="P234" s="1589">
        <v>0</v>
      </c>
      <c r="Q234" s="1589">
        <v>0</v>
      </c>
      <c r="R234" s="1589">
        <v>0</v>
      </c>
      <c r="S234" s="1589">
        <v>0</v>
      </c>
      <c r="T234" s="1589">
        <v>0</v>
      </c>
    </row>
    <row r="235" spans="2:20">
      <c r="D235" s="7" t="s">
        <v>540</v>
      </c>
      <c r="E235" s="1589">
        <v>0</v>
      </c>
      <c r="F235" s="1589">
        <v>0</v>
      </c>
      <c r="G235" s="1589">
        <v>0</v>
      </c>
      <c r="H235" s="1589">
        <v>0</v>
      </c>
      <c r="I235" s="1589">
        <v>0</v>
      </c>
      <c r="J235" s="1589">
        <v>0</v>
      </c>
      <c r="K235" s="1589">
        <v>0</v>
      </c>
      <c r="L235" s="1589">
        <v>0</v>
      </c>
      <c r="M235" s="1589">
        <v>0</v>
      </c>
      <c r="N235" s="1589">
        <v>0</v>
      </c>
      <c r="O235" s="1589">
        <v>0</v>
      </c>
      <c r="P235" s="1589">
        <v>0</v>
      </c>
      <c r="Q235" s="1589">
        <v>0</v>
      </c>
      <c r="R235" s="1589">
        <v>0</v>
      </c>
      <c r="S235" s="1589">
        <v>0</v>
      </c>
      <c r="T235" s="1589">
        <v>0</v>
      </c>
    </row>
    <row r="236" spans="2:20">
      <c r="B236" s="7" t="s">
        <v>559</v>
      </c>
      <c r="C236" s="7" t="s">
        <v>2560</v>
      </c>
      <c r="D236" s="7" t="s">
        <v>525</v>
      </c>
      <c r="E236" s="1589">
        <v>0</v>
      </c>
      <c r="F236" s="1589">
        <v>0</v>
      </c>
      <c r="G236" s="1589">
        <v>0</v>
      </c>
      <c r="H236" s="1589">
        <v>0</v>
      </c>
      <c r="I236" s="1589">
        <v>0</v>
      </c>
      <c r="J236" s="1589">
        <v>0</v>
      </c>
      <c r="K236" s="1589">
        <v>0</v>
      </c>
      <c r="L236" s="1589">
        <v>0</v>
      </c>
      <c r="M236" s="1589">
        <v>0</v>
      </c>
      <c r="N236" s="1589">
        <v>0</v>
      </c>
      <c r="O236" s="1589">
        <v>0</v>
      </c>
      <c r="P236" s="1589">
        <v>0</v>
      </c>
      <c r="Q236" s="1589">
        <v>0</v>
      </c>
      <c r="R236" s="1589">
        <v>0</v>
      </c>
      <c r="S236" s="1589">
        <v>0</v>
      </c>
      <c r="T236" s="1589">
        <v>0</v>
      </c>
    </row>
    <row r="237" spans="2:20">
      <c r="C237" s="7" t="s">
        <v>527</v>
      </c>
      <c r="D237" s="7" t="s">
        <v>528</v>
      </c>
      <c r="E237" s="1589">
        <v>0</v>
      </c>
      <c r="F237" s="1589">
        <v>0</v>
      </c>
      <c r="G237" s="1589">
        <v>0</v>
      </c>
      <c r="H237" s="1589">
        <v>0</v>
      </c>
      <c r="I237" s="1589">
        <v>0</v>
      </c>
      <c r="J237" s="1589">
        <v>0</v>
      </c>
      <c r="K237" s="1589">
        <v>0</v>
      </c>
      <c r="L237" s="1589">
        <v>0</v>
      </c>
      <c r="M237" s="1589">
        <v>0</v>
      </c>
      <c r="N237" s="1589">
        <v>0</v>
      </c>
      <c r="O237" s="1589">
        <v>0</v>
      </c>
      <c r="P237" s="1589">
        <v>0</v>
      </c>
      <c r="Q237" s="1589">
        <v>0</v>
      </c>
      <c r="R237" s="1589">
        <v>0</v>
      </c>
      <c r="S237" s="1589">
        <v>0</v>
      </c>
      <c r="T237" s="1589">
        <v>0</v>
      </c>
    </row>
    <row r="238" spans="2:20">
      <c r="D238" s="7" t="s">
        <v>530</v>
      </c>
      <c r="E238" s="1589">
        <v>0</v>
      </c>
      <c r="F238" s="1589">
        <v>0</v>
      </c>
      <c r="G238" s="1589">
        <v>0</v>
      </c>
      <c r="H238" s="1589">
        <v>0</v>
      </c>
      <c r="I238" s="1589">
        <v>0</v>
      </c>
      <c r="J238" s="1589">
        <v>0</v>
      </c>
      <c r="K238" s="1589">
        <v>0</v>
      </c>
      <c r="L238" s="1589">
        <v>0</v>
      </c>
      <c r="M238" s="1589">
        <v>0</v>
      </c>
      <c r="N238" s="1589">
        <v>0</v>
      </c>
      <c r="O238" s="1589">
        <v>0</v>
      </c>
      <c r="P238" s="1589">
        <v>0</v>
      </c>
      <c r="Q238" s="1589">
        <v>0</v>
      </c>
      <c r="R238" s="1589">
        <v>0</v>
      </c>
      <c r="S238" s="1589">
        <v>0</v>
      </c>
      <c r="T238" s="1589">
        <v>0</v>
      </c>
    </row>
    <row r="239" spans="2:20">
      <c r="D239" s="7" t="s">
        <v>532</v>
      </c>
      <c r="E239" s="1589">
        <v>0</v>
      </c>
      <c r="F239" s="1589">
        <v>0</v>
      </c>
      <c r="G239" s="1589">
        <v>0</v>
      </c>
      <c r="H239" s="1589">
        <v>0</v>
      </c>
      <c r="I239" s="1589">
        <v>0</v>
      </c>
      <c r="J239" s="1589">
        <v>0</v>
      </c>
      <c r="K239" s="1589">
        <v>0</v>
      </c>
      <c r="L239" s="1589">
        <v>0</v>
      </c>
      <c r="M239" s="1589">
        <v>0</v>
      </c>
      <c r="N239" s="1589">
        <v>0</v>
      </c>
      <c r="O239" s="1589">
        <v>0</v>
      </c>
      <c r="P239" s="1589">
        <v>0</v>
      </c>
      <c r="Q239" s="1589">
        <v>0</v>
      </c>
      <c r="R239" s="1589">
        <v>0</v>
      </c>
      <c r="S239" s="1589">
        <v>0</v>
      </c>
      <c r="T239" s="1589">
        <v>0</v>
      </c>
    </row>
    <row r="240" spans="2:20">
      <c r="D240" s="7" t="s">
        <v>534</v>
      </c>
      <c r="E240" s="1589">
        <v>0</v>
      </c>
      <c r="F240" s="1589">
        <v>0</v>
      </c>
      <c r="G240" s="1589">
        <v>0</v>
      </c>
      <c r="H240" s="1589">
        <v>0</v>
      </c>
      <c r="I240" s="1589">
        <v>0</v>
      </c>
      <c r="J240" s="1589">
        <v>0</v>
      </c>
      <c r="K240" s="1589">
        <v>0</v>
      </c>
      <c r="L240" s="1589">
        <v>0</v>
      </c>
      <c r="M240" s="1589">
        <v>0</v>
      </c>
      <c r="N240" s="1589">
        <v>0</v>
      </c>
      <c r="O240" s="1589">
        <v>0</v>
      </c>
      <c r="P240" s="1589">
        <v>0</v>
      </c>
      <c r="Q240" s="1589">
        <v>0</v>
      </c>
      <c r="R240" s="1589">
        <v>0</v>
      </c>
      <c r="S240" s="1589">
        <v>0</v>
      </c>
      <c r="T240" s="1589">
        <v>0</v>
      </c>
    </row>
    <row r="241" spans="2:20">
      <c r="D241" s="7" t="s">
        <v>536</v>
      </c>
      <c r="E241" s="1589">
        <v>0</v>
      </c>
      <c r="F241" s="1589">
        <v>0</v>
      </c>
      <c r="G241" s="1589">
        <v>0</v>
      </c>
      <c r="H241" s="1589">
        <v>0</v>
      </c>
      <c r="I241" s="1589">
        <v>0</v>
      </c>
      <c r="J241" s="1589">
        <v>0</v>
      </c>
      <c r="K241" s="1589">
        <v>0</v>
      </c>
      <c r="L241" s="1589">
        <v>0</v>
      </c>
      <c r="M241" s="1589">
        <v>0</v>
      </c>
      <c r="N241" s="1589">
        <v>0</v>
      </c>
      <c r="O241" s="1589">
        <v>0</v>
      </c>
      <c r="P241" s="1589">
        <v>0</v>
      </c>
      <c r="Q241" s="1589">
        <v>0</v>
      </c>
      <c r="R241" s="1589">
        <v>0</v>
      </c>
      <c r="S241" s="1589">
        <v>0</v>
      </c>
      <c r="T241" s="1589">
        <v>0</v>
      </c>
    </row>
    <row r="242" spans="2:20">
      <c r="D242" s="7" t="s">
        <v>538</v>
      </c>
      <c r="E242" s="1589">
        <v>0</v>
      </c>
      <c r="F242" s="1589">
        <v>0</v>
      </c>
      <c r="G242" s="1589">
        <v>0</v>
      </c>
      <c r="H242" s="1589">
        <v>0</v>
      </c>
      <c r="I242" s="1589">
        <v>0</v>
      </c>
      <c r="J242" s="1589">
        <v>0</v>
      </c>
      <c r="K242" s="1589">
        <v>0</v>
      </c>
      <c r="L242" s="1589">
        <v>0</v>
      </c>
      <c r="M242" s="1589">
        <v>0</v>
      </c>
      <c r="N242" s="1589">
        <v>0</v>
      </c>
      <c r="O242" s="1589">
        <v>0</v>
      </c>
      <c r="P242" s="1589">
        <v>0</v>
      </c>
      <c r="Q242" s="1589">
        <v>0</v>
      </c>
      <c r="R242" s="1589">
        <v>0</v>
      </c>
      <c r="S242" s="1589">
        <v>0</v>
      </c>
      <c r="T242" s="1589">
        <v>0</v>
      </c>
    </row>
    <row r="243" spans="2:20">
      <c r="D243" s="7" t="s">
        <v>540</v>
      </c>
      <c r="E243" s="1589">
        <v>0</v>
      </c>
      <c r="F243" s="1589">
        <v>0</v>
      </c>
      <c r="G243" s="1589">
        <v>0</v>
      </c>
      <c r="H243" s="1589">
        <v>0</v>
      </c>
      <c r="I243" s="1589">
        <v>0</v>
      </c>
      <c r="J243" s="1589">
        <v>0</v>
      </c>
      <c r="K243" s="1589">
        <v>0</v>
      </c>
      <c r="L243" s="1589">
        <v>0</v>
      </c>
      <c r="M243" s="1589">
        <v>0</v>
      </c>
      <c r="N243" s="1589">
        <v>0</v>
      </c>
      <c r="O243" s="1589">
        <v>0</v>
      </c>
      <c r="P243" s="1589">
        <v>0</v>
      </c>
      <c r="Q243" s="1589">
        <v>0</v>
      </c>
      <c r="R243" s="1589">
        <v>0</v>
      </c>
      <c r="S243" s="1589">
        <v>0</v>
      </c>
      <c r="T243" s="1589">
        <v>0</v>
      </c>
    </row>
    <row r="244" spans="2:20">
      <c r="B244" s="7" t="s">
        <v>567</v>
      </c>
      <c r="C244" s="7" t="s">
        <v>2560</v>
      </c>
      <c r="D244" s="7" t="s">
        <v>525</v>
      </c>
      <c r="E244" s="1589">
        <v>0</v>
      </c>
      <c r="F244" s="1589">
        <v>0</v>
      </c>
      <c r="G244" s="1589">
        <v>0</v>
      </c>
      <c r="H244" s="1589">
        <v>0</v>
      </c>
      <c r="I244" s="1589">
        <v>0</v>
      </c>
      <c r="J244" s="1589">
        <v>0</v>
      </c>
      <c r="K244" s="1589">
        <v>0</v>
      </c>
      <c r="L244" s="1589">
        <v>0</v>
      </c>
      <c r="M244" s="1589">
        <v>0</v>
      </c>
      <c r="N244" s="1589">
        <v>0</v>
      </c>
      <c r="O244" s="1589">
        <v>0</v>
      </c>
      <c r="P244" s="1589">
        <v>0</v>
      </c>
      <c r="Q244" s="1589">
        <v>0</v>
      </c>
      <c r="R244" s="1589">
        <v>0</v>
      </c>
      <c r="S244" s="1589">
        <v>0</v>
      </c>
      <c r="T244" s="1589">
        <v>0</v>
      </c>
    </row>
    <row r="245" spans="2:20">
      <c r="C245" s="7" t="s">
        <v>527</v>
      </c>
      <c r="D245" s="7" t="s">
        <v>528</v>
      </c>
      <c r="E245" s="1589">
        <v>0</v>
      </c>
      <c r="F245" s="1589">
        <v>0</v>
      </c>
      <c r="G245" s="1589">
        <v>0</v>
      </c>
      <c r="H245" s="1589">
        <v>0</v>
      </c>
      <c r="I245" s="1589">
        <v>0</v>
      </c>
      <c r="J245" s="1589">
        <v>0</v>
      </c>
      <c r="K245" s="1589">
        <v>0</v>
      </c>
      <c r="L245" s="1589">
        <v>0</v>
      </c>
      <c r="M245" s="1589">
        <v>0</v>
      </c>
      <c r="N245" s="1589">
        <v>0</v>
      </c>
      <c r="O245" s="1589">
        <v>0</v>
      </c>
      <c r="P245" s="1589">
        <v>0</v>
      </c>
      <c r="Q245" s="1589">
        <v>0</v>
      </c>
      <c r="R245" s="1589">
        <v>0</v>
      </c>
      <c r="S245" s="1589">
        <v>0</v>
      </c>
      <c r="T245" s="1589">
        <v>0</v>
      </c>
    </row>
    <row r="246" spans="2:20">
      <c r="D246" s="7" t="s">
        <v>530</v>
      </c>
      <c r="E246" s="1589">
        <v>0</v>
      </c>
      <c r="F246" s="1589">
        <v>0</v>
      </c>
      <c r="G246" s="1589">
        <v>0</v>
      </c>
      <c r="H246" s="1589">
        <v>0</v>
      </c>
      <c r="I246" s="1589">
        <v>0</v>
      </c>
      <c r="J246" s="1589">
        <v>0</v>
      </c>
      <c r="K246" s="1589">
        <v>0</v>
      </c>
      <c r="L246" s="1589">
        <v>0</v>
      </c>
      <c r="M246" s="1589">
        <v>0</v>
      </c>
      <c r="N246" s="1589">
        <v>0</v>
      </c>
      <c r="O246" s="1589">
        <v>0</v>
      </c>
      <c r="P246" s="1589">
        <v>0</v>
      </c>
      <c r="Q246" s="1589">
        <v>0</v>
      </c>
      <c r="R246" s="1589">
        <v>0</v>
      </c>
      <c r="S246" s="1589">
        <v>0</v>
      </c>
      <c r="T246" s="1589">
        <v>0</v>
      </c>
    </row>
    <row r="247" spans="2:20">
      <c r="D247" s="7" t="s">
        <v>532</v>
      </c>
      <c r="E247" s="1589">
        <v>0</v>
      </c>
      <c r="F247" s="1589">
        <v>0</v>
      </c>
      <c r="G247" s="1589">
        <v>0</v>
      </c>
      <c r="H247" s="1589">
        <v>0</v>
      </c>
      <c r="I247" s="1589">
        <v>0</v>
      </c>
      <c r="J247" s="1589">
        <v>0</v>
      </c>
      <c r="K247" s="1589">
        <v>0</v>
      </c>
      <c r="L247" s="1589">
        <v>0</v>
      </c>
      <c r="M247" s="1589">
        <v>0</v>
      </c>
      <c r="N247" s="1589">
        <v>0</v>
      </c>
      <c r="O247" s="1589">
        <v>0</v>
      </c>
      <c r="P247" s="1589">
        <v>0</v>
      </c>
      <c r="Q247" s="1589">
        <v>0</v>
      </c>
      <c r="R247" s="1589">
        <v>0</v>
      </c>
      <c r="S247" s="1589">
        <v>0</v>
      </c>
      <c r="T247" s="1589">
        <v>0</v>
      </c>
    </row>
    <row r="248" spans="2:20">
      <c r="D248" s="7" t="s">
        <v>534</v>
      </c>
      <c r="E248" s="1589">
        <v>0</v>
      </c>
      <c r="F248" s="1589">
        <v>0</v>
      </c>
      <c r="G248" s="1589">
        <v>0</v>
      </c>
      <c r="H248" s="1589">
        <v>0</v>
      </c>
      <c r="I248" s="1589">
        <v>0</v>
      </c>
      <c r="J248" s="1589">
        <v>0</v>
      </c>
      <c r="K248" s="1589">
        <v>0</v>
      </c>
      <c r="L248" s="1589">
        <v>0</v>
      </c>
      <c r="M248" s="1589">
        <v>0</v>
      </c>
      <c r="N248" s="1589">
        <v>0</v>
      </c>
      <c r="O248" s="1589">
        <v>0</v>
      </c>
      <c r="P248" s="1589">
        <v>0</v>
      </c>
      <c r="Q248" s="1589">
        <v>0</v>
      </c>
      <c r="R248" s="1589">
        <v>0</v>
      </c>
      <c r="S248" s="1589">
        <v>0</v>
      </c>
      <c r="T248" s="1589">
        <v>0</v>
      </c>
    </row>
    <row r="249" spans="2:20">
      <c r="D249" s="7" t="s">
        <v>536</v>
      </c>
      <c r="E249" s="1589">
        <v>0</v>
      </c>
      <c r="F249" s="1589">
        <v>0</v>
      </c>
      <c r="G249" s="1589">
        <v>0</v>
      </c>
      <c r="H249" s="1589">
        <v>0</v>
      </c>
      <c r="I249" s="1589">
        <v>0</v>
      </c>
      <c r="J249" s="1589">
        <v>0</v>
      </c>
      <c r="K249" s="1589">
        <v>0</v>
      </c>
      <c r="L249" s="1589">
        <v>0</v>
      </c>
      <c r="M249" s="1589">
        <v>0</v>
      </c>
      <c r="N249" s="1589">
        <v>0</v>
      </c>
      <c r="O249" s="1589">
        <v>0</v>
      </c>
      <c r="P249" s="1589">
        <v>0</v>
      </c>
      <c r="Q249" s="1589">
        <v>0</v>
      </c>
      <c r="R249" s="1589">
        <v>0</v>
      </c>
      <c r="S249" s="1589">
        <v>0</v>
      </c>
      <c r="T249" s="1589">
        <v>0</v>
      </c>
    </row>
    <row r="250" spans="2:20">
      <c r="D250" s="7" t="s">
        <v>538</v>
      </c>
      <c r="E250" s="1589">
        <v>0</v>
      </c>
      <c r="F250" s="1589">
        <v>0</v>
      </c>
      <c r="G250" s="1589">
        <v>0</v>
      </c>
      <c r="H250" s="1589">
        <v>0</v>
      </c>
      <c r="I250" s="1589">
        <v>0</v>
      </c>
      <c r="J250" s="1589">
        <v>0</v>
      </c>
      <c r="K250" s="1589">
        <v>0</v>
      </c>
      <c r="L250" s="1589">
        <v>0</v>
      </c>
      <c r="M250" s="1589">
        <v>0</v>
      </c>
      <c r="N250" s="1589">
        <v>0</v>
      </c>
      <c r="O250" s="1589">
        <v>0</v>
      </c>
      <c r="P250" s="1589">
        <v>0</v>
      </c>
      <c r="Q250" s="1589">
        <v>0</v>
      </c>
      <c r="R250" s="1589">
        <v>0</v>
      </c>
      <c r="S250" s="1589">
        <v>0</v>
      </c>
      <c r="T250" s="1589">
        <v>0</v>
      </c>
    </row>
    <row r="251" spans="2:20">
      <c r="D251" s="7" t="s">
        <v>540</v>
      </c>
      <c r="E251" s="1589">
        <v>0</v>
      </c>
      <c r="F251" s="1589">
        <v>0</v>
      </c>
      <c r="G251" s="1589">
        <v>0</v>
      </c>
      <c r="H251" s="1589">
        <v>0</v>
      </c>
      <c r="I251" s="1589">
        <v>0</v>
      </c>
      <c r="J251" s="1589">
        <v>0</v>
      </c>
      <c r="K251" s="1589">
        <v>0</v>
      </c>
      <c r="L251" s="1589">
        <v>0</v>
      </c>
      <c r="M251" s="1589">
        <v>0</v>
      </c>
      <c r="N251" s="1589">
        <v>0</v>
      </c>
      <c r="O251" s="1589">
        <v>0</v>
      </c>
      <c r="P251" s="1589">
        <v>0</v>
      </c>
      <c r="Q251" s="1589">
        <v>0</v>
      </c>
      <c r="R251" s="1589">
        <v>0</v>
      </c>
      <c r="S251" s="1589">
        <v>0</v>
      </c>
      <c r="T251" s="1589">
        <v>0</v>
      </c>
    </row>
    <row r="252" spans="2:20">
      <c r="B252" s="7" t="s">
        <v>542</v>
      </c>
      <c r="C252" s="7" t="s">
        <v>2559</v>
      </c>
      <c r="D252" s="7" t="s">
        <v>525</v>
      </c>
      <c r="E252" s="1589">
        <v>0</v>
      </c>
      <c r="F252" s="1589">
        <v>0</v>
      </c>
      <c r="G252" s="1589">
        <v>0</v>
      </c>
      <c r="H252" s="1589">
        <v>0</v>
      </c>
      <c r="I252" s="1589">
        <v>0</v>
      </c>
      <c r="J252" s="1589">
        <v>0</v>
      </c>
      <c r="K252" s="1589">
        <v>0</v>
      </c>
      <c r="L252" s="1589">
        <v>0</v>
      </c>
      <c r="M252" s="1589">
        <v>0</v>
      </c>
      <c r="N252" s="1589">
        <v>0</v>
      </c>
      <c r="O252" s="1589">
        <v>0</v>
      </c>
      <c r="P252" s="1589">
        <v>0</v>
      </c>
      <c r="Q252" s="1589">
        <v>0</v>
      </c>
      <c r="R252" s="1589">
        <v>0</v>
      </c>
      <c r="S252" s="1589">
        <v>0</v>
      </c>
      <c r="T252" s="1589">
        <v>0</v>
      </c>
    </row>
    <row r="253" spans="2:20">
      <c r="C253" s="7" t="s">
        <v>527</v>
      </c>
      <c r="D253" s="7" t="s">
        <v>528</v>
      </c>
      <c r="E253" s="1589">
        <v>0</v>
      </c>
      <c r="F253" s="1589">
        <v>0</v>
      </c>
      <c r="G253" s="1589">
        <v>0</v>
      </c>
      <c r="H253" s="1589">
        <v>0</v>
      </c>
      <c r="I253" s="1589">
        <v>0</v>
      </c>
      <c r="J253" s="1589">
        <v>0</v>
      </c>
      <c r="K253" s="1589">
        <v>0</v>
      </c>
      <c r="L253" s="1589">
        <v>0</v>
      </c>
      <c r="M253" s="1589">
        <v>0</v>
      </c>
      <c r="N253" s="1589">
        <v>0</v>
      </c>
      <c r="O253" s="1589">
        <v>0</v>
      </c>
      <c r="P253" s="1589">
        <v>0</v>
      </c>
      <c r="Q253" s="1589">
        <v>0</v>
      </c>
      <c r="R253" s="1589">
        <v>0</v>
      </c>
      <c r="S253" s="1589">
        <v>0</v>
      </c>
      <c r="T253" s="1589">
        <v>0</v>
      </c>
    </row>
    <row r="254" spans="2:20">
      <c r="D254" s="7" t="s">
        <v>530</v>
      </c>
      <c r="E254" s="1589">
        <v>0</v>
      </c>
      <c r="F254" s="1589">
        <v>0</v>
      </c>
      <c r="G254" s="1589">
        <v>0</v>
      </c>
      <c r="H254" s="1589">
        <v>0</v>
      </c>
      <c r="I254" s="1589">
        <v>0</v>
      </c>
      <c r="J254" s="1589">
        <v>0</v>
      </c>
      <c r="K254" s="1589">
        <v>0</v>
      </c>
      <c r="L254" s="1589">
        <v>0</v>
      </c>
      <c r="M254" s="1589">
        <v>0</v>
      </c>
      <c r="N254" s="1589">
        <v>0</v>
      </c>
      <c r="O254" s="1589">
        <v>0</v>
      </c>
      <c r="P254" s="1589">
        <v>0</v>
      </c>
      <c r="Q254" s="1589">
        <v>0</v>
      </c>
      <c r="R254" s="1589">
        <v>0</v>
      </c>
      <c r="S254" s="1589">
        <v>0</v>
      </c>
      <c r="T254" s="1589">
        <v>0</v>
      </c>
    </row>
    <row r="255" spans="2:20">
      <c r="D255" s="7" t="s">
        <v>532</v>
      </c>
      <c r="E255" s="1589">
        <v>0</v>
      </c>
      <c r="F255" s="1589">
        <v>0</v>
      </c>
      <c r="G255" s="1589">
        <v>0</v>
      </c>
      <c r="H255" s="1589">
        <v>0</v>
      </c>
      <c r="I255" s="1589">
        <v>0</v>
      </c>
      <c r="J255" s="1589">
        <v>0</v>
      </c>
      <c r="K255" s="1589">
        <v>0</v>
      </c>
      <c r="L255" s="1589">
        <v>0</v>
      </c>
      <c r="M255" s="1589">
        <v>0</v>
      </c>
      <c r="N255" s="1589">
        <v>0</v>
      </c>
      <c r="O255" s="1589">
        <v>0</v>
      </c>
      <c r="P255" s="1589">
        <v>0</v>
      </c>
      <c r="Q255" s="1589">
        <v>0</v>
      </c>
      <c r="R255" s="1589">
        <v>0</v>
      </c>
      <c r="S255" s="1589">
        <v>0</v>
      </c>
      <c r="T255" s="1589">
        <v>0</v>
      </c>
    </row>
    <row r="256" spans="2:20">
      <c r="D256" s="7" t="s">
        <v>534</v>
      </c>
      <c r="E256" s="1589">
        <v>0</v>
      </c>
      <c r="F256" s="1589">
        <v>0</v>
      </c>
      <c r="G256" s="1589">
        <v>0</v>
      </c>
      <c r="H256" s="1589">
        <v>0</v>
      </c>
      <c r="I256" s="1589">
        <v>0</v>
      </c>
      <c r="J256" s="1589">
        <v>0</v>
      </c>
      <c r="K256" s="1589">
        <v>0</v>
      </c>
      <c r="L256" s="1589">
        <v>0</v>
      </c>
      <c r="M256" s="1589">
        <v>0</v>
      </c>
      <c r="N256" s="1589">
        <v>0</v>
      </c>
      <c r="O256" s="1589">
        <v>0</v>
      </c>
      <c r="P256" s="1589">
        <v>0</v>
      </c>
      <c r="Q256" s="1589">
        <v>0</v>
      </c>
      <c r="R256" s="1589">
        <v>0</v>
      </c>
      <c r="S256" s="1589">
        <v>0</v>
      </c>
      <c r="T256" s="1589">
        <v>0</v>
      </c>
    </row>
    <row r="257" spans="1:20">
      <c r="D257" s="7" t="s">
        <v>536</v>
      </c>
      <c r="E257" s="1589">
        <v>0</v>
      </c>
      <c r="F257" s="1589">
        <v>0</v>
      </c>
      <c r="G257" s="1589">
        <v>0</v>
      </c>
      <c r="H257" s="1589">
        <v>0</v>
      </c>
      <c r="I257" s="1589">
        <v>0</v>
      </c>
      <c r="J257" s="1589">
        <v>0</v>
      </c>
      <c r="K257" s="1589">
        <v>0</v>
      </c>
      <c r="L257" s="1589">
        <v>0</v>
      </c>
      <c r="M257" s="1589">
        <v>0</v>
      </c>
      <c r="N257" s="1589">
        <v>0</v>
      </c>
      <c r="O257" s="1589">
        <v>0</v>
      </c>
      <c r="P257" s="1589">
        <v>0</v>
      </c>
      <c r="Q257" s="1589">
        <v>0</v>
      </c>
      <c r="R257" s="1589">
        <v>0</v>
      </c>
      <c r="S257" s="1589">
        <v>0</v>
      </c>
      <c r="T257" s="1589">
        <v>0</v>
      </c>
    </row>
    <row r="258" spans="1:20">
      <c r="D258" s="7" t="s">
        <v>538</v>
      </c>
      <c r="E258" s="1589">
        <v>0</v>
      </c>
      <c r="F258" s="1589">
        <v>0</v>
      </c>
      <c r="G258" s="1589">
        <v>0</v>
      </c>
      <c r="H258" s="1589">
        <v>0</v>
      </c>
      <c r="I258" s="1589">
        <v>0</v>
      </c>
      <c r="J258" s="1589">
        <v>0</v>
      </c>
      <c r="K258" s="1589">
        <v>0</v>
      </c>
      <c r="L258" s="1589">
        <v>0</v>
      </c>
      <c r="M258" s="1589">
        <v>0</v>
      </c>
      <c r="N258" s="1589">
        <v>0</v>
      </c>
      <c r="O258" s="1589">
        <v>0</v>
      </c>
      <c r="P258" s="1589">
        <v>0</v>
      </c>
      <c r="Q258" s="1589">
        <v>0</v>
      </c>
      <c r="R258" s="1589">
        <v>0</v>
      </c>
      <c r="S258" s="1589">
        <v>0</v>
      </c>
      <c r="T258" s="1589">
        <v>0</v>
      </c>
    </row>
    <row r="259" spans="1:20">
      <c r="D259" s="7" t="s">
        <v>540</v>
      </c>
      <c r="E259" s="1589">
        <v>0</v>
      </c>
      <c r="F259" s="1589">
        <v>0</v>
      </c>
      <c r="G259" s="1589">
        <v>0</v>
      </c>
      <c r="H259" s="1589">
        <v>0</v>
      </c>
      <c r="I259" s="1589">
        <v>0</v>
      </c>
      <c r="J259" s="1589">
        <v>0</v>
      </c>
      <c r="K259" s="1589">
        <v>0</v>
      </c>
      <c r="L259" s="1589">
        <v>0</v>
      </c>
      <c r="M259" s="1589">
        <v>0</v>
      </c>
      <c r="N259" s="1589">
        <v>0</v>
      </c>
      <c r="O259" s="1589">
        <v>0</v>
      </c>
      <c r="P259" s="1589">
        <v>0</v>
      </c>
      <c r="Q259" s="1589">
        <v>0</v>
      </c>
      <c r="R259" s="1589">
        <v>0</v>
      </c>
      <c r="S259" s="1589">
        <v>0</v>
      </c>
      <c r="T259" s="1589">
        <v>0</v>
      </c>
    </row>
    <row r="260" spans="1:20">
      <c r="B260" s="7" t="s">
        <v>524</v>
      </c>
      <c r="C260" s="7" t="s">
        <v>2559</v>
      </c>
      <c r="D260" s="7" t="s">
        <v>525</v>
      </c>
      <c r="E260" s="1589">
        <v>0</v>
      </c>
      <c r="F260" s="1589">
        <v>0</v>
      </c>
      <c r="G260" s="1589">
        <v>0</v>
      </c>
      <c r="H260" s="1589">
        <v>0</v>
      </c>
      <c r="I260" s="1589">
        <v>0</v>
      </c>
      <c r="J260" s="1589">
        <v>0</v>
      </c>
      <c r="K260" s="1589">
        <v>0</v>
      </c>
      <c r="L260" s="1589">
        <v>0</v>
      </c>
      <c r="M260" s="1589">
        <v>0</v>
      </c>
      <c r="N260" s="1589">
        <v>0</v>
      </c>
      <c r="O260" s="1589">
        <v>0</v>
      </c>
      <c r="P260" s="1589">
        <v>0</v>
      </c>
      <c r="Q260" s="1589">
        <v>0</v>
      </c>
      <c r="R260" s="1589">
        <v>0</v>
      </c>
      <c r="S260" s="1589">
        <v>0</v>
      </c>
      <c r="T260" s="1589">
        <v>0</v>
      </c>
    </row>
    <row r="261" spans="1:20">
      <c r="C261" s="7" t="s">
        <v>527</v>
      </c>
      <c r="D261" s="7" t="s">
        <v>528</v>
      </c>
      <c r="E261" s="1589">
        <v>0</v>
      </c>
      <c r="F261" s="1589">
        <v>0</v>
      </c>
      <c r="G261" s="1589">
        <v>0</v>
      </c>
      <c r="H261" s="1589">
        <v>0</v>
      </c>
      <c r="I261" s="1589">
        <v>0</v>
      </c>
      <c r="J261" s="1589">
        <v>0</v>
      </c>
      <c r="K261" s="1589">
        <v>0</v>
      </c>
      <c r="L261" s="1589">
        <v>0</v>
      </c>
      <c r="M261" s="1589">
        <v>0</v>
      </c>
      <c r="N261" s="1589">
        <v>0</v>
      </c>
      <c r="O261" s="1589">
        <v>0</v>
      </c>
      <c r="P261" s="1589">
        <v>0</v>
      </c>
      <c r="Q261" s="1589">
        <v>0</v>
      </c>
      <c r="R261" s="1589">
        <v>0</v>
      </c>
      <c r="S261" s="1589">
        <v>0</v>
      </c>
      <c r="T261" s="1589">
        <v>0</v>
      </c>
    </row>
    <row r="262" spans="1:20">
      <c r="D262" s="7" t="s">
        <v>530</v>
      </c>
      <c r="E262" s="1589">
        <v>0</v>
      </c>
      <c r="F262" s="1589">
        <v>0</v>
      </c>
      <c r="G262" s="1589">
        <v>0</v>
      </c>
      <c r="H262" s="1589">
        <v>0</v>
      </c>
      <c r="I262" s="1589">
        <v>0</v>
      </c>
      <c r="J262" s="1589">
        <v>0</v>
      </c>
      <c r="K262" s="1589">
        <v>0</v>
      </c>
      <c r="L262" s="1589">
        <v>0</v>
      </c>
      <c r="M262" s="1589">
        <v>0</v>
      </c>
      <c r="N262" s="1589">
        <v>0</v>
      </c>
      <c r="O262" s="1589">
        <v>0</v>
      </c>
      <c r="P262" s="1589">
        <v>0</v>
      </c>
      <c r="Q262" s="1589">
        <v>0</v>
      </c>
      <c r="R262" s="1589">
        <v>0</v>
      </c>
      <c r="S262" s="1589">
        <v>0</v>
      </c>
      <c r="T262" s="1589">
        <v>0</v>
      </c>
    </row>
    <row r="263" spans="1:20">
      <c r="D263" s="7" t="s">
        <v>532</v>
      </c>
      <c r="E263" s="1589">
        <v>0</v>
      </c>
      <c r="F263" s="1589">
        <v>0</v>
      </c>
      <c r="G263" s="1589">
        <v>0</v>
      </c>
      <c r="H263" s="1589">
        <v>0</v>
      </c>
      <c r="I263" s="1589">
        <v>0</v>
      </c>
      <c r="J263" s="1589">
        <v>0</v>
      </c>
      <c r="K263" s="1589">
        <v>0</v>
      </c>
      <c r="L263" s="1589">
        <v>0</v>
      </c>
      <c r="M263" s="1589">
        <v>0</v>
      </c>
      <c r="N263" s="1589">
        <v>0</v>
      </c>
      <c r="O263" s="1589">
        <v>0</v>
      </c>
      <c r="P263" s="1589">
        <v>0</v>
      </c>
      <c r="Q263" s="1589">
        <v>0</v>
      </c>
      <c r="R263" s="1589">
        <v>0</v>
      </c>
      <c r="S263" s="1589">
        <v>0</v>
      </c>
      <c r="T263" s="1589">
        <v>0</v>
      </c>
    </row>
    <row r="264" spans="1:20">
      <c r="D264" s="7" t="s">
        <v>534</v>
      </c>
      <c r="E264" s="1589">
        <v>0</v>
      </c>
      <c r="F264" s="1589">
        <v>0</v>
      </c>
      <c r="G264" s="1589">
        <v>0</v>
      </c>
      <c r="H264" s="1589">
        <v>0</v>
      </c>
      <c r="I264" s="1589">
        <v>0</v>
      </c>
      <c r="J264" s="1589">
        <v>0</v>
      </c>
      <c r="K264" s="1589">
        <v>0</v>
      </c>
      <c r="L264" s="1589">
        <v>0</v>
      </c>
      <c r="M264" s="1589">
        <v>0</v>
      </c>
      <c r="N264" s="1589">
        <v>0</v>
      </c>
      <c r="O264" s="1589">
        <v>0</v>
      </c>
      <c r="P264" s="1589">
        <v>0</v>
      </c>
      <c r="Q264" s="1589">
        <v>0</v>
      </c>
      <c r="R264" s="1589">
        <v>0</v>
      </c>
      <c r="S264" s="1589">
        <v>0</v>
      </c>
      <c r="T264" s="1589">
        <v>0</v>
      </c>
    </row>
    <row r="265" spans="1:20">
      <c r="D265" s="7" t="s">
        <v>536</v>
      </c>
      <c r="E265" s="1589">
        <v>0</v>
      </c>
      <c r="F265" s="1589">
        <v>0</v>
      </c>
      <c r="G265" s="1589">
        <v>0</v>
      </c>
      <c r="H265" s="1589">
        <v>0</v>
      </c>
      <c r="I265" s="1589">
        <v>0</v>
      </c>
      <c r="J265" s="1589">
        <v>0</v>
      </c>
      <c r="K265" s="1589">
        <v>0</v>
      </c>
      <c r="L265" s="1589">
        <v>0</v>
      </c>
      <c r="M265" s="1589">
        <v>0</v>
      </c>
      <c r="N265" s="1589">
        <v>0</v>
      </c>
      <c r="O265" s="1589">
        <v>0</v>
      </c>
      <c r="P265" s="1589">
        <v>0</v>
      </c>
      <c r="Q265" s="1589">
        <v>0</v>
      </c>
      <c r="R265" s="1589">
        <v>0</v>
      </c>
      <c r="S265" s="1589">
        <v>0</v>
      </c>
      <c r="T265" s="1589">
        <v>0</v>
      </c>
    </row>
    <row r="266" spans="1:20">
      <c r="D266" s="7" t="s">
        <v>538</v>
      </c>
      <c r="E266" s="1589">
        <v>0</v>
      </c>
      <c r="F266" s="1589">
        <v>0</v>
      </c>
      <c r="G266" s="1589">
        <v>0</v>
      </c>
      <c r="H266" s="1589">
        <v>0</v>
      </c>
      <c r="I266" s="1589">
        <v>0</v>
      </c>
      <c r="J266" s="1589">
        <v>0</v>
      </c>
      <c r="K266" s="1589">
        <v>0</v>
      </c>
      <c r="L266" s="1589">
        <v>0</v>
      </c>
      <c r="M266" s="1589">
        <v>0</v>
      </c>
      <c r="N266" s="1589">
        <v>0</v>
      </c>
      <c r="O266" s="1589">
        <v>0</v>
      </c>
      <c r="P266" s="1589">
        <v>0</v>
      </c>
      <c r="Q266" s="1589">
        <v>0</v>
      </c>
      <c r="R266" s="1589">
        <v>0</v>
      </c>
      <c r="S266" s="1589">
        <v>0</v>
      </c>
      <c r="T266" s="1589">
        <v>0</v>
      </c>
    </row>
    <row r="267" spans="1:20">
      <c r="D267" s="7" t="s">
        <v>540</v>
      </c>
      <c r="E267" s="1589">
        <v>0</v>
      </c>
      <c r="F267" s="1589">
        <v>0</v>
      </c>
      <c r="G267" s="1589">
        <v>0</v>
      </c>
      <c r="H267" s="1589">
        <v>0</v>
      </c>
      <c r="I267" s="1589">
        <v>0</v>
      </c>
      <c r="J267" s="1589">
        <v>0</v>
      </c>
      <c r="K267" s="1589">
        <v>0</v>
      </c>
      <c r="L267" s="1589">
        <v>0</v>
      </c>
      <c r="M267" s="1589">
        <v>0</v>
      </c>
      <c r="N267" s="1589">
        <v>0</v>
      </c>
      <c r="O267" s="1589">
        <v>0</v>
      </c>
      <c r="P267" s="1589">
        <v>0</v>
      </c>
      <c r="Q267" s="1589">
        <v>0</v>
      </c>
      <c r="R267" s="1589">
        <v>0</v>
      </c>
      <c r="S267" s="1589">
        <v>0</v>
      </c>
      <c r="T267" s="1589">
        <v>0</v>
      </c>
    </row>
    <row r="268" spans="1:20">
      <c r="A268" s="7" t="s">
        <v>3085</v>
      </c>
      <c r="B268" s="7" t="s">
        <v>3086</v>
      </c>
      <c r="C268" s="7" t="s">
        <v>2567</v>
      </c>
      <c r="D268" s="7" t="s">
        <v>593</v>
      </c>
      <c r="E268" s="1589">
        <v>0</v>
      </c>
      <c r="F268" s="1589">
        <v>0</v>
      </c>
      <c r="G268" s="1589">
        <v>0</v>
      </c>
      <c r="H268" s="1589">
        <v>0</v>
      </c>
      <c r="I268" s="1589">
        <v>0</v>
      </c>
      <c r="J268" s="1589">
        <v>0</v>
      </c>
      <c r="K268" s="1589">
        <v>0</v>
      </c>
      <c r="L268" s="1589">
        <v>0</v>
      </c>
      <c r="M268" s="1589">
        <v>0</v>
      </c>
      <c r="N268" s="1589">
        <v>0</v>
      </c>
      <c r="O268" s="1589">
        <v>0</v>
      </c>
      <c r="P268" s="1589">
        <v>0</v>
      </c>
      <c r="Q268" s="1589">
        <v>0</v>
      </c>
      <c r="R268" s="1589">
        <v>0</v>
      </c>
      <c r="S268" s="1589">
        <v>0</v>
      </c>
      <c r="T268" s="1589">
        <v>0</v>
      </c>
    </row>
    <row r="269" spans="1:20">
      <c r="C269" s="7" t="s">
        <v>527</v>
      </c>
      <c r="D269" s="7" t="s">
        <v>528</v>
      </c>
      <c r="E269" s="1589">
        <v>0</v>
      </c>
      <c r="F269" s="1589">
        <v>0</v>
      </c>
      <c r="G269" s="1589">
        <v>0</v>
      </c>
      <c r="H269" s="1589">
        <v>0</v>
      </c>
      <c r="I269" s="1589">
        <v>0</v>
      </c>
      <c r="J269" s="1589">
        <v>0</v>
      </c>
      <c r="K269" s="1589">
        <v>0</v>
      </c>
      <c r="L269" s="1589">
        <v>0</v>
      </c>
      <c r="M269" s="1589">
        <v>0</v>
      </c>
      <c r="N269" s="1589">
        <v>0</v>
      </c>
      <c r="O269" s="1589">
        <v>0</v>
      </c>
      <c r="P269" s="1589">
        <v>0</v>
      </c>
      <c r="Q269" s="1589">
        <v>0</v>
      </c>
      <c r="R269" s="1589">
        <v>0</v>
      </c>
      <c r="S269" s="1589">
        <v>0</v>
      </c>
      <c r="T269" s="1589">
        <v>0</v>
      </c>
    </row>
    <row r="270" spans="1:20">
      <c r="D270" s="7" t="s">
        <v>530</v>
      </c>
      <c r="E270" s="1589">
        <v>0</v>
      </c>
      <c r="F270" s="1589">
        <v>0</v>
      </c>
      <c r="G270" s="1589">
        <v>0</v>
      </c>
      <c r="H270" s="1589">
        <v>0</v>
      </c>
      <c r="I270" s="1589">
        <v>0</v>
      </c>
      <c r="J270" s="1589">
        <v>0</v>
      </c>
      <c r="K270" s="1589">
        <v>0</v>
      </c>
      <c r="L270" s="1589">
        <v>0</v>
      </c>
      <c r="M270" s="1589">
        <v>0</v>
      </c>
      <c r="N270" s="1589">
        <v>0</v>
      </c>
      <c r="O270" s="1589">
        <v>0</v>
      </c>
      <c r="P270" s="1589">
        <v>0</v>
      </c>
      <c r="Q270" s="1589">
        <v>0</v>
      </c>
      <c r="R270" s="1589">
        <v>0</v>
      </c>
      <c r="S270" s="1589">
        <v>0</v>
      </c>
      <c r="T270" s="1589">
        <v>0</v>
      </c>
    </row>
    <row r="271" spans="1:20">
      <c r="D271" s="7" t="s">
        <v>532</v>
      </c>
      <c r="E271" s="1589">
        <v>0</v>
      </c>
      <c r="F271" s="1589">
        <v>0</v>
      </c>
      <c r="G271" s="1589">
        <v>0</v>
      </c>
      <c r="H271" s="1589">
        <v>0</v>
      </c>
      <c r="I271" s="1589">
        <v>0</v>
      </c>
      <c r="J271" s="1589">
        <v>0</v>
      </c>
      <c r="K271" s="1589">
        <v>0</v>
      </c>
      <c r="L271" s="1589">
        <v>0</v>
      </c>
      <c r="M271" s="1589">
        <v>0</v>
      </c>
      <c r="N271" s="1589">
        <v>0</v>
      </c>
      <c r="O271" s="1589">
        <v>0</v>
      </c>
      <c r="P271" s="1589">
        <v>0</v>
      </c>
      <c r="Q271" s="1589">
        <v>0</v>
      </c>
      <c r="R271" s="1589">
        <v>0</v>
      </c>
      <c r="S271" s="1589">
        <v>0</v>
      </c>
      <c r="T271" s="1589">
        <v>0</v>
      </c>
    </row>
    <row r="272" spans="1:20">
      <c r="D272" s="7" t="s">
        <v>534</v>
      </c>
      <c r="E272" s="1589">
        <v>0</v>
      </c>
      <c r="F272" s="1589">
        <v>0</v>
      </c>
      <c r="G272" s="1589">
        <v>0</v>
      </c>
      <c r="H272" s="1589">
        <v>0</v>
      </c>
      <c r="I272" s="1589">
        <v>0</v>
      </c>
      <c r="J272" s="1589">
        <v>0</v>
      </c>
      <c r="K272" s="1589">
        <v>0</v>
      </c>
      <c r="L272" s="1589">
        <v>0</v>
      </c>
      <c r="M272" s="1589">
        <v>0</v>
      </c>
      <c r="N272" s="1589">
        <v>0</v>
      </c>
      <c r="O272" s="1589">
        <v>0</v>
      </c>
      <c r="P272" s="1589">
        <v>0</v>
      </c>
      <c r="Q272" s="1589">
        <v>0</v>
      </c>
      <c r="R272" s="1589">
        <v>0</v>
      </c>
      <c r="S272" s="1589">
        <v>0</v>
      </c>
      <c r="T272" s="1589">
        <v>0</v>
      </c>
    </row>
    <row r="273" spans="1:20">
      <c r="D273" s="7" t="s">
        <v>536</v>
      </c>
      <c r="E273" s="1589">
        <v>0</v>
      </c>
      <c r="F273" s="1589">
        <v>0</v>
      </c>
      <c r="G273" s="1589">
        <v>0</v>
      </c>
      <c r="H273" s="1589">
        <v>0</v>
      </c>
      <c r="I273" s="1589">
        <v>0</v>
      </c>
      <c r="J273" s="1589">
        <v>0</v>
      </c>
      <c r="K273" s="1589">
        <v>0</v>
      </c>
      <c r="L273" s="1589">
        <v>0</v>
      </c>
      <c r="M273" s="1589">
        <v>0</v>
      </c>
      <c r="N273" s="1589">
        <v>0</v>
      </c>
      <c r="O273" s="1589">
        <v>0</v>
      </c>
      <c r="P273" s="1589">
        <v>0</v>
      </c>
      <c r="Q273" s="1589">
        <v>0</v>
      </c>
      <c r="R273" s="1589">
        <v>0</v>
      </c>
      <c r="S273" s="1589">
        <v>0</v>
      </c>
      <c r="T273" s="1589">
        <v>0</v>
      </c>
    </row>
    <row r="274" spans="1:20">
      <c r="D274" s="7" t="s">
        <v>538</v>
      </c>
      <c r="E274" s="1589">
        <v>0</v>
      </c>
      <c r="F274" s="1589">
        <v>0</v>
      </c>
      <c r="G274" s="1589">
        <v>0</v>
      </c>
      <c r="H274" s="1589">
        <v>0</v>
      </c>
      <c r="I274" s="1589">
        <v>0</v>
      </c>
      <c r="J274" s="1589">
        <v>0</v>
      </c>
      <c r="K274" s="1589">
        <v>0</v>
      </c>
      <c r="L274" s="1589">
        <v>0</v>
      </c>
      <c r="M274" s="1589">
        <v>0</v>
      </c>
      <c r="N274" s="1589">
        <v>0</v>
      </c>
      <c r="O274" s="1589">
        <v>0</v>
      </c>
      <c r="P274" s="1589">
        <v>0</v>
      </c>
      <c r="Q274" s="1589">
        <v>0</v>
      </c>
      <c r="R274" s="1589">
        <v>0</v>
      </c>
      <c r="S274" s="1589">
        <v>0</v>
      </c>
      <c r="T274" s="1589">
        <v>0</v>
      </c>
    </row>
    <row r="275" spans="1:20">
      <c r="D275" s="7" t="s">
        <v>540</v>
      </c>
      <c r="E275" s="1589">
        <v>0</v>
      </c>
      <c r="F275" s="1589">
        <v>0</v>
      </c>
      <c r="G275" s="1589">
        <v>0</v>
      </c>
      <c r="H275" s="1589">
        <v>0</v>
      </c>
      <c r="I275" s="1589">
        <v>0</v>
      </c>
      <c r="J275" s="1589">
        <v>0</v>
      </c>
      <c r="K275" s="1589">
        <v>0</v>
      </c>
      <c r="L275" s="1589">
        <v>0</v>
      </c>
      <c r="M275" s="1589">
        <v>0</v>
      </c>
      <c r="N275" s="1589">
        <v>0</v>
      </c>
      <c r="O275" s="1589">
        <v>0</v>
      </c>
      <c r="P275" s="1589">
        <v>0</v>
      </c>
      <c r="Q275" s="1589">
        <v>0</v>
      </c>
      <c r="R275" s="1589">
        <v>0</v>
      </c>
      <c r="S275" s="1589">
        <v>0</v>
      </c>
      <c r="T275" s="1589">
        <v>0</v>
      </c>
    </row>
    <row r="276" spans="1:20">
      <c r="C276" s="7" t="s">
        <v>3087</v>
      </c>
      <c r="D276" s="7" t="s">
        <v>651</v>
      </c>
      <c r="E276" s="1589">
        <v>0</v>
      </c>
      <c r="F276" s="1589">
        <v>0</v>
      </c>
      <c r="G276" s="1589">
        <v>0</v>
      </c>
      <c r="H276" s="1589">
        <v>0</v>
      </c>
      <c r="I276" s="1589">
        <v>0</v>
      </c>
      <c r="J276" s="1589">
        <v>0</v>
      </c>
      <c r="K276" s="1589">
        <v>0</v>
      </c>
      <c r="L276" s="1589">
        <v>0</v>
      </c>
      <c r="M276" s="1589">
        <v>0</v>
      </c>
      <c r="N276" s="1589">
        <v>0</v>
      </c>
      <c r="O276" s="1589">
        <v>0</v>
      </c>
      <c r="P276" s="1589">
        <v>0</v>
      </c>
      <c r="Q276" s="1589">
        <v>0</v>
      </c>
      <c r="R276" s="1589">
        <v>0</v>
      </c>
      <c r="S276" s="1589">
        <v>0</v>
      </c>
      <c r="T276" s="1589">
        <v>0</v>
      </c>
    </row>
    <row r="277" spans="1:20">
      <c r="C277" s="7" t="s">
        <v>3088</v>
      </c>
      <c r="D277" s="7" t="s">
        <v>595</v>
      </c>
      <c r="E277" s="1589">
        <v>0</v>
      </c>
      <c r="F277" s="1589">
        <v>0</v>
      </c>
      <c r="G277" s="1589">
        <v>0</v>
      </c>
      <c r="H277" s="1589">
        <v>0</v>
      </c>
      <c r="I277" s="1589">
        <v>0</v>
      </c>
      <c r="J277" s="1589">
        <v>0</v>
      </c>
      <c r="K277" s="1589">
        <v>0</v>
      </c>
      <c r="L277" s="1589">
        <v>0</v>
      </c>
      <c r="M277" s="1589">
        <v>0</v>
      </c>
      <c r="N277" s="1589">
        <v>0</v>
      </c>
      <c r="O277" s="1589">
        <v>0</v>
      </c>
      <c r="P277" s="1589">
        <v>0</v>
      </c>
      <c r="Q277" s="1589">
        <v>0</v>
      </c>
      <c r="R277" s="1589">
        <v>0</v>
      </c>
      <c r="S277" s="1589">
        <v>0</v>
      </c>
      <c r="T277" s="1589">
        <v>0</v>
      </c>
    </row>
    <row r="278" spans="1:20">
      <c r="C278" s="7" t="s">
        <v>3089</v>
      </c>
      <c r="D278" s="7" t="s">
        <v>597</v>
      </c>
      <c r="E278" s="1589">
        <v>0</v>
      </c>
      <c r="F278" s="1589">
        <v>0</v>
      </c>
      <c r="G278" s="1589">
        <v>0</v>
      </c>
      <c r="H278" s="1589">
        <v>0</v>
      </c>
      <c r="I278" s="1589">
        <v>0</v>
      </c>
      <c r="J278" s="1589">
        <v>0</v>
      </c>
      <c r="K278" s="1589">
        <v>0</v>
      </c>
      <c r="L278" s="1589">
        <v>0</v>
      </c>
      <c r="M278" s="1589">
        <v>0</v>
      </c>
      <c r="N278" s="1589">
        <v>0</v>
      </c>
      <c r="O278" s="1589">
        <v>0</v>
      </c>
      <c r="P278" s="1589">
        <v>0</v>
      </c>
      <c r="Q278" s="1589">
        <v>0</v>
      </c>
      <c r="R278" s="1589">
        <v>0</v>
      </c>
      <c r="S278" s="1589">
        <v>0</v>
      </c>
      <c r="T278" s="1589">
        <v>0</v>
      </c>
    </row>
    <row r="279" spans="1:20">
      <c r="C279" s="7" t="s">
        <v>3090</v>
      </c>
      <c r="D279" s="7" t="s">
        <v>586</v>
      </c>
      <c r="E279" s="1589">
        <v>0</v>
      </c>
      <c r="F279" s="1589">
        <v>0</v>
      </c>
      <c r="G279" s="1589">
        <v>0</v>
      </c>
      <c r="H279" s="1589">
        <v>0</v>
      </c>
      <c r="I279" s="1589">
        <v>0</v>
      </c>
      <c r="J279" s="1589">
        <v>0</v>
      </c>
      <c r="K279" s="1589">
        <v>0</v>
      </c>
      <c r="L279" s="1589">
        <v>0</v>
      </c>
      <c r="M279" s="1589">
        <v>0</v>
      </c>
      <c r="N279" s="1589">
        <v>0</v>
      </c>
      <c r="O279" s="1589">
        <v>0</v>
      </c>
      <c r="P279" s="1589">
        <v>0</v>
      </c>
      <c r="Q279" s="1589">
        <v>0</v>
      </c>
      <c r="R279" s="1589">
        <v>0</v>
      </c>
      <c r="S279" s="1589">
        <v>0</v>
      </c>
      <c r="T279" s="1589">
        <v>0</v>
      </c>
    </row>
    <row r="280" spans="1:20">
      <c r="A280" s="7" t="s">
        <v>4286</v>
      </c>
      <c r="E280" s="1589">
        <v>0</v>
      </c>
      <c r="F280" s="1589">
        <v>1098082.5564000001</v>
      </c>
      <c r="G280" s="1589">
        <v>1401685.7000000002</v>
      </c>
      <c r="H280" s="1589">
        <v>0</v>
      </c>
      <c r="I280" s="1589">
        <v>2499768.2563999998</v>
      </c>
      <c r="J280" s="1589">
        <v>0</v>
      </c>
      <c r="K280" s="1589">
        <v>2377995.4246</v>
      </c>
      <c r="L280" s="1589">
        <v>0</v>
      </c>
      <c r="M280" s="1589">
        <v>0</v>
      </c>
      <c r="N280" s="1589">
        <v>2377995.4246</v>
      </c>
      <c r="O280" s="1589">
        <v>0</v>
      </c>
      <c r="P280" s="1589">
        <v>2553566.3198000002</v>
      </c>
      <c r="Q280" s="1589">
        <v>0</v>
      </c>
      <c r="R280" s="1589">
        <v>0</v>
      </c>
      <c r="S280" s="1589">
        <v>2553566.3198000002</v>
      </c>
      <c r="T280" s="1589">
        <v>7431330.0008000005</v>
      </c>
    </row>
  </sheetData>
  <pageMargins left="0.7" right="0.7" top="0.75" bottom="0.75" header="0.3" footer="0.3"/>
  <pageSetup orientation="portrait" horizontalDpi="90" verticalDpi="9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tint="-0.499984740745262"/>
  </sheetPr>
  <dimension ref="A1:P36"/>
  <sheetViews>
    <sheetView showGridLines="0" topLeftCell="J1" zoomScale="95" zoomScaleNormal="95" workbookViewId="0">
      <selection activeCell="P36" sqref="P36"/>
    </sheetView>
  </sheetViews>
  <sheetFormatPr baseColWidth="10" defaultColWidth="9.26953125" defaultRowHeight="13"/>
  <cols>
    <col min="1" max="1" width="37.54296875" style="7" bestFit="1" customWidth="1"/>
    <col min="2" max="2" width="67.08984375" style="7" bestFit="1" customWidth="1"/>
    <col min="3" max="15" width="21.7265625" style="7" bestFit="1" customWidth="1"/>
    <col min="16" max="16" width="12.08984375" style="7" bestFit="1" customWidth="1"/>
    <col min="17" max="16384" width="9.26953125" style="7"/>
  </cols>
  <sheetData>
    <row r="1" spans="1:16">
      <c r="A1" s="1587" t="s">
        <v>686</v>
      </c>
      <c r="B1" s="7" t="s">
        <v>4287</v>
      </c>
    </row>
    <row r="3" spans="1:16" hidden="1">
      <c r="A3" s="1587" t="s">
        <v>2546</v>
      </c>
      <c r="C3" s="1587" t="s">
        <v>2549</v>
      </c>
    </row>
    <row r="4" spans="1:16" s="1729" customFormat="1" ht="48.75" customHeight="1">
      <c r="A4" s="1728" t="s">
        <v>487</v>
      </c>
      <c r="B4" s="1728" t="s">
        <v>488</v>
      </c>
      <c r="C4" s="1729">
        <v>0</v>
      </c>
      <c r="D4" s="1730" t="s">
        <v>2555</v>
      </c>
      <c r="E4" s="1730" t="s">
        <v>2556</v>
      </c>
      <c r="F4" s="1730" t="s">
        <v>2550</v>
      </c>
      <c r="G4" s="1730" t="s">
        <v>2557</v>
      </c>
      <c r="H4" s="1730" t="s">
        <v>2554</v>
      </c>
      <c r="I4" s="1730" t="s">
        <v>2558</v>
      </c>
      <c r="J4" s="1730" t="s">
        <v>2553</v>
      </c>
      <c r="K4" s="1730" t="s">
        <v>2552</v>
      </c>
      <c r="L4" s="1730" t="s">
        <v>223</v>
      </c>
      <c r="M4" s="1730" t="s">
        <v>91</v>
      </c>
      <c r="N4" s="1730" t="s">
        <v>2551</v>
      </c>
      <c r="O4" s="1729" t="s">
        <v>4288</v>
      </c>
      <c r="P4" s="1729" t="s">
        <v>4286</v>
      </c>
    </row>
    <row r="5" spans="1:16">
      <c r="A5" s="7" t="s">
        <v>598</v>
      </c>
      <c r="B5" s="7" t="s">
        <v>599</v>
      </c>
      <c r="C5" s="1589">
        <v>0</v>
      </c>
      <c r="D5" s="1589"/>
      <c r="E5" s="1589"/>
      <c r="F5" s="1589"/>
      <c r="G5" s="1589"/>
      <c r="H5" s="1589"/>
      <c r="I5" s="1589"/>
      <c r="J5" s="1589"/>
      <c r="K5" s="1589"/>
      <c r="L5" s="1589"/>
      <c r="M5" s="1589"/>
      <c r="N5" s="1589"/>
      <c r="O5" s="1589"/>
      <c r="P5" s="1589">
        <v>0</v>
      </c>
    </row>
    <row r="6" spans="1:16">
      <c r="B6" s="7" t="s">
        <v>606</v>
      </c>
      <c r="C6" s="1589">
        <v>0</v>
      </c>
      <c r="D6" s="1589"/>
      <c r="E6" s="1589"/>
      <c r="F6" s="1589"/>
      <c r="G6" s="1589"/>
      <c r="H6" s="1589"/>
      <c r="I6" s="1589"/>
      <c r="J6" s="1589"/>
      <c r="K6" s="1589"/>
      <c r="L6" s="1589"/>
      <c r="M6" s="1589"/>
      <c r="N6" s="1589"/>
      <c r="O6" s="1589"/>
      <c r="P6" s="1589">
        <v>0</v>
      </c>
    </row>
    <row r="7" spans="1:16">
      <c r="B7" s="7" t="s">
        <v>609</v>
      </c>
      <c r="C7" s="1589">
        <v>0</v>
      </c>
      <c r="D7" s="1589"/>
      <c r="E7" s="1589"/>
      <c r="F7" s="1589"/>
      <c r="G7" s="1589"/>
      <c r="H7" s="1589"/>
      <c r="I7" s="1589"/>
      <c r="J7" s="1589"/>
      <c r="K7" s="1589"/>
      <c r="L7" s="1589"/>
      <c r="M7" s="1589"/>
      <c r="N7" s="1589"/>
      <c r="O7" s="1589"/>
      <c r="P7" s="1589">
        <v>0</v>
      </c>
    </row>
    <row r="8" spans="1:16">
      <c r="A8" s="7" t="s">
        <v>672</v>
      </c>
      <c r="B8" s="7" t="s">
        <v>674</v>
      </c>
      <c r="C8" s="1589"/>
      <c r="D8" s="1589">
        <v>0</v>
      </c>
      <c r="E8" s="1589">
        <v>0</v>
      </c>
      <c r="F8" s="1589">
        <v>0</v>
      </c>
      <c r="G8" s="1589">
        <v>0</v>
      </c>
      <c r="H8" s="1589">
        <v>0</v>
      </c>
      <c r="I8" s="1589">
        <v>0</v>
      </c>
      <c r="J8" s="1589">
        <v>0</v>
      </c>
      <c r="K8" s="1589">
        <v>0</v>
      </c>
      <c r="L8" s="1589"/>
      <c r="M8" s="1589">
        <v>0</v>
      </c>
      <c r="N8" s="1589">
        <v>0</v>
      </c>
      <c r="O8" s="1589"/>
      <c r="P8" s="1589">
        <v>0</v>
      </c>
    </row>
    <row r="9" spans="1:16">
      <c r="B9" s="7" t="s">
        <v>673</v>
      </c>
      <c r="C9" s="1589"/>
      <c r="D9" s="1589">
        <v>0</v>
      </c>
      <c r="E9" s="1589">
        <v>24847.565500133598</v>
      </c>
      <c r="F9" s="1589">
        <v>120489.01035158236</v>
      </c>
      <c r="G9" s="1589">
        <v>0</v>
      </c>
      <c r="H9" s="1589">
        <v>9444.4898999199995</v>
      </c>
      <c r="I9" s="1589">
        <v>1490.8539300080183</v>
      </c>
      <c r="J9" s="1589">
        <v>218486.81715768002</v>
      </c>
      <c r="K9" s="1589">
        <v>0</v>
      </c>
      <c r="L9" s="1589"/>
      <c r="M9" s="1589">
        <v>36689.07041882971</v>
      </c>
      <c r="N9" s="1589">
        <v>8017.1732552876647</v>
      </c>
      <c r="O9" s="1589"/>
      <c r="P9" s="1589">
        <v>419464.98051344138</v>
      </c>
    </row>
    <row r="10" spans="1:16">
      <c r="B10" s="7" t="s">
        <v>675</v>
      </c>
      <c r="C10" s="1589"/>
      <c r="D10" s="1589">
        <v>0</v>
      </c>
      <c r="E10" s="1589">
        <v>0</v>
      </c>
      <c r="F10" s="1589">
        <v>23035.719072577682</v>
      </c>
      <c r="G10" s="1589">
        <v>0</v>
      </c>
      <c r="H10" s="1589">
        <v>0</v>
      </c>
      <c r="I10" s="1589">
        <v>59706.727352418391</v>
      </c>
      <c r="J10" s="1589">
        <v>0</v>
      </c>
      <c r="K10" s="1589">
        <v>0</v>
      </c>
      <c r="L10" s="1589"/>
      <c r="M10" s="1589">
        <v>5784.9634070903057</v>
      </c>
      <c r="N10" s="1589">
        <v>76.076548152336031</v>
      </c>
      <c r="O10" s="1589"/>
      <c r="P10" s="1589">
        <v>88603.486380238726</v>
      </c>
    </row>
    <row r="11" spans="1:16">
      <c r="A11" s="7" t="s">
        <v>657</v>
      </c>
      <c r="B11" s="7" t="s">
        <v>658</v>
      </c>
      <c r="C11" s="1589">
        <v>0</v>
      </c>
      <c r="D11" s="1589"/>
      <c r="E11" s="1589"/>
      <c r="F11" s="1589"/>
      <c r="G11" s="1589"/>
      <c r="H11" s="1589"/>
      <c r="I11" s="1589"/>
      <c r="J11" s="1589"/>
      <c r="K11" s="1589"/>
      <c r="L11" s="1589"/>
      <c r="M11" s="1589"/>
      <c r="N11" s="1589"/>
      <c r="O11" s="1589"/>
      <c r="P11" s="1589">
        <v>0</v>
      </c>
    </row>
    <row r="12" spans="1:16">
      <c r="B12" s="7" t="s">
        <v>659</v>
      </c>
      <c r="C12" s="1589">
        <v>0</v>
      </c>
      <c r="D12" s="1589"/>
      <c r="E12" s="1589"/>
      <c r="F12" s="1589"/>
      <c r="G12" s="1589"/>
      <c r="H12" s="1589"/>
      <c r="I12" s="1589"/>
      <c r="J12" s="1589"/>
      <c r="K12" s="1589"/>
      <c r="L12" s="1589"/>
      <c r="M12" s="1589"/>
      <c r="N12" s="1589"/>
      <c r="O12" s="1589"/>
      <c r="P12" s="1589">
        <v>0</v>
      </c>
    </row>
    <row r="13" spans="1:16">
      <c r="A13" s="7" t="s">
        <v>223</v>
      </c>
      <c r="B13" s="7" t="s">
        <v>669</v>
      </c>
      <c r="C13" s="1589"/>
      <c r="D13" s="1589"/>
      <c r="E13" s="1589"/>
      <c r="F13" s="1589"/>
      <c r="G13" s="1589"/>
      <c r="H13" s="1589"/>
      <c r="I13" s="1589"/>
      <c r="J13" s="1589"/>
      <c r="K13" s="1589"/>
      <c r="L13" s="1589">
        <v>0</v>
      </c>
      <c r="M13" s="1589"/>
      <c r="N13" s="1589"/>
      <c r="O13" s="1589"/>
      <c r="P13" s="1589">
        <v>0</v>
      </c>
    </row>
    <row r="14" spans="1:16">
      <c r="B14" s="7" t="s">
        <v>670</v>
      </c>
      <c r="C14" s="1589"/>
      <c r="D14" s="1589"/>
      <c r="E14" s="1589"/>
      <c r="F14" s="1589"/>
      <c r="G14" s="1589"/>
      <c r="H14" s="1589"/>
      <c r="I14" s="1589"/>
      <c r="J14" s="1589"/>
      <c r="K14" s="1589"/>
      <c r="L14" s="1589">
        <v>322724.29870632006</v>
      </c>
      <c r="M14" s="1589"/>
      <c r="N14" s="1589"/>
      <c r="O14" s="1589"/>
      <c r="P14" s="1589">
        <v>322724.29870632006</v>
      </c>
    </row>
    <row r="15" spans="1:16">
      <c r="A15" s="7" t="s">
        <v>652</v>
      </c>
      <c r="B15" s="7" t="s">
        <v>661</v>
      </c>
      <c r="C15" s="1589"/>
      <c r="D15" s="1589">
        <v>0</v>
      </c>
      <c r="E15" s="1589">
        <v>0</v>
      </c>
      <c r="F15" s="1589">
        <v>0</v>
      </c>
      <c r="G15" s="1589"/>
      <c r="H15" s="1589">
        <v>0</v>
      </c>
      <c r="I15" s="1589"/>
      <c r="J15" s="1589">
        <v>0</v>
      </c>
      <c r="K15" s="1589">
        <v>0</v>
      </c>
      <c r="L15" s="1589"/>
      <c r="M15" s="1589">
        <v>0</v>
      </c>
      <c r="N15" s="1589">
        <v>0</v>
      </c>
      <c r="O15" s="1589"/>
      <c r="P15" s="1589">
        <v>0</v>
      </c>
    </row>
    <row r="16" spans="1:16">
      <c r="B16" s="7" t="s">
        <v>668</v>
      </c>
      <c r="C16" s="1589"/>
      <c r="D16" s="1589"/>
      <c r="E16" s="1589"/>
      <c r="F16" s="1589"/>
      <c r="G16" s="1589">
        <v>0</v>
      </c>
      <c r="H16" s="1589"/>
      <c r="I16" s="1589"/>
      <c r="J16" s="1589"/>
      <c r="K16" s="1589"/>
      <c r="L16" s="1589"/>
      <c r="M16" s="1589"/>
      <c r="N16" s="1589"/>
      <c r="O16" s="1589"/>
      <c r="P16" s="1589">
        <v>0</v>
      </c>
    </row>
    <row r="17" spans="1:16">
      <c r="B17" s="7" t="s">
        <v>666</v>
      </c>
      <c r="C17" s="1589"/>
      <c r="D17" s="1589"/>
      <c r="E17" s="1589"/>
      <c r="F17" s="1589"/>
      <c r="G17" s="1589"/>
      <c r="H17" s="1589"/>
      <c r="I17" s="1589"/>
      <c r="J17" s="1589"/>
      <c r="K17" s="1589">
        <v>0</v>
      </c>
      <c r="L17" s="1589"/>
      <c r="M17" s="1589"/>
      <c r="N17" s="1589"/>
      <c r="O17" s="1589"/>
      <c r="P17" s="1589">
        <v>0</v>
      </c>
    </row>
    <row r="18" spans="1:16">
      <c r="B18" s="7" t="s">
        <v>667</v>
      </c>
      <c r="C18" s="1589"/>
      <c r="D18" s="1589"/>
      <c r="E18" s="1589"/>
      <c r="F18" s="1589"/>
      <c r="G18" s="1589"/>
      <c r="H18" s="1589"/>
      <c r="I18" s="1589"/>
      <c r="J18" s="1589"/>
      <c r="K18" s="1589">
        <v>0</v>
      </c>
      <c r="L18" s="1589"/>
      <c r="M18" s="1589"/>
      <c r="N18" s="1589"/>
      <c r="O18" s="1589"/>
      <c r="P18" s="1589">
        <v>0</v>
      </c>
    </row>
    <row r="19" spans="1:16">
      <c r="A19" s="7" t="s">
        <v>612</v>
      </c>
      <c r="B19" s="7" t="s">
        <v>621</v>
      </c>
      <c r="C19" s="1589">
        <v>0</v>
      </c>
      <c r="D19" s="1589"/>
      <c r="E19" s="1589"/>
      <c r="F19" s="1589"/>
      <c r="G19" s="1589"/>
      <c r="H19" s="1589"/>
      <c r="I19" s="1589"/>
      <c r="J19" s="1589"/>
      <c r="K19" s="1589"/>
      <c r="L19" s="1589"/>
      <c r="M19" s="1589"/>
      <c r="N19" s="1589"/>
      <c r="O19" s="1589"/>
      <c r="P19" s="1589">
        <v>0</v>
      </c>
    </row>
    <row r="20" spans="1:16">
      <c r="B20" s="7" t="s">
        <v>613</v>
      </c>
      <c r="C20" s="1589">
        <v>0</v>
      </c>
      <c r="D20" s="1589"/>
      <c r="E20" s="1589"/>
      <c r="F20" s="1589"/>
      <c r="G20" s="1589"/>
      <c r="H20" s="1589"/>
      <c r="I20" s="1589"/>
      <c r="J20" s="1589"/>
      <c r="K20" s="1589"/>
      <c r="L20" s="1589"/>
      <c r="M20" s="1589"/>
      <c r="N20" s="1589"/>
      <c r="O20" s="1589"/>
      <c r="P20" s="1589">
        <v>0</v>
      </c>
    </row>
    <row r="21" spans="1:16">
      <c r="B21" s="7" t="s">
        <v>637</v>
      </c>
      <c r="C21" s="1589">
        <v>0</v>
      </c>
      <c r="D21" s="1589"/>
      <c r="E21" s="1589"/>
      <c r="F21" s="1589"/>
      <c r="G21" s="1589"/>
      <c r="H21" s="1589"/>
      <c r="I21" s="1589"/>
      <c r="J21" s="1589"/>
      <c r="K21" s="1589"/>
      <c r="L21" s="1589"/>
      <c r="M21" s="1589"/>
      <c r="N21" s="1589"/>
      <c r="O21" s="1589"/>
      <c r="P21" s="1589">
        <v>0</v>
      </c>
    </row>
    <row r="22" spans="1:16">
      <c r="B22" s="7" t="s">
        <v>629</v>
      </c>
      <c r="C22" s="1589">
        <v>0</v>
      </c>
      <c r="D22" s="1589"/>
      <c r="E22" s="1589"/>
      <c r="F22" s="1589"/>
      <c r="G22" s="1589"/>
      <c r="H22" s="1589"/>
      <c r="I22" s="1589"/>
      <c r="J22" s="1589"/>
      <c r="K22" s="1589"/>
      <c r="L22" s="1589"/>
      <c r="M22" s="1589"/>
      <c r="N22" s="1589"/>
      <c r="O22" s="1589"/>
      <c r="P22" s="1589">
        <v>0</v>
      </c>
    </row>
    <row r="23" spans="1:16">
      <c r="A23" s="7" t="s">
        <v>645</v>
      </c>
      <c r="B23" s="7" t="s">
        <v>646</v>
      </c>
      <c r="C23" s="1589">
        <v>0</v>
      </c>
      <c r="D23" s="1589"/>
      <c r="E23" s="1589"/>
      <c r="F23" s="1589"/>
      <c r="G23" s="1589"/>
      <c r="H23" s="1589"/>
      <c r="I23" s="1589"/>
      <c r="J23" s="1589"/>
      <c r="K23" s="1589"/>
      <c r="L23" s="1589"/>
      <c r="M23" s="1589"/>
      <c r="N23" s="1589"/>
      <c r="O23" s="1589"/>
      <c r="P23" s="1589">
        <v>0</v>
      </c>
    </row>
    <row r="24" spans="1:16">
      <c r="B24" s="7" t="s">
        <v>652</v>
      </c>
      <c r="C24" s="1589">
        <v>0</v>
      </c>
      <c r="D24" s="1589"/>
      <c r="E24" s="1589"/>
      <c r="F24" s="1589"/>
      <c r="G24" s="1589"/>
      <c r="H24" s="1589"/>
      <c r="I24" s="1589"/>
      <c r="J24" s="1589"/>
      <c r="K24" s="1589"/>
      <c r="L24" s="1589"/>
      <c r="M24" s="1589"/>
      <c r="N24" s="1589"/>
      <c r="O24" s="1589"/>
      <c r="P24" s="1589">
        <v>0</v>
      </c>
    </row>
    <row r="25" spans="1:16">
      <c r="B25" s="7" t="s">
        <v>647</v>
      </c>
      <c r="C25" s="1589">
        <v>0</v>
      </c>
      <c r="D25" s="1589"/>
      <c r="E25" s="1589"/>
      <c r="F25" s="1589"/>
      <c r="G25" s="1589"/>
      <c r="H25" s="1589"/>
      <c r="I25" s="1589"/>
      <c r="J25" s="1589"/>
      <c r="K25" s="1589"/>
      <c r="L25" s="1589"/>
      <c r="M25" s="1589"/>
      <c r="N25" s="1589"/>
      <c r="O25" s="1589"/>
      <c r="P25" s="1589">
        <v>0</v>
      </c>
    </row>
    <row r="26" spans="1:16">
      <c r="A26" s="7" t="s">
        <v>676</v>
      </c>
      <c r="B26" s="7" t="s">
        <v>677</v>
      </c>
      <c r="C26" s="1589">
        <v>6116819.4852000009</v>
      </c>
      <c r="D26" s="1589"/>
      <c r="E26" s="1589"/>
      <c r="F26" s="1589"/>
      <c r="G26" s="1589"/>
      <c r="H26" s="1589"/>
      <c r="I26" s="1589"/>
      <c r="J26" s="1589"/>
      <c r="K26" s="1589"/>
      <c r="L26" s="1589"/>
      <c r="M26" s="1589"/>
      <c r="N26" s="1589"/>
      <c r="O26" s="1589"/>
      <c r="P26" s="1589">
        <v>6116819.4852000009</v>
      </c>
    </row>
    <row r="27" spans="1:16">
      <c r="B27" s="7" t="s">
        <v>679</v>
      </c>
      <c r="C27" s="1589">
        <v>483717.75000000006</v>
      </c>
      <c r="D27" s="1589"/>
      <c r="E27" s="1589"/>
      <c r="F27" s="1589"/>
      <c r="G27" s="1589"/>
      <c r="H27" s="1589"/>
      <c r="I27" s="1589"/>
      <c r="J27" s="1589"/>
      <c r="K27" s="1589"/>
      <c r="L27" s="1589"/>
      <c r="M27" s="1589"/>
      <c r="N27" s="1589"/>
      <c r="O27" s="1589"/>
      <c r="P27" s="1589">
        <v>483717.75000000006</v>
      </c>
    </row>
    <row r="28" spans="1:16">
      <c r="A28" s="7" t="s">
        <v>523</v>
      </c>
      <c r="B28" s="7" t="s">
        <v>583</v>
      </c>
      <c r="C28" s="1589">
        <v>0</v>
      </c>
      <c r="D28" s="1589"/>
      <c r="E28" s="1589"/>
      <c r="F28" s="1589"/>
      <c r="G28" s="1589"/>
      <c r="H28" s="1589"/>
      <c r="I28" s="1589"/>
      <c r="J28" s="1589"/>
      <c r="K28" s="1589"/>
      <c r="L28" s="1589"/>
      <c r="M28" s="1589"/>
      <c r="N28" s="1589"/>
      <c r="O28" s="1589"/>
      <c r="P28" s="1589">
        <v>0</v>
      </c>
    </row>
    <row r="29" spans="1:16">
      <c r="B29" s="7" t="s">
        <v>551</v>
      </c>
      <c r="C29" s="1589">
        <v>0</v>
      </c>
      <c r="D29" s="1589"/>
      <c r="E29" s="1589"/>
      <c r="F29" s="1589"/>
      <c r="G29" s="1589"/>
      <c r="H29" s="1589"/>
      <c r="I29" s="1589"/>
      <c r="J29" s="1589"/>
      <c r="K29" s="1589"/>
      <c r="L29" s="1589"/>
      <c r="M29" s="1589"/>
      <c r="N29" s="1589"/>
      <c r="O29" s="1589"/>
      <c r="P29" s="1589">
        <v>0</v>
      </c>
    </row>
    <row r="30" spans="1:16">
      <c r="B30" s="7" t="s">
        <v>575</v>
      </c>
      <c r="C30" s="1589">
        <v>0</v>
      </c>
      <c r="D30" s="1589"/>
      <c r="E30" s="1589"/>
      <c r="F30" s="1589"/>
      <c r="G30" s="1589"/>
      <c r="H30" s="1589"/>
      <c r="I30" s="1589"/>
      <c r="J30" s="1589"/>
      <c r="K30" s="1589"/>
      <c r="L30" s="1589"/>
      <c r="M30" s="1589"/>
      <c r="N30" s="1589"/>
      <c r="O30" s="1589"/>
      <c r="P30" s="1589">
        <v>0</v>
      </c>
    </row>
    <row r="31" spans="1:16">
      <c r="B31" s="7" t="s">
        <v>559</v>
      </c>
      <c r="C31" s="1589">
        <v>0</v>
      </c>
      <c r="D31" s="1589"/>
      <c r="E31" s="1589"/>
      <c r="F31" s="1589"/>
      <c r="G31" s="1589"/>
      <c r="H31" s="1589"/>
      <c r="I31" s="1589"/>
      <c r="J31" s="1589"/>
      <c r="K31" s="1589"/>
      <c r="L31" s="1589"/>
      <c r="M31" s="1589"/>
      <c r="N31" s="1589"/>
      <c r="O31" s="1589"/>
      <c r="P31" s="1589">
        <v>0</v>
      </c>
    </row>
    <row r="32" spans="1:16">
      <c r="B32" s="7" t="s">
        <v>567</v>
      </c>
      <c r="C32" s="1589">
        <v>0</v>
      </c>
      <c r="D32" s="1589"/>
      <c r="E32" s="1589"/>
      <c r="F32" s="1589"/>
      <c r="G32" s="1589"/>
      <c r="H32" s="1589"/>
      <c r="I32" s="1589"/>
      <c r="J32" s="1589"/>
      <c r="K32" s="1589"/>
      <c r="L32" s="1589"/>
      <c r="M32" s="1589"/>
      <c r="N32" s="1589"/>
      <c r="O32" s="1589"/>
      <c r="P32" s="1589">
        <v>0</v>
      </c>
    </row>
    <row r="33" spans="1:16">
      <c r="B33" s="7" t="s">
        <v>542</v>
      </c>
      <c r="C33" s="1589">
        <v>0</v>
      </c>
      <c r="D33" s="1589"/>
      <c r="E33" s="1589"/>
      <c r="F33" s="1589"/>
      <c r="G33" s="1589"/>
      <c r="H33" s="1589"/>
      <c r="I33" s="1589"/>
      <c r="J33" s="1589"/>
      <c r="K33" s="1589"/>
      <c r="L33" s="1589"/>
      <c r="M33" s="1589"/>
      <c r="N33" s="1589"/>
      <c r="O33" s="1589"/>
      <c r="P33" s="1589">
        <v>0</v>
      </c>
    </row>
    <row r="34" spans="1:16">
      <c r="B34" s="7" t="s">
        <v>524</v>
      </c>
      <c r="C34" s="1589">
        <v>0</v>
      </c>
      <c r="D34" s="1589"/>
      <c r="E34" s="1589"/>
      <c r="F34" s="1589"/>
      <c r="G34" s="1589"/>
      <c r="H34" s="1589"/>
      <c r="I34" s="1589"/>
      <c r="J34" s="1589"/>
      <c r="K34" s="1589"/>
      <c r="L34" s="1589"/>
      <c r="M34" s="1589"/>
      <c r="N34" s="1589"/>
      <c r="O34" s="1589"/>
      <c r="P34" s="1589">
        <v>0</v>
      </c>
    </row>
    <row r="35" spans="1:16">
      <c r="A35" s="7" t="s">
        <v>3085</v>
      </c>
      <c r="B35" s="7" t="s">
        <v>3086</v>
      </c>
      <c r="C35" s="1589">
        <v>0</v>
      </c>
      <c r="D35" s="1589"/>
      <c r="E35" s="1589"/>
      <c r="F35" s="1589"/>
      <c r="G35" s="1589"/>
      <c r="H35" s="1589"/>
      <c r="I35" s="1589"/>
      <c r="J35" s="1589"/>
      <c r="K35" s="1589"/>
      <c r="L35" s="1589"/>
      <c r="M35" s="1589"/>
      <c r="N35" s="1589"/>
      <c r="O35" s="1589">
        <v>0</v>
      </c>
      <c r="P35" s="1589">
        <v>0</v>
      </c>
    </row>
    <row r="36" spans="1:16">
      <c r="A36" s="7" t="s">
        <v>4286</v>
      </c>
      <c r="C36" s="1589">
        <v>6600537.2352000009</v>
      </c>
      <c r="D36" s="1589">
        <v>0</v>
      </c>
      <c r="E36" s="1589">
        <v>24847.565500133598</v>
      </c>
      <c r="F36" s="1589">
        <v>143524.72942416003</v>
      </c>
      <c r="G36" s="1589">
        <v>0</v>
      </c>
      <c r="H36" s="1589">
        <v>9444.4898999199995</v>
      </c>
      <c r="I36" s="1589">
        <v>61197.581282426407</v>
      </c>
      <c r="J36" s="1589">
        <v>218486.81715768002</v>
      </c>
      <c r="K36" s="1589">
        <v>0</v>
      </c>
      <c r="L36" s="1589">
        <v>322724.29870632006</v>
      </c>
      <c r="M36" s="1589">
        <v>42474.033825920014</v>
      </c>
      <c r="N36" s="1589">
        <v>8093.2498034400005</v>
      </c>
      <c r="O36" s="1589">
        <v>0</v>
      </c>
      <c r="P36" s="1589">
        <v>7431330.0008000014</v>
      </c>
    </row>
  </sheetData>
  <pageMargins left="0.7" right="0.7" top="0.75" bottom="0.75" header="0.3" footer="0.3"/>
  <pageSetup orientation="portrait" horizontalDpi="90" verticalDpi="9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rgb="FFC00000"/>
  </sheetPr>
  <dimension ref="A1:F49"/>
  <sheetViews>
    <sheetView topLeftCell="B1" workbookViewId="0">
      <selection activeCell="F45" sqref="F45"/>
    </sheetView>
  </sheetViews>
  <sheetFormatPr baseColWidth="10" defaultColWidth="9.1796875" defaultRowHeight="14.5"/>
  <cols>
    <col min="1" max="1" width="76.453125" bestFit="1" customWidth="1"/>
    <col min="2" max="3" width="19.1796875" bestFit="1" customWidth="1"/>
    <col min="4" max="4" width="19.7265625" bestFit="1" customWidth="1"/>
    <col min="5" max="5" width="20.7265625" bestFit="1" customWidth="1"/>
    <col min="6" max="6" width="28.81640625" bestFit="1" customWidth="1"/>
  </cols>
  <sheetData>
    <row r="1" spans="1:6">
      <c r="A1" s="647" t="s">
        <v>416</v>
      </c>
      <c r="B1" t="s">
        <v>4287</v>
      </c>
    </row>
    <row r="3" spans="1:6">
      <c r="A3" s="647" t="s">
        <v>4285</v>
      </c>
      <c r="B3" t="s">
        <v>2645</v>
      </c>
      <c r="C3" t="s">
        <v>2646</v>
      </c>
      <c r="D3" t="s">
        <v>4289</v>
      </c>
      <c r="E3" t="s">
        <v>4290</v>
      </c>
      <c r="F3" t="s">
        <v>4291</v>
      </c>
    </row>
    <row r="4" spans="1:6">
      <c r="A4" s="1116" t="s">
        <v>598</v>
      </c>
      <c r="B4" s="1278">
        <v>0</v>
      </c>
      <c r="C4" s="1278">
        <v>0</v>
      </c>
      <c r="D4" s="1278">
        <v>0</v>
      </c>
      <c r="E4" s="1278">
        <v>0</v>
      </c>
      <c r="F4" s="1278">
        <v>0</v>
      </c>
    </row>
    <row r="5" spans="1:6">
      <c r="A5" s="1212" t="s">
        <v>599</v>
      </c>
      <c r="B5" s="1278">
        <v>0</v>
      </c>
      <c r="C5" s="1278">
        <v>0</v>
      </c>
      <c r="D5" s="1278">
        <v>0</v>
      </c>
      <c r="E5" s="1278">
        <v>0</v>
      </c>
      <c r="F5" s="1278">
        <v>0</v>
      </c>
    </row>
    <row r="6" spans="1:6">
      <c r="A6" s="1212" t="s">
        <v>606</v>
      </c>
      <c r="B6" s="1278">
        <v>0</v>
      </c>
      <c r="C6" s="1278">
        <v>0</v>
      </c>
      <c r="D6" s="1278">
        <v>0</v>
      </c>
      <c r="E6" s="1278">
        <v>0</v>
      </c>
      <c r="F6" s="1278">
        <v>0</v>
      </c>
    </row>
    <row r="7" spans="1:6">
      <c r="A7" s="1212" t="s">
        <v>609</v>
      </c>
      <c r="B7" s="1278">
        <v>0</v>
      </c>
      <c r="C7" s="1278">
        <v>0</v>
      </c>
      <c r="D7" s="1278">
        <v>0</v>
      </c>
      <c r="E7" s="1278">
        <v>0</v>
      </c>
      <c r="F7" s="1278">
        <v>0</v>
      </c>
    </row>
    <row r="8" spans="1:6">
      <c r="A8" s="1116" t="s">
        <v>672</v>
      </c>
      <c r="B8" s="1278">
        <v>0</v>
      </c>
      <c r="C8" s="1278">
        <v>160978.59960399999</v>
      </c>
      <c r="D8" s="1278">
        <v>168128.21725154002</v>
      </c>
      <c r="E8" s="1278">
        <v>178961.65003814004</v>
      </c>
      <c r="F8" s="1278">
        <v>508068.4668936801</v>
      </c>
    </row>
    <row r="9" spans="1:6">
      <c r="A9" s="1212" t="s">
        <v>674</v>
      </c>
      <c r="B9" s="1278">
        <v>0</v>
      </c>
      <c r="C9" s="1278">
        <v>0</v>
      </c>
      <c r="D9" s="1278">
        <v>0</v>
      </c>
      <c r="E9" s="1278">
        <v>0</v>
      </c>
      <c r="F9" s="1278">
        <v>0</v>
      </c>
    </row>
    <row r="10" spans="1:6">
      <c r="A10" s="1212" t="s">
        <v>673</v>
      </c>
      <c r="B10" s="1278">
        <v>0</v>
      </c>
      <c r="C10" s="1278">
        <v>132910.08055212398</v>
      </c>
      <c r="D10" s="1278">
        <v>138804.15374282299</v>
      </c>
      <c r="E10" s="1278">
        <v>147750.74621849434</v>
      </c>
      <c r="F10" s="1278">
        <v>419464.98051344138</v>
      </c>
    </row>
    <row r="11" spans="1:6">
      <c r="A11" s="1212" t="s">
        <v>675</v>
      </c>
      <c r="B11" s="1278">
        <v>0</v>
      </c>
      <c r="C11" s="1278">
        <v>28068.519051876003</v>
      </c>
      <c r="D11" s="1278">
        <v>29324.063508717019</v>
      </c>
      <c r="E11" s="1278">
        <v>31210.9038196457</v>
      </c>
      <c r="F11" s="1278">
        <v>88603.486380238712</v>
      </c>
    </row>
    <row r="12" spans="1:6">
      <c r="A12" s="1116" t="s">
        <v>657</v>
      </c>
      <c r="B12" s="1278">
        <v>0</v>
      </c>
      <c r="C12" s="1278">
        <v>0</v>
      </c>
      <c r="D12" s="1278">
        <v>0</v>
      </c>
      <c r="E12" s="1278">
        <v>0</v>
      </c>
      <c r="F12" s="1278">
        <v>0</v>
      </c>
    </row>
    <row r="13" spans="1:6">
      <c r="A13" s="1212" t="s">
        <v>658</v>
      </c>
      <c r="B13" s="1278">
        <v>0</v>
      </c>
      <c r="C13" s="1278">
        <v>0</v>
      </c>
      <c r="D13" s="1278">
        <v>0</v>
      </c>
      <c r="E13" s="1278">
        <v>0</v>
      </c>
      <c r="F13" s="1278">
        <v>0</v>
      </c>
    </row>
    <row r="14" spans="1:6">
      <c r="A14" s="1212" t="s">
        <v>659</v>
      </c>
      <c r="B14" s="1278">
        <v>0</v>
      </c>
      <c r="C14" s="1278">
        <v>0</v>
      </c>
      <c r="D14" s="1278">
        <v>0</v>
      </c>
      <c r="E14" s="1278">
        <v>0</v>
      </c>
      <c r="F14" s="1278">
        <v>0</v>
      </c>
    </row>
    <row r="15" spans="1:6">
      <c r="A15" s="1116" t="s">
        <v>223</v>
      </c>
      <c r="B15" s="1278">
        <v>0</v>
      </c>
      <c r="C15" s="1278">
        <v>102326.46039600001</v>
      </c>
      <c r="D15" s="1278">
        <v>106740.41454846003</v>
      </c>
      <c r="E15" s="1278">
        <v>113657.42376186002</v>
      </c>
      <c r="F15" s="1278">
        <v>322724.29870632006</v>
      </c>
    </row>
    <row r="16" spans="1:6">
      <c r="A16" s="1212" t="s">
        <v>669</v>
      </c>
      <c r="B16" s="1278">
        <v>0</v>
      </c>
      <c r="C16" s="1278">
        <v>0</v>
      </c>
      <c r="D16" s="1278">
        <v>0</v>
      </c>
      <c r="E16" s="1278">
        <v>0</v>
      </c>
      <c r="F16" s="1278">
        <v>0</v>
      </c>
    </row>
    <row r="17" spans="1:6">
      <c r="A17" s="1212" t="s">
        <v>670</v>
      </c>
      <c r="B17" s="1278">
        <v>0</v>
      </c>
      <c r="C17" s="1278">
        <v>102326.46039600001</v>
      </c>
      <c r="D17" s="1278">
        <v>106740.41454846003</v>
      </c>
      <c r="E17" s="1278">
        <v>113657.42376186002</v>
      </c>
      <c r="F17" s="1278">
        <v>322724.29870632006</v>
      </c>
    </row>
    <row r="18" spans="1:6">
      <c r="A18" s="1116" t="s">
        <v>652</v>
      </c>
      <c r="B18" s="1278">
        <v>0</v>
      </c>
      <c r="C18" s="1278">
        <v>0</v>
      </c>
      <c r="D18" s="1278">
        <v>0</v>
      </c>
      <c r="E18" s="1278">
        <v>0</v>
      </c>
      <c r="F18" s="1278">
        <v>0</v>
      </c>
    </row>
    <row r="19" spans="1:6">
      <c r="A19" s="1212" t="s">
        <v>661</v>
      </c>
      <c r="B19" s="1278">
        <v>0</v>
      </c>
      <c r="C19" s="1278">
        <v>0</v>
      </c>
      <c r="D19" s="1278">
        <v>0</v>
      </c>
      <c r="E19" s="1278">
        <v>0</v>
      </c>
      <c r="F19" s="1278">
        <v>0</v>
      </c>
    </row>
    <row r="20" spans="1:6">
      <c r="A20" s="1212" t="s">
        <v>668</v>
      </c>
      <c r="B20" s="1278">
        <v>0</v>
      </c>
      <c r="C20" s="1278">
        <v>0</v>
      </c>
      <c r="D20" s="1278">
        <v>0</v>
      </c>
      <c r="E20" s="1278">
        <v>0</v>
      </c>
      <c r="F20" s="1278">
        <v>0</v>
      </c>
    </row>
    <row r="21" spans="1:6">
      <c r="A21" s="1212" t="s">
        <v>666</v>
      </c>
      <c r="B21" s="1278">
        <v>0</v>
      </c>
      <c r="C21" s="1278">
        <v>0</v>
      </c>
      <c r="D21" s="1278">
        <v>0</v>
      </c>
      <c r="E21" s="1278">
        <v>0</v>
      </c>
      <c r="F21" s="1278">
        <v>0</v>
      </c>
    </row>
    <row r="22" spans="1:6">
      <c r="A22" s="1212" t="s">
        <v>667</v>
      </c>
      <c r="B22" s="1278">
        <v>0</v>
      </c>
      <c r="C22" s="1278">
        <v>0</v>
      </c>
      <c r="D22" s="1278">
        <v>0</v>
      </c>
      <c r="E22" s="1278">
        <v>0</v>
      </c>
      <c r="F22" s="1278">
        <v>0</v>
      </c>
    </row>
    <row r="23" spans="1:6">
      <c r="A23" s="1116" t="s">
        <v>612</v>
      </c>
      <c r="B23" s="1278">
        <v>0</v>
      </c>
      <c r="C23" s="1278">
        <v>0</v>
      </c>
      <c r="D23" s="1278">
        <v>0</v>
      </c>
      <c r="E23" s="1278">
        <v>0</v>
      </c>
      <c r="F23" s="1278">
        <v>0</v>
      </c>
    </row>
    <row r="24" spans="1:6">
      <c r="A24" s="1212" t="s">
        <v>621</v>
      </c>
      <c r="B24" s="1278">
        <v>0</v>
      </c>
      <c r="C24" s="1278">
        <v>0</v>
      </c>
      <c r="D24" s="1278">
        <v>0</v>
      </c>
      <c r="E24" s="1278">
        <v>0</v>
      </c>
      <c r="F24" s="1278">
        <v>0</v>
      </c>
    </row>
    <row r="25" spans="1:6">
      <c r="A25" s="1212" t="s">
        <v>613</v>
      </c>
      <c r="B25" s="1278">
        <v>0</v>
      </c>
      <c r="C25" s="1278">
        <v>0</v>
      </c>
      <c r="D25" s="1278">
        <v>0</v>
      </c>
      <c r="E25" s="1278">
        <v>0</v>
      </c>
      <c r="F25" s="1278">
        <v>0</v>
      </c>
    </row>
    <row r="26" spans="1:6">
      <c r="A26" s="1212" t="s">
        <v>637</v>
      </c>
      <c r="B26" s="1278">
        <v>0</v>
      </c>
      <c r="C26" s="1278">
        <v>0</v>
      </c>
      <c r="D26" s="1278">
        <v>0</v>
      </c>
      <c r="E26" s="1278">
        <v>0</v>
      </c>
      <c r="F26" s="1278">
        <v>0</v>
      </c>
    </row>
    <row r="27" spans="1:6">
      <c r="A27" s="1212" t="s">
        <v>629</v>
      </c>
      <c r="B27" s="1278">
        <v>0</v>
      </c>
      <c r="C27" s="1278">
        <v>0</v>
      </c>
      <c r="D27" s="1278">
        <v>0</v>
      </c>
      <c r="E27" s="1278">
        <v>0</v>
      </c>
      <c r="F27" s="1278">
        <v>0</v>
      </c>
    </row>
    <row r="28" spans="1:6">
      <c r="A28" s="1116" t="s">
        <v>645</v>
      </c>
      <c r="B28" s="1278">
        <v>0</v>
      </c>
      <c r="C28" s="1278">
        <v>0</v>
      </c>
      <c r="D28" s="1278">
        <v>0</v>
      </c>
      <c r="E28" s="1278">
        <v>0</v>
      </c>
      <c r="F28" s="1278">
        <v>0</v>
      </c>
    </row>
    <row r="29" spans="1:6">
      <c r="A29" s="1212" t="s">
        <v>646</v>
      </c>
      <c r="B29" s="1278">
        <v>0</v>
      </c>
      <c r="C29" s="1278">
        <v>0</v>
      </c>
      <c r="D29" s="1278">
        <v>0</v>
      </c>
      <c r="E29" s="1278">
        <v>0</v>
      </c>
      <c r="F29" s="1278">
        <v>0</v>
      </c>
    </row>
    <row r="30" spans="1:6">
      <c r="A30" s="1212" t="s">
        <v>652</v>
      </c>
      <c r="B30" s="1278">
        <v>0</v>
      </c>
      <c r="C30" s="1278">
        <v>0</v>
      </c>
      <c r="D30" s="1278">
        <v>0</v>
      </c>
      <c r="E30" s="1278">
        <v>0</v>
      </c>
      <c r="F30" s="1278">
        <v>0</v>
      </c>
    </row>
    <row r="31" spans="1:6">
      <c r="A31" s="1212" t="s">
        <v>647</v>
      </c>
      <c r="B31" s="1278">
        <v>0</v>
      </c>
      <c r="C31" s="1278">
        <v>0</v>
      </c>
      <c r="D31" s="1278">
        <v>0</v>
      </c>
      <c r="E31" s="1278">
        <v>0</v>
      </c>
      <c r="F31" s="1278">
        <v>0</v>
      </c>
    </row>
    <row r="32" spans="1:6">
      <c r="A32" s="1116" t="s">
        <v>676</v>
      </c>
      <c r="B32" s="1278">
        <v>0</v>
      </c>
      <c r="C32" s="1278">
        <v>834777.49640000006</v>
      </c>
      <c r="D32" s="1278">
        <v>2103126.7928000004</v>
      </c>
      <c r="E32" s="1278">
        <v>2260947.2460000003</v>
      </c>
      <c r="F32" s="1278">
        <v>6600537.2352000009</v>
      </c>
    </row>
    <row r="33" spans="1:6">
      <c r="A33" s="1212" t="s">
        <v>677</v>
      </c>
      <c r="B33" s="1278">
        <v>0</v>
      </c>
      <c r="C33" s="1278">
        <v>673538.24640000006</v>
      </c>
      <c r="D33" s="1278">
        <v>1941887.5428000002</v>
      </c>
      <c r="E33" s="1278">
        <v>2099707.9960000003</v>
      </c>
      <c r="F33" s="1278">
        <v>6116819.4852000009</v>
      </c>
    </row>
    <row r="34" spans="1:6">
      <c r="A34" s="1212" t="s">
        <v>679</v>
      </c>
      <c r="B34" s="1278">
        <v>0</v>
      </c>
      <c r="C34" s="1278">
        <v>161239.25000000003</v>
      </c>
      <c r="D34" s="1278">
        <v>161239.25000000003</v>
      </c>
      <c r="E34" s="1278">
        <v>161239.25000000003</v>
      </c>
      <c r="F34" s="1278">
        <v>483717.75000000006</v>
      </c>
    </row>
    <row r="35" spans="1:6">
      <c r="A35" s="1116" t="s">
        <v>523</v>
      </c>
      <c r="B35" s="1278">
        <v>0</v>
      </c>
      <c r="C35" s="1278">
        <v>0</v>
      </c>
      <c r="D35" s="1278">
        <v>0</v>
      </c>
      <c r="E35" s="1278">
        <v>0</v>
      </c>
      <c r="F35" s="1278">
        <v>0</v>
      </c>
    </row>
    <row r="36" spans="1:6">
      <c r="A36" s="1212" t="s">
        <v>583</v>
      </c>
      <c r="B36" s="1278">
        <v>0</v>
      </c>
      <c r="C36" s="1278">
        <v>0</v>
      </c>
      <c r="D36" s="1278">
        <v>0</v>
      </c>
      <c r="E36" s="1278">
        <v>0</v>
      </c>
      <c r="F36" s="1278">
        <v>0</v>
      </c>
    </row>
    <row r="37" spans="1:6">
      <c r="A37" s="1212" t="s">
        <v>551</v>
      </c>
      <c r="B37" s="1278">
        <v>0</v>
      </c>
      <c r="C37" s="1278">
        <v>0</v>
      </c>
      <c r="D37" s="1278">
        <v>0</v>
      </c>
      <c r="E37" s="1278">
        <v>0</v>
      </c>
      <c r="F37" s="1278">
        <v>0</v>
      </c>
    </row>
    <row r="38" spans="1:6">
      <c r="A38" s="1212" t="s">
        <v>575</v>
      </c>
      <c r="B38" s="1278">
        <v>0</v>
      </c>
      <c r="C38" s="1278">
        <v>0</v>
      </c>
      <c r="D38" s="1278">
        <v>0</v>
      </c>
      <c r="E38" s="1278">
        <v>0</v>
      </c>
      <c r="F38" s="1278">
        <v>0</v>
      </c>
    </row>
    <row r="39" spans="1:6">
      <c r="A39" s="1212" t="s">
        <v>559</v>
      </c>
      <c r="B39" s="1278">
        <v>0</v>
      </c>
      <c r="C39" s="1278">
        <v>0</v>
      </c>
      <c r="D39" s="1278">
        <v>0</v>
      </c>
      <c r="E39" s="1278">
        <v>0</v>
      </c>
      <c r="F39" s="1278">
        <v>0</v>
      </c>
    </row>
    <row r="40" spans="1:6">
      <c r="A40" s="1212" t="s">
        <v>567</v>
      </c>
      <c r="B40" s="1278">
        <v>0</v>
      </c>
      <c r="C40" s="1278">
        <v>0</v>
      </c>
      <c r="D40" s="1278">
        <v>0</v>
      </c>
      <c r="E40" s="1278">
        <v>0</v>
      </c>
      <c r="F40" s="1278">
        <v>0</v>
      </c>
    </row>
    <row r="41" spans="1:6">
      <c r="A41" s="1212" t="s">
        <v>542</v>
      </c>
      <c r="B41" s="1278">
        <v>0</v>
      </c>
      <c r="C41" s="1278">
        <v>0</v>
      </c>
      <c r="D41" s="1278">
        <v>0</v>
      </c>
      <c r="E41" s="1278">
        <v>0</v>
      </c>
      <c r="F41" s="1278">
        <v>0</v>
      </c>
    </row>
    <row r="42" spans="1:6">
      <c r="A42" s="1212" t="s">
        <v>524</v>
      </c>
      <c r="B42" s="1278">
        <v>0</v>
      </c>
      <c r="C42" s="1278">
        <v>0</v>
      </c>
      <c r="D42" s="1278">
        <v>0</v>
      </c>
      <c r="E42" s="1278">
        <v>0</v>
      </c>
      <c r="F42" s="1278">
        <v>0</v>
      </c>
    </row>
    <row r="43" spans="1:6">
      <c r="A43" s="1116" t="s">
        <v>3085</v>
      </c>
      <c r="B43" s="1278">
        <v>0</v>
      </c>
      <c r="C43" s="1278">
        <v>0</v>
      </c>
      <c r="D43" s="1278">
        <v>0</v>
      </c>
      <c r="E43" s="1278">
        <v>0</v>
      </c>
      <c r="F43" s="1278">
        <v>0</v>
      </c>
    </row>
    <row r="44" spans="1:6">
      <c r="A44" s="1212" t="s">
        <v>3086</v>
      </c>
      <c r="B44" s="1278">
        <v>0</v>
      </c>
      <c r="C44" s="1278">
        <v>0</v>
      </c>
      <c r="D44" s="1278">
        <v>0</v>
      </c>
      <c r="E44" s="1278">
        <v>0</v>
      </c>
      <c r="F44" s="1278">
        <v>0</v>
      </c>
    </row>
    <row r="45" spans="1:6">
      <c r="A45" s="1116" t="s">
        <v>4286</v>
      </c>
      <c r="B45" s="1278">
        <v>0</v>
      </c>
      <c r="C45" s="1278">
        <v>1098082.5564000001</v>
      </c>
      <c r="D45" s="1278">
        <v>2377995.4246</v>
      </c>
      <c r="E45" s="1278">
        <v>2553566.3198000002</v>
      </c>
      <c r="F45" s="1278">
        <v>7431330.0008000014</v>
      </c>
    </row>
    <row r="47" spans="1:6">
      <c r="C47" s="2076"/>
      <c r="F47" s="2076"/>
    </row>
    <row r="48" spans="1:6">
      <c r="C48" s="2076"/>
    </row>
    <row r="49" spans="6:6">
      <c r="F49" s="2077"/>
    </row>
  </sheetData>
  <pageMargins left="0.7" right="0.7" top="0.75" bottom="0.75" header="0.3" footer="0.3"/>
  <pageSetup orientation="portrait" horizontalDpi="90" verticalDpi="9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FF0000"/>
  </sheetPr>
  <dimension ref="A1:G11"/>
  <sheetViews>
    <sheetView showGridLines="0" workbookViewId="0">
      <selection activeCell="I26" sqref="I26"/>
    </sheetView>
  </sheetViews>
  <sheetFormatPr baseColWidth="10" defaultColWidth="8.7265625" defaultRowHeight="14.5"/>
  <cols>
    <col min="1" max="1" width="51.26953125" bestFit="1" customWidth="1"/>
    <col min="2" max="2" width="51.26953125" customWidth="1"/>
    <col min="3" max="3" width="31.26953125" bestFit="1" customWidth="1"/>
    <col min="4" max="4" width="65" bestFit="1" customWidth="1"/>
    <col min="5" max="6" width="62.26953125" bestFit="1" customWidth="1"/>
  </cols>
  <sheetData>
    <row r="1" spans="1:7">
      <c r="A1" t="s">
        <v>723</v>
      </c>
      <c r="B1" t="s">
        <v>724</v>
      </c>
      <c r="C1" t="s">
        <v>725</v>
      </c>
      <c r="D1" t="s">
        <v>726</v>
      </c>
      <c r="E1" t="s">
        <v>727</v>
      </c>
    </row>
    <row r="2" spans="1:7">
      <c r="A2" t="s">
        <v>480</v>
      </c>
      <c r="B2" t="s">
        <v>485</v>
      </c>
      <c r="C2" t="s">
        <v>471</v>
      </c>
      <c r="D2" t="s">
        <v>481</v>
      </c>
      <c r="E2" t="s">
        <v>680</v>
      </c>
    </row>
    <row r="3" spans="1:7">
      <c r="A3" t="s">
        <v>728</v>
      </c>
      <c r="B3" t="s">
        <v>729</v>
      </c>
      <c r="C3" t="s">
        <v>472</v>
      </c>
      <c r="D3" t="s">
        <v>680</v>
      </c>
      <c r="E3" t="s">
        <v>681</v>
      </c>
    </row>
    <row r="4" spans="1:7">
      <c r="A4" t="s">
        <v>730</v>
      </c>
      <c r="B4" t="s">
        <v>731</v>
      </c>
      <c r="C4" t="s">
        <v>473</v>
      </c>
      <c r="D4" t="s">
        <v>681</v>
      </c>
      <c r="E4" t="s">
        <v>732</v>
      </c>
    </row>
    <row r="5" spans="1:7">
      <c r="A5" t="s">
        <v>736</v>
      </c>
      <c r="B5" t="s">
        <v>734</v>
      </c>
      <c r="C5" t="s">
        <v>474</v>
      </c>
      <c r="D5" t="s">
        <v>735</v>
      </c>
      <c r="E5" t="s">
        <v>683</v>
      </c>
    </row>
    <row r="6" spans="1:7">
      <c r="A6" t="s">
        <v>733</v>
      </c>
      <c r="B6" t="s">
        <v>737</v>
      </c>
      <c r="C6" t="s">
        <v>475</v>
      </c>
      <c r="D6" t="s">
        <v>683</v>
      </c>
      <c r="E6" t="s">
        <v>682</v>
      </c>
    </row>
    <row r="7" spans="1:7">
      <c r="C7" t="s">
        <v>61</v>
      </c>
      <c r="D7" t="s">
        <v>682</v>
      </c>
      <c r="E7" t="s">
        <v>685</v>
      </c>
    </row>
    <row r="8" spans="1:7">
      <c r="C8" t="s">
        <v>262</v>
      </c>
      <c r="D8" t="s">
        <v>685</v>
      </c>
      <c r="E8" t="s">
        <v>684</v>
      </c>
      <c r="F8" s="4"/>
      <c r="G8" s="4"/>
    </row>
    <row r="9" spans="1:7">
      <c r="D9" t="s">
        <v>738</v>
      </c>
      <c r="E9" t="s">
        <v>486</v>
      </c>
    </row>
    <row r="10" spans="1:7">
      <c r="D10" t="s">
        <v>739</v>
      </c>
      <c r="E10" t="s">
        <v>740</v>
      </c>
    </row>
    <row r="11" spans="1:7">
      <c r="D11" t="s">
        <v>741</v>
      </c>
    </row>
  </sheetData>
  <sheetProtection password="9C4D" sheet="1" objects="1" scenarios="1" formatColumns="0" formatRows="0" autoFilter="0"/>
  <sortState xmlns:xlrd2="http://schemas.microsoft.com/office/spreadsheetml/2017/richdata2" ref="D2:D11">
    <sortCondition ref="D2"/>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sheetPr>
  <dimension ref="A1:P37"/>
  <sheetViews>
    <sheetView showGridLines="0" zoomScale="85" zoomScaleNormal="85" workbookViewId="0">
      <selection activeCell="B9" sqref="B9:L9"/>
    </sheetView>
  </sheetViews>
  <sheetFormatPr baseColWidth="10" defaultColWidth="8.7265625" defaultRowHeight="14.5"/>
  <cols>
    <col min="1" max="1" width="8.7265625" style="35"/>
    <col min="2" max="5" width="15.26953125" style="35" customWidth="1"/>
    <col min="6" max="6" width="8.26953125" style="35" customWidth="1"/>
    <col min="7" max="10" width="15.26953125" style="35" customWidth="1"/>
    <col min="11" max="12" width="14" style="35" customWidth="1"/>
    <col min="13" max="13" width="8.7265625" style="35"/>
    <col min="14" max="14" width="8.7265625" style="657"/>
    <col min="15" max="16384" width="8.7265625" style="35"/>
  </cols>
  <sheetData>
    <row r="1" spans="1:16" ht="24" thickBot="1">
      <c r="A1" s="2115" t="s">
        <v>0</v>
      </c>
      <c r="B1" s="2116"/>
      <c r="C1" s="2116"/>
      <c r="D1" s="2116"/>
      <c r="E1" s="2116"/>
      <c r="F1" s="2116"/>
      <c r="G1" s="2116"/>
      <c r="H1" s="2116"/>
      <c r="I1" s="2116"/>
      <c r="J1" s="2117"/>
      <c r="K1" s="39"/>
      <c r="L1" s="2088"/>
    </row>
    <row r="2" spans="1:16">
      <c r="A2" s="285"/>
      <c r="B2" s="285"/>
      <c r="C2" s="285"/>
      <c r="D2" s="285"/>
      <c r="E2" s="285"/>
      <c r="F2" s="285"/>
      <c r="G2" s="285"/>
      <c r="H2" s="285"/>
      <c r="I2" s="285"/>
      <c r="J2" s="285"/>
      <c r="K2" s="39"/>
      <c r="L2" s="2088"/>
    </row>
    <row r="3" spans="1:16" ht="15" hidden="1" customHeight="1" thickBot="1">
      <c r="A3" s="286"/>
      <c r="B3" s="2118" t="s">
        <v>1</v>
      </c>
      <c r="C3" s="2120" t="str">
        <f>SETUP!$E$3</f>
        <v>El Salvador</v>
      </c>
      <c r="D3" s="2120"/>
      <c r="E3" s="2120"/>
      <c r="F3" s="287"/>
      <c r="G3" s="2122" t="s">
        <v>2</v>
      </c>
      <c r="H3" s="2124" t="str">
        <f>GRAN_NO</f>
        <v>SLV-H-MOH</v>
      </c>
      <c r="I3" s="2124"/>
      <c r="J3" s="2125"/>
      <c r="K3" s="39"/>
      <c r="L3" s="294"/>
    </row>
    <row r="4" spans="1:16" ht="15.75" hidden="1" customHeight="1" thickTop="1" thickBot="1">
      <c r="A4" s="288"/>
      <c r="B4" s="2119"/>
      <c r="C4" s="2121"/>
      <c r="D4" s="2121"/>
      <c r="E4" s="2121"/>
      <c r="F4" s="289"/>
      <c r="G4" s="2123"/>
      <c r="H4" s="2126"/>
      <c r="I4" s="2126"/>
      <c r="J4" s="2127"/>
      <c r="K4" s="39"/>
      <c r="L4" s="295"/>
    </row>
    <row r="5" spans="1:16" ht="15" hidden="1" thickBot="1">
      <c r="A5" s="288"/>
      <c r="B5" s="2128" t="s">
        <v>3</v>
      </c>
      <c r="C5" s="2130" t="str">
        <f>SETUP!$E$6</f>
        <v>HIV</v>
      </c>
      <c r="D5" s="2130"/>
      <c r="E5" s="2130"/>
      <c r="F5" s="290"/>
      <c r="G5" s="2132" t="s">
        <v>4</v>
      </c>
      <c r="H5" s="2134" t="str">
        <f>SETUP!E7</f>
        <v>Ministry of Health of the Republic of El Salvador</v>
      </c>
      <c r="I5" s="2134"/>
      <c r="J5" s="2135"/>
      <c r="K5" s="39"/>
      <c r="L5" s="295"/>
    </row>
    <row r="6" spans="1:16" ht="15.5" hidden="1" thickTop="1" thickBot="1">
      <c r="A6" s="291"/>
      <c r="B6" s="2129"/>
      <c r="C6" s="2131"/>
      <c r="D6" s="2131"/>
      <c r="E6" s="2131"/>
      <c r="F6" s="292"/>
      <c r="G6" s="2133"/>
      <c r="H6" s="2136"/>
      <c r="I6" s="2136"/>
      <c r="J6" s="2137"/>
      <c r="K6" s="39"/>
      <c r="L6" s="295"/>
    </row>
    <row r="7" spans="1:16">
      <c r="A7" s="293"/>
      <c r="B7" s="293"/>
      <c r="C7" s="293"/>
      <c r="D7" s="293"/>
      <c r="E7" s="293"/>
      <c r="F7" s="293"/>
      <c r="G7" s="293"/>
      <c r="H7" s="293"/>
      <c r="I7" s="293"/>
      <c r="J7" s="293"/>
      <c r="K7" s="48"/>
      <c r="L7" s="48"/>
    </row>
    <row r="8" spans="1:16">
      <c r="A8" s="2138" t="s">
        <v>5</v>
      </c>
      <c r="B8" s="2138"/>
      <c r="C8" s="2138"/>
      <c r="D8" s="2138"/>
      <c r="E8" s="2138"/>
      <c r="F8" s="2138"/>
      <c r="G8" s="2138"/>
      <c r="H8" s="2138"/>
      <c r="I8" s="2138"/>
      <c r="J8" s="2138"/>
      <c r="K8" s="2138"/>
      <c r="L8" s="2138"/>
    </row>
    <row r="9" spans="1:16" s="123" customFormat="1" ht="50.25" customHeight="1">
      <c r="A9" s="1308"/>
      <c r="B9" s="2107" t="s">
        <v>2628</v>
      </c>
      <c r="C9" s="2114"/>
      <c r="D9" s="2114"/>
      <c r="E9" s="2114"/>
      <c r="F9" s="2114"/>
      <c r="G9" s="2114"/>
      <c r="H9" s="2114"/>
      <c r="I9" s="2114"/>
      <c r="J9" s="2114"/>
      <c r="K9" s="2114"/>
      <c r="L9" s="2114"/>
      <c r="N9" s="1215" t="b">
        <v>0</v>
      </c>
    </row>
    <row r="10" spans="1:16" s="123" customFormat="1" ht="30.75" customHeight="1">
      <c r="A10" s="1308"/>
      <c r="B10" s="2114" t="s">
        <v>6</v>
      </c>
      <c r="C10" s="2114"/>
      <c r="D10" s="2114"/>
      <c r="E10" s="2114"/>
      <c r="F10" s="2114"/>
      <c r="G10" s="2114"/>
      <c r="H10" s="2114"/>
      <c r="I10" s="2114"/>
      <c r="J10" s="2114"/>
      <c r="K10" s="2114"/>
      <c r="L10" s="2114"/>
      <c r="N10" s="1215" t="b">
        <v>0</v>
      </c>
    </row>
    <row r="11" spans="1:16" s="123" customFormat="1" ht="30.75" customHeight="1">
      <c r="A11" s="1308"/>
      <c r="B11" s="2114" t="s">
        <v>7</v>
      </c>
      <c r="C11" s="2114"/>
      <c r="D11" s="2114"/>
      <c r="E11" s="2114"/>
      <c r="F11" s="2114"/>
      <c r="G11" s="2114"/>
      <c r="H11" s="2114"/>
      <c r="I11" s="2114"/>
      <c r="J11" s="2114"/>
      <c r="K11" s="2114"/>
      <c r="L11" s="2114"/>
      <c r="N11" s="1215" t="b">
        <v>0</v>
      </c>
      <c r="P11" s="1214"/>
    </row>
    <row r="12" spans="1:16" s="123" customFormat="1" ht="30.75" customHeight="1">
      <c r="A12" s="1308"/>
      <c r="B12" s="2114" t="s">
        <v>8</v>
      </c>
      <c r="C12" s="2114"/>
      <c r="D12" s="2114"/>
      <c r="E12" s="2114"/>
      <c r="F12" s="2114"/>
      <c r="G12" s="2114"/>
      <c r="H12" s="2114"/>
      <c r="I12" s="2114"/>
      <c r="J12" s="2114"/>
      <c r="K12" s="2114"/>
      <c r="L12" s="2114"/>
      <c r="N12" s="1215" t="b">
        <v>0</v>
      </c>
    </row>
    <row r="13" spans="1:16" s="123" customFormat="1" ht="30.75" customHeight="1">
      <c r="A13" s="1308"/>
      <c r="B13" s="2114" t="s">
        <v>2629</v>
      </c>
      <c r="C13" s="2114"/>
      <c r="D13" s="2114"/>
      <c r="E13" s="2114"/>
      <c r="F13" s="2114"/>
      <c r="G13" s="2114"/>
      <c r="H13" s="2114"/>
      <c r="I13" s="2114"/>
      <c r="J13" s="2114"/>
      <c r="K13" s="2114"/>
      <c r="L13" s="2114"/>
      <c r="N13" s="1215" t="b">
        <v>0</v>
      </c>
    </row>
    <row r="14" spans="1:16" s="123" customFormat="1" ht="50.25" customHeight="1">
      <c r="A14" s="1308"/>
      <c r="B14" s="2107" t="s">
        <v>2630</v>
      </c>
      <c r="C14" s="2114"/>
      <c r="D14" s="2114"/>
      <c r="E14" s="2114"/>
      <c r="F14" s="2114"/>
      <c r="G14" s="2114"/>
      <c r="H14" s="2114"/>
      <c r="I14" s="2114"/>
      <c r="J14" s="2114"/>
      <c r="K14" s="2114"/>
      <c r="L14" s="2114"/>
      <c r="N14" s="1215" t="b">
        <v>0</v>
      </c>
    </row>
    <row r="15" spans="1:16" s="123" customFormat="1" ht="30.75" customHeight="1">
      <c r="A15" s="1308"/>
      <c r="B15" s="2114" t="s">
        <v>9</v>
      </c>
      <c r="C15" s="2114"/>
      <c r="D15" s="2114"/>
      <c r="E15" s="2114"/>
      <c r="F15" s="2114"/>
      <c r="G15" s="2114"/>
      <c r="H15" s="2114"/>
      <c r="I15" s="2114"/>
      <c r="J15" s="2114"/>
      <c r="K15" s="2114"/>
      <c r="L15" s="2114"/>
      <c r="N15" s="1215" t="b">
        <v>0</v>
      </c>
    </row>
    <row r="16" spans="1:16" s="1213" customFormat="1" ht="30.75" customHeight="1">
      <c r="A16" s="1309"/>
      <c r="B16" s="2107" t="s">
        <v>2631</v>
      </c>
      <c r="C16" s="2107"/>
      <c r="D16" s="2107"/>
      <c r="E16" s="2107"/>
      <c r="F16" s="2107"/>
      <c r="G16" s="2107"/>
      <c r="H16" s="2107"/>
      <c r="I16" s="2107"/>
      <c r="J16" s="2107"/>
      <c r="K16" s="2107"/>
      <c r="L16" s="2107"/>
      <c r="N16" s="1216" t="b">
        <v>0</v>
      </c>
    </row>
    <row r="17" spans="1:14" s="1213" customFormat="1" ht="30.75" customHeight="1">
      <c r="A17" s="1309"/>
      <c r="B17" s="2107" t="s">
        <v>10</v>
      </c>
      <c r="C17" s="2107"/>
      <c r="D17" s="2107"/>
      <c r="E17" s="2107"/>
      <c r="F17" s="2107"/>
      <c r="G17" s="2107"/>
      <c r="H17" s="2107"/>
      <c r="I17" s="2107"/>
      <c r="J17" s="2107"/>
      <c r="K17" s="2107"/>
      <c r="L17" s="2107"/>
      <c r="N17" s="1216" t="b">
        <v>0</v>
      </c>
    </row>
    <row r="18" spans="1:14" s="1213" customFormat="1" ht="30.75" customHeight="1">
      <c r="A18" s="1309"/>
      <c r="B18" s="2107" t="s">
        <v>11</v>
      </c>
      <c r="C18" s="2107"/>
      <c r="D18" s="2107"/>
      <c r="E18" s="2107"/>
      <c r="F18" s="2107"/>
      <c r="G18" s="2107"/>
      <c r="H18" s="2107"/>
      <c r="I18" s="2107"/>
      <c r="J18" s="2107"/>
      <c r="K18" s="2107"/>
      <c r="L18" s="2107"/>
      <c r="N18" s="1216" t="b">
        <v>0</v>
      </c>
    </row>
    <row r="19" spans="1:14" s="1213" customFormat="1" ht="52.5" customHeight="1">
      <c r="A19" s="1309"/>
      <c r="B19" s="2107" t="s">
        <v>2632</v>
      </c>
      <c r="C19" s="2107"/>
      <c r="D19" s="2107"/>
      <c r="E19" s="2107"/>
      <c r="F19" s="2107"/>
      <c r="G19" s="2107"/>
      <c r="H19" s="2107"/>
      <c r="I19" s="2107"/>
      <c r="J19" s="2107"/>
      <c r="K19" s="2107"/>
      <c r="L19" s="2107"/>
      <c r="N19" s="1216" t="b">
        <v>0</v>
      </c>
    </row>
    <row r="20" spans="1:14" s="1213" customFormat="1" ht="55.5" customHeight="1">
      <c r="A20" s="1309"/>
      <c r="B20" s="2107" t="s">
        <v>2633</v>
      </c>
      <c r="C20" s="2107"/>
      <c r="D20" s="2107"/>
      <c r="E20" s="2107"/>
      <c r="F20" s="2107"/>
      <c r="G20" s="2107"/>
      <c r="H20" s="2107"/>
      <c r="I20" s="2107"/>
      <c r="J20" s="2107"/>
      <c r="K20" s="2107"/>
      <c r="L20" s="2107"/>
      <c r="N20" s="1216" t="b">
        <v>0</v>
      </c>
    </row>
    <row r="21" spans="1:14" s="1213" customFormat="1" ht="43.5" customHeight="1">
      <c r="A21" s="1309"/>
      <c r="B21" s="2107" t="s">
        <v>2634</v>
      </c>
      <c r="C21" s="2107"/>
      <c r="D21" s="2107"/>
      <c r="E21" s="2107"/>
      <c r="F21" s="2107"/>
      <c r="G21" s="2107"/>
      <c r="H21" s="2107"/>
      <c r="I21" s="2107"/>
      <c r="J21" s="2107"/>
      <c r="K21" s="2107"/>
      <c r="L21" s="2107"/>
      <c r="N21" s="1216" t="b">
        <v>0</v>
      </c>
    </row>
    <row r="22" spans="1:14" s="1213" customFormat="1" ht="94.9" customHeight="1">
      <c r="A22" s="1309"/>
      <c r="B22" s="2107" t="s">
        <v>2635</v>
      </c>
      <c r="C22" s="2107"/>
      <c r="D22" s="2107"/>
      <c r="E22" s="2107"/>
      <c r="F22" s="2107"/>
      <c r="G22" s="2107"/>
      <c r="H22" s="2107"/>
      <c r="I22" s="2107"/>
      <c r="J22" s="2107"/>
      <c r="K22" s="2107"/>
      <c r="L22" s="2107"/>
      <c r="N22" s="1216" t="b">
        <v>0</v>
      </c>
    </row>
    <row r="23" spans="1:14">
      <c r="A23" s="289"/>
      <c r="B23" s="318"/>
      <c r="C23" s="319"/>
      <c r="D23" s="319"/>
      <c r="E23" s="319"/>
      <c r="F23" s="319"/>
      <c r="G23" s="319"/>
      <c r="H23" s="319"/>
      <c r="I23" s="319"/>
      <c r="J23" s="319"/>
      <c r="K23" s="319"/>
      <c r="L23" s="319"/>
    </row>
    <row r="24" spans="1:14" ht="88.5" customHeight="1">
      <c r="A24" s="2108" t="s">
        <v>2636</v>
      </c>
      <c r="B24" s="2108"/>
      <c r="C24" s="2108"/>
      <c r="D24" s="2108"/>
      <c r="E24" s="2108"/>
      <c r="F24" s="2108"/>
      <c r="G24" s="2108"/>
      <c r="H24" s="2108"/>
      <c r="I24" s="2108"/>
      <c r="J24" s="2108"/>
      <c r="K24" s="2108"/>
      <c r="L24" s="2108"/>
    </row>
    <row r="25" spans="1:14">
      <c r="A25" s="289"/>
      <c r="B25" s="289"/>
      <c r="C25" s="289"/>
      <c r="D25" s="289"/>
      <c r="E25" s="289"/>
      <c r="F25" s="289"/>
      <c r="G25" s="289"/>
      <c r="H25" s="289"/>
      <c r="I25" s="289"/>
      <c r="J25" s="289"/>
      <c r="K25" s="289"/>
      <c r="L25" s="289"/>
    </row>
    <row r="26" spans="1:14" ht="15.5">
      <c r="A26" s="2109" t="s">
        <v>12</v>
      </c>
      <c r="B26" s="2109"/>
      <c r="C26" s="2109"/>
      <c r="D26" s="2109"/>
      <c r="E26" s="2109"/>
      <c r="F26" s="2109"/>
      <c r="G26" s="2109"/>
      <c r="H26" s="2109"/>
      <c r="I26" s="2109"/>
      <c r="J26" s="2109"/>
      <c r="K26" s="2109"/>
      <c r="L26" s="2109"/>
    </row>
    <row r="27" spans="1:14" ht="15.5">
      <c r="A27" s="1310"/>
      <c r="B27" s="1311" t="s">
        <v>2637</v>
      </c>
      <c r="C27" s="1312"/>
      <c r="D27" s="1312"/>
      <c r="E27" s="1312"/>
      <c r="F27" s="1312"/>
      <c r="G27" s="1312"/>
      <c r="H27" s="1312"/>
      <c r="I27" s="1312"/>
      <c r="J27" s="1312"/>
      <c r="K27" s="1312"/>
      <c r="L27" s="1312"/>
    </row>
    <row r="28" spans="1:14" ht="15.5">
      <c r="A28" s="1310"/>
      <c r="B28" s="1312" t="s">
        <v>2638</v>
      </c>
      <c r="C28" s="1312"/>
      <c r="D28" s="1312"/>
      <c r="E28" s="1312"/>
      <c r="F28" s="1312"/>
      <c r="G28" s="1312"/>
      <c r="H28" s="1312"/>
      <c r="I28" s="1312"/>
      <c r="J28" s="1312"/>
      <c r="K28" s="1312"/>
      <c r="L28" s="1312"/>
    </row>
    <row r="29" spans="1:14" ht="15.5">
      <c r="A29" s="1310"/>
      <c r="B29" s="1312" t="s">
        <v>2639</v>
      </c>
      <c r="C29" s="1312"/>
      <c r="D29" s="1312"/>
      <c r="E29" s="1312"/>
      <c r="F29" s="1312"/>
      <c r="G29" s="1312"/>
      <c r="H29" s="1312"/>
      <c r="I29" s="1312"/>
      <c r="J29" s="1312"/>
      <c r="K29" s="1312"/>
      <c r="L29" s="1312"/>
    </row>
    <row r="30" spans="1:14" ht="15.5">
      <c r="A30" s="1310"/>
      <c r="B30" s="1310" t="s">
        <v>2640</v>
      </c>
      <c r="C30" s="1310"/>
      <c r="D30" s="1310"/>
      <c r="E30" s="1310"/>
      <c r="F30" s="1310"/>
      <c r="G30" s="1310"/>
      <c r="H30" s="1310"/>
      <c r="I30" s="1310"/>
      <c r="J30" s="1310"/>
      <c r="K30" s="1310"/>
      <c r="L30" s="1310"/>
    </row>
    <row r="31" spans="1:14" ht="29.25" customHeight="1">
      <c r="A31" s="1310"/>
      <c r="B31" s="2110" t="s">
        <v>13</v>
      </c>
      <c r="C31" s="2111"/>
      <c r="D31" s="2111"/>
      <c r="E31" s="2111"/>
      <c r="F31" s="2111"/>
      <c r="G31" s="2111"/>
      <c r="H31" s="2111"/>
      <c r="I31" s="2111"/>
      <c r="J31" s="2111"/>
      <c r="K31" s="2111"/>
      <c r="L31" s="2112"/>
    </row>
    <row r="32" spans="1:14" ht="15" thickBot="1"/>
    <row r="33" spans="1:13" ht="176.25" customHeight="1" thickBot="1">
      <c r="A33" s="1280"/>
      <c r="B33" s="2113" t="s">
        <v>2641</v>
      </c>
      <c r="C33" s="2113"/>
      <c r="D33" s="2113"/>
      <c r="E33" s="2113"/>
      <c r="F33" s="2113"/>
      <c r="G33" s="2113"/>
      <c r="H33" s="2113"/>
      <c r="I33" s="2113"/>
      <c r="J33" s="2113"/>
      <c r="K33" s="2113"/>
      <c r="L33" s="2113"/>
      <c r="M33" s="1280"/>
    </row>
    <row r="34" spans="1:13">
      <c r="A34" s="385"/>
      <c r="B34" s="385"/>
      <c r="C34" s="385"/>
      <c r="D34" s="385"/>
      <c r="E34" s="385"/>
      <c r="F34" s="385"/>
      <c r="G34" s="385"/>
      <c r="H34" s="385"/>
      <c r="I34" s="385"/>
      <c r="J34" s="385"/>
      <c r="K34" s="385"/>
      <c r="L34" s="385"/>
    </row>
    <row r="35" spans="1:13">
      <c r="A35" s="385"/>
      <c r="B35" s="385"/>
      <c r="C35" s="385"/>
      <c r="D35" s="385"/>
      <c r="E35" s="385"/>
      <c r="F35" s="385"/>
      <c r="G35" s="385"/>
      <c r="H35" s="385"/>
      <c r="I35" s="385"/>
      <c r="J35" s="385"/>
      <c r="K35" s="385"/>
      <c r="L35" s="385"/>
    </row>
    <row r="36" spans="1:13">
      <c r="A36" s="385"/>
      <c r="B36" s="385"/>
      <c r="C36" s="385"/>
      <c r="D36" s="385"/>
      <c r="E36" s="385"/>
      <c r="F36" s="385"/>
      <c r="G36" s="385"/>
      <c r="H36" s="385"/>
      <c r="I36" s="385"/>
      <c r="J36" s="385"/>
      <c r="K36" s="385"/>
      <c r="L36" s="385"/>
    </row>
    <row r="37" spans="1:13">
      <c r="A37" s="385"/>
      <c r="B37" s="385"/>
      <c r="C37" s="385"/>
      <c r="D37" s="385"/>
      <c r="E37" s="385"/>
      <c r="F37" s="385"/>
      <c r="G37" s="385"/>
      <c r="H37" s="385"/>
      <c r="I37" s="385"/>
      <c r="J37" s="385"/>
      <c r="K37" s="385"/>
      <c r="L37" s="385"/>
    </row>
  </sheetData>
  <sheetProtection algorithmName="SHA-512" hashValue="N7BJrmEXVZkTaJUkail9xWz+pW6glLt6TvTTht/IqO5LECFdX0v74nsisTV/a2WSFetEyzaSwiVUe6COsgqe+g==" saltValue="hfVwvf38jwuArhIjMxp8NA==" spinCount="100000" sheet="1" formatColumns="0" formatRows="0" selectLockedCells="1" autoFilter="0" selectUnlockedCells="1"/>
  <mergeCells count="29">
    <mergeCell ref="A8:L8"/>
    <mergeCell ref="B9:L9"/>
    <mergeCell ref="B10:L10"/>
    <mergeCell ref="B11:L11"/>
    <mergeCell ref="B12:L12"/>
    <mergeCell ref="L1:L2"/>
    <mergeCell ref="B5:B6"/>
    <mergeCell ref="C5:E6"/>
    <mergeCell ref="G3:G4"/>
    <mergeCell ref="H3:J4"/>
    <mergeCell ref="A1:J1"/>
    <mergeCell ref="B3:B4"/>
    <mergeCell ref="C3:E4"/>
    <mergeCell ref="G5:G6"/>
    <mergeCell ref="H5:J6"/>
    <mergeCell ref="B13:L13"/>
    <mergeCell ref="B14:L14"/>
    <mergeCell ref="B15:L15"/>
    <mergeCell ref="B17:L17"/>
    <mergeCell ref="B16:L16"/>
    <mergeCell ref="B33:L33"/>
    <mergeCell ref="B18:L18"/>
    <mergeCell ref="B19:L19"/>
    <mergeCell ref="B20:L20"/>
    <mergeCell ref="A26:L26"/>
    <mergeCell ref="A24:L24"/>
    <mergeCell ref="B21:L21"/>
    <mergeCell ref="B22:L22"/>
    <mergeCell ref="B31:L31"/>
  </mergeCells>
  <conditionalFormatting sqref="B10:L10">
    <cfRule type="expression" dxfId="849" priority="13">
      <formula>$N$10=FALSE</formula>
    </cfRule>
  </conditionalFormatting>
  <conditionalFormatting sqref="B11:L11">
    <cfRule type="expression" dxfId="848" priority="12">
      <formula>$N$11=FALSE</formula>
    </cfRule>
  </conditionalFormatting>
  <conditionalFormatting sqref="B9:L9">
    <cfRule type="expression" dxfId="847" priority="14">
      <formula>$N$9=FALSE</formula>
    </cfRule>
  </conditionalFormatting>
  <conditionalFormatting sqref="B12:L12">
    <cfRule type="expression" dxfId="846" priority="11">
      <formula>$N$12=FALSE</formula>
    </cfRule>
  </conditionalFormatting>
  <conditionalFormatting sqref="B13:L13">
    <cfRule type="expression" dxfId="845" priority="10">
      <formula>$N$13=FALSE</formula>
    </cfRule>
  </conditionalFormatting>
  <conditionalFormatting sqref="B14:L14">
    <cfRule type="expression" dxfId="844" priority="9">
      <formula>$N$14=FALSE</formula>
    </cfRule>
  </conditionalFormatting>
  <conditionalFormatting sqref="B15:L15">
    <cfRule type="expression" dxfId="843" priority="8">
      <formula>$N$15=FALSE</formula>
    </cfRule>
  </conditionalFormatting>
  <conditionalFormatting sqref="B16:L16">
    <cfRule type="expression" dxfId="842" priority="7">
      <formula>$N$16=FALSE</formula>
    </cfRule>
  </conditionalFormatting>
  <conditionalFormatting sqref="B17:L17">
    <cfRule type="expression" dxfId="841" priority="6">
      <formula>$N$17=FALSE</formula>
    </cfRule>
  </conditionalFormatting>
  <conditionalFormatting sqref="B18:L18">
    <cfRule type="expression" dxfId="840" priority="5">
      <formula>$N$18=FALSE</formula>
    </cfRule>
  </conditionalFormatting>
  <conditionalFormatting sqref="B19:L19">
    <cfRule type="expression" dxfId="839" priority="4">
      <formula>$N$19=FALSE</formula>
    </cfRule>
  </conditionalFormatting>
  <conditionalFormatting sqref="B20:L20">
    <cfRule type="expression" dxfId="838" priority="3">
      <formula>$N$20=FALSE</formula>
    </cfRule>
  </conditionalFormatting>
  <conditionalFormatting sqref="B21:L21">
    <cfRule type="expression" dxfId="837" priority="2">
      <formula>$N$21=FALSE</formula>
    </cfRule>
  </conditionalFormatting>
  <conditionalFormatting sqref="B22:L22">
    <cfRule type="expression" dxfId="836"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6" r:id="rId4" name="Check Box 6">
              <controlPr defaultSize="0" autoFill="0" autoLine="0" autoPict="0">
                <anchor>
                  <from>
                    <xdr:col>0</xdr:col>
                    <xdr:colOff>171450</xdr:colOff>
                    <xdr:row>21</xdr:row>
                    <xdr:rowOff>419100</xdr:rowOff>
                  </from>
                  <to>
                    <xdr:col>0</xdr:col>
                    <xdr:colOff>361950</xdr:colOff>
                    <xdr:row>21</xdr:row>
                    <xdr:rowOff>704850</xdr:rowOff>
                  </to>
                </anchor>
              </controlPr>
            </control>
          </mc:Choice>
        </mc:AlternateContent>
        <mc:AlternateContent xmlns:mc="http://schemas.openxmlformats.org/markup-compatibility/2006">
          <mc:Choice Requires="x14">
            <control shapeId="15367" r:id="rId5" name="Check Box 7">
              <controlPr defaultSize="0" autoFill="0" autoLine="0" autoPict="0">
                <anchor>
                  <from>
                    <xdr:col>0</xdr:col>
                    <xdr:colOff>152400</xdr:colOff>
                    <xdr:row>19</xdr:row>
                    <xdr:rowOff>228600</xdr:rowOff>
                  </from>
                  <to>
                    <xdr:col>0</xdr:col>
                    <xdr:colOff>361950</xdr:colOff>
                    <xdr:row>19</xdr:row>
                    <xdr:rowOff>514350</xdr:rowOff>
                  </to>
                </anchor>
              </controlPr>
            </control>
          </mc:Choice>
        </mc:AlternateContent>
        <mc:AlternateContent xmlns:mc="http://schemas.openxmlformats.org/markup-compatibility/2006">
          <mc:Choice Requires="x14">
            <control shapeId="15368" r:id="rId6" name="Check Box 8">
              <controlPr defaultSize="0" autoFill="0" autoLine="0" autoPict="0">
                <anchor>
                  <from>
                    <xdr:col>0</xdr:col>
                    <xdr:colOff>152400</xdr:colOff>
                    <xdr:row>18</xdr:row>
                    <xdr:rowOff>228600</xdr:rowOff>
                  </from>
                  <to>
                    <xdr:col>0</xdr:col>
                    <xdr:colOff>361950</xdr:colOff>
                    <xdr:row>18</xdr:row>
                    <xdr:rowOff>533400</xdr:rowOff>
                  </to>
                </anchor>
              </controlPr>
            </control>
          </mc:Choice>
        </mc:AlternateContent>
        <mc:AlternateContent xmlns:mc="http://schemas.openxmlformats.org/markup-compatibility/2006">
          <mc:Choice Requires="x14">
            <control shapeId="15369" r:id="rId7" name="Check Box 9">
              <controlPr defaultSize="0" autoFill="0" autoLine="0" autoPict="0">
                <anchor>
                  <from>
                    <xdr:col>0</xdr:col>
                    <xdr:colOff>152400</xdr:colOff>
                    <xdr:row>16</xdr:row>
                    <xdr:rowOff>38100</xdr:rowOff>
                  </from>
                  <to>
                    <xdr:col>0</xdr:col>
                    <xdr:colOff>361950</xdr:colOff>
                    <xdr:row>16</xdr:row>
                    <xdr:rowOff>342900</xdr:rowOff>
                  </to>
                </anchor>
              </controlPr>
            </control>
          </mc:Choice>
        </mc:AlternateContent>
        <mc:AlternateContent xmlns:mc="http://schemas.openxmlformats.org/markup-compatibility/2006">
          <mc:Choice Requires="x14">
            <control shapeId="15370" r:id="rId8" name="Check Box 10">
              <controlPr defaultSize="0" autoFill="0" autoLine="0" autoPict="0">
                <anchor>
                  <from>
                    <xdr:col>0</xdr:col>
                    <xdr:colOff>152400</xdr:colOff>
                    <xdr:row>17</xdr:row>
                    <xdr:rowOff>57150</xdr:rowOff>
                  </from>
                  <to>
                    <xdr:col>0</xdr:col>
                    <xdr:colOff>342900</xdr:colOff>
                    <xdr:row>17</xdr:row>
                    <xdr:rowOff>361950</xdr:rowOff>
                  </to>
                </anchor>
              </controlPr>
            </control>
          </mc:Choice>
        </mc:AlternateContent>
        <mc:AlternateContent xmlns:mc="http://schemas.openxmlformats.org/markup-compatibility/2006">
          <mc:Choice Requires="x14">
            <control shapeId="15371" r:id="rId9" name="Check Box 11">
              <controlPr defaultSize="0" autoFill="0" autoLine="0" autoPict="0">
                <anchor>
                  <from>
                    <xdr:col>0</xdr:col>
                    <xdr:colOff>171450</xdr:colOff>
                    <xdr:row>20</xdr:row>
                    <xdr:rowOff>133350</xdr:rowOff>
                  </from>
                  <to>
                    <xdr:col>0</xdr:col>
                    <xdr:colOff>374650</xdr:colOff>
                    <xdr:row>20</xdr:row>
                    <xdr:rowOff>419100</xdr:rowOff>
                  </to>
                </anchor>
              </controlPr>
            </control>
          </mc:Choice>
        </mc:AlternateContent>
        <mc:AlternateContent xmlns:mc="http://schemas.openxmlformats.org/markup-compatibility/2006">
          <mc:Choice Requires="x14">
            <control shapeId="15372" r:id="rId10" name="Check Box 12">
              <controlPr defaultSize="0" autoFill="0" autoLine="0" autoPict="0">
                <anchor>
                  <from>
                    <xdr:col>0</xdr:col>
                    <xdr:colOff>152400</xdr:colOff>
                    <xdr:row>13</xdr:row>
                    <xdr:rowOff>171450</xdr:rowOff>
                  </from>
                  <to>
                    <xdr:col>0</xdr:col>
                    <xdr:colOff>361950</xdr:colOff>
                    <xdr:row>13</xdr:row>
                    <xdr:rowOff>476250</xdr:rowOff>
                  </to>
                </anchor>
              </controlPr>
            </control>
          </mc:Choice>
        </mc:AlternateContent>
        <mc:AlternateContent xmlns:mc="http://schemas.openxmlformats.org/markup-compatibility/2006">
          <mc:Choice Requires="x14">
            <control shapeId="15373" r:id="rId11" name="Check Box 13">
              <controlPr defaultSize="0" autoFill="0" autoLine="0" autoPict="0">
                <anchor>
                  <from>
                    <xdr:col>0</xdr:col>
                    <xdr:colOff>152400</xdr:colOff>
                    <xdr:row>14</xdr:row>
                    <xdr:rowOff>38100</xdr:rowOff>
                  </from>
                  <to>
                    <xdr:col>0</xdr:col>
                    <xdr:colOff>342900</xdr:colOff>
                    <xdr:row>14</xdr:row>
                    <xdr:rowOff>342900</xdr:rowOff>
                  </to>
                </anchor>
              </controlPr>
            </control>
          </mc:Choice>
        </mc:AlternateContent>
        <mc:AlternateContent xmlns:mc="http://schemas.openxmlformats.org/markup-compatibility/2006">
          <mc:Choice Requires="x14">
            <control shapeId="15374" r:id="rId12" name="Check Box 14">
              <controlPr defaultSize="0" autoFill="0" autoLine="0" autoPict="0">
                <anchor>
                  <from>
                    <xdr:col>0</xdr:col>
                    <xdr:colOff>152400</xdr:colOff>
                    <xdr:row>15</xdr:row>
                    <xdr:rowOff>38100</xdr:rowOff>
                  </from>
                  <to>
                    <xdr:col>0</xdr:col>
                    <xdr:colOff>342900</xdr:colOff>
                    <xdr:row>15</xdr:row>
                    <xdr:rowOff>342900</xdr:rowOff>
                  </to>
                </anchor>
              </controlPr>
            </control>
          </mc:Choice>
        </mc:AlternateContent>
        <mc:AlternateContent xmlns:mc="http://schemas.openxmlformats.org/markup-compatibility/2006">
          <mc:Choice Requires="x14">
            <control shapeId="15375" r:id="rId13" name="Check Box 15">
              <controlPr defaultSize="0" autoFill="0" autoLine="0" autoPict="0">
                <anchor>
                  <from>
                    <xdr:col>0</xdr:col>
                    <xdr:colOff>133350</xdr:colOff>
                    <xdr:row>8</xdr:row>
                    <xdr:rowOff>171450</xdr:rowOff>
                  </from>
                  <to>
                    <xdr:col>0</xdr:col>
                    <xdr:colOff>342900</xdr:colOff>
                    <xdr:row>8</xdr:row>
                    <xdr:rowOff>476250</xdr:rowOff>
                  </to>
                </anchor>
              </controlPr>
            </control>
          </mc:Choice>
        </mc:AlternateContent>
        <mc:AlternateContent xmlns:mc="http://schemas.openxmlformats.org/markup-compatibility/2006">
          <mc:Choice Requires="x14">
            <control shapeId="15376" r:id="rId14" name="Check Box 16">
              <controlPr defaultSize="0" autoFill="0" autoLine="0" autoPict="0">
                <anchor>
                  <from>
                    <xdr:col>0</xdr:col>
                    <xdr:colOff>133350</xdr:colOff>
                    <xdr:row>9</xdr:row>
                    <xdr:rowOff>38100</xdr:rowOff>
                  </from>
                  <to>
                    <xdr:col>0</xdr:col>
                    <xdr:colOff>342900</xdr:colOff>
                    <xdr:row>9</xdr:row>
                    <xdr:rowOff>342900</xdr:rowOff>
                  </to>
                </anchor>
              </controlPr>
            </control>
          </mc:Choice>
        </mc:AlternateContent>
        <mc:AlternateContent xmlns:mc="http://schemas.openxmlformats.org/markup-compatibility/2006">
          <mc:Choice Requires="x14">
            <control shapeId="15377" r:id="rId15" name="Check Box 17">
              <controlPr defaultSize="0" autoFill="0" autoLine="0" autoPict="0">
                <anchor>
                  <from>
                    <xdr:col>0</xdr:col>
                    <xdr:colOff>152400</xdr:colOff>
                    <xdr:row>10</xdr:row>
                    <xdr:rowOff>57150</xdr:rowOff>
                  </from>
                  <to>
                    <xdr:col>0</xdr:col>
                    <xdr:colOff>342900</xdr:colOff>
                    <xdr:row>10</xdr:row>
                    <xdr:rowOff>361950</xdr:rowOff>
                  </to>
                </anchor>
              </controlPr>
            </control>
          </mc:Choice>
        </mc:AlternateContent>
        <mc:AlternateContent xmlns:mc="http://schemas.openxmlformats.org/markup-compatibility/2006">
          <mc:Choice Requires="x14">
            <control shapeId="15378" r:id="rId16" name="Check Box 18">
              <controlPr defaultSize="0" autoFill="0" autoLine="0" autoPict="0">
                <anchor>
                  <from>
                    <xdr:col>0</xdr:col>
                    <xdr:colOff>152400</xdr:colOff>
                    <xdr:row>11</xdr:row>
                    <xdr:rowOff>76200</xdr:rowOff>
                  </from>
                  <to>
                    <xdr:col>0</xdr:col>
                    <xdr:colOff>361950</xdr:colOff>
                    <xdr:row>11</xdr:row>
                    <xdr:rowOff>361950</xdr:rowOff>
                  </to>
                </anchor>
              </controlPr>
            </control>
          </mc:Choice>
        </mc:AlternateContent>
        <mc:AlternateContent xmlns:mc="http://schemas.openxmlformats.org/markup-compatibility/2006">
          <mc:Choice Requires="x14">
            <control shapeId="15379" r:id="rId17" name="Check Box 19">
              <controlPr defaultSize="0" autoFill="0" autoLine="0" autoPict="0">
                <anchor>
                  <from>
                    <xdr:col>0</xdr:col>
                    <xdr:colOff>152400</xdr:colOff>
                    <xdr:row>12</xdr:row>
                    <xdr:rowOff>133350</xdr:rowOff>
                  </from>
                  <to>
                    <xdr:col>0</xdr:col>
                    <xdr:colOff>361950</xdr:colOff>
                    <xdr:row>13</xdr:row>
                    <xdr:rowOff>38100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
    <tabColor rgb="FFFF0000"/>
  </sheetPr>
  <dimension ref="A2:S166"/>
  <sheetViews>
    <sheetView showGridLines="0" workbookViewId="0">
      <selection activeCell="B2" sqref="B2:B6"/>
    </sheetView>
  </sheetViews>
  <sheetFormatPr baseColWidth="10" defaultColWidth="8.7265625" defaultRowHeight="14.5"/>
  <cols>
    <col min="1" max="1" width="29.26953125" customWidth="1"/>
    <col min="2" max="3" width="10.26953125" bestFit="1" customWidth="1"/>
    <col min="4" max="4" width="12.26953125" bestFit="1" customWidth="1"/>
    <col min="5" max="5" width="12.26953125" customWidth="1"/>
    <col min="6" max="6" width="22.26953125" bestFit="1" customWidth="1"/>
    <col min="7" max="7" width="36.26953125" bestFit="1" customWidth="1"/>
    <col min="8" max="8" width="26.26953125" bestFit="1" customWidth="1"/>
    <col min="10" max="10" width="12.26953125" bestFit="1" customWidth="1"/>
    <col min="12" max="12" width="47.26953125" bestFit="1" customWidth="1"/>
    <col min="13" max="13" width="17.26953125" bestFit="1" customWidth="1"/>
    <col min="14" max="14" width="27.26953125" bestFit="1" customWidth="1"/>
    <col min="16" max="16" width="52.26953125" bestFit="1" customWidth="1"/>
    <col min="17" max="17" width="20.26953125" customWidth="1"/>
    <col min="18" max="18" width="12.26953125" bestFit="1" customWidth="1"/>
  </cols>
  <sheetData>
    <row r="2" spans="1:19" ht="15.5">
      <c r="A2" s="1" t="s">
        <v>1</v>
      </c>
      <c r="B2" s="3" t="s">
        <v>15</v>
      </c>
      <c r="C2" s="3" t="s">
        <v>17</v>
      </c>
      <c r="D2" s="3" t="s">
        <v>3</v>
      </c>
      <c r="E2" s="3" t="s">
        <v>742</v>
      </c>
      <c r="F2" s="3" t="s">
        <v>24</v>
      </c>
      <c r="G2" s="3352" t="s">
        <v>743</v>
      </c>
      <c r="H2" s="3352"/>
      <c r="I2" s="3352"/>
      <c r="J2" s="3" t="s">
        <v>744</v>
      </c>
      <c r="K2" s="3352" t="s">
        <v>745</v>
      </c>
      <c r="L2" s="3352"/>
      <c r="M2" s="5" t="s">
        <v>746</v>
      </c>
      <c r="N2" s="5" t="s">
        <v>747</v>
      </c>
      <c r="O2" s="5" t="s">
        <v>748</v>
      </c>
      <c r="P2" s="5" t="s">
        <v>749</v>
      </c>
      <c r="Q2" s="5" t="s">
        <v>750</v>
      </c>
      <c r="R2" s="5" t="s">
        <v>751</v>
      </c>
      <c r="S2" s="5" t="s">
        <v>752</v>
      </c>
    </row>
    <row r="3" spans="1:19" ht="15.5">
      <c r="A3" s="2" t="s">
        <v>753</v>
      </c>
      <c r="B3" t="s">
        <v>16</v>
      </c>
      <c r="C3" t="s">
        <v>18</v>
      </c>
      <c r="D3" t="s">
        <v>690</v>
      </c>
      <c r="E3">
        <v>0</v>
      </c>
      <c r="F3" t="s">
        <v>754</v>
      </c>
      <c r="G3" t="s">
        <v>39</v>
      </c>
      <c r="H3" t="s">
        <v>755</v>
      </c>
      <c r="I3">
        <v>4.0999999999999996</v>
      </c>
      <c r="J3" t="s">
        <v>756</v>
      </c>
      <c r="K3" t="s">
        <v>756</v>
      </c>
      <c r="L3" t="s">
        <v>757</v>
      </c>
      <c r="M3" t="s">
        <v>758</v>
      </c>
      <c r="N3" t="s">
        <v>258</v>
      </c>
      <c r="O3" t="s">
        <v>90</v>
      </c>
      <c r="P3" t="s">
        <v>691</v>
      </c>
      <c r="Q3" t="s">
        <v>718</v>
      </c>
      <c r="R3" t="s">
        <v>720</v>
      </c>
      <c r="S3" t="s">
        <v>721</v>
      </c>
    </row>
    <row r="4" spans="1:19" ht="15.5">
      <c r="A4" s="2" t="s">
        <v>759</v>
      </c>
      <c r="B4" t="s">
        <v>3108</v>
      </c>
      <c r="C4" t="s">
        <v>53</v>
      </c>
      <c r="D4" t="s">
        <v>688</v>
      </c>
      <c r="E4">
        <v>1</v>
      </c>
      <c r="F4" t="s">
        <v>1040</v>
      </c>
      <c r="G4" t="s">
        <v>41</v>
      </c>
      <c r="H4" t="s">
        <v>760</v>
      </c>
      <c r="I4">
        <v>4.2</v>
      </c>
      <c r="J4" t="s">
        <v>702</v>
      </c>
      <c r="L4" t="s">
        <v>761</v>
      </c>
      <c r="M4" t="s">
        <v>762</v>
      </c>
      <c r="N4" t="s">
        <v>259</v>
      </c>
      <c r="O4" t="s">
        <v>93</v>
      </c>
      <c r="P4" t="s">
        <v>692</v>
      </c>
      <c r="Q4" t="s">
        <v>719</v>
      </c>
      <c r="R4" t="s">
        <v>721</v>
      </c>
      <c r="S4" t="s">
        <v>718</v>
      </c>
    </row>
    <row r="5" spans="1:19" ht="15.5">
      <c r="A5" s="2" t="s">
        <v>763</v>
      </c>
      <c r="B5" t="s">
        <v>764</v>
      </c>
      <c r="D5" t="s">
        <v>689</v>
      </c>
      <c r="E5">
        <v>2</v>
      </c>
      <c r="F5" t="s">
        <v>1041</v>
      </c>
      <c r="G5" t="s">
        <v>35</v>
      </c>
      <c r="H5" t="s">
        <v>19</v>
      </c>
      <c r="I5">
        <v>4.3</v>
      </c>
      <c r="J5" t="s">
        <v>701</v>
      </c>
      <c r="L5" t="s">
        <v>765</v>
      </c>
      <c r="M5" t="s">
        <v>766</v>
      </c>
      <c r="N5" t="s">
        <v>211</v>
      </c>
      <c r="S5" t="s">
        <v>722</v>
      </c>
    </row>
    <row r="6" spans="1:19" ht="15.5">
      <c r="A6" s="2" t="s">
        <v>767</v>
      </c>
      <c r="B6" t="s">
        <v>768</v>
      </c>
      <c r="D6" t="s">
        <v>19</v>
      </c>
      <c r="E6">
        <v>3</v>
      </c>
      <c r="F6" t="s">
        <v>1042</v>
      </c>
      <c r="G6" t="s">
        <v>139</v>
      </c>
      <c r="H6" t="s">
        <v>755</v>
      </c>
      <c r="I6">
        <v>4.4000000000000004</v>
      </c>
      <c r="J6" t="s">
        <v>769</v>
      </c>
      <c r="K6" t="s">
        <v>702</v>
      </c>
      <c r="L6" t="s">
        <v>770</v>
      </c>
      <c r="N6" t="s">
        <v>261</v>
      </c>
    </row>
    <row r="7" spans="1:19" ht="15.5">
      <c r="A7" s="2" t="s">
        <v>771</v>
      </c>
      <c r="E7">
        <v>4</v>
      </c>
      <c r="G7" t="s">
        <v>170</v>
      </c>
      <c r="H7" t="s">
        <v>755</v>
      </c>
      <c r="I7">
        <v>4.5</v>
      </c>
      <c r="J7" t="s">
        <v>703</v>
      </c>
      <c r="L7" t="s">
        <v>772</v>
      </c>
      <c r="N7" t="s">
        <v>263</v>
      </c>
    </row>
    <row r="8" spans="1:19" ht="15.5">
      <c r="A8" s="2" t="s">
        <v>773</v>
      </c>
      <c r="E8">
        <v>5</v>
      </c>
      <c r="F8" s="3" t="s">
        <v>31</v>
      </c>
      <c r="G8" t="s">
        <v>172</v>
      </c>
      <c r="H8" t="s">
        <v>774</v>
      </c>
      <c r="I8">
        <v>4.7</v>
      </c>
      <c r="J8" t="s">
        <v>704</v>
      </c>
      <c r="L8" t="s">
        <v>775</v>
      </c>
      <c r="N8" t="s">
        <v>264</v>
      </c>
    </row>
    <row r="9" spans="1:19" ht="15.5">
      <c r="A9" s="2" t="s">
        <v>776</v>
      </c>
      <c r="E9">
        <v>6</v>
      </c>
      <c r="F9" t="s">
        <v>777</v>
      </c>
      <c r="G9" t="s">
        <v>56</v>
      </c>
      <c r="H9" t="s">
        <v>19</v>
      </c>
      <c r="I9">
        <v>5.0999999999999996</v>
      </c>
      <c r="J9" t="s">
        <v>778</v>
      </c>
      <c r="K9" t="s">
        <v>701</v>
      </c>
      <c r="L9" t="s">
        <v>779</v>
      </c>
      <c r="N9" t="s">
        <v>265</v>
      </c>
    </row>
    <row r="10" spans="1:19" ht="15.5">
      <c r="A10" s="2" t="s">
        <v>780</v>
      </c>
      <c r="E10">
        <v>7</v>
      </c>
      <c r="F10" t="s">
        <v>36</v>
      </c>
      <c r="G10" t="s">
        <v>48</v>
      </c>
      <c r="H10" t="s">
        <v>755</v>
      </c>
      <c r="I10">
        <v>5.2</v>
      </c>
      <c r="J10" t="s">
        <v>52</v>
      </c>
      <c r="K10" t="s">
        <v>769</v>
      </c>
      <c r="L10" t="s">
        <v>781</v>
      </c>
      <c r="N10" t="s">
        <v>266</v>
      </c>
    </row>
    <row r="11" spans="1:19" ht="15.5">
      <c r="A11" s="2" t="s">
        <v>782</v>
      </c>
      <c r="E11">
        <v>8</v>
      </c>
      <c r="G11" t="s">
        <v>50</v>
      </c>
      <c r="H11" t="s">
        <v>755</v>
      </c>
      <c r="I11">
        <v>5.4</v>
      </c>
      <c r="L11" t="s">
        <v>783</v>
      </c>
      <c r="N11" t="s">
        <v>267</v>
      </c>
    </row>
    <row r="12" spans="1:19" ht="15.5">
      <c r="A12" s="2" t="s">
        <v>784</v>
      </c>
      <c r="E12">
        <v>9</v>
      </c>
      <c r="G12" t="s">
        <v>51</v>
      </c>
      <c r="H12" t="s">
        <v>19</v>
      </c>
      <c r="I12">
        <v>5.4</v>
      </c>
      <c r="K12" t="s">
        <v>703</v>
      </c>
      <c r="L12" t="s">
        <v>785</v>
      </c>
      <c r="N12" t="s">
        <v>268</v>
      </c>
    </row>
    <row r="13" spans="1:19" ht="15.5">
      <c r="A13" s="2" t="s">
        <v>786</v>
      </c>
      <c r="E13">
        <v>10</v>
      </c>
      <c r="G13" t="s">
        <v>57</v>
      </c>
      <c r="H13" t="s">
        <v>19</v>
      </c>
      <c r="I13">
        <v>5.5</v>
      </c>
      <c r="K13" t="s">
        <v>704</v>
      </c>
      <c r="L13" t="s">
        <v>787</v>
      </c>
      <c r="N13" t="s">
        <v>269</v>
      </c>
    </row>
    <row r="14" spans="1:19" ht="15.5">
      <c r="A14" s="2" t="s">
        <v>788</v>
      </c>
      <c r="E14">
        <v>11</v>
      </c>
      <c r="G14" t="s">
        <v>789</v>
      </c>
      <c r="H14" t="s">
        <v>755</v>
      </c>
      <c r="I14">
        <v>5.6</v>
      </c>
      <c r="K14" t="s">
        <v>778</v>
      </c>
      <c r="L14" t="s">
        <v>790</v>
      </c>
      <c r="N14" t="s">
        <v>270</v>
      </c>
    </row>
    <row r="15" spans="1:19" ht="15.5">
      <c r="A15" s="2" t="s">
        <v>791</v>
      </c>
      <c r="E15">
        <v>12</v>
      </c>
      <c r="G15" t="s">
        <v>792</v>
      </c>
      <c r="H15" t="s">
        <v>755</v>
      </c>
      <c r="I15">
        <v>5.6</v>
      </c>
      <c r="L15" t="s">
        <v>793</v>
      </c>
      <c r="N15" t="s">
        <v>271</v>
      </c>
    </row>
    <row r="16" spans="1:19" ht="15.5">
      <c r="A16" s="2" t="s">
        <v>794</v>
      </c>
      <c r="E16">
        <v>13</v>
      </c>
      <c r="G16" t="s">
        <v>795</v>
      </c>
      <c r="H16" t="s">
        <v>760</v>
      </c>
      <c r="I16">
        <v>5.6</v>
      </c>
      <c r="L16" t="s">
        <v>796</v>
      </c>
    </row>
    <row r="17" spans="1:12" ht="15.5">
      <c r="A17" s="2" t="s">
        <v>797</v>
      </c>
      <c r="E17">
        <v>14</v>
      </c>
      <c r="G17" t="s">
        <v>798</v>
      </c>
      <c r="H17" t="s">
        <v>760</v>
      </c>
      <c r="I17">
        <v>5.6</v>
      </c>
      <c r="L17" t="s">
        <v>799</v>
      </c>
    </row>
    <row r="18" spans="1:12" ht="15.5">
      <c r="A18" s="2" t="s">
        <v>800</v>
      </c>
      <c r="E18">
        <v>15</v>
      </c>
      <c r="G18" t="s">
        <v>59</v>
      </c>
      <c r="H18" t="s">
        <v>774</v>
      </c>
      <c r="I18">
        <v>5.6</v>
      </c>
      <c r="L18" t="s">
        <v>801</v>
      </c>
    </row>
    <row r="19" spans="1:12" ht="15.5">
      <c r="A19" s="2" t="s">
        <v>802</v>
      </c>
      <c r="E19">
        <v>16</v>
      </c>
      <c r="G19" t="s">
        <v>803</v>
      </c>
      <c r="H19" t="s">
        <v>774</v>
      </c>
      <c r="I19">
        <v>5.7</v>
      </c>
      <c r="L19" t="s">
        <v>804</v>
      </c>
    </row>
    <row r="20" spans="1:12" ht="15.5">
      <c r="A20" s="2" t="s">
        <v>805</v>
      </c>
      <c r="E20">
        <v>17</v>
      </c>
      <c r="G20" t="s">
        <v>60</v>
      </c>
      <c r="H20" t="s">
        <v>774</v>
      </c>
      <c r="I20">
        <v>5.8</v>
      </c>
      <c r="K20" t="s">
        <v>52</v>
      </c>
    </row>
    <row r="21" spans="1:12" ht="15.5">
      <c r="A21" s="2" t="s">
        <v>806</v>
      </c>
      <c r="E21">
        <v>18</v>
      </c>
      <c r="G21" t="s">
        <v>807</v>
      </c>
      <c r="H21" t="s">
        <v>755</v>
      </c>
      <c r="I21">
        <v>6.1</v>
      </c>
    </row>
    <row r="22" spans="1:12" ht="15.5">
      <c r="A22" s="2" t="s">
        <v>808</v>
      </c>
      <c r="E22">
        <v>19</v>
      </c>
      <c r="G22" t="s">
        <v>809</v>
      </c>
      <c r="H22" t="s">
        <v>755</v>
      </c>
      <c r="I22">
        <v>6.2</v>
      </c>
    </row>
    <row r="23" spans="1:12" ht="15.5">
      <c r="A23" s="2" t="s">
        <v>810</v>
      </c>
      <c r="E23">
        <v>20</v>
      </c>
      <c r="G23" t="s">
        <v>811</v>
      </c>
      <c r="H23" t="s">
        <v>812</v>
      </c>
      <c r="I23">
        <v>6.3</v>
      </c>
    </row>
    <row r="24" spans="1:12" ht="15.5">
      <c r="A24" s="2" t="s">
        <v>813</v>
      </c>
      <c r="E24">
        <v>21</v>
      </c>
      <c r="G24" t="s">
        <v>814</v>
      </c>
      <c r="H24" t="s">
        <v>760</v>
      </c>
      <c r="I24">
        <v>6.4</v>
      </c>
    </row>
    <row r="25" spans="1:12" ht="15.5">
      <c r="A25" s="2" t="s">
        <v>815</v>
      </c>
      <c r="E25">
        <v>22</v>
      </c>
      <c r="G25" t="s">
        <v>816</v>
      </c>
      <c r="H25" t="s">
        <v>760</v>
      </c>
      <c r="I25">
        <v>6.4</v>
      </c>
    </row>
    <row r="26" spans="1:12" ht="15.5">
      <c r="A26" s="2" t="s">
        <v>817</v>
      </c>
      <c r="E26">
        <v>23</v>
      </c>
      <c r="G26" t="s">
        <v>62</v>
      </c>
      <c r="H26" t="s">
        <v>774</v>
      </c>
      <c r="I26">
        <v>6.6</v>
      </c>
    </row>
    <row r="27" spans="1:12" ht="15.5">
      <c r="A27" s="2" t="s">
        <v>818</v>
      </c>
      <c r="E27">
        <v>24</v>
      </c>
    </row>
    <row r="28" spans="1:12" ht="15.5">
      <c r="A28" s="2" t="s">
        <v>819</v>
      </c>
      <c r="E28">
        <v>25</v>
      </c>
    </row>
    <row r="29" spans="1:12" ht="15.5">
      <c r="A29" s="2" t="s">
        <v>820</v>
      </c>
      <c r="E29">
        <v>26</v>
      </c>
    </row>
    <row r="30" spans="1:12" ht="15.5">
      <c r="A30" s="2" t="s">
        <v>821</v>
      </c>
      <c r="E30">
        <v>27</v>
      </c>
    </row>
    <row r="31" spans="1:12" ht="15.5">
      <c r="A31" s="2" t="s">
        <v>822</v>
      </c>
      <c r="E31">
        <v>28</v>
      </c>
    </row>
    <row r="32" spans="1:12" ht="15.5">
      <c r="A32" s="2" t="s">
        <v>823</v>
      </c>
      <c r="E32">
        <v>29</v>
      </c>
    </row>
    <row r="33" spans="1:5" ht="15.5">
      <c r="A33" s="2" t="s">
        <v>824</v>
      </c>
      <c r="E33">
        <v>30</v>
      </c>
    </row>
    <row r="34" spans="1:5" ht="15.5">
      <c r="A34" s="2" t="s">
        <v>825</v>
      </c>
      <c r="E34">
        <v>31</v>
      </c>
    </row>
    <row r="35" spans="1:5" ht="15.5">
      <c r="A35" s="2" t="s">
        <v>826</v>
      </c>
      <c r="E35">
        <v>32</v>
      </c>
    </row>
    <row r="36" spans="1:5" ht="15.5">
      <c r="A36" s="2" t="s">
        <v>827</v>
      </c>
      <c r="E36">
        <v>33</v>
      </c>
    </row>
    <row r="37" spans="1:5" ht="15.5">
      <c r="A37" s="2" t="s">
        <v>828</v>
      </c>
      <c r="E37">
        <v>34</v>
      </c>
    </row>
    <row r="38" spans="1:5" ht="15.5">
      <c r="A38" s="2" t="s">
        <v>829</v>
      </c>
      <c r="E38">
        <v>35</v>
      </c>
    </row>
    <row r="39" spans="1:5" ht="15.5">
      <c r="A39" s="2" t="s">
        <v>830</v>
      </c>
      <c r="E39">
        <v>36</v>
      </c>
    </row>
    <row r="40" spans="1:5" ht="15.5">
      <c r="A40" s="2" t="s">
        <v>831</v>
      </c>
      <c r="E40">
        <v>37</v>
      </c>
    </row>
    <row r="41" spans="1:5" ht="15.5">
      <c r="A41" s="2" t="s">
        <v>832</v>
      </c>
      <c r="E41">
        <v>38</v>
      </c>
    </row>
    <row r="42" spans="1:5" ht="15.5">
      <c r="A42" s="2" t="s">
        <v>833</v>
      </c>
      <c r="E42">
        <v>39</v>
      </c>
    </row>
    <row r="43" spans="1:5" ht="15.5">
      <c r="A43" s="2" t="s">
        <v>834</v>
      </c>
      <c r="E43">
        <v>40</v>
      </c>
    </row>
    <row r="44" spans="1:5" ht="15.5">
      <c r="A44" s="2" t="s">
        <v>835</v>
      </c>
      <c r="E44">
        <v>41</v>
      </c>
    </row>
    <row r="45" spans="1:5" ht="15.5">
      <c r="A45" s="2" t="s">
        <v>836</v>
      </c>
      <c r="E45">
        <v>42</v>
      </c>
    </row>
    <row r="46" spans="1:5" ht="15.5">
      <c r="A46" s="2" t="s">
        <v>837</v>
      </c>
      <c r="E46">
        <v>43</v>
      </c>
    </row>
    <row r="47" spans="1:5" ht="15.5">
      <c r="A47" s="2" t="s">
        <v>838</v>
      </c>
      <c r="E47">
        <v>44</v>
      </c>
    </row>
    <row r="48" spans="1:5" ht="15.5">
      <c r="A48" s="2" t="s">
        <v>839</v>
      </c>
      <c r="E48">
        <v>45</v>
      </c>
    </row>
    <row r="49" spans="1:5" ht="15.5">
      <c r="A49" s="2" t="s">
        <v>840</v>
      </c>
      <c r="E49">
        <v>46</v>
      </c>
    </row>
    <row r="50" spans="1:5" ht="15.5">
      <c r="A50" s="2" t="s">
        <v>841</v>
      </c>
      <c r="E50">
        <v>47</v>
      </c>
    </row>
    <row r="51" spans="1:5" ht="15.5">
      <c r="A51" s="2" t="s">
        <v>842</v>
      </c>
      <c r="E51">
        <v>48</v>
      </c>
    </row>
    <row r="52" spans="1:5" ht="15.5">
      <c r="A52" s="2" t="s">
        <v>843</v>
      </c>
      <c r="E52">
        <v>49</v>
      </c>
    </row>
    <row r="53" spans="1:5" ht="15.5">
      <c r="A53" s="2" t="s">
        <v>844</v>
      </c>
      <c r="E53">
        <v>50</v>
      </c>
    </row>
    <row r="54" spans="1:5" ht="15.5">
      <c r="A54" s="2" t="s">
        <v>845</v>
      </c>
      <c r="E54">
        <v>51</v>
      </c>
    </row>
    <row r="55" spans="1:5" ht="15.5">
      <c r="A55" s="2" t="s">
        <v>846</v>
      </c>
      <c r="E55">
        <v>52</v>
      </c>
    </row>
    <row r="56" spans="1:5" ht="15.5">
      <c r="A56" s="2" t="s">
        <v>847</v>
      </c>
      <c r="E56">
        <v>53</v>
      </c>
    </row>
    <row r="57" spans="1:5" ht="15.5">
      <c r="A57" s="2" t="s">
        <v>848</v>
      </c>
      <c r="E57">
        <v>54</v>
      </c>
    </row>
    <row r="58" spans="1:5" ht="15.5">
      <c r="A58" s="2" t="s">
        <v>849</v>
      </c>
      <c r="E58">
        <v>55</v>
      </c>
    </row>
    <row r="59" spans="1:5" ht="15.5">
      <c r="A59" s="2" t="s">
        <v>850</v>
      </c>
      <c r="E59">
        <v>56</v>
      </c>
    </row>
    <row r="60" spans="1:5" ht="15.5">
      <c r="A60" s="2" t="s">
        <v>851</v>
      </c>
      <c r="E60">
        <v>57</v>
      </c>
    </row>
    <row r="61" spans="1:5" ht="15.5">
      <c r="A61" s="2" t="s">
        <v>852</v>
      </c>
      <c r="E61">
        <v>58</v>
      </c>
    </row>
    <row r="62" spans="1:5" ht="15.5">
      <c r="A62" s="2" t="s">
        <v>853</v>
      </c>
      <c r="E62">
        <v>59</v>
      </c>
    </row>
    <row r="63" spans="1:5" ht="15.5">
      <c r="A63" s="2" t="s">
        <v>854</v>
      </c>
      <c r="E63">
        <v>60</v>
      </c>
    </row>
    <row r="64" spans="1:5" ht="15.5">
      <c r="A64" s="2" t="s">
        <v>855</v>
      </c>
      <c r="E64">
        <v>61</v>
      </c>
    </row>
    <row r="65" spans="1:5" ht="15.5">
      <c r="A65" s="2" t="s">
        <v>856</v>
      </c>
      <c r="E65">
        <v>62</v>
      </c>
    </row>
    <row r="66" spans="1:5" ht="15.5">
      <c r="A66" s="2" t="s">
        <v>857</v>
      </c>
      <c r="E66">
        <v>63</v>
      </c>
    </row>
    <row r="67" spans="1:5" ht="15.5">
      <c r="A67" s="2" t="s">
        <v>858</v>
      </c>
      <c r="E67">
        <v>64</v>
      </c>
    </row>
    <row r="68" spans="1:5" ht="15.5">
      <c r="A68" s="2" t="s">
        <v>859</v>
      </c>
      <c r="E68">
        <v>65</v>
      </c>
    </row>
    <row r="69" spans="1:5" ht="15.5">
      <c r="A69" s="2" t="s">
        <v>860</v>
      </c>
      <c r="E69">
        <v>66</v>
      </c>
    </row>
    <row r="70" spans="1:5" ht="15.5">
      <c r="A70" s="2" t="s">
        <v>861</v>
      </c>
      <c r="E70">
        <v>67</v>
      </c>
    </row>
    <row r="71" spans="1:5" ht="15.5">
      <c r="A71" s="2" t="s">
        <v>862</v>
      </c>
      <c r="E71">
        <v>68</v>
      </c>
    </row>
    <row r="72" spans="1:5" ht="15.5">
      <c r="A72" s="2" t="s">
        <v>863</v>
      </c>
      <c r="E72">
        <v>69</v>
      </c>
    </row>
    <row r="73" spans="1:5" ht="15.5">
      <c r="A73" s="2" t="s">
        <v>864</v>
      </c>
      <c r="E73">
        <v>70</v>
      </c>
    </row>
    <row r="74" spans="1:5" ht="15.5">
      <c r="A74" s="2" t="s">
        <v>865</v>
      </c>
      <c r="E74">
        <v>71</v>
      </c>
    </row>
    <row r="75" spans="1:5" ht="15.5">
      <c r="A75" s="2" t="s">
        <v>866</v>
      </c>
      <c r="E75">
        <v>72</v>
      </c>
    </row>
    <row r="76" spans="1:5" ht="15.5">
      <c r="A76" s="2" t="s">
        <v>867</v>
      </c>
      <c r="E76">
        <v>73</v>
      </c>
    </row>
    <row r="77" spans="1:5" ht="15.5">
      <c r="A77" s="2" t="s">
        <v>868</v>
      </c>
      <c r="E77">
        <v>74</v>
      </c>
    </row>
    <row r="78" spans="1:5" ht="15.5">
      <c r="A78" s="2" t="s">
        <v>869</v>
      </c>
      <c r="E78">
        <v>75</v>
      </c>
    </row>
    <row r="79" spans="1:5" ht="15.5">
      <c r="A79" s="2" t="s">
        <v>870</v>
      </c>
      <c r="E79">
        <v>76</v>
      </c>
    </row>
    <row r="80" spans="1:5" ht="15.5">
      <c r="A80" s="2" t="s">
        <v>871</v>
      </c>
      <c r="E80">
        <v>77</v>
      </c>
    </row>
    <row r="81" spans="1:5" ht="15.5">
      <c r="A81" s="2" t="s">
        <v>872</v>
      </c>
      <c r="E81">
        <v>78</v>
      </c>
    </row>
    <row r="82" spans="1:5" ht="15.5">
      <c r="A82" s="2" t="s">
        <v>873</v>
      </c>
      <c r="E82">
        <v>79</v>
      </c>
    </row>
    <row r="83" spans="1:5" ht="15.5">
      <c r="A83" s="2" t="s">
        <v>874</v>
      </c>
      <c r="E83">
        <v>80</v>
      </c>
    </row>
    <row r="84" spans="1:5" ht="15.5">
      <c r="A84" s="2" t="s">
        <v>875</v>
      </c>
      <c r="E84">
        <v>81</v>
      </c>
    </row>
    <row r="85" spans="1:5" ht="15.5">
      <c r="A85" s="2" t="s">
        <v>14</v>
      </c>
      <c r="E85">
        <v>82</v>
      </c>
    </row>
    <row r="86" spans="1:5" ht="15.5">
      <c r="A86" s="2" t="s">
        <v>876</v>
      </c>
      <c r="E86">
        <v>83</v>
      </c>
    </row>
    <row r="87" spans="1:5" ht="15.5">
      <c r="A87" s="2" t="s">
        <v>877</v>
      </c>
      <c r="E87">
        <v>84</v>
      </c>
    </row>
    <row r="88" spans="1:5" ht="15.5">
      <c r="A88" s="2" t="s">
        <v>878</v>
      </c>
      <c r="E88">
        <v>85</v>
      </c>
    </row>
    <row r="89" spans="1:5" ht="15.5">
      <c r="A89" s="2" t="s">
        <v>879</v>
      </c>
      <c r="E89">
        <v>86</v>
      </c>
    </row>
    <row r="90" spans="1:5" ht="15.5">
      <c r="A90" s="2" t="s">
        <v>880</v>
      </c>
      <c r="E90">
        <v>87</v>
      </c>
    </row>
    <row r="91" spans="1:5" ht="15.5">
      <c r="A91" s="2" t="s">
        <v>881</v>
      </c>
      <c r="E91">
        <v>88</v>
      </c>
    </row>
    <row r="92" spans="1:5" ht="15.5">
      <c r="A92" s="2" t="s">
        <v>882</v>
      </c>
      <c r="E92">
        <v>89</v>
      </c>
    </row>
    <row r="93" spans="1:5" ht="15.5">
      <c r="A93" s="2" t="s">
        <v>883</v>
      </c>
      <c r="E93">
        <v>90</v>
      </c>
    </row>
    <row r="94" spans="1:5" ht="15.5">
      <c r="A94" s="2" t="s">
        <v>884</v>
      </c>
      <c r="E94">
        <v>91</v>
      </c>
    </row>
    <row r="95" spans="1:5" ht="15.5">
      <c r="A95" s="2" t="s">
        <v>885</v>
      </c>
      <c r="E95">
        <v>92</v>
      </c>
    </row>
    <row r="96" spans="1:5" ht="15.5">
      <c r="A96" s="2" t="s">
        <v>886</v>
      </c>
      <c r="E96">
        <v>93</v>
      </c>
    </row>
    <row r="97" spans="1:5" ht="15.5">
      <c r="A97" s="2" t="s">
        <v>887</v>
      </c>
      <c r="E97">
        <v>94</v>
      </c>
    </row>
    <row r="98" spans="1:5" ht="15.5">
      <c r="A98" s="2" t="s">
        <v>888</v>
      </c>
      <c r="E98">
        <v>95</v>
      </c>
    </row>
    <row r="99" spans="1:5" ht="15.5">
      <c r="A99" s="2" t="s">
        <v>889</v>
      </c>
      <c r="E99">
        <v>96</v>
      </c>
    </row>
    <row r="100" spans="1:5" ht="15.5">
      <c r="A100" s="2" t="s">
        <v>890</v>
      </c>
      <c r="E100">
        <v>97</v>
      </c>
    </row>
    <row r="101" spans="1:5" ht="15.5">
      <c r="A101" s="2" t="s">
        <v>891</v>
      </c>
      <c r="E101">
        <v>98</v>
      </c>
    </row>
    <row r="102" spans="1:5" ht="15.5">
      <c r="A102" s="2" t="s">
        <v>892</v>
      </c>
      <c r="E102">
        <v>99</v>
      </c>
    </row>
    <row r="103" spans="1:5" ht="15.5">
      <c r="A103" s="2" t="s">
        <v>893</v>
      </c>
      <c r="E103">
        <v>100</v>
      </c>
    </row>
    <row r="104" spans="1:5" ht="15.5">
      <c r="A104" s="2" t="s">
        <v>894</v>
      </c>
      <c r="E104">
        <v>101</v>
      </c>
    </row>
    <row r="105" spans="1:5" ht="15.5">
      <c r="A105" s="2" t="s">
        <v>895</v>
      </c>
      <c r="E105">
        <v>102</v>
      </c>
    </row>
    <row r="106" spans="1:5" ht="15.5">
      <c r="A106" s="2" t="s">
        <v>896</v>
      </c>
      <c r="E106">
        <v>103</v>
      </c>
    </row>
    <row r="107" spans="1:5" ht="15.5">
      <c r="A107" s="2" t="s">
        <v>897</v>
      </c>
      <c r="E107">
        <v>104</v>
      </c>
    </row>
    <row r="108" spans="1:5" ht="15.5">
      <c r="A108" s="2" t="s">
        <v>898</v>
      </c>
      <c r="E108">
        <v>105</v>
      </c>
    </row>
    <row r="109" spans="1:5" ht="15.5">
      <c r="A109" s="2" t="s">
        <v>899</v>
      </c>
      <c r="E109">
        <v>106</v>
      </c>
    </row>
    <row r="110" spans="1:5" ht="15.5">
      <c r="A110" s="2" t="s">
        <v>900</v>
      </c>
      <c r="E110">
        <v>107</v>
      </c>
    </row>
    <row r="111" spans="1:5" ht="15.5">
      <c r="A111" s="2" t="s">
        <v>901</v>
      </c>
      <c r="E111">
        <v>108</v>
      </c>
    </row>
    <row r="112" spans="1:5" ht="15.5">
      <c r="A112" s="2" t="s">
        <v>902</v>
      </c>
      <c r="E112">
        <v>109</v>
      </c>
    </row>
    <row r="113" spans="1:5" ht="15.5">
      <c r="A113" s="2" t="s">
        <v>903</v>
      </c>
      <c r="E113">
        <v>110</v>
      </c>
    </row>
    <row r="114" spans="1:5" ht="15.5">
      <c r="A114" s="2" t="s">
        <v>904</v>
      </c>
      <c r="E114" s="6" t="s">
        <v>260</v>
      </c>
    </row>
    <row r="115" spans="1:5" ht="15.5">
      <c r="A115" s="2" t="s">
        <v>905</v>
      </c>
    </row>
    <row r="116" spans="1:5" ht="15.5">
      <c r="A116" s="2" t="s">
        <v>906</v>
      </c>
    </row>
    <row r="117" spans="1:5" ht="15.5">
      <c r="A117" s="2" t="s">
        <v>907</v>
      </c>
    </row>
    <row r="118" spans="1:5" ht="15.5">
      <c r="A118" s="2" t="s">
        <v>908</v>
      </c>
    </row>
    <row r="119" spans="1:5" ht="15.5">
      <c r="A119" s="2" t="s">
        <v>909</v>
      </c>
    </row>
    <row r="120" spans="1:5" ht="15.5">
      <c r="A120" s="2" t="s">
        <v>910</v>
      </c>
    </row>
    <row r="121" spans="1:5" ht="15.5">
      <c r="A121" s="2" t="s">
        <v>911</v>
      </c>
    </row>
    <row r="122" spans="1:5" ht="15.5">
      <c r="A122" s="2" t="s">
        <v>912</v>
      </c>
    </row>
    <row r="123" spans="1:5" ht="15.5">
      <c r="A123" s="2" t="s">
        <v>913</v>
      </c>
    </row>
    <row r="124" spans="1:5" ht="15.5">
      <c r="A124" s="2" t="s">
        <v>914</v>
      </c>
    </row>
    <row r="125" spans="1:5" ht="15.5">
      <c r="A125" s="2" t="s">
        <v>915</v>
      </c>
    </row>
    <row r="126" spans="1:5" ht="15.5">
      <c r="A126" s="2" t="s">
        <v>916</v>
      </c>
    </row>
    <row r="127" spans="1:5" ht="15.5">
      <c r="A127" s="2" t="s">
        <v>917</v>
      </c>
    </row>
    <row r="128" spans="1:5" ht="15.5">
      <c r="A128" s="2" t="s">
        <v>918</v>
      </c>
    </row>
    <row r="129" spans="1:1" ht="15.5">
      <c r="A129" s="2" t="s">
        <v>919</v>
      </c>
    </row>
    <row r="130" spans="1:1" ht="15.5">
      <c r="A130" s="2" t="s">
        <v>920</v>
      </c>
    </row>
    <row r="131" spans="1:1" ht="15.5">
      <c r="A131" s="2" t="s">
        <v>921</v>
      </c>
    </row>
    <row r="132" spans="1:1" ht="15.5">
      <c r="A132" s="2" t="s">
        <v>922</v>
      </c>
    </row>
    <row r="133" spans="1:1" ht="15.5">
      <c r="A133" s="2" t="s">
        <v>923</v>
      </c>
    </row>
    <row r="134" spans="1:1" ht="15.5">
      <c r="A134" s="2" t="s">
        <v>924</v>
      </c>
    </row>
    <row r="135" spans="1:1" ht="15.5">
      <c r="A135" s="2" t="s">
        <v>925</v>
      </c>
    </row>
    <row r="136" spans="1:1" ht="15.5">
      <c r="A136" s="2" t="s">
        <v>926</v>
      </c>
    </row>
    <row r="137" spans="1:1" ht="15.5">
      <c r="A137" s="2" t="s">
        <v>927</v>
      </c>
    </row>
    <row r="138" spans="1:1" ht="15.5">
      <c r="A138" s="2" t="s">
        <v>928</v>
      </c>
    </row>
    <row r="139" spans="1:1" ht="15.5">
      <c r="A139" s="2" t="s">
        <v>929</v>
      </c>
    </row>
    <row r="140" spans="1:1" ht="15.5">
      <c r="A140" s="2" t="s">
        <v>930</v>
      </c>
    </row>
    <row r="141" spans="1:1" ht="15.5">
      <c r="A141" s="2" t="s">
        <v>931</v>
      </c>
    </row>
    <row r="142" spans="1:1" ht="15.5">
      <c r="A142" s="2" t="s">
        <v>932</v>
      </c>
    </row>
    <row r="143" spans="1:1" ht="15.5">
      <c r="A143" s="2" t="s">
        <v>933</v>
      </c>
    </row>
    <row r="144" spans="1:1" ht="15.5">
      <c r="A144" s="2" t="s">
        <v>934</v>
      </c>
    </row>
    <row r="145" spans="1:1" ht="15.5">
      <c r="A145" s="2" t="s">
        <v>935</v>
      </c>
    </row>
    <row r="146" spans="1:1" ht="15.5">
      <c r="A146" s="2" t="s">
        <v>936</v>
      </c>
    </row>
    <row r="147" spans="1:1" ht="15.5">
      <c r="A147" s="2" t="s">
        <v>937</v>
      </c>
    </row>
    <row r="148" spans="1:1" ht="15.5">
      <c r="A148" s="2" t="s">
        <v>938</v>
      </c>
    </row>
    <row r="149" spans="1:1" ht="15.5">
      <c r="A149" s="2" t="s">
        <v>939</v>
      </c>
    </row>
    <row r="150" spans="1:1" ht="15.5">
      <c r="A150" s="2" t="s">
        <v>940</v>
      </c>
    </row>
    <row r="151" spans="1:1" ht="15.5">
      <c r="A151" s="2" t="s">
        <v>941</v>
      </c>
    </row>
    <row r="152" spans="1:1" ht="15.5">
      <c r="A152" s="2" t="s">
        <v>942</v>
      </c>
    </row>
    <row r="153" spans="1:1" ht="15.5">
      <c r="A153" s="2" t="s">
        <v>943</v>
      </c>
    </row>
    <row r="154" spans="1:1" ht="15.5">
      <c r="A154" s="2" t="s">
        <v>944</v>
      </c>
    </row>
    <row r="155" spans="1:1" ht="15.5">
      <c r="A155" s="2" t="s">
        <v>945</v>
      </c>
    </row>
    <row r="156" spans="1:1" ht="15.5">
      <c r="A156" s="2" t="s">
        <v>946</v>
      </c>
    </row>
    <row r="157" spans="1:1" ht="15.5">
      <c r="A157" s="2" t="s">
        <v>947</v>
      </c>
    </row>
    <row r="158" spans="1:1" ht="15.5">
      <c r="A158" s="2" t="s">
        <v>948</v>
      </c>
    </row>
    <row r="159" spans="1:1" ht="15.5">
      <c r="A159" s="2" t="s">
        <v>949</v>
      </c>
    </row>
    <row r="160" spans="1:1" ht="15.5">
      <c r="A160" s="2" t="s">
        <v>950</v>
      </c>
    </row>
    <row r="161" spans="1:1" ht="15.5">
      <c r="A161" s="2" t="s">
        <v>951</v>
      </c>
    </row>
    <row r="162" spans="1:1" ht="15.5">
      <c r="A162" s="2" t="s">
        <v>952</v>
      </c>
    </row>
    <row r="163" spans="1:1" ht="15.5">
      <c r="A163" s="2" t="s">
        <v>953</v>
      </c>
    </row>
    <row r="164" spans="1:1" ht="15.5">
      <c r="A164" s="2" t="s">
        <v>954</v>
      </c>
    </row>
    <row r="165" spans="1:1" ht="15.5">
      <c r="A165" s="2" t="s">
        <v>955</v>
      </c>
    </row>
    <row r="166" spans="1:1" ht="15.5">
      <c r="A166" s="2" t="s">
        <v>956</v>
      </c>
    </row>
  </sheetData>
  <sheetProtection algorithmName="SHA-512" hashValue="l4ky3tLhDSc+lMpOoz7HiSRe1f8z1AoY+3B+RQNTYnMOpv5CfI9fj5JZE8LbPn6v8/Z7yl0YVOQtOMHDEL8G3A==" saltValue="liiPVJ6TH+AsE4m2bbBg0Q==" spinCount="100000" sheet="1" objects="1" scenarios="1" formatColumns="0" formatRows="0" autoFilter="0"/>
  <sortState xmlns:xlrd2="http://schemas.microsoft.com/office/spreadsheetml/2017/richdata2" ref="N3:N12">
    <sortCondition ref="N3"/>
  </sortState>
  <mergeCells count="2">
    <mergeCell ref="G2:I2"/>
    <mergeCell ref="K2:L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249977111117893"/>
    <pageSetUpPr fitToPage="1"/>
  </sheetPr>
  <dimension ref="A1:U67"/>
  <sheetViews>
    <sheetView showGridLines="0" zoomScale="91" zoomScaleNormal="91" workbookViewId="0">
      <selection activeCell="K7" sqref="K7"/>
    </sheetView>
  </sheetViews>
  <sheetFormatPr baseColWidth="10" defaultColWidth="8.7265625" defaultRowHeight="14.5"/>
  <cols>
    <col min="1" max="1" width="9.26953125" style="35" bestFit="1" customWidth="1"/>
    <col min="2" max="2" width="37.26953125" style="35" hidden="1" customWidth="1"/>
    <col min="3" max="3" width="24" style="35" bestFit="1" customWidth="1"/>
    <col min="4" max="4" width="28.26953125" style="35" customWidth="1"/>
    <col min="5" max="5" width="19.54296875" style="35" customWidth="1"/>
    <col min="6" max="6" width="19.26953125" style="35" bestFit="1" customWidth="1"/>
    <col min="7" max="7" width="46.7265625" style="35" bestFit="1" customWidth="1"/>
    <col min="8" max="8" width="15.7265625" style="35" customWidth="1"/>
    <col min="9" max="9" width="30.26953125" style="35" customWidth="1"/>
    <col min="10" max="10" width="9.54296875" style="35" customWidth="1"/>
    <col min="11" max="11" width="15" style="35" customWidth="1"/>
    <col min="12" max="13" width="27.7265625" style="35" customWidth="1"/>
    <col min="14" max="15" width="13.26953125" style="35" customWidth="1"/>
    <col min="16" max="16" width="11" style="35" customWidth="1"/>
    <col min="17" max="17" width="12.26953125" style="35" customWidth="1"/>
    <col min="18" max="16384" width="8.7265625" style="35"/>
  </cols>
  <sheetData>
    <row r="1" spans="1:21" ht="41.25" customHeight="1" thickBot="1">
      <c r="A1" s="2139" t="str">
        <f>VLOOKUP(VLOOKUP($E$6,Language!$Q:$R,2,FALSE),Language!$D$2:$G$31,SETUP!$A$2,FALSE)</f>
        <v xml:space="preserve">Plantilla para la gestión de productos sanitarios: HIV - Configuración </v>
      </c>
      <c r="B1" s="2139"/>
      <c r="C1" s="2139"/>
      <c r="D1" s="2139"/>
      <c r="E1" s="2139"/>
      <c r="F1" s="2139"/>
      <c r="G1" s="2139"/>
      <c r="H1" s="2139"/>
      <c r="I1" s="2139"/>
      <c r="J1" s="2139"/>
      <c r="K1" s="2139"/>
      <c r="L1" s="2139"/>
      <c r="M1" s="2139"/>
      <c r="N1" s="49"/>
      <c r="O1" s="1264"/>
      <c r="P1" s="1264"/>
      <c r="Q1" s="1265"/>
      <c r="R1" s="1265"/>
      <c r="S1" s="1265"/>
      <c r="T1" s="1265"/>
      <c r="U1" s="1265"/>
    </row>
    <row r="2" spans="1:21" ht="22.9" customHeight="1" thickBot="1">
      <c r="A2" s="1853">
        <f>IF(E4="Spanish",3,IF(E4="French",4,2))</f>
        <v>3</v>
      </c>
      <c r="B2" s="36"/>
      <c r="C2" s="36"/>
      <c r="D2" s="36"/>
      <c r="E2" s="36"/>
      <c r="F2" s="36"/>
      <c r="G2" s="36"/>
      <c r="H2" s="48"/>
      <c r="I2" s="36"/>
      <c r="J2" s="36"/>
      <c r="K2" s="36"/>
      <c r="L2" s="49"/>
      <c r="M2" s="1291"/>
      <c r="N2" s="49"/>
      <c r="O2" s="1264"/>
      <c r="P2" s="1264"/>
      <c r="Q2" s="1265"/>
      <c r="R2" s="1265"/>
      <c r="S2" s="1265"/>
      <c r="T2" s="1265"/>
      <c r="U2" s="1265"/>
    </row>
    <row r="3" spans="1:21" ht="34.5" customHeight="1" thickBot="1">
      <c r="A3" s="1926" t="str">
        <f>IF($A$2=2,Language!$E$970,IF($A$2=3,Language!$F$970,Language!$G$970))</f>
        <v>Por favor complete la pestaña "CONFIGURACIÓN"</v>
      </c>
      <c r="C3" s="327"/>
      <c r="D3" s="1780" t="str">
        <f>VLOOKUP("COUNTRY:",Language!$D$2:$G$31,SETUP!$A$2,FALSE)</f>
        <v>PAÍS:</v>
      </c>
      <c r="E3" s="2151" t="s">
        <v>832</v>
      </c>
      <c r="F3" s="2152"/>
      <c r="G3" s="2153"/>
      <c r="H3" s="39"/>
      <c r="I3" s="2159" t="str">
        <f>VLOOKUP("VERSION of HPM template",Language!$D$2:$G$31,SETUP!$A$2,FALSE)</f>
        <v>VERSIÓN de la plantilla GPS</v>
      </c>
      <c r="J3" s="2160"/>
      <c r="K3" s="1281"/>
      <c r="L3" s="2147">
        <v>2</v>
      </c>
      <c r="M3" s="2148"/>
      <c r="N3" s="1274"/>
      <c r="O3" s="1266"/>
      <c r="P3" s="1267"/>
      <c r="Q3" s="1267"/>
      <c r="R3" s="1267"/>
      <c r="S3" s="1265"/>
      <c r="T3" s="1265"/>
      <c r="U3" s="1265"/>
    </row>
    <row r="4" spans="1:21" ht="34.5" customHeight="1" thickBot="1">
      <c r="A4" s="141"/>
      <c r="B4" s="327"/>
      <c r="C4" s="329"/>
      <c r="D4" s="1780" t="str">
        <f>VLOOKUP("LANGUAGE:",Language!$D$2:$G$31,SETUP!$A$2,FALSE)</f>
        <v>IDIOMA:</v>
      </c>
      <c r="E4" s="2151" t="s">
        <v>764</v>
      </c>
      <c r="F4" s="2152"/>
      <c r="G4" s="2153"/>
      <c r="H4" s="39"/>
      <c r="I4" s="2161" t="str">
        <f>VLOOKUP("LAST UPDATE (MM/DD/YYYY)",Language!$D$2:$G$31,SETUP!$A$2,FALSE)</f>
        <v>ÚLTIMA ACTUALIZACIÓN (MM/DD/AAAA)</v>
      </c>
      <c r="J4" s="2162"/>
      <c r="K4" s="2162"/>
      <c r="L4" s="2149">
        <v>44074</v>
      </c>
      <c r="M4" s="2150"/>
      <c r="N4" s="1274"/>
      <c r="O4" s="1267"/>
      <c r="P4" s="1267"/>
      <c r="Q4" s="1267"/>
      <c r="R4" s="1267"/>
      <c r="S4" s="1265"/>
      <c r="T4" s="1265"/>
      <c r="U4" s="1265"/>
    </row>
    <row r="5" spans="1:21" ht="34.5" customHeight="1" thickBot="1">
      <c r="A5" s="328"/>
      <c r="B5" s="329"/>
      <c r="C5" s="329"/>
      <c r="D5" s="1780" t="str">
        <f>VLOOKUP("CURRENCY:",Language!$D$2:$G$31,SETUP!$A$2,FALSE)</f>
        <v xml:space="preserve">MONEDA: </v>
      </c>
      <c r="E5" s="2169" t="s">
        <v>18</v>
      </c>
      <c r="F5" s="2170"/>
      <c r="G5" s="2171"/>
      <c r="H5" s="136"/>
      <c r="I5" s="48"/>
      <c r="J5" s="1273"/>
      <c r="K5" s="1284" t="str">
        <f>VLOOKUP("Please indicate PR Version in table below",Language!$D$2:$G$31,SETUP!$A$2,FALSE)</f>
        <v>Indique la versión de RP en la tabla siguiente</v>
      </c>
      <c r="L5"/>
      <c r="M5"/>
      <c r="N5" s="1274"/>
      <c r="O5" s="1267"/>
      <c r="P5" s="1267"/>
      <c r="Q5" s="1267"/>
      <c r="R5" s="1267"/>
      <c r="S5" s="1265"/>
      <c r="T5" s="1265"/>
      <c r="U5" s="1265"/>
    </row>
    <row r="6" spans="1:21" ht="44" thickBot="1">
      <c r="A6" s="1779"/>
      <c r="B6" s="327"/>
      <c r="C6" s="327"/>
      <c r="D6" s="1780" t="str">
        <f>VLOOKUP("COMPONENT:",Language!$D$2:$G$31,SETUP!$A$2,FALSE)</f>
        <v>COMPONENTE:</v>
      </c>
      <c r="E6" s="2154" t="s">
        <v>690</v>
      </c>
      <c r="F6" s="2155"/>
      <c r="G6" s="2156"/>
      <c r="H6" s="2157" t="str">
        <f>VLOOKUP("Please Fill PR Name in Box below, if NA in List",Language!$D$2:$G$31,SETUP!$A$2,FALSE)</f>
        <v>Escribir el nombre del RP en el cuadro de abajo, si no se incluye en la lista</v>
      </c>
      <c r="I6" s="2158"/>
      <c r="K6" s="1932" t="str">
        <f>VLOOKUP("Version",Language!$D$2:$G$31,$A$2,FALSE)</f>
        <v>Versión</v>
      </c>
      <c r="L6" s="1932" t="str">
        <f>VLOOKUP("PR Submission Date- Filled By PR",Language!$D$2:$G$31,$A$2,FALSE)</f>
        <v>Fecha de envío de RP: introducida por RP</v>
      </c>
      <c r="M6" s="1933" t="str">
        <f>VLOOKUP("HPM Approval Date- Filled by HPM",Language!$D$2:$G$31,$A$2,FALSE)</f>
        <v xml:space="preserve">Fecha de aprobación de GPS: introducida por el especialista de productos de salud del FM: </v>
      </c>
      <c r="N6" s="1275"/>
      <c r="O6" s="1267"/>
      <c r="P6" s="1267"/>
      <c r="Q6" s="1267"/>
      <c r="R6" s="1267"/>
      <c r="S6" s="1265"/>
      <c r="T6" s="1265"/>
      <c r="U6" s="1265"/>
    </row>
    <row r="7" spans="1:21" ht="15.75" customHeight="1" thickBot="1">
      <c r="A7" s="328"/>
      <c r="B7" s="329"/>
      <c r="C7" s="329"/>
      <c r="D7" s="2142" t="str">
        <f>VLOOKUP("PR:",Language!$D$2:$G$31,SETUP!$A$2,FALSE)</f>
        <v xml:space="preserve">RP: </v>
      </c>
      <c r="E7" s="2163" t="s">
        <v>2035</v>
      </c>
      <c r="F7" s="2164"/>
      <c r="G7" s="2165"/>
      <c r="H7" s="2175"/>
      <c r="I7" s="2176"/>
      <c r="J7"/>
      <c r="K7" s="2038"/>
      <c r="L7" s="2039"/>
      <c r="M7" s="2040"/>
      <c r="N7" s="1275"/>
      <c r="O7" s="1267"/>
      <c r="P7" s="1267"/>
      <c r="Q7" s="1267"/>
      <c r="R7" s="1267"/>
      <c r="S7" s="1265"/>
      <c r="T7" s="1265"/>
      <c r="U7" s="1265"/>
    </row>
    <row r="8" spans="1:21" ht="15.75" customHeight="1" thickBot="1">
      <c r="A8" s="328"/>
      <c r="B8" s="329"/>
      <c r="C8" s="329"/>
      <c r="D8" s="2142"/>
      <c r="E8" s="2166"/>
      <c r="F8" s="2167"/>
      <c r="G8" s="2168"/>
      <c r="H8" s="2177"/>
      <c r="I8" s="2178"/>
      <c r="J8"/>
      <c r="K8" s="2041"/>
      <c r="L8" s="2042"/>
      <c r="M8" s="2043"/>
      <c r="N8" s="1276"/>
      <c r="O8" s="1268"/>
      <c r="P8" s="1268"/>
      <c r="Q8" s="1268"/>
      <c r="R8" s="1268"/>
      <c r="S8" s="757">
        <v>0</v>
      </c>
      <c r="T8" s="1265"/>
      <c r="U8" s="1265"/>
    </row>
    <row r="9" spans="1:21" ht="15" thickBot="1">
      <c r="A9" s="328"/>
      <c r="B9" s="329"/>
      <c r="C9" s="329"/>
      <c r="D9" s="2142" t="str">
        <f>VLOOKUP("PR CONTACT:",Language!$D$2:$G$31,SETUP!$A$2,FALSE)</f>
        <v>CONTACTO DEL RP:</v>
      </c>
      <c r="E9" s="1781" t="str">
        <f>VLOOKUP("Full name:",Language!$D$2:$G$31,SETUP!$A$2,FALSE)</f>
        <v xml:space="preserve">Nombre completo: </v>
      </c>
      <c r="F9" s="2140"/>
      <c r="G9" s="2141"/>
      <c r="I9" s="48"/>
      <c r="J9" s="1273"/>
      <c r="K9" s="2038"/>
      <c r="L9" s="2039"/>
      <c r="M9" s="2040"/>
      <c r="N9" s="1272"/>
      <c r="O9" s="1269"/>
      <c r="P9" s="1269"/>
      <c r="Q9" s="1269"/>
      <c r="R9" s="1269"/>
      <c r="S9" s="757">
        <v>1</v>
      </c>
      <c r="T9" s="1265"/>
      <c r="U9" s="1265"/>
    </row>
    <row r="10" spans="1:21" ht="15" thickBot="1">
      <c r="A10" s="328"/>
      <c r="B10" s="329"/>
      <c r="C10" s="329"/>
      <c r="D10" s="2142"/>
      <c r="E10" s="1781" t="str">
        <f>VLOOKUP("Position:",Language!$D$2:$G$31,SETUP!$A$2,FALSE)</f>
        <v xml:space="preserve">Cargo: </v>
      </c>
      <c r="F10" s="2143"/>
      <c r="G10" s="2144"/>
      <c r="I10" s="28"/>
      <c r="J10" s="273"/>
      <c r="K10" s="2041"/>
      <c r="L10" s="2042"/>
      <c r="M10" s="2043"/>
      <c r="N10" s="1272"/>
      <c r="O10" s="1269"/>
      <c r="P10" s="1269"/>
      <c r="Q10" s="1269"/>
      <c r="R10" s="1269"/>
      <c r="S10" s="757">
        <v>2</v>
      </c>
      <c r="T10" s="1265"/>
      <c r="U10" s="1265"/>
    </row>
    <row r="11" spans="1:21" ht="15" thickBot="1">
      <c r="A11" s="274"/>
      <c r="B11" s="327"/>
      <c r="C11" s="327"/>
      <c r="D11" s="2142"/>
      <c r="E11" s="1781" t="str">
        <f>VLOOKUP("Email:",Language!$D$2:$G$31,SETUP!$A$2,FALSE)</f>
        <v xml:space="preserve">Correo electrónico: </v>
      </c>
      <c r="F11" s="2145"/>
      <c r="G11" s="2146"/>
      <c r="I11" s="28"/>
      <c r="J11" s="273"/>
      <c r="K11" s="2038"/>
      <c r="L11" s="2039"/>
      <c r="M11" s="2040"/>
      <c r="N11" s="1272"/>
      <c r="O11" s="1269"/>
      <c r="P11" s="1269"/>
      <c r="Q11" s="1269"/>
      <c r="R11" s="1269"/>
      <c r="S11" s="757">
        <v>3</v>
      </c>
      <c r="T11" s="1265"/>
      <c r="U11" s="1265"/>
    </row>
    <row r="12" spans="1:21" ht="15" thickBot="1">
      <c r="A12" s="531"/>
      <c r="B12" s="531"/>
      <c r="C12" s="531"/>
      <c r="D12" s="508"/>
      <c r="E12" s="508"/>
      <c r="F12" s="1282" t="str">
        <f>E3&amp;"_"&amp;E6&amp;"_"&amp;E5</f>
        <v>El Salvador_HIV_USD</v>
      </c>
      <c r="G12" s="1282"/>
      <c r="H12" s="2188" t="str">
        <f>VLOOKUP("Please Fill Grant Number in box below, if NA in List",Language!$D$2:$G$31,SETUP!$A$2,FALSE)</f>
        <v>Escribir el número de la subvención en el cuadro de abajo, si no se incluye en la lista</v>
      </c>
      <c r="I12" s="2158"/>
      <c r="J12" s="274"/>
      <c r="K12" s="2044"/>
      <c r="L12" s="2045"/>
      <c r="M12" s="2046"/>
      <c r="N12" s="1272"/>
      <c r="O12" s="1269"/>
      <c r="P12" s="1269"/>
      <c r="Q12" s="1265"/>
      <c r="R12" s="1265"/>
      <c r="S12" s="757">
        <v>4</v>
      </c>
      <c r="T12" s="1265"/>
      <c r="U12" s="1265"/>
    </row>
    <row r="13" spans="1:21" ht="30.75" customHeight="1" thickBot="1">
      <c r="A13" s="531"/>
      <c r="C13" s="649"/>
      <c r="D13" s="2189" t="str">
        <f>VLOOKUP("GRANT NUMBER:",Language!$D$2:$G$31,SETUP!$A$2,FALSE)</f>
        <v>NÚMERO DE LA SUBVENCIÓN:</v>
      </c>
      <c r="E13" s="2189"/>
      <c r="F13" s="2189"/>
      <c r="G13" s="2035" t="s">
        <v>2038</v>
      </c>
      <c r="H13" s="2186"/>
      <c r="I13" s="2187"/>
      <c r="J13"/>
      <c r="N13" s="1272"/>
      <c r="O13" s="1269"/>
      <c r="P13" s="1269"/>
      <c r="Q13" s="1265"/>
      <c r="R13" s="1265"/>
      <c r="S13" s="1270"/>
      <c r="T13" s="1265"/>
      <c r="U13" s="1265"/>
    </row>
    <row r="14" spans="1:21">
      <c r="A14" s="531"/>
      <c r="B14" s="531"/>
      <c r="C14" s="650"/>
      <c r="D14" s="1781" t="str">
        <f>VLOOKUP("Implementation Period Start Date (MM/DD/YYYY):",Language!$D$2:$G$31,SETUP!$A$2,FALSE)</f>
        <v>Fecha de inicio del período de ejecución (DD/MM/AAAA):</v>
      </c>
      <c r="E14" s="1781"/>
      <c r="F14" s="1782"/>
      <c r="G14" s="1283">
        <v>44562</v>
      </c>
      <c r="H14" s="1086"/>
      <c r="I14" s="138"/>
      <c r="J14" s="48"/>
      <c r="K14" s="48"/>
      <c r="L14" s="1271"/>
      <c r="M14" s="1271"/>
      <c r="N14" s="1262"/>
      <c r="O14" s="1269"/>
      <c r="P14" s="1269"/>
      <c r="Q14" s="1265"/>
      <c r="R14" s="1265"/>
      <c r="S14" s="1270"/>
      <c r="T14" s="1265"/>
      <c r="U14" s="1265"/>
    </row>
    <row r="15" spans="1:21">
      <c r="A15" s="531"/>
      <c r="B15" s="531"/>
      <c r="C15" s="650"/>
      <c r="D15" s="2189" t="str">
        <f>VLOOKUP("Implementation Period End Date (MM/DD/YYYY):",Language!$D$2:$G$31,SETUP!$A$2,FALSE)</f>
        <v>Fecha de finalización del período de ejecución (DD/MM/AAAA):</v>
      </c>
      <c r="E15" s="2189"/>
      <c r="F15" s="2189"/>
      <c r="G15" s="1283"/>
      <c r="I15" s="136"/>
      <c r="J15" s="28"/>
      <c r="K15" s="28"/>
      <c r="L15" s="1269"/>
      <c r="M15" s="1269"/>
      <c r="N15" s="1262"/>
      <c r="O15" s="1269"/>
      <c r="P15" s="1269"/>
      <c r="Q15" s="1265"/>
      <c r="R15" s="1265"/>
      <c r="S15" s="1270"/>
      <c r="T15" s="1265"/>
      <c r="U15" s="1265"/>
    </row>
    <row r="16" spans="1:21">
      <c r="A16" s="531"/>
      <c r="B16" s="531"/>
      <c r="C16" s="531"/>
      <c r="D16" s="531"/>
      <c r="E16" s="531"/>
      <c r="F16" s="531"/>
      <c r="G16" s="531"/>
      <c r="I16" s="136"/>
      <c r="J16" s="28"/>
      <c r="K16" s="28"/>
      <c r="L16" s="1269"/>
      <c r="M16" s="1269"/>
      <c r="N16" s="1262"/>
      <c r="O16" s="1269"/>
      <c r="P16" s="1269"/>
      <c r="Q16" s="1265"/>
      <c r="R16" s="1265"/>
      <c r="S16" s="1270"/>
      <c r="T16" s="1265"/>
      <c r="U16" s="1265"/>
    </row>
    <row r="17" spans="1:21">
      <c r="A17" s="531"/>
      <c r="B17" s="330"/>
      <c r="C17" s="1781" t="str">
        <f>VLOOKUP("PROCUREMENT ENTITY:",Language!$D$2:$G$31,SETUP!$A$2,FALSE)</f>
        <v>ENTIDAD ENCARGADA DE LAS ADQUISICIONES:</v>
      </c>
      <c r="D17" s="330"/>
      <c r="E17" s="330"/>
      <c r="F17" s="330"/>
      <c r="G17" s="36"/>
      <c r="I17" s="1120" t="s">
        <v>25</v>
      </c>
      <c r="J17" s="30"/>
      <c r="K17" s="29" t="s">
        <v>26</v>
      </c>
      <c r="L17" s="29" t="s">
        <v>2499</v>
      </c>
      <c r="M17" s="29" t="s">
        <v>27</v>
      </c>
      <c r="N17" s="1263"/>
      <c r="O17" s="29" t="s">
        <v>28</v>
      </c>
      <c r="P17" s="29"/>
      <c r="Q17" s="1265"/>
      <c r="R17" s="1265"/>
      <c r="S17" s="1265"/>
      <c r="T17" s="1265"/>
      <c r="U17" s="1265"/>
    </row>
    <row r="18" spans="1:21" ht="15" thickBot="1">
      <c r="A18" s="531"/>
      <c r="B18" s="330"/>
      <c r="C18" s="1119"/>
      <c r="D18" s="1119"/>
      <c r="E18" s="1119"/>
      <c r="F18" s="1119"/>
      <c r="G18" s="1119"/>
      <c r="I18" s="1121" t="s">
        <v>29</v>
      </c>
      <c r="J18" s="32"/>
      <c r="K18" s="31"/>
      <c r="L18" s="32"/>
      <c r="M18" s="31"/>
      <c r="N18" s="648"/>
      <c r="O18" s="31" t="s">
        <v>30</v>
      </c>
      <c r="P18" s="32"/>
      <c r="Q18" s="1265"/>
      <c r="R18" s="1265"/>
      <c r="S18" s="1265"/>
      <c r="T18" s="1265"/>
      <c r="U18" s="1265"/>
    </row>
    <row r="19" spans="1:21" ht="27" customHeight="1" thickBot="1">
      <c r="A19" s="531"/>
      <c r="B19" s="530" t="s">
        <v>1035</v>
      </c>
      <c r="C19" s="1306" t="str">
        <f>VLOOKUP("HPMT Worksheet",Language!$D$2:$G$31,SETUP!$A$2,FALSE)</f>
        <v>Categorías de costos de la plantilla GPS</v>
      </c>
      <c r="D19" s="1307" t="str">
        <f>VLOOKUP("HPM Costs",Language!$D$2:$G$31,SETUP!$A$2,FALSE)</f>
        <v>Costos de GPS</v>
      </c>
      <c r="E19" s="1306" t="str">
        <f>VLOOKUP("Procurement Entity",Language!$D$2:$G$31,SETUP!$A$2,FALSE)</f>
        <v>Entidad encargada de las adquisiciones</v>
      </c>
      <c r="F19" s="1306" t="str">
        <f>VLOOKUP("Payment Modality",Language!$D$2:$G$31,SETUP!$A$2,FALSE)</f>
        <v>Modalidad de pago</v>
      </c>
      <c r="G19" s="1292" t="str">
        <f>VLOOKUP("Delivery Lead Time (in quarters) (Min=1 &amp; Max=4)",Language!$D$2:$G$31,SETUP!$A$2,FALSE)</f>
        <v>Plazo de entrega (en trimestres) (Mín. = 1 y Máx. = 4)</v>
      </c>
      <c r="H19" s="534" t="s">
        <v>32</v>
      </c>
      <c r="I19" s="532"/>
      <c r="J19" s="507"/>
      <c r="K19" s="507"/>
      <c r="L19" s="1265"/>
      <c r="M19" s="1265"/>
      <c r="N19" s="507"/>
      <c r="O19" s="1265"/>
      <c r="P19" s="1265"/>
      <c r="Q19" s="1265"/>
      <c r="R19" s="1265"/>
      <c r="S19" s="1265"/>
      <c r="T19" s="1265"/>
      <c r="U19" s="1265"/>
    </row>
    <row r="20" spans="1:21">
      <c r="A20" s="531"/>
      <c r="B20" s="535" t="s">
        <v>436</v>
      </c>
      <c r="C20" s="2179" t="s">
        <v>1037</v>
      </c>
      <c r="D20" s="1305" t="s">
        <v>436</v>
      </c>
      <c r="E20" s="1543"/>
      <c r="F20" s="1783" t="s">
        <v>777</v>
      </c>
      <c r="G20" s="1544">
        <v>0</v>
      </c>
      <c r="H20" s="534" t="s">
        <v>33</v>
      </c>
      <c r="I20" s="532"/>
      <c r="J20" s="507"/>
      <c r="K20" s="507"/>
      <c r="L20" s="507"/>
      <c r="M20" s="507"/>
      <c r="N20" s="507"/>
      <c r="O20" s="1265"/>
      <c r="P20" s="1265"/>
      <c r="Q20" s="1265"/>
      <c r="R20" s="1265"/>
      <c r="S20" s="1265"/>
      <c r="T20" s="1265"/>
      <c r="U20" s="1265"/>
    </row>
    <row r="21" spans="1:21">
      <c r="A21" s="536" t="s">
        <v>34</v>
      </c>
      <c r="B21" s="535" t="s">
        <v>438</v>
      </c>
      <c r="C21" s="2180"/>
      <c r="D21" s="531" t="s">
        <v>44</v>
      </c>
      <c r="E21" s="1545"/>
      <c r="F21" s="1784" t="s">
        <v>777</v>
      </c>
      <c r="G21" s="1546">
        <v>2</v>
      </c>
      <c r="H21" s="534" t="s">
        <v>37</v>
      </c>
      <c r="I21" s="532"/>
      <c r="J21" s="507"/>
      <c r="K21" s="507"/>
      <c r="L21" s="507"/>
      <c r="M21" s="507"/>
      <c r="N21" s="507"/>
      <c r="O21" s="1265"/>
      <c r="P21" s="1265"/>
      <c r="Q21" s="1265"/>
      <c r="R21" s="1265"/>
      <c r="S21" s="1265"/>
      <c r="T21" s="1265"/>
      <c r="U21" s="1265"/>
    </row>
    <row r="22" spans="1:21">
      <c r="A22" s="536" t="s">
        <v>38</v>
      </c>
      <c r="B22" s="535" t="s">
        <v>437</v>
      </c>
      <c r="C22" s="2181"/>
      <c r="D22" s="1299" t="s">
        <v>2834</v>
      </c>
      <c r="E22" s="1547"/>
      <c r="F22" s="1785" t="s">
        <v>777</v>
      </c>
      <c r="G22" s="1548">
        <v>3</v>
      </c>
      <c r="H22" s="534" t="s">
        <v>40</v>
      </c>
      <c r="I22" s="532"/>
      <c r="J22" s="507"/>
      <c r="K22" s="507"/>
      <c r="L22" s="507"/>
      <c r="M22" s="507"/>
      <c r="N22" s="507"/>
      <c r="O22" s="507"/>
      <c r="P22" s="507"/>
      <c r="Q22" s="507"/>
      <c r="R22" s="507"/>
      <c r="S22" s="507"/>
      <c r="T22" s="507"/>
    </row>
    <row r="23" spans="1:21">
      <c r="A23" s="536" t="s">
        <v>38</v>
      </c>
      <c r="B23" s="537" t="s">
        <v>1449</v>
      </c>
      <c r="C23" s="1375" t="s">
        <v>1458</v>
      </c>
      <c r="D23" s="1300" t="s">
        <v>1390</v>
      </c>
      <c r="E23" s="1549"/>
      <c r="F23" s="1786" t="s">
        <v>777</v>
      </c>
      <c r="G23" s="1550">
        <v>3</v>
      </c>
      <c r="H23" s="534" t="s">
        <v>42</v>
      </c>
      <c r="I23" s="532"/>
      <c r="J23" s="507"/>
      <c r="K23" s="507"/>
      <c r="L23" s="507"/>
      <c r="M23" s="507"/>
      <c r="N23" s="507"/>
    </row>
    <row r="24" spans="1:21" hidden="1">
      <c r="A24" s="536" t="s">
        <v>43</v>
      </c>
      <c r="B24" s="537" t="s">
        <v>1448</v>
      </c>
      <c r="C24" s="1534"/>
      <c r="D24" s="1294"/>
      <c r="E24" s="1545"/>
      <c r="F24" s="1787"/>
      <c r="G24" s="1551"/>
      <c r="H24" s="1259" t="s">
        <v>45</v>
      </c>
      <c r="I24" s="532"/>
      <c r="J24" s="507"/>
      <c r="K24" s="507"/>
      <c r="L24" s="507"/>
      <c r="M24" s="507"/>
      <c r="N24" s="507"/>
    </row>
    <row r="25" spans="1:21" hidden="1">
      <c r="A25" s="536" t="s">
        <v>38</v>
      </c>
      <c r="B25" s="535" t="s">
        <v>1450</v>
      </c>
      <c r="C25" s="1534"/>
      <c r="D25" s="1294"/>
      <c r="E25" s="1545"/>
      <c r="F25" s="1787"/>
      <c r="G25" s="1551"/>
      <c r="H25" s="1259" t="s">
        <v>46</v>
      </c>
      <c r="I25" s="532"/>
      <c r="J25" s="507"/>
      <c r="K25" s="507"/>
      <c r="L25" s="507"/>
      <c r="M25" s="507"/>
      <c r="N25" s="507"/>
    </row>
    <row r="26" spans="1:21" hidden="1">
      <c r="A26" s="536"/>
      <c r="B26" s="535" t="s">
        <v>1451</v>
      </c>
      <c r="C26" s="1534"/>
      <c r="D26" s="1294"/>
      <c r="E26" s="1545"/>
      <c r="F26" s="1787"/>
      <c r="G26" s="1551"/>
      <c r="H26" s="1260"/>
      <c r="I26" s="136"/>
      <c r="J26" s="507"/>
      <c r="K26" s="507"/>
      <c r="L26" s="507"/>
      <c r="M26" s="507"/>
      <c r="N26" s="507"/>
    </row>
    <row r="27" spans="1:21" ht="15" customHeight="1">
      <c r="A27" s="536" t="s">
        <v>47</v>
      </c>
      <c r="B27" s="535" t="s">
        <v>693</v>
      </c>
      <c r="C27" s="2185" t="s">
        <v>1459</v>
      </c>
      <c r="D27" s="1298" t="s">
        <v>693</v>
      </c>
      <c r="E27" s="1552"/>
      <c r="F27" s="1788" t="s">
        <v>777</v>
      </c>
      <c r="G27" s="1553">
        <v>0</v>
      </c>
      <c r="H27" s="1261"/>
      <c r="I27" s="1122"/>
      <c r="J27" s="507"/>
      <c r="K27" s="507"/>
      <c r="L27" s="507"/>
      <c r="M27" s="507"/>
      <c r="N27" s="507"/>
    </row>
    <row r="28" spans="1:21" ht="15" customHeight="1">
      <c r="A28" s="536" t="s">
        <v>38</v>
      </c>
      <c r="B28" s="535" t="s">
        <v>217</v>
      </c>
      <c r="C28" s="2180"/>
      <c r="D28" s="531" t="s">
        <v>217</v>
      </c>
      <c r="E28" s="1554"/>
      <c r="F28" s="1784" t="s">
        <v>777</v>
      </c>
      <c r="G28" s="1546">
        <v>0</v>
      </c>
      <c r="H28" s="1261"/>
      <c r="I28" s="1123"/>
      <c r="J28" s="507"/>
      <c r="K28" s="507"/>
      <c r="L28" s="507"/>
      <c r="M28" s="507"/>
      <c r="N28" s="507"/>
    </row>
    <row r="29" spans="1:21">
      <c r="A29" s="536" t="s">
        <v>34</v>
      </c>
      <c r="B29" s="538" t="s">
        <v>441</v>
      </c>
      <c r="C29" s="2180"/>
      <c r="D29" s="1295" t="s">
        <v>441</v>
      </c>
      <c r="E29" s="1555"/>
      <c r="F29" s="1787" t="s">
        <v>777</v>
      </c>
      <c r="G29" s="1551">
        <v>0</v>
      </c>
      <c r="H29" s="1261"/>
      <c r="I29" s="533"/>
      <c r="J29" s="507"/>
      <c r="K29" s="507"/>
      <c r="L29" s="507"/>
      <c r="M29" s="507"/>
      <c r="N29" s="507"/>
    </row>
    <row r="30" spans="1:21">
      <c r="A30" s="536" t="s">
        <v>38</v>
      </c>
      <c r="B30" s="538" t="s">
        <v>1452</v>
      </c>
      <c r="C30" s="2180"/>
      <c r="D30" s="124" t="s">
        <v>1452</v>
      </c>
      <c r="E30" s="1554"/>
      <c r="F30" s="1784" t="s">
        <v>777</v>
      </c>
      <c r="G30" s="1546">
        <v>0</v>
      </c>
      <c r="H30" s="536"/>
      <c r="I30" s="314"/>
      <c r="J30" s="507"/>
      <c r="K30" s="507"/>
      <c r="L30" s="507"/>
      <c r="M30" s="507"/>
      <c r="N30" s="507"/>
    </row>
    <row r="31" spans="1:21">
      <c r="A31" s="536" t="s">
        <v>47</v>
      </c>
      <c r="B31" s="538" t="s">
        <v>442</v>
      </c>
      <c r="C31" s="2180"/>
      <c r="D31" s="1293" t="s">
        <v>1391</v>
      </c>
      <c r="E31" s="1555"/>
      <c r="F31" s="1787" t="s">
        <v>777</v>
      </c>
      <c r="G31" s="1551">
        <v>0</v>
      </c>
      <c r="H31" s="536"/>
      <c r="I31" s="314"/>
      <c r="J31" s="507"/>
      <c r="K31" s="507"/>
      <c r="L31" s="507"/>
      <c r="M31" s="507"/>
      <c r="N31" s="507"/>
    </row>
    <row r="32" spans="1:21">
      <c r="A32" s="536" t="s">
        <v>47</v>
      </c>
      <c r="B32" s="538" t="s">
        <v>1345</v>
      </c>
      <c r="C32" s="2180"/>
      <c r="D32" s="531" t="s">
        <v>443</v>
      </c>
      <c r="E32" s="1554"/>
      <c r="F32" s="1784" t="s">
        <v>777</v>
      </c>
      <c r="G32" s="1546">
        <v>0</v>
      </c>
      <c r="H32" s="536"/>
      <c r="I32" s="314"/>
      <c r="J32" s="507"/>
      <c r="K32" s="507"/>
      <c r="L32" s="507"/>
      <c r="M32" s="507"/>
      <c r="N32" s="507"/>
    </row>
    <row r="33" spans="1:14" ht="15" thickBot="1">
      <c r="A33" s="536"/>
      <c r="B33" s="538" t="s">
        <v>1453</v>
      </c>
      <c r="C33" s="2181"/>
      <c r="D33" s="1301" t="s">
        <v>1392</v>
      </c>
      <c r="E33" s="1556"/>
      <c r="F33" s="1785" t="s">
        <v>777</v>
      </c>
      <c r="G33" s="1548">
        <v>0</v>
      </c>
      <c r="H33" s="536"/>
      <c r="I33" s="314"/>
      <c r="J33" s="507"/>
      <c r="K33" s="507"/>
      <c r="L33" s="507"/>
      <c r="M33" s="507"/>
      <c r="N33" s="507"/>
    </row>
    <row r="34" spans="1:14" hidden="1">
      <c r="A34" s="536"/>
      <c r="B34" s="538" t="s">
        <v>1454</v>
      </c>
      <c r="C34" s="1534"/>
      <c r="D34" s="1294"/>
      <c r="E34" s="1554"/>
      <c r="F34" s="1787"/>
      <c r="G34" s="1551"/>
      <c r="H34" s="536"/>
      <c r="I34" s="314"/>
      <c r="J34" s="507"/>
      <c r="K34" s="507"/>
      <c r="L34" s="507"/>
      <c r="M34" s="507"/>
      <c r="N34" s="507"/>
    </row>
    <row r="35" spans="1:14" hidden="1">
      <c r="A35" s="536"/>
      <c r="B35" s="538" t="s">
        <v>1455</v>
      </c>
      <c r="C35" s="1534"/>
      <c r="D35" s="1294"/>
      <c r="E35" s="1554"/>
      <c r="F35" s="1787"/>
      <c r="G35" s="1551"/>
      <c r="H35" s="536"/>
      <c r="I35" s="314"/>
      <c r="J35" s="507"/>
      <c r="K35" s="507"/>
      <c r="L35" s="507"/>
      <c r="M35" s="507"/>
      <c r="N35" s="507"/>
    </row>
    <row r="36" spans="1:14" hidden="1">
      <c r="A36" s="536" t="s">
        <v>47</v>
      </c>
      <c r="B36" s="539" t="s">
        <v>1226</v>
      </c>
      <c r="C36" s="2193" t="s">
        <v>1038</v>
      </c>
      <c r="D36" s="1557" t="s">
        <v>445</v>
      </c>
      <c r="E36" s="1558"/>
      <c r="F36" s="1789" t="s">
        <v>777</v>
      </c>
      <c r="G36" s="1559">
        <v>0</v>
      </c>
      <c r="H36" s="536"/>
      <c r="I36" s="314"/>
      <c r="J36" s="507"/>
      <c r="K36" s="507"/>
      <c r="L36" s="507"/>
      <c r="M36" s="507"/>
      <c r="N36" s="507"/>
    </row>
    <row r="37" spans="1:14" ht="15" hidden="1" customHeight="1">
      <c r="A37" s="536" t="s">
        <v>47</v>
      </c>
      <c r="B37" s="539" t="s">
        <v>1361</v>
      </c>
      <c r="C37" s="2194"/>
      <c r="D37" s="1294"/>
      <c r="E37" s="1554"/>
      <c r="F37" s="1787"/>
      <c r="G37" s="1551"/>
      <c r="H37" s="536"/>
      <c r="I37" s="314"/>
      <c r="J37" s="507"/>
      <c r="K37" s="507"/>
      <c r="L37" s="507"/>
      <c r="M37" s="507"/>
      <c r="N37" s="507"/>
    </row>
    <row r="38" spans="1:14" hidden="1">
      <c r="A38" s="536" t="s">
        <v>54</v>
      </c>
      <c r="B38" s="539" t="s">
        <v>446</v>
      </c>
      <c r="C38" s="2194"/>
      <c r="D38" s="384" t="s">
        <v>446</v>
      </c>
      <c r="E38" s="1537"/>
      <c r="F38" s="1790" t="s">
        <v>777</v>
      </c>
      <c r="G38" s="1546">
        <v>0</v>
      </c>
      <c r="H38" s="536"/>
      <c r="I38" s="1122"/>
      <c r="J38" s="507"/>
      <c r="K38" s="507"/>
      <c r="L38" s="507"/>
      <c r="M38" s="507"/>
      <c r="N38" s="507"/>
    </row>
    <row r="39" spans="1:14" hidden="1">
      <c r="A39" s="536" t="s">
        <v>54</v>
      </c>
      <c r="B39" s="539" t="s">
        <v>1389</v>
      </c>
      <c r="C39" s="2195"/>
      <c r="D39" s="1560" t="s">
        <v>3044</v>
      </c>
      <c r="E39" s="1561"/>
      <c r="F39" s="1791" t="s">
        <v>777</v>
      </c>
      <c r="G39" s="1562">
        <v>0</v>
      </c>
      <c r="H39" s="536"/>
      <c r="I39" s="1123"/>
      <c r="J39" s="507"/>
      <c r="K39" s="507"/>
      <c r="L39" s="507"/>
      <c r="M39" s="507"/>
      <c r="N39" s="507"/>
    </row>
    <row r="40" spans="1:14" hidden="1">
      <c r="A40" s="536" t="s">
        <v>47</v>
      </c>
      <c r="B40" s="539" t="s">
        <v>1251</v>
      </c>
      <c r="C40" s="2193" t="s">
        <v>3052</v>
      </c>
      <c r="D40" s="1296" t="s">
        <v>1251</v>
      </c>
      <c r="E40" s="1563"/>
      <c r="F40" s="1789" t="s">
        <v>777</v>
      </c>
      <c r="G40" s="1564">
        <v>0</v>
      </c>
      <c r="H40" s="536"/>
      <c r="I40" s="314"/>
      <c r="J40" s="507"/>
      <c r="K40" s="507"/>
      <c r="L40" s="507"/>
      <c r="M40" s="507"/>
      <c r="N40" s="507"/>
    </row>
    <row r="41" spans="1:14" hidden="1">
      <c r="A41" s="536" t="s">
        <v>34</v>
      </c>
      <c r="B41" s="539" t="s">
        <v>1348</v>
      </c>
      <c r="C41" s="2194"/>
      <c r="D41" s="1294" t="s">
        <v>1348</v>
      </c>
      <c r="E41" s="2191"/>
      <c r="F41" s="1790" t="s">
        <v>777</v>
      </c>
      <c r="G41" s="1546">
        <v>0</v>
      </c>
      <c r="H41" s="536"/>
      <c r="I41" s="314"/>
      <c r="J41" s="507"/>
      <c r="K41" s="507"/>
      <c r="L41" s="507"/>
      <c r="M41" s="507"/>
      <c r="N41" s="507"/>
    </row>
    <row r="42" spans="1:14" ht="15" hidden="1" customHeight="1">
      <c r="A42" s="536" t="s">
        <v>34</v>
      </c>
      <c r="B42" s="540" t="s">
        <v>1349</v>
      </c>
      <c r="C42" s="2194"/>
      <c r="D42" s="1294"/>
      <c r="E42" s="2191"/>
      <c r="F42" s="1787"/>
      <c r="G42" s="1551"/>
      <c r="H42" s="536"/>
      <c r="I42" s="314"/>
      <c r="J42" s="507"/>
      <c r="K42" s="507"/>
      <c r="L42" s="507"/>
      <c r="M42" s="507"/>
      <c r="N42" s="507"/>
    </row>
    <row r="43" spans="1:14" hidden="1">
      <c r="A43" s="536" t="s">
        <v>58</v>
      </c>
      <c r="B43" s="540" t="s">
        <v>1354</v>
      </c>
      <c r="C43" s="2194"/>
      <c r="D43" s="1296" t="s">
        <v>1354</v>
      </c>
      <c r="E43" s="1563"/>
      <c r="F43" s="1792" t="s">
        <v>777</v>
      </c>
      <c r="G43" s="1564">
        <v>0</v>
      </c>
      <c r="H43" s="536"/>
      <c r="I43" s="314"/>
      <c r="J43" s="507"/>
      <c r="K43" s="507"/>
      <c r="L43" s="507"/>
      <c r="M43" s="507"/>
      <c r="N43" s="507"/>
    </row>
    <row r="44" spans="1:14" hidden="1">
      <c r="A44" s="536" t="s">
        <v>58</v>
      </c>
      <c r="B44" s="539" t="s">
        <v>1356</v>
      </c>
      <c r="C44" s="2194"/>
      <c r="D44" s="1294" t="s">
        <v>449</v>
      </c>
      <c r="E44" s="2191"/>
      <c r="F44" s="1793" t="s">
        <v>777</v>
      </c>
      <c r="G44" s="1546">
        <v>0</v>
      </c>
      <c r="H44" s="536"/>
      <c r="I44" s="314"/>
      <c r="J44" s="507"/>
      <c r="K44" s="507"/>
      <c r="L44" s="507"/>
      <c r="M44" s="507"/>
      <c r="N44" s="507"/>
    </row>
    <row r="45" spans="1:14" hidden="1">
      <c r="A45" s="536" t="s">
        <v>38</v>
      </c>
      <c r="B45" s="539" t="s">
        <v>1357</v>
      </c>
      <c r="C45" s="1535"/>
      <c r="D45" s="1294"/>
      <c r="E45" s="2191"/>
      <c r="F45" s="1787"/>
      <c r="G45" s="1551"/>
      <c r="H45" s="536"/>
      <c r="I45" s="314"/>
      <c r="J45" s="507"/>
      <c r="K45" s="507"/>
      <c r="L45" s="507"/>
      <c r="M45" s="507"/>
      <c r="N45" s="507"/>
    </row>
    <row r="46" spans="1:14" hidden="1">
      <c r="A46" s="536" t="s">
        <v>38</v>
      </c>
      <c r="B46" s="539" t="s">
        <v>1359</v>
      </c>
      <c r="C46" s="1535"/>
      <c r="D46" s="1294"/>
      <c r="E46" s="2191"/>
      <c r="F46" s="1787"/>
      <c r="G46" s="1551"/>
      <c r="H46" s="536"/>
      <c r="I46" s="314"/>
      <c r="J46" s="507"/>
      <c r="K46" s="507"/>
      <c r="L46" s="507"/>
      <c r="M46" s="507"/>
      <c r="N46" s="507"/>
    </row>
    <row r="47" spans="1:14" hidden="1">
      <c r="A47" s="536"/>
      <c r="B47" s="539" t="s">
        <v>1360</v>
      </c>
      <c r="C47" s="1535"/>
      <c r="D47" s="1294"/>
      <c r="E47" s="2191"/>
      <c r="F47" s="1787"/>
      <c r="G47" s="1551"/>
      <c r="H47" s="536"/>
      <c r="I47" s="314"/>
      <c r="J47" s="507"/>
      <c r="K47" s="507"/>
      <c r="L47" s="507"/>
      <c r="M47" s="507"/>
      <c r="N47" s="507"/>
    </row>
    <row r="48" spans="1:14" hidden="1">
      <c r="A48" s="536"/>
      <c r="B48" s="539" t="s">
        <v>1355</v>
      </c>
      <c r="C48" s="1535"/>
      <c r="D48" s="1294"/>
      <c r="E48" s="2191"/>
      <c r="F48" s="1787"/>
      <c r="G48" s="1551"/>
      <c r="H48" s="536"/>
      <c r="I48" s="314"/>
      <c r="J48" s="507"/>
      <c r="K48" s="507"/>
      <c r="L48" s="507"/>
      <c r="M48" s="507"/>
      <c r="N48" s="507"/>
    </row>
    <row r="49" spans="1:14" hidden="1">
      <c r="A49" s="536" t="s">
        <v>34</v>
      </c>
      <c r="B49" s="539" t="s">
        <v>1358</v>
      </c>
      <c r="C49" s="1536"/>
      <c r="D49" s="1302"/>
      <c r="E49" s="2192"/>
      <c r="F49" s="1785"/>
      <c r="G49" s="1548"/>
      <c r="H49" s="536"/>
      <c r="I49" s="314"/>
      <c r="J49" s="507"/>
      <c r="K49" s="507"/>
      <c r="L49" s="507"/>
      <c r="M49" s="507"/>
      <c r="N49" s="507"/>
    </row>
    <row r="50" spans="1:14" hidden="1">
      <c r="A50" s="536" t="s">
        <v>54</v>
      </c>
      <c r="B50" s="541" t="s">
        <v>451</v>
      </c>
      <c r="C50" s="2182" t="s">
        <v>687</v>
      </c>
      <c r="D50" s="1303" t="s">
        <v>451</v>
      </c>
      <c r="E50" s="1565"/>
      <c r="F50" s="1794" t="s">
        <v>777</v>
      </c>
      <c r="G50" s="1566">
        <v>0</v>
      </c>
      <c r="H50" s="536"/>
      <c r="I50" s="314"/>
      <c r="J50" s="507"/>
      <c r="K50" s="507"/>
      <c r="L50" s="507"/>
      <c r="M50" s="507"/>
      <c r="N50" s="507"/>
    </row>
    <row r="51" spans="1:14" hidden="1">
      <c r="A51" s="536" t="s">
        <v>54</v>
      </c>
      <c r="B51" s="541" t="s">
        <v>1029</v>
      </c>
      <c r="C51" s="2190"/>
      <c r="D51" s="1304" t="s">
        <v>1029</v>
      </c>
      <c r="E51" s="1567"/>
      <c r="F51" s="1795" t="s">
        <v>777</v>
      </c>
      <c r="G51" s="1568">
        <v>0</v>
      </c>
      <c r="H51" s="536"/>
      <c r="I51" s="314"/>
      <c r="J51" s="507"/>
      <c r="K51" s="507"/>
      <c r="L51" s="507"/>
      <c r="M51" s="507"/>
      <c r="N51" s="507"/>
    </row>
    <row r="52" spans="1:14" hidden="1">
      <c r="A52" s="536" t="s">
        <v>54</v>
      </c>
      <c r="B52" s="541" t="s">
        <v>1227</v>
      </c>
      <c r="C52" s="2182" t="s">
        <v>3053</v>
      </c>
      <c r="D52" s="1303" t="s">
        <v>1227</v>
      </c>
      <c r="E52" s="1565"/>
      <c r="F52" s="1794" t="s">
        <v>777</v>
      </c>
      <c r="G52" s="1566">
        <v>0</v>
      </c>
      <c r="H52" s="536"/>
      <c r="I52" s="314"/>
      <c r="J52" s="507"/>
      <c r="K52" s="507"/>
      <c r="L52" s="507"/>
      <c r="M52" s="507"/>
      <c r="N52" s="507"/>
    </row>
    <row r="53" spans="1:14" hidden="1">
      <c r="A53" s="536"/>
      <c r="B53" s="541" t="s">
        <v>1030</v>
      </c>
      <c r="C53" s="2183"/>
      <c r="D53" s="531" t="s">
        <v>1030</v>
      </c>
      <c r="E53" s="1569"/>
      <c r="F53" s="1784" t="s">
        <v>777</v>
      </c>
      <c r="G53" s="1546">
        <v>0</v>
      </c>
      <c r="H53" s="536"/>
      <c r="I53" s="314"/>
    </row>
    <row r="54" spans="1:14" hidden="1">
      <c r="A54" s="536" t="s">
        <v>38</v>
      </c>
      <c r="B54" s="541" t="s">
        <v>456</v>
      </c>
      <c r="C54" s="2183"/>
      <c r="D54" s="1297" t="s">
        <v>456</v>
      </c>
      <c r="E54" s="1538"/>
      <c r="F54" s="1796" t="s">
        <v>777</v>
      </c>
      <c r="G54" s="1570">
        <v>0</v>
      </c>
      <c r="H54" s="536"/>
      <c r="I54" s="314"/>
    </row>
    <row r="55" spans="1:14" hidden="1">
      <c r="A55" s="536" t="s">
        <v>47</v>
      </c>
      <c r="B55" s="541" t="s">
        <v>457</v>
      </c>
      <c r="C55" s="2183"/>
      <c r="D55" s="531" t="s">
        <v>457</v>
      </c>
      <c r="E55" s="1569"/>
      <c r="F55" s="1784" t="s">
        <v>777</v>
      </c>
      <c r="G55" s="1546">
        <v>0</v>
      </c>
      <c r="H55" s="536"/>
      <c r="I55" s="314"/>
    </row>
    <row r="56" spans="1:14" hidden="1">
      <c r="A56" s="536" t="s">
        <v>47</v>
      </c>
      <c r="B56" s="541" t="s">
        <v>458</v>
      </c>
      <c r="C56" s="2183"/>
      <c r="D56" s="1297" t="s">
        <v>458</v>
      </c>
      <c r="E56" s="1538"/>
      <c r="F56" s="1796" t="s">
        <v>777</v>
      </c>
      <c r="G56" s="1570">
        <v>0</v>
      </c>
      <c r="H56" s="536"/>
      <c r="I56" s="314"/>
    </row>
    <row r="57" spans="1:14" hidden="1">
      <c r="A57" s="536" t="s">
        <v>38</v>
      </c>
      <c r="B57" s="541" t="s">
        <v>1228</v>
      </c>
      <c r="C57" s="2183"/>
      <c r="D57" s="531" t="s">
        <v>429</v>
      </c>
      <c r="E57" s="1569"/>
      <c r="F57" s="1784" t="s">
        <v>777</v>
      </c>
      <c r="G57" s="1546">
        <v>0</v>
      </c>
      <c r="H57" s="536"/>
      <c r="I57" s="314"/>
    </row>
    <row r="58" spans="1:14" ht="15" hidden="1" thickBot="1">
      <c r="A58" s="536" t="s">
        <v>34</v>
      </c>
      <c r="B58" s="541" t="s">
        <v>1229</v>
      </c>
      <c r="C58" s="2184"/>
      <c r="D58" s="1571" t="s">
        <v>459</v>
      </c>
      <c r="E58" s="1572"/>
      <c r="F58" s="1797" t="s">
        <v>777</v>
      </c>
      <c r="G58" s="1573">
        <v>0</v>
      </c>
      <c r="H58" s="536"/>
      <c r="I58" s="314"/>
    </row>
    <row r="59" spans="1:14">
      <c r="A59" s="536" t="s">
        <v>34</v>
      </c>
      <c r="B59" s="541" t="s">
        <v>1230</v>
      </c>
      <c r="C59" s="2172" t="s">
        <v>2680</v>
      </c>
      <c r="D59" s="1540" t="s">
        <v>2694</v>
      </c>
      <c r="E59" s="1541"/>
      <c r="F59" s="1798" t="s">
        <v>777</v>
      </c>
      <c r="G59" s="1542">
        <v>0</v>
      </c>
      <c r="H59" s="536"/>
      <c r="I59" s="314"/>
    </row>
    <row r="60" spans="1:14">
      <c r="A60" s="536" t="s">
        <v>54</v>
      </c>
      <c r="B60" s="541" t="s">
        <v>1231</v>
      </c>
      <c r="C60" s="2173"/>
      <c r="D60" s="1711" t="s">
        <v>3073</v>
      </c>
      <c r="E60" s="1712"/>
      <c r="F60" s="1799" t="s">
        <v>777</v>
      </c>
      <c r="G60" s="1713">
        <v>0</v>
      </c>
      <c r="H60" s="536"/>
      <c r="I60" s="314"/>
    </row>
    <row r="61" spans="1:14">
      <c r="A61" s="531"/>
      <c r="B61" s="541" t="s">
        <v>1232</v>
      </c>
      <c r="C61" s="2173"/>
      <c r="D61" s="384" t="s">
        <v>2701</v>
      </c>
      <c r="E61" s="1539"/>
      <c r="F61" s="1800" t="s">
        <v>777</v>
      </c>
      <c r="G61" s="1576">
        <v>0</v>
      </c>
      <c r="H61" s="531"/>
      <c r="I61" s="136"/>
    </row>
    <row r="62" spans="1:14" ht="15" thickBot="1">
      <c r="A62" s="531"/>
      <c r="B62" s="1574" t="s">
        <v>2694</v>
      </c>
      <c r="C62" s="2174"/>
      <c r="D62" s="1714" t="s">
        <v>2692</v>
      </c>
      <c r="E62" s="1714"/>
      <c r="F62" s="2036" t="s">
        <v>777</v>
      </c>
      <c r="G62" s="2037">
        <v>0</v>
      </c>
      <c r="H62" s="531"/>
    </row>
    <row r="63" spans="1:14">
      <c r="A63" s="531"/>
      <c r="B63" s="1574" t="s">
        <v>3073</v>
      </c>
      <c r="C63" s="531"/>
      <c r="D63" s="531"/>
      <c r="E63" s="531"/>
      <c r="F63" s="1279"/>
      <c r="G63" s="531"/>
      <c r="H63" s="531"/>
    </row>
    <row r="64" spans="1:14">
      <c r="A64" s="531"/>
      <c r="B64" s="1574" t="s">
        <v>2701</v>
      </c>
      <c r="C64" s="531"/>
      <c r="D64" s="531"/>
      <c r="E64" s="531"/>
      <c r="F64" s="1279"/>
      <c r="G64" s="531"/>
      <c r="H64" s="531"/>
    </row>
    <row r="65" spans="1:8">
      <c r="A65" s="531"/>
      <c r="B65" s="1574" t="s">
        <v>2692</v>
      </c>
      <c r="C65" s="531"/>
      <c r="D65" s="531"/>
      <c r="E65" s="531"/>
      <c r="F65" s="1279"/>
      <c r="G65" s="531"/>
      <c r="H65" s="531"/>
    </row>
    <row r="66" spans="1:8">
      <c r="A66" s="531"/>
      <c r="B66" s="531"/>
      <c r="C66" s="531"/>
      <c r="D66" s="531"/>
      <c r="E66" s="531"/>
      <c r="F66" s="1279"/>
      <c r="G66" s="531"/>
      <c r="H66" s="531"/>
    </row>
    <row r="67" spans="1:8">
      <c r="A67" s="531"/>
      <c r="B67" s="531"/>
      <c r="C67" s="531"/>
      <c r="D67" s="531"/>
      <c r="E67" s="531"/>
      <c r="F67" s="1279"/>
      <c r="G67" s="531"/>
      <c r="H67" s="531"/>
    </row>
  </sheetData>
  <sheetProtection algorithmName="SHA-512" hashValue="e3+aLpt7JIvGiJ+OQs+BKH0mTEjIZJ0CmlM3pU8ib+yMzixihFTITj5xD10RAN598D6wmj9uh0mWFUpG7stxCg==" saltValue="tcokUmhNSsgj6/4YHaVd1A==" spinCount="100000" sheet="1" selectLockedCells="1" autoFilter="0"/>
  <mergeCells count="30">
    <mergeCell ref="C59:C62"/>
    <mergeCell ref="H7:I8"/>
    <mergeCell ref="C20:C22"/>
    <mergeCell ref="C52:C58"/>
    <mergeCell ref="C27:C33"/>
    <mergeCell ref="H13:I13"/>
    <mergeCell ref="H12:I12"/>
    <mergeCell ref="D13:F13"/>
    <mergeCell ref="D15:F15"/>
    <mergeCell ref="C50:C51"/>
    <mergeCell ref="E41:E42"/>
    <mergeCell ref="E44:E49"/>
    <mergeCell ref="C36:C39"/>
    <mergeCell ref="C40:C44"/>
    <mergeCell ref="A1:M1"/>
    <mergeCell ref="F9:G9"/>
    <mergeCell ref="D9:D11"/>
    <mergeCell ref="F10:G10"/>
    <mergeCell ref="F11:G11"/>
    <mergeCell ref="L3:M3"/>
    <mergeCell ref="L4:M4"/>
    <mergeCell ref="E3:G3"/>
    <mergeCell ref="E4:G4"/>
    <mergeCell ref="E6:G6"/>
    <mergeCell ref="H6:I6"/>
    <mergeCell ref="I3:J3"/>
    <mergeCell ref="D7:D8"/>
    <mergeCell ref="I4:K4"/>
    <mergeCell ref="E7:G8"/>
    <mergeCell ref="E5:G5"/>
  </mergeCells>
  <conditionalFormatting sqref="G20:G35 G40:G58 G37:G38">
    <cfRule type="expression" dxfId="835" priority="18">
      <formula>AND(F20&lt;&gt;"Upfront",G20=0)</formula>
    </cfRule>
  </conditionalFormatting>
  <conditionalFormatting sqref="F20:G35 F42:G42 F37:G37 G38 G40:G41 F45:G58 G43:G44">
    <cfRule type="expression" dxfId="834" priority="23">
      <formula>ISBLANK(F20)</formula>
    </cfRule>
  </conditionalFormatting>
  <conditionalFormatting sqref="G36">
    <cfRule type="expression" dxfId="833" priority="11">
      <formula>AND(F36&lt;&gt;"Upfront",G36=0)</formula>
    </cfRule>
  </conditionalFormatting>
  <conditionalFormatting sqref="F36:G36">
    <cfRule type="expression" dxfId="832" priority="12">
      <formula>ISBLANK(F36)</formula>
    </cfRule>
  </conditionalFormatting>
  <conditionalFormatting sqref="G39">
    <cfRule type="expression" dxfId="831" priority="13">
      <formula>AND(F39&lt;&gt;"Upfront",G39=0)</formula>
    </cfRule>
  </conditionalFormatting>
  <conditionalFormatting sqref="G39">
    <cfRule type="expression" dxfId="830" priority="14">
      <formula>ISBLANK(G39)</formula>
    </cfRule>
  </conditionalFormatting>
  <conditionalFormatting sqref="F38">
    <cfRule type="expression" dxfId="829" priority="10">
      <formula>ISBLANK(F38)</formula>
    </cfRule>
  </conditionalFormatting>
  <conditionalFormatting sqref="F39">
    <cfRule type="expression" dxfId="828" priority="9">
      <formula>ISBLANK(F39)</formula>
    </cfRule>
  </conditionalFormatting>
  <conditionalFormatting sqref="F40">
    <cfRule type="expression" dxfId="827" priority="8">
      <formula>ISBLANK(F40)</formula>
    </cfRule>
  </conditionalFormatting>
  <conditionalFormatting sqref="F41">
    <cfRule type="expression" dxfId="826" priority="7">
      <formula>ISBLANK(F41)</formula>
    </cfRule>
  </conditionalFormatting>
  <conditionalFormatting sqref="F43">
    <cfRule type="expression" dxfId="825" priority="6">
      <formula>ISBLANK(F43)</formula>
    </cfRule>
  </conditionalFormatting>
  <conditionalFormatting sqref="F44">
    <cfRule type="expression" dxfId="824" priority="5">
      <formula>ISBLANK(F44)</formula>
    </cfRule>
  </conditionalFormatting>
  <conditionalFormatting sqref="E7">
    <cfRule type="expression" dxfId="823" priority="3">
      <formula>$E$7="#N/A"</formula>
    </cfRule>
  </conditionalFormatting>
  <dataValidations xWindow="1098" yWindow="388" count="13">
    <dataValidation type="list" allowBlank="1" showInputMessage="1" showErrorMessage="1" sqref="L3:M3" xr:uid="{00000000-0002-0000-0300-000000000000}">
      <formula1>VERSION</formula1>
    </dataValidation>
    <dataValidation type="list" allowBlank="1" showInputMessage="1" showErrorMessage="1" sqref="E50:E61 E38:E41 E43:E44 E20:E23 E36 E27:E33" xr:uid="{00000000-0002-0000-0300-000001000000}">
      <formula1>PROCUREMENTENTITY</formula1>
    </dataValidation>
    <dataValidation type="list" allowBlank="1" showInputMessage="1" showErrorMessage="1" sqref="F50:F62 F38:F41 F43:F44 F20:F23 F36 F27:F33" xr:uid="{00000000-0002-0000-0300-000002000000}">
      <formula1>TypeOfPay</formula1>
    </dataValidation>
    <dataValidation type="list" allowBlank="1" showInputMessage="1" showErrorMessage="1" sqref="G20:G62" xr:uid="{00000000-0002-0000-0300-000003000000}">
      <formula1>INDIRECT(SUBSTITUTE(SUBSTITUTE(SUBSTITUTE(SUBSTITUTE(SUBSTITUTE(SUBSTITUTE(SUBSTITUTE(SUBSTITUTE(SUBSTITUTE(SUBSTITUTE(SUBSTITUTE(F20,",",""),":",""),"/"," "),"(",""),")",""),"-"," "),"  "," ")," ","_"),"&amp;",""),"__","_"),"+","_"))</formula1>
    </dataValidation>
    <dataValidation type="list" allowBlank="1" showInputMessage="1" showErrorMessage="1" sqref="E7:G8" xr:uid="{00000000-0002-0000-0300-000004000000}">
      <formula1>Setup_PR</formula1>
    </dataValidation>
    <dataValidation type="list" allowBlank="1" showInputMessage="1" showErrorMessage="1" sqref="K7:K12" xr:uid="{00000000-0002-0000-0300-000005000000}">
      <formula1>"A,B,C,D,E,F"</formula1>
    </dataValidation>
    <dataValidation type="date" operator="greaterThan" allowBlank="1" showInputMessage="1" showErrorMessage="1" error="Input dates later than 05/22/2020" promptTitle="Date Format" prompt="MM/DD/YYYY" sqref="L7:M12" xr:uid="{00000000-0002-0000-0300-000006000000}">
      <formula1>43969</formula1>
    </dataValidation>
    <dataValidation type="date" operator="lessThan" allowBlank="1" showInputMessage="1" showErrorMessage="1" error="Input dates between 01/01/2021 and 12/31/2024" promptTitle="Date Format" prompt="MM/DD/YYYY before 12/31/2024" sqref="G15" xr:uid="{00000000-0002-0000-0300-000007000000}">
      <formula1>45657</formula1>
    </dataValidation>
    <dataValidation type="date" operator="greaterThan" allowBlank="1" showInputMessage="1" showErrorMessage="1" error="Input dates between 01/01/2021 and 12/31/2024" promptTitle="Date Format" prompt="MM/DD/YYYY after 01/01/2021" sqref="G14" xr:uid="{00000000-0002-0000-0300-000008000000}">
      <formula1>44196</formula1>
    </dataValidation>
    <dataValidation allowBlank="1" showInputMessage="1" showErrorMessage="1" promptTitle="Enter PR Name" prompt="Make manual entry in case NA in list" sqref="H7:I8" xr:uid="{00000000-0002-0000-0300-000009000000}"/>
    <dataValidation allowBlank="1" showInputMessage="1" showErrorMessage="1" promptTitle="Enetr Grant Number" prompt="Enter manually in case NA in list" sqref="H13:I13" xr:uid="{00000000-0002-0000-0300-00000A000000}"/>
    <dataValidation allowBlank="1" showInputMessage="1" showErrorMessage="1" prompt="Enter Free Text" sqref="F9:G11" xr:uid="{00000000-0002-0000-0300-00000B000000}"/>
    <dataValidation type="list" allowBlank="1" showInputMessage="1" showErrorMessage="1" sqref="G13" xr:uid="{00000000-0002-0000-0300-00000C000000}">
      <formula1>Setup_Grant</formula1>
    </dataValidation>
  </dataValidations>
  <pageMargins left="0.25" right="0.25"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xWindow="1098" yWindow="388" count="4">
        <x14:dataValidation type="list" allowBlank="1" showInputMessage="1" showErrorMessage="1" promptTitle="Select From Dropdown" prompt="List Only" xr:uid="{00000000-0002-0000-0300-00000D000000}">
          <x14:formula1>
            <xm:f>Grant!$R$3:$R$6</xm:f>
          </x14:formula1>
          <xm:sqref>E6:G6</xm:sqref>
        </x14:dataValidation>
        <x14:dataValidation type="list" allowBlank="1" showInputMessage="1" showErrorMessage="1" promptTitle="Select From Dropdown" prompt="List Only" xr:uid="{00000000-0002-0000-0300-00000E000000}">
          <x14:formula1>
            <xm:f>Grant!$O$3:$O$209</xm:f>
          </x14:formula1>
          <xm:sqref>E3:G3</xm:sqref>
        </x14:dataValidation>
        <x14:dataValidation type="list" allowBlank="1" showInputMessage="1" showErrorMessage="1" promptTitle="Select From Dropdown" prompt="List Only" xr:uid="{00000000-0002-0000-0300-00000F000000}">
          <x14:formula1>
            <xm:f>Grant!$Q$3:$Q$4</xm:f>
          </x14:formula1>
          <xm:sqref>E5:G5</xm:sqref>
        </x14:dataValidation>
        <x14:dataValidation type="list" allowBlank="1" showInputMessage="1" showErrorMessage="1" xr:uid="{00000000-0002-0000-0300-000010000000}">
          <x14:formula1>
            <xm:f>Grant!$M$3:$M$5</xm:f>
          </x14:formula1>
          <xm:sqref>E4:G4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I1259"/>
  <sheetViews>
    <sheetView showGridLines="0" workbookViewId="0">
      <pane ySplit="1" topLeftCell="A272" activePane="bottomLeft" state="frozen"/>
      <selection pane="bottomLeft" activeCell="E10" sqref="E10"/>
    </sheetView>
  </sheetViews>
  <sheetFormatPr baseColWidth="10" defaultColWidth="9.1796875" defaultRowHeight="14.5"/>
  <cols>
    <col min="1" max="1" width="12.54296875" bestFit="1" customWidth="1"/>
    <col min="2" max="2" width="16.7265625" customWidth="1"/>
    <col min="3" max="3" width="5.7265625" bestFit="1" customWidth="1"/>
    <col min="4" max="4" width="36.54296875" bestFit="1" customWidth="1"/>
    <col min="5" max="5" width="41.26953125" customWidth="1"/>
    <col min="6" max="6" width="37.7265625" customWidth="1"/>
    <col min="7" max="7" width="53.26953125" customWidth="1"/>
    <col min="8" max="8" width="12.26953125" bestFit="1" customWidth="1"/>
    <col min="9" max="9" width="16.7265625" bestFit="1" customWidth="1"/>
  </cols>
  <sheetData>
    <row r="1" spans="1:9">
      <c r="A1" s="1468" t="s">
        <v>686</v>
      </c>
      <c r="B1" s="1468" t="s">
        <v>2585</v>
      </c>
      <c r="C1" s="1468" t="s">
        <v>192</v>
      </c>
      <c r="D1" s="1468" t="s">
        <v>2676</v>
      </c>
      <c r="E1" s="1468" t="s">
        <v>1305</v>
      </c>
      <c r="F1" s="1468" t="s">
        <v>140</v>
      </c>
      <c r="G1" s="1468" t="s">
        <v>3047</v>
      </c>
      <c r="H1" s="1468" t="s">
        <v>2677</v>
      </c>
      <c r="I1" s="1468" t="s">
        <v>2678</v>
      </c>
    </row>
    <row r="2" spans="1:9">
      <c r="A2" s="7" t="s">
        <v>2680</v>
      </c>
      <c r="B2" s="7" t="s">
        <v>2680</v>
      </c>
      <c r="C2" s="7">
        <v>1</v>
      </c>
      <c r="D2" s="7" t="s">
        <v>3073</v>
      </c>
      <c r="E2" s="7" t="s">
        <v>3073</v>
      </c>
      <c r="F2" s="7" t="s">
        <v>2689</v>
      </c>
      <c r="G2" s="7" t="s">
        <v>2700</v>
      </c>
      <c r="H2" s="7">
        <v>5.8</v>
      </c>
      <c r="I2" s="7" t="s">
        <v>718</v>
      </c>
    </row>
    <row r="3" spans="1:9">
      <c r="A3" s="7" t="s">
        <v>2680</v>
      </c>
      <c r="B3" s="7" t="s">
        <v>2680</v>
      </c>
      <c r="C3" s="7">
        <v>1</v>
      </c>
      <c r="D3" s="7" t="s">
        <v>3073</v>
      </c>
      <c r="E3" s="7" t="s">
        <v>3073</v>
      </c>
      <c r="F3" s="7" t="s">
        <v>2689</v>
      </c>
      <c r="G3" s="7" t="s">
        <v>2690</v>
      </c>
      <c r="H3" s="7">
        <v>5.8</v>
      </c>
      <c r="I3" s="7" t="s">
        <v>718</v>
      </c>
    </row>
    <row r="4" spans="1:9">
      <c r="A4" s="7" t="s">
        <v>2680</v>
      </c>
      <c r="B4" s="7" t="s">
        <v>2680</v>
      </c>
      <c r="C4" s="7">
        <v>1</v>
      </c>
      <c r="D4" s="7" t="s">
        <v>3073</v>
      </c>
      <c r="E4" s="7" t="s">
        <v>3073</v>
      </c>
      <c r="F4" s="7" t="s">
        <v>2689</v>
      </c>
      <c r="G4" s="7" t="s">
        <v>2691</v>
      </c>
      <c r="H4" s="7">
        <v>5.8</v>
      </c>
      <c r="I4" s="7" t="s">
        <v>718</v>
      </c>
    </row>
    <row r="5" spans="1:9">
      <c r="A5" s="7" t="s">
        <v>2680</v>
      </c>
      <c r="B5" s="7" t="s">
        <v>2680</v>
      </c>
      <c r="C5" s="7">
        <v>1</v>
      </c>
      <c r="D5" s="7" t="s">
        <v>3073</v>
      </c>
      <c r="E5" s="7" t="s">
        <v>3073</v>
      </c>
      <c r="F5" s="7" t="s">
        <v>2681</v>
      </c>
      <c r="G5" s="7" t="s">
        <v>2685</v>
      </c>
      <c r="H5" s="7">
        <v>5.6</v>
      </c>
      <c r="I5" s="7" t="s">
        <v>718</v>
      </c>
    </row>
    <row r="6" spans="1:9">
      <c r="A6" s="7" t="s">
        <v>2680</v>
      </c>
      <c r="B6" s="7" t="s">
        <v>2680</v>
      </c>
      <c r="C6" s="7">
        <v>1</v>
      </c>
      <c r="D6" s="7" t="s">
        <v>3073</v>
      </c>
      <c r="E6" s="7" t="s">
        <v>3073</v>
      </c>
      <c r="F6" s="7" t="s">
        <v>2681</v>
      </c>
      <c r="G6" s="7" t="s">
        <v>2682</v>
      </c>
      <c r="H6" s="7">
        <v>5.6</v>
      </c>
      <c r="I6" s="7" t="s">
        <v>718</v>
      </c>
    </row>
    <row r="7" spans="1:9">
      <c r="A7" s="7" t="s">
        <v>2680</v>
      </c>
      <c r="B7" s="7" t="s">
        <v>2680</v>
      </c>
      <c r="C7" s="7">
        <v>1</v>
      </c>
      <c r="D7" s="7" t="s">
        <v>3073</v>
      </c>
      <c r="E7" s="7" t="s">
        <v>3073</v>
      </c>
      <c r="F7" s="7" t="s">
        <v>2681</v>
      </c>
      <c r="G7" s="7" t="s">
        <v>2687</v>
      </c>
      <c r="H7" s="7">
        <v>5.6</v>
      </c>
      <c r="I7" s="7" t="s">
        <v>718</v>
      </c>
    </row>
    <row r="8" spans="1:9">
      <c r="A8" s="7" t="s">
        <v>2680</v>
      </c>
      <c r="B8" s="7" t="s">
        <v>2680</v>
      </c>
      <c r="C8" s="7">
        <v>1</v>
      </c>
      <c r="D8" s="7" t="s">
        <v>3073</v>
      </c>
      <c r="E8" s="7" t="s">
        <v>3073</v>
      </c>
      <c r="F8" s="7" t="s">
        <v>2681</v>
      </c>
      <c r="G8" s="7" t="s">
        <v>2688</v>
      </c>
      <c r="H8" s="7">
        <v>5.6</v>
      </c>
      <c r="I8" s="7" t="s">
        <v>718</v>
      </c>
    </row>
    <row r="9" spans="1:9">
      <c r="A9" s="7" t="s">
        <v>2680</v>
      </c>
      <c r="B9" s="7" t="s">
        <v>2680</v>
      </c>
      <c r="C9" s="7">
        <v>1</v>
      </c>
      <c r="D9" s="7" t="s">
        <v>3073</v>
      </c>
      <c r="E9" s="7" t="s">
        <v>3073</v>
      </c>
      <c r="F9" s="7" t="s">
        <v>2681</v>
      </c>
      <c r="G9" s="7" t="s">
        <v>2683</v>
      </c>
      <c r="H9" s="7">
        <v>5.6</v>
      </c>
      <c r="I9" s="7" t="s">
        <v>718</v>
      </c>
    </row>
    <row r="10" spans="1:9">
      <c r="A10" s="7" t="s">
        <v>2680</v>
      </c>
      <c r="B10" s="7" t="s">
        <v>2680</v>
      </c>
      <c r="C10" s="7">
        <v>1</v>
      </c>
      <c r="D10" s="7" t="s">
        <v>3073</v>
      </c>
      <c r="E10" s="7" t="s">
        <v>3073</v>
      </c>
      <c r="F10" s="7" t="s">
        <v>2681</v>
      </c>
      <c r="G10" s="7" t="s">
        <v>2684</v>
      </c>
      <c r="H10" s="7">
        <v>5.6</v>
      </c>
      <c r="I10" s="7" t="s">
        <v>718</v>
      </c>
    </row>
    <row r="11" spans="1:9">
      <c r="A11" s="7" t="s">
        <v>2680</v>
      </c>
      <c r="B11" s="7" t="s">
        <v>2680</v>
      </c>
      <c r="C11" s="7">
        <v>1</v>
      </c>
      <c r="D11" s="7" t="s">
        <v>3073</v>
      </c>
      <c r="E11" s="7" t="s">
        <v>3073</v>
      </c>
      <c r="F11" s="7" t="s">
        <v>2681</v>
      </c>
      <c r="G11" s="7" t="s">
        <v>2686</v>
      </c>
      <c r="H11" s="7">
        <v>5.6</v>
      </c>
      <c r="I11" s="7" t="s">
        <v>718</v>
      </c>
    </row>
    <row r="12" spans="1:9">
      <c r="A12" s="7" t="s">
        <v>2680</v>
      </c>
      <c r="B12" s="7" t="s">
        <v>2680</v>
      </c>
      <c r="C12" s="7">
        <v>1</v>
      </c>
      <c r="D12" s="7" t="s">
        <v>2692</v>
      </c>
      <c r="E12" s="7" t="s">
        <v>2692</v>
      </c>
      <c r="F12" s="7" t="s">
        <v>2692</v>
      </c>
      <c r="G12" s="7" t="s">
        <v>191</v>
      </c>
      <c r="H12" s="7">
        <v>6.6</v>
      </c>
      <c r="I12" s="7" t="s">
        <v>719</v>
      </c>
    </row>
    <row r="13" spans="1:9">
      <c r="A13" s="7" t="s">
        <v>2680</v>
      </c>
      <c r="B13" s="7" t="s">
        <v>2680</v>
      </c>
      <c r="C13" s="7">
        <v>1</v>
      </c>
      <c r="D13" s="7" t="s">
        <v>2692</v>
      </c>
      <c r="E13" s="7" t="s">
        <v>2692</v>
      </c>
      <c r="F13" s="7" t="s">
        <v>2692</v>
      </c>
      <c r="G13" s="7" t="s">
        <v>2693</v>
      </c>
      <c r="H13" s="7">
        <v>6.6</v>
      </c>
      <c r="I13" s="7" t="s">
        <v>719</v>
      </c>
    </row>
    <row r="14" spans="1:9">
      <c r="A14" s="7" t="s">
        <v>2680</v>
      </c>
      <c r="B14" s="7" t="s">
        <v>2680</v>
      </c>
      <c r="C14" s="7">
        <v>1</v>
      </c>
      <c r="D14" s="7" t="s">
        <v>2692</v>
      </c>
      <c r="E14" s="7" t="s">
        <v>2692</v>
      </c>
      <c r="F14" s="7" t="s">
        <v>2692</v>
      </c>
      <c r="G14" s="7" t="s">
        <v>206</v>
      </c>
      <c r="H14" s="7">
        <v>6.5</v>
      </c>
      <c r="I14" s="7" t="s">
        <v>719</v>
      </c>
    </row>
    <row r="15" spans="1:9">
      <c r="A15" s="7" t="s">
        <v>2680</v>
      </c>
      <c r="B15" s="7" t="s">
        <v>2680</v>
      </c>
      <c r="C15" s="7">
        <v>1</v>
      </c>
      <c r="D15" s="7" t="s">
        <v>2694</v>
      </c>
      <c r="E15" s="7" t="s">
        <v>2694</v>
      </c>
      <c r="F15" s="7" t="s">
        <v>2695</v>
      </c>
      <c r="G15" s="7" t="s">
        <v>2698</v>
      </c>
      <c r="H15" s="7">
        <v>4.7</v>
      </c>
      <c r="I15" s="7" t="s">
        <v>718</v>
      </c>
    </row>
    <row r="16" spans="1:9">
      <c r="A16" s="7" t="s">
        <v>2680</v>
      </c>
      <c r="B16" s="7" t="s">
        <v>2680</v>
      </c>
      <c r="C16" s="7">
        <v>1</v>
      </c>
      <c r="D16" s="7" t="s">
        <v>2694</v>
      </c>
      <c r="E16" s="7" t="s">
        <v>2694</v>
      </c>
      <c r="F16" s="7" t="s">
        <v>2695</v>
      </c>
      <c r="G16" s="7" t="s">
        <v>2697</v>
      </c>
      <c r="H16" s="7">
        <v>4.7</v>
      </c>
      <c r="I16" s="7" t="s">
        <v>718</v>
      </c>
    </row>
    <row r="17" spans="1:9">
      <c r="A17" s="7" t="s">
        <v>2680</v>
      </c>
      <c r="B17" s="7" t="s">
        <v>2680</v>
      </c>
      <c r="C17" s="7">
        <v>1</v>
      </c>
      <c r="D17" s="7" t="s">
        <v>2694</v>
      </c>
      <c r="E17" s="7" t="s">
        <v>2694</v>
      </c>
      <c r="F17" s="7" t="s">
        <v>2695</v>
      </c>
      <c r="G17" s="7" t="s">
        <v>2696</v>
      </c>
      <c r="H17" s="7">
        <v>4.7</v>
      </c>
      <c r="I17" s="7" t="s">
        <v>718</v>
      </c>
    </row>
    <row r="18" spans="1:9">
      <c r="A18" s="7" t="s">
        <v>2680</v>
      </c>
      <c r="B18" s="7" t="s">
        <v>2680</v>
      </c>
      <c r="C18" s="7">
        <v>1</v>
      </c>
      <c r="D18" s="7" t="s">
        <v>2694</v>
      </c>
      <c r="E18" s="7" t="s">
        <v>2694</v>
      </c>
      <c r="F18" s="7" t="s">
        <v>2695</v>
      </c>
      <c r="G18" s="7" t="s">
        <v>2699</v>
      </c>
      <c r="H18" s="7">
        <v>4.7</v>
      </c>
      <c r="I18" s="7" t="s">
        <v>718</v>
      </c>
    </row>
    <row r="19" spans="1:9">
      <c r="A19" s="7" t="s">
        <v>2680</v>
      </c>
      <c r="B19" s="7" t="s">
        <v>2680</v>
      </c>
      <c r="C19" s="7">
        <v>1</v>
      </c>
      <c r="D19" s="7" t="s">
        <v>2694</v>
      </c>
      <c r="E19" s="7" t="s">
        <v>2694</v>
      </c>
      <c r="F19" s="7" t="s">
        <v>172</v>
      </c>
      <c r="G19" s="7" t="s">
        <v>2700</v>
      </c>
      <c r="H19" s="7">
        <v>4.7</v>
      </c>
      <c r="I19" s="7" t="s">
        <v>718</v>
      </c>
    </row>
    <row r="20" spans="1:9">
      <c r="A20" s="7" t="s">
        <v>2680</v>
      </c>
      <c r="B20" s="7" t="s">
        <v>2680</v>
      </c>
      <c r="C20" s="7">
        <v>1</v>
      </c>
      <c r="D20" s="7" t="s">
        <v>2701</v>
      </c>
      <c r="E20" s="7" t="s">
        <v>2701</v>
      </c>
      <c r="F20" s="7" t="s">
        <v>3050</v>
      </c>
      <c r="G20" s="7" t="s">
        <v>2702</v>
      </c>
      <c r="H20" s="7">
        <v>5.8</v>
      </c>
      <c r="I20" s="7" t="s">
        <v>718</v>
      </c>
    </row>
    <row r="21" spans="1:9">
      <c r="A21" s="7" t="s">
        <v>2680</v>
      </c>
      <c r="B21" s="7" t="s">
        <v>2680</v>
      </c>
      <c r="C21" s="7">
        <v>1</v>
      </c>
      <c r="D21" s="7" t="s">
        <v>2701</v>
      </c>
      <c r="E21" s="7" t="s">
        <v>2701</v>
      </c>
      <c r="F21" s="7" t="s">
        <v>2703</v>
      </c>
      <c r="G21" s="7" t="s">
        <v>2704</v>
      </c>
      <c r="H21" s="7">
        <v>5.8</v>
      </c>
      <c r="I21" s="7" t="s">
        <v>2705</v>
      </c>
    </row>
    <row r="22" spans="1:9">
      <c r="A22" s="7" t="s">
        <v>2680</v>
      </c>
      <c r="B22" s="7" t="s">
        <v>2680</v>
      </c>
      <c r="C22" s="7">
        <v>1</v>
      </c>
      <c r="D22" s="7" t="s">
        <v>2701</v>
      </c>
      <c r="E22" s="7" t="s">
        <v>2701</v>
      </c>
      <c r="F22" s="7" t="s">
        <v>2706</v>
      </c>
      <c r="G22" s="7" t="s">
        <v>2707</v>
      </c>
      <c r="H22" s="7">
        <v>5.8</v>
      </c>
      <c r="I22" s="7" t="s">
        <v>718</v>
      </c>
    </row>
    <row r="23" spans="1:9">
      <c r="A23" s="7" t="s">
        <v>2680</v>
      </c>
      <c r="B23" s="7" t="s">
        <v>2680</v>
      </c>
      <c r="C23" s="7">
        <v>1</v>
      </c>
      <c r="D23" s="7" t="s">
        <v>2701</v>
      </c>
      <c r="E23" s="7" t="s">
        <v>2701</v>
      </c>
      <c r="F23" s="7" t="s">
        <v>2706</v>
      </c>
      <c r="G23" s="7" t="s">
        <v>2708</v>
      </c>
      <c r="H23" s="7">
        <v>5.8</v>
      </c>
      <c r="I23" s="7" t="s">
        <v>718</v>
      </c>
    </row>
    <row r="24" spans="1:9">
      <c r="A24" s="7" t="s">
        <v>2680</v>
      </c>
      <c r="B24" s="7" t="s">
        <v>2680</v>
      </c>
      <c r="C24" s="7">
        <v>1</v>
      </c>
      <c r="D24" s="7" t="s">
        <v>2701</v>
      </c>
      <c r="E24" s="7" t="s">
        <v>2701</v>
      </c>
      <c r="F24" s="7" t="s">
        <v>2706</v>
      </c>
      <c r="G24" s="7" t="s">
        <v>2709</v>
      </c>
      <c r="H24" s="7">
        <v>5.8</v>
      </c>
      <c r="I24" s="7" t="s">
        <v>719</v>
      </c>
    </row>
    <row r="25" spans="1:9">
      <c r="A25" s="7" t="s">
        <v>2680</v>
      </c>
      <c r="B25" s="7" t="s">
        <v>2680</v>
      </c>
      <c r="C25" s="7">
        <v>1</v>
      </c>
      <c r="D25" s="7" t="s">
        <v>2701</v>
      </c>
      <c r="E25" s="7" t="s">
        <v>2701</v>
      </c>
      <c r="F25" s="7" t="s">
        <v>2710</v>
      </c>
      <c r="G25" s="7" t="s">
        <v>2711</v>
      </c>
      <c r="H25" s="7">
        <v>5.8</v>
      </c>
      <c r="I25" s="7" t="s">
        <v>2705</v>
      </c>
    </row>
    <row r="26" spans="1:9">
      <c r="A26" s="7" t="s">
        <v>2680</v>
      </c>
      <c r="B26" s="7" t="s">
        <v>2680</v>
      </c>
      <c r="C26" s="7">
        <v>1</v>
      </c>
      <c r="D26" s="7" t="s">
        <v>2701</v>
      </c>
      <c r="E26" s="7" t="s">
        <v>2701</v>
      </c>
      <c r="F26" s="7" t="s">
        <v>2712</v>
      </c>
      <c r="G26" s="7" t="s">
        <v>2717</v>
      </c>
      <c r="H26" s="7">
        <v>5.8</v>
      </c>
      <c r="I26" s="7" t="s">
        <v>2714</v>
      </c>
    </row>
    <row r="27" spans="1:9">
      <c r="A27" s="7" t="s">
        <v>2680</v>
      </c>
      <c r="B27" s="7" t="s">
        <v>2680</v>
      </c>
      <c r="C27" s="7">
        <v>1</v>
      </c>
      <c r="D27" s="7" t="s">
        <v>2701</v>
      </c>
      <c r="E27" s="7" t="s">
        <v>2701</v>
      </c>
      <c r="F27" s="7" t="s">
        <v>2712</v>
      </c>
      <c r="G27" s="7" t="s">
        <v>2713</v>
      </c>
      <c r="H27" s="7">
        <v>5.8</v>
      </c>
      <c r="I27" s="7" t="s">
        <v>2714</v>
      </c>
    </row>
    <row r="28" spans="1:9">
      <c r="A28" s="7" t="s">
        <v>2680</v>
      </c>
      <c r="B28" s="7" t="s">
        <v>2680</v>
      </c>
      <c r="C28" s="7">
        <v>1</v>
      </c>
      <c r="D28" s="7" t="s">
        <v>2701</v>
      </c>
      <c r="E28" s="7" t="s">
        <v>2701</v>
      </c>
      <c r="F28" s="7" t="s">
        <v>2712</v>
      </c>
      <c r="G28" s="7" t="s">
        <v>2716</v>
      </c>
      <c r="H28" s="7">
        <v>5.8</v>
      </c>
      <c r="I28" s="7" t="s">
        <v>2714</v>
      </c>
    </row>
    <row r="29" spans="1:9">
      <c r="A29" s="7" t="s">
        <v>2680</v>
      </c>
      <c r="B29" s="7" t="s">
        <v>2680</v>
      </c>
      <c r="C29" s="7">
        <v>1</v>
      </c>
      <c r="D29" s="7" t="s">
        <v>2701</v>
      </c>
      <c r="E29" s="7" t="s">
        <v>2701</v>
      </c>
      <c r="F29" s="7" t="s">
        <v>2712</v>
      </c>
      <c r="G29" s="7" t="s">
        <v>2715</v>
      </c>
      <c r="H29" s="7">
        <v>5.8</v>
      </c>
      <c r="I29" s="7" t="s">
        <v>2714</v>
      </c>
    </row>
    <row r="30" spans="1:9">
      <c r="A30" s="7" t="s">
        <v>2680</v>
      </c>
      <c r="B30" s="7" t="s">
        <v>2680</v>
      </c>
      <c r="C30" s="7">
        <v>1</v>
      </c>
      <c r="D30" s="7" t="s">
        <v>2701</v>
      </c>
      <c r="E30" s="7" t="s">
        <v>2701</v>
      </c>
      <c r="F30" s="7" t="s">
        <v>2718</v>
      </c>
      <c r="G30" s="7" t="s">
        <v>2720</v>
      </c>
      <c r="H30" s="7">
        <v>5.8</v>
      </c>
      <c r="I30" s="7" t="s">
        <v>718</v>
      </c>
    </row>
    <row r="31" spans="1:9">
      <c r="A31" s="7" t="s">
        <v>2680</v>
      </c>
      <c r="B31" s="7" t="s">
        <v>2680</v>
      </c>
      <c r="C31" s="7">
        <v>1</v>
      </c>
      <c r="D31" s="7" t="s">
        <v>2701</v>
      </c>
      <c r="E31" s="7" t="s">
        <v>2701</v>
      </c>
      <c r="F31" s="7" t="s">
        <v>2718</v>
      </c>
      <c r="G31" s="7" t="s">
        <v>2719</v>
      </c>
      <c r="H31" s="7">
        <v>5.8</v>
      </c>
      <c r="I31" s="7" t="s">
        <v>718</v>
      </c>
    </row>
    <row r="32" spans="1:9">
      <c r="A32" s="7" t="s">
        <v>2680</v>
      </c>
      <c r="B32" s="7" t="s">
        <v>2680</v>
      </c>
      <c r="C32" s="7">
        <v>1</v>
      </c>
      <c r="D32" s="7" t="s">
        <v>2701</v>
      </c>
      <c r="E32" s="7" t="s">
        <v>2701</v>
      </c>
      <c r="F32" s="7" t="s">
        <v>2721</v>
      </c>
      <c r="G32" s="7" t="s">
        <v>2700</v>
      </c>
      <c r="H32" s="7">
        <v>5.8</v>
      </c>
      <c r="I32" s="7" t="s">
        <v>718</v>
      </c>
    </row>
    <row r="33" spans="1:9">
      <c r="A33" s="7" t="s">
        <v>2680</v>
      </c>
      <c r="B33" s="7" t="s">
        <v>2680</v>
      </c>
      <c r="C33" s="7">
        <v>1</v>
      </c>
      <c r="D33" s="7" t="s">
        <v>2701</v>
      </c>
      <c r="E33" s="7" t="s">
        <v>2701</v>
      </c>
      <c r="F33" s="7" t="s">
        <v>2722</v>
      </c>
      <c r="G33" s="7" t="s">
        <v>2723</v>
      </c>
      <c r="H33" s="7">
        <v>5.8</v>
      </c>
      <c r="I33" s="7" t="s">
        <v>718</v>
      </c>
    </row>
    <row r="34" spans="1:9">
      <c r="A34" s="7" t="s">
        <v>2680</v>
      </c>
      <c r="B34" s="7" t="s">
        <v>2680</v>
      </c>
      <c r="C34" s="7">
        <v>1</v>
      </c>
      <c r="D34" s="7" t="s">
        <v>2701</v>
      </c>
      <c r="E34" s="7" t="s">
        <v>2701</v>
      </c>
      <c r="F34" s="7" t="s">
        <v>2722</v>
      </c>
      <c r="G34" s="7" t="s">
        <v>2724</v>
      </c>
      <c r="H34" s="7">
        <v>5.8</v>
      </c>
      <c r="I34" s="7" t="s">
        <v>718</v>
      </c>
    </row>
    <row r="35" spans="1:9">
      <c r="A35" s="7" t="s">
        <v>690</v>
      </c>
      <c r="B35" s="7" t="s">
        <v>1458</v>
      </c>
      <c r="C35" s="7">
        <v>1</v>
      </c>
      <c r="D35" s="7" t="s">
        <v>1390</v>
      </c>
      <c r="E35" s="7" t="s">
        <v>1449</v>
      </c>
      <c r="F35" s="7" t="s">
        <v>1176</v>
      </c>
      <c r="G35" s="7" t="s">
        <v>1178</v>
      </c>
      <c r="H35" s="7">
        <v>6.4</v>
      </c>
      <c r="I35" s="7" t="s">
        <v>719</v>
      </c>
    </row>
    <row r="36" spans="1:9">
      <c r="A36" s="7" t="s">
        <v>690</v>
      </c>
      <c r="B36" s="7" t="s">
        <v>1458</v>
      </c>
      <c r="C36" s="7">
        <v>1</v>
      </c>
      <c r="D36" s="7" t="s">
        <v>1390</v>
      </c>
      <c r="E36" s="7" t="s">
        <v>1449</v>
      </c>
      <c r="F36" s="7" t="s">
        <v>1176</v>
      </c>
      <c r="G36" s="7" t="s">
        <v>1179</v>
      </c>
      <c r="H36" s="7">
        <v>6.4</v>
      </c>
      <c r="I36" s="7" t="s">
        <v>719</v>
      </c>
    </row>
    <row r="37" spans="1:9">
      <c r="A37" s="7" t="s">
        <v>690</v>
      </c>
      <c r="B37" s="7" t="s">
        <v>1458</v>
      </c>
      <c r="C37" s="7">
        <v>1</v>
      </c>
      <c r="D37" s="7" t="s">
        <v>1390</v>
      </c>
      <c r="E37" s="7" t="s">
        <v>1449</v>
      </c>
      <c r="F37" s="7" t="s">
        <v>1176</v>
      </c>
      <c r="G37" s="7" t="s">
        <v>2726</v>
      </c>
      <c r="H37" s="7">
        <v>6.4</v>
      </c>
      <c r="I37" s="7" t="s">
        <v>719</v>
      </c>
    </row>
    <row r="38" spans="1:9">
      <c r="A38" s="7" t="s">
        <v>690</v>
      </c>
      <c r="B38" s="7" t="s">
        <v>1458</v>
      </c>
      <c r="C38" s="7">
        <v>1</v>
      </c>
      <c r="D38" s="7" t="s">
        <v>1390</v>
      </c>
      <c r="E38" s="7" t="s">
        <v>1449</v>
      </c>
      <c r="F38" s="7" t="s">
        <v>1176</v>
      </c>
      <c r="G38" s="7" t="s">
        <v>1177</v>
      </c>
      <c r="H38" s="7">
        <v>6.4</v>
      </c>
      <c r="I38" s="7" t="s">
        <v>719</v>
      </c>
    </row>
    <row r="39" spans="1:9">
      <c r="A39" s="7" t="s">
        <v>690</v>
      </c>
      <c r="B39" s="7" t="s">
        <v>1458</v>
      </c>
      <c r="C39" s="7">
        <v>1</v>
      </c>
      <c r="D39" s="7" t="s">
        <v>1390</v>
      </c>
      <c r="E39" s="7" t="s">
        <v>1449</v>
      </c>
      <c r="F39" s="7" t="s">
        <v>1176</v>
      </c>
      <c r="G39" s="7" t="s">
        <v>2725</v>
      </c>
      <c r="H39" s="7">
        <v>6.4</v>
      </c>
      <c r="I39" s="7" t="s">
        <v>719</v>
      </c>
    </row>
    <row r="40" spans="1:9">
      <c r="A40" s="7" t="s">
        <v>690</v>
      </c>
      <c r="B40" s="7" t="s">
        <v>1458</v>
      </c>
      <c r="C40" s="7">
        <v>1</v>
      </c>
      <c r="D40" s="7" t="s">
        <v>1390</v>
      </c>
      <c r="E40" s="7" t="s">
        <v>1449</v>
      </c>
      <c r="F40" s="7" t="s">
        <v>1176</v>
      </c>
      <c r="G40" s="7" t="s">
        <v>1180</v>
      </c>
      <c r="H40" s="7">
        <v>6.4</v>
      </c>
      <c r="I40" s="7" t="s">
        <v>719</v>
      </c>
    </row>
    <row r="41" spans="1:9">
      <c r="A41" s="7" t="s">
        <v>690</v>
      </c>
      <c r="B41" s="7" t="s">
        <v>1458</v>
      </c>
      <c r="C41" s="7">
        <v>1</v>
      </c>
      <c r="D41" s="7" t="s">
        <v>1390</v>
      </c>
      <c r="E41" s="7" t="s">
        <v>1449</v>
      </c>
      <c r="F41" s="7" t="s">
        <v>1176</v>
      </c>
      <c r="G41" s="7" t="s">
        <v>2727</v>
      </c>
      <c r="H41" s="7">
        <v>6.4</v>
      </c>
      <c r="I41" s="7" t="s">
        <v>719</v>
      </c>
    </row>
    <row r="42" spans="1:9">
      <c r="A42" s="7" t="s">
        <v>690</v>
      </c>
      <c r="B42" s="7" t="s">
        <v>1458</v>
      </c>
      <c r="C42" s="7">
        <v>1</v>
      </c>
      <c r="D42" s="7" t="s">
        <v>1390</v>
      </c>
      <c r="E42" s="7" t="s">
        <v>1449</v>
      </c>
      <c r="F42" s="7" t="s">
        <v>1176</v>
      </c>
      <c r="G42" s="7" t="s">
        <v>52</v>
      </c>
      <c r="H42" s="7">
        <v>6.4</v>
      </c>
      <c r="I42" s="7" t="s">
        <v>719</v>
      </c>
    </row>
    <row r="43" spans="1:9">
      <c r="A43" s="7" t="s">
        <v>690</v>
      </c>
      <c r="B43" s="7" t="s">
        <v>1458</v>
      </c>
      <c r="C43" s="7">
        <v>1</v>
      </c>
      <c r="D43" s="7" t="s">
        <v>1390</v>
      </c>
      <c r="E43" s="7" t="s">
        <v>1449</v>
      </c>
      <c r="F43" s="7" t="s">
        <v>1176</v>
      </c>
      <c r="G43" s="7" t="s">
        <v>2693</v>
      </c>
      <c r="H43" s="7">
        <v>6.4</v>
      </c>
      <c r="I43" s="7" t="s">
        <v>719</v>
      </c>
    </row>
    <row r="44" spans="1:9">
      <c r="A44" s="7" t="s">
        <v>690</v>
      </c>
      <c r="B44" s="7" t="s">
        <v>1458</v>
      </c>
      <c r="C44" s="7">
        <v>1</v>
      </c>
      <c r="D44" s="7" t="s">
        <v>1390</v>
      </c>
      <c r="E44" s="7" t="s">
        <v>1449</v>
      </c>
      <c r="F44" s="7" t="s">
        <v>1176</v>
      </c>
      <c r="G44" s="7" t="s">
        <v>206</v>
      </c>
      <c r="H44" s="7">
        <v>6.5</v>
      </c>
      <c r="I44" s="7" t="s">
        <v>719</v>
      </c>
    </row>
    <row r="45" spans="1:9">
      <c r="A45" s="7" t="s">
        <v>690</v>
      </c>
      <c r="B45" s="7" t="s">
        <v>1458</v>
      </c>
      <c r="C45" s="7">
        <v>1</v>
      </c>
      <c r="D45" s="7" t="s">
        <v>1390</v>
      </c>
      <c r="E45" s="7" t="s">
        <v>1448</v>
      </c>
      <c r="F45" s="7" t="s">
        <v>1013</v>
      </c>
      <c r="G45" s="7" t="s">
        <v>191</v>
      </c>
      <c r="H45" s="7">
        <v>6.6</v>
      </c>
      <c r="I45" s="7" t="s">
        <v>719</v>
      </c>
    </row>
    <row r="46" spans="1:9">
      <c r="A46" s="7" t="s">
        <v>690</v>
      </c>
      <c r="B46" s="7" t="s">
        <v>1458</v>
      </c>
      <c r="C46" s="7">
        <v>1</v>
      </c>
      <c r="D46" s="7" t="s">
        <v>1390</v>
      </c>
      <c r="E46" s="7" t="s">
        <v>1448</v>
      </c>
      <c r="F46" s="7" t="s">
        <v>1013</v>
      </c>
      <c r="G46" s="7" t="s">
        <v>2693</v>
      </c>
      <c r="H46" s="7">
        <v>6.6</v>
      </c>
      <c r="I46" s="7" t="s">
        <v>719</v>
      </c>
    </row>
    <row r="47" spans="1:9">
      <c r="A47" s="7" t="s">
        <v>690</v>
      </c>
      <c r="B47" s="7" t="s">
        <v>1458</v>
      </c>
      <c r="C47" s="7">
        <v>1</v>
      </c>
      <c r="D47" s="7" t="s">
        <v>1390</v>
      </c>
      <c r="E47" s="7" t="s">
        <v>1448</v>
      </c>
      <c r="F47" s="7" t="s">
        <v>1013</v>
      </c>
      <c r="G47" s="7" t="s">
        <v>206</v>
      </c>
      <c r="H47" s="7">
        <v>6.5</v>
      </c>
      <c r="I47" s="7" t="s">
        <v>719</v>
      </c>
    </row>
    <row r="48" spans="1:9">
      <c r="A48" s="7" t="s">
        <v>690</v>
      </c>
      <c r="B48" s="7" t="s">
        <v>1458</v>
      </c>
      <c r="C48" s="7">
        <v>1</v>
      </c>
      <c r="D48" s="7" t="s">
        <v>1390</v>
      </c>
      <c r="E48" s="7" t="s">
        <v>1448</v>
      </c>
      <c r="F48" s="7" t="s">
        <v>203</v>
      </c>
      <c r="G48" s="7" t="s">
        <v>191</v>
      </c>
      <c r="H48" s="7">
        <v>6.6</v>
      </c>
      <c r="I48" s="7" t="s">
        <v>719</v>
      </c>
    </row>
    <row r="49" spans="1:9">
      <c r="A49" s="7" t="s">
        <v>690</v>
      </c>
      <c r="B49" s="7" t="s">
        <v>1458</v>
      </c>
      <c r="C49" s="7">
        <v>1</v>
      </c>
      <c r="D49" s="7" t="s">
        <v>1390</v>
      </c>
      <c r="E49" s="7" t="s">
        <v>1448</v>
      </c>
      <c r="F49" s="7" t="s">
        <v>203</v>
      </c>
      <c r="G49" s="7" t="s">
        <v>2693</v>
      </c>
      <c r="H49" s="7">
        <v>6.6</v>
      </c>
      <c r="I49" s="7" t="s">
        <v>719</v>
      </c>
    </row>
    <row r="50" spans="1:9">
      <c r="A50" s="7" t="s">
        <v>690</v>
      </c>
      <c r="B50" s="7" t="s">
        <v>1458</v>
      </c>
      <c r="C50" s="7">
        <v>1</v>
      </c>
      <c r="D50" s="7" t="s">
        <v>1390</v>
      </c>
      <c r="E50" s="7" t="s">
        <v>1448</v>
      </c>
      <c r="F50" s="7" t="s">
        <v>203</v>
      </c>
      <c r="G50" s="7" t="s">
        <v>206</v>
      </c>
      <c r="H50" s="7">
        <v>6.5</v>
      </c>
      <c r="I50" s="7" t="s">
        <v>719</v>
      </c>
    </row>
    <row r="51" spans="1:9">
      <c r="A51" s="7" t="s">
        <v>690</v>
      </c>
      <c r="B51" s="7" t="s">
        <v>1458</v>
      </c>
      <c r="C51" s="7">
        <v>1</v>
      </c>
      <c r="D51" s="7" t="s">
        <v>1390</v>
      </c>
      <c r="E51" s="7" t="s">
        <v>1448</v>
      </c>
      <c r="F51" s="7" t="s">
        <v>204</v>
      </c>
      <c r="G51" s="7" t="s">
        <v>191</v>
      </c>
      <c r="H51" s="7">
        <v>6.6</v>
      </c>
      <c r="I51" s="7" t="s">
        <v>719</v>
      </c>
    </row>
    <row r="52" spans="1:9">
      <c r="A52" s="7" t="s">
        <v>690</v>
      </c>
      <c r="B52" s="7" t="s">
        <v>1458</v>
      </c>
      <c r="C52" s="7">
        <v>1</v>
      </c>
      <c r="D52" s="7" t="s">
        <v>1390</v>
      </c>
      <c r="E52" s="7" t="s">
        <v>1448</v>
      </c>
      <c r="F52" s="7" t="s">
        <v>204</v>
      </c>
      <c r="G52" s="7" t="s">
        <v>2693</v>
      </c>
      <c r="H52" s="7">
        <v>6.6</v>
      </c>
      <c r="I52" s="7" t="s">
        <v>719</v>
      </c>
    </row>
    <row r="53" spans="1:9">
      <c r="A53" s="7" t="s">
        <v>690</v>
      </c>
      <c r="B53" s="7" t="s">
        <v>1458</v>
      </c>
      <c r="C53" s="7">
        <v>1</v>
      </c>
      <c r="D53" s="7" t="s">
        <v>1390</v>
      </c>
      <c r="E53" s="7" t="s">
        <v>1448</v>
      </c>
      <c r="F53" s="7" t="s">
        <v>204</v>
      </c>
      <c r="G53" s="7" t="s">
        <v>206</v>
      </c>
      <c r="H53" s="7">
        <v>6.5</v>
      </c>
      <c r="I53" s="7" t="s">
        <v>719</v>
      </c>
    </row>
    <row r="54" spans="1:9">
      <c r="A54" s="7" t="s">
        <v>690</v>
      </c>
      <c r="B54" s="7" t="s">
        <v>1458</v>
      </c>
      <c r="C54" s="7">
        <v>1</v>
      </c>
      <c r="D54" s="7" t="s">
        <v>1390</v>
      </c>
      <c r="E54" s="7" t="s">
        <v>1448</v>
      </c>
      <c r="F54" s="7" t="s">
        <v>205</v>
      </c>
      <c r="G54" s="7" t="s">
        <v>191</v>
      </c>
      <c r="H54" s="7">
        <v>6.6</v>
      </c>
      <c r="I54" s="7" t="s">
        <v>719</v>
      </c>
    </row>
    <row r="55" spans="1:9">
      <c r="A55" s="7" t="s">
        <v>690</v>
      </c>
      <c r="B55" s="7" t="s">
        <v>1458</v>
      </c>
      <c r="C55" s="7">
        <v>1</v>
      </c>
      <c r="D55" s="7" t="s">
        <v>1390</v>
      </c>
      <c r="E55" s="7" t="s">
        <v>1448</v>
      </c>
      <c r="F55" s="7" t="s">
        <v>205</v>
      </c>
      <c r="G55" s="7" t="s">
        <v>2693</v>
      </c>
      <c r="H55" s="7">
        <v>6.6</v>
      </c>
      <c r="I55" s="7" t="s">
        <v>719</v>
      </c>
    </row>
    <row r="56" spans="1:9">
      <c r="A56" s="7" t="s">
        <v>690</v>
      </c>
      <c r="B56" s="7" t="s">
        <v>1458</v>
      </c>
      <c r="C56" s="7">
        <v>1</v>
      </c>
      <c r="D56" s="7" t="s">
        <v>1390</v>
      </c>
      <c r="E56" s="7" t="s">
        <v>1448</v>
      </c>
      <c r="F56" s="7" t="s">
        <v>205</v>
      </c>
      <c r="G56" s="7" t="s">
        <v>206</v>
      </c>
      <c r="H56" s="7">
        <v>6.5</v>
      </c>
      <c r="I56" s="7" t="s">
        <v>719</v>
      </c>
    </row>
    <row r="57" spans="1:9">
      <c r="A57" s="7" t="s">
        <v>690</v>
      </c>
      <c r="B57" s="7" t="s">
        <v>1458</v>
      </c>
      <c r="C57" s="7">
        <v>1</v>
      </c>
      <c r="D57" s="7" t="s">
        <v>1390</v>
      </c>
      <c r="E57" s="7" t="s">
        <v>1448</v>
      </c>
      <c r="F57" s="7" t="s">
        <v>207</v>
      </c>
      <c r="G57" s="7" t="s">
        <v>191</v>
      </c>
      <c r="H57" s="7">
        <v>6.6</v>
      </c>
      <c r="I57" s="7" t="s">
        <v>719</v>
      </c>
    </row>
    <row r="58" spans="1:9">
      <c r="A58" s="7" t="s">
        <v>690</v>
      </c>
      <c r="B58" s="7" t="s">
        <v>1458</v>
      </c>
      <c r="C58" s="7">
        <v>1</v>
      </c>
      <c r="D58" s="7" t="s">
        <v>1390</v>
      </c>
      <c r="E58" s="7" t="s">
        <v>1448</v>
      </c>
      <c r="F58" s="7" t="s">
        <v>207</v>
      </c>
      <c r="G58" s="7" t="s">
        <v>2693</v>
      </c>
      <c r="H58" s="7">
        <v>6.6</v>
      </c>
      <c r="I58" s="7" t="s">
        <v>719</v>
      </c>
    </row>
    <row r="59" spans="1:9">
      <c r="A59" s="7" t="s">
        <v>690</v>
      </c>
      <c r="B59" s="7" t="s">
        <v>1458</v>
      </c>
      <c r="C59" s="7">
        <v>1</v>
      </c>
      <c r="D59" s="7" t="s">
        <v>1390</v>
      </c>
      <c r="E59" s="7" t="s">
        <v>1448</v>
      </c>
      <c r="F59" s="7" t="s">
        <v>207</v>
      </c>
      <c r="G59" s="7" t="s">
        <v>206</v>
      </c>
      <c r="H59" s="7">
        <v>6.5</v>
      </c>
      <c r="I59" s="7" t="s">
        <v>719</v>
      </c>
    </row>
    <row r="60" spans="1:9">
      <c r="A60" s="7" t="s">
        <v>690</v>
      </c>
      <c r="B60" s="7" t="s">
        <v>1458</v>
      </c>
      <c r="C60" s="7">
        <v>1</v>
      </c>
      <c r="D60" s="7" t="s">
        <v>1390</v>
      </c>
      <c r="E60" s="7" t="s">
        <v>1448</v>
      </c>
      <c r="F60" s="7" t="s">
        <v>1034</v>
      </c>
      <c r="G60" s="7" t="s">
        <v>191</v>
      </c>
      <c r="H60" s="7">
        <v>6.6</v>
      </c>
      <c r="I60" s="7" t="s">
        <v>719</v>
      </c>
    </row>
    <row r="61" spans="1:9">
      <c r="A61" s="7" t="s">
        <v>690</v>
      </c>
      <c r="B61" s="7" t="s">
        <v>1458</v>
      </c>
      <c r="C61" s="7">
        <v>1</v>
      </c>
      <c r="D61" s="7" t="s">
        <v>1390</v>
      </c>
      <c r="E61" s="7" t="s">
        <v>1448</v>
      </c>
      <c r="F61" s="7" t="s">
        <v>1034</v>
      </c>
      <c r="G61" s="7" t="s">
        <v>2693</v>
      </c>
      <c r="H61" s="7">
        <v>6.6</v>
      </c>
      <c r="I61" s="7" t="s">
        <v>719</v>
      </c>
    </row>
    <row r="62" spans="1:9">
      <c r="A62" s="7" t="s">
        <v>690</v>
      </c>
      <c r="B62" s="7" t="s">
        <v>1458</v>
      </c>
      <c r="C62" s="7">
        <v>1</v>
      </c>
      <c r="D62" s="7" t="s">
        <v>1390</v>
      </c>
      <c r="E62" s="7" t="s">
        <v>1448</v>
      </c>
      <c r="F62" s="7" t="s">
        <v>1034</v>
      </c>
      <c r="G62" s="7" t="s">
        <v>206</v>
      </c>
      <c r="H62" s="7">
        <v>6.5</v>
      </c>
      <c r="I62" s="7" t="s">
        <v>719</v>
      </c>
    </row>
    <row r="63" spans="1:9">
      <c r="A63" s="7" t="s">
        <v>690</v>
      </c>
      <c r="B63" s="7" t="s">
        <v>1458</v>
      </c>
      <c r="C63" s="7">
        <v>1</v>
      </c>
      <c r="D63" s="7" t="s">
        <v>1390</v>
      </c>
      <c r="E63" s="7" t="s">
        <v>1448</v>
      </c>
      <c r="F63" s="7" t="s">
        <v>208</v>
      </c>
      <c r="G63" s="7" t="s">
        <v>191</v>
      </c>
      <c r="H63" s="7">
        <v>6.1</v>
      </c>
      <c r="I63" s="7" t="s">
        <v>719</v>
      </c>
    </row>
    <row r="64" spans="1:9">
      <c r="A64" s="7" t="s">
        <v>690</v>
      </c>
      <c r="B64" s="7" t="s">
        <v>1458</v>
      </c>
      <c r="C64" s="7">
        <v>1</v>
      </c>
      <c r="D64" s="7" t="s">
        <v>1390</v>
      </c>
      <c r="E64" s="7" t="s">
        <v>1448</v>
      </c>
      <c r="F64" s="7" t="s">
        <v>208</v>
      </c>
      <c r="G64" s="7" t="s">
        <v>2693</v>
      </c>
      <c r="H64" s="7">
        <v>6.1</v>
      </c>
      <c r="I64" s="7" t="s">
        <v>719</v>
      </c>
    </row>
    <row r="65" spans="1:9">
      <c r="A65" s="7" t="s">
        <v>690</v>
      </c>
      <c r="B65" s="7" t="s">
        <v>1458</v>
      </c>
      <c r="C65" s="7">
        <v>1</v>
      </c>
      <c r="D65" s="7" t="s">
        <v>1390</v>
      </c>
      <c r="E65" s="7" t="s">
        <v>1448</v>
      </c>
      <c r="F65" s="7" t="s">
        <v>208</v>
      </c>
      <c r="G65" s="7" t="s">
        <v>206</v>
      </c>
      <c r="H65" s="7">
        <v>6.5</v>
      </c>
      <c r="I65" s="7" t="s">
        <v>719</v>
      </c>
    </row>
    <row r="66" spans="1:9">
      <c r="A66" s="7" t="s">
        <v>690</v>
      </c>
      <c r="B66" s="7" t="s">
        <v>1458</v>
      </c>
      <c r="C66" s="7">
        <v>1</v>
      </c>
      <c r="D66" s="7" t="s">
        <v>1390</v>
      </c>
      <c r="E66" s="7" t="s">
        <v>1448</v>
      </c>
      <c r="F66" s="7" t="s">
        <v>1027</v>
      </c>
      <c r="G66" s="7" t="s">
        <v>191</v>
      </c>
      <c r="H66" s="7">
        <v>6.6</v>
      </c>
      <c r="I66" s="7" t="s">
        <v>719</v>
      </c>
    </row>
    <row r="67" spans="1:9">
      <c r="A67" s="7" t="s">
        <v>690</v>
      </c>
      <c r="B67" s="7" t="s">
        <v>1458</v>
      </c>
      <c r="C67" s="7">
        <v>1</v>
      </c>
      <c r="D67" s="7" t="s">
        <v>1390</v>
      </c>
      <c r="E67" s="7" t="s">
        <v>1448</v>
      </c>
      <c r="F67" s="7" t="s">
        <v>1027</v>
      </c>
      <c r="G67" s="7" t="s">
        <v>2693</v>
      </c>
      <c r="H67" s="7">
        <v>6.6</v>
      </c>
      <c r="I67" s="7" t="s">
        <v>719</v>
      </c>
    </row>
    <row r="68" spans="1:9">
      <c r="A68" s="7" t="s">
        <v>690</v>
      </c>
      <c r="B68" s="7" t="s">
        <v>1458</v>
      </c>
      <c r="C68" s="7">
        <v>1</v>
      </c>
      <c r="D68" s="7" t="s">
        <v>1390</v>
      </c>
      <c r="E68" s="7" t="s">
        <v>1448</v>
      </c>
      <c r="F68" s="7" t="s">
        <v>1027</v>
      </c>
      <c r="G68" s="7" t="s">
        <v>206</v>
      </c>
      <c r="H68" s="7">
        <v>6.5</v>
      </c>
      <c r="I68" s="7" t="s">
        <v>719</v>
      </c>
    </row>
    <row r="69" spans="1:9">
      <c r="A69" s="7" t="s">
        <v>690</v>
      </c>
      <c r="B69" s="7" t="s">
        <v>1458</v>
      </c>
      <c r="C69" s="7">
        <v>1</v>
      </c>
      <c r="D69" s="7" t="s">
        <v>1390</v>
      </c>
      <c r="E69" s="7" t="s">
        <v>1448</v>
      </c>
      <c r="F69" s="7" t="s">
        <v>2728</v>
      </c>
      <c r="G69" s="7" t="s">
        <v>191</v>
      </c>
      <c r="H69" s="7">
        <v>6.6</v>
      </c>
      <c r="I69" s="7" t="s">
        <v>719</v>
      </c>
    </row>
    <row r="70" spans="1:9">
      <c r="A70" s="7" t="s">
        <v>690</v>
      </c>
      <c r="B70" s="7" t="s">
        <v>1458</v>
      </c>
      <c r="C70" s="7">
        <v>1</v>
      </c>
      <c r="D70" s="7" t="s">
        <v>1390</v>
      </c>
      <c r="E70" s="7" t="s">
        <v>1448</v>
      </c>
      <c r="F70" s="7" t="s">
        <v>2728</v>
      </c>
      <c r="G70" s="7" t="s">
        <v>2693</v>
      </c>
      <c r="H70" s="7">
        <v>6.6</v>
      </c>
      <c r="I70" s="7" t="s">
        <v>719</v>
      </c>
    </row>
    <row r="71" spans="1:9">
      <c r="A71" s="7" t="s">
        <v>690</v>
      </c>
      <c r="B71" s="7" t="s">
        <v>1458</v>
      </c>
      <c r="C71" s="7">
        <v>1</v>
      </c>
      <c r="D71" s="7" t="s">
        <v>1390</v>
      </c>
      <c r="E71" s="7" t="s">
        <v>1448</v>
      </c>
      <c r="F71" s="7" t="s">
        <v>2728</v>
      </c>
      <c r="G71" s="7" t="s">
        <v>206</v>
      </c>
      <c r="H71" s="7">
        <v>6.5</v>
      </c>
      <c r="I71" s="7" t="s">
        <v>719</v>
      </c>
    </row>
    <row r="72" spans="1:9">
      <c r="A72" s="7" t="s">
        <v>690</v>
      </c>
      <c r="B72" s="7" t="s">
        <v>1458</v>
      </c>
      <c r="C72" s="7">
        <v>1</v>
      </c>
      <c r="D72" s="7" t="s">
        <v>1390</v>
      </c>
      <c r="E72" s="7" t="s">
        <v>1448</v>
      </c>
      <c r="F72" s="7" t="s">
        <v>2729</v>
      </c>
      <c r="G72" s="7" t="s">
        <v>191</v>
      </c>
      <c r="H72" s="7">
        <v>6.6</v>
      </c>
      <c r="I72" s="7" t="s">
        <v>719</v>
      </c>
    </row>
    <row r="73" spans="1:9">
      <c r="A73" s="7" t="s">
        <v>690</v>
      </c>
      <c r="B73" s="7" t="s">
        <v>1458</v>
      </c>
      <c r="C73" s="7">
        <v>1</v>
      </c>
      <c r="D73" s="7" t="s">
        <v>1390</v>
      </c>
      <c r="E73" s="7" t="s">
        <v>1448</v>
      </c>
      <c r="F73" s="7" t="s">
        <v>2729</v>
      </c>
      <c r="G73" s="7" t="s">
        <v>2693</v>
      </c>
      <c r="H73" s="7">
        <v>6.6</v>
      </c>
      <c r="I73" s="7" t="s">
        <v>719</v>
      </c>
    </row>
    <row r="74" spans="1:9">
      <c r="A74" s="7" t="s">
        <v>690</v>
      </c>
      <c r="B74" s="7" t="s">
        <v>1458</v>
      </c>
      <c r="C74" s="7">
        <v>1</v>
      </c>
      <c r="D74" s="7" t="s">
        <v>1390</v>
      </c>
      <c r="E74" s="7" t="s">
        <v>1448</v>
      </c>
      <c r="F74" s="7" t="s">
        <v>2729</v>
      </c>
      <c r="G74" s="7" t="s">
        <v>206</v>
      </c>
      <c r="H74" s="7">
        <v>6.5</v>
      </c>
      <c r="I74" s="7" t="s">
        <v>719</v>
      </c>
    </row>
    <row r="75" spans="1:9">
      <c r="A75" s="7" t="s">
        <v>690</v>
      </c>
      <c r="B75" s="7" t="s">
        <v>1458</v>
      </c>
      <c r="C75" s="7">
        <v>1</v>
      </c>
      <c r="D75" s="7" t="s">
        <v>1390</v>
      </c>
      <c r="E75" s="7" t="s">
        <v>1448</v>
      </c>
      <c r="F75" s="7" t="s">
        <v>2730</v>
      </c>
      <c r="G75" s="7" t="s">
        <v>191</v>
      </c>
      <c r="H75" s="7">
        <v>6.6</v>
      </c>
      <c r="I75" s="7" t="s">
        <v>719</v>
      </c>
    </row>
    <row r="76" spans="1:9">
      <c r="A76" s="7" t="s">
        <v>690</v>
      </c>
      <c r="B76" s="7" t="s">
        <v>1458</v>
      </c>
      <c r="C76" s="7">
        <v>1</v>
      </c>
      <c r="D76" s="7" t="s">
        <v>1390</v>
      </c>
      <c r="E76" s="7" t="s">
        <v>1448</v>
      </c>
      <c r="F76" s="7" t="s">
        <v>2730</v>
      </c>
      <c r="G76" s="7" t="s">
        <v>2693</v>
      </c>
      <c r="H76" s="7">
        <v>6.6</v>
      </c>
      <c r="I76" s="7" t="s">
        <v>719</v>
      </c>
    </row>
    <row r="77" spans="1:9">
      <c r="A77" s="7" t="s">
        <v>690</v>
      </c>
      <c r="B77" s="7" t="s">
        <v>1458</v>
      </c>
      <c r="C77" s="7">
        <v>1</v>
      </c>
      <c r="D77" s="7" t="s">
        <v>1390</v>
      </c>
      <c r="E77" s="7" t="s">
        <v>1448</v>
      </c>
      <c r="F77" s="7" t="s">
        <v>2730</v>
      </c>
      <c r="G77" s="7" t="s">
        <v>206</v>
      </c>
      <c r="H77" s="7">
        <v>6.5</v>
      </c>
      <c r="I77" s="7" t="s">
        <v>719</v>
      </c>
    </row>
    <row r="78" spans="1:9">
      <c r="A78" s="7" t="s">
        <v>690</v>
      </c>
      <c r="B78" s="7" t="s">
        <v>1458</v>
      </c>
      <c r="C78" s="7">
        <v>1</v>
      </c>
      <c r="D78" s="7" t="s">
        <v>1390</v>
      </c>
      <c r="E78" s="7" t="s">
        <v>1448</v>
      </c>
      <c r="F78" s="7" t="s">
        <v>209</v>
      </c>
      <c r="G78" s="7" t="s">
        <v>191</v>
      </c>
      <c r="H78" s="7">
        <v>6.6</v>
      </c>
      <c r="I78" s="7" t="s">
        <v>719</v>
      </c>
    </row>
    <row r="79" spans="1:9">
      <c r="A79" s="7" t="s">
        <v>690</v>
      </c>
      <c r="B79" s="7" t="s">
        <v>1458</v>
      </c>
      <c r="C79" s="7">
        <v>1</v>
      </c>
      <c r="D79" s="7" t="s">
        <v>1390</v>
      </c>
      <c r="E79" s="7" t="s">
        <v>1448</v>
      </c>
      <c r="F79" s="7" t="s">
        <v>209</v>
      </c>
      <c r="G79" s="7" t="s">
        <v>2693</v>
      </c>
      <c r="H79" s="7">
        <v>6.6</v>
      </c>
      <c r="I79" s="7" t="s">
        <v>719</v>
      </c>
    </row>
    <row r="80" spans="1:9">
      <c r="A80" s="7" t="s">
        <v>690</v>
      </c>
      <c r="B80" s="7" t="s">
        <v>1458</v>
      </c>
      <c r="C80" s="7">
        <v>1</v>
      </c>
      <c r="D80" s="7" t="s">
        <v>1390</v>
      </c>
      <c r="E80" s="7" t="s">
        <v>1448</v>
      </c>
      <c r="F80" s="7" t="s">
        <v>209</v>
      </c>
      <c r="G80" s="7" t="s">
        <v>206</v>
      </c>
      <c r="H80" s="7">
        <v>6.5</v>
      </c>
      <c r="I80" s="7" t="s">
        <v>719</v>
      </c>
    </row>
    <row r="81" spans="1:9">
      <c r="A81" s="7" t="s">
        <v>690</v>
      </c>
      <c r="B81" s="7" t="s">
        <v>1458</v>
      </c>
      <c r="C81" s="7">
        <v>1</v>
      </c>
      <c r="D81" s="7" t="s">
        <v>1390</v>
      </c>
      <c r="E81" s="7" t="s">
        <v>1448</v>
      </c>
      <c r="F81" s="7" t="s">
        <v>2731</v>
      </c>
      <c r="G81" s="7" t="s">
        <v>191</v>
      </c>
      <c r="H81" s="7">
        <v>6.6</v>
      </c>
      <c r="I81" s="7" t="s">
        <v>719</v>
      </c>
    </row>
    <row r="82" spans="1:9">
      <c r="A82" s="7" t="s">
        <v>690</v>
      </c>
      <c r="B82" s="7" t="s">
        <v>1458</v>
      </c>
      <c r="C82" s="7">
        <v>1</v>
      </c>
      <c r="D82" s="7" t="s">
        <v>1390</v>
      </c>
      <c r="E82" s="7" t="s">
        <v>1448</v>
      </c>
      <c r="F82" s="7" t="s">
        <v>2731</v>
      </c>
      <c r="G82" s="7" t="s">
        <v>2693</v>
      </c>
      <c r="H82" s="7">
        <v>6.6</v>
      </c>
      <c r="I82" s="7" t="s">
        <v>719</v>
      </c>
    </row>
    <row r="83" spans="1:9">
      <c r="A83" s="7" t="s">
        <v>690</v>
      </c>
      <c r="B83" s="7" t="s">
        <v>1458</v>
      </c>
      <c r="C83" s="7">
        <v>1</v>
      </c>
      <c r="D83" s="7" t="s">
        <v>1390</v>
      </c>
      <c r="E83" s="7" t="s">
        <v>1448</v>
      </c>
      <c r="F83" s="7" t="s">
        <v>2731</v>
      </c>
      <c r="G83" s="7" t="s">
        <v>206</v>
      </c>
      <c r="H83" s="7">
        <v>6.5</v>
      </c>
      <c r="I83" s="7" t="s">
        <v>719</v>
      </c>
    </row>
    <row r="84" spans="1:9">
      <c r="A84" s="7" t="s">
        <v>690</v>
      </c>
      <c r="B84" s="7" t="s">
        <v>1458</v>
      </c>
      <c r="C84" s="7">
        <v>1</v>
      </c>
      <c r="D84" s="7" t="s">
        <v>1390</v>
      </c>
      <c r="E84" s="7" t="s">
        <v>1448</v>
      </c>
      <c r="F84" s="7" t="s">
        <v>2732</v>
      </c>
      <c r="G84" s="7" t="s">
        <v>191</v>
      </c>
      <c r="H84" s="7">
        <v>6.6</v>
      </c>
      <c r="I84" s="7" t="s">
        <v>719</v>
      </c>
    </row>
    <row r="85" spans="1:9">
      <c r="A85" s="7" t="s">
        <v>690</v>
      </c>
      <c r="B85" s="7" t="s">
        <v>1458</v>
      </c>
      <c r="C85" s="7">
        <v>1</v>
      </c>
      <c r="D85" s="7" t="s">
        <v>1390</v>
      </c>
      <c r="E85" s="7" t="s">
        <v>1448</v>
      </c>
      <c r="F85" s="7" t="s">
        <v>2732</v>
      </c>
      <c r="G85" s="7" t="s">
        <v>2693</v>
      </c>
      <c r="H85" s="7">
        <v>6.6</v>
      </c>
      <c r="I85" s="7" t="s">
        <v>719</v>
      </c>
    </row>
    <row r="86" spans="1:9">
      <c r="A86" s="7" t="s">
        <v>690</v>
      </c>
      <c r="B86" s="7" t="s">
        <v>1458</v>
      </c>
      <c r="C86" s="7">
        <v>1</v>
      </c>
      <c r="D86" s="7" t="s">
        <v>1390</v>
      </c>
      <c r="E86" s="7" t="s">
        <v>1448</v>
      </c>
      <c r="F86" s="7" t="s">
        <v>2732</v>
      </c>
      <c r="G86" s="7" t="s">
        <v>206</v>
      </c>
      <c r="H86" s="7">
        <v>6.5</v>
      </c>
      <c r="I86" s="7" t="s">
        <v>719</v>
      </c>
    </row>
    <row r="87" spans="1:9">
      <c r="A87" s="7" t="s">
        <v>690</v>
      </c>
      <c r="B87" s="7" t="s">
        <v>1458</v>
      </c>
      <c r="C87" s="7">
        <v>1</v>
      </c>
      <c r="D87" s="7" t="s">
        <v>1390</v>
      </c>
      <c r="E87" s="7" t="s">
        <v>1448</v>
      </c>
      <c r="F87" s="7" t="s">
        <v>210</v>
      </c>
      <c r="G87" s="7" t="s">
        <v>191</v>
      </c>
      <c r="H87" s="7">
        <v>6.6</v>
      </c>
      <c r="I87" s="7" t="s">
        <v>719</v>
      </c>
    </row>
    <row r="88" spans="1:9">
      <c r="A88" s="7" t="s">
        <v>690</v>
      </c>
      <c r="B88" s="7" t="s">
        <v>1458</v>
      </c>
      <c r="C88" s="7">
        <v>1</v>
      </c>
      <c r="D88" s="7" t="s">
        <v>1390</v>
      </c>
      <c r="E88" s="7" t="s">
        <v>1448</v>
      </c>
      <c r="F88" s="7" t="s">
        <v>210</v>
      </c>
      <c r="G88" s="7" t="s">
        <v>2693</v>
      </c>
      <c r="H88" s="7">
        <v>6.6</v>
      </c>
      <c r="I88" s="7" t="s">
        <v>719</v>
      </c>
    </row>
    <row r="89" spans="1:9">
      <c r="A89" s="7" t="s">
        <v>690</v>
      </c>
      <c r="B89" s="7" t="s">
        <v>1458</v>
      </c>
      <c r="C89" s="7">
        <v>1</v>
      </c>
      <c r="D89" s="7" t="s">
        <v>1390</v>
      </c>
      <c r="E89" s="7" t="s">
        <v>1448</v>
      </c>
      <c r="F89" s="7" t="s">
        <v>210</v>
      </c>
      <c r="G89" s="7" t="s">
        <v>206</v>
      </c>
      <c r="H89" s="7">
        <v>6.5</v>
      </c>
      <c r="I89" s="7" t="s">
        <v>719</v>
      </c>
    </row>
    <row r="90" spans="1:9">
      <c r="A90" s="7" t="s">
        <v>690</v>
      </c>
      <c r="B90" s="7" t="s">
        <v>1458</v>
      </c>
      <c r="C90" s="7">
        <v>1</v>
      </c>
      <c r="D90" s="7" t="s">
        <v>1390</v>
      </c>
      <c r="E90" s="7" t="s">
        <v>1448</v>
      </c>
      <c r="F90" s="7" t="s">
        <v>190</v>
      </c>
      <c r="G90" s="7" t="s">
        <v>191</v>
      </c>
      <c r="H90" s="7">
        <v>6.2</v>
      </c>
      <c r="I90" s="7" t="s">
        <v>719</v>
      </c>
    </row>
    <row r="91" spans="1:9">
      <c r="A91" s="7" t="s">
        <v>690</v>
      </c>
      <c r="B91" s="7" t="s">
        <v>1458</v>
      </c>
      <c r="C91" s="7">
        <v>1</v>
      </c>
      <c r="D91" s="7" t="s">
        <v>1390</v>
      </c>
      <c r="E91" s="7" t="s">
        <v>1448</v>
      </c>
      <c r="F91" s="7" t="s">
        <v>190</v>
      </c>
      <c r="G91" s="7" t="s">
        <v>2693</v>
      </c>
      <c r="H91" s="7">
        <v>6.2</v>
      </c>
      <c r="I91" s="7" t="s">
        <v>719</v>
      </c>
    </row>
    <row r="92" spans="1:9">
      <c r="A92" s="7" t="s">
        <v>690</v>
      </c>
      <c r="B92" s="7" t="s">
        <v>1458</v>
      </c>
      <c r="C92" s="7">
        <v>1</v>
      </c>
      <c r="D92" s="7" t="s">
        <v>1390</v>
      </c>
      <c r="E92" s="7" t="s">
        <v>1448</v>
      </c>
      <c r="F92" s="7" t="s">
        <v>190</v>
      </c>
      <c r="G92" s="7" t="s">
        <v>206</v>
      </c>
      <c r="H92" s="7">
        <v>6.5</v>
      </c>
      <c r="I92" s="7" t="s">
        <v>719</v>
      </c>
    </row>
    <row r="93" spans="1:9">
      <c r="A93" s="7" t="s">
        <v>690</v>
      </c>
      <c r="B93" s="7" t="s">
        <v>1458</v>
      </c>
      <c r="C93" s="7">
        <v>1</v>
      </c>
      <c r="D93" s="7" t="s">
        <v>1390</v>
      </c>
      <c r="E93" s="7" t="s">
        <v>2733</v>
      </c>
      <c r="F93" s="7" t="s">
        <v>2734</v>
      </c>
      <c r="G93" s="7" t="s">
        <v>191</v>
      </c>
      <c r="H93" s="7">
        <v>6.4</v>
      </c>
      <c r="I93" s="7" t="s">
        <v>719</v>
      </c>
    </row>
    <row r="94" spans="1:9">
      <c r="A94" s="7" t="s">
        <v>690</v>
      </c>
      <c r="B94" s="7" t="s">
        <v>1458</v>
      </c>
      <c r="C94" s="7">
        <v>1</v>
      </c>
      <c r="D94" s="7" t="s">
        <v>1390</v>
      </c>
      <c r="E94" s="7" t="s">
        <v>2733</v>
      </c>
      <c r="F94" s="7" t="s">
        <v>2734</v>
      </c>
      <c r="G94" s="7" t="s">
        <v>2693</v>
      </c>
      <c r="H94" s="7">
        <v>6.4</v>
      </c>
      <c r="I94" s="7" t="s">
        <v>719</v>
      </c>
    </row>
    <row r="95" spans="1:9">
      <c r="A95" s="7" t="s">
        <v>690</v>
      </c>
      <c r="B95" s="7" t="s">
        <v>1458</v>
      </c>
      <c r="C95" s="7">
        <v>1</v>
      </c>
      <c r="D95" s="7" t="s">
        <v>1390</v>
      </c>
      <c r="E95" s="7" t="s">
        <v>2733</v>
      </c>
      <c r="F95" s="7" t="s">
        <v>2734</v>
      </c>
      <c r="G95" s="7" t="s">
        <v>206</v>
      </c>
      <c r="H95" s="7">
        <v>6.5</v>
      </c>
      <c r="I95" s="7" t="s">
        <v>719</v>
      </c>
    </row>
    <row r="96" spans="1:9">
      <c r="A96" s="7" t="s">
        <v>690</v>
      </c>
      <c r="B96" s="7" t="s">
        <v>1458</v>
      </c>
      <c r="C96" s="7">
        <v>1</v>
      </c>
      <c r="D96" s="7" t="s">
        <v>1390</v>
      </c>
      <c r="E96" s="7" t="s">
        <v>2733</v>
      </c>
      <c r="F96" s="7" t="s">
        <v>2735</v>
      </c>
      <c r="G96" s="7" t="s">
        <v>191</v>
      </c>
      <c r="H96" s="7">
        <v>6.4</v>
      </c>
      <c r="I96" s="7" t="s">
        <v>719</v>
      </c>
    </row>
    <row r="97" spans="1:9">
      <c r="A97" s="7" t="s">
        <v>690</v>
      </c>
      <c r="B97" s="7" t="s">
        <v>1458</v>
      </c>
      <c r="C97" s="7">
        <v>1</v>
      </c>
      <c r="D97" s="7" t="s">
        <v>1390</v>
      </c>
      <c r="E97" s="7" t="s">
        <v>2733</v>
      </c>
      <c r="F97" s="7" t="s">
        <v>2735</v>
      </c>
      <c r="G97" s="7" t="s">
        <v>2693</v>
      </c>
      <c r="H97" s="7">
        <v>6.4</v>
      </c>
      <c r="I97" s="7" t="s">
        <v>719</v>
      </c>
    </row>
    <row r="98" spans="1:9">
      <c r="A98" s="7" t="s">
        <v>690</v>
      </c>
      <c r="B98" s="7" t="s">
        <v>1458</v>
      </c>
      <c r="C98" s="7">
        <v>1</v>
      </c>
      <c r="D98" s="7" t="s">
        <v>1390</v>
      </c>
      <c r="E98" s="7" t="s">
        <v>2733</v>
      </c>
      <c r="F98" s="7" t="s">
        <v>2735</v>
      </c>
      <c r="G98" s="7" t="s">
        <v>206</v>
      </c>
      <c r="H98" s="7">
        <v>6.5</v>
      </c>
      <c r="I98" s="7" t="s">
        <v>719</v>
      </c>
    </row>
    <row r="99" spans="1:9">
      <c r="A99" s="7" t="s">
        <v>690</v>
      </c>
      <c r="B99" s="7" t="s">
        <v>1458</v>
      </c>
      <c r="C99" s="7">
        <v>1</v>
      </c>
      <c r="D99" s="7" t="s">
        <v>1390</v>
      </c>
      <c r="E99" s="7" t="s">
        <v>2733</v>
      </c>
      <c r="F99" s="7" t="s">
        <v>2736</v>
      </c>
      <c r="G99" s="7" t="s">
        <v>191</v>
      </c>
      <c r="H99" s="7">
        <v>6.4</v>
      </c>
      <c r="I99" s="7" t="s">
        <v>719</v>
      </c>
    </row>
    <row r="100" spans="1:9">
      <c r="A100" s="7" t="s">
        <v>690</v>
      </c>
      <c r="B100" s="7" t="s">
        <v>1458</v>
      </c>
      <c r="C100" s="7">
        <v>1</v>
      </c>
      <c r="D100" s="7" t="s">
        <v>1390</v>
      </c>
      <c r="E100" s="7" t="s">
        <v>2733</v>
      </c>
      <c r="F100" s="7" t="s">
        <v>2736</v>
      </c>
      <c r="G100" s="7" t="s">
        <v>2693</v>
      </c>
      <c r="H100" s="7">
        <v>6.4</v>
      </c>
      <c r="I100" s="7" t="s">
        <v>719</v>
      </c>
    </row>
    <row r="101" spans="1:9">
      <c r="A101" s="7" t="s">
        <v>690</v>
      </c>
      <c r="B101" s="7" t="s">
        <v>1458</v>
      </c>
      <c r="C101" s="7">
        <v>1</v>
      </c>
      <c r="D101" s="7" t="s">
        <v>1390</v>
      </c>
      <c r="E101" s="7" t="s">
        <v>2733</v>
      </c>
      <c r="F101" s="7" t="s">
        <v>2736</v>
      </c>
      <c r="G101" s="7" t="s">
        <v>206</v>
      </c>
      <c r="H101" s="7">
        <v>6.5</v>
      </c>
      <c r="I101" s="7" t="s">
        <v>719</v>
      </c>
    </row>
    <row r="102" spans="1:9">
      <c r="A102" s="7" t="s">
        <v>690</v>
      </c>
      <c r="B102" s="7" t="s">
        <v>1458</v>
      </c>
      <c r="C102" s="7">
        <v>1</v>
      </c>
      <c r="D102" s="7" t="s">
        <v>1390</v>
      </c>
      <c r="E102" s="7" t="s">
        <v>2733</v>
      </c>
      <c r="F102" s="7" t="s">
        <v>2737</v>
      </c>
      <c r="G102" s="7" t="s">
        <v>191</v>
      </c>
      <c r="H102" s="7">
        <v>6.4</v>
      </c>
      <c r="I102" s="7" t="s">
        <v>719</v>
      </c>
    </row>
    <row r="103" spans="1:9">
      <c r="A103" s="7" t="s">
        <v>690</v>
      </c>
      <c r="B103" s="7" t="s">
        <v>1458</v>
      </c>
      <c r="C103" s="7">
        <v>1</v>
      </c>
      <c r="D103" s="7" t="s">
        <v>1390</v>
      </c>
      <c r="E103" s="7" t="s">
        <v>2733</v>
      </c>
      <c r="F103" s="7" t="s">
        <v>2737</v>
      </c>
      <c r="G103" s="7" t="s">
        <v>2693</v>
      </c>
      <c r="H103" s="7">
        <v>6.4</v>
      </c>
      <c r="I103" s="7" t="s">
        <v>719</v>
      </c>
    </row>
    <row r="104" spans="1:9">
      <c r="A104" s="7" t="s">
        <v>690</v>
      </c>
      <c r="B104" s="7" t="s">
        <v>1458</v>
      </c>
      <c r="C104" s="7">
        <v>1</v>
      </c>
      <c r="D104" s="7" t="s">
        <v>1390</v>
      </c>
      <c r="E104" s="7" t="s">
        <v>2733</v>
      </c>
      <c r="F104" s="7" t="s">
        <v>2737</v>
      </c>
      <c r="G104" s="7" t="s">
        <v>206</v>
      </c>
      <c r="H104" s="7">
        <v>6.5</v>
      </c>
      <c r="I104" s="7" t="s">
        <v>719</v>
      </c>
    </row>
    <row r="105" spans="1:9">
      <c r="A105" s="7" t="s">
        <v>690</v>
      </c>
      <c r="B105" s="7" t="s">
        <v>1458</v>
      </c>
      <c r="C105" s="7">
        <v>1</v>
      </c>
      <c r="D105" s="7" t="s">
        <v>1390</v>
      </c>
      <c r="E105" s="7" t="s">
        <v>2738</v>
      </c>
      <c r="F105" s="7" t="s">
        <v>2739</v>
      </c>
      <c r="G105" s="7" t="s">
        <v>191</v>
      </c>
      <c r="H105" s="7">
        <v>6.4</v>
      </c>
      <c r="I105" s="7" t="s">
        <v>719</v>
      </c>
    </row>
    <row r="106" spans="1:9">
      <c r="A106" s="7" t="s">
        <v>690</v>
      </c>
      <c r="B106" s="7" t="s">
        <v>1458</v>
      </c>
      <c r="C106" s="7">
        <v>1</v>
      </c>
      <c r="D106" s="7" t="s">
        <v>1390</v>
      </c>
      <c r="E106" s="7" t="s">
        <v>2738</v>
      </c>
      <c r="F106" s="7" t="s">
        <v>2739</v>
      </c>
      <c r="G106" s="7" t="s">
        <v>2693</v>
      </c>
      <c r="H106" s="7">
        <v>6.4</v>
      </c>
      <c r="I106" s="7" t="s">
        <v>719</v>
      </c>
    </row>
    <row r="107" spans="1:9">
      <c r="A107" s="7" t="s">
        <v>690</v>
      </c>
      <c r="B107" s="7" t="s">
        <v>1458</v>
      </c>
      <c r="C107" s="7">
        <v>1</v>
      </c>
      <c r="D107" s="7" t="s">
        <v>1390</v>
      </c>
      <c r="E107" s="7" t="s">
        <v>2738</v>
      </c>
      <c r="F107" s="7" t="s">
        <v>2739</v>
      </c>
      <c r="G107" s="7" t="s">
        <v>206</v>
      </c>
      <c r="H107" s="7">
        <v>6.5</v>
      </c>
      <c r="I107" s="7" t="s">
        <v>719</v>
      </c>
    </row>
    <row r="108" spans="1:9">
      <c r="A108" s="7" t="s">
        <v>690</v>
      </c>
      <c r="B108" s="7" t="s">
        <v>1458</v>
      </c>
      <c r="C108" s="7">
        <v>1</v>
      </c>
      <c r="D108" s="7" t="s">
        <v>1390</v>
      </c>
      <c r="E108" s="7" t="s">
        <v>2738</v>
      </c>
      <c r="F108" s="7" t="s">
        <v>2740</v>
      </c>
      <c r="G108" s="7" t="s">
        <v>191</v>
      </c>
      <c r="H108" s="7">
        <v>6.4</v>
      </c>
      <c r="I108" s="7" t="s">
        <v>719</v>
      </c>
    </row>
    <row r="109" spans="1:9">
      <c r="A109" s="7" t="s">
        <v>690</v>
      </c>
      <c r="B109" s="7" t="s">
        <v>1458</v>
      </c>
      <c r="C109" s="7">
        <v>1</v>
      </c>
      <c r="D109" s="7" t="s">
        <v>1390</v>
      </c>
      <c r="E109" s="7" t="s">
        <v>2738</v>
      </c>
      <c r="F109" s="7" t="s">
        <v>2740</v>
      </c>
      <c r="G109" s="7" t="s">
        <v>2693</v>
      </c>
      <c r="H109" s="7">
        <v>6.4</v>
      </c>
      <c r="I109" s="7" t="s">
        <v>719</v>
      </c>
    </row>
    <row r="110" spans="1:9">
      <c r="A110" s="7" t="s">
        <v>690</v>
      </c>
      <c r="B110" s="7" t="s">
        <v>1458</v>
      </c>
      <c r="C110" s="7">
        <v>1</v>
      </c>
      <c r="D110" s="7" t="s">
        <v>1390</v>
      </c>
      <c r="E110" s="7" t="s">
        <v>2738</v>
      </c>
      <c r="F110" s="7" t="s">
        <v>2740</v>
      </c>
      <c r="G110" s="7" t="s">
        <v>206</v>
      </c>
      <c r="H110" s="7">
        <v>6.5</v>
      </c>
      <c r="I110" s="7" t="s">
        <v>719</v>
      </c>
    </row>
    <row r="111" spans="1:9">
      <c r="A111" s="7" t="s">
        <v>690</v>
      </c>
      <c r="B111" s="7" t="s">
        <v>1458</v>
      </c>
      <c r="C111" s="7">
        <v>1</v>
      </c>
      <c r="D111" s="7" t="s">
        <v>1390</v>
      </c>
      <c r="E111" s="7" t="s">
        <v>3058</v>
      </c>
      <c r="F111" s="7" t="s">
        <v>2741</v>
      </c>
      <c r="G111" s="7" t="s">
        <v>191</v>
      </c>
      <c r="H111" s="7">
        <v>6.6</v>
      </c>
      <c r="I111" s="7" t="s">
        <v>719</v>
      </c>
    </row>
    <row r="112" spans="1:9">
      <c r="A112" s="7" t="s">
        <v>690</v>
      </c>
      <c r="B112" s="7" t="s">
        <v>1458</v>
      </c>
      <c r="C112" s="7">
        <v>1</v>
      </c>
      <c r="D112" s="7" t="s">
        <v>1390</v>
      </c>
      <c r="E112" s="7" t="s">
        <v>3058</v>
      </c>
      <c r="F112" s="7" t="s">
        <v>2741</v>
      </c>
      <c r="G112" s="7" t="s">
        <v>2693</v>
      </c>
      <c r="H112" s="7">
        <v>6.6</v>
      </c>
      <c r="I112" s="7" t="s">
        <v>719</v>
      </c>
    </row>
    <row r="113" spans="1:9">
      <c r="A113" s="7" t="s">
        <v>690</v>
      </c>
      <c r="B113" s="7" t="s">
        <v>1458</v>
      </c>
      <c r="C113" s="7">
        <v>1</v>
      </c>
      <c r="D113" s="7" t="s">
        <v>1390</v>
      </c>
      <c r="E113" s="7" t="s">
        <v>3058</v>
      </c>
      <c r="F113" s="7" t="s">
        <v>2741</v>
      </c>
      <c r="G113" s="7" t="s">
        <v>206</v>
      </c>
      <c r="H113" s="7">
        <v>6.5</v>
      </c>
      <c r="I113" s="7" t="s">
        <v>719</v>
      </c>
    </row>
    <row r="114" spans="1:9">
      <c r="A114" s="7" t="s">
        <v>690</v>
      </c>
      <c r="B114" s="7" t="s">
        <v>1458</v>
      </c>
      <c r="C114" s="7">
        <v>1</v>
      </c>
      <c r="D114" s="7" t="s">
        <v>1390</v>
      </c>
      <c r="E114" s="7" t="s">
        <v>3058</v>
      </c>
      <c r="F114" s="7" t="s">
        <v>2742</v>
      </c>
      <c r="G114" s="7" t="s">
        <v>191</v>
      </c>
      <c r="H114" s="7">
        <v>6.6</v>
      </c>
      <c r="I114" s="7" t="s">
        <v>719</v>
      </c>
    </row>
    <row r="115" spans="1:9">
      <c r="A115" s="7" t="s">
        <v>690</v>
      </c>
      <c r="B115" s="7" t="s">
        <v>1458</v>
      </c>
      <c r="C115" s="7">
        <v>1</v>
      </c>
      <c r="D115" s="7" t="s">
        <v>1390</v>
      </c>
      <c r="E115" s="7" t="s">
        <v>3058</v>
      </c>
      <c r="F115" s="7" t="s">
        <v>2742</v>
      </c>
      <c r="G115" s="7" t="s">
        <v>2693</v>
      </c>
      <c r="H115" s="7">
        <v>6.6</v>
      </c>
      <c r="I115" s="7" t="s">
        <v>719</v>
      </c>
    </row>
    <row r="116" spans="1:9">
      <c r="A116" s="7" t="s">
        <v>690</v>
      </c>
      <c r="B116" s="7" t="s">
        <v>1458</v>
      </c>
      <c r="C116" s="7">
        <v>1</v>
      </c>
      <c r="D116" s="7" t="s">
        <v>1390</v>
      </c>
      <c r="E116" s="7" t="s">
        <v>3058</v>
      </c>
      <c r="F116" s="7" t="s">
        <v>2742</v>
      </c>
      <c r="G116" s="7" t="s">
        <v>206</v>
      </c>
      <c r="H116" s="7">
        <v>6.5</v>
      </c>
      <c r="I116" s="7" t="s">
        <v>719</v>
      </c>
    </row>
    <row r="117" spans="1:9">
      <c r="A117" s="7" t="s">
        <v>690</v>
      </c>
      <c r="B117" s="7" t="s">
        <v>1459</v>
      </c>
      <c r="C117" s="7">
        <v>1</v>
      </c>
      <c r="D117" s="7" t="s">
        <v>693</v>
      </c>
      <c r="E117" s="7" t="s">
        <v>693</v>
      </c>
      <c r="F117" s="7" t="s">
        <v>193</v>
      </c>
      <c r="G117" s="7" t="s">
        <v>1320</v>
      </c>
      <c r="H117" s="7">
        <v>5.3</v>
      </c>
      <c r="I117" s="7" t="s">
        <v>2705</v>
      </c>
    </row>
    <row r="118" spans="1:9">
      <c r="A118" s="7" t="s">
        <v>690</v>
      </c>
      <c r="B118" s="7" t="s">
        <v>1459</v>
      </c>
      <c r="C118" s="7">
        <v>1</v>
      </c>
      <c r="D118" s="7" t="s">
        <v>693</v>
      </c>
      <c r="E118" s="7" t="s">
        <v>693</v>
      </c>
      <c r="F118" s="7" t="s">
        <v>193</v>
      </c>
      <c r="G118" s="7" t="s">
        <v>1321</v>
      </c>
      <c r="H118" s="7">
        <v>5.3</v>
      </c>
      <c r="I118" s="7" t="s">
        <v>2705</v>
      </c>
    </row>
    <row r="119" spans="1:9">
      <c r="A119" s="7" t="s">
        <v>690</v>
      </c>
      <c r="B119" s="7" t="s">
        <v>1459</v>
      </c>
      <c r="C119" s="7">
        <v>1</v>
      </c>
      <c r="D119" s="7" t="s">
        <v>693</v>
      </c>
      <c r="E119" s="7" t="s">
        <v>693</v>
      </c>
      <c r="F119" s="7" t="s">
        <v>193</v>
      </c>
      <c r="G119" s="7" t="s">
        <v>1322</v>
      </c>
      <c r="H119" s="7">
        <v>5.3</v>
      </c>
      <c r="I119" s="7" t="s">
        <v>2705</v>
      </c>
    </row>
    <row r="120" spans="1:9">
      <c r="A120" s="7" t="s">
        <v>690</v>
      </c>
      <c r="B120" s="7" t="s">
        <v>1459</v>
      </c>
      <c r="C120" s="7">
        <v>1</v>
      </c>
      <c r="D120" s="7" t="s">
        <v>693</v>
      </c>
      <c r="E120" s="7" t="s">
        <v>693</v>
      </c>
      <c r="F120" s="7" t="s">
        <v>193</v>
      </c>
      <c r="G120" s="7" t="s">
        <v>2700</v>
      </c>
      <c r="H120" s="7">
        <v>5.3</v>
      </c>
      <c r="I120" s="7" t="s">
        <v>2705</v>
      </c>
    </row>
    <row r="121" spans="1:9">
      <c r="A121" s="7" t="s">
        <v>690</v>
      </c>
      <c r="B121" s="7" t="s">
        <v>1459</v>
      </c>
      <c r="C121" s="7">
        <v>1</v>
      </c>
      <c r="D121" s="7" t="s">
        <v>693</v>
      </c>
      <c r="E121" s="7" t="s">
        <v>693</v>
      </c>
      <c r="F121" s="7" t="s">
        <v>193</v>
      </c>
      <c r="G121" s="7" t="s">
        <v>1323</v>
      </c>
      <c r="H121" s="7">
        <v>5.3</v>
      </c>
      <c r="I121" s="7" t="s">
        <v>2705</v>
      </c>
    </row>
    <row r="122" spans="1:9">
      <c r="A122" s="7" t="s">
        <v>690</v>
      </c>
      <c r="B122" s="7" t="s">
        <v>1459</v>
      </c>
      <c r="C122" s="7">
        <v>1</v>
      </c>
      <c r="D122" s="7" t="s">
        <v>693</v>
      </c>
      <c r="E122" s="7" t="s">
        <v>693</v>
      </c>
      <c r="F122" s="7" t="s">
        <v>197</v>
      </c>
      <c r="G122" s="7" t="s">
        <v>1306</v>
      </c>
      <c r="H122" s="7">
        <v>5.2</v>
      </c>
      <c r="I122" s="7" t="s">
        <v>718</v>
      </c>
    </row>
    <row r="123" spans="1:9">
      <c r="A123" s="7" t="s">
        <v>690</v>
      </c>
      <c r="B123" s="7" t="s">
        <v>1459</v>
      </c>
      <c r="C123" s="7">
        <v>1</v>
      </c>
      <c r="D123" s="7" t="s">
        <v>693</v>
      </c>
      <c r="E123" s="7" t="s">
        <v>693</v>
      </c>
      <c r="F123" s="7" t="s">
        <v>197</v>
      </c>
      <c r="G123" s="7" t="s">
        <v>1307</v>
      </c>
      <c r="H123" s="7">
        <v>5.2</v>
      </c>
      <c r="I123" s="7" t="s">
        <v>718</v>
      </c>
    </row>
    <row r="124" spans="1:9">
      <c r="A124" s="7" t="s">
        <v>690</v>
      </c>
      <c r="B124" s="7" t="s">
        <v>1459</v>
      </c>
      <c r="C124" s="7">
        <v>1</v>
      </c>
      <c r="D124" s="7" t="s">
        <v>693</v>
      </c>
      <c r="E124" s="7" t="s">
        <v>693</v>
      </c>
      <c r="F124" s="7" t="s">
        <v>197</v>
      </c>
      <c r="G124" s="7" t="s">
        <v>1308</v>
      </c>
      <c r="H124" s="7">
        <v>5.2</v>
      </c>
      <c r="I124" s="7" t="s">
        <v>718</v>
      </c>
    </row>
    <row r="125" spans="1:9">
      <c r="A125" s="7" t="s">
        <v>690</v>
      </c>
      <c r="B125" s="7" t="s">
        <v>1459</v>
      </c>
      <c r="C125" s="7">
        <v>1</v>
      </c>
      <c r="D125" s="7" t="s">
        <v>693</v>
      </c>
      <c r="E125" s="7" t="s">
        <v>693</v>
      </c>
      <c r="F125" s="7" t="s">
        <v>197</v>
      </c>
      <c r="G125" s="7" t="s">
        <v>1309</v>
      </c>
      <c r="H125" s="7">
        <v>5.2</v>
      </c>
      <c r="I125" s="7" t="s">
        <v>718</v>
      </c>
    </row>
    <row r="126" spans="1:9">
      <c r="A126" s="7" t="s">
        <v>690</v>
      </c>
      <c r="B126" s="7" t="s">
        <v>1459</v>
      </c>
      <c r="C126" s="7">
        <v>1</v>
      </c>
      <c r="D126" s="7" t="s">
        <v>693</v>
      </c>
      <c r="E126" s="7" t="s">
        <v>693</v>
      </c>
      <c r="F126" s="7" t="s">
        <v>197</v>
      </c>
      <c r="G126" s="7" t="s">
        <v>1310</v>
      </c>
      <c r="H126" s="7">
        <v>5.2</v>
      </c>
      <c r="I126" s="7" t="s">
        <v>718</v>
      </c>
    </row>
    <row r="127" spans="1:9">
      <c r="A127" s="7" t="s">
        <v>690</v>
      </c>
      <c r="B127" s="7" t="s">
        <v>1459</v>
      </c>
      <c r="C127" s="7">
        <v>1</v>
      </c>
      <c r="D127" s="7" t="s">
        <v>693</v>
      </c>
      <c r="E127" s="7" t="s">
        <v>693</v>
      </c>
      <c r="F127" s="7" t="s">
        <v>197</v>
      </c>
      <c r="G127" s="7" t="s">
        <v>1311</v>
      </c>
      <c r="H127" s="7">
        <v>5.2</v>
      </c>
      <c r="I127" s="7" t="s">
        <v>718</v>
      </c>
    </row>
    <row r="128" spans="1:9">
      <c r="A128" s="7" t="s">
        <v>690</v>
      </c>
      <c r="B128" s="7" t="s">
        <v>1459</v>
      </c>
      <c r="C128" s="7">
        <v>1</v>
      </c>
      <c r="D128" s="7" t="s">
        <v>693</v>
      </c>
      <c r="E128" s="7" t="s">
        <v>693</v>
      </c>
      <c r="F128" s="7" t="s">
        <v>197</v>
      </c>
      <c r="G128" s="7" t="s">
        <v>1312</v>
      </c>
      <c r="H128" s="7">
        <v>5.2</v>
      </c>
      <c r="I128" s="7" t="s">
        <v>718</v>
      </c>
    </row>
    <row r="129" spans="1:9">
      <c r="A129" s="7" t="s">
        <v>690</v>
      </c>
      <c r="B129" s="7" t="s">
        <v>1459</v>
      </c>
      <c r="C129" s="7">
        <v>1</v>
      </c>
      <c r="D129" s="7" t="s">
        <v>693</v>
      </c>
      <c r="E129" s="7" t="s">
        <v>693</v>
      </c>
      <c r="F129" s="7" t="s">
        <v>197</v>
      </c>
      <c r="G129" s="7" t="s">
        <v>1313</v>
      </c>
      <c r="H129" s="7">
        <v>5.2</v>
      </c>
      <c r="I129" s="7" t="s">
        <v>718</v>
      </c>
    </row>
    <row r="130" spans="1:9">
      <c r="A130" s="7" t="s">
        <v>690</v>
      </c>
      <c r="B130" s="7" t="s">
        <v>1459</v>
      </c>
      <c r="C130" s="7">
        <v>1</v>
      </c>
      <c r="D130" s="7" t="s">
        <v>693</v>
      </c>
      <c r="E130" s="7" t="s">
        <v>693</v>
      </c>
      <c r="F130" s="7" t="s">
        <v>197</v>
      </c>
      <c r="G130" s="7" t="s">
        <v>1314</v>
      </c>
      <c r="H130" s="7">
        <v>5.2</v>
      </c>
      <c r="I130" s="7" t="s">
        <v>718</v>
      </c>
    </row>
    <row r="131" spans="1:9">
      <c r="A131" s="7" t="s">
        <v>690</v>
      </c>
      <c r="B131" s="7" t="s">
        <v>1459</v>
      </c>
      <c r="C131" s="7">
        <v>1</v>
      </c>
      <c r="D131" s="7" t="s">
        <v>693</v>
      </c>
      <c r="E131" s="7" t="s">
        <v>693</v>
      </c>
      <c r="F131" s="7" t="s">
        <v>197</v>
      </c>
      <c r="G131" s="7" t="s">
        <v>1315</v>
      </c>
      <c r="H131" s="7">
        <v>5.2</v>
      </c>
      <c r="I131" s="7" t="s">
        <v>718</v>
      </c>
    </row>
    <row r="132" spans="1:9">
      <c r="A132" s="7" t="s">
        <v>690</v>
      </c>
      <c r="B132" s="7" t="s">
        <v>1459</v>
      </c>
      <c r="C132" s="7">
        <v>1</v>
      </c>
      <c r="D132" s="7" t="s">
        <v>693</v>
      </c>
      <c r="E132" s="7" t="s">
        <v>693</v>
      </c>
      <c r="F132" s="7" t="s">
        <v>197</v>
      </c>
      <c r="G132" s="7" t="s">
        <v>1316</v>
      </c>
      <c r="H132" s="7">
        <v>5.2</v>
      </c>
      <c r="I132" s="7" t="s">
        <v>718</v>
      </c>
    </row>
    <row r="133" spans="1:9">
      <c r="A133" s="7" t="s">
        <v>690</v>
      </c>
      <c r="B133" s="7" t="s">
        <v>1459</v>
      </c>
      <c r="C133" s="7">
        <v>1</v>
      </c>
      <c r="D133" s="7" t="s">
        <v>693</v>
      </c>
      <c r="E133" s="7" t="s">
        <v>693</v>
      </c>
      <c r="F133" s="7" t="s">
        <v>197</v>
      </c>
      <c r="G133" s="7" t="s">
        <v>1317</v>
      </c>
      <c r="H133" s="7">
        <v>5.2</v>
      </c>
      <c r="I133" s="7" t="s">
        <v>718</v>
      </c>
    </row>
    <row r="134" spans="1:9">
      <c r="A134" s="7" t="s">
        <v>690</v>
      </c>
      <c r="B134" s="7" t="s">
        <v>1459</v>
      </c>
      <c r="C134" s="7">
        <v>1</v>
      </c>
      <c r="D134" s="7" t="s">
        <v>693</v>
      </c>
      <c r="E134" s="7" t="s">
        <v>693</v>
      </c>
      <c r="F134" s="7" t="s">
        <v>197</v>
      </c>
      <c r="G134" s="7" t="s">
        <v>1318</v>
      </c>
      <c r="H134" s="7">
        <v>5.2</v>
      </c>
      <c r="I134" s="7" t="s">
        <v>718</v>
      </c>
    </row>
    <row r="135" spans="1:9">
      <c r="A135" s="7" t="s">
        <v>690</v>
      </c>
      <c r="B135" s="7" t="s">
        <v>1459</v>
      </c>
      <c r="C135" s="7">
        <v>1</v>
      </c>
      <c r="D135" s="7" t="s">
        <v>693</v>
      </c>
      <c r="E135" s="7" t="s">
        <v>693</v>
      </c>
      <c r="F135" s="7" t="s">
        <v>197</v>
      </c>
      <c r="G135" s="7" t="s">
        <v>1319</v>
      </c>
      <c r="H135" s="7">
        <v>5.2</v>
      </c>
      <c r="I135" s="7" t="s">
        <v>718</v>
      </c>
    </row>
    <row r="136" spans="1:9">
      <c r="A136" s="7" t="s">
        <v>690</v>
      </c>
      <c r="B136" s="7" t="s">
        <v>1459</v>
      </c>
      <c r="C136" s="7">
        <v>1</v>
      </c>
      <c r="D136" s="7" t="s">
        <v>693</v>
      </c>
      <c r="E136" s="7" t="s">
        <v>693</v>
      </c>
      <c r="F136" s="7" t="s">
        <v>197</v>
      </c>
      <c r="G136" s="7" t="s">
        <v>2700</v>
      </c>
      <c r="H136" s="7">
        <v>5.2</v>
      </c>
      <c r="I136" s="7" t="s">
        <v>718</v>
      </c>
    </row>
    <row r="137" spans="1:9">
      <c r="A137" s="7" t="s">
        <v>690</v>
      </c>
      <c r="B137" s="7" t="s">
        <v>1459</v>
      </c>
      <c r="C137" s="7">
        <v>1</v>
      </c>
      <c r="D137" s="7" t="s">
        <v>217</v>
      </c>
      <c r="E137" s="7" t="s">
        <v>217</v>
      </c>
      <c r="F137" s="7" t="s">
        <v>196</v>
      </c>
      <c r="G137" s="7" t="s">
        <v>2700</v>
      </c>
      <c r="H137" s="7">
        <v>5.8</v>
      </c>
      <c r="I137" s="7" t="s">
        <v>718</v>
      </c>
    </row>
    <row r="138" spans="1:9">
      <c r="A138" s="7" t="s">
        <v>690</v>
      </c>
      <c r="B138" s="7" t="s">
        <v>1459</v>
      </c>
      <c r="C138" s="7">
        <v>1</v>
      </c>
      <c r="D138" s="7" t="s">
        <v>217</v>
      </c>
      <c r="E138" s="7" t="s">
        <v>217</v>
      </c>
      <c r="F138" s="7" t="s">
        <v>196</v>
      </c>
      <c r="G138" s="7" t="s">
        <v>2743</v>
      </c>
      <c r="H138" s="7">
        <v>5.8</v>
      </c>
      <c r="I138" s="7" t="s">
        <v>718</v>
      </c>
    </row>
    <row r="139" spans="1:9">
      <c r="A139" s="7" t="s">
        <v>690</v>
      </c>
      <c r="B139" s="7" t="s">
        <v>1459</v>
      </c>
      <c r="C139" s="7">
        <v>1</v>
      </c>
      <c r="D139" s="7" t="s">
        <v>217</v>
      </c>
      <c r="E139" s="7" t="s">
        <v>217</v>
      </c>
      <c r="F139" s="7" t="s">
        <v>196</v>
      </c>
      <c r="G139" s="7" t="s">
        <v>2745</v>
      </c>
      <c r="H139" s="7">
        <v>5.8</v>
      </c>
      <c r="I139" s="7" t="s">
        <v>718</v>
      </c>
    </row>
    <row r="140" spans="1:9">
      <c r="A140" s="7" t="s">
        <v>690</v>
      </c>
      <c r="B140" s="7" t="s">
        <v>1459</v>
      </c>
      <c r="C140" s="7">
        <v>1</v>
      </c>
      <c r="D140" s="7" t="s">
        <v>217</v>
      </c>
      <c r="E140" s="7" t="s">
        <v>217</v>
      </c>
      <c r="F140" s="7" t="s">
        <v>196</v>
      </c>
      <c r="G140" s="7" t="s">
        <v>2744</v>
      </c>
      <c r="H140" s="7">
        <v>5.8</v>
      </c>
      <c r="I140" s="7" t="s">
        <v>718</v>
      </c>
    </row>
    <row r="141" spans="1:9">
      <c r="A141" s="7" t="s">
        <v>690</v>
      </c>
      <c r="B141" s="7" t="s">
        <v>1459</v>
      </c>
      <c r="C141" s="7">
        <v>1</v>
      </c>
      <c r="D141" s="7" t="s">
        <v>217</v>
      </c>
      <c r="E141" s="7" t="s">
        <v>217</v>
      </c>
      <c r="F141" s="7" t="s">
        <v>196</v>
      </c>
      <c r="G141" s="7" t="s">
        <v>2746</v>
      </c>
      <c r="H141" s="7">
        <v>5.8</v>
      </c>
      <c r="I141" s="7" t="s">
        <v>718</v>
      </c>
    </row>
    <row r="142" spans="1:9">
      <c r="A142" s="7" t="s">
        <v>690</v>
      </c>
      <c r="B142" s="7" t="s">
        <v>1459</v>
      </c>
      <c r="C142" s="7">
        <v>2</v>
      </c>
      <c r="D142" s="7" t="s">
        <v>441</v>
      </c>
      <c r="E142" s="7" t="s">
        <v>441</v>
      </c>
      <c r="F142" s="7" t="s">
        <v>194</v>
      </c>
      <c r="G142" s="7" t="s">
        <v>2767</v>
      </c>
      <c r="H142" s="7">
        <v>5.4</v>
      </c>
      <c r="I142" s="7" t="s">
        <v>718</v>
      </c>
    </row>
    <row r="143" spans="1:9">
      <c r="A143" s="7" t="s">
        <v>690</v>
      </c>
      <c r="B143" s="7" t="s">
        <v>1459</v>
      </c>
      <c r="C143" s="7">
        <v>2</v>
      </c>
      <c r="D143" s="7" t="s">
        <v>441</v>
      </c>
      <c r="E143" s="7" t="s">
        <v>441</v>
      </c>
      <c r="F143" s="7" t="s">
        <v>194</v>
      </c>
      <c r="G143" s="7" t="s">
        <v>696</v>
      </c>
      <c r="H143" s="7">
        <v>5.4</v>
      </c>
      <c r="I143" s="7" t="s">
        <v>718</v>
      </c>
    </row>
    <row r="144" spans="1:9">
      <c r="A144" s="7" t="s">
        <v>690</v>
      </c>
      <c r="B144" s="7" t="s">
        <v>1459</v>
      </c>
      <c r="C144" s="7">
        <v>2</v>
      </c>
      <c r="D144" s="7" t="s">
        <v>441</v>
      </c>
      <c r="E144" s="7" t="s">
        <v>441</v>
      </c>
      <c r="F144" s="7" t="s">
        <v>194</v>
      </c>
      <c r="G144" s="7" t="s">
        <v>2766</v>
      </c>
      <c r="H144" s="7">
        <v>5.4</v>
      </c>
      <c r="I144" s="7" t="s">
        <v>718</v>
      </c>
    </row>
    <row r="145" spans="1:9">
      <c r="A145" s="7" t="s">
        <v>690</v>
      </c>
      <c r="B145" s="7" t="s">
        <v>1459</v>
      </c>
      <c r="C145" s="7">
        <v>2</v>
      </c>
      <c r="D145" s="7" t="s">
        <v>441</v>
      </c>
      <c r="E145" s="7" t="s">
        <v>441</v>
      </c>
      <c r="F145" s="7" t="s">
        <v>194</v>
      </c>
      <c r="G145" s="7" t="s">
        <v>2747</v>
      </c>
      <c r="H145" s="7">
        <v>5.4</v>
      </c>
      <c r="I145" s="7" t="s">
        <v>718</v>
      </c>
    </row>
    <row r="146" spans="1:9">
      <c r="A146" s="7" t="s">
        <v>690</v>
      </c>
      <c r="B146" s="7" t="s">
        <v>1459</v>
      </c>
      <c r="C146" s="7">
        <v>2</v>
      </c>
      <c r="D146" s="7" t="s">
        <v>441</v>
      </c>
      <c r="E146" s="7" t="s">
        <v>441</v>
      </c>
      <c r="F146" s="7" t="s">
        <v>194</v>
      </c>
      <c r="G146" s="7" t="s">
        <v>2748</v>
      </c>
      <c r="H146" s="7">
        <v>5.4</v>
      </c>
      <c r="I146" s="7" t="s">
        <v>718</v>
      </c>
    </row>
    <row r="147" spans="1:9">
      <c r="A147" s="7" t="s">
        <v>690</v>
      </c>
      <c r="B147" s="7" t="s">
        <v>1459</v>
      </c>
      <c r="C147" s="7">
        <v>2</v>
      </c>
      <c r="D147" s="7" t="s">
        <v>441</v>
      </c>
      <c r="E147" s="7" t="s">
        <v>441</v>
      </c>
      <c r="F147" s="7" t="s">
        <v>194</v>
      </c>
      <c r="G147" s="7" t="s">
        <v>2749</v>
      </c>
      <c r="H147" s="7">
        <v>5.4</v>
      </c>
      <c r="I147" s="7" t="s">
        <v>718</v>
      </c>
    </row>
    <row r="148" spans="1:9">
      <c r="A148" s="7" t="s">
        <v>690</v>
      </c>
      <c r="B148" s="7" t="s">
        <v>1459</v>
      </c>
      <c r="C148" s="7">
        <v>2</v>
      </c>
      <c r="D148" s="7" t="s">
        <v>441</v>
      </c>
      <c r="E148" s="7" t="s">
        <v>441</v>
      </c>
      <c r="F148" s="7" t="s">
        <v>194</v>
      </c>
      <c r="G148" s="7" t="s">
        <v>1209</v>
      </c>
      <c r="H148" s="7">
        <v>5.4</v>
      </c>
      <c r="I148" s="7" t="s">
        <v>718</v>
      </c>
    </row>
    <row r="149" spans="1:9">
      <c r="A149" s="7" t="s">
        <v>690</v>
      </c>
      <c r="B149" s="7" t="s">
        <v>1459</v>
      </c>
      <c r="C149" s="7">
        <v>2</v>
      </c>
      <c r="D149" s="7" t="s">
        <v>441</v>
      </c>
      <c r="E149" s="7" t="s">
        <v>441</v>
      </c>
      <c r="F149" s="7" t="s">
        <v>194</v>
      </c>
      <c r="G149" s="7" t="s">
        <v>2750</v>
      </c>
      <c r="H149" s="7">
        <v>5.4</v>
      </c>
      <c r="I149" s="7" t="s">
        <v>718</v>
      </c>
    </row>
    <row r="150" spans="1:9">
      <c r="A150" s="7" t="s">
        <v>690</v>
      </c>
      <c r="B150" s="7" t="s">
        <v>1459</v>
      </c>
      <c r="C150" s="7">
        <v>2</v>
      </c>
      <c r="D150" s="7" t="s">
        <v>441</v>
      </c>
      <c r="E150" s="7" t="s">
        <v>441</v>
      </c>
      <c r="F150" s="7" t="s">
        <v>194</v>
      </c>
      <c r="G150" s="7" t="s">
        <v>2765</v>
      </c>
      <c r="H150" s="7">
        <v>5.4</v>
      </c>
      <c r="I150" s="7" t="s">
        <v>718</v>
      </c>
    </row>
    <row r="151" spans="1:9">
      <c r="A151" s="7" t="s">
        <v>690</v>
      </c>
      <c r="B151" s="7" t="s">
        <v>1459</v>
      </c>
      <c r="C151" s="7">
        <v>2</v>
      </c>
      <c r="D151" s="7" t="s">
        <v>441</v>
      </c>
      <c r="E151" s="7" t="s">
        <v>441</v>
      </c>
      <c r="F151" s="7" t="s">
        <v>194</v>
      </c>
      <c r="G151" s="7" t="s">
        <v>1211</v>
      </c>
      <c r="H151" s="7">
        <v>5.4</v>
      </c>
      <c r="I151" s="7" t="s">
        <v>718</v>
      </c>
    </row>
    <row r="152" spans="1:9">
      <c r="A152" s="7" t="s">
        <v>690</v>
      </c>
      <c r="B152" s="7" t="s">
        <v>1459</v>
      </c>
      <c r="C152" s="7">
        <v>2</v>
      </c>
      <c r="D152" s="7" t="s">
        <v>441</v>
      </c>
      <c r="E152" s="7" t="s">
        <v>441</v>
      </c>
      <c r="F152" s="7" t="s">
        <v>194</v>
      </c>
      <c r="G152" s="7" t="s">
        <v>1210</v>
      </c>
      <c r="H152" s="7">
        <v>5.4</v>
      </c>
      <c r="I152" s="7" t="s">
        <v>718</v>
      </c>
    </row>
    <row r="153" spans="1:9">
      <c r="A153" s="7" t="s">
        <v>690</v>
      </c>
      <c r="B153" s="7" t="s">
        <v>1459</v>
      </c>
      <c r="C153" s="7">
        <v>2</v>
      </c>
      <c r="D153" s="7" t="s">
        <v>441</v>
      </c>
      <c r="E153" s="7" t="s">
        <v>441</v>
      </c>
      <c r="F153" s="7" t="s">
        <v>194</v>
      </c>
      <c r="G153" s="7" t="s">
        <v>2751</v>
      </c>
      <c r="H153" s="7">
        <v>5.4</v>
      </c>
      <c r="I153" s="7" t="s">
        <v>718</v>
      </c>
    </row>
    <row r="154" spans="1:9">
      <c r="A154" s="7" t="s">
        <v>690</v>
      </c>
      <c r="B154" s="7" t="s">
        <v>1459</v>
      </c>
      <c r="C154" s="7">
        <v>2</v>
      </c>
      <c r="D154" s="7" t="s">
        <v>441</v>
      </c>
      <c r="E154" s="7" t="s">
        <v>441</v>
      </c>
      <c r="F154" s="7" t="s">
        <v>194</v>
      </c>
      <c r="G154" s="7" t="s">
        <v>2752</v>
      </c>
      <c r="H154" s="7">
        <v>5.4</v>
      </c>
      <c r="I154" s="7" t="s">
        <v>718</v>
      </c>
    </row>
    <row r="155" spans="1:9">
      <c r="A155" s="7" t="s">
        <v>690</v>
      </c>
      <c r="B155" s="7" t="s">
        <v>1459</v>
      </c>
      <c r="C155" s="7">
        <v>2</v>
      </c>
      <c r="D155" s="7" t="s">
        <v>441</v>
      </c>
      <c r="E155" s="7" t="s">
        <v>441</v>
      </c>
      <c r="F155" s="7" t="s">
        <v>194</v>
      </c>
      <c r="G155" s="7" t="s">
        <v>3059</v>
      </c>
      <c r="H155" s="7">
        <v>5.4</v>
      </c>
      <c r="I155" s="7" t="s">
        <v>718</v>
      </c>
    </row>
    <row r="156" spans="1:9">
      <c r="A156" s="7" t="s">
        <v>690</v>
      </c>
      <c r="B156" s="7" t="s">
        <v>1459</v>
      </c>
      <c r="C156" s="7">
        <v>2</v>
      </c>
      <c r="D156" s="7" t="s">
        <v>441</v>
      </c>
      <c r="E156" s="7" t="s">
        <v>441</v>
      </c>
      <c r="F156" s="7" t="s">
        <v>194</v>
      </c>
      <c r="G156" s="7" t="s">
        <v>697</v>
      </c>
      <c r="H156" s="7">
        <v>5.4</v>
      </c>
      <c r="I156" s="7" t="s">
        <v>718</v>
      </c>
    </row>
    <row r="157" spans="1:9">
      <c r="A157" s="7" t="s">
        <v>690</v>
      </c>
      <c r="B157" s="7" t="s">
        <v>1459</v>
      </c>
      <c r="C157" s="7">
        <v>2</v>
      </c>
      <c r="D157" s="7" t="s">
        <v>441</v>
      </c>
      <c r="E157" s="7" t="s">
        <v>441</v>
      </c>
      <c r="F157" s="7" t="s">
        <v>194</v>
      </c>
      <c r="G157" s="7" t="s">
        <v>2753</v>
      </c>
      <c r="H157" s="7">
        <v>5.4</v>
      </c>
      <c r="I157" s="7" t="s">
        <v>718</v>
      </c>
    </row>
    <row r="158" spans="1:9">
      <c r="A158" s="7" t="s">
        <v>690</v>
      </c>
      <c r="B158" s="7" t="s">
        <v>1459</v>
      </c>
      <c r="C158" s="7">
        <v>2</v>
      </c>
      <c r="D158" s="7" t="s">
        <v>441</v>
      </c>
      <c r="E158" s="7" t="s">
        <v>441</v>
      </c>
      <c r="F158" s="7" t="s">
        <v>194</v>
      </c>
      <c r="G158" s="7" t="s">
        <v>1212</v>
      </c>
      <c r="H158" s="7">
        <v>5.4</v>
      </c>
      <c r="I158" s="7" t="s">
        <v>718</v>
      </c>
    </row>
    <row r="159" spans="1:9">
      <c r="A159" s="7" t="s">
        <v>690</v>
      </c>
      <c r="B159" s="7" t="s">
        <v>1459</v>
      </c>
      <c r="C159" s="7">
        <v>2</v>
      </c>
      <c r="D159" s="7" t="s">
        <v>441</v>
      </c>
      <c r="E159" s="7" t="s">
        <v>441</v>
      </c>
      <c r="F159" s="7" t="s">
        <v>194</v>
      </c>
      <c r="G159" s="7" t="s">
        <v>2754</v>
      </c>
      <c r="H159" s="7">
        <v>5.4</v>
      </c>
      <c r="I159" s="7" t="s">
        <v>718</v>
      </c>
    </row>
    <row r="160" spans="1:9">
      <c r="A160" s="7" t="s">
        <v>690</v>
      </c>
      <c r="B160" s="7" t="s">
        <v>1459</v>
      </c>
      <c r="C160" s="7">
        <v>2</v>
      </c>
      <c r="D160" s="7" t="s">
        <v>441</v>
      </c>
      <c r="E160" s="7" t="s">
        <v>441</v>
      </c>
      <c r="F160" s="7" t="s">
        <v>194</v>
      </c>
      <c r="G160" s="7" t="s">
        <v>2755</v>
      </c>
      <c r="H160" s="7">
        <v>5.4</v>
      </c>
      <c r="I160" s="7" t="s">
        <v>718</v>
      </c>
    </row>
    <row r="161" spans="1:9">
      <c r="A161" s="7" t="s">
        <v>690</v>
      </c>
      <c r="B161" s="7" t="s">
        <v>1459</v>
      </c>
      <c r="C161" s="7">
        <v>2</v>
      </c>
      <c r="D161" s="7" t="s">
        <v>441</v>
      </c>
      <c r="E161" s="7" t="s">
        <v>441</v>
      </c>
      <c r="F161" s="7" t="s">
        <v>194</v>
      </c>
      <c r="G161" s="7" t="s">
        <v>2756</v>
      </c>
      <c r="H161" s="7">
        <v>5.4</v>
      </c>
      <c r="I161" s="7" t="s">
        <v>718</v>
      </c>
    </row>
    <row r="162" spans="1:9">
      <c r="A162" s="7" t="s">
        <v>690</v>
      </c>
      <c r="B162" s="7" t="s">
        <v>1459</v>
      </c>
      <c r="C162" s="7">
        <v>2</v>
      </c>
      <c r="D162" s="7" t="s">
        <v>441</v>
      </c>
      <c r="E162" s="7" t="s">
        <v>441</v>
      </c>
      <c r="F162" s="7" t="s">
        <v>194</v>
      </c>
      <c r="G162" s="7" t="s">
        <v>2757</v>
      </c>
      <c r="H162" s="7">
        <v>5.4</v>
      </c>
      <c r="I162" s="7" t="s">
        <v>718</v>
      </c>
    </row>
    <row r="163" spans="1:9">
      <c r="A163" s="7" t="s">
        <v>690</v>
      </c>
      <c r="B163" s="7" t="s">
        <v>1459</v>
      </c>
      <c r="C163" s="7">
        <v>2</v>
      </c>
      <c r="D163" s="7" t="s">
        <v>441</v>
      </c>
      <c r="E163" s="7" t="s">
        <v>441</v>
      </c>
      <c r="F163" s="7" t="s">
        <v>194</v>
      </c>
      <c r="G163" s="7" t="s">
        <v>2758</v>
      </c>
      <c r="H163" s="7">
        <v>5.4</v>
      </c>
      <c r="I163" s="7" t="s">
        <v>718</v>
      </c>
    </row>
    <row r="164" spans="1:9">
      <c r="A164" s="7" t="s">
        <v>690</v>
      </c>
      <c r="B164" s="7" t="s">
        <v>1459</v>
      </c>
      <c r="C164" s="7">
        <v>2</v>
      </c>
      <c r="D164" s="7" t="s">
        <v>441</v>
      </c>
      <c r="E164" s="7" t="s">
        <v>441</v>
      </c>
      <c r="F164" s="7" t="s">
        <v>194</v>
      </c>
      <c r="G164" s="7" t="s">
        <v>2759</v>
      </c>
      <c r="H164" s="7">
        <v>5.4</v>
      </c>
      <c r="I164" s="7" t="s">
        <v>718</v>
      </c>
    </row>
    <row r="165" spans="1:9">
      <c r="A165" s="7" t="s">
        <v>690</v>
      </c>
      <c r="B165" s="7" t="s">
        <v>1459</v>
      </c>
      <c r="C165" s="7">
        <v>2</v>
      </c>
      <c r="D165" s="7" t="s">
        <v>441</v>
      </c>
      <c r="E165" s="7" t="s">
        <v>441</v>
      </c>
      <c r="F165" s="7" t="s">
        <v>194</v>
      </c>
      <c r="G165" s="7" t="s">
        <v>2760</v>
      </c>
      <c r="H165" s="7">
        <v>5.4</v>
      </c>
      <c r="I165" s="7" t="s">
        <v>718</v>
      </c>
    </row>
    <row r="166" spans="1:9">
      <c r="A166" s="7" t="s">
        <v>690</v>
      </c>
      <c r="B166" s="7" t="s">
        <v>1459</v>
      </c>
      <c r="C166" s="7">
        <v>2</v>
      </c>
      <c r="D166" s="7" t="s">
        <v>441</v>
      </c>
      <c r="E166" s="7" t="s">
        <v>441</v>
      </c>
      <c r="F166" s="7" t="s">
        <v>194</v>
      </c>
      <c r="G166" s="7" t="s">
        <v>2761</v>
      </c>
      <c r="H166" s="7">
        <v>5.4</v>
      </c>
      <c r="I166" s="7" t="s">
        <v>718</v>
      </c>
    </row>
    <row r="167" spans="1:9">
      <c r="A167" s="7" t="s">
        <v>690</v>
      </c>
      <c r="B167" s="7" t="s">
        <v>1459</v>
      </c>
      <c r="C167" s="7">
        <v>2</v>
      </c>
      <c r="D167" s="7" t="s">
        <v>441</v>
      </c>
      <c r="E167" s="7" t="s">
        <v>441</v>
      </c>
      <c r="F167" s="7" t="s">
        <v>194</v>
      </c>
      <c r="G167" s="7" t="s">
        <v>2762</v>
      </c>
      <c r="H167" s="7">
        <v>5.4</v>
      </c>
      <c r="I167" s="7" t="s">
        <v>718</v>
      </c>
    </row>
    <row r="168" spans="1:9">
      <c r="A168" s="7" t="s">
        <v>690</v>
      </c>
      <c r="B168" s="7" t="s">
        <v>1459</v>
      </c>
      <c r="C168" s="7">
        <v>2</v>
      </c>
      <c r="D168" s="7" t="s">
        <v>441</v>
      </c>
      <c r="E168" s="7" t="s">
        <v>441</v>
      </c>
      <c r="F168" s="7" t="s">
        <v>194</v>
      </c>
      <c r="G168" s="7" t="s">
        <v>2763</v>
      </c>
      <c r="H168" s="7">
        <v>5.4</v>
      </c>
      <c r="I168" s="7" t="s">
        <v>718</v>
      </c>
    </row>
    <row r="169" spans="1:9">
      <c r="A169" s="7" t="s">
        <v>690</v>
      </c>
      <c r="B169" s="7" t="s">
        <v>1459</v>
      </c>
      <c r="C169" s="7">
        <v>2</v>
      </c>
      <c r="D169" s="7" t="s">
        <v>441</v>
      </c>
      <c r="E169" s="7" t="s">
        <v>441</v>
      </c>
      <c r="F169" s="7" t="s">
        <v>194</v>
      </c>
      <c r="G169" s="7" t="s">
        <v>2764</v>
      </c>
      <c r="H169" s="7">
        <v>5.4</v>
      </c>
      <c r="I169" s="7" t="s">
        <v>718</v>
      </c>
    </row>
    <row r="170" spans="1:9">
      <c r="A170" s="7" t="s">
        <v>690</v>
      </c>
      <c r="B170" s="7" t="s">
        <v>1459</v>
      </c>
      <c r="C170" s="7">
        <v>2</v>
      </c>
      <c r="D170" s="7" t="s">
        <v>441</v>
      </c>
      <c r="E170" s="7" t="s">
        <v>441</v>
      </c>
      <c r="F170" s="7" t="s">
        <v>194</v>
      </c>
      <c r="G170" s="7" t="s">
        <v>699</v>
      </c>
      <c r="H170" s="7">
        <v>5.4</v>
      </c>
      <c r="I170" s="7" t="s">
        <v>718</v>
      </c>
    </row>
    <row r="171" spans="1:9">
      <c r="A171" s="7" t="s">
        <v>690</v>
      </c>
      <c r="B171" s="7" t="s">
        <v>1459</v>
      </c>
      <c r="C171" s="7">
        <v>2</v>
      </c>
      <c r="D171" s="7" t="s">
        <v>441</v>
      </c>
      <c r="E171" s="7" t="s">
        <v>441</v>
      </c>
      <c r="F171" s="7" t="s">
        <v>194</v>
      </c>
      <c r="G171" s="7" t="s">
        <v>2700</v>
      </c>
      <c r="H171" s="7">
        <v>5.4</v>
      </c>
      <c r="I171" s="7" t="s">
        <v>718</v>
      </c>
    </row>
    <row r="172" spans="1:9">
      <c r="A172" s="7" t="s">
        <v>690</v>
      </c>
      <c r="B172" s="7" t="s">
        <v>1459</v>
      </c>
      <c r="C172" s="7">
        <v>2</v>
      </c>
      <c r="D172" s="7" t="s">
        <v>441</v>
      </c>
      <c r="E172" s="7" t="s">
        <v>441</v>
      </c>
      <c r="F172" s="7" t="s">
        <v>2768</v>
      </c>
      <c r="G172" s="7" t="s">
        <v>698</v>
      </c>
      <c r="H172" s="7">
        <v>5.4</v>
      </c>
      <c r="I172" s="7" t="s">
        <v>718</v>
      </c>
    </row>
    <row r="173" spans="1:9">
      <c r="A173" s="7" t="s">
        <v>690</v>
      </c>
      <c r="B173" s="7" t="s">
        <v>1459</v>
      </c>
      <c r="C173" s="7">
        <v>2</v>
      </c>
      <c r="D173" s="7" t="s">
        <v>441</v>
      </c>
      <c r="E173" s="7" t="s">
        <v>441</v>
      </c>
      <c r="F173" s="7" t="s">
        <v>2768</v>
      </c>
      <c r="G173" s="7" t="s">
        <v>2769</v>
      </c>
      <c r="H173" s="7">
        <v>5.4</v>
      </c>
      <c r="I173" s="7" t="s">
        <v>718</v>
      </c>
    </row>
    <row r="174" spans="1:9">
      <c r="A174" s="7" t="s">
        <v>690</v>
      </c>
      <c r="B174" s="7" t="s">
        <v>1459</v>
      </c>
      <c r="C174" s="7">
        <v>2</v>
      </c>
      <c r="D174" s="7" t="s">
        <v>1391</v>
      </c>
      <c r="E174" s="7" t="s">
        <v>442</v>
      </c>
      <c r="F174" s="7" t="s">
        <v>199</v>
      </c>
      <c r="G174" s="7" t="s">
        <v>2770</v>
      </c>
      <c r="H174" s="7">
        <v>5.4</v>
      </c>
      <c r="I174" s="7" t="s">
        <v>718</v>
      </c>
    </row>
    <row r="175" spans="1:9">
      <c r="A175" s="7" t="s">
        <v>690</v>
      </c>
      <c r="B175" s="7" t="s">
        <v>1459</v>
      </c>
      <c r="C175" s="7">
        <v>2</v>
      </c>
      <c r="D175" s="7" t="s">
        <v>1391</v>
      </c>
      <c r="E175" s="7" t="s">
        <v>442</v>
      </c>
      <c r="F175" s="7" t="s">
        <v>199</v>
      </c>
      <c r="G175" s="7" t="s">
        <v>1327</v>
      </c>
      <c r="H175" s="7">
        <v>5.4</v>
      </c>
      <c r="I175" s="7" t="s">
        <v>718</v>
      </c>
    </row>
    <row r="176" spans="1:9">
      <c r="A176" s="7" t="s">
        <v>690</v>
      </c>
      <c r="B176" s="7" t="s">
        <v>1459</v>
      </c>
      <c r="C176" s="7">
        <v>2</v>
      </c>
      <c r="D176" s="7" t="s">
        <v>1391</v>
      </c>
      <c r="E176" s="7" t="s">
        <v>442</v>
      </c>
      <c r="F176" s="7" t="s">
        <v>199</v>
      </c>
      <c r="G176" s="7" t="s">
        <v>1326</v>
      </c>
      <c r="H176" s="7">
        <v>5.4</v>
      </c>
      <c r="I176" s="7" t="s">
        <v>718</v>
      </c>
    </row>
    <row r="177" spans="1:9">
      <c r="A177" s="7" t="s">
        <v>690</v>
      </c>
      <c r="B177" s="7" t="s">
        <v>1459</v>
      </c>
      <c r="C177" s="7">
        <v>2</v>
      </c>
      <c r="D177" s="7" t="s">
        <v>1391</v>
      </c>
      <c r="E177" s="7" t="s">
        <v>442</v>
      </c>
      <c r="F177" s="7" t="s">
        <v>200</v>
      </c>
      <c r="G177" s="7" t="s">
        <v>694</v>
      </c>
      <c r="H177" s="7">
        <v>5.4</v>
      </c>
      <c r="I177" s="7" t="s">
        <v>718</v>
      </c>
    </row>
    <row r="178" spans="1:9">
      <c r="A178" s="7" t="s">
        <v>690</v>
      </c>
      <c r="B178" s="7" t="s">
        <v>1459</v>
      </c>
      <c r="C178" s="7">
        <v>2</v>
      </c>
      <c r="D178" s="7" t="s">
        <v>1391</v>
      </c>
      <c r="E178" s="7" t="s">
        <v>442</v>
      </c>
      <c r="F178" s="7" t="s">
        <v>200</v>
      </c>
      <c r="G178" s="7" t="s">
        <v>1325</v>
      </c>
      <c r="H178" s="7">
        <v>5.4</v>
      </c>
      <c r="I178" s="7" t="s">
        <v>718</v>
      </c>
    </row>
    <row r="179" spans="1:9">
      <c r="A179" s="7" t="s">
        <v>690</v>
      </c>
      <c r="B179" s="7" t="s">
        <v>1459</v>
      </c>
      <c r="C179" s="7">
        <v>2</v>
      </c>
      <c r="D179" s="7" t="s">
        <v>1391</v>
      </c>
      <c r="E179" s="7" t="s">
        <v>442</v>
      </c>
      <c r="F179" s="7" t="s">
        <v>201</v>
      </c>
      <c r="G179" s="7" t="s">
        <v>695</v>
      </c>
      <c r="H179" s="7">
        <v>5.4</v>
      </c>
      <c r="I179" s="7" t="s">
        <v>718</v>
      </c>
    </row>
    <row r="180" spans="1:9">
      <c r="A180" s="7" t="s">
        <v>690</v>
      </c>
      <c r="B180" s="7" t="s">
        <v>1459</v>
      </c>
      <c r="C180" s="7">
        <v>2</v>
      </c>
      <c r="D180" s="7" t="s">
        <v>1391</v>
      </c>
      <c r="E180" s="7" t="s">
        <v>442</v>
      </c>
      <c r="F180" s="7" t="s">
        <v>201</v>
      </c>
      <c r="G180" s="7" t="s">
        <v>2772</v>
      </c>
      <c r="H180" s="7">
        <v>5.4</v>
      </c>
      <c r="I180" s="7" t="s">
        <v>718</v>
      </c>
    </row>
    <row r="181" spans="1:9">
      <c r="A181" s="7" t="s">
        <v>690</v>
      </c>
      <c r="B181" s="7" t="s">
        <v>1459</v>
      </c>
      <c r="C181" s="7">
        <v>2</v>
      </c>
      <c r="D181" s="7" t="s">
        <v>1391</v>
      </c>
      <c r="E181" s="7" t="s">
        <v>442</v>
      </c>
      <c r="F181" s="7" t="s">
        <v>201</v>
      </c>
      <c r="G181" s="7" t="s">
        <v>2771</v>
      </c>
      <c r="H181" s="7">
        <v>5.4</v>
      </c>
      <c r="I181" s="7" t="s">
        <v>718</v>
      </c>
    </row>
    <row r="182" spans="1:9">
      <c r="A182" s="7" t="s">
        <v>690</v>
      </c>
      <c r="B182" s="7" t="s">
        <v>1459</v>
      </c>
      <c r="C182" s="7">
        <v>2</v>
      </c>
      <c r="D182" s="7" t="s">
        <v>1391</v>
      </c>
      <c r="E182" s="7" t="s">
        <v>442</v>
      </c>
      <c r="F182" s="7" t="s">
        <v>198</v>
      </c>
      <c r="G182" s="7" t="s">
        <v>700</v>
      </c>
      <c r="H182" s="7">
        <v>5.4</v>
      </c>
      <c r="I182" s="7" t="s">
        <v>718</v>
      </c>
    </row>
    <row r="183" spans="1:9">
      <c r="A183" s="7" t="s">
        <v>690</v>
      </c>
      <c r="B183" s="7" t="s">
        <v>1459</v>
      </c>
      <c r="C183" s="7">
        <v>2</v>
      </c>
      <c r="D183" s="7" t="s">
        <v>1452</v>
      </c>
      <c r="E183" s="7" t="s">
        <v>1452</v>
      </c>
      <c r="F183" s="7" t="s">
        <v>448</v>
      </c>
      <c r="G183" s="7" t="s">
        <v>1324</v>
      </c>
      <c r="H183" s="7">
        <v>5.4</v>
      </c>
      <c r="I183" s="7" t="s">
        <v>718</v>
      </c>
    </row>
    <row r="184" spans="1:9">
      <c r="A184" s="7" t="s">
        <v>690</v>
      </c>
      <c r="B184" s="7" t="s">
        <v>1459</v>
      </c>
      <c r="C184" s="7">
        <v>2</v>
      </c>
      <c r="D184" s="7" t="s">
        <v>1452</v>
      </c>
      <c r="E184" s="7" t="s">
        <v>1452</v>
      </c>
      <c r="F184" s="7" t="s">
        <v>448</v>
      </c>
      <c r="G184" s="7" t="s">
        <v>1351</v>
      </c>
      <c r="H184" s="7">
        <v>5.4</v>
      </c>
      <c r="I184" s="7" t="s">
        <v>718</v>
      </c>
    </row>
    <row r="185" spans="1:9">
      <c r="A185" s="7" t="s">
        <v>690</v>
      </c>
      <c r="B185" s="7" t="s">
        <v>1459</v>
      </c>
      <c r="C185" s="7">
        <v>2</v>
      </c>
      <c r="D185" s="7" t="s">
        <v>1452</v>
      </c>
      <c r="E185" s="7" t="s">
        <v>1452</v>
      </c>
      <c r="F185" s="7" t="s">
        <v>448</v>
      </c>
      <c r="G185" s="7" t="s">
        <v>1352</v>
      </c>
      <c r="H185" s="7">
        <v>5.4</v>
      </c>
      <c r="I185" s="7" t="s">
        <v>718</v>
      </c>
    </row>
    <row r="186" spans="1:9">
      <c r="A186" s="7" t="s">
        <v>690</v>
      </c>
      <c r="B186" s="7" t="s">
        <v>1459</v>
      </c>
      <c r="C186" s="7">
        <v>2</v>
      </c>
      <c r="D186" s="7" t="s">
        <v>1452</v>
      </c>
      <c r="E186" s="7" t="s">
        <v>1452</v>
      </c>
      <c r="F186" s="7" t="s">
        <v>448</v>
      </c>
      <c r="G186" s="7" t="s">
        <v>1353</v>
      </c>
      <c r="H186" s="7">
        <v>5.4</v>
      </c>
      <c r="I186" s="7" t="s">
        <v>718</v>
      </c>
    </row>
    <row r="187" spans="1:9">
      <c r="A187" s="7" t="s">
        <v>690</v>
      </c>
      <c r="B187" s="7" t="s">
        <v>1459</v>
      </c>
      <c r="C187" s="7">
        <v>2</v>
      </c>
      <c r="D187" s="7" t="s">
        <v>1452</v>
      </c>
      <c r="E187" s="7" t="s">
        <v>1452</v>
      </c>
      <c r="F187" s="7" t="s">
        <v>1350</v>
      </c>
      <c r="G187" s="7" t="s">
        <v>1208</v>
      </c>
      <c r="H187" s="7">
        <v>5.4</v>
      </c>
      <c r="I187" s="7" t="s">
        <v>718</v>
      </c>
    </row>
    <row r="188" spans="1:9">
      <c r="A188" s="7" t="s">
        <v>690</v>
      </c>
      <c r="B188" s="7" t="s">
        <v>1459</v>
      </c>
      <c r="C188" s="7">
        <v>2</v>
      </c>
      <c r="D188" s="7" t="s">
        <v>1452</v>
      </c>
      <c r="E188" s="7" t="s">
        <v>1452</v>
      </c>
      <c r="F188" s="7" t="s">
        <v>1350</v>
      </c>
      <c r="G188" s="7" t="s">
        <v>2700</v>
      </c>
      <c r="H188" s="7">
        <v>5.4</v>
      </c>
      <c r="I188" s="7" t="s">
        <v>718</v>
      </c>
    </row>
    <row r="189" spans="1:9">
      <c r="A189" s="7" t="s">
        <v>690</v>
      </c>
      <c r="B189" s="7" t="s">
        <v>1459</v>
      </c>
      <c r="C189" s="7">
        <v>2</v>
      </c>
      <c r="D189" s="7" t="s">
        <v>1452</v>
      </c>
      <c r="E189" s="7" t="s">
        <v>1452</v>
      </c>
      <c r="F189" s="7" t="s">
        <v>2777</v>
      </c>
      <c r="G189" s="7" t="s">
        <v>2778</v>
      </c>
      <c r="H189" s="7">
        <v>5.4</v>
      </c>
      <c r="I189" s="7" t="s">
        <v>718</v>
      </c>
    </row>
    <row r="190" spans="1:9">
      <c r="A190" s="7" t="s">
        <v>690</v>
      </c>
      <c r="B190" s="7" t="s">
        <v>1459</v>
      </c>
      <c r="C190" s="7">
        <v>2</v>
      </c>
      <c r="D190" s="7" t="s">
        <v>1452</v>
      </c>
      <c r="E190" s="7" t="s">
        <v>1452</v>
      </c>
      <c r="F190" s="7" t="s">
        <v>2777</v>
      </c>
      <c r="G190" s="7" t="s">
        <v>2779</v>
      </c>
      <c r="H190" s="7">
        <v>5.4</v>
      </c>
      <c r="I190" s="7" t="s">
        <v>718</v>
      </c>
    </row>
    <row r="191" spans="1:9">
      <c r="A191" s="7" t="s">
        <v>690</v>
      </c>
      <c r="B191" s="7" t="s">
        <v>1459</v>
      </c>
      <c r="C191" s="7">
        <v>2</v>
      </c>
      <c r="D191" s="7" t="s">
        <v>1452</v>
      </c>
      <c r="E191" s="7" t="s">
        <v>1452</v>
      </c>
      <c r="F191" s="7" t="s">
        <v>2773</v>
      </c>
      <c r="G191" s="7" t="s">
        <v>2774</v>
      </c>
      <c r="H191" s="7">
        <v>5.4</v>
      </c>
      <c r="I191" s="7" t="s">
        <v>718</v>
      </c>
    </row>
    <row r="192" spans="1:9">
      <c r="A192" s="7" t="s">
        <v>690</v>
      </c>
      <c r="B192" s="7" t="s">
        <v>1459</v>
      </c>
      <c r="C192" s="7">
        <v>2</v>
      </c>
      <c r="D192" s="7" t="s">
        <v>1452</v>
      </c>
      <c r="E192" s="7" t="s">
        <v>1452</v>
      </c>
      <c r="F192" s="7" t="s">
        <v>2773</v>
      </c>
      <c r="G192" s="7" t="s">
        <v>2775</v>
      </c>
      <c r="H192" s="7">
        <v>5.4</v>
      </c>
      <c r="I192" s="7" t="s">
        <v>718</v>
      </c>
    </row>
    <row r="193" spans="1:9">
      <c r="A193" s="7" t="s">
        <v>690</v>
      </c>
      <c r="B193" s="7" t="s">
        <v>1459</v>
      </c>
      <c r="C193" s="7">
        <v>2</v>
      </c>
      <c r="D193" s="7" t="s">
        <v>1452</v>
      </c>
      <c r="E193" s="7" t="s">
        <v>1452</v>
      </c>
      <c r="F193" s="7" t="s">
        <v>2773</v>
      </c>
      <c r="G193" s="7" t="s">
        <v>2776</v>
      </c>
      <c r="H193" s="7">
        <v>5.4</v>
      </c>
      <c r="I193" s="7" t="s">
        <v>718</v>
      </c>
    </row>
    <row r="194" spans="1:9">
      <c r="A194" s="7" t="s">
        <v>690</v>
      </c>
      <c r="B194" s="7" t="s">
        <v>1459</v>
      </c>
      <c r="C194" s="7">
        <v>3</v>
      </c>
      <c r="D194" s="7" t="s">
        <v>443</v>
      </c>
      <c r="E194" s="7" t="s">
        <v>3060</v>
      </c>
      <c r="F194" s="7" t="s">
        <v>202</v>
      </c>
      <c r="G194" s="7" t="s">
        <v>1328</v>
      </c>
      <c r="H194" s="7">
        <v>5.6</v>
      </c>
      <c r="I194" s="7" t="s">
        <v>718</v>
      </c>
    </row>
    <row r="195" spans="1:9">
      <c r="A195" s="7" t="s">
        <v>690</v>
      </c>
      <c r="B195" s="7" t="s">
        <v>1459</v>
      </c>
      <c r="C195" s="7">
        <v>3</v>
      </c>
      <c r="D195" s="7" t="s">
        <v>443</v>
      </c>
      <c r="E195" s="7" t="s">
        <v>3060</v>
      </c>
      <c r="F195" s="7" t="s">
        <v>202</v>
      </c>
      <c r="G195" s="7" t="s">
        <v>1329</v>
      </c>
      <c r="H195" s="7">
        <v>5.6</v>
      </c>
      <c r="I195" s="7" t="s">
        <v>718</v>
      </c>
    </row>
    <row r="196" spans="1:9">
      <c r="A196" s="7" t="s">
        <v>690</v>
      </c>
      <c r="B196" s="7" t="s">
        <v>1459</v>
      </c>
      <c r="C196" s="7">
        <v>3</v>
      </c>
      <c r="D196" s="7" t="s">
        <v>443</v>
      </c>
      <c r="E196" s="7" t="s">
        <v>3060</v>
      </c>
      <c r="F196" s="7" t="s">
        <v>202</v>
      </c>
      <c r="G196" s="7" t="s">
        <v>1330</v>
      </c>
      <c r="H196" s="7">
        <v>5.6</v>
      </c>
      <c r="I196" s="7" t="s">
        <v>718</v>
      </c>
    </row>
    <row r="197" spans="1:9">
      <c r="A197" s="7" t="s">
        <v>690</v>
      </c>
      <c r="B197" s="7" t="s">
        <v>1459</v>
      </c>
      <c r="C197" s="7">
        <v>3</v>
      </c>
      <c r="D197" s="7" t="s">
        <v>443</v>
      </c>
      <c r="E197" s="7" t="s">
        <v>3060</v>
      </c>
      <c r="F197" s="7" t="s">
        <v>202</v>
      </c>
      <c r="G197" s="7" t="s">
        <v>1331</v>
      </c>
      <c r="H197" s="7">
        <v>5.6</v>
      </c>
      <c r="I197" s="7" t="s">
        <v>718</v>
      </c>
    </row>
    <row r="198" spans="1:9">
      <c r="A198" s="7" t="s">
        <v>690</v>
      </c>
      <c r="B198" s="7" t="s">
        <v>1459</v>
      </c>
      <c r="C198" s="7">
        <v>3</v>
      </c>
      <c r="D198" s="7" t="s">
        <v>443</v>
      </c>
      <c r="E198" s="7" t="s">
        <v>3060</v>
      </c>
      <c r="F198" s="7" t="s">
        <v>202</v>
      </c>
      <c r="G198" s="7" t="s">
        <v>1332</v>
      </c>
      <c r="H198" s="7">
        <v>5.6</v>
      </c>
      <c r="I198" s="7" t="s">
        <v>718</v>
      </c>
    </row>
    <row r="199" spans="1:9">
      <c r="A199" s="7" t="s">
        <v>690</v>
      </c>
      <c r="B199" s="7" t="s">
        <v>1459</v>
      </c>
      <c r="C199" s="7">
        <v>3</v>
      </c>
      <c r="D199" s="7" t="s">
        <v>443</v>
      </c>
      <c r="E199" s="7" t="s">
        <v>3060</v>
      </c>
      <c r="F199" s="7" t="s">
        <v>202</v>
      </c>
      <c r="G199" s="7" t="s">
        <v>1333</v>
      </c>
      <c r="H199" s="7">
        <v>5.6</v>
      </c>
      <c r="I199" s="7" t="s">
        <v>718</v>
      </c>
    </row>
    <row r="200" spans="1:9">
      <c r="A200" s="7" t="s">
        <v>690</v>
      </c>
      <c r="B200" s="7" t="s">
        <v>1459</v>
      </c>
      <c r="C200" s="7">
        <v>3</v>
      </c>
      <c r="D200" s="7" t="s">
        <v>443</v>
      </c>
      <c r="E200" s="7" t="s">
        <v>3060</v>
      </c>
      <c r="F200" s="7" t="s">
        <v>202</v>
      </c>
      <c r="G200" s="7" t="s">
        <v>2700</v>
      </c>
      <c r="H200" s="7">
        <v>5.6</v>
      </c>
      <c r="I200" s="7" t="s">
        <v>718</v>
      </c>
    </row>
    <row r="201" spans="1:9">
      <c r="A201" s="7" t="s">
        <v>690</v>
      </c>
      <c r="B201" s="7" t="s">
        <v>1459</v>
      </c>
      <c r="C201" s="7">
        <v>3</v>
      </c>
      <c r="D201" s="7" t="s">
        <v>443</v>
      </c>
      <c r="E201" s="7" t="s">
        <v>3060</v>
      </c>
      <c r="F201" s="7" t="s">
        <v>202</v>
      </c>
      <c r="G201" s="7" t="s">
        <v>1334</v>
      </c>
      <c r="H201" s="7">
        <v>5.6</v>
      </c>
      <c r="I201" s="7" t="s">
        <v>718</v>
      </c>
    </row>
    <row r="202" spans="1:9">
      <c r="A202" s="7" t="s">
        <v>690</v>
      </c>
      <c r="B202" s="7" t="s">
        <v>1459</v>
      </c>
      <c r="C202" s="7">
        <v>3</v>
      </c>
      <c r="D202" s="7" t="s">
        <v>443</v>
      </c>
      <c r="E202" s="7" t="s">
        <v>3060</v>
      </c>
      <c r="F202" s="7" t="s">
        <v>195</v>
      </c>
      <c r="G202" s="7" t="s">
        <v>1335</v>
      </c>
      <c r="H202" s="7">
        <v>5.6</v>
      </c>
      <c r="I202" s="7" t="s">
        <v>718</v>
      </c>
    </row>
    <row r="203" spans="1:9">
      <c r="A203" s="7" t="s">
        <v>690</v>
      </c>
      <c r="B203" s="7" t="s">
        <v>1459</v>
      </c>
      <c r="C203" s="7">
        <v>3</v>
      </c>
      <c r="D203" s="7" t="s">
        <v>443</v>
      </c>
      <c r="E203" s="7" t="s">
        <v>3060</v>
      </c>
      <c r="F203" s="7" t="s">
        <v>195</v>
      </c>
      <c r="G203" s="7" t="s">
        <v>1336</v>
      </c>
      <c r="H203" s="7">
        <v>5.6</v>
      </c>
      <c r="I203" s="7" t="s">
        <v>718</v>
      </c>
    </row>
    <row r="204" spans="1:9">
      <c r="A204" s="7" t="s">
        <v>690</v>
      </c>
      <c r="B204" s="7" t="s">
        <v>1459</v>
      </c>
      <c r="C204" s="7">
        <v>3</v>
      </c>
      <c r="D204" s="7" t="s">
        <v>443</v>
      </c>
      <c r="E204" s="7" t="s">
        <v>3060</v>
      </c>
      <c r="F204" s="7" t="s">
        <v>195</v>
      </c>
      <c r="G204" s="7" t="s">
        <v>1337</v>
      </c>
      <c r="H204" s="7">
        <v>5.6</v>
      </c>
      <c r="I204" s="7" t="s">
        <v>718</v>
      </c>
    </row>
    <row r="205" spans="1:9">
      <c r="A205" s="7" t="s">
        <v>690</v>
      </c>
      <c r="B205" s="7" t="s">
        <v>1459</v>
      </c>
      <c r="C205" s="7">
        <v>3</v>
      </c>
      <c r="D205" s="7" t="s">
        <v>443</v>
      </c>
      <c r="E205" s="7" t="s">
        <v>3060</v>
      </c>
      <c r="F205" s="7" t="s">
        <v>195</v>
      </c>
      <c r="G205" s="7" t="s">
        <v>1338</v>
      </c>
      <c r="H205" s="7">
        <v>5.6</v>
      </c>
      <c r="I205" s="7" t="s">
        <v>718</v>
      </c>
    </row>
    <row r="206" spans="1:9">
      <c r="A206" s="7" t="s">
        <v>690</v>
      </c>
      <c r="B206" s="7" t="s">
        <v>1459</v>
      </c>
      <c r="C206" s="7">
        <v>3</v>
      </c>
      <c r="D206" s="7" t="s">
        <v>443</v>
      </c>
      <c r="E206" s="7" t="s">
        <v>3060</v>
      </c>
      <c r="F206" s="7" t="s">
        <v>195</v>
      </c>
      <c r="G206" s="7" t="s">
        <v>1339</v>
      </c>
      <c r="H206" s="7">
        <v>5.6</v>
      </c>
      <c r="I206" s="7" t="s">
        <v>718</v>
      </c>
    </row>
    <row r="207" spans="1:9">
      <c r="A207" s="7" t="s">
        <v>690</v>
      </c>
      <c r="B207" s="7" t="s">
        <v>1459</v>
      </c>
      <c r="C207" s="7">
        <v>3</v>
      </c>
      <c r="D207" s="7" t="s">
        <v>443</v>
      </c>
      <c r="E207" s="7" t="s">
        <v>3060</v>
      </c>
      <c r="F207" s="7" t="s">
        <v>195</v>
      </c>
      <c r="G207" s="7" t="s">
        <v>1340</v>
      </c>
      <c r="H207" s="7">
        <v>5.6</v>
      </c>
      <c r="I207" s="7" t="s">
        <v>718</v>
      </c>
    </row>
    <row r="208" spans="1:9">
      <c r="A208" s="7" t="s">
        <v>690</v>
      </c>
      <c r="B208" s="7" t="s">
        <v>1459</v>
      </c>
      <c r="C208" s="7">
        <v>3</v>
      </c>
      <c r="D208" s="7" t="s">
        <v>443</v>
      </c>
      <c r="E208" s="7" t="s">
        <v>3060</v>
      </c>
      <c r="F208" s="7" t="s">
        <v>195</v>
      </c>
      <c r="G208" s="7" t="s">
        <v>1341</v>
      </c>
      <c r="H208" s="7">
        <v>5.6</v>
      </c>
      <c r="I208" s="7" t="s">
        <v>718</v>
      </c>
    </row>
    <row r="209" spans="1:9">
      <c r="A209" s="7" t="s">
        <v>690</v>
      </c>
      <c r="B209" s="7" t="s">
        <v>1459</v>
      </c>
      <c r="C209" s="7">
        <v>3</v>
      </c>
      <c r="D209" s="7" t="s">
        <v>443</v>
      </c>
      <c r="E209" s="7" t="s">
        <v>3060</v>
      </c>
      <c r="F209" s="7" t="s">
        <v>195</v>
      </c>
      <c r="G209" s="7" t="s">
        <v>2700</v>
      </c>
      <c r="H209" s="7">
        <v>5.6</v>
      </c>
      <c r="I209" s="7" t="s">
        <v>718</v>
      </c>
    </row>
    <row r="210" spans="1:9">
      <c r="A210" s="7" t="s">
        <v>690</v>
      </c>
      <c r="B210" s="7" t="s">
        <v>1459</v>
      </c>
      <c r="C210" s="7">
        <v>3</v>
      </c>
      <c r="D210" s="7" t="s">
        <v>443</v>
      </c>
      <c r="E210" s="7" t="s">
        <v>3060</v>
      </c>
      <c r="F210" s="7" t="s">
        <v>195</v>
      </c>
      <c r="G210" s="7" t="s">
        <v>1342</v>
      </c>
      <c r="H210" s="7">
        <v>5.6</v>
      </c>
      <c r="I210" s="7" t="s">
        <v>718</v>
      </c>
    </row>
    <row r="211" spans="1:9">
      <c r="A211" s="7" t="s">
        <v>690</v>
      </c>
      <c r="B211" s="7" t="s">
        <v>1459</v>
      </c>
      <c r="C211" s="7">
        <v>3</v>
      </c>
      <c r="D211" s="7" t="s">
        <v>443</v>
      </c>
      <c r="E211" s="7" t="s">
        <v>3060</v>
      </c>
      <c r="F211" s="7" t="s">
        <v>195</v>
      </c>
      <c r="G211" s="7" t="s">
        <v>1343</v>
      </c>
      <c r="H211" s="7">
        <v>5.6</v>
      </c>
      <c r="I211" s="7" t="s">
        <v>718</v>
      </c>
    </row>
    <row r="212" spans="1:9">
      <c r="A212" s="7" t="s">
        <v>690</v>
      </c>
      <c r="B212" s="7" t="s">
        <v>1459</v>
      </c>
      <c r="C212" s="7">
        <v>3</v>
      </c>
      <c r="D212" s="7" t="s">
        <v>443</v>
      </c>
      <c r="E212" s="7" t="s">
        <v>3060</v>
      </c>
      <c r="F212" s="7" t="s">
        <v>195</v>
      </c>
      <c r="G212" s="7" t="s">
        <v>1344</v>
      </c>
      <c r="H212" s="7">
        <v>5.6</v>
      </c>
      <c r="I212" s="7" t="s">
        <v>718</v>
      </c>
    </row>
    <row r="213" spans="1:9">
      <c r="A213" s="7" t="s">
        <v>690</v>
      </c>
      <c r="B213" s="7" t="s">
        <v>1459</v>
      </c>
      <c r="C213" s="7">
        <v>4</v>
      </c>
      <c r="D213" s="7" t="s">
        <v>1392</v>
      </c>
      <c r="E213" s="7" t="s">
        <v>1453</v>
      </c>
      <c r="F213" s="7" t="s">
        <v>1461</v>
      </c>
      <c r="G213" s="7" t="s">
        <v>2700</v>
      </c>
      <c r="H213" s="7">
        <v>5.8</v>
      </c>
      <c r="I213" s="7" t="s">
        <v>718</v>
      </c>
    </row>
    <row r="214" spans="1:9">
      <c r="A214" s="7" t="s">
        <v>690</v>
      </c>
      <c r="B214" s="7" t="s">
        <v>1459</v>
      </c>
      <c r="C214" s="7">
        <v>4</v>
      </c>
      <c r="D214" s="7" t="s">
        <v>1392</v>
      </c>
      <c r="E214" s="7" t="s">
        <v>1453</v>
      </c>
      <c r="F214" s="7" t="s">
        <v>1461</v>
      </c>
      <c r="G214" s="7" t="s">
        <v>2780</v>
      </c>
      <c r="H214" s="7">
        <v>5.8</v>
      </c>
      <c r="I214" s="7" t="s">
        <v>718</v>
      </c>
    </row>
    <row r="215" spans="1:9">
      <c r="A215" s="7" t="s">
        <v>690</v>
      </c>
      <c r="B215" s="7" t="s">
        <v>1459</v>
      </c>
      <c r="C215" s="7">
        <v>4</v>
      </c>
      <c r="D215" s="7" t="s">
        <v>1392</v>
      </c>
      <c r="E215" s="7" t="s">
        <v>1453</v>
      </c>
      <c r="F215" s="7" t="s">
        <v>1461</v>
      </c>
      <c r="G215" s="7" t="s">
        <v>2781</v>
      </c>
      <c r="H215" s="7">
        <v>5.8</v>
      </c>
      <c r="I215" s="7" t="s">
        <v>718</v>
      </c>
    </row>
    <row r="216" spans="1:9">
      <c r="A216" s="7" t="s">
        <v>690</v>
      </c>
      <c r="B216" s="7" t="s">
        <v>1459</v>
      </c>
      <c r="C216" s="7">
        <v>4</v>
      </c>
      <c r="D216" s="7" t="s">
        <v>1392</v>
      </c>
      <c r="E216" s="7" t="s">
        <v>1453</v>
      </c>
      <c r="F216" s="7" t="s">
        <v>1461</v>
      </c>
      <c r="G216" s="7" t="s">
        <v>2782</v>
      </c>
      <c r="H216" s="7">
        <v>5.8</v>
      </c>
      <c r="I216" s="7" t="s">
        <v>718</v>
      </c>
    </row>
    <row r="217" spans="1:9">
      <c r="A217" s="7" t="s">
        <v>690</v>
      </c>
      <c r="B217" s="7" t="s">
        <v>1459</v>
      </c>
      <c r="C217" s="7">
        <v>4</v>
      </c>
      <c r="D217" s="7" t="s">
        <v>1392</v>
      </c>
      <c r="E217" s="7" t="s">
        <v>1453</v>
      </c>
      <c r="F217" s="7" t="s">
        <v>3050</v>
      </c>
      <c r="G217" s="7" t="s">
        <v>2702</v>
      </c>
      <c r="H217" s="7">
        <v>5.8</v>
      </c>
      <c r="I217" s="7" t="s">
        <v>718</v>
      </c>
    </row>
    <row r="218" spans="1:9">
      <c r="A218" s="7" t="s">
        <v>690</v>
      </c>
      <c r="B218" s="7" t="s">
        <v>1459</v>
      </c>
      <c r="C218" s="7">
        <v>4</v>
      </c>
      <c r="D218" s="7" t="s">
        <v>1392</v>
      </c>
      <c r="E218" s="7" t="s">
        <v>1453</v>
      </c>
      <c r="F218" s="7" t="s">
        <v>1475</v>
      </c>
      <c r="G218" s="7" t="s">
        <v>2783</v>
      </c>
      <c r="H218" s="7">
        <v>5.8</v>
      </c>
      <c r="I218" s="7" t="s">
        <v>718</v>
      </c>
    </row>
    <row r="219" spans="1:9">
      <c r="A219" s="7" t="s">
        <v>690</v>
      </c>
      <c r="B219" s="7" t="s">
        <v>1459</v>
      </c>
      <c r="C219" s="7">
        <v>4</v>
      </c>
      <c r="D219" s="7" t="s">
        <v>1392</v>
      </c>
      <c r="E219" s="7" t="s">
        <v>1453</v>
      </c>
      <c r="F219" s="7" t="s">
        <v>1475</v>
      </c>
      <c r="G219" s="7" t="s">
        <v>2785</v>
      </c>
      <c r="H219" s="7">
        <v>5.8</v>
      </c>
      <c r="I219" s="7" t="s">
        <v>718</v>
      </c>
    </row>
    <row r="220" spans="1:9">
      <c r="A220" s="7" t="s">
        <v>690</v>
      </c>
      <c r="B220" s="7" t="s">
        <v>1459</v>
      </c>
      <c r="C220" s="7">
        <v>4</v>
      </c>
      <c r="D220" s="7" t="s">
        <v>1392</v>
      </c>
      <c r="E220" s="7" t="s">
        <v>1453</v>
      </c>
      <c r="F220" s="7" t="s">
        <v>1475</v>
      </c>
      <c r="G220" s="7" t="s">
        <v>2786</v>
      </c>
      <c r="H220" s="7">
        <v>5.8</v>
      </c>
      <c r="I220" s="7" t="s">
        <v>718</v>
      </c>
    </row>
    <row r="221" spans="1:9">
      <c r="A221" s="7" t="s">
        <v>690</v>
      </c>
      <c r="B221" s="7" t="s">
        <v>1459</v>
      </c>
      <c r="C221" s="7">
        <v>4</v>
      </c>
      <c r="D221" s="7" t="s">
        <v>1392</v>
      </c>
      <c r="E221" s="7" t="s">
        <v>1453</v>
      </c>
      <c r="F221" s="7" t="s">
        <v>1475</v>
      </c>
      <c r="G221" s="7" t="s">
        <v>2784</v>
      </c>
      <c r="H221" s="7">
        <v>5.8</v>
      </c>
      <c r="I221" s="7" t="s">
        <v>718</v>
      </c>
    </row>
    <row r="222" spans="1:9">
      <c r="A222" s="7" t="s">
        <v>690</v>
      </c>
      <c r="B222" s="7" t="s">
        <v>1459</v>
      </c>
      <c r="C222" s="7">
        <v>4</v>
      </c>
      <c r="D222" s="7" t="s">
        <v>1392</v>
      </c>
      <c r="E222" s="7" t="s">
        <v>1453</v>
      </c>
      <c r="F222" s="7" t="s">
        <v>1460</v>
      </c>
      <c r="G222" s="7" t="s">
        <v>2700</v>
      </c>
      <c r="H222" s="7">
        <v>5.8</v>
      </c>
      <c r="I222" s="7" t="s">
        <v>718</v>
      </c>
    </row>
    <row r="223" spans="1:9">
      <c r="A223" s="7" t="s">
        <v>690</v>
      </c>
      <c r="B223" s="7" t="s">
        <v>1459</v>
      </c>
      <c r="C223" s="7">
        <v>4</v>
      </c>
      <c r="D223" s="7" t="s">
        <v>1392</v>
      </c>
      <c r="E223" s="7" t="s">
        <v>1453</v>
      </c>
      <c r="F223" s="7" t="s">
        <v>1470</v>
      </c>
      <c r="G223" s="7" t="s">
        <v>2788</v>
      </c>
      <c r="H223" s="7">
        <v>5.8</v>
      </c>
      <c r="I223" s="7" t="s">
        <v>718</v>
      </c>
    </row>
    <row r="224" spans="1:9">
      <c r="A224" s="7" t="s">
        <v>690</v>
      </c>
      <c r="B224" s="7" t="s">
        <v>1459</v>
      </c>
      <c r="C224" s="7">
        <v>4</v>
      </c>
      <c r="D224" s="7" t="s">
        <v>1392</v>
      </c>
      <c r="E224" s="7" t="s">
        <v>1453</v>
      </c>
      <c r="F224" s="7" t="s">
        <v>1470</v>
      </c>
      <c r="G224" s="7" t="s">
        <v>2787</v>
      </c>
      <c r="H224" s="7">
        <v>5.8</v>
      </c>
      <c r="I224" s="7" t="s">
        <v>718</v>
      </c>
    </row>
    <row r="225" spans="1:9">
      <c r="A225" s="7" t="s">
        <v>690</v>
      </c>
      <c r="B225" s="7" t="s">
        <v>1459</v>
      </c>
      <c r="C225" s="7">
        <v>4</v>
      </c>
      <c r="D225" s="7" t="s">
        <v>1392</v>
      </c>
      <c r="E225" s="7" t="s">
        <v>1453</v>
      </c>
      <c r="F225" s="7" t="s">
        <v>2789</v>
      </c>
      <c r="G225" s="7" t="s">
        <v>2790</v>
      </c>
      <c r="H225" s="7">
        <v>5.8</v>
      </c>
      <c r="I225" s="7" t="s">
        <v>718</v>
      </c>
    </row>
    <row r="226" spans="1:9">
      <c r="A226" s="7" t="s">
        <v>690</v>
      </c>
      <c r="B226" s="7" t="s">
        <v>1459</v>
      </c>
      <c r="C226" s="7">
        <v>4</v>
      </c>
      <c r="D226" s="7" t="s">
        <v>1392</v>
      </c>
      <c r="E226" s="7" t="s">
        <v>1453</v>
      </c>
      <c r="F226" s="7" t="s">
        <v>1014</v>
      </c>
      <c r="G226" s="7" t="s">
        <v>2700</v>
      </c>
      <c r="H226" s="7">
        <v>5.8</v>
      </c>
      <c r="I226" s="7" t="s">
        <v>718</v>
      </c>
    </row>
    <row r="227" spans="1:9">
      <c r="A227" s="7" t="s">
        <v>690</v>
      </c>
      <c r="B227" s="7" t="s">
        <v>1459</v>
      </c>
      <c r="C227" s="7">
        <v>4</v>
      </c>
      <c r="D227" s="7" t="s">
        <v>1392</v>
      </c>
      <c r="E227" s="7" t="s">
        <v>1453</v>
      </c>
      <c r="F227" s="7" t="s">
        <v>1015</v>
      </c>
      <c r="G227" s="7" t="s">
        <v>2700</v>
      </c>
      <c r="H227" s="7">
        <v>5.8</v>
      </c>
      <c r="I227" s="7" t="s">
        <v>718</v>
      </c>
    </row>
    <row r="228" spans="1:9">
      <c r="A228" s="7" t="s">
        <v>690</v>
      </c>
      <c r="B228" s="7" t="s">
        <v>1459</v>
      </c>
      <c r="C228" s="7">
        <v>4</v>
      </c>
      <c r="D228" s="7" t="s">
        <v>1392</v>
      </c>
      <c r="E228" s="7" t="s">
        <v>1453</v>
      </c>
      <c r="F228" s="7" t="s">
        <v>1016</v>
      </c>
      <c r="G228" s="7" t="s">
        <v>2700</v>
      </c>
      <c r="H228" s="7">
        <v>5.8</v>
      </c>
      <c r="I228" s="7" t="s">
        <v>718</v>
      </c>
    </row>
    <row r="229" spans="1:9">
      <c r="A229" s="7" t="s">
        <v>690</v>
      </c>
      <c r="B229" s="7" t="s">
        <v>1459</v>
      </c>
      <c r="C229" s="7">
        <v>4</v>
      </c>
      <c r="D229" s="7" t="s">
        <v>1392</v>
      </c>
      <c r="E229" s="7" t="s">
        <v>1453</v>
      </c>
      <c r="F229" s="7" t="s">
        <v>1017</v>
      </c>
      <c r="G229" s="7" t="s">
        <v>2700</v>
      </c>
      <c r="H229" s="7">
        <v>5.8</v>
      </c>
      <c r="I229" s="7" t="s">
        <v>718</v>
      </c>
    </row>
    <row r="230" spans="1:9">
      <c r="A230" s="7" t="s">
        <v>690</v>
      </c>
      <c r="B230" s="7" t="s">
        <v>1459</v>
      </c>
      <c r="C230" s="7">
        <v>4</v>
      </c>
      <c r="D230" s="7" t="s">
        <v>1392</v>
      </c>
      <c r="E230" s="7" t="s">
        <v>1453</v>
      </c>
      <c r="F230" s="7" t="s">
        <v>1018</v>
      </c>
      <c r="G230" s="7" t="s">
        <v>2700</v>
      </c>
      <c r="H230" s="7">
        <v>5.8</v>
      </c>
      <c r="I230" s="7" t="s">
        <v>718</v>
      </c>
    </row>
    <row r="231" spans="1:9">
      <c r="A231" s="7" t="s">
        <v>690</v>
      </c>
      <c r="B231" s="7" t="s">
        <v>1459</v>
      </c>
      <c r="C231" s="7">
        <v>4</v>
      </c>
      <c r="D231" s="7" t="s">
        <v>1392</v>
      </c>
      <c r="E231" s="7" t="s">
        <v>1453</v>
      </c>
      <c r="F231" s="7" t="s">
        <v>1019</v>
      </c>
      <c r="G231" s="7" t="s">
        <v>2700</v>
      </c>
      <c r="H231" s="7">
        <v>5.8</v>
      </c>
      <c r="I231" s="7" t="s">
        <v>718</v>
      </c>
    </row>
    <row r="232" spans="1:9">
      <c r="A232" s="7" t="s">
        <v>690</v>
      </c>
      <c r="B232" s="7" t="s">
        <v>1459</v>
      </c>
      <c r="C232" s="7">
        <v>4</v>
      </c>
      <c r="D232" s="7" t="s">
        <v>1392</v>
      </c>
      <c r="E232" s="7" t="s">
        <v>1453</v>
      </c>
      <c r="F232" s="7" t="s">
        <v>2791</v>
      </c>
      <c r="G232" s="7" t="s">
        <v>2700</v>
      </c>
      <c r="H232" s="7">
        <v>5.8</v>
      </c>
      <c r="I232" s="7" t="s">
        <v>718</v>
      </c>
    </row>
    <row r="233" spans="1:9">
      <c r="A233" s="7" t="s">
        <v>690</v>
      </c>
      <c r="B233" s="7" t="s">
        <v>1459</v>
      </c>
      <c r="C233" s="7">
        <v>4</v>
      </c>
      <c r="D233" s="7" t="s">
        <v>1392</v>
      </c>
      <c r="E233" s="7" t="s">
        <v>1453</v>
      </c>
      <c r="F233" s="7" t="s">
        <v>2792</v>
      </c>
      <c r="G233" s="7" t="s">
        <v>3013</v>
      </c>
      <c r="H233" s="7">
        <v>5.8</v>
      </c>
      <c r="I233" s="7" t="s">
        <v>718</v>
      </c>
    </row>
    <row r="234" spans="1:9">
      <c r="A234" s="7" t="s">
        <v>690</v>
      </c>
      <c r="B234" s="7" t="s">
        <v>1459</v>
      </c>
      <c r="C234" s="7">
        <v>4</v>
      </c>
      <c r="D234" s="7" t="s">
        <v>1392</v>
      </c>
      <c r="E234" s="7" t="s">
        <v>1453</v>
      </c>
      <c r="F234" s="7" t="s">
        <v>2703</v>
      </c>
      <c r="G234" s="7" t="s">
        <v>2704</v>
      </c>
      <c r="H234" s="7">
        <v>5.8</v>
      </c>
      <c r="I234" s="7" t="s">
        <v>2705</v>
      </c>
    </row>
    <row r="235" spans="1:9">
      <c r="A235" s="7" t="s">
        <v>690</v>
      </c>
      <c r="B235" s="7" t="s">
        <v>1459</v>
      </c>
      <c r="C235" s="7">
        <v>4</v>
      </c>
      <c r="D235" s="7" t="s">
        <v>1392</v>
      </c>
      <c r="E235" s="7" t="s">
        <v>1453</v>
      </c>
      <c r="F235" s="7" t="s">
        <v>1196</v>
      </c>
      <c r="G235" s="7" t="s">
        <v>2700</v>
      </c>
      <c r="H235" s="7">
        <v>5.8</v>
      </c>
      <c r="I235" s="7" t="s">
        <v>718</v>
      </c>
    </row>
    <row r="236" spans="1:9">
      <c r="A236" s="7" t="s">
        <v>690</v>
      </c>
      <c r="B236" s="7" t="s">
        <v>1459</v>
      </c>
      <c r="C236" s="7">
        <v>4</v>
      </c>
      <c r="D236" s="7" t="s">
        <v>1392</v>
      </c>
      <c r="E236" s="7" t="s">
        <v>1453</v>
      </c>
      <c r="F236" s="7" t="s">
        <v>2706</v>
      </c>
      <c r="G236" s="7" t="s">
        <v>2707</v>
      </c>
      <c r="H236" s="7">
        <v>5.8</v>
      </c>
      <c r="I236" s="7" t="s">
        <v>718</v>
      </c>
    </row>
    <row r="237" spans="1:9">
      <c r="A237" s="7" t="s">
        <v>690</v>
      </c>
      <c r="B237" s="7" t="s">
        <v>1459</v>
      </c>
      <c r="C237" s="7">
        <v>4</v>
      </c>
      <c r="D237" s="7" t="s">
        <v>1392</v>
      </c>
      <c r="E237" s="7" t="s">
        <v>1453</v>
      </c>
      <c r="F237" s="7" t="s">
        <v>2706</v>
      </c>
      <c r="G237" s="7" t="s">
        <v>2708</v>
      </c>
      <c r="H237" s="7">
        <v>5.8</v>
      </c>
      <c r="I237" s="7" t="s">
        <v>718</v>
      </c>
    </row>
    <row r="238" spans="1:9">
      <c r="A238" s="7" t="s">
        <v>690</v>
      </c>
      <c r="B238" s="7" t="s">
        <v>1459</v>
      </c>
      <c r="C238" s="7">
        <v>4</v>
      </c>
      <c r="D238" s="7" t="s">
        <v>1392</v>
      </c>
      <c r="E238" s="7" t="s">
        <v>1453</v>
      </c>
      <c r="F238" s="7" t="s">
        <v>2706</v>
      </c>
      <c r="G238" s="7" t="s">
        <v>2709</v>
      </c>
      <c r="H238" s="7">
        <v>5.8</v>
      </c>
      <c r="I238" s="7" t="s">
        <v>719</v>
      </c>
    </row>
    <row r="239" spans="1:9">
      <c r="A239" s="7" t="s">
        <v>690</v>
      </c>
      <c r="B239" s="7" t="s">
        <v>1459</v>
      </c>
      <c r="C239" s="7">
        <v>4</v>
      </c>
      <c r="D239" s="7" t="s">
        <v>1392</v>
      </c>
      <c r="E239" s="7" t="s">
        <v>1453</v>
      </c>
      <c r="F239" s="7" t="s">
        <v>2710</v>
      </c>
      <c r="G239" s="7" t="s">
        <v>2711</v>
      </c>
      <c r="H239" s="7">
        <v>5.8</v>
      </c>
      <c r="I239" s="7" t="s">
        <v>2705</v>
      </c>
    </row>
    <row r="240" spans="1:9">
      <c r="A240" s="7" t="s">
        <v>690</v>
      </c>
      <c r="B240" s="7" t="s">
        <v>1459</v>
      </c>
      <c r="C240" s="7">
        <v>4</v>
      </c>
      <c r="D240" s="7" t="s">
        <v>1392</v>
      </c>
      <c r="E240" s="7" t="s">
        <v>1453</v>
      </c>
      <c r="F240" s="7" t="s">
        <v>2712</v>
      </c>
      <c r="G240" s="7" t="s">
        <v>2717</v>
      </c>
      <c r="H240" s="7">
        <v>5.8</v>
      </c>
      <c r="I240" s="7" t="s">
        <v>2714</v>
      </c>
    </row>
    <row r="241" spans="1:9">
      <c r="A241" s="7" t="s">
        <v>690</v>
      </c>
      <c r="B241" s="7" t="s">
        <v>1459</v>
      </c>
      <c r="C241" s="7">
        <v>4</v>
      </c>
      <c r="D241" s="7" t="s">
        <v>1392</v>
      </c>
      <c r="E241" s="7" t="s">
        <v>1453</v>
      </c>
      <c r="F241" s="7" t="s">
        <v>2712</v>
      </c>
      <c r="G241" s="7" t="s">
        <v>2713</v>
      </c>
      <c r="H241" s="7">
        <v>5.8</v>
      </c>
      <c r="I241" s="7" t="s">
        <v>2714</v>
      </c>
    </row>
    <row r="242" spans="1:9">
      <c r="A242" s="7" t="s">
        <v>690</v>
      </c>
      <c r="B242" s="7" t="s">
        <v>1459</v>
      </c>
      <c r="C242" s="7">
        <v>4</v>
      </c>
      <c r="D242" s="7" t="s">
        <v>1392</v>
      </c>
      <c r="E242" s="7" t="s">
        <v>1453</v>
      </c>
      <c r="F242" s="7" t="s">
        <v>2712</v>
      </c>
      <c r="G242" s="7" t="s">
        <v>2716</v>
      </c>
      <c r="H242" s="7">
        <v>5.8</v>
      </c>
      <c r="I242" s="7" t="s">
        <v>2714</v>
      </c>
    </row>
    <row r="243" spans="1:9">
      <c r="A243" s="7" t="s">
        <v>690</v>
      </c>
      <c r="B243" s="7" t="s">
        <v>1459</v>
      </c>
      <c r="C243" s="7">
        <v>4</v>
      </c>
      <c r="D243" s="7" t="s">
        <v>1392</v>
      </c>
      <c r="E243" s="7" t="s">
        <v>1453</v>
      </c>
      <c r="F243" s="7" t="s">
        <v>2712</v>
      </c>
      <c r="G243" s="7" t="s">
        <v>2715</v>
      </c>
      <c r="H243" s="7">
        <v>5.8</v>
      </c>
      <c r="I243" s="7" t="s">
        <v>2714</v>
      </c>
    </row>
    <row r="244" spans="1:9">
      <c r="A244" s="7" t="s">
        <v>690</v>
      </c>
      <c r="B244" s="7" t="s">
        <v>1459</v>
      </c>
      <c r="C244" s="7">
        <v>4</v>
      </c>
      <c r="D244" s="7" t="s">
        <v>1392</v>
      </c>
      <c r="E244" s="7" t="s">
        <v>1453</v>
      </c>
      <c r="F244" s="7" t="s">
        <v>2718</v>
      </c>
      <c r="G244" s="7" t="s">
        <v>2720</v>
      </c>
      <c r="H244" s="7">
        <v>5.8</v>
      </c>
      <c r="I244" s="7" t="s">
        <v>718</v>
      </c>
    </row>
    <row r="245" spans="1:9">
      <c r="A245" s="7" t="s">
        <v>690</v>
      </c>
      <c r="B245" s="7" t="s">
        <v>1459</v>
      </c>
      <c r="C245" s="7">
        <v>4</v>
      </c>
      <c r="D245" s="7" t="s">
        <v>1392</v>
      </c>
      <c r="E245" s="7" t="s">
        <v>1453</v>
      </c>
      <c r="F245" s="7" t="s">
        <v>2718</v>
      </c>
      <c r="G245" s="7" t="s">
        <v>2719</v>
      </c>
      <c r="H245" s="7">
        <v>5.8</v>
      </c>
      <c r="I245" s="7" t="s">
        <v>718</v>
      </c>
    </row>
    <row r="246" spans="1:9">
      <c r="A246" s="7" t="s">
        <v>690</v>
      </c>
      <c r="B246" s="7" t="s">
        <v>1459</v>
      </c>
      <c r="C246" s="7">
        <v>4</v>
      </c>
      <c r="D246" s="7" t="s">
        <v>1392</v>
      </c>
      <c r="E246" s="7" t="s">
        <v>1453</v>
      </c>
      <c r="F246" s="7" t="s">
        <v>2722</v>
      </c>
      <c r="G246" s="7" t="s">
        <v>2793</v>
      </c>
      <c r="H246" s="7">
        <v>5.8</v>
      </c>
      <c r="I246" s="7" t="s">
        <v>719</v>
      </c>
    </row>
    <row r="247" spans="1:9">
      <c r="A247" s="7" t="s">
        <v>690</v>
      </c>
      <c r="B247" s="7" t="s">
        <v>1459</v>
      </c>
      <c r="C247" s="7">
        <v>4</v>
      </c>
      <c r="D247" s="7" t="s">
        <v>1392</v>
      </c>
      <c r="E247" s="7" t="s">
        <v>1453</v>
      </c>
      <c r="F247" s="7" t="s">
        <v>2722</v>
      </c>
      <c r="G247" s="7" t="s">
        <v>2794</v>
      </c>
      <c r="H247" s="7">
        <v>5.8</v>
      </c>
      <c r="I247" s="7" t="s">
        <v>719</v>
      </c>
    </row>
    <row r="248" spans="1:9">
      <c r="A248" s="7" t="s">
        <v>690</v>
      </c>
      <c r="B248" s="7" t="s">
        <v>1459</v>
      </c>
      <c r="C248" s="7">
        <v>4</v>
      </c>
      <c r="D248" s="7" t="s">
        <v>1392</v>
      </c>
      <c r="E248" s="7" t="s">
        <v>1453</v>
      </c>
      <c r="F248" s="7" t="s">
        <v>2722</v>
      </c>
      <c r="G248" s="7" t="s">
        <v>2723</v>
      </c>
      <c r="H248" s="7">
        <v>5.8</v>
      </c>
      <c r="I248" s="7" t="s">
        <v>718</v>
      </c>
    </row>
    <row r="249" spans="1:9">
      <c r="A249" s="7" t="s">
        <v>690</v>
      </c>
      <c r="B249" s="7" t="s">
        <v>1459</v>
      </c>
      <c r="C249" s="7">
        <v>4</v>
      </c>
      <c r="D249" s="7" t="s">
        <v>1392</v>
      </c>
      <c r="E249" s="7" t="s">
        <v>1453</v>
      </c>
      <c r="F249" s="7" t="s">
        <v>2722</v>
      </c>
      <c r="G249" s="7" t="s">
        <v>2724</v>
      </c>
      <c r="H249" s="7">
        <v>5.8</v>
      </c>
      <c r="I249" s="7" t="s">
        <v>718</v>
      </c>
    </row>
    <row r="250" spans="1:9">
      <c r="A250" s="7" t="s">
        <v>690</v>
      </c>
      <c r="B250" s="7" t="s">
        <v>1459</v>
      </c>
      <c r="C250" s="7">
        <v>4</v>
      </c>
      <c r="D250" s="7" t="s">
        <v>1392</v>
      </c>
      <c r="E250" s="7" t="s">
        <v>1453</v>
      </c>
      <c r="F250" s="7" t="s">
        <v>1456</v>
      </c>
      <c r="G250" s="7" t="s">
        <v>2700</v>
      </c>
      <c r="H250" s="7">
        <v>5.7</v>
      </c>
      <c r="I250" s="7" t="s">
        <v>718</v>
      </c>
    </row>
    <row r="251" spans="1:9">
      <c r="A251" s="7" t="s">
        <v>690</v>
      </c>
      <c r="B251" s="7" t="s">
        <v>1459</v>
      </c>
      <c r="C251" s="7">
        <v>4</v>
      </c>
      <c r="D251" s="7" t="s">
        <v>1392</v>
      </c>
      <c r="E251" s="7" t="s">
        <v>1453</v>
      </c>
      <c r="F251" s="7" t="s">
        <v>1462</v>
      </c>
      <c r="G251" s="7" t="s">
        <v>2700</v>
      </c>
      <c r="H251" s="7">
        <v>5.8</v>
      </c>
      <c r="I251" s="7" t="s">
        <v>718</v>
      </c>
    </row>
    <row r="252" spans="1:9">
      <c r="A252" s="7" t="s">
        <v>690</v>
      </c>
      <c r="B252" s="7" t="s">
        <v>1459</v>
      </c>
      <c r="C252" s="7">
        <v>4</v>
      </c>
      <c r="D252" s="7" t="s">
        <v>1392</v>
      </c>
      <c r="E252" s="7" t="s">
        <v>1453</v>
      </c>
      <c r="F252" s="7" t="s">
        <v>1462</v>
      </c>
      <c r="G252" s="7" t="s">
        <v>3061</v>
      </c>
      <c r="H252" s="7">
        <v>5.8</v>
      </c>
      <c r="I252" s="7" t="s">
        <v>718</v>
      </c>
    </row>
    <row r="253" spans="1:9">
      <c r="A253" s="7" t="s">
        <v>690</v>
      </c>
      <c r="B253" s="7" t="s">
        <v>1459</v>
      </c>
      <c r="C253" s="7">
        <v>4</v>
      </c>
      <c r="D253" s="7" t="s">
        <v>1392</v>
      </c>
      <c r="E253" s="7" t="s">
        <v>1453</v>
      </c>
      <c r="F253" s="7" t="s">
        <v>1462</v>
      </c>
      <c r="G253" s="7" t="s">
        <v>2799</v>
      </c>
      <c r="H253" s="7">
        <v>5.8</v>
      </c>
      <c r="I253" s="7" t="s">
        <v>718</v>
      </c>
    </row>
    <row r="254" spans="1:9">
      <c r="A254" s="7" t="s">
        <v>690</v>
      </c>
      <c r="B254" s="7" t="s">
        <v>1459</v>
      </c>
      <c r="C254" s="7">
        <v>4</v>
      </c>
      <c r="D254" s="7" t="s">
        <v>1392</v>
      </c>
      <c r="E254" s="7" t="s">
        <v>1453</v>
      </c>
      <c r="F254" s="7" t="s">
        <v>1462</v>
      </c>
      <c r="G254" s="7" t="s">
        <v>2798</v>
      </c>
      <c r="H254" s="7">
        <v>5.8</v>
      </c>
      <c r="I254" s="7" t="s">
        <v>718</v>
      </c>
    </row>
    <row r="255" spans="1:9">
      <c r="A255" s="7" t="s">
        <v>690</v>
      </c>
      <c r="B255" s="7" t="s">
        <v>1459</v>
      </c>
      <c r="C255" s="7">
        <v>4</v>
      </c>
      <c r="D255" s="7" t="s">
        <v>1392</v>
      </c>
      <c r="E255" s="7" t="s">
        <v>1453</v>
      </c>
      <c r="F255" s="7" t="s">
        <v>1462</v>
      </c>
      <c r="G255" s="7" t="s">
        <v>2795</v>
      </c>
      <c r="H255" s="7">
        <v>5.8</v>
      </c>
      <c r="I255" s="7" t="s">
        <v>718</v>
      </c>
    </row>
    <row r="256" spans="1:9">
      <c r="A256" s="7" t="s">
        <v>690</v>
      </c>
      <c r="B256" s="7" t="s">
        <v>1459</v>
      </c>
      <c r="C256" s="7">
        <v>4</v>
      </c>
      <c r="D256" s="7" t="s">
        <v>1392</v>
      </c>
      <c r="E256" s="7" t="s">
        <v>1453</v>
      </c>
      <c r="F256" s="7" t="s">
        <v>1462</v>
      </c>
      <c r="G256" s="7" t="s">
        <v>2800</v>
      </c>
      <c r="H256" s="7">
        <v>5.8</v>
      </c>
      <c r="I256" s="7" t="s">
        <v>718</v>
      </c>
    </row>
    <row r="257" spans="1:9">
      <c r="A257" s="7" t="s">
        <v>690</v>
      </c>
      <c r="B257" s="7" t="s">
        <v>1459</v>
      </c>
      <c r="C257" s="7">
        <v>4</v>
      </c>
      <c r="D257" s="7" t="s">
        <v>1392</v>
      </c>
      <c r="E257" s="7" t="s">
        <v>1453</v>
      </c>
      <c r="F257" s="7" t="s">
        <v>1462</v>
      </c>
      <c r="G257" s="7" t="s">
        <v>2801</v>
      </c>
      <c r="H257" s="7">
        <v>5.8</v>
      </c>
      <c r="I257" s="7" t="s">
        <v>718</v>
      </c>
    </row>
    <row r="258" spans="1:9">
      <c r="A258" s="7" t="s">
        <v>690</v>
      </c>
      <c r="B258" s="7" t="s">
        <v>1459</v>
      </c>
      <c r="C258" s="7">
        <v>4</v>
      </c>
      <c r="D258" s="7" t="s">
        <v>1392</v>
      </c>
      <c r="E258" s="7" t="s">
        <v>1453</v>
      </c>
      <c r="F258" s="7" t="s">
        <v>1462</v>
      </c>
      <c r="G258" s="7" t="s">
        <v>2796</v>
      </c>
      <c r="H258" s="7">
        <v>5.8</v>
      </c>
      <c r="I258" s="7" t="s">
        <v>718</v>
      </c>
    </row>
    <row r="259" spans="1:9">
      <c r="A259" s="7" t="s">
        <v>690</v>
      </c>
      <c r="B259" s="7" t="s">
        <v>1459</v>
      </c>
      <c r="C259" s="7">
        <v>4</v>
      </c>
      <c r="D259" s="7" t="s">
        <v>1392</v>
      </c>
      <c r="E259" s="7" t="s">
        <v>1453</v>
      </c>
      <c r="F259" s="7" t="s">
        <v>1462</v>
      </c>
      <c r="G259" s="7" t="s">
        <v>2797</v>
      </c>
      <c r="H259" s="7">
        <v>5.8</v>
      </c>
      <c r="I259" s="7" t="s">
        <v>718</v>
      </c>
    </row>
    <row r="260" spans="1:9">
      <c r="A260" s="7" t="s">
        <v>690</v>
      </c>
      <c r="B260" s="7" t="s">
        <v>1459</v>
      </c>
      <c r="C260" s="7">
        <v>4</v>
      </c>
      <c r="D260" s="7" t="s">
        <v>1392</v>
      </c>
      <c r="E260" s="7" t="s">
        <v>1453</v>
      </c>
      <c r="F260" s="7" t="s">
        <v>1462</v>
      </c>
      <c r="G260" s="7" t="s">
        <v>2802</v>
      </c>
      <c r="H260" s="7">
        <v>5.8</v>
      </c>
      <c r="I260" s="7" t="s">
        <v>718</v>
      </c>
    </row>
    <row r="261" spans="1:9">
      <c r="A261" s="7" t="s">
        <v>690</v>
      </c>
      <c r="B261" s="7" t="s">
        <v>1459</v>
      </c>
      <c r="C261" s="7">
        <v>4</v>
      </c>
      <c r="D261" s="7" t="s">
        <v>1392</v>
      </c>
      <c r="E261" s="7" t="s">
        <v>1453</v>
      </c>
      <c r="F261" s="7" t="s">
        <v>1462</v>
      </c>
      <c r="G261" s="7" t="s">
        <v>2803</v>
      </c>
      <c r="H261" s="7">
        <v>5.8</v>
      </c>
      <c r="I261" s="7" t="s">
        <v>718</v>
      </c>
    </row>
    <row r="262" spans="1:9">
      <c r="A262" s="7" t="s">
        <v>690</v>
      </c>
      <c r="B262" s="7" t="s">
        <v>1459</v>
      </c>
      <c r="C262" s="7">
        <v>4</v>
      </c>
      <c r="D262" s="7" t="s">
        <v>1392</v>
      </c>
      <c r="E262" s="7" t="s">
        <v>1453</v>
      </c>
      <c r="F262" s="7" t="s">
        <v>55</v>
      </c>
      <c r="G262" s="7" t="s">
        <v>2700</v>
      </c>
      <c r="H262" s="7">
        <v>5.8</v>
      </c>
      <c r="I262" s="7" t="s">
        <v>718</v>
      </c>
    </row>
    <row r="263" spans="1:9">
      <c r="A263" s="7" t="s">
        <v>690</v>
      </c>
      <c r="B263" s="7" t="s">
        <v>1459</v>
      </c>
      <c r="C263" s="7">
        <v>4</v>
      </c>
      <c r="D263" s="7" t="s">
        <v>1392</v>
      </c>
      <c r="E263" s="7" t="s">
        <v>1345</v>
      </c>
      <c r="F263" s="7" t="s">
        <v>1468</v>
      </c>
      <c r="G263" s="7" t="s">
        <v>1469</v>
      </c>
      <c r="H263" s="7">
        <v>5.6</v>
      </c>
      <c r="I263" s="7" t="s">
        <v>718</v>
      </c>
    </row>
    <row r="264" spans="1:9">
      <c r="A264" s="7" t="s">
        <v>690</v>
      </c>
      <c r="B264" s="7" t="s">
        <v>1459</v>
      </c>
      <c r="C264" s="7">
        <v>4</v>
      </c>
      <c r="D264" s="7" t="s">
        <v>1392</v>
      </c>
      <c r="E264" s="7" t="s">
        <v>1345</v>
      </c>
      <c r="F264" s="7" t="s">
        <v>1468</v>
      </c>
      <c r="G264" s="7" t="s">
        <v>2805</v>
      </c>
      <c r="H264" s="7">
        <v>5.6</v>
      </c>
      <c r="I264" s="7" t="s">
        <v>718</v>
      </c>
    </row>
    <row r="265" spans="1:9">
      <c r="A265" s="7" t="s">
        <v>690</v>
      </c>
      <c r="B265" s="7" t="s">
        <v>1459</v>
      </c>
      <c r="C265" s="7">
        <v>4</v>
      </c>
      <c r="D265" s="7" t="s">
        <v>1392</v>
      </c>
      <c r="E265" s="7" t="s">
        <v>1345</v>
      </c>
      <c r="F265" s="7" t="s">
        <v>1478</v>
      </c>
      <c r="G265" s="7" t="s">
        <v>2700</v>
      </c>
      <c r="H265" s="7">
        <v>5.6</v>
      </c>
      <c r="I265" s="7" t="s">
        <v>718</v>
      </c>
    </row>
    <row r="266" spans="1:9">
      <c r="A266" s="7" t="s">
        <v>690</v>
      </c>
      <c r="B266" s="7" t="s">
        <v>1459</v>
      </c>
      <c r="C266" s="7">
        <v>4</v>
      </c>
      <c r="D266" s="7" t="s">
        <v>1392</v>
      </c>
      <c r="E266" s="7" t="s">
        <v>1345</v>
      </c>
      <c r="F266" s="7" t="s">
        <v>1475</v>
      </c>
      <c r="G266" s="7" t="s">
        <v>2807</v>
      </c>
      <c r="H266" s="7">
        <v>5.6</v>
      </c>
      <c r="I266" s="7" t="s">
        <v>718</v>
      </c>
    </row>
    <row r="267" spans="1:9">
      <c r="A267" s="7" t="s">
        <v>690</v>
      </c>
      <c r="B267" s="7" t="s">
        <v>1459</v>
      </c>
      <c r="C267" s="7">
        <v>4</v>
      </c>
      <c r="D267" s="7" t="s">
        <v>1392</v>
      </c>
      <c r="E267" s="7" t="s">
        <v>1345</v>
      </c>
      <c r="F267" s="7" t="s">
        <v>1475</v>
      </c>
      <c r="G267" s="7" t="s">
        <v>1476</v>
      </c>
      <c r="H267" s="7">
        <v>5.6</v>
      </c>
      <c r="I267" s="7" t="s">
        <v>718</v>
      </c>
    </row>
    <row r="268" spans="1:9">
      <c r="A268" s="7" t="s">
        <v>690</v>
      </c>
      <c r="B268" s="7" t="s">
        <v>1459</v>
      </c>
      <c r="C268" s="7">
        <v>4</v>
      </c>
      <c r="D268" s="7" t="s">
        <v>1392</v>
      </c>
      <c r="E268" s="7" t="s">
        <v>1345</v>
      </c>
      <c r="F268" s="7" t="s">
        <v>1475</v>
      </c>
      <c r="G268" s="7" t="s">
        <v>2806</v>
      </c>
      <c r="H268" s="7">
        <v>5.6</v>
      </c>
      <c r="I268" s="7" t="s">
        <v>718</v>
      </c>
    </row>
    <row r="269" spans="1:9">
      <c r="A269" s="7" t="s">
        <v>690</v>
      </c>
      <c r="B269" s="7" t="s">
        <v>1459</v>
      </c>
      <c r="C269" s="7">
        <v>4</v>
      </c>
      <c r="D269" s="7" t="s">
        <v>1392</v>
      </c>
      <c r="E269" s="7" t="s">
        <v>1345</v>
      </c>
      <c r="F269" s="7" t="s">
        <v>1477</v>
      </c>
      <c r="G269" s="7" t="s">
        <v>2700</v>
      </c>
      <c r="H269" s="7">
        <v>5.6</v>
      </c>
      <c r="I269" s="7" t="s">
        <v>718</v>
      </c>
    </row>
    <row r="270" spans="1:9">
      <c r="A270" s="7" t="s">
        <v>690</v>
      </c>
      <c r="B270" s="7" t="s">
        <v>1459</v>
      </c>
      <c r="C270" s="7">
        <v>4</v>
      </c>
      <c r="D270" s="7" t="s">
        <v>1392</v>
      </c>
      <c r="E270" s="7" t="s">
        <v>1345</v>
      </c>
      <c r="F270" s="7" t="s">
        <v>1470</v>
      </c>
      <c r="G270" s="7" t="s">
        <v>1471</v>
      </c>
      <c r="H270" s="7">
        <v>5.6</v>
      </c>
      <c r="I270" s="7" t="s">
        <v>718</v>
      </c>
    </row>
    <row r="271" spans="1:9">
      <c r="A271" s="7" t="s">
        <v>690</v>
      </c>
      <c r="B271" s="7" t="s">
        <v>1459</v>
      </c>
      <c r="C271" s="7">
        <v>4</v>
      </c>
      <c r="D271" s="7" t="s">
        <v>1392</v>
      </c>
      <c r="E271" s="7" t="s">
        <v>1345</v>
      </c>
      <c r="F271" s="7" t="s">
        <v>1470</v>
      </c>
      <c r="G271" s="7" t="s">
        <v>1472</v>
      </c>
      <c r="H271" s="7">
        <v>5.6</v>
      </c>
      <c r="I271" s="7" t="s">
        <v>718</v>
      </c>
    </row>
    <row r="272" spans="1:9">
      <c r="A272" s="7" t="s">
        <v>690</v>
      </c>
      <c r="B272" s="7" t="s">
        <v>1459</v>
      </c>
      <c r="C272" s="7">
        <v>4</v>
      </c>
      <c r="D272" s="7" t="s">
        <v>1392</v>
      </c>
      <c r="E272" s="7" t="s">
        <v>1345</v>
      </c>
      <c r="F272" s="7" t="s">
        <v>2789</v>
      </c>
      <c r="G272" s="7" t="s">
        <v>2808</v>
      </c>
      <c r="H272" s="7">
        <v>5.6</v>
      </c>
      <c r="I272" s="7" t="s">
        <v>718</v>
      </c>
    </row>
    <row r="273" spans="1:9">
      <c r="A273" s="7" t="s">
        <v>690</v>
      </c>
      <c r="B273" s="7" t="s">
        <v>1459</v>
      </c>
      <c r="C273" s="7">
        <v>4</v>
      </c>
      <c r="D273" s="7" t="s">
        <v>1392</v>
      </c>
      <c r="E273" s="7" t="s">
        <v>1345</v>
      </c>
      <c r="F273" s="7" t="s">
        <v>1473</v>
      </c>
      <c r="G273" s="7" t="s">
        <v>1474</v>
      </c>
      <c r="H273" s="7">
        <v>5.6</v>
      </c>
      <c r="I273" s="7" t="s">
        <v>718</v>
      </c>
    </row>
    <row r="274" spans="1:9">
      <c r="A274" s="7" t="s">
        <v>690</v>
      </c>
      <c r="B274" s="7" t="s">
        <v>1459</v>
      </c>
      <c r="C274" s="7">
        <v>4</v>
      </c>
      <c r="D274" s="7" t="s">
        <v>1392</v>
      </c>
      <c r="E274" s="7" t="s">
        <v>1345</v>
      </c>
      <c r="F274" s="7" t="s">
        <v>1473</v>
      </c>
      <c r="G274" s="7" t="s">
        <v>2809</v>
      </c>
      <c r="H274" s="7">
        <v>5.6</v>
      </c>
      <c r="I274" s="7" t="s">
        <v>718</v>
      </c>
    </row>
    <row r="275" spans="1:9">
      <c r="A275" s="7" t="s">
        <v>690</v>
      </c>
      <c r="B275" s="7" t="s">
        <v>1459</v>
      </c>
      <c r="C275" s="7">
        <v>4</v>
      </c>
      <c r="D275" s="7" t="s">
        <v>1392</v>
      </c>
      <c r="E275" s="7" t="s">
        <v>1345</v>
      </c>
      <c r="F275" s="7" t="s">
        <v>1033</v>
      </c>
      <c r="G275" s="7" t="s">
        <v>2700</v>
      </c>
      <c r="H275" s="7">
        <v>5.6</v>
      </c>
      <c r="I275" s="7" t="s">
        <v>718</v>
      </c>
    </row>
    <row r="276" spans="1:9">
      <c r="A276" s="7" t="s">
        <v>690</v>
      </c>
      <c r="B276" s="7" t="s">
        <v>1459</v>
      </c>
      <c r="C276" s="7">
        <v>4</v>
      </c>
      <c r="D276" s="7" t="s">
        <v>1392</v>
      </c>
      <c r="E276" s="7" t="s">
        <v>1345</v>
      </c>
      <c r="F276" s="7" t="s">
        <v>1020</v>
      </c>
      <c r="G276" s="7" t="s">
        <v>2700</v>
      </c>
      <c r="H276" s="7">
        <v>5.6</v>
      </c>
      <c r="I276" s="7" t="s">
        <v>718</v>
      </c>
    </row>
    <row r="277" spans="1:9">
      <c r="A277" s="7" t="s">
        <v>690</v>
      </c>
      <c r="B277" s="7" t="s">
        <v>1459</v>
      </c>
      <c r="C277" s="7">
        <v>4</v>
      </c>
      <c r="D277" s="7" t="s">
        <v>1392</v>
      </c>
      <c r="E277" s="7" t="s">
        <v>1345</v>
      </c>
      <c r="F277" s="7" t="s">
        <v>1021</v>
      </c>
      <c r="G277" s="7" t="s">
        <v>2700</v>
      </c>
      <c r="H277" s="7">
        <v>5.6</v>
      </c>
      <c r="I277" s="7" t="s">
        <v>718</v>
      </c>
    </row>
    <row r="278" spans="1:9">
      <c r="A278" s="7" t="s">
        <v>690</v>
      </c>
      <c r="B278" s="7" t="s">
        <v>1459</v>
      </c>
      <c r="C278" s="7">
        <v>4</v>
      </c>
      <c r="D278" s="7" t="s">
        <v>1392</v>
      </c>
      <c r="E278" s="7" t="s">
        <v>1345</v>
      </c>
      <c r="F278" s="7" t="s">
        <v>1022</v>
      </c>
      <c r="G278" s="7" t="s">
        <v>2700</v>
      </c>
      <c r="H278" s="7">
        <v>5.6</v>
      </c>
      <c r="I278" s="7" t="s">
        <v>718</v>
      </c>
    </row>
    <row r="279" spans="1:9">
      <c r="A279" s="7" t="s">
        <v>690</v>
      </c>
      <c r="B279" s="7" t="s">
        <v>1459</v>
      </c>
      <c r="C279" s="7">
        <v>4</v>
      </c>
      <c r="D279" s="7" t="s">
        <v>1392</v>
      </c>
      <c r="E279" s="7" t="s">
        <v>1345</v>
      </c>
      <c r="F279" s="7" t="s">
        <v>1023</v>
      </c>
      <c r="G279" s="7" t="s">
        <v>2700</v>
      </c>
      <c r="H279" s="7">
        <v>5.6</v>
      </c>
      <c r="I279" s="7" t="s">
        <v>718</v>
      </c>
    </row>
    <row r="280" spans="1:9">
      <c r="A280" s="7" t="s">
        <v>690</v>
      </c>
      <c r="B280" s="7" t="s">
        <v>1459</v>
      </c>
      <c r="C280" s="7">
        <v>4</v>
      </c>
      <c r="D280" s="7" t="s">
        <v>1392</v>
      </c>
      <c r="E280" s="7" t="s">
        <v>1345</v>
      </c>
      <c r="F280" s="7" t="s">
        <v>1463</v>
      </c>
      <c r="G280" s="7" t="s">
        <v>1465</v>
      </c>
      <c r="H280" s="7">
        <v>5.6</v>
      </c>
      <c r="I280" s="7" t="s">
        <v>718</v>
      </c>
    </row>
    <row r="281" spans="1:9">
      <c r="A281" s="7" t="s">
        <v>690</v>
      </c>
      <c r="B281" s="7" t="s">
        <v>1459</v>
      </c>
      <c r="C281" s="7">
        <v>4</v>
      </c>
      <c r="D281" s="7" t="s">
        <v>1392</v>
      </c>
      <c r="E281" s="7" t="s">
        <v>1345</v>
      </c>
      <c r="F281" s="7" t="s">
        <v>1463</v>
      </c>
      <c r="G281" s="7" t="s">
        <v>1464</v>
      </c>
      <c r="H281" s="7">
        <v>5.6</v>
      </c>
      <c r="I281" s="7" t="s">
        <v>718</v>
      </c>
    </row>
    <row r="282" spans="1:9">
      <c r="A282" s="7" t="s">
        <v>690</v>
      </c>
      <c r="B282" s="7" t="s">
        <v>1459</v>
      </c>
      <c r="C282" s="7">
        <v>4</v>
      </c>
      <c r="D282" s="7" t="s">
        <v>1392</v>
      </c>
      <c r="E282" s="7" t="s">
        <v>1345</v>
      </c>
      <c r="F282" s="7" t="s">
        <v>1463</v>
      </c>
      <c r="G282" s="7" t="s">
        <v>1467</v>
      </c>
      <c r="H282" s="7">
        <v>5.6</v>
      </c>
      <c r="I282" s="7" t="s">
        <v>718</v>
      </c>
    </row>
    <row r="283" spans="1:9">
      <c r="A283" s="7" t="s">
        <v>690</v>
      </c>
      <c r="B283" s="7" t="s">
        <v>1459</v>
      </c>
      <c r="C283" s="7">
        <v>4</v>
      </c>
      <c r="D283" s="7" t="s">
        <v>1392</v>
      </c>
      <c r="E283" s="7" t="s">
        <v>1345</v>
      </c>
      <c r="F283" s="7" t="s">
        <v>1463</v>
      </c>
      <c r="G283" s="7" t="s">
        <v>1466</v>
      </c>
      <c r="H283" s="7">
        <v>5.6</v>
      </c>
      <c r="I283" s="7" t="s">
        <v>718</v>
      </c>
    </row>
    <row r="284" spans="1:9">
      <c r="A284" s="7" t="s">
        <v>690</v>
      </c>
      <c r="B284" s="7" t="s">
        <v>1459</v>
      </c>
      <c r="C284" s="7">
        <v>4</v>
      </c>
      <c r="D284" s="7" t="s">
        <v>1392</v>
      </c>
      <c r="E284" s="7" t="s">
        <v>1345</v>
      </c>
      <c r="F284" s="7" t="s">
        <v>1479</v>
      </c>
      <c r="G284" s="7" t="s">
        <v>2700</v>
      </c>
      <c r="H284" s="7">
        <v>5.6</v>
      </c>
      <c r="I284" s="7" t="s">
        <v>718</v>
      </c>
    </row>
    <row r="285" spans="1:9">
      <c r="A285" s="7" t="s">
        <v>690</v>
      </c>
      <c r="B285" s="7" t="s">
        <v>1459</v>
      </c>
      <c r="C285" s="7">
        <v>4</v>
      </c>
      <c r="D285" s="7" t="s">
        <v>1392</v>
      </c>
      <c r="E285" s="7" t="s">
        <v>1455</v>
      </c>
      <c r="F285" s="7" t="s">
        <v>1024</v>
      </c>
      <c r="G285" s="7" t="s">
        <v>2700</v>
      </c>
      <c r="H285" s="7">
        <v>5.6</v>
      </c>
      <c r="I285" s="7" t="s">
        <v>718</v>
      </c>
    </row>
    <row r="286" spans="1:9">
      <c r="A286" s="7" t="s">
        <v>690</v>
      </c>
      <c r="B286" s="7" t="s">
        <v>1459</v>
      </c>
      <c r="C286" s="7">
        <v>4</v>
      </c>
      <c r="D286" s="7" t="s">
        <v>1392</v>
      </c>
      <c r="E286" s="7" t="s">
        <v>3062</v>
      </c>
      <c r="F286" s="7" t="s">
        <v>2804</v>
      </c>
      <c r="G286" s="7" t="s">
        <v>2700</v>
      </c>
      <c r="H286" s="7">
        <v>5.8</v>
      </c>
      <c r="I286" s="7" t="s">
        <v>718</v>
      </c>
    </row>
    <row r="287" spans="1:9">
      <c r="A287" s="7" t="s">
        <v>690</v>
      </c>
      <c r="B287" s="7" t="s">
        <v>1459</v>
      </c>
      <c r="C287" s="7">
        <v>4</v>
      </c>
      <c r="D287" s="7" t="s">
        <v>1392</v>
      </c>
      <c r="E287" s="7" t="s">
        <v>3062</v>
      </c>
      <c r="F287" s="7" t="s">
        <v>2804</v>
      </c>
      <c r="G287" s="7" t="s">
        <v>2810</v>
      </c>
      <c r="H287" s="7">
        <v>5.8</v>
      </c>
      <c r="I287" s="7" t="s">
        <v>718</v>
      </c>
    </row>
    <row r="288" spans="1:9">
      <c r="A288" s="7" t="s">
        <v>690</v>
      </c>
      <c r="B288" s="7" t="s">
        <v>1459</v>
      </c>
      <c r="C288" s="7">
        <v>4</v>
      </c>
      <c r="D288" s="7" t="s">
        <v>1392</v>
      </c>
      <c r="E288" s="7" t="s">
        <v>3062</v>
      </c>
      <c r="F288" s="7" t="s">
        <v>2804</v>
      </c>
      <c r="G288" s="7" t="s">
        <v>2811</v>
      </c>
      <c r="H288" s="7">
        <v>5.8</v>
      </c>
      <c r="I288" s="7" t="s">
        <v>719</v>
      </c>
    </row>
    <row r="289" spans="1:9">
      <c r="A289" s="7" t="s">
        <v>690</v>
      </c>
      <c r="B289" s="7" t="s">
        <v>1459</v>
      </c>
      <c r="C289" s="7">
        <v>4</v>
      </c>
      <c r="D289" s="7" t="s">
        <v>1392</v>
      </c>
      <c r="E289" s="7" t="s">
        <v>3062</v>
      </c>
      <c r="F289" s="7" t="s">
        <v>2804</v>
      </c>
      <c r="G289" s="7" t="s">
        <v>2812</v>
      </c>
      <c r="H289" s="7">
        <v>5.8</v>
      </c>
      <c r="I289" s="7" t="s">
        <v>719</v>
      </c>
    </row>
    <row r="290" spans="1:9">
      <c r="A290" s="7" t="s">
        <v>690</v>
      </c>
      <c r="B290" s="7" t="s">
        <v>1459</v>
      </c>
      <c r="C290" s="7">
        <v>4</v>
      </c>
      <c r="D290" s="7" t="s">
        <v>1392</v>
      </c>
      <c r="E290" s="7" t="s">
        <v>3062</v>
      </c>
      <c r="F290" s="7" t="s">
        <v>1026</v>
      </c>
      <c r="G290" s="7" t="s">
        <v>2700</v>
      </c>
      <c r="H290" s="7">
        <v>5.6</v>
      </c>
      <c r="I290" s="7" t="s">
        <v>718</v>
      </c>
    </row>
    <row r="291" spans="1:9">
      <c r="A291" s="7" t="s">
        <v>690</v>
      </c>
      <c r="B291" s="7" t="s">
        <v>1037</v>
      </c>
      <c r="C291" s="7">
        <v>1</v>
      </c>
      <c r="D291" s="7" t="s">
        <v>436</v>
      </c>
      <c r="E291" s="7" t="s">
        <v>436</v>
      </c>
      <c r="F291" s="7" t="s">
        <v>105</v>
      </c>
      <c r="G291" s="7" t="s">
        <v>1252</v>
      </c>
      <c r="H291" s="7">
        <v>4.0999999999999996</v>
      </c>
      <c r="I291" s="7" t="s">
        <v>718</v>
      </c>
    </row>
    <row r="292" spans="1:9">
      <c r="A292" s="7" t="s">
        <v>690</v>
      </c>
      <c r="B292" s="7" t="s">
        <v>1037</v>
      </c>
      <c r="C292" s="7">
        <v>1</v>
      </c>
      <c r="D292" s="7" t="s">
        <v>436</v>
      </c>
      <c r="E292" s="7" t="s">
        <v>436</v>
      </c>
      <c r="F292" s="7" t="s">
        <v>105</v>
      </c>
      <c r="G292" s="7" t="s">
        <v>1253</v>
      </c>
      <c r="H292" s="7">
        <v>4.0999999999999996</v>
      </c>
      <c r="I292" s="7" t="s">
        <v>718</v>
      </c>
    </row>
    <row r="293" spans="1:9">
      <c r="A293" s="7" t="s">
        <v>690</v>
      </c>
      <c r="B293" s="7" t="s">
        <v>1037</v>
      </c>
      <c r="C293" s="7">
        <v>1</v>
      </c>
      <c r="D293" s="7" t="s">
        <v>436</v>
      </c>
      <c r="E293" s="7" t="s">
        <v>436</v>
      </c>
      <c r="F293" s="7" t="s">
        <v>105</v>
      </c>
      <c r="G293" s="7" t="s">
        <v>1254</v>
      </c>
      <c r="H293" s="7">
        <v>4.0999999999999996</v>
      </c>
      <c r="I293" s="7" t="s">
        <v>718</v>
      </c>
    </row>
    <row r="294" spans="1:9">
      <c r="A294" s="7" t="s">
        <v>690</v>
      </c>
      <c r="B294" s="7" t="s">
        <v>1037</v>
      </c>
      <c r="C294" s="7">
        <v>1</v>
      </c>
      <c r="D294" s="7" t="s">
        <v>436</v>
      </c>
      <c r="E294" s="7" t="s">
        <v>436</v>
      </c>
      <c r="F294" s="7" t="s">
        <v>2813</v>
      </c>
      <c r="G294" s="7" t="s">
        <v>2814</v>
      </c>
      <c r="H294" s="7">
        <v>4.0999999999999996</v>
      </c>
      <c r="I294" s="7" t="s">
        <v>718</v>
      </c>
    </row>
    <row r="295" spans="1:9">
      <c r="A295" s="7" t="s">
        <v>690</v>
      </c>
      <c r="B295" s="7" t="s">
        <v>1037</v>
      </c>
      <c r="C295" s="7">
        <v>1</v>
      </c>
      <c r="D295" s="7" t="s">
        <v>436</v>
      </c>
      <c r="E295" s="7" t="s">
        <v>436</v>
      </c>
      <c r="F295" s="7" t="s">
        <v>106</v>
      </c>
      <c r="G295" s="7" t="s">
        <v>2815</v>
      </c>
      <c r="H295" s="7">
        <v>4.0999999999999996</v>
      </c>
      <c r="I295" s="7" t="s">
        <v>718</v>
      </c>
    </row>
    <row r="296" spans="1:9">
      <c r="A296" s="7" t="s">
        <v>690</v>
      </c>
      <c r="B296" s="7" t="s">
        <v>1037</v>
      </c>
      <c r="C296" s="7">
        <v>1</v>
      </c>
      <c r="D296" s="7" t="s">
        <v>436</v>
      </c>
      <c r="E296" s="7" t="s">
        <v>436</v>
      </c>
      <c r="F296" s="7" t="s">
        <v>106</v>
      </c>
      <c r="G296" s="7" t="s">
        <v>1255</v>
      </c>
      <c r="H296" s="7">
        <v>4.0999999999999996</v>
      </c>
      <c r="I296" s="7" t="s">
        <v>718</v>
      </c>
    </row>
    <row r="297" spans="1:9">
      <c r="A297" s="7" t="s">
        <v>690</v>
      </c>
      <c r="B297" s="7" t="s">
        <v>1037</v>
      </c>
      <c r="C297" s="7">
        <v>1</v>
      </c>
      <c r="D297" s="7" t="s">
        <v>436</v>
      </c>
      <c r="E297" s="7" t="s">
        <v>436</v>
      </c>
      <c r="F297" s="7" t="s">
        <v>106</v>
      </c>
      <c r="G297" s="7" t="s">
        <v>1256</v>
      </c>
      <c r="H297" s="7">
        <v>4.0999999999999996</v>
      </c>
      <c r="I297" s="7" t="s">
        <v>718</v>
      </c>
    </row>
    <row r="298" spans="1:9">
      <c r="A298" s="7" t="s">
        <v>690</v>
      </c>
      <c r="B298" s="7" t="s">
        <v>1037</v>
      </c>
      <c r="C298" s="7">
        <v>1</v>
      </c>
      <c r="D298" s="7" t="s">
        <v>436</v>
      </c>
      <c r="E298" s="7" t="s">
        <v>436</v>
      </c>
      <c r="F298" s="7" t="s">
        <v>107</v>
      </c>
      <c r="G298" s="7" t="s">
        <v>1257</v>
      </c>
      <c r="H298" s="7">
        <v>4.0999999999999996</v>
      </c>
      <c r="I298" s="7" t="s">
        <v>718</v>
      </c>
    </row>
    <row r="299" spans="1:9">
      <c r="A299" s="7" t="s">
        <v>690</v>
      </c>
      <c r="B299" s="7" t="s">
        <v>1037</v>
      </c>
      <c r="C299" s="7">
        <v>1</v>
      </c>
      <c r="D299" s="7" t="s">
        <v>436</v>
      </c>
      <c r="E299" s="7" t="s">
        <v>436</v>
      </c>
      <c r="F299" s="7" t="s">
        <v>107</v>
      </c>
      <c r="G299" s="7" t="s">
        <v>1258</v>
      </c>
      <c r="H299" s="7">
        <v>4.0999999999999996</v>
      </c>
      <c r="I299" s="7" t="s">
        <v>718</v>
      </c>
    </row>
    <row r="300" spans="1:9">
      <c r="A300" s="7" t="s">
        <v>690</v>
      </c>
      <c r="B300" s="7" t="s">
        <v>1037</v>
      </c>
      <c r="C300" s="7">
        <v>1</v>
      </c>
      <c r="D300" s="7" t="s">
        <v>436</v>
      </c>
      <c r="E300" s="7" t="s">
        <v>436</v>
      </c>
      <c r="F300" s="7" t="s">
        <v>108</v>
      </c>
      <c r="G300" s="7" t="s">
        <v>1259</v>
      </c>
      <c r="H300" s="7">
        <v>4.0999999999999996</v>
      </c>
      <c r="I300" s="7" t="s">
        <v>718</v>
      </c>
    </row>
    <row r="301" spans="1:9">
      <c r="A301" s="7" t="s">
        <v>690</v>
      </c>
      <c r="B301" s="7" t="s">
        <v>1037</v>
      </c>
      <c r="C301" s="7">
        <v>1</v>
      </c>
      <c r="D301" s="7" t="s">
        <v>436</v>
      </c>
      <c r="E301" s="7" t="s">
        <v>436</v>
      </c>
      <c r="F301" s="7" t="s">
        <v>108</v>
      </c>
      <c r="G301" s="7" t="s">
        <v>1260</v>
      </c>
      <c r="H301" s="7">
        <v>4.0999999999999996</v>
      </c>
      <c r="I301" s="7" t="s">
        <v>718</v>
      </c>
    </row>
    <row r="302" spans="1:9">
      <c r="A302" s="7" t="s">
        <v>690</v>
      </c>
      <c r="B302" s="7" t="s">
        <v>1037</v>
      </c>
      <c r="C302" s="7">
        <v>1</v>
      </c>
      <c r="D302" s="7" t="s">
        <v>436</v>
      </c>
      <c r="E302" s="7" t="s">
        <v>436</v>
      </c>
      <c r="F302" s="7" t="s">
        <v>108</v>
      </c>
      <c r="G302" s="7" t="s">
        <v>1261</v>
      </c>
      <c r="H302" s="7">
        <v>4.0999999999999996</v>
      </c>
      <c r="I302" s="7" t="s">
        <v>718</v>
      </c>
    </row>
    <row r="303" spans="1:9">
      <c r="A303" s="7" t="s">
        <v>690</v>
      </c>
      <c r="B303" s="7" t="s">
        <v>1037</v>
      </c>
      <c r="C303" s="7">
        <v>1</v>
      </c>
      <c r="D303" s="7" t="s">
        <v>436</v>
      </c>
      <c r="E303" s="7" t="s">
        <v>436</v>
      </c>
      <c r="F303" s="7" t="s">
        <v>109</v>
      </c>
      <c r="G303" s="7" t="s">
        <v>1262</v>
      </c>
      <c r="H303" s="7">
        <v>4.0999999999999996</v>
      </c>
      <c r="I303" s="7" t="s">
        <v>718</v>
      </c>
    </row>
    <row r="304" spans="1:9">
      <c r="A304" s="7" t="s">
        <v>690</v>
      </c>
      <c r="B304" s="7" t="s">
        <v>1037</v>
      </c>
      <c r="C304" s="7">
        <v>1</v>
      </c>
      <c r="D304" s="7" t="s">
        <v>436</v>
      </c>
      <c r="E304" s="7" t="s">
        <v>436</v>
      </c>
      <c r="F304" s="7" t="s">
        <v>110</v>
      </c>
      <c r="G304" s="7" t="s">
        <v>1263</v>
      </c>
      <c r="H304" s="7">
        <v>4.0999999999999996</v>
      </c>
      <c r="I304" s="7" t="s">
        <v>718</v>
      </c>
    </row>
    <row r="305" spans="1:9">
      <c r="A305" s="7" t="s">
        <v>690</v>
      </c>
      <c r="B305" s="7" t="s">
        <v>1037</v>
      </c>
      <c r="C305" s="7">
        <v>1</v>
      </c>
      <c r="D305" s="7" t="s">
        <v>436</v>
      </c>
      <c r="E305" s="7" t="s">
        <v>436</v>
      </c>
      <c r="F305" s="7" t="s">
        <v>110</v>
      </c>
      <c r="G305" s="7" t="s">
        <v>1264</v>
      </c>
      <c r="H305" s="7">
        <v>4.0999999999999996</v>
      </c>
      <c r="I305" s="7" t="s">
        <v>718</v>
      </c>
    </row>
    <row r="306" spans="1:9">
      <c r="A306" s="7" t="s">
        <v>690</v>
      </c>
      <c r="B306" s="7" t="s">
        <v>1037</v>
      </c>
      <c r="C306" s="7">
        <v>1</v>
      </c>
      <c r="D306" s="7" t="s">
        <v>436</v>
      </c>
      <c r="E306" s="7" t="s">
        <v>436</v>
      </c>
      <c r="F306" s="7" t="s">
        <v>110</v>
      </c>
      <c r="G306" s="7" t="s">
        <v>1265</v>
      </c>
      <c r="H306" s="7">
        <v>4.0999999999999996</v>
      </c>
      <c r="I306" s="7" t="s">
        <v>718</v>
      </c>
    </row>
    <row r="307" spans="1:9">
      <c r="A307" s="7" t="s">
        <v>690</v>
      </c>
      <c r="B307" s="7" t="s">
        <v>1037</v>
      </c>
      <c r="C307" s="7">
        <v>1</v>
      </c>
      <c r="D307" s="7" t="s">
        <v>436</v>
      </c>
      <c r="E307" s="7" t="s">
        <v>436</v>
      </c>
      <c r="F307" s="7" t="s">
        <v>110</v>
      </c>
      <c r="G307" s="7" t="s">
        <v>1266</v>
      </c>
      <c r="H307" s="7">
        <v>4.0999999999999996</v>
      </c>
      <c r="I307" s="7" t="s">
        <v>718</v>
      </c>
    </row>
    <row r="308" spans="1:9">
      <c r="A308" s="7" t="s">
        <v>690</v>
      </c>
      <c r="B308" s="7" t="s">
        <v>1037</v>
      </c>
      <c r="C308" s="7">
        <v>1</v>
      </c>
      <c r="D308" s="7" t="s">
        <v>436</v>
      </c>
      <c r="E308" s="7" t="s">
        <v>436</v>
      </c>
      <c r="F308" s="7" t="s">
        <v>1267</v>
      </c>
      <c r="G308" s="7" t="s">
        <v>1268</v>
      </c>
      <c r="H308" s="7">
        <v>4.0999999999999996</v>
      </c>
      <c r="I308" s="7" t="s">
        <v>718</v>
      </c>
    </row>
    <row r="309" spans="1:9">
      <c r="A309" s="7" t="s">
        <v>690</v>
      </c>
      <c r="B309" s="7" t="s">
        <v>1037</v>
      </c>
      <c r="C309" s="7">
        <v>1</v>
      </c>
      <c r="D309" s="7" t="s">
        <v>436</v>
      </c>
      <c r="E309" s="7" t="s">
        <v>436</v>
      </c>
      <c r="F309" s="7" t="s">
        <v>111</v>
      </c>
      <c r="G309" s="7" t="s">
        <v>3069</v>
      </c>
      <c r="H309" s="7">
        <v>4.0999999999999996</v>
      </c>
      <c r="I309" s="7" t="s">
        <v>718</v>
      </c>
    </row>
    <row r="310" spans="1:9">
      <c r="A310" s="7" t="s">
        <v>690</v>
      </c>
      <c r="B310" s="7" t="s">
        <v>1037</v>
      </c>
      <c r="C310" s="7">
        <v>1</v>
      </c>
      <c r="D310" s="7" t="s">
        <v>436</v>
      </c>
      <c r="E310" s="7" t="s">
        <v>436</v>
      </c>
      <c r="F310" s="7" t="s">
        <v>111</v>
      </c>
      <c r="G310" s="7" t="s">
        <v>1269</v>
      </c>
      <c r="H310" s="7">
        <v>4.0999999999999996</v>
      </c>
      <c r="I310" s="7" t="s">
        <v>718</v>
      </c>
    </row>
    <row r="311" spans="1:9">
      <c r="A311" s="7" t="s">
        <v>690</v>
      </c>
      <c r="B311" s="7" t="s">
        <v>1037</v>
      </c>
      <c r="C311" s="7">
        <v>1</v>
      </c>
      <c r="D311" s="7" t="s">
        <v>436</v>
      </c>
      <c r="E311" s="7" t="s">
        <v>436</v>
      </c>
      <c r="F311" s="7" t="s">
        <v>111</v>
      </c>
      <c r="G311" s="7" t="s">
        <v>2816</v>
      </c>
      <c r="H311" s="7">
        <v>4.0999999999999996</v>
      </c>
      <c r="I311" s="7" t="s">
        <v>718</v>
      </c>
    </row>
    <row r="312" spans="1:9">
      <c r="A312" s="7" t="s">
        <v>690</v>
      </c>
      <c r="B312" s="7" t="s">
        <v>1037</v>
      </c>
      <c r="C312" s="7">
        <v>1</v>
      </c>
      <c r="D312" s="7" t="s">
        <v>436</v>
      </c>
      <c r="E312" s="7" t="s">
        <v>436</v>
      </c>
      <c r="F312" s="7" t="s">
        <v>1270</v>
      </c>
      <c r="G312" s="7" t="s">
        <v>2817</v>
      </c>
      <c r="H312" s="7">
        <v>4.0999999999999996</v>
      </c>
      <c r="I312" s="7" t="s">
        <v>718</v>
      </c>
    </row>
    <row r="313" spans="1:9">
      <c r="A313" s="7" t="s">
        <v>690</v>
      </c>
      <c r="B313" s="7" t="s">
        <v>1037</v>
      </c>
      <c r="C313" s="7">
        <v>1</v>
      </c>
      <c r="D313" s="7" t="s">
        <v>436</v>
      </c>
      <c r="E313" s="7" t="s">
        <v>436</v>
      </c>
      <c r="F313" s="7" t="s">
        <v>1270</v>
      </c>
      <c r="G313" s="7" t="s">
        <v>1271</v>
      </c>
      <c r="H313" s="7">
        <v>4.0999999999999996</v>
      </c>
      <c r="I313" s="7" t="s">
        <v>718</v>
      </c>
    </row>
    <row r="314" spans="1:9">
      <c r="A314" s="7" t="s">
        <v>690</v>
      </c>
      <c r="B314" s="7" t="s">
        <v>1037</v>
      </c>
      <c r="C314" s="7">
        <v>1</v>
      </c>
      <c r="D314" s="7" t="s">
        <v>436</v>
      </c>
      <c r="E314" s="7" t="s">
        <v>436</v>
      </c>
      <c r="F314" s="7" t="s">
        <v>1270</v>
      </c>
      <c r="G314" s="7" t="s">
        <v>2818</v>
      </c>
      <c r="H314" s="7">
        <v>4.0999999999999996</v>
      </c>
      <c r="I314" s="7" t="s">
        <v>718</v>
      </c>
    </row>
    <row r="315" spans="1:9">
      <c r="A315" s="7" t="s">
        <v>690</v>
      </c>
      <c r="B315" s="7" t="s">
        <v>1037</v>
      </c>
      <c r="C315" s="7">
        <v>1</v>
      </c>
      <c r="D315" s="7" t="s">
        <v>436</v>
      </c>
      <c r="E315" s="7" t="s">
        <v>436</v>
      </c>
      <c r="F315" s="7" t="s">
        <v>1270</v>
      </c>
      <c r="G315" s="7" t="s">
        <v>1272</v>
      </c>
      <c r="H315" s="7">
        <v>4.0999999999999996</v>
      </c>
      <c r="I315" s="7" t="s">
        <v>718</v>
      </c>
    </row>
    <row r="316" spans="1:9">
      <c r="A316" s="7" t="s">
        <v>690</v>
      </c>
      <c r="B316" s="7" t="s">
        <v>1037</v>
      </c>
      <c r="C316" s="7">
        <v>1</v>
      </c>
      <c r="D316" s="7" t="s">
        <v>436</v>
      </c>
      <c r="E316" s="7" t="s">
        <v>436</v>
      </c>
      <c r="F316" s="7" t="s">
        <v>112</v>
      </c>
      <c r="G316" s="7" t="s">
        <v>1273</v>
      </c>
      <c r="H316" s="7">
        <v>4.0999999999999996</v>
      </c>
      <c r="I316" s="7" t="s">
        <v>718</v>
      </c>
    </row>
    <row r="317" spans="1:9">
      <c r="A317" s="7" t="s">
        <v>690</v>
      </c>
      <c r="B317" s="7" t="s">
        <v>1037</v>
      </c>
      <c r="C317" s="7">
        <v>1</v>
      </c>
      <c r="D317" s="7" t="s">
        <v>436</v>
      </c>
      <c r="E317" s="7" t="s">
        <v>436</v>
      </c>
      <c r="F317" s="7" t="s">
        <v>112</v>
      </c>
      <c r="G317" s="7" t="s">
        <v>1274</v>
      </c>
      <c r="H317" s="7">
        <v>4.0999999999999996</v>
      </c>
      <c r="I317" s="7" t="s">
        <v>718</v>
      </c>
    </row>
    <row r="318" spans="1:9">
      <c r="A318" s="7" t="s">
        <v>690</v>
      </c>
      <c r="B318" s="7" t="s">
        <v>1037</v>
      </c>
      <c r="C318" s="7">
        <v>1</v>
      </c>
      <c r="D318" s="7" t="s">
        <v>436</v>
      </c>
      <c r="E318" s="7" t="s">
        <v>436</v>
      </c>
      <c r="F318" s="7" t="s">
        <v>112</v>
      </c>
      <c r="G318" s="7" t="s">
        <v>1275</v>
      </c>
      <c r="H318" s="7">
        <v>4.0999999999999996</v>
      </c>
      <c r="I318" s="7" t="s">
        <v>718</v>
      </c>
    </row>
    <row r="319" spans="1:9">
      <c r="A319" s="7" t="s">
        <v>690</v>
      </c>
      <c r="B319" s="7" t="s">
        <v>1037</v>
      </c>
      <c r="C319" s="7">
        <v>1</v>
      </c>
      <c r="D319" s="7" t="s">
        <v>436</v>
      </c>
      <c r="E319" s="7" t="s">
        <v>436</v>
      </c>
      <c r="F319" s="7" t="s">
        <v>112</v>
      </c>
      <c r="G319" s="7" t="s">
        <v>1269</v>
      </c>
      <c r="H319" s="7">
        <v>4.0999999999999996</v>
      </c>
      <c r="I319" s="7" t="s">
        <v>718</v>
      </c>
    </row>
    <row r="320" spans="1:9">
      <c r="A320" s="7" t="s">
        <v>690</v>
      </c>
      <c r="B320" s="7" t="s">
        <v>1037</v>
      </c>
      <c r="C320" s="7">
        <v>1</v>
      </c>
      <c r="D320" s="7" t="s">
        <v>436</v>
      </c>
      <c r="E320" s="7" t="s">
        <v>436</v>
      </c>
      <c r="F320" s="7" t="s">
        <v>112</v>
      </c>
      <c r="G320" s="7" t="s">
        <v>1276</v>
      </c>
      <c r="H320" s="7">
        <v>4.0999999999999996</v>
      </c>
      <c r="I320" s="7" t="s">
        <v>718</v>
      </c>
    </row>
    <row r="321" spans="1:9">
      <c r="A321" s="7" t="s">
        <v>690</v>
      </c>
      <c r="B321" s="7" t="s">
        <v>1037</v>
      </c>
      <c r="C321" s="7">
        <v>1</v>
      </c>
      <c r="D321" s="7" t="s">
        <v>436</v>
      </c>
      <c r="E321" s="7" t="s">
        <v>436</v>
      </c>
      <c r="F321" s="7" t="s">
        <v>113</v>
      </c>
      <c r="G321" s="7" t="s">
        <v>1277</v>
      </c>
      <c r="H321" s="7">
        <v>4.0999999999999996</v>
      </c>
      <c r="I321" s="7" t="s">
        <v>718</v>
      </c>
    </row>
    <row r="322" spans="1:9">
      <c r="A322" s="7" t="s">
        <v>690</v>
      </c>
      <c r="B322" s="7" t="s">
        <v>1037</v>
      </c>
      <c r="C322" s="7">
        <v>1</v>
      </c>
      <c r="D322" s="7" t="s">
        <v>436</v>
      </c>
      <c r="E322" s="7" t="s">
        <v>436</v>
      </c>
      <c r="F322" s="7" t="s">
        <v>113</v>
      </c>
      <c r="G322" s="7" t="s">
        <v>2819</v>
      </c>
      <c r="H322" s="7">
        <v>4.0999999999999996</v>
      </c>
      <c r="I322" s="7" t="s">
        <v>718</v>
      </c>
    </row>
    <row r="323" spans="1:9">
      <c r="A323" s="7" t="s">
        <v>690</v>
      </c>
      <c r="B323" s="7" t="s">
        <v>1037</v>
      </c>
      <c r="C323" s="7">
        <v>1</v>
      </c>
      <c r="D323" s="7" t="s">
        <v>436</v>
      </c>
      <c r="E323" s="7" t="s">
        <v>436</v>
      </c>
      <c r="F323" s="7" t="s">
        <v>114</v>
      </c>
      <c r="G323" s="7" t="s">
        <v>2820</v>
      </c>
      <c r="H323" s="7">
        <v>4.0999999999999996</v>
      </c>
      <c r="I323" s="7" t="s">
        <v>718</v>
      </c>
    </row>
    <row r="324" spans="1:9">
      <c r="A324" s="7" t="s">
        <v>690</v>
      </c>
      <c r="B324" s="7" t="s">
        <v>1037</v>
      </c>
      <c r="C324" s="7">
        <v>1</v>
      </c>
      <c r="D324" s="7" t="s">
        <v>436</v>
      </c>
      <c r="E324" s="7" t="s">
        <v>436</v>
      </c>
      <c r="F324" s="7" t="s">
        <v>114</v>
      </c>
      <c r="G324" s="7" t="s">
        <v>1278</v>
      </c>
      <c r="H324" s="7">
        <v>4.0999999999999996</v>
      </c>
      <c r="I324" s="7" t="s">
        <v>718</v>
      </c>
    </row>
    <row r="325" spans="1:9">
      <c r="A325" s="7" t="s">
        <v>690</v>
      </c>
      <c r="B325" s="7" t="s">
        <v>1037</v>
      </c>
      <c r="C325" s="7">
        <v>1</v>
      </c>
      <c r="D325" s="7" t="s">
        <v>436</v>
      </c>
      <c r="E325" s="7" t="s">
        <v>436</v>
      </c>
      <c r="F325" s="7" t="s">
        <v>114</v>
      </c>
      <c r="G325" s="7" t="s">
        <v>2821</v>
      </c>
      <c r="H325" s="7">
        <v>4.0999999999999996</v>
      </c>
      <c r="I325" s="7" t="s">
        <v>718</v>
      </c>
    </row>
    <row r="326" spans="1:9">
      <c r="A326" s="7" t="s">
        <v>690</v>
      </c>
      <c r="B326" s="7" t="s">
        <v>1037</v>
      </c>
      <c r="C326" s="7">
        <v>1</v>
      </c>
      <c r="D326" s="7" t="s">
        <v>436</v>
      </c>
      <c r="E326" s="7" t="s">
        <v>436</v>
      </c>
      <c r="F326" s="7" t="s">
        <v>114</v>
      </c>
      <c r="G326" s="7" t="s">
        <v>2822</v>
      </c>
      <c r="H326" s="7">
        <v>4.0999999999999996</v>
      </c>
      <c r="I326" s="7" t="s">
        <v>718</v>
      </c>
    </row>
    <row r="327" spans="1:9">
      <c r="A327" s="7" t="s">
        <v>690</v>
      </c>
      <c r="B327" s="7" t="s">
        <v>1037</v>
      </c>
      <c r="C327" s="7">
        <v>1</v>
      </c>
      <c r="D327" s="7" t="s">
        <v>436</v>
      </c>
      <c r="E327" s="7" t="s">
        <v>436</v>
      </c>
      <c r="F327" s="7" t="s">
        <v>114</v>
      </c>
      <c r="G327" s="7" t="s">
        <v>2823</v>
      </c>
      <c r="H327" s="7">
        <v>4.0999999999999996</v>
      </c>
      <c r="I327" s="7" t="s">
        <v>718</v>
      </c>
    </row>
    <row r="328" spans="1:9">
      <c r="A328" s="7" t="s">
        <v>690</v>
      </c>
      <c r="B328" s="7" t="s">
        <v>1037</v>
      </c>
      <c r="C328" s="7">
        <v>1</v>
      </c>
      <c r="D328" s="7" t="s">
        <v>436</v>
      </c>
      <c r="E328" s="7" t="s">
        <v>436</v>
      </c>
      <c r="F328" s="7" t="s">
        <v>114</v>
      </c>
      <c r="G328" s="7" t="s">
        <v>1279</v>
      </c>
      <c r="H328" s="7">
        <v>4.0999999999999996</v>
      </c>
      <c r="I328" s="7" t="s">
        <v>718</v>
      </c>
    </row>
    <row r="329" spans="1:9">
      <c r="A329" s="7" t="s">
        <v>690</v>
      </c>
      <c r="B329" s="7" t="s">
        <v>1037</v>
      </c>
      <c r="C329" s="7">
        <v>1</v>
      </c>
      <c r="D329" s="7" t="s">
        <v>436</v>
      </c>
      <c r="E329" s="7" t="s">
        <v>436</v>
      </c>
      <c r="F329" s="7" t="s">
        <v>114</v>
      </c>
      <c r="G329" s="7" t="s">
        <v>2824</v>
      </c>
      <c r="H329" s="7">
        <v>4.0999999999999996</v>
      </c>
      <c r="I329" s="7" t="s">
        <v>718</v>
      </c>
    </row>
    <row r="330" spans="1:9">
      <c r="A330" s="7" t="s">
        <v>690</v>
      </c>
      <c r="B330" s="7" t="s">
        <v>1037</v>
      </c>
      <c r="C330" s="7">
        <v>1</v>
      </c>
      <c r="D330" s="7" t="s">
        <v>436</v>
      </c>
      <c r="E330" s="7" t="s">
        <v>436</v>
      </c>
      <c r="F330" s="7" t="s">
        <v>114</v>
      </c>
      <c r="G330" s="7" t="s">
        <v>2825</v>
      </c>
      <c r="H330" s="7">
        <v>4.0999999999999996</v>
      </c>
      <c r="I330" s="7" t="s">
        <v>718</v>
      </c>
    </row>
    <row r="331" spans="1:9">
      <c r="A331" s="7" t="s">
        <v>690</v>
      </c>
      <c r="B331" s="7" t="s">
        <v>1037</v>
      </c>
      <c r="C331" s="7">
        <v>1</v>
      </c>
      <c r="D331" s="7" t="s">
        <v>436</v>
      </c>
      <c r="E331" s="7" t="s">
        <v>436</v>
      </c>
      <c r="F331" s="7" t="s">
        <v>115</v>
      </c>
      <c r="G331" s="7" t="s">
        <v>129</v>
      </c>
      <c r="H331" s="7">
        <v>4.0999999999999996</v>
      </c>
      <c r="I331" s="7" t="s">
        <v>718</v>
      </c>
    </row>
    <row r="332" spans="1:9">
      <c r="A332" s="7" t="s">
        <v>690</v>
      </c>
      <c r="B332" s="7" t="s">
        <v>1037</v>
      </c>
      <c r="C332" s="7">
        <v>1</v>
      </c>
      <c r="D332" s="7" t="s">
        <v>436</v>
      </c>
      <c r="E332" s="7" t="s">
        <v>436</v>
      </c>
      <c r="F332" s="7" t="s">
        <v>115</v>
      </c>
      <c r="G332" s="7" t="s">
        <v>130</v>
      </c>
      <c r="H332" s="7">
        <v>4.0999999999999996</v>
      </c>
      <c r="I332" s="7" t="s">
        <v>718</v>
      </c>
    </row>
    <row r="333" spans="1:9">
      <c r="A333" s="7" t="s">
        <v>690</v>
      </c>
      <c r="B333" s="7" t="s">
        <v>1037</v>
      </c>
      <c r="C333" s="7">
        <v>1</v>
      </c>
      <c r="D333" s="7" t="s">
        <v>436</v>
      </c>
      <c r="E333" s="7" t="s">
        <v>436</v>
      </c>
      <c r="F333" s="7" t="s">
        <v>116</v>
      </c>
      <c r="G333" s="7" t="s">
        <v>1280</v>
      </c>
      <c r="H333" s="7">
        <v>4.0999999999999996</v>
      </c>
      <c r="I333" s="7" t="s">
        <v>718</v>
      </c>
    </row>
    <row r="334" spans="1:9">
      <c r="A334" s="7" t="s">
        <v>690</v>
      </c>
      <c r="B334" s="7" t="s">
        <v>1037</v>
      </c>
      <c r="C334" s="7">
        <v>1</v>
      </c>
      <c r="D334" s="7" t="s">
        <v>436</v>
      </c>
      <c r="E334" s="7" t="s">
        <v>436</v>
      </c>
      <c r="F334" s="7" t="s">
        <v>117</v>
      </c>
      <c r="G334" s="7" t="s">
        <v>1281</v>
      </c>
      <c r="H334" s="7">
        <v>4.0999999999999996</v>
      </c>
      <c r="I334" s="7" t="s">
        <v>718</v>
      </c>
    </row>
    <row r="335" spans="1:9">
      <c r="A335" s="7" t="s">
        <v>690</v>
      </c>
      <c r="B335" s="7" t="s">
        <v>1037</v>
      </c>
      <c r="C335" s="7">
        <v>1</v>
      </c>
      <c r="D335" s="7" t="s">
        <v>436</v>
      </c>
      <c r="E335" s="7" t="s">
        <v>436</v>
      </c>
      <c r="F335" s="7" t="s">
        <v>117</v>
      </c>
      <c r="G335" s="7" t="s">
        <v>1283</v>
      </c>
      <c r="H335" s="7">
        <v>4.0999999999999996</v>
      </c>
      <c r="I335" s="7" t="s">
        <v>718</v>
      </c>
    </row>
    <row r="336" spans="1:9">
      <c r="A336" s="7" t="s">
        <v>690</v>
      </c>
      <c r="B336" s="7" t="s">
        <v>1037</v>
      </c>
      <c r="C336" s="7">
        <v>1</v>
      </c>
      <c r="D336" s="7" t="s">
        <v>436</v>
      </c>
      <c r="E336" s="7" t="s">
        <v>436</v>
      </c>
      <c r="F336" s="7" t="s">
        <v>117</v>
      </c>
      <c r="G336" s="7" t="s">
        <v>1282</v>
      </c>
      <c r="H336" s="7">
        <v>4.0999999999999996</v>
      </c>
      <c r="I336" s="7" t="s">
        <v>718</v>
      </c>
    </row>
    <row r="337" spans="1:9">
      <c r="A337" s="7" t="s">
        <v>690</v>
      </c>
      <c r="B337" s="7" t="s">
        <v>1037</v>
      </c>
      <c r="C337" s="7">
        <v>1</v>
      </c>
      <c r="D337" s="7" t="s">
        <v>436</v>
      </c>
      <c r="E337" s="7" t="s">
        <v>436</v>
      </c>
      <c r="F337" s="7" t="s">
        <v>118</v>
      </c>
      <c r="G337" s="7" t="s">
        <v>1284</v>
      </c>
      <c r="H337" s="7">
        <v>4.0999999999999996</v>
      </c>
      <c r="I337" s="7" t="s">
        <v>718</v>
      </c>
    </row>
    <row r="338" spans="1:9">
      <c r="A338" s="7" t="s">
        <v>690</v>
      </c>
      <c r="B338" s="7" t="s">
        <v>1037</v>
      </c>
      <c r="C338" s="7">
        <v>1</v>
      </c>
      <c r="D338" s="7" t="s">
        <v>436</v>
      </c>
      <c r="E338" s="7" t="s">
        <v>436</v>
      </c>
      <c r="F338" s="7" t="s">
        <v>118</v>
      </c>
      <c r="G338" s="7" t="s">
        <v>1285</v>
      </c>
      <c r="H338" s="7">
        <v>4.0999999999999996</v>
      </c>
      <c r="I338" s="7" t="s">
        <v>718</v>
      </c>
    </row>
    <row r="339" spans="1:9">
      <c r="A339" s="7" t="s">
        <v>690</v>
      </c>
      <c r="B339" s="7" t="s">
        <v>1037</v>
      </c>
      <c r="C339" s="7">
        <v>1</v>
      </c>
      <c r="D339" s="7" t="s">
        <v>436</v>
      </c>
      <c r="E339" s="7" t="s">
        <v>436</v>
      </c>
      <c r="F339" s="7" t="s">
        <v>118</v>
      </c>
      <c r="G339" s="7" t="s">
        <v>1286</v>
      </c>
      <c r="H339" s="7">
        <v>4.0999999999999996</v>
      </c>
      <c r="I339" s="7" t="s">
        <v>718</v>
      </c>
    </row>
    <row r="340" spans="1:9">
      <c r="A340" s="7" t="s">
        <v>690</v>
      </c>
      <c r="B340" s="7" t="s">
        <v>1037</v>
      </c>
      <c r="C340" s="7">
        <v>1</v>
      </c>
      <c r="D340" s="7" t="s">
        <v>436</v>
      </c>
      <c r="E340" s="7" t="s">
        <v>436</v>
      </c>
      <c r="F340" s="7" t="s">
        <v>2826</v>
      </c>
      <c r="G340" s="7" t="s">
        <v>2827</v>
      </c>
      <c r="H340" s="7">
        <v>4.0999999999999996</v>
      </c>
      <c r="I340" s="7" t="s">
        <v>718</v>
      </c>
    </row>
    <row r="341" spans="1:9">
      <c r="A341" s="7" t="s">
        <v>690</v>
      </c>
      <c r="B341" s="7" t="s">
        <v>1037</v>
      </c>
      <c r="C341" s="7">
        <v>1</v>
      </c>
      <c r="D341" s="7" t="s">
        <v>436</v>
      </c>
      <c r="E341" s="7" t="s">
        <v>436</v>
      </c>
      <c r="F341" s="7" t="s">
        <v>119</v>
      </c>
      <c r="G341" s="7" t="s">
        <v>1287</v>
      </c>
      <c r="H341" s="7">
        <v>4.0999999999999996</v>
      </c>
      <c r="I341" s="7" t="s">
        <v>718</v>
      </c>
    </row>
    <row r="342" spans="1:9">
      <c r="A342" s="7" t="s">
        <v>690</v>
      </c>
      <c r="B342" s="7" t="s">
        <v>1037</v>
      </c>
      <c r="C342" s="7">
        <v>1</v>
      </c>
      <c r="D342" s="7" t="s">
        <v>436</v>
      </c>
      <c r="E342" s="7" t="s">
        <v>436</v>
      </c>
      <c r="F342" s="7" t="s">
        <v>120</v>
      </c>
      <c r="G342" s="7" t="s">
        <v>1288</v>
      </c>
      <c r="H342" s="7">
        <v>4.0999999999999996</v>
      </c>
      <c r="I342" s="7" t="s">
        <v>718</v>
      </c>
    </row>
    <row r="343" spans="1:9">
      <c r="A343" s="7" t="s">
        <v>690</v>
      </c>
      <c r="B343" s="7" t="s">
        <v>1037</v>
      </c>
      <c r="C343" s="7">
        <v>1</v>
      </c>
      <c r="D343" s="7" t="s">
        <v>436</v>
      </c>
      <c r="E343" s="7" t="s">
        <v>436</v>
      </c>
      <c r="F343" s="7" t="s">
        <v>120</v>
      </c>
      <c r="G343" s="7" t="s">
        <v>1289</v>
      </c>
      <c r="H343" s="7">
        <v>4.0999999999999996</v>
      </c>
      <c r="I343" s="7" t="s">
        <v>718</v>
      </c>
    </row>
    <row r="344" spans="1:9">
      <c r="A344" s="7" t="s">
        <v>690</v>
      </c>
      <c r="B344" s="7" t="s">
        <v>1037</v>
      </c>
      <c r="C344" s="7">
        <v>1</v>
      </c>
      <c r="D344" s="7" t="s">
        <v>436</v>
      </c>
      <c r="E344" s="7" t="s">
        <v>436</v>
      </c>
      <c r="F344" s="7" t="s">
        <v>121</v>
      </c>
      <c r="G344" s="7" t="s">
        <v>1290</v>
      </c>
      <c r="H344" s="7">
        <v>4.0999999999999996</v>
      </c>
      <c r="I344" s="7" t="s">
        <v>718</v>
      </c>
    </row>
    <row r="345" spans="1:9">
      <c r="A345" s="7" t="s">
        <v>690</v>
      </c>
      <c r="B345" s="7" t="s">
        <v>1037</v>
      </c>
      <c r="C345" s="7">
        <v>1</v>
      </c>
      <c r="D345" s="7" t="s">
        <v>436</v>
      </c>
      <c r="E345" s="7" t="s">
        <v>436</v>
      </c>
      <c r="F345" s="7" t="s">
        <v>121</v>
      </c>
      <c r="G345" s="7" t="s">
        <v>1291</v>
      </c>
      <c r="H345" s="7">
        <v>4.0999999999999996</v>
      </c>
      <c r="I345" s="7" t="s">
        <v>718</v>
      </c>
    </row>
    <row r="346" spans="1:9">
      <c r="A346" s="7" t="s">
        <v>690</v>
      </c>
      <c r="B346" s="7" t="s">
        <v>1037</v>
      </c>
      <c r="C346" s="7">
        <v>1</v>
      </c>
      <c r="D346" s="7" t="s">
        <v>436</v>
      </c>
      <c r="E346" s="7" t="s">
        <v>436</v>
      </c>
      <c r="F346" s="7" t="s">
        <v>121</v>
      </c>
      <c r="G346" s="7" t="s">
        <v>1292</v>
      </c>
      <c r="H346" s="7">
        <v>4.0999999999999996</v>
      </c>
      <c r="I346" s="7" t="s">
        <v>718</v>
      </c>
    </row>
    <row r="347" spans="1:9">
      <c r="A347" s="7" t="s">
        <v>690</v>
      </c>
      <c r="B347" s="7" t="s">
        <v>1037</v>
      </c>
      <c r="C347" s="7">
        <v>1</v>
      </c>
      <c r="D347" s="7" t="s">
        <v>436</v>
      </c>
      <c r="E347" s="7" t="s">
        <v>436</v>
      </c>
      <c r="F347" s="7" t="s">
        <v>121</v>
      </c>
      <c r="G347" s="7" t="s">
        <v>2828</v>
      </c>
      <c r="H347" s="7">
        <v>4.0999999999999996</v>
      </c>
      <c r="I347" s="7" t="s">
        <v>718</v>
      </c>
    </row>
    <row r="348" spans="1:9">
      <c r="A348" s="7" t="s">
        <v>690</v>
      </c>
      <c r="B348" s="7" t="s">
        <v>1037</v>
      </c>
      <c r="C348" s="7">
        <v>1</v>
      </c>
      <c r="D348" s="7" t="s">
        <v>436</v>
      </c>
      <c r="E348" s="7" t="s">
        <v>436</v>
      </c>
      <c r="F348" s="7" t="s">
        <v>121</v>
      </c>
      <c r="G348" s="7" t="s">
        <v>2829</v>
      </c>
      <c r="H348" s="7">
        <v>4.0999999999999996</v>
      </c>
      <c r="I348" s="7" t="s">
        <v>718</v>
      </c>
    </row>
    <row r="349" spans="1:9">
      <c r="A349" s="7" t="s">
        <v>690</v>
      </c>
      <c r="B349" s="7" t="s">
        <v>1037</v>
      </c>
      <c r="C349" s="7">
        <v>1</v>
      </c>
      <c r="D349" s="7" t="s">
        <v>436</v>
      </c>
      <c r="E349" s="7" t="s">
        <v>436</v>
      </c>
      <c r="F349" s="7" t="s">
        <v>121</v>
      </c>
      <c r="G349" s="7" t="s">
        <v>1293</v>
      </c>
      <c r="H349" s="7">
        <v>4.0999999999999996</v>
      </c>
      <c r="I349" s="7" t="s">
        <v>718</v>
      </c>
    </row>
    <row r="350" spans="1:9">
      <c r="A350" s="7" t="s">
        <v>690</v>
      </c>
      <c r="B350" s="7" t="s">
        <v>1037</v>
      </c>
      <c r="C350" s="7">
        <v>1</v>
      </c>
      <c r="D350" s="7" t="s">
        <v>436</v>
      </c>
      <c r="E350" s="7" t="s">
        <v>436</v>
      </c>
      <c r="F350" s="7" t="s">
        <v>122</v>
      </c>
      <c r="G350" s="7" t="s">
        <v>1294</v>
      </c>
      <c r="H350" s="7">
        <v>4.0999999999999996</v>
      </c>
      <c r="I350" s="7" t="s">
        <v>718</v>
      </c>
    </row>
    <row r="351" spans="1:9">
      <c r="A351" s="7" t="s">
        <v>690</v>
      </c>
      <c r="B351" s="7" t="s">
        <v>1037</v>
      </c>
      <c r="C351" s="7">
        <v>1</v>
      </c>
      <c r="D351" s="7" t="s">
        <v>436</v>
      </c>
      <c r="E351" s="7" t="s">
        <v>436</v>
      </c>
      <c r="F351" s="7" t="s">
        <v>122</v>
      </c>
      <c r="G351" s="7" t="s">
        <v>2830</v>
      </c>
      <c r="H351" s="7">
        <v>4.0999999999999996</v>
      </c>
      <c r="I351" s="7" t="s">
        <v>718</v>
      </c>
    </row>
    <row r="352" spans="1:9">
      <c r="A352" s="7" t="s">
        <v>690</v>
      </c>
      <c r="B352" s="7" t="s">
        <v>1037</v>
      </c>
      <c r="C352" s="7">
        <v>1</v>
      </c>
      <c r="D352" s="7" t="s">
        <v>436</v>
      </c>
      <c r="E352" s="7" t="s">
        <v>436</v>
      </c>
      <c r="F352" s="7" t="s">
        <v>122</v>
      </c>
      <c r="G352" s="7" t="s">
        <v>2831</v>
      </c>
      <c r="H352" s="7">
        <v>4.0999999999999996</v>
      </c>
      <c r="I352" s="7" t="s">
        <v>718</v>
      </c>
    </row>
    <row r="353" spans="1:9">
      <c r="A353" s="7" t="s">
        <v>690</v>
      </c>
      <c r="B353" s="7" t="s">
        <v>1037</v>
      </c>
      <c r="C353" s="7">
        <v>1</v>
      </c>
      <c r="D353" s="7" t="s">
        <v>436</v>
      </c>
      <c r="E353" s="7" t="s">
        <v>436</v>
      </c>
      <c r="F353" s="7" t="s">
        <v>2832</v>
      </c>
      <c r="G353" s="7" t="s">
        <v>2700</v>
      </c>
      <c r="H353" s="7">
        <v>4.0999999999999996</v>
      </c>
      <c r="I353" s="7" t="s">
        <v>718</v>
      </c>
    </row>
    <row r="354" spans="1:9">
      <c r="A354" s="7" t="s">
        <v>690</v>
      </c>
      <c r="B354" s="7" t="s">
        <v>1037</v>
      </c>
      <c r="C354" s="7">
        <v>1</v>
      </c>
      <c r="D354" s="7" t="s">
        <v>436</v>
      </c>
      <c r="E354" s="7" t="s">
        <v>436</v>
      </c>
      <c r="F354" s="7" t="s">
        <v>123</v>
      </c>
      <c r="G354" s="7" t="s">
        <v>1295</v>
      </c>
      <c r="H354" s="7">
        <v>4.0999999999999996</v>
      </c>
      <c r="I354" s="7" t="s">
        <v>718</v>
      </c>
    </row>
    <row r="355" spans="1:9">
      <c r="A355" s="7" t="s">
        <v>690</v>
      </c>
      <c r="B355" s="7" t="s">
        <v>1037</v>
      </c>
      <c r="C355" s="7">
        <v>1</v>
      </c>
      <c r="D355" s="7" t="s">
        <v>436</v>
      </c>
      <c r="E355" s="7" t="s">
        <v>436</v>
      </c>
      <c r="F355" s="7" t="s">
        <v>123</v>
      </c>
      <c r="G355" s="7" t="s">
        <v>1296</v>
      </c>
      <c r="H355" s="7">
        <v>4.0999999999999996</v>
      </c>
      <c r="I355" s="7" t="s">
        <v>718</v>
      </c>
    </row>
    <row r="356" spans="1:9">
      <c r="A356" s="7" t="s">
        <v>690</v>
      </c>
      <c r="B356" s="7" t="s">
        <v>1037</v>
      </c>
      <c r="C356" s="7">
        <v>1</v>
      </c>
      <c r="D356" s="7" t="s">
        <v>436</v>
      </c>
      <c r="E356" s="7" t="s">
        <v>436</v>
      </c>
      <c r="F356" s="7" t="s">
        <v>123</v>
      </c>
      <c r="G356" s="7" t="s">
        <v>1264</v>
      </c>
      <c r="H356" s="7">
        <v>4.0999999999999996</v>
      </c>
      <c r="I356" s="7" t="s">
        <v>718</v>
      </c>
    </row>
    <row r="357" spans="1:9">
      <c r="A357" s="7" t="s">
        <v>690</v>
      </c>
      <c r="B357" s="7" t="s">
        <v>1037</v>
      </c>
      <c r="C357" s="7">
        <v>1</v>
      </c>
      <c r="D357" s="7" t="s">
        <v>436</v>
      </c>
      <c r="E357" s="7" t="s">
        <v>436</v>
      </c>
      <c r="F357" s="7" t="s">
        <v>124</v>
      </c>
      <c r="G357" s="7" t="s">
        <v>1297</v>
      </c>
      <c r="H357" s="7">
        <v>4.0999999999999996</v>
      </c>
      <c r="I357" s="7" t="s">
        <v>718</v>
      </c>
    </row>
    <row r="358" spans="1:9">
      <c r="A358" s="7" t="s">
        <v>690</v>
      </c>
      <c r="B358" s="7" t="s">
        <v>1037</v>
      </c>
      <c r="C358" s="7">
        <v>1</v>
      </c>
      <c r="D358" s="7" t="s">
        <v>436</v>
      </c>
      <c r="E358" s="7" t="s">
        <v>436</v>
      </c>
      <c r="F358" s="7" t="s">
        <v>124</v>
      </c>
      <c r="G358" s="7" t="s">
        <v>1298</v>
      </c>
      <c r="H358" s="7">
        <v>4.0999999999999996</v>
      </c>
      <c r="I358" s="7" t="s">
        <v>718</v>
      </c>
    </row>
    <row r="359" spans="1:9">
      <c r="A359" s="7" t="s">
        <v>690</v>
      </c>
      <c r="B359" s="7" t="s">
        <v>1037</v>
      </c>
      <c r="C359" s="7">
        <v>1</v>
      </c>
      <c r="D359" s="7" t="s">
        <v>436</v>
      </c>
      <c r="E359" s="7" t="s">
        <v>436</v>
      </c>
      <c r="F359" s="7" t="s">
        <v>124</v>
      </c>
      <c r="G359" s="7" t="s">
        <v>1299</v>
      </c>
      <c r="H359" s="7">
        <v>4.0999999999999996</v>
      </c>
      <c r="I359" s="7" t="s">
        <v>718</v>
      </c>
    </row>
    <row r="360" spans="1:9">
      <c r="A360" s="7" t="s">
        <v>690</v>
      </c>
      <c r="B360" s="7" t="s">
        <v>1037</v>
      </c>
      <c r="C360" s="7">
        <v>1</v>
      </c>
      <c r="D360" s="7" t="s">
        <v>436</v>
      </c>
      <c r="E360" s="7" t="s">
        <v>436</v>
      </c>
      <c r="F360" s="7" t="s">
        <v>125</v>
      </c>
      <c r="G360" s="7" t="s">
        <v>1300</v>
      </c>
      <c r="H360" s="7">
        <v>4.0999999999999996</v>
      </c>
      <c r="I360" s="7" t="s">
        <v>718</v>
      </c>
    </row>
    <row r="361" spans="1:9">
      <c r="A361" s="7" t="s">
        <v>690</v>
      </c>
      <c r="B361" s="7" t="s">
        <v>1037</v>
      </c>
      <c r="C361" s="7">
        <v>1</v>
      </c>
      <c r="D361" s="7" t="s">
        <v>436</v>
      </c>
      <c r="E361" s="7" t="s">
        <v>436</v>
      </c>
      <c r="F361" s="7" t="s">
        <v>126</v>
      </c>
      <c r="G361" s="7" t="s">
        <v>1253</v>
      </c>
      <c r="H361" s="7">
        <v>4.0999999999999996</v>
      </c>
      <c r="I361" s="7" t="s">
        <v>718</v>
      </c>
    </row>
    <row r="362" spans="1:9">
      <c r="A362" s="7" t="s">
        <v>690</v>
      </c>
      <c r="B362" s="7" t="s">
        <v>1037</v>
      </c>
      <c r="C362" s="7">
        <v>1</v>
      </c>
      <c r="D362" s="7" t="s">
        <v>436</v>
      </c>
      <c r="E362" s="7" t="s">
        <v>436</v>
      </c>
      <c r="F362" s="7" t="s">
        <v>126</v>
      </c>
      <c r="G362" s="7" t="s">
        <v>1301</v>
      </c>
      <c r="H362" s="7">
        <v>4.0999999999999996</v>
      </c>
      <c r="I362" s="7" t="s">
        <v>718</v>
      </c>
    </row>
    <row r="363" spans="1:9">
      <c r="A363" s="7" t="s">
        <v>690</v>
      </c>
      <c r="B363" s="7" t="s">
        <v>1037</v>
      </c>
      <c r="C363" s="7">
        <v>1</v>
      </c>
      <c r="D363" s="7" t="s">
        <v>436</v>
      </c>
      <c r="E363" s="7" t="s">
        <v>436</v>
      </c>
      <c r="F363" s="7" t="s">
        <v>126</v>
      </c>
      <c r="G363" s="7" t="s">
        <v>1302</v>
      </c>
      <c r="H363" s="7">
        <v>4.0999999999999996</v>
      </c>
      <c r="I363" s="7" t="s">
        <v>718</v>
      </c>
    </row>
    <row r="364" spans="1:9">
      <c r="A364" s="7" t="s">
        <v>690</v>
      </c>
      <c r="B364" s="7" t="s">
        <v>1037</v>
      </c>
      <c r="C364" s="7">
        <v>1</v>
      </c>
      <c r="D364" s="7" t="s">
        <v>44</v>
      </c>
      <c r="E364" s="7" t="s">
        <v>44</v>
      </c>
      <c r="F364" s="7" t="s">
        <v>127</v>
      </c>
      <c r="G364" s="7" t="s">
        <v>131</v>
      </c>
      <c r="H364" s="7">
        <v>4.4000000000000004</v>
      </c>
      <c r="I364" s="7" t="s">
        <v>718</v>
      </c>
    </row>
    <row r="365" spans="1:9">
      <c r="A365" s="7" t="s">
        <v>690</v>
      </c>
      <c r="B365" s="7" t="s">
        <v>1037</v>
      </c>
      <c r="C365" s="7">
        <v>1</v>
      </c>
      <c r="D365" s="7" t="s">
        <v>44</v>
      </c>
      <c r="E365" s="7" t="s">
        <v>44</v>
      </c>
      <c r="F365" s="7" t="s">
        <v>127</v>
      </c>
      <c r="G365" s="7" t="s">
        <v>132</v>
      </c>
      <c r="H365" s="7">
        <v>4.4000000000000004</v>
      </c>
      <c r="I365" s="7" t="s">
        <v>718</v>
      </c>
    </row>
    <row r="366" spans="1:9">
      <c r="A366" s="7" t="s">
        <v>690</v>
      </c>
      <c r="B366" s="7" t="s">
        <v>1037</v>
      </c>
      <c r="C366" s="7">
        <v>1</v>
      </c>
      <c r="D366" s="7" t="s">
        <v>44</v>
      </c>
      <c r="E366" s="7" t="s">
        <v>44</v>
      </c>
      <c r="F366" s="7" t="s">
        <v>128</v>
      </c>
      <c r="G366" s="7" t="s">
        <v>133</v>
      </c>
      <c r="H366" s="7">
        <v>4.4000000000000004</v>
      </c>
      <c r="I366" s="7" t="s">
        <v>718</v>
      </c>
    </row>
    <row r="367" spans="1:9">
      <c r="A367" s="7" t="s">
        <v>690</v>
      </c>
      <c r="B367" s="7" t="s">
        <v>1037</v>
      </c>
      <c r="C367" s="7">
        <v>1</v>
      </c>
      <c r="D367" s="7" t="s">
        <v>44</v>
      </c>
      <c r="E367" s="7" t="s">
        <v>44</v>
      </c>
      <c r="F367" s="7" t="s">
        <v>128</v>
      </c>
      <c r="G367" s="7" t="s">
        <v>1303</v>
      </c>
      <c r="H367" s="7">
        <v>4.4000000000000004</v>
      </c>
      <c r="I367" s="7" t="s">
        <v>718</v>
      </c>
    </row>
    <row r="368" spans="1:9">
      <c r="A368" s="7" t="s">
        <v>690</v>
      </c>
      <c r="B368" s="7" t="s">
        <v>1037</v>
      </c>
      <c r="C368" s="7">
        <v>1</v>
      </c>
      <c r="D368" s="7" t="s">
        <v>44</v>
      </c>
      <c r="E368" s="7" t="s">
        <v>44</v>
      </c>
      <c r="F368" s="7" t="s">
        <v>128</v>
      </c>
      <c r="G368" s="7" t="s">
        <v>134</v>
      </c>
      <c r="H368" s="7">
        <v>4.4000000000000004</v>
      </c>
      <c r="I368" s="7" t="s">
        <v>718</v>
      </c>
    </row>
    <row r="369" spans="1:9">
      <c r="A369" s="7" t="s">
        <v>690</v>
      </c>
      <c r="B369" s="7" t="s">
        <v>1037</v>
      </c>
      <c r="C369" s="7">
        <v>1</v>
      </c>
      <c r="D369" s="7" t="s">
        <v>44</v>
      </c>
      <c r="E369" s="7" t="s">
        <v>44</v>
      </c>
      <c r="F369" s="7" t="s">
        <v>128</v>
      </c>
      <c r="G369" s="7" t="s">
        <v>135</v>
      </c>
      <c r="H369" s="7">
        <v>4.4000000000000004</v>
      </c>
      <c r="I369" s="7" t="s">
        <v>718</v>
      </c>
    </row>
    <row r="370" spans="1:9">
      <c r="A370" s="7" t="s">
        <v>690</v>
      </c>
      <c r="B370" s="7" t="s">
        <v>1037</v>
      </c>
      <c r="C370" s="7">
        <v>1</v>
      </c>
      <c r="D370" s="7" t="s">
        <v>44</v>
      </c>
      <c r="E370" s="7" t="s">
        <v>44</v>
      </c>
      <c r="F370" s="7" t="s">
        <v>128</v>
      </c>
      <c r="G370" s="7" t="s">
        <v>1304</v>
      </c>
      <c r="H370" s="7">
        <v>4.4000000000000004</v>
      </c>
      <c r="I370" s="7" t="s">
        <v>718</v>
      </c>
    </row>
    <row r="371" spans="1:9">
      <c r="A371" s="7" t="s">
        <v>690</v>
      </c>
      <c r="B371" s="7" t="s">
        <v>1037</v>
      </c>
      <c r="C371" s="7">
        <v>1</v>
      </c>
      <c r="D371" s="7" t="s">
        <v>44</v>
      </c>
      <c r="E371" s="7" t="s">
        <v>44</v>
      </c>
      <c r="F371" s="7" t="s">
        <v>2833</v>
      </c>
      <c r="G371" s="7" t="s">
        <v>2700</v>
      </c>
      <c r="H371" s="7">
        <v>4.4000000000000004</v>
      </c>
      <c r="I371" s="7" t="s">
        <v>718</v>
      </c>
    </row>
    <row r="372" spans="1:9">
      <c r="A372" s="7" t="s">
        <v>690</v>
      </c>
      <c r="B372" s="7" t="s">
        <v>1037</v>
      </c>
      <c r="C372" s="7">
        <v>2</v>
      </c>
      <c r="D372" s="7" t="s">
        <v>2834</v>
      </c>
      <c r="E372" s="7" t="s">
        <v>2834</v>
      </c>
      <c r="F372" s="7" t="s">
        <v>1055</v>
      </c>
      <c r="G372" s="7" t="s">
        <v>2840</v>
      </c>
      <c r="H372" s="7">
        <v>4.7</v>
      </c>
      <c r="I372" s="7" t="s">
        <v>718</v>
      </c>
    </row>
    <row r="373" spans="1:9">
      <c r="A373" s="7" t="s">
        <v>690</v>
      </c>
      <c r="B373" s="7" t="s">
        <v>1037</v>
      </c>
      <c r="C373" s="7">
        <v>2</v>
      </c>
      <c r="D373" s="7" t="s">
        <v>2834</v>
      </c>
      <c r="E373" s="7" t="s">
        <v>2834</v>
      </c>
      <c r="F373" s="7" t="s">
        <v>1055</v>
      </c>
      <c r="G373" s="7" t="s">
        <v>1123</v>
      </c>
      <c r="H373" s="7">
        <v>4.7</v>
      </c>
      <c r="I373" s="7" t="s">
        <v>718</v>
      </c>
    </row>
    <row r="374" spans="1:9">
      <c r="A374" s="7" t="s">
        <v>690</v>
      </c>
      <c r="B374" s="7" t="s">
        <v>1037</v>
      </c>
      <c r="C374" s="7">
        <v>2</v>
      </c>
      <c r="D374" s="7" t="s">
        <v>2834</v>
      </c>
      <c r="E374" s="7" t="s">
        <v>2834</v>
      </c>
      <c r="F374" s="7" t="s">
        <v>1442</v>
      </c>
      <c r="G374" s="7" t="s">
        <v>1346</v>
      </c>
      <c r="H374" s="7">
        <v>4.7</v>
      </c>
      <c r="I374" s="7" t="s">
        <v>718</v>
      </c>
    </row>
    <row r="375" spans="1:9">
      <c r="A375" s="7" t="s">
        <v>690</v>
      </c>
      <c r="B375" s="7" t="s">
        <v>1037</v>
      </c>
      <c r="C375" s="7">
        <v>2</v>
      </c>
      <c r="D375" s="7" t="s">
        <v>2834</v>
      </c>
      <c r="E375" s="7" t="s">
        <v>2834</v>
      </c>
      <c r="F375" s="7" t="s">
        <v>1056</v>
      </c>
      <c r="G375" s="7" t="s">
        <v>1124</v>
      </c>
      <c r="H375" s="7">
        <v>4.7</v>
      </c>
      <c r="I375" s="7" t="s">
        <v>718</v>
      </c>
    </row>
    <row r="376" spans="1:9">
      <c r="A376" s="7" t="s">
        <v>690</v>
      </c>
      <c r="B376" s="7" t="s">
        <v>1037</v>
      </c>
      <c r="C376" s="7">
        <v>2</v>
      </c>
      <c r="D376" s="7" t="s">
        <v>2834</v>
      </c>
      <c r="E376" s="7" t="s">
        <v>2834</v>
      </c>
      <c r="F376" s="7" t="s">
        <v>1056</v>
      </c>
      <c r="G376" s="7" t="s">
        <v>1125</v>
      </c>
      <c r="H376" s="7">
        <v>4.7</v>
      </c>
      <c r="I376" s="7" t="s">
        <v>718</v>
      </c>
    </row>
    <row r="377" spans="1:9">
      <c r="A377" s="7" t="s">
        <v>690</v>
      </c>
      <c r="B377" s="7" t="s">
        <v>1037</v>
      </c>
      <c r="C377" s="7">
        <v>2</v>
      </c>
      <c r="D377" s="7" t="s">
        <v>2834</v>
      </c>
      <c r="E377" s="7" t="s">
        <v>2834</v>
      </c>
      <c r="F377" s="7" t="s">
        <v>1056</v>
      </c>
      <c r="G377" s="7" t="s">
        <v>1126</v>
      </c>
      <c r="H377" s="7">
        <v>4.7</v>
      </c>
      <c r="I377" s="7" t="s">
        <v>718</v>
      </c>
    </row>
    <row r="378" spans="1:9">
      <c r="A378" s="7" t="s">
        <v>690</v>
      </c>
      <c r="B378" s="7" t="s">
        <v>1037</v>
      </c>
      <c r="C378" s="7">
        <v>2</v>
      </c>
      <c r="D378" s="7" t="s">
        <v>2834</v>
      </c>
      <c r="E378" s="7" t="s">
        <v>2834</v>
      </c>
      <c r="F378" s="7" t="s">
        <v>385</v>
      </c>
      <c r="G378" s="7" t="s">
        <v>2841</v>
      </c>
      <c r="H378" s="7">
        <v>4.7</v>
      </c>
      <c r="I378" s="7" t="s">
        <v>718</v>
      </c>
    </row>
    <row r="379" spans="1:9">
      <c r="A379" s="7" t="s">
        <v>690</v>
      </c>
      <c r="B379" s="7" t="s">
        <v>1037</v>
      </c>
      <c r="C379" s="7">
        <v>2</v>
      </c>
      <c r="D379" s="7" t="s">
        <v>2834</v>
      </c>
      <c r="E379" s="7" t="s">
        <v>2834</v>
      </c>
      <c r="F379" s="7" t="s">
        <v>385</v>
      </c>
      <c r="G379" s="7" t="s">
        <v>2842</v>
      </c>
      <c r="H379" s="7">
        <v>4.7</v>
      </c>
      <c r="I379" s="7" t="s">
        <v>718</v>
      </c>
    </row>
    <row r="380" spans="1:9">
      <c r="A380" s="7" t="s">
        <v>690</v>
      </c>
      <c r="B380" s="7" t="s">
        <v>1037</v>
      </c>
      <c r="C380" s="7">
        <v>2</v>
      </c>
      <c r="D380" s="7" t="s">
        <v>2834</v>
      </c>
      <c r="E380" s="7" t="s">
        <v>2834</v>
      </c>
      <c r="F380" s="7" t="s">
        <v>2835</v>
      </c>
      <c r="G380" s="7" t="s">
        <v>1057</v>
      </c>
      <c r="H380" s="7">
        <v>4.5</v>
      </c>
      <c r="I380" s="7" t="s">
        <v>718</v>
      </c>
    </row>
    <row r="381" spans="1:9">
      <c r="A381" s="7" t="s">
        <v>690</v>
      </c>
      <c r="B381" s="7" t="s">
        <v>1037</v>
      </c>
      <c r="C381" s="7">
        <v>2</v>
      </c>
      <c r="D381" s="7" t="s">
        <v>2834</v>
      </c>
      <c r="E381" s="7" t="s">
        <v>2834</v>
      </c>
      <c r="F381" s="7" t="s">
        <v>2836</v>
      </c>
      <c r="G381" s="7" t="s">
        <v>1057</v>
      </c>
      <c r="H381" s="7">
        <v>4.5</v>
      </c>
      <c r="I381" s="7" t="s">
        <v>718</v>
      </c>
    </row>
    <row r="382" spans="1:9">
      <c r="A382" s="7" t="s">
        <v>690</v>
      </c>
      <c r="B382" s="7" t="s">
        <v>1037</v>
      </c>
      <c r="C382" s="7">
        <v>2</v>
      </c>
      <c r="D382" s="7" t="s">
        <v>2834</v>
      </c>
      <c r="E382" s="7" t="s">
        <v>2834</v>
      </c>
      <c r="F382" s="7" t="s">
        <v>1127</v>
      </c>
      <c r="G382" s="7" t="s">
        <v>1128</v>
      </c>
      <c r="H382" s="7">
        <v>4.7</v>
      </c>
      <c r="I382" s="7" t="s">
        <v>718</v>
      </c>
    </row>
    <row r="383" spans="1:9">
      <c r="A383" s="7" t="s">
        <v>690</v>
      </c>
      <c r="B383" s="7" t="s">
        <v>1037</v>
      </c>
      <c r="C383" s="7">
        <v>2</v>
      </c>
      <c r="D383" s="7" t="s">
        <v>2834</v>
      </c>
      <c r="E383" s="7" t="s">
        <v>2834</v>
      </c>
      <c r="F383" s="7" t="s">
        <v>1058</v>
      </c>
      <c r="G383" s="7" t="s">
        <v>1129</v>
      </c>
      <c r="H383" s="7">
        <v>4.7</v>
      </c>
      <c r="I383" s="7" t="s">
        <v>718</v>
      </c>
    </row>
    <row r="384" spans="1:9">
      <c r="A384" s="7" t="s">
        <v>690</v>
      </c>
      <c r="B384" s="7" t="s">
        <v>1037</v>
      </c>
      <c r="C384" s="7">
        <v>2</v>
      </c>
      <c r="D384" s="7" t="s">
        <v>2834</v>
      </c>
      <c r="E384" s="7" t="s">
        <v>2834</v>
      </c>
      <c r="F384" s="7" t="s">
        <v>1058</v>
      </c>
      <c r="G384" s="7" t="s">
        <v>1130</v>
      </c>
      <c r="H384" s="7">
        <v>4.7</v>
      </c>
      <c r="I384" s="7" t="s">
        <v>718</v>
      </c>
    </row>
    <row r="385" spans="1:9">
      <c r="A385" s="7" t="s">
        <v>690</v>
      </c>
      <c r="B385" s="7" t="s">
        <v>1037</v>
      </c>
      <c r="C385" s="7">
        <v>2</v>
      </c>
      <c r="D385" s="7" t="s">
        <v>2834</v>
      </c>
      <c r="E385" s="7" t="s">
        <v>2834</v>
      </c>
      <c r="F385" s="7" t="s">
        <v>1058</v>
      </c>
      <c r="G385" s="7" t="s">
        <v>1131</v>
      </c>
      <c r="H385" s="7">
        <v>4.7</v>
      </c>
      <c r="I385" s="7" t="s">
        <v>718</v>
      </c>
    </row>
    <row r="386" spans="1:9">
      <c r="A386" s="7" t="s">
        <v>690</v>
      </c>
      <c r="B386" s="7" t="s">
        <v>1037</v>
      </c>
      <c r="C386" s="7">
        <v>2</v>
      </c>
      <c r="D386" s="7" t="s">
        <v>2834</v>
      </c>
      <c r="E386" s="7" t="s">
        <v>2834</v>
      </c>
      <c r="F386" s="7" t="s">
        <v>1132</v>
      </c>
      <c r="G386" s="7" t="s">
        <v>1133</v>
      </c>
      <c r="H386" s="7">
        <v>4.7</v>
      </c>
      <c r="I386" s="7" t="s">
        <v>718</v>
      </c>
    </row>
    <row r="387" spans="1:9">
      <c r="A387" s="7" t="s">
        <v>690</v>
      </c>
      <c r="B387" s="7" t="s">
        <v>1037</v>
      </c>
      <c r="C387" s="7">
        <v>2</v>
      </c>
      <c r="D387" s="7" t="s">
        <v>2834</v>
      </c>
      <c r="E387" s="7" t="s">
        <v>2834</v>
      </c>
      <c r="F387" s="7" t="s">
        <v>2843</v>
      </c>
      <c r="G387" s="7" t="s">
        <v>2844</v>
      </c>
      <c r="H387" s="7">
        <v>4.7</v>
      </c>
      <c r="I387" s="7" t="s">
        <v>718</v>
      </c>
    </row>
    <row r="388" spans="1:9">
      <c r="A388" s="7" t="s">
        <v>690</v>
      </c>
      <c r="B388" s="7" t="s">
        <v>1037</v>
      </c>
      <c r="C388" s="7">
        <v>2</v>
      </c>
      <c r="D388" s="7" t="s">
        <v>2834</v>
      </c>
      <c r="E388" s="7" t="s">
        <v>2834</v>
      </c>
      <c r="F388" s="7" t="s">
        <v>1059</v>
      </c>
      <c r="G388" s="7" t="s">
        <v>1060</v>
      </c>
      <c r="H388" s="7">
        <v>4.7</v>
      </c>
      <c r="I388" s="7" t="s">
        <v>718</v>
      </c>
    </row>
    <row r="389" spans="1:9">
      <c r="A389" s="7" t="s">
        <v>690</v>
      </c>
      <c r="B389" s="7" t="s">
        <v>1037</v>
      </c>
      <c r="C389" s="7">
        <v>2</v>
      </c>
      <c r="D389" s="7" t="s">
        <v>2834</v>
      </c>
      <c r="E389" s="7" t="s">
        <v>2834</v>
      </c>
      <c r="F389" s="7" t="s">
        <v>1134</v>
      </c>
      <c r="G389" s="7" t="s">
        <v>1135</v>
      </c>
      <c r="H389" s="7">
        <v>4.7</v>
      </c>
      <c r="I389" s="7" t="s">
        <v>718</v>
      </c>
    </row>
    <row r="390" spans="1:9">
      <c r="A390" s="7" t="s">
        <v>690</v>
      </c>
      <c r="B390" s="7" t="s">
        <v>1037</v>
      </c>
      <c r="C390" s="7">
        <v>2</v>
      </c>
      <c r="D390" s="7" t="s">
        <v>2834</v>
      </c>
      <c r="E390" s="7" t="s">
        <v>2834</v>
      </c>
      <c r="F390" s="7" t="s">
        <v>1134</v>
      </c>
      <c r="G390" s="7" t="s">
        <v>2845</v>
      </c>
      <c r="H390" s="7">
        <v>4.7</v>
      </c>
      <c r="I390" s="7" t="s">
        <v>718</v>
      </c>
    </row>
    <row r="391" spans="1:9">
      <c r="A391" s="7" t="s">
        <v>690</v>
      </c>
      <c r="B391" s="7" t="s">
        <v>1037</v>
      </c>
      <c r="C391" s="7">
        <v>2</v>
      </c>
      <c r="D391" s="7" t="s">
        <v>2834</v>
      </c>
      <c r="E391" s="7" t="s">
        <v>2834</v>
      </c>
      <c r="F391" s="7" t="s">
        <v>2846</v>
      </c>
      <c r="G391" s="7" t="s">
        <v>2847</v>
      </c>
      <c r="H391" s="7">
        <v>4.7</v>
      </c>
      <c r="I391" s="7" t="s">
        <v>718</v>
      </c>
    </row>
    <row r="392" spans="1:9">
      <c r="A392" s="7" t="s">
        <v>690</v>
      </c>
      <c r="B392" s="7" t="s">
        <v>1037</v>
      </c>
      <c r="C392" s="7">
        <v>2</v>
      </c>
      <c r="D392" s="7" t="s">
        <v>2834</v>
      </c>
      <c r="E392" s="7" t="s">
        <v>2834</v>
      </c>
      <c r="F392" s="7" t="s">
        <v>1136</v>
      </c>
      <c r="G392" s="7" t="s">
        <v>1137</v>
      </c>
      <c r="H392" s="7">
        <v>4.7</v>
      </c>
      <c r="I392" s="7" t="s">
        <v>718</v>
      </c>
    </row>
    <row r="393" spans="1:9">
      <c r="A393" s="7" t="s">
        <v>690</v>
      </c>
      <c r="B393" s="7" t="s">
        <v>1037</v>
      </c>
      <c r="C393" s="7">
        <v>2</v>
      </c>
      <c r="D393" s="7" t="s">
        <v>2834</v>
      </c>
      <c r="E393" s="7" t="s">
        <v>2834</v>
      </c>
      <c r="F393" s="7" t="s">
        <v>1061</v>
      </c>
      <c r="G393" s="7" t="s">
        <v>1138</v>
      </c>
      <c r="H393" s="7">
        <v>4.7</v>
      </c>
      <c r="I393" s="7" t="s">
        <v>718</v>
      </c>
    </row>
    <row r="394" spans="1:9">
      <c r="A394" s="7" t="s">
        <v>690</v>
      </c>
      <c r="B394" s="7" t="s">
        <v>1037</v>
      </c>
      <c r="C394" s="7">
        <v>2</v>
      </c>
      <c r="D394" s="7" t="s">
        <v>2834</v>
      </c>
      <c r="E394" s="7" t="s">
        <v>2834</v>
      </c>
      <c r="F394" s="7" t="s">
        <v>1061</v>
      </c>
      <c r="G394" s="7" t="s">
        <v>1889</v>
      </c>
      <c r="H394" s="7">
        <v>4.7</v>
      </c>
      <c r="I394" s="7" t="s">
        <v>718</v>
      </c>
    </row>
    <row r="395" spans="1:9">
      <c r="A395" s="7" t="s">
        <v>690</v>
      </c>
      <c r="B395" s="7" t="s">
        <v>1037</v>
      </c>
      <c r="C395" s="7">
        <v>2</v>
      </c>
      <c r="D395" s="7" t="s">
        <v>2834</v>
      </c>
      <c r="E395" s="7" t="s">
        <v>2834</v>
      </c>
      <c r="F395" s="7" t="s">
        <v>2848</v>
      </c>
      <c r="G395" s="7" t="s">
        <v>2849</v>
      </c>
      <c r="H395" s="7">
        <v>4.7</v>
      </c>
      <c r="I395" s="7" t="s">
        <v>718</v>
      </c>
    </row>
    <row r="396" spans="1:9">
      <c r="A396" s="7" t="s">
        <v>690</v>
      </c>
      <c r="B396" s="7" t="s">
        <v>1037</v>
      </c>
      <c r="C396" s="7">
        <v>2</v>
      </c>
      <c r="D396" s="7" t="s">
        <v>2834</v>
      </c>
      <c r="E396" s="7" t="s">
        <v>2834</v>
      </c>
      <c r="F396" s="7" t="s">
        <v>1139</v>
      </c>
      <c r="G396" s="7" t="s">
        <v>1140</v>
      </c>
      <c r="H396" s="7">
        <v>4.7</v>
      </c>
      <c r="I396" s="7" t="s">
        <v>718</v>
      </c>
    </row>
    <row r="397" spans="1:9">
      <c r="A397" s="7" t="s">
        <v>690</v>
      </c>
      <c r="B397" s="7" t="s">
        <v>1037</v>
      </c>
      <c r="C397" s="7">
        <v>2</v>
      </c>
      <c r="D397" s="7" t="s">
        <v>2834</v>
      </c>
      <c r="E397" s="7" t="s">
        <v>2834</v>
      </c>
      <c r="F397" s="7" t="s">
        <v>1062</v>
      </c>
      <c r="G397" s="7" t="s">
        <v>1044</v>
      </c>
      <c r="H397" s="7">
        <v>4.7</v>
      </c>
      <c r="I397" s="7" t="s">
        <v>718</v>
      </c>
    </row>
    <row r="398" spans="1:9">
      <c r="A398" s="7" t="s">
        <v>690</v>
      </c>
      <c r="B398" s="7" t="s">
        <v>1037</v>
      </c>
      <c r="C398" s="7">
        <v>2</v>
      </c>
      <c r="D398" s="7" t="s">
        <v>2834</v>
      </c>
      <c r="E398" s="7" t="s">
        <v>2834</v>
      </c>
      <c r="F398" s="7" t="s">
        <v>1062</v>
      </c>
      <c r="G398" s="7" t="s">
        <v>1141</v>
      </c>
      <c r="H398" s="7">
        <v>4.7</v>
      </c>
      <c r="I398" s="7" t="s">
        <v>718</v>
      </c>
    </row>
    <row r="399" spans="1:9">
      <c r="A399" s="7" t="s">
        <v>690</v>
      </c>
      <c r="B399" s="7" t="s">
        <v>1037</v>
      </c>
      <c r="C399" s="7">
        <v>2</v>
      </c>
      <c r="D399" s="7" t="s">
        <v>2834</v>
      </c>
      <c r="E399" s="7" t="s">
        <v>2834</v>
      </c>
      <c r="F399" s="7" t="s">
        <v>1063</v>
      </c>
      <c r="G399" s="7" t="s">
        <v>1143</v>
      </c>
      <c r="H399" s="7">
        <v>4.7</v>
      </c>
      <c r="I399" s="7" t="s">
        <v>718</v>
      </c>
    </row>
    <row r="400" spans="1:9">
      <c r="A400" s="7" t="s">
        <v>690</v>
      </c>
      <c r="B400" s="7" t="s">
        <v>1037</v>
      </c>
      <c r="C400" s="7">
        <v>2</v>
      </c>
      <c r="D400" s="7" t="s">
        <v>2834</v>
      </c>
      <c r="E400" s="7" t="s">
        <v>2834</v>
      </c>
      <c r="F400" s="7" t="s">
        <v>1063</v>
      </c>
      <c r="G400" s="7" t="s">
        <v>1142</v>
      </c>
      <c r="H400" s="7">
        <v>4.7</v>
      </c>
      <c r="I400" s="7" t="s">
        <v>718</v>
      </c>
    </row>
    <row r="401" spans="1:9">
      <c r="A401" s="7" t="s">
        <v>690</v>
      </c>
      <c r="B401" s="7" t="s">
        <v>1037</v>
      </c>
      <c r="C401" s="7">
        <v>2</v>
      </c>
      <c r="D401" s="7" t="s">
        <v>2834</v>
      </c>
      <c r="E401" s="7" t="s">
        <v>2834</v>
      </c>
      <c r="F401" s="7" t="s">
        <v>1070</v>
      </c>
      <c r="G401" s="7" t="s">
        <v>1144</v>
      </c>
      <c r="H401" s="7">
        <v>4.7</v>
      </c>
      <c r="I401" s="7" t="s">
        <v>718</v>
      </c>
    </row>
    <row r="402" spans="1:9">
      <c r="A402" s="7" t="s">
        <v>690</v>
      </c>
      <c r="B402" s="7" t="s">
        <v>1037</v>
      </c>
      <c r="C402" s="7">
        <v>2</v>
      </c>
      <c r="D402" s="7" t="s">
        <v>2834</v>
      </c>
      <c r="E402" s="7" t="s">
        <v>2834</v>
      </c>
      <c r="F402" s="7" t="s">
        <v>1071</v>
      </c>
      <c r="G402" s="7" t="s">
        <v>1145</v>
      </c>
      <c r="H402" s="7">
        <v>4.7</v>
      </c>
      <c r="I402" s="7" t="s">
        <v>718</v>
      </c>
    </row>
    <row r="403" spans="1:9">
      <c r="A403" s="7" t="s">
        <v>690</v>
      </c>
      <c r="B403" s="7" t="s">
        <v>1037</v>
      </c>
      <c r="C403" s="7">
        <v>2</v>
      </c>
      <c r="D403" s="7" t="s">
        <v>2834</v>
      </c>
      <c r="E403" s="7" t="s">
        <v>2834</v>
      </c>
      <c r="F403" s="7" t="s">
        <v>1071</v>
      </c>
      <c r="G403" s="7" t="s">
        <v>1146</v>
      </c>
      <c r="H403" s="7">
        <v>4.7</v>
      </c>
      <c r="I403" s="7" t="s">
        <v>718</v>
      </c>
    </row>
    <row r="404" spans="1:9">
      <c r="A404" s="7" t="s">
        <v>690</v>
      </c>
      <c r="B404" s="7" t="s">
        <v>1037</v>
      </c>
      <c r="C404" s="7">
        <v>2</v>
      </c>
      <c r="D404" s="7" t="s">
        <v>2834</v>
      </c>
      <c r="E404" s="7" t="s">
        <v>2834</v>
      </c>
      <c r="F404" s="7" t="s">
        <v>1072</v>
      </c>
      <c r="G404" s="7" t="s">
        <v>1147</v>
      </c>
      <c r="H404" s="7">
        <v>4.7</v>
      </c>
      <c r="I404" s="7" t="s">
        <v>718</v>
      </c>
    </row>
    <row r="405" spans="1:9">
      <c r="A405" s="7" t="s">
        <v>690</v>
      </c>
      <c r="B405" s="7" t="s">
        <v>1037</v>
      </c>
      <c r="C405" s="7">
        <v>2</v>
      </c>
      <c r="D405" s="7" t="s">
        <v>2834</v>
      </c>
      <c r="E405" s="7" t="s">
        <v>2834</v>
      </c>
      <c r="F405" s="7" t="s">
        <v>2695</v>
      </c>
      <c r="G405" s="7" t="s">
        <v>2698</v>
      </c>
      <c r="H405" s="7">
        <v>4.7</v>
      </c>
      <c r="I405" s="7" t="s">
        <v>718</v>
      </c>
    </row>
    <row r="406" spans="1:9">
      <c r="A406" s="7" t="s">
        <v>690</v>
      </c>
      <c r="B406" s="7" t="s">
        <v>1037</v>
      </c>
      <c r="C406" s="7">
        <v>2</v>
      </c>
      <c r="D406" s="7" t="s">
        <v>2834</v>
      </c>
      <c r="E406" s="7" t="s">
        <v>2834</v>
      </c>
      <c r="F406" s="7" t="s">
        <v>2695</v>
      </c>
      <c r="G406" s="7" t="s">
        <v>2697</v>
      </c>
      <c r="H406" s="7">
        <v>4.7</v>
      </c>
      <c r="I406" s="7" t="s">
        <v>718</v>
      </c>
    </row>
    <row r="407" spans="1:9">
      <c r="A407" s="7" t="s">
        <v>690</v>
      </c>
      <c r="B407" s="7" t="s">
        <v>1037</v>
      </c>
      <c r="C407" s="7">
        <v>2</v>
      </c>
      <c r="D407" s="7" t="s">
        <v>2834</v>
      </c>
      <c r="E407" s="7" t="s">
        <v>2834</v>
      </c>
      <c r="F407" s="7" t="s">
        <v>2695</v>
      </c>
      <c r="G407" s="7" t="s">
        <v>2696</v>
      </c>
      <c r="H407" s="7">
        <v>4.7</v>
      </c>
      <c r="I407" s="7" t="s">
        <v>718</v>
      </c>
    </row>
    <row r="408" spans="1:9">
      <c r="A408" s="7" t="s">
        <v>690</v>
      </c>
      <c r="B408" s="7" t="s">
        <v>1037</v>
      </c>
      <c r="C408" s="7">
        <v>2</v>
      </c>
      <c r="D408" s="7" t="s">
        <v>2834</v>
      </c>
      <c r="E408" s="7" t="s">
        <v>2834</v>
      </c>
      <c r="F408" s="7" t="s">
        <v>2695</v>
      </c>
      <c r="G408" s="7" t="s">
        <v>2699</v>
      </c>
      <c r="H408" s="7">
        <v>4.7</v>
      </c>
      <c r="I408" s="7" t="s">
        <v>718</v>
      </c>
    </row>
    <row r="409" spans="1:9">
      <c r="A409" s="7" t="s">
        <v>690</v>
      </c>
      <c r="B409" s="7" t="s">
        <v>1037</v>
      </c>
      <c r="C409" s="7">
        <v>2</v>
      </c>
      <c r="D409" s="7" t="s">
        <v>2834</v>
      </c>
      <c r="E409" s="7" t="s">
        <v>2834</v>
      </c>
      <c r="F409" s="7" t="s">
        <v>1443</v>
      </c>
      <c r="G409" s="7" t="s">
        <v>1074</v>
      </c>
      <c r="H409" s="7">
        <v>4.7</v>
      </c>
      <c r="I409" s="7" t="s">
        <v>718</v>
      </c>
    </row>
    <row r="410" spans="1:9">
      <c r="A410" s="7" t="s">
        <v>690</v>
      </c>
      <c r="B410" s="7" t="s">
        <v>1037</v>
      </c>
      <c r="C410" s="7">
        <v>2</v>
      </c>
      <c r="D410" s="7" t="s">
        <v>2834</v>
      </c>
      <c r="E410" s="7" t="s">
        <v>2834</v>
      </c>
      <c r="F410" s="7" t="s">
        <v>1443</v>
      </c>
      <c r="G410" s="7" t="s">
        <v>1073</v>
      </c>
      <c r="H410" s="7">
        <v>4.7</v>
      </c>
      <c r="I410" s="7" t="s">
        <v>718</v>
      </c>
    </row>
    <row r="411" spans="1:9">
      <c r="A411" s="7" t="s">
        <v>690</v>
      </c>
      <c r="B411" s="7" t="s">
        <v>1037</v>
      </c>
      <c r="C411" s="7">
        <v>2</v>
      </c>
      <c r="D411" s="7" t="s">
        <v>2834</v>
      </c>
      <c r="E411" s="7" t="s">
        <v>2834</v>
      </c>
      <c r="F411" s="7" t="s">
        <v>2850</v>
      </c>
      <c r="G411" s="7" t="s">
        <v>1053</v>
      </c>
      <c r="H411" s="7">
        <v>4.7</v>
      </c>
      <c r="I411" s="7" t="s">
        <v>718</v>
      </c>
    </row>
    <row r="412" spans="1:9">
      <c r="A412" s="7" t="s">
        <v>690</v>
      </c>
      <c r="B412" s="7" t="s">
        <v>1037</v>
      </c>
      <c r="C412" s="7">
        <v>2</v>
      </c>
      <c r="D412" s="7" t="s">
        <v>2834</v>
      </c>
      <c r="E412" s="7" t="s">
        <v>2834</v>
      </c>
      <c r="F412" s="7" t="s">
        <v>1444</v>
      </c>
      <c r="G412" s="7" t="s">
        <v>1075</v>
      </c>
      <c r="H412" s="7">
        <v>4.7</v>
      </c>
      <c r="I412" s="7" t="s">
        <v>718</v>
      </c>
    </row>
    <row r="413" spans="1:9">
      <c r="A413" s="7" t="s">
        <v>690</v>
      </c>
      <c r="B413" s="7" t="s">
        <v>1037</v>
      </c>
      <c r="C413" s="7">
        <v>2</v>
      </c>
      <c r="D413" s="7" t="s">
        <v>2834</v>
      </c>
      <c r="E413" s="7" t="s">
        <v>2834</v>
      </c>
      <c r="F413" s="7" t="s">
        <v>1444</v>
      </c>
      <c r="G413" s="7" t="s">
        <v>1076</v>
      </c>
      <c r="H413" s="7">
        <v>4.7</v>
      </c>
      <c r="I413" s="7" t="s">
        <v>718</v>
      </c>
    </row>
    <row r="414" spans="1:9">
      <c r="A414" s="7" t="s">
        <v>690</v>
      </c>
      <c r="B414" s="7" t="s">
        <v>1037</v>
      </c>
      <c r="C414" s="7">
        <v>2</v>
      </c>
      <c r="D414" s="7" t="s">
        <v>2834</v>
      </c>
      <c r="E414" s="7" t="s">
        <v>2834</v>
      </c>
      <c r="F414" s="7" t="s">
        <v>1445</v>
      </c>
      <c r="G414" s="7" t="s">
        <v>1885</v>
      </c>
      <c r="H414" s="7">
        <v>4.7</v>
      </c>
      <c r="I414" s="7" t="s">
        <v>718</v>
      </c>
    </row>
    <row r="415" spans="1:9">
      <c r="A415" s="7" t="s">
        <v>690</v>
      </c>
      <c r="B415" s="7" t="s">
        <v>1037</v>
      </c>
      <c r="C415" s="7">
        <v>2</v>
      </c>
      <c r="D415" s="7" t="s">
        <v>2834</v>
      </c>
      <c r="E415" s="7" t="s">
        <v>2834</v>
      </c>
      <c r="F415" s="7" t="s">
        <v>1077</v>
      </c>
      <c r="G415" s="7" t="s">
        <v>1886</v>
      </c>
      <c r="H415" s="7">
        <v>4.7</v>
      </c>
      <c r="I415" s="7" t="s">
        <v>718</v>
      </c>
    </row>
    <row r="416" spans="1:9">
      <c r="A416" s="7" t="s">
        <v>690</v>
      </c>
      <c r="B416" s="7" t="s">
        <v>1037</v>
      </c>
      <c r="C416" s="7">
        <v>2</v>
      </c>
      <c r="D416" s="7" t="s">
        <v>2834</v>
      </c>
      <c r="E416" s="7" t="s">
        <v>2834</v>
      </c>
      <c r="F416" s="7" t="s">
        <v>1077</v>
      </c>
      <c r="G416" s="7" t="s">
        <v>1887</v>
      </c>
      <c r="H416" s="7">
        <v>4.7</v>
      </c>
      <c r="I416" s="7" t="s">
        <v>718</v>
      </c>
    </row>
    <row r="417" spans="1:9">
      <c r="A417" s="7" t="s">
        <v>690</v>
      </c>
      <c r="B417" s="7" t="s">
        <v>1037</v>
      </c>
      <c r="C417" s="7">
        <v>2</v>
      </c>
      <c r="D417" s="7" t="s">
        <v>2834</v>
      </c>
      <c r="E417" s="7" t="s">
        <v>2834</v>
      </c>
      <c r="F417" s="7" t="s">
        <v>1077</v>
      </c>
      <c r="G417" s="7" t="s">
        <v>1888</v>
      </c>
      <c r="H417" s="7">
        <v>4.7</v>
      </c>
      <c r="I417" s="7" t="s">
        <v>718</v>
      </c>
    </row>
    <row r="418" spans="1:9">
      <c r="A418" s="7" t="s">
        <v>690</v>
      </c>
      <c r="B418" s="7" t="s">
        <v>1037</v>
      </c>
      <c r="C418" s="7">
        <v>2</v>
      </c>
      <c r="D418" s="7" t="s">
        <v>2834</v>
      </c>
      <c r="E418" s="7" t="s">
        <v>2834</v>
      </c>
      <c r="F418" s="7" t="s">
        <v>1077</v>
      </c>
      <c r="G418" s="7" t="s">
        <v>1078</v>
      </c>
      <c r="H418" s="7">
        <v>4.7</v>
      </c>
      <c r="I418" s="7" t="s">
        <v>718</v>
      </c>
    </row>
    <row r="419" spans="1:9">
      <c r="A419" s="7" t="s">
        <v>690</v>
      </c>
      <c r="B419" s="7" t="s">
        <v>1037</v>
      </c>
      <c r="C419" s="7">
        <v>2</v>
      </c>
      <c r="D419" s="7" t="s">
        <v>2834</v>
      </c>
      <c r="E419" s="7" t="s">
        <v>2834</v>
      </c>
      <c r="F419" s="7" t="s">
        <v>1079</v>
      </c>
      <c r="G419" s="7" t="s">
        <v>1080</v>
      </c>
      <c r="H419" s="7">
        <v>4.7</v>
      </c>
      <c r="I419" s="7" t="s">
        <v>718</v>
      </c>
    </row>
    <row r="420" spans="1:9">
      <c r="A420" s="7" t="s">
        <v>690</v>
      </c>
      <c r="B420" s="7" t="s">
        <v>1037</v>
      </c>
      <c r="C420" s="7">
        <v>2</v>
      </c>
      <c r="D420" s="7" t="s">
        <v>2834</v>
      </c>
      <c r="E420" s="7" t="s">
        <v>2834</v>
      </c>
      <c r="F420" s="7" t="s">
        <v>1446</v>
      </c>
      <c r="G420" s="7" t="s">
        <v>1081</v>
      </c>
      <c r="H420" s="7">
        <v>4.7</v>
      </c>
      <c r="I420" s="7" t="s">
        <v>718</v>
      </c>
    </row>
    <row r="421" spans="1:9">
      <c r="A421" s="7" t="s">
        <v>690</v>
      </c>
      <c r="B421" s="7" t="s">
        <v>1037</v>
      </c>
      <c r="C421" s="7">
        <v>2</v>
      </c>
      <c r="D421" s="7" t="s">
        <v>2834</v>
      </c>
      <c r="E421" s="7" t="s">
        <v>2834</v>
      </c>
      <c r="F421" s="7" t="s">
        <v>1446</v>
      </c>
      <c r="G421" s="7" t="s">
        <v>1082</v>
      </c>
      <c r="H421" s="7">
        <v>4.7</v>
      </c>
      <c r="I421" s="7" t="s">
        <v>718</v>
      </c>
    </row>
    <row r="422" spans="1:9">
      <c r="A422" s="7" t="s">
        <v>690</v>
      </c>
      <c r="B422" s="7" t="s">
        <v>1037</v>
      </c>
      <c r="C422" s="7">
        <v>2</v>
      </c>
      <c r="D422" s="7" t="s">
        <v>2834</v>
      </c>
      <c r="E422" s="7" t="s">
        <v>2834</v>
      </c>
      <c r="F422" s="7" t="s">
        <v>1446</v>
      </c>
      <c r="G422" s="7" t="s">
        <v>1083</v>
      </c>
      <c r="H422" s="7">
        <v>4.7</v>
      </c>
      <c r="I422" s="7" t="s">
        <v>718</v>
      </c>
    </row>
    <row r="423" spans="1:9">
      <c r="A423" s="7" t="s">
        <v>690</v>
      </c>
      <c r="B423" s="7" t="s">
        <v>1037</v>
      </c>
      <c r="C423" s="7">
        <v>2</v>
      </c>
      <c r="D423" s="7" t="s">
        <v>2834</v>
      </c>
      <c r="E423" s="7" t="s">
        <v>2834</v>
      </c>
      <c r="F423" s="7" t="s">
        <v>1084</v>
      </c>
      <c r="G423" s="7" t="s">
        <v>1085</v>
      </c>
      <c r="H423" s="7">
        <v>4.5</v>
      </c>
      <c r="I423" s="7" t="s">
        <v>718</v>
      </c>
    </row>
    <row r="424" spans="1:9">
      <c r="A424" s="7" t="s">
        <v>690</v>
      </c>
      <c r="B424" s="7" t="s">
        <v>1037</v>
      </c>
      <c r="C424" s="7">
        <v>2</v>
      </c>
      <c r="D424" s="7" t="s">
        <v>2834</v>
      </c>
      <c r="E424" s="7" t="s">
        <v>2834</v>
      </c>
      <c r="F424" s="7" t="s">
        <v>1084</v>
      </c>
      <c r="G424" s="7" t="s">
        <v>1086</v>
      </c>
      <c r="H424" s="7">
        <v>4.5</v>
      </c>
      <c r="I424" s="7" t="s">
        <v>718</v>
      </c>
    </row>
    <row r="425" spans="1:9">
      <c r="A425" s="7" t="s">
        <v>690</v>
      </c>
      <c r="B425" s="7" t="s">
        <v>1037</v>
      </c>
      <c r="C425" s="7">
        <v>2</v>
      </c>
      <c r="D425" s="7" t="s">
        <v>2834</v>
      </c>
      <c r="E425" s="7" t="s">
        <v>2834</v>
      </c>
      <c r="F425" s="7" t="s">
        <v>1084</v>
      </c>
      <c r="G425" s="7" t="s">
        <v>1087</v>
      </c>
      <c r="H425" s="7">
        <v>4.5</v>
      </c>
      <c r="I425" s="7" t="s">
        <v>718</v>
      </c>
    </row>
    <row r="426" spans="1:9">
      <c r="A426" s="7" t="s">
        <v>690</v>
      </c>
      <c r="B426" s="7" t="s">
        <v>1037</v>
      </c>
      <c r="C426" s="7">
        <v>2</v>
      </c>
      <c r="D426" s="7" t="s">
        <v>2834</v>
      </c>
      <c r="E426" s="7" t="s">
        <v>2834</v>
      </c>
      <c r="F426" s="7" t="s">
        <v>1084</v>
      </c>
      <c r="G426" s="7" t="s">
        <v>1088</v>
      </c>
      <c r="H426" s="7">
        <v>4.5</v>
      </c>
      <c r="I426" s="7" t="s">
        <v>718</v>
      </c>
    </row>
    <row r="427" spans="1:9">
      <c r="A427" s="7" t="s">
        <v>690</v>
      </c>
      <c r="B427" s="7" t="s">
        <v>1037</v>
      </c>
      <c r="C427" s="7">
        <v>2</v>
      </c>
      <c r="D427" s="7" t="s">
        <v>2834</v>
      </c>
      <c r="E427" s="7" t="s">
        <v>2834</v>
      </c>
      <c r="F427" s="7" t="s">
        <v>1089</v>
      </c>
      <c r="G427" s="7" t="s">
        <v>1140</v>
      </c>
      <c r="H427" s="7">
        <v>4.5</v>
      </c>
      <c r="I427" s="7" t="s">
        <v>718</v>
      </c>
    </row>
    <row r="428" spans="1:9">
      <c r="A428" s="7" t="s">
        <v>690</v>
      </c>
      <c r="B428" s="7" t="s">
        <v>1037</v>
      </c>
      <c r="C428" s="7">
        <v>2</v>
      </c>
      <c r="D428" s="7" t="s">
        <v>2834</v>
      </c>
      <c r="E428" s="7" t="s">
        <v>2834</v>
      </c>
      <c r="F428" s="7" t="s">
        <v>1090</v>
      </c>
      <c r="G428" s="7" t="s">
        <v>1091</v>
      </c>
      <c r="H428" s="7">
        <v>4.5</v>
      </c>
      <c r="I428" s="7" t="s">
        <v>718</v>
      </c>
    </row>
    <row r="429" spans="1:9">
      <c r="A429" s="7" t="s">
        <v>690</v>
      </c>
      <c r="B429" s="7" t="s">
        <v>1037</v>
      </c>
      <c r="C429" s="7">
        <v>2</v>
      </c>
      <c r="D429" s="7" t="s">
        <v>2834</v>
      </c>
      <c r="E429" s="7" t="s">
        <v>2834</v>
      </c>
      <c r="F429" s="7" t="s">
        <v>2851</v>
      </c>
      <c r="G429" s="7" t="s">
        <v>2852</v>
      </c>
      <c r="H429" s="7">
        <v>4.7</v>
      </c>
      <c r="I429" s="7" t="s">
        <v>718</v>
      </c>
    </row>
    <row r="430" spans="1:9">
      <c r="A430" s="7" t="s">
        <v>690</v>
      </c>
      <c r="B430" s="7" t="s">
        <v>1037</v>
      </c>
      <c r="C430" s="7">
        <v>2</v>
      </c>
      <c r="D430" s="7" t="s">
        <v>2834</v>
      </c>
      <c r="E430" s="7" t="s">
        <v>2834</v>
      </c>
      <c r="F430" s="7" t="s">
        <v>1092</v>
      </c>
      <c r="G430" s="7" t="s">
        <v>1093</v>
      </c>
      <c r="H430" s="7">
        <v>4.7</v>
      </c>
      <c r="I430" s="7" t="s">
        <v>718</v>
      </c>
    </row>
    <row r="431" spans="1:9">
      <c r="A431" s="7" t="s">
        <v>690</v>
      </c>
      <c r="B431" s="7" t="s">
        <v>1037</v>
      </c>
      <c r="C431" s="7">
        <v>2</v>
      </c>
      <c r="D431" s="7" t="s">
        <v>2834</v>
      </c>
      <c r="E431" s="7" t="s">
        <v>2834</v>
      </c>
      <c r="F431" s="7" t="s">
        <v>1148</v>
      </c>
      <c r="G431" s="7" t="s">
        <v>1149</v>
      </c>
      <c r="H431" s="7">
        <v>4.7</v>
      </c>
      <c r="I431" s="7" t="s">
        <v>718</v>
      </c>
    </row>
    <row r="432" spans="1:9">
      <c r="A432" s="7" t="s">
        <v>690</v>
      </c>
      <c r="B432" s="7" t="s">
        <v>1037</v>
      </c>
      <c r="C432" s="7">
        <v>2</v>
      </c>
      <c r="D432" s="7" t="s">
        <v>2834</v>
      </c>
      <c r="E432" s="7" t="s">
        <v>2834</v>
      </c>
      <c r="F432" s="7" t="s">
        <v>2853</v>
      </c>
      <c r="G432" s="7" t="s">
        <v>2854</v>
      </c>
      <c r="H432" s="7">
        <v>4.7</v>
      </c>
      <c r="I432" s="7" t="s">
        <v>718</v>
      </c>
    </row>
    <row r="433" spans="1:9">
      <c r="A433" s="7" t="s">
        <v>690</v>
      </c>
      <c r="B433" s="7" t="s">
        <v>1037</v>
      </c>
      <c r="C433" s="7">
        <v>2</v>
      </c>
      <c r="D433" s="7" t="s">
        <v>2834</v>
      </c>
      <c r="E433" s="7" t="s">
        <v>2834</v>
      </c>
      <c r="F433" s="7" t="s">
        <v>1094</v>
      </c>
      <c r="G433" s="7" t="s">
        <v>1150</v>
      </c>
      <c r="H433" s="7">
        <v>4.7</v>
      </c>
      <c r="I433" s="7" t="s">
        <v>718</v>
      </c>
    </row>
    <row r="434" spans="1:9">
      <c r="A434" s="7" t="s">
        <v>690</v>
      </c>
      <c r="B434" s="7" t="s">
        <v>1037</v>
      </c>
      <c r="C434" s="7">
        <v>2</v>
      </c>
      <c r="D434" s="7" t="s">
        <v>2834</v>
      </c>
      <c r="E434" s="7" t="s">
        <v>2834</v>
      </c>
      <c r="F434" s="7" t="s">
        <v>1094</v>
      </c>
      <c r="G434" s="7" t="s">
        <v>1151</v>
      </c>
      <c r="H434" s="7">
        <v>4.7</v>
      </c>
      <c r="I434" s="7" t="s">
        <v>718</v>
      </c>
    </row>
    <row r="435" spans="1:9">
      <c r="A435" s="7" t="s">
        <v>690</v>
      </c>
      <c r="B435" s="7" t="s">
        <v>1037</v>
      </c>
      <c r="C435" s="7">
        <v>2</v>
      </c>
      <c r="D435" s="7" t="s">
        <v>2834</v>
      </c>
      <c r="E435" s="7" t="s">
        <v>2834</v>
      </c>
      <c r="F435" s="7" t="s">
        <v>1152</v>
      </c>
      <c r="G435" s="7" t="s">
        <v>1153</v>
      </c>
      <c r="H435" s="7">
        <v>4.7</v>
      </c>
      <c r="I435" s="7" t="s">
        <v>718</v>
      </c>
    </row>
    <row r="436" spans="1:9">
      <c r="A436" s="7" t="s">
        <v>690</v>
      </c>
      <c r="B436" s="7" t="s">
        <v>1037</v>
      </c>
      <c r="C436" s="7">
        <v>2</v>
      </c>
      <c r="D436" s="7" t="s">
        <v>2834</v>
      </c>
      <c r="E436" s="7" t="s">
        <v>2834</v>
      </c>
      <c r="F436" s="7" t="s">
        <v>1095</v>
      </c>
      <c r="G436" s="7" t="s">
        <v>1154</v>
      </c>
      <c r="H436" s="7">
        <v>4.7</v>
      </c>
      <c r="I436" s="7" t="s">
        <v>718</v>
      </c>
    </row>
    <row r="437" spans="1:9">
      <c r="A437" s="7" t="s">
        <v>690</v>
      </c>
      <c r="B437" s="7" t="s">
        <v>1037</v>
      </c>
      <c r="C437" s="7">
        <v>2</v>
      </c>
      <c r="D437" s="7" t="s">
        <v>2834</v>
      </c>
      <c r="E437" s="7" t="s">
        <v>2834</v>
      </c>
      <c r="F437" s="7" t="s">
        <v>2855</v>
      </c>
      <c r="G437" s="7" t="s">
        <v>2856</v>
      </c>
      <c r="H437" s="7">
        <v>4.7</v>
      </c>
      <c r="I437" s="7" t="s">
        <v>718</v>
      </c>
    </row>
    <row r="438" spans="1:9">
      <c r="A438" s="7" t="s">
        <v>690</v>
      </c>
      <c r="B438" s="7" t="s">
        <v>1037</v>
      </c>
      <c r="C438" s="7">
        <v>2</v>
      </c>
      <c r="D438" s="7" t="s">
        <v>2834</v>
      </c>
      <c r="E438" s="7" t="s">
        <v>2834</v>
      </c>
      <c r="F438" s="7" t="s">
        <v>2857</v>
      </c>
      <c r="G438" s="7" t="s">
        <v>2858</v>
      </c>
      <c r="H438" s="7">
        <v>4.7</v>
      </c>
      <c r="I438" s="7" t="s">
        <v>718</v>
      </c>
    </row>
    <row r="439" spans="1:9">
      <c r="A439" s="7" t="s">
        <v>690</v>
      </c>
      <c r="B439" s="7" t="s">
        <v>1037</v>
      </c>
      <c r="C439" s="7">
        <v>2</v>
      </c>
      <c r="D439" s="7" t="s">
        <v>2834</v>
      </c>
      <c r="E439" s="7" t="s">
        <v>2834</v>
      </c>
      <c r="F439" s="7" t="s">
        <v>2859</v>
      </c>
      <c r="G439" s="7" t="s">
        <v>2860</v>
      </c>
      <c r="H439" s="7">
        <v>4.7</v>
      </c>
      <c r="I439" s="7" t="s">
        <v>718</v>
      </c>
    </row>
    <row r="440" spans="1:9">
      <c r="A440" s="7" t="s">
        <v>690</v>
      </c>
      <c r="B440" s="7" t="s">
        <v>1037</v>
      </c>
      <c r="C440" s="7">
        <v>2</v>
      </c>
      <c r="D440" s="7" t="s">
        <v>2834</v>
      </c>
      <c r="E440" s="7" t="s">
        <v>2834</v>
      </c>
      <c r="F440" s="7" t="s">
        <v>1155</v>
      </c>
      <c r="G440" s="7" t="s">
        <v>1156</v>
      </c>
      <c r="H440" s="7">
        <v>4.7</v>
      </c>
      <c r="I440" s="7" t="s">
        <v>718</v>
      </c>
    </row>
    <row r="441" spans="1:9">
      <c r="A441" s="7" t="s">
        <v>690</v>
      </c>
      <c r="B441" s="7" t="s">
        <v>1037</v>
      </c>
      <c r="C441" s="7">
        <v>2</v>
      </c>
      <c r="D441" s="7" t="s">
        <v>2834</v>
      </c>
      <c r="E441" s="7" t="s">
        <v>2834</v>
      </c>
      <c r="F441" s="7" t="s">
        <v>1155</v>
      </c>
      <c r="G441" s="7" t="s">
        <v>1157</v>
      </c>
      <c r="H441" s="7">
        <v>4.7</v>
      </c>
      <c r="I441" s="7" t="s">
        <v>718</v>
      </c>
    </row>
    <row r="442" spans="1:9">
      <c r="A442" s="7" t="s">
        <v>690</v>
      </c>
      <c r="B442" s="7" t="s">
        <v>1037</v>
      </c>
      <c r="C442" s="7">
        <v>2</v>
      </c>
      <c r="D442" s="7" t="s">
        <v>2834</v>
      </c>
      <c r="E442" s="7" t="s">
        <v>2834</v>
      </c>
      <c r="F442" s="7" t="s">
        <v>1155</v>
      </c>
      <c r="G442" s="7" t="s">
        <v>1158</v>
      </c>
      <c r="H442" s="7">
        <v>4.7</v>
      </c>
      <c r="I442" s="7" t="s">
        <v>718</v>
      </c>
    </row>
    <row r="443" spans="1:9">
      <c r="A443" s="7" t="s">
        <v>690</v>
      </c>
      <c r="B443" s="7" t="s">
        <v>1037</v>
      </c>
      <c r="C443" s="7">
        <v>2</v>
      </c>
      <c r="D443" s="7" t="s">
        <v>2834</v>
      </c>
      <c r="E443" s="7" t="s">
        <v>2834</v>
      </c>
      <c r="F443" s="7" t="s">
        <v>2861</v>
      </c>
      <c r="G443" s="7" t="s">
        <v>2862</v>
      </c>
      <c r="H443" s="7">
        <v>4.7</v>
      </c>
      <c r="I443" s="7" t="s">
        <v>718</v>
      </c>
    </row>
    <row r="444" spans="1:9">
      <c r="A444" s="7" t="s">
        <v>690</v>
      </c>
      <c r="B444" s="7" t="s">
        <v>1037</v>
      </c>
      <c r="C444" s="7">
        <v>2</v>
      </c>
      <c r="D444" s="7" t="s">
        <v>2834</v>
      </c>
      <c r="E444" s="7" t="s">
        <v>2834</v>
      </c>
      <c r="F444" s="7" t="s">
        <v>2863</v>
      </c>
      <c r="G444" s="7" t="s">
        <v>2864</v>
      </c>
      <c r="H444" s="7">
        <v>4.7</v>
      </c>
      <c r="I444" s="7" t="s">
        <v>718</v>
      </c>
    </row>
    <row r="445" spans="1:9">
      <c r="A445" s="7" t="s">
        <v>690</v>
      </c>
      <c r="B445" s="7" t="s">
        <v>1037</v>
      </c>
      <c r="C445" s="7">
        <v>2</v>
      </c>
      <c r="D445" s="7" t="s">
        <v>2834</v>
      </c>
      <c r="E445" s="7" t="s">
        <v>2834</v>
      </c>
      <c r="F445" s="7" t="s">
        <v>1096</v>
      </c>
      <c r="G445" s="7" t="s">
        <v>1159</v>
      </c>
      <c r="H445" s="7">
        <v>4.7</v>
      </c>
      <c r="I445" s="7" t="s">
        <v>718</v>
      </c>
    </row>
    <row r="446" spans="1:9">
      <c r="A446" s="7" t="s">
        <v>690</v>
      </c>
      <c r="B446" s="7" t="s">
        <v>1037</v>
      </c>
      <c r="C446" s="7">
        <v>2</v>
      </c>
      <c r="D446" s="7" t="s">
        <v>2834</v>
      </c>
      <c r="E446" s="7" t="s">
        <v>2834</v>
      </c>
      <c r="F446" s="7" t="s">
        <v>1096</v>
      </c>
      <c r="G446" s="7" t="s">
        <v>1160</v>
      </c>
      <c r="H446" s="7">
        <v>4.7</v>
      </c>
      <c r="I446" s="7" t="s">
        <v>718</v>
      </c>
    </row>
    <row r="447" spans="1:9">
      <c r="A447" s="7" t="s">
        <v>690</v>
      </c>
      <c r="B447" s="7" t="s">
        <v>1037</v>
      </c>
      <c r="C447" s="7">
        <v>2</v>
      </c>
      <c r="D447" s="7" t="s">
        <v>2834</v>
      </c>
      <c r="E447" s="7" t="s">
        <v>2834</v>
      </c>
      <c r="F447" s="7" t="s">
        <v>2865</v>
      </c>
      <c r="G447" s="7" t="s">
        <v>2866</v>
      </c>
      <c r="H447" s="7">
        <v>4.7</v>
      </c>
      <c r="I447" s="7" t="s">
        <v>718</v>
      </c>
    </row>
    <row r="448" spans="1:9">
      <c r="A448" s="7" t="s">
        <v>690</v>
      </c>
      <c r="B448" s="7" t="s">
        <v>1037</v>
      </c>
      <c r="C448" s="7">
        <v>2</v>
      </c>
      <c r="D448" s="7" t="s">
        <v>2834</v>
      </c>
      <c r="E448" s="7" t="s">
        <v>2834</v>
      </c>
      <c r="F448" s="7" t="s">
        <v>1161</v>
      </c>
      <c r="G448" s="7" t="s">
        <v>1162</v>
      </c>
      <c r="H448" s="7">
        <v>4.7</v>
      </c>
      <c r="I448" s="7" t="s">
        <v>718</v>
      </c>
    </row>
    <row r="449" spans="1:9">
      <c r="A449" s="7" t="s">
        <v>690</v>
      </c>
      <c r="B449" s="7" t="s">
        <v>1037</v>
      </c>
      <c r="C449" s="7">
        <v>2</v>
      </c>
      <c r="D449" s="7" t="s">
        <v>2834</v>
      </c>
      <c r="E449" s="7" t="s">
        <v>2834</v>
      </c>
      <c r="F449" s="7" t="s">
        <v>2839</v>
      </c>
      <c r="G449" s="7" t="s">
        <v>2700</v>
      </c>
      <c r="H449" s="7">
        <v>4.7</v>
      </c>
      <c r="I449" s="7" t="s">
        <v>718</v>
      </c>
    </row>
    <row r="450" spans="1:9">
      <c r="A450" s="7" t="s">
        <v>690</v>
      </c>
      <c r="B450" s="7" t="s">
        <v>1037</v>
      </c>
      <c r="C450" s="7">
        <v>2</v>
      </c>
      <c r="D450" s="7" t="s">
        <v>2834</v>
      </c>
      <c r="E450" s="7" t="s">
        <v>2834</v>
      </c>
      <c r="F450" s="7" t="s">
        <v>2837</v>
      </c>
      <c r="G450" s="7" t="s">
        <v>2700</v>
      </c>
      <c r="H450" s="7">
        <v>4.5</v>
      </c>
      <c r="I450" s="7" t="s">
        <v>718</v>
      </c>
    </row>
    <row r="451" spans="1:9">
      <c r="A451" s="7" t="s">
        <v>690</v>
      </c>
      <c r="B451" s="7" t="s">
        <v>1037</v>
      </c>
      <c r="C451" s="7">
        <v>2</v>
      </c>
      <c r="D451" s="7" t="s">
        <v>2834</v>
      </c>
      <c r="E451" s="7" t="s">
        <v>2834</v>
      </c>
      <c r="F451" s="7" t="s">
        <v>1097</v>
      </c>
      <c r="G451" s="7" t="s">
        <v>1163</v>
      </c>
      <c r="H451" s="7">
        <v>4.7</v>
      </c>
      <c r="I451" s="7" t="s">
        <v>718</v>
      </c>
    </row>
    <row r="452" spans="1:9">
      <c r="A452" s="7" t="s">
        <v>690</v>
      </c>
      <c r="B452" s="7" t="s">
        <v>1037</v>
      </c>
      <c r="C452" s="7">
        <v>2</v>
      </c>
      <c r="D452" s="7" t="s">
        <v>2834</v>
      </c>
      <c r="E452" s="7" t="s">
        <v>2834</v>
      </c>
      <c r="F452" s="7" t="s">
        <v>1164</v>
      </c>
      <c r="G452" s="7" t="s">
        <v>1165</v>
      </c>
      <c r="H452" s="7">
        <v>4.7</v>
      </c>
      <c r="I452" s="7" t="s">
        <v>718</v>
      </c>
    </row>
    <row r="453" spans="1:9">
      <c r="A453" s="7" t="s">
        <v>690</v>
      </c>
      <c r="B453" s="7" t="s">
        <v>1037</v>
      </c>
      <c r="C453" s="7">
        <v>2</v>
      </c>
      <c r="D453" s="7" t="s">
        <v>2834</v>
      </c>
      <c r="E453" s="7" t="s">
        <v>2834</v>
      </c>
      <c r="F453" s="7" t="s">
        <v>1164</v>
      </c>
      <c r="G453" s="7" t="s">
        <v>1126</v>
      </c>
      <c r="H453" s="7">
        <v>4.7</v>
      </c>
      <c r="I453" s="7" t="s">
        <v>718</v>
      </c>
    </row>
    <row r="454" spans="1:9">
      <c r="A454" s="7" t="s">
        <v>690</v>
      </c>
      <c r="B454" s="7" t="s">
        <v>1037</v>
      </c>
      <c r="C454" s="7">
        <v>2</v>
      </c>
      <c r="D454" s="7" t="s">
        <v>2834</v>
      </c>
      <c r="E454" s="7" t="s">
        <v>2834</v>
      </c>
      <c r="F454" s="7" t="s">
        <v>1098</v>
      </c>
      <c r="G454" s="7" t="s">
        <v>1166</v>
      </c>
      <c r="H454" s="7">
        <v>4.5</v>
      </c>
      <c r="I454" s="7" t="s">
        <v>718</v>
      </c>
    </row>
    <row r="455" spans="1:9">
      <c r="A455" s="7" t="s">
        <v>690</v>
      </c>
      <c r="B455" s="7" t="s">
        <v>1037</v>
      </c>
      <c r="C455" s="7">
        <v>2</v>
      </c>
      <c r="D455" s="7" t="s">
        <v>2834</v>
      </c>
      <c r="E455" s="7" t="s">
        <v>2834</v>
      </c>
      <c r="F455" s="7" t="s">
        <v>1098</v>
      </c>
      <c r="G455" s="7" t="s">
        <v>2675</v>
      </c>
      <c r="H455" s="7">
        <v>4.5</v>
      </c>
      <c r="I455" s="7" t="s">
        <v>718</v>
      </c>
    </row>
    <row r="456" spans="1:9">
      <c r="A456" s="7" t="s">
        <v>690</v>
      </c>
      <c r="B456" s="7" t="s">
        <v>1037</v>
      </c>
      <c r="C456" s="7">
        <v>2</v>
      </c>
      <c r="D456" s="7" t="s">
        <v>2834</v>
      </c>
      <c r="E456" s="7" t="s">
        <v>2834</v>
      </c>
      <c r="F456" s="7" t="s">
        <v>1167</v>
      </c>
      <c r="G456" s="7" t="s">
        <v>1083</v>
      </c>
      <c r="H456" s="7">
        <v>4.7</v>
      </c>
      <c r="I456" s="7" t="s">
        <v>718</v>
      </c>
    </row>
    <row r="457" spans="1:9">
      <c r="A457" s="7" t="s">
        <v>690</v>
      </c>
      <c r="B457" s="7" t="s">
        <v>1037</v>
      </c>
      <c r="C457" s="7">
        <v>2</v>
      </c>
      <c r="D457" s="7" t="s">
        <v>2834</v>
      </c>
      <c r="E457" s="7" t="s">
        <v>2834</v>
      </c>
      <c r="F457" s="7" t="s">
        <v>1099</v>
      </c>
      <c r="G457" s="7" t="s">
        <v>1100</v>
      </c>
      <c r="H457" s="7">
        <v>4.7</v>
      </c>
      <c r="I457" s="7" t="s">
        <v>718</v>
      </c>
    </row>
    <row r="458" spans="1:9">
      <c r="A458" s="7" t="s">
        <v>690</v>
      </c>
      <c r="B458" s="7" t="s">
        <v>1037</v>
      </c>
      <c r="C458" s="7">
        <v>2</v>
      </c>
      <c r="D458" s="7" t="s">
        <v>2834</v>
      </c>
      <c r="E458" s="7" t="s">
        <v>2834</v>
      </c>
      <c r="F458" s="7" t="s">
        <v>2867</v>
      </c>
      <c r="G458" s="7" t="s">
        <v>2868</v>
      </c>
      <c r="H458" s="7">
        <v>4.7</v>
      </c>
      <c r="I458" s="7" t="s">
        <v>718</v>
      </c>
    </row>
    <row r="459" spans="1:9">
      <c r="A459" s="7" t="s">
        <v>690</v>
      </c>
      <c r="B459" s="7" t="s">
        <v>1037</v>
      </c>
      <c r="C459" s="7">
        <v>2</v>
      </c>
      <c r="D459" s="7" t="s">
        <v>2834</v>
      </c>
      <c r="E459" s="7" t="s">
        <v>2834</v>
      </c>
      <c r="F459" s="7" t="s">
        <v>2869</v>
      </c>
      <c r="G459" s="7" t="s">
        <v>2870</v>
      </c>
      <c r="H459" s="7">
        <v>4.7</v>
      </c>
      <c r="I459" s="7" t="s">
        <v>718</v>
      </c>
    </row>
    <row r="460" spans="1:9">
      <c r="A460" s="7" t="s">
        <v>690</v>
      </c>
      <c r="B460" s="7" t="s">
        <v>1037</v>
      </c>
      <c r="C460" s="7">
        <v>2</v>
      </c>
      <c r="D460" s="7" t="s">
        <v>2834</v>
      </c>
      <c r="E460" s="7" t="s">
        <v>2834</v>
      </c>
      <c r="F460" s="7" t="s">
        <v>2871</v>
      </c>
      <c r="G460" s="7" t="s">
        <v>2870</v>
      </c>
      <c r="H460" s="7">
        <v>4.7</v>
      </c>
      <c r="I460" s="7" t="s">
        <v>718</v>
      </c>
    </row>
    <row r="461" spans="1:9">
      <c r="A461" s="7" t="s">
        <v>690</v>
      </c>
      <c r="B461" s="7" t="s">
        <v>1037</v>
      </c>
      <c r="C461" s="7">
        <v>2</v>
      </c>
      <c r="D461" s="7" t="s">
        <v>2834</v>
      </c>
      <c r="E461" s="7" t="s">
        <v>2834</v>
      </c>
      <c r="F461" s="7" t="s">
        <v>2872</v>
      </c>
      <c r="G461" s="7" t="s">
        <v>1894</v>
      </c>
      <c r="H461" s="7">
        <v>4.7</v>
      </c>
      <c r="I461" s="7" t="s">
        <v>718</v>
      </c>
    </row>
    <row r="462" spans="1:9">
      <c r="A462" s="7" t="s">
        <v>690</v>
      </c>
      <c r="B462" s="7" t="s">
        <v>1037</v>
      </c>
      <c r="C462" s="7">
        <v>2</v>
      </c>
      <c r="D462" s="7" t="s">
        <v>2834</v>
      </c>
      <c r="E462" s="7" t="s">
        <v>2834</v>
      </c>
      <c r="F462" s="7" t="s">
        <v>1101</v>
      </c>
      <c r="G462" s="7" t="s">
        <v>1102</v>
      </c>
      <c r="H462" s="7">
        <v>4.7</v>
      </c>
      <c r="I462" s="7" t="s">
        <v>718</v>
      </c>
    </row>
    <row r="463" spans="1:9">
      <c r="A463" s="7" t="s">
        <v>690</v>
      </c>
      <c r="B463" s="7" t="s">
        <v>1037</v>
      </c>
      <c r="C463" s="7">
        <v>2</v>
      </c>
      <c r="D463" s="7" t="s">
        <v>2834</v>
      </c>
      <c r="E463" s="7" t="s">
        <v>2834</v>
      </c>
      <c r="F463" s="7" t="s">
        <v>1101</v>
      </c>
      <c r="G463" s="7" t="s">
        <v>1103</v>
      </c>
      <c r="H463" s="7">
        <v>4.7</v>
      </c>
      <c r="I463" s="7" t="s">
        <v>718</v>
      </c>
    </row>
    <row r="464" spans="1:9">
      <c r="A464" s="7" t="s">
        <v>690</v>
      </c>
      <c r="B464" s="7" t="s">
        <v>1037</v>
      </c>
      <c r="C464" s="7">
        <v>2</v>
      </c>
      <c r="D464" s="7" t="s">
        <v>2834</v>
      </c>
      <c r="E464" s="7" t="s">
        <v>2834</v>
      </c>
      <c r="F464" s="7" t="s">
        <v>1104</v>
      </c>
      <c r="G464" s="7" t="s">
        <v>1105</v>
      </c>
      <c r="H464" s="7">
        <v>4.7</v>
      </c>
      <c r="I464" s="7" t="s">
        <v>718</v>
      </c>
    </row>
    <row r="465" spans="1:9">
      <c r="A465" s="7" t="s">
        <v>690</v>
      </c>
      <c r="B465" s="7" t="s">
        <v>1037</v>
      </c>
      <c r="C465" s="7">
        <v>2</v>
      </c>
      <c r="D465" s="7" t="s">
        <v>2834</v>
      </c>
      <c r="E465" s="7" t="s">
        <v>2834</v>
      </c>
      <c r="F465" s="7" t="s">
        <v>1104</v>
      </c>
      <c r="G465" s="7" t="s">
        <v>1106</v>
      </c>
      <c r="H465" s="7">
        <v>4.7</v>
      </c>
      <c r="I465" s="7" t="s">
        <v>718</v>
      </c>
    </row>
    <row r="466" spans="1:9">
      <c r="A466" s="7" t="s">
        <v>690</v>
      </c>
      <c r="B466" s="7" t="s">
        <v>1037</v>
      </c>
      <c r="C466" s="7">
        <v>2</v>
      </c>
      <c r="D466" s="7" t="s">
        <v>2834</v>
      </c>
      <c r="E466" s="7" t="s">
        <v>2834</v>
      </c>
      <c r="F466" s="7" t="s">
        <v>2873</v>
      </c>
      <c r="G466" s="7" t="s">
        <v>1286</v>
      </c>
      <c r="H466" s="7">
        <v>4.7</v>
      </c>
      <c r="I466" s="7" t="s">
        <v>718</v>
      </c>
    </row>
    <row r="467" spans="1:9">
      <c r="A467" s="7" t="s">
        <v>690</v>
      </c>
      <c r="B467" s="7" t="s">
        <v>1037</v>
      </c>
      <c r="C467" s="7">
        <v>2</v>
      </c>
      <c r="D467" s="7" t="s">
        <v>2834</v>
      </c>
      <c r="E467" s="7" t="s">
        <v>2834</v>
      </c>
      <c r="F467" s="7" t="s">
        <v>1168</v>
      </c>
      <c r="G467" s="7" t="s">
        <v>1107</v>
      </c>
      <c r="H467" s="7">
        <v>4.7</v>
      </c>
      <c r="I467" s="7" t="s">
        <v>718</v>
      </c>
    </row>
    <row r="468" spans="1:9">
      <c r="A468" s="7" t="s">
        <v>690</v>
      </c>
      <c r="B468" s="7" t="s">
        <v>1037</v>
      </c>
      <c r="C468" s="7">
        <v>2</v>
      </c>
      <c r="D468" s="7" t="s">
        <v>2834</v>
      </c>
      <c r="E468" s="7" t="s">
        <v>2834</v>
      </c>
      <c r="F468" s="7" t="s">
        <v>1169</v>
      </c>
      <c r="G468" s="7" t="s">
        <v>1108</v>
      </c>
      <c r="H468" s="7">
        <v>4.7</v>
      </c>
      <c r="I468" s="7" t="s">
        <v>718</v>
      </c>
    </row>
    <row r="469" spans="1:9">
      <c r="A469" s="7" t="s">
        <v>690</v>
      </c>
      <c r="B469" s="7" t="s">
        <v>1037</v>
      </c>
      <c r="C469" s="7">
        <v>2</v>
      </c>
      <c r="D469" s="7" t="s">
        <v>2834</v>
      </c>
      <c r="E469" s="7" t="s">
        <v>2834</v>
      </c>
      <c r="F469" s="7" t="s">
        <v>1109</v>
      </c>
      <c r="G469" s="7" t="s">
        <v>1110</v>
      </c>
      <c r="H469" s="7">
        <v>4.7</v>
      </c>
      <c r="I469" s="7" t="s">
        <v>718</v>
      </c>
    </row>
    <row r="470" spans="1:9">
      <c r="A470" s="7" t="s">
        <v>690</v>
      </c>
      <c r="B470" s="7" t="s">
        <v>1037</v>
      </c>
      <c r="C470" s="7">
        <v>2</v>
      </c>
      <c r="D470" s="7" t="s">
        <v>2834</v>
      </c>
      <c r="E470" s="7" t="s">
        <v>2834</v>
      </c>
      <c r="F470" s="7" t="s">
        <v>1170</v>
      </c>
      <c r="G470" s="7" t="s">
        <v>1890</v>
      </c>
      <c r="H470" s="7">
        <v>4.7</v>
      </c>
      <c r="I470" s="7" t="s">
        <v>718</v>
      </c>
    </row>
    <row r="471" spans="1:9">
      <c r="A471" s="7" t="s">
        <v>690</v>
      </c>
      <c r="B471" s="7" t="s">
        <v>1037</v>
      </c>
      <c r="C471" s="7">
        <v>2</v>
      </c>
      <c r="D471" s="7" t="s">
        <v>2834</v>
      </c>
      <c r="E471" s="7" t="s">
        <v>2834</v>
      </c>
      <c r="F471" s="7" t="s">
        <v>1250</v>
      </c>
      <c r="G471" s="7" t="s">
        <v>1891</v>
      </c>
      <c r="H471" s="7">
        <v>4.7</v>
      </c>
      <c r="I471" s="7" t="s">
        <v>718</v>
      </c>
    </row>
    <row r="472" spans="1:9">
      <c r="A472" s="7" t="s">
        <v>690</v>
      </c>
      <c r="B472" s="7" t="s">
        <v>1037</v>
      </c>
      <c r="C472" s="7">
        <v>2</v>
      </c>
      <c r="D472" s="7" t="s">
        <v>2834</v>
      </c>
      <c r="E472" s="7" t="s">
        <v>2834</v>
      </c>
      <c r="F472" s="7" t="s">
        <v>1447</v>
      </c>
      <c r="G472" s="7" t="s">
        <v>1892</v>
      </c>
      <c r="H472" s="7">
        <v>4.7</v>
      </c>
      <c r="I472" s="7" t="s">
        <v>718</v>
      </c>
    </row>
    <row r="473" spans="1:9">
      <c r="A473" s="7" t="s">
        <v>690</v>
      </c>
      <c r="B473" s="7" t="s">
        <v>1037</v>
      </c>
      <c r="C473" s="7">
        <v>2</v>
      </c>
      <c r="D473" s="7" t="s">
        <v>2834</v>
      </c>
      <c r="E473" s="7" t="s">
        <v>2834</v>
      </c>
      <c r="F473" s="7" t="s">
        <v>1111</v>
      </c>
      <c r="G473" s="7" t="s">
        <v>1893</v>
      </c>
      <c r="H473" s="7">
        <v>4.7</v>
      </c>
      <c r="I473" s="7" t="s">
        <v>718</v>
      </c>
    </row>
    <row r="474" spans="1:9">
      <c r="A474" s="7" t="s">
        <v>690</v>
      </c>
      <c r="B474" s="7" t="s">
        <v>1037</v>
      </c>
      <c r="C474" s="7">
        <v>2</v>
      </c>
      <c r="D474" s="7" t="s">
        <v>2834</v>
      </c>
      <c r="E474" s="7" t="s">
        <v>2834</v>
      </c>
      <c r="F474" s="7" t="s">
        <v>1171</v>
      </c>
      <c r="G474" s="7" t="s">
        <v>1112</v>
      </c>
      <c r="H474" s="7">
        <v>4.7</v>
      </c>
      <c r="I474" s="7" t="s">
        <v>718</v>
      </c>
    </row>
    <row r="475" spans="1:9">
      <c r="A475" s="7" t="s">
        <v>690</v>
      </c>
      <c r="B475" s="7" t="s">
        <v>1037</v>
      </c>
      <c r="C475" s="7">
        <v>2</v>
      </c>
      <c r="D475" s="7" t="s">
        <v>2834</v>
      </c>
      <c r="E475" s="7" t="s">
        <v>2834</v>
      </c>
      <c r="F475" s="7" t="s">
        <v>2838</v>
      </c>
      <c r="G475" s="7" t="s">
        <v>1064</v>
      </c>
      <c r="H475" s="7">
        <v>4.5</v>
      </c>
      <c r="I475" s="7" t="s">
        <v>718</v>
      </c>
    </row>
    <row r="476" spans="1:9">
      <c r="A476" s="7" t="s">
        <v>690</v>
      </c>
      <c r="B476" s="7" t="s">
        <v>1037</v>
      </c>
      <c r="C476" s="7">
        <v>2</v>
      </c>
      <c r="D476" s="7" t="s">
        <v>2834</v>
      </c>
      <c r="E476" s="7" t="s">
        <v>2834</v>
      </c>
      <c r="F476" s="7" t="s">
        <v>2838</v>
      </c>
      <c r="G476" s="7" t="s">
        <v>1065</v>
      </c>
      <c r="H476" s="7">
        <v>4.5</v>
      </c>
      <c r="I476" s="7" t="s">
        <v>718</v>
      </c>
    </row>
    <row r="477" spans="1:9">
      <c r="A477" s="7" t="s">
        <v>690</v>
      </c>
      <c r="B477" s="7" t="s">
        <v>1037</v>
      </c>
      <c r="C477" s="7">
        <v>2</v>
      </c>
      <c r="D477" s="7" t="s">
        <v>2834</v>
      </c>
      <c r="E477" s="7" t="s">
        <v>2834</v>
      </c>
      <c r="F477" s="7" t="s">
        <v>2838</v>
      </c>
      <c r="G477" s="7" t="s">
        <v>1066</v>
      </c>
      <c r="H477" s="7">
        <v>4.5</v>
      </c>
      <c r="I477" s="7" t="s">
        <v>718</v>
      </c>
    </row>
    <row r="478" spans="1:9">
      <c r="A478" s="7" t="s">
        <v>690</v>
      </c>
      <c r="B478" s="7" t="s">
        <v>1037</v>
      </c>
      <c r="C478" s="7">
        <v>2</v>
      </c>
      <c r="D478" s="7" t="s">
        <v>2834</v>
      </c>
      <c r="E478" s="7" t="s">
        <v>2834</v>
      </c>
      <c r="F478" s="7" t="s">
        <v>2838</v>
      </c>
      <c r="G478" s="7" t="s">
        <v>1067</v>
      </c>
      <c r="H478" s="7">
        <v>4.5</v>
      </c>
      <c r="I478" s="7" t="s">
        <v>718</v>
      </c>
    </row>
    <row r="479" spans="1:9">
      <c r="A479" s="7" t="s">
        <v>690</v>
      </c>
      <c r="B479" s="7" t="s">
        <v>1037</v>
      </c>
      <c r="C479" s="7">
        <v>2</v>
      </c>
      <c r="D479" s="7" t="s">
        <v>2834</v>
      </c>
      <c r="E479" s="7" t="s">
        <v>2834</v>
      </c>
      <c r="F479" s="7" t="s">
        <v>2838</v>
      </c>
      <c r="G479" s="7" t="s">
        <v>1068</v>
      </c>
      <c r="H479" s="7">
        <v>4.5</v>
      </c>
      <c r="I479" s="7" t="s">
        <v>718</v>
      </c>
    </row>
    <row r="480" spans="1:9">
      <c r="A480" s="7" t="s">
        <v>690</v>
      </c>
      <c r="B480" s="7" t="s">
        <v>1037</v>
      </c>
      <c r="C480" s="7">
        <v>2</v>
      </c>
      <c r="D480" s="7" t="s">
        <v>2834</v>
      </c>
      <c r="E480" s="7" t="s">
        <v>2834</v>
      </c>
      <c r="F480" s="7" t="s">
        <v>2838</v>
      </c>
      <c r="G480" s="7" t="s">
        <v>1069</v>
      </c>
      <c r="H480" s="7">
        <v>4.5</v>
      </c>
      <c r="I480" s="7" t="s">
        <v>718</v>
      </c>
    </row>
    <row r="481" spans="1:9">
      <c r="A481" s="7" t="s">
        <v>690</v>
      </c>
      <c r="B481" s="7" t="s">
        <v>1037</v>
      </c>
      <c r="C481" s="7">
        <v>2</v>
      </c>
      <c r="D481" s="7" t="s">
        <v>2834</v>
      </c>
      <c r="E481" s="7" t="s">
        <v>2834</v>
      </c>
      <c r="F481" s="7" t="s">
        <v>705</v>
      </c>
      <c r="G481" s="7" t="s">
        <v>2700</v>
      </c>
      <c r="H481" s="7">
        <v>4.7</v>
      </c>
      <c r="I481" s="7" t="s">
        <v>718</v>
      </c>
    </row>
    <row r="482" spans="1:9">
      <c r="A482" s="7" t="s">
        <v>690</v>
      </c>
      <c r="B482" s="7" t="s">
        <v>1037</v>
      </c>
      <c r="C482" s="7">
        <v>2</v>
      </c>
      <c r="D482" s="7" t="s">
        <v>2834</v>
      </c>
      <c r="E482" s="7" t="s">
        <v>2834</v>
      </c>
      <c r="F482" s="7" t="s">
        <v>1113</v>
      </c>
      <c r="G482" s="7" t="s">
        <v>1114</v>
      </c>
      <c r="H482" s="7">
        <v>4.7</v>
      </c>
      <c r="I482" s="7" t="s">
        <v>718</v>
      </c>
    </row>
    <row r="483" spans="1:9">
      <c r="A483" s="7" t="s">
        <v>690</v>
      </c>
      <c r="B483" s="7" t="s">
        <v>1037</v>
      </c>
      <c r="C483" s="7">
        <v>2</v>
      </c>
      <c r="D483" s="7" t="s">
        <v>2834</v>
      </c>
      <c r="E483" s="7" t="s">
        <v>2834</v>
      </c>
      <c r="F483" s="7" t="s">
        <v>1113</v>
      </c>
      <c r="G483" s="7" t="s">
        <v>1115</v>
      </c>
      <c r="H483" s="7">
        <v>4.7</v>
      </c>
      <c r="I483" s="7" t="s">
        <v>718</v>
      </c>
    </row>
    <row r="484" spans="1:9">
      <c r="A484" s="7" t="s">
        <v>690</v>
      </c>
      <c r="B484" s="7" t="s">
        <v>1037</v>
      </c>
      <c r="C484" s="7">
        <v>2</v>
      </c>
      <c r="D484" s="7" t="s">
        <v>2834</v>
      </c>
      <c r="E484" s="7" t="s">
        <v>2834</v>
      </c>
      <c r="F484" s="7" t="s">
        <v>1116</v>
      </c>
      <c r="G484" s="7" t="s">
        <v>1117</v>
      </c>
      <c r="H484" s="7">
        <v>4.5</v>
      </c>
      <c r="I484" s="7" t="s">
        <v>718</v>
      </c>
    </row>
    <row r="485" spans="1:9">
      <c r="A485" s="7" t="s">
        <v>690</v>
      </c>
      <c r="B485" s="7" t="s">
        <v>1037</v>
      </c>
      <c r="C485" s="7">
        <v>2</v>
      </c>
      <c r="D485" s="7" t="s">
        <v>2834</v>
      </c>
      <c r="E485" s="7" t="s">
        <v>2834</v>
      </c>
      <c r="F485" s="7" t="s">
        <v>1118</v>
      </c>
      <c r="G485" s="7" t="s">
        <v>1119</v>
      </c>
      <c r="H485" s="7">
        <v>4.7</v>
      </c>
      <c r="I485" s="7" t="s">
        <v>718</v>
      </c>
    </row>
    <row r="486" spans="1:9">
      <c r="A486" s="7" t="s">
        <v>690</v>
      </c>
      <c r="B486" s="7" t="s">
        <v>1037</v>
      </c>
      <c r="C486" s="7">
        <v>2</v>
      </c>
      <c r="D486" s="7" t="s">
        <v>2834</v>
      </c>
      <c r="E486" s="7" t="s">
        <v>2834</v>
      </c>
      <c r="F486" s="7" t="s">
        <v>1120</v>
      </c>
      <c r="G486" s="7" t="s">
        <v>1121</v>
      </c>
      <c r="H486" s="7">
        <v>4.7</v>
      </c>
      <c r="I486" s="7" t="s">
        <v>718</v>
      </c>
    </row>
    <row r="487" spans="1:9">
      <c r="A487" s="7" t="s">
        <v>690</v>
      </c>
      <c r="B487" s="7" t="s">
        <v>1037</v>
      </c>
      <c r="C487" s="7">
        <v>2</v>
      </c>
      <c r="D487" s="7" t="s">
        <v>2834</v>
      </c>
      <c r="E487" s="7" t="s">
        <v>2834</v>
      </c>
      <c r="F487" s="7" t="s">
        <v>1120</v>
      </c>
      <c r="G487" s="7" t="s">
        <v>2875</v>
      </c>
      <c r="H487" s="7">
        <v>4.7</v>
      </c>
      <c r="I487" s="7" t="s">
        <v>718</v>
      </c>
    </row>
    <row r="488" spans="1:9">
      <c r="A488" s="7" t="s">
        <v>690</v>
      </c>
      <c r="B488" s="7" t="s">
        <v>1037</v>
      </c>
      <c r="C488" s="7">
        <v>2</v>
      </c>
      <c r="D488" s="7" t="s">
        <v>2834</v>
      </c>
      <c r="E488" s="7" t="s">
        <v>2834</v>
      </c>
      <c r="F488" s="7" t="s">
        <v>1120</v>
      </c>
      <c r="G488" s="7" t="s">
        <v>2874</v>
      </c>
      <c r="H488" s="7">
        <v>4.7</v>
      </c>
      <c r="I488" s="7" t="s">
        <v>718</v>
      </c>
    </row>
    <row r="489" spans="1:9">
      <c r="A489" s="7" t="s">
        <v>690</v>
      </c>
      <c r="B489" s="7" t="s">
        <v>1037</v>
      </c>
      <c r="C489" s="7">
        <v>2</v>
      </c>
      <c r="D489" s="7" t="s">
        <v>2834</v>
      </c>
      <c r="E489" s="7" t="s">
        <v>2834</v>
      </c>
      <c r="F489" s="7" t="s">
        <v>405</v>
      </c>
      <c r="G489" s="7" t="s">
        <v>1122</v>
      </c>
      <c r="H489" s="7">
        <v>4.7</v>
      </c>
      <c r="I489" s="7" t="s">
        <v>718</v>
      </c>
    </row>
    <row r="490" spans="1:9">
      <c r="A490" s="7" t="s">
        <v>690</v>
      </c>
      <c r="B490" s="7" t="s">
        <v>1037</v>
      </c>
      <c r="C490" s="7">
        <v>2</v>
      </c>
      <c r="D490" s="7" t="s">
        <v>2834</v>
      </c>
      <c r="E490" s="7" t="s">
        <v>2834</v>
      </c>
      <c r="F490" s="7" t="s">
        <v>405</v>
      </c>
      <c r="G490" s="7" t="s">
        <v>413</v>
      </c>
      <c r="H490" s="7">
        <v>4.7</v>
      </c>
      <c r="I490" s="7" t="s">
        <v>718</v>
      </c>
    </row>
    <row r="491" spans="1:9">
      <c r="A491" s="7" t="s">
        <v>690</v>
      </c>
      <c r="B491" s="7" t="s">
        <v>1037</v>
      </c>
      <c r="C491" s="7">
        <v>2</v>
      </c>
      <c r="D491" s="7" t="s">
        <v>2834</v>
      </c>
      <c r="E491" s="7" t="s">
        <v>2834</v>
      </c>
      <c r="F491" s="7" t="s">
        <v>405</v>
      </c>
      <c r="G491" s="7" t="s">
        <v>412</v>
      </c>
      <c r="H491" s="7">
        <v>4.7</v>
      </c>
      <c r="I491" s="7" t="s">
        <v>718</v>
      </c>
    </row>
    <row r="492" spans="1:9">
      <c r="A492" s="7" t="s">
        <v>690</v>
      </c>
      <c r="B492" s="7" t="s">
        <v>1037</v>
      </c>
      <c r="C492" s="7">
        <v>2</v>
      </c>
      <c r="D492" s="7" t="s">
        <v>2834</v>
      </c>
      <c r="E492" s="7" t="s">
        <v>2834</v>
      </c>
      <c r="F492" s="7" t="s">
        <v>405</v>
      </c>
      <c r="G492" s="7" t="s">
        <v>414</v>
      </c>
      <c r="H492" s="7">
        <v>4.7</v>
      </c>
      <c r="I492" s="7" t="s">
        <v>718</v>
      </c>
    </row>
    <row r="493" spans="1:9">
      <c r="A493" s="7" t="s">
        <v>690</v>
      </c>
      <c r="B493" s="7" t="s">
        <v>1037</v>
      </c>
      <c r="C493" s="7">
        <v>2</v>
      </c>
      <c r="D493" s="7" t="s">
        <v>2834</v>
      </c>
      <c r="E493" s="7" t="s">
        <v>2834</v>
      </c>
      <c r="F493" s="7" t="s">
        <v>405</v>
      </c>
      <c r="G493" s="7" t="s">
        <v>415</v>
      </c>
      <c r="H493" s="7">
        <v>4.7</v>
      </c>
      <c r="I493" s="7" t="s">
        <v>718</v>
      </c>
    </row>
    <row r="494" spans="1:9">
      <c r="A494" s="7" t="s">
        <v>690</v>
      </c>
      <c r="B494" s="7" t="s">
        <v>1037</v>
      </c>
      <c r="C494" s="7">
        <v>2</v>
      </c>
      <c r="D494" s="7" t="s">
        <v>2834</v>
      </c>
      <c r="E494" s="7" t="s">
        <v>2834</v>
      </c>
      <c r="F494" s="7" t="s">
        <v>2876</v>
      </c>
      <c r="G494" s="7" t="s">
        <v>2877</v>
      </c>
      <c r="H494" s="7">
        <v>4.7</v>
      </c>
      <c r="I494" s="7" t="s">
        <v>718</v>
      </c>
    </row>
    <row r="495" spans="1:9">
      <c r="A495" s="7" t="s">
        <v>690</v>
      </c>
      <c r="B495" s="7" t="s">
        <v>1037</v>
      </c>
      <c r="C495" s="7">
        <v>2</v>
      </c>
      <c r="D495" s="7" t="s">
        <v>2834</v>
      </c>
      <c r="E495" s="7" t="s">
        <v>2878</v>
      </c>
      <c r="F495" s="7" t="s">
        <v>280</v>
      </c>
      <c r="G495" s="7" t="s">
        <v>2879</v>
      </c>
      <c r="H495" s="7">
        <v>4.2</v>
      </c>
      <c r="I495" s="7" t="s">
        <v>718</v>
      </c>
    </row>
    <row r="496" spans="1:9">
      <c r="A496" s="7" t="s">
        <v>690</v>
      </c>
      <c r="B496" s="7" t="s">
        <v>1037</v>
      </c>
      <c r="C496" s="7">
        <v>2</v>
      </c>
      <c r="D496" s="7" t="s">
        <v>2834</v>
      </c>
      <c r="E496" s="7" t="s">
        <v>2878</v>
      </c>
      <c r="F496" s="7" t="s">
        <v>280</v>
      </c>
      <c r="G496" s="7" t="s">
        <v>2880</v>
      </c>
      <c r="H496" s="7">
        <v>4.2</v>
      </c>
      <c r="I496" s="7" t="s">
        <v>718</v>
      </c>
    </row>
    <row r="497" spans="1:9">
      <c r="A497" s="7" t="s">
        <v>690</v>
      </c>
      <c r="B497" s="7" t="s">
        <v>1037</v>
      </c>
      <c r="C497" s="7">
        <v>2</v>
      </c>
      <c r="D497" s="7" t="s">
        <v>2834</v>
      </c>
      <c r="E497" s="7" t="s">
        <v>2878</v>
      </c>
      <c r="F497" s="7" t="s">
        <v>280</v>
      </c>
      <c r="G497" s="7" t="s">
        <v>2881</v>
      </c>
      <c r="H497" s="7">
        <v>4.2</v>
      </c>
      <c r="I497" s="7" t="s">
        <v>718</v>
      </c>
    </row>
    <row r="498" spans="1:9">
      <c r="A498" s="7" t="s">
        <v>690</v>
      </c>
      <c r="B498" s="7" t="s">
        <v>1037</v>
      </c>
      <c r="C498" s="7">
        <v>2</v>
      </c>
      <c r="D498" s="7" t="s">
        <v>2834</v>
      </c>
      <c r="E498" s="7" t="s">
        <v>2878</v>
      </c>
      <c r="F498" s="7" t="s">
        <v>280</v>
      </c>
      <c r="G498" s="7" t="s">
        <v>2882</v>
      </c>
      <c r="H498" s="7">
        <v>4.2</v>
      </c>
      <c r="I498" s="7" t="s">
        <v>718</v>
      </c>
    </row>
    <row r="499" spans="1:9">
      <c r="A499" s="7" t="s">
        <v>690</v>
      </c>
      <c r="B499" s="7" t="s">
        <v>1037</v>
      </c>
      <c r="C499" s="7">
        <v>2</v>
      </c>
      <c r="D499" s="7" t="s">
        <v>2834</v>
      </c>
      <c r="E499" s="7" t="s">
        <v>2878</v>
      </c>
      <c r="F499" s="7" t="s">
        <v>280</v>
      </c>
      <c r="G499" s="7" t="s">
        <v>1300</v>
      </c>
      <c r="H499" s="7">
        <v>4.2</v>
      </c>
      <c r="I499" s="7" t="s">
        <v>718</v>
      </c>
    </row>
    <row r="500" spans="1:9">
      <c r="A500" s="7" t="s">
        <v>690</v>
      </c>
      <c r="B500" s="7" t="s">
        <v>1037</v>
      </c>
      <c r="C500" s="7">
        <v>2</v>
      </c>
      <c r="D500" s="7" t="s">
        <v>2834</v>
      </c>
      <c r="E500" s="7" t="s">
        <v>2878</v>
      </c>
      <c r="F500" s="7" t="s">
        <v>2883</v>
      </c>
      <c r="G500" s="7" t="s">
        <v>2884</v>
      </c>
      <c r="H500" s="7">
        <v>4.2</v>
      </c>
      <c r="I500" s="7" t="s">
        <v>718</v>
      </c>
    </row>
    <row r="501" spans="1:9">
      <c r="A501" s="7" t="s">
        <v>690</v>
      </c>
      <c r="B501" s="7" t="s">
        <v>1037</v>
      </c>
      <c r="C501" s="7">
        <v>2</v>
      </c>
      <c r="D501" s="7" t="s">
        <v>2834</v>
      </c>
      <c r="E501" s="7" t="s">
        <v>2878</v>
      </c>
      <c r="F501" s="7" t="s">
        <v>279</v>
      </c>
      <c r="G501" s="7" t="s">
        <v>2885</v>
      </c>
      <c r="H501" s="7">
        <v>4.2</v>
      </c>
      <c r="I501" s="7" t="s">
        <v>718</v>
      </c>
    </row>
    <row r="502" spans="1:9">
      <c r="A502" s="7" t="s">
        <v>690</v>
      </c>
      <c r="B502" s="7" t="s">
        <v>1037</v>
      </c>
      <c r="C502" s="7">
        <v>2</v>
      </c>
      <c r="D502" s="7" t="s">
        <v>2834</v>
      </c>
      <c r="E502" s="7" t="s">
        <v>2878</v>
      </c>
      <c r="F502" s="7" t="s">
        <v>279</v>
      </c>
      <c r="G502" s="7" t="s">
        <v>2886</v>
      </c>
      <c r="H502" s="7">
        <v>4.2</v>
      </c>
      <c r="I502" s="7" t="s">
        <v>718</v>
      </c>
    </row>
    <row r="503" spans="1:9">
      <c r="A503" s="7" t="s">
        <v>690</v>
      </c>
      <c r="B503" s="7" t="s">
        <v>1037</v>
      </c>
      <c r="C503" s="7">
        <v>2</v>
      </c>
      <c r="D503" s="7" t="s">
        <v>2834</v>
      </c>
      <c r="E503" s="7" t="s">
        <v>2878</v>
      </c>
      <c r="F503" s="7" t="s">
        <v>279</v>
      </c>
      <c r="G503" s="7" t="s">
        <v>2887</v>
      </c>
      <c r="H503" s="7">
        <v>4.2</v>
      </c>
      <c r="I503" s="7" t="s">
        <v>718</v>
      </c>
    </row>
    <row r="504" spans="1:9">
      <c r="A504" s="7" t="s">
        <v>690</v>
      </c>
      <c r="B504" s="7" t="s">
        <v>1037</v>
      </c>
      <c r="C504" s="7">
        <v>2</v>
      </c>
      <c r="D504" s="7" t="s">
        <v>2834</v>
      </c>
      <c r="E504" s="7" t="s">
        <v>2878</v>
      </c>
      <c r="F504" s="7" t="s">
        <v>279</v>
      </c>
      <c r="G504" s="7" t="s">
        <v>2888</v>
      </c>
      <c r="H504" s="7">
        <v>4.2</v>
      </c>
      <c r="I504" s="7" t="s">
        <v>718</v>
      </c>
    </row>
    <row r="505" spans="1:9">
      <c r="A505" s="7" t="s">
        <v>690</v>
      </c>
      <c r="B505" s="7" t="s">
        <v>1037</v>
      </c>
      <c r="C505" s="7">
        <v>2</v>
      </c>
      <c r="D505" s="7" t="s">
        <v>2834</v>
      </c>
      <c r="E505" s="7" t="s">
        <v>2878</v>
      </c>
      <c r="F505" s="7" t="s">
        <v>279</v>
      </c>
      <c r="G505" s="7" t="s">
        <v>2889</v>
      </c>
      <c r="H505" s="7">
        <v>4.2</v>
      </c>
      <c r="I505" s="7" t="s">
        <v>718</v>
      </c>
    </row>
    <row r="506" spans="1:9">
      <c r="A506" s="7" t="s">
        <v>690</v>
      </c>
      <c r="B506" s="7" t="s">
        <v>1037</v>
      </c>
      <c r="C506" s="7">
        <v>2</v>
      </c>
      <c r="D506" s="7" t="s">
        <v>2834</v>
      </c>
      <c r="E506" s="7" t="s">
        <v>2878</v>
      </c>
      <c r="F506" s="7" t="s">
        <v>396</v>
      </c>
      <c r="G506" s="7" t="s">
        <v>2880</v>
      </c>
      <c r="H506" s="7">
        <v>4.2</v>
      </c>
      <c r="I506" s="7" t="s">
        <v>718</v>
      </c>
    </row>
    <row r="507" spans="1:9">
      <c r="A507" s="7" t="s">
        <v>690</v>
      </c>
      <c r="B507" s="7" t="s">
        <v>1037</v>
      </c>
      <c r="C507" s="7">
        <v>2</v>
      </c>
      <c r="D507" s="7" t="s">
        <v>2834</v>
      </c>
      <c r="E507" s="7" t="s">
        <v>2878</v>
      </c>
      <c r="F507" s="7" t="s">
        <v>396</v>
      </c>
      <c r="G507" s="7" t="s">
        <v>2880</v>
      </c>
      <c r="H507" s="7">
        <v>4.2</v>
      </c>
      <c r="I507" s="7" t="s">
        <v>718</v>
      </c>
    </row>
    <row r="508" spans="1:9">
      <c r="A508" s="7" t="s">
        <v>690</v>
      </c>
      <c r="B508" s="7" t="s">
        <v>1037</v>
      </c>
      <c r="C508" s="7">
        <v>2</v>
      </c>
      <c r="D508" s="7" t="s">
        <v>2834</v>
      </c>
      <c r="E508" s="7" t="s">
        <v>2878</v>
      </c>
      <c r="F508" s="7" t="s">
        <v>396</v>
      </c>
      <c r="G508" s="7" t="s">
        <v>2890</v>
      </c>
      <c r="H508" s="7">
        <v>4.2</v>
      </c>
      <c r="I508" s="7" t="s">
        <v>718</v>
      </c>
    </row>
    <row r="509" spans="1:9">
      <c r="A509" s="7" t="s">
        <v>690</v>
      </c>
      <c r="B509" s="7" t="s">
        <v>1037</v>
      </c>
      <c r="C509" s="7">
        <v>2</v>
      </c>
      <c r="D509" s="7" t="s">
        <v>2834</v>
      </c>
      <c r="E509" s="7" t="s">
        <v>2878</v>
      </c>
      <c r="F509" s="7" t="s">
        <v>396</v>
      </c>
      <c r="G509" s="7" t="s">
        <v>2890</v>
      </c>
      <c r="H509" s="7">
        <v>4.2</v>
      </c>
      <c r="I509" s="7" t="s">
        <v>718</v>
      </c>
    </row>
    <row r="510" spans="1:9">
      <c r="A510" s="7" t="s">
        <v>690</v>
      </c>
      <c r="B510" s="7" t="s">
        <v>1037</v>
      </c>
      <c r="C510" s="7">
        <v>2</v>
      </c>
      <c r="D510" s="7" t="s">
        <v>2834</v>
      </c>
      <c r="E510" s="7" t="s">
        <v>2878</v>
      </c>
      <c r="F510" s="7" t="s">
        <v>396</v>
      </c>
      <c r="G510" s="7" t="s">
        <v>2891</v>
      </c>
      <c r="H510" s="7">
        <v>4.2</v>
      </c>
      <c r="I510" s="7" t="s">
        <v>718</v>
      </c>
    </row>
    <row r="511" spans="1:9">
      <c r="A511" s="7" t="s">
        <v>690</v>
      </c>
      <c r="B511" s="7" t="s">
        <v>1037</v>
      </c>
      <c r="C511" s="7">
        <v>2</v>
      </c>
      <c r="D511" s="7" t="s">
        <v>2834</v>
      </c>
      <c r="E511" s="7" t="s">
        <v>2878</v>
      </c>
      <c r="F511" s="7" t="s">
        <v>396</v>
      </c>
      <c r="G511" s="7" t="s">
        <v>2891</v>
      </c>
      <c r="H511" s="7">
        <v>4.2</v>
      </c>
      <c r="I511" s="7" t="s">
        <v>718</v>
      </c>
    </row>
    <row r="512" spans="1:9">
      <c r="A512" s="7" t="s">
        <v>690</v>
      </c>
      <c r="B512" s="7" t="s">
        <v>1037</v>
      </c>
      <c r="C512" s="7">
        <v>2</v>
      </c>
      <c r="D512" s="7" t="s">
        <v>2834</v>
      </c>
      <c r="E512" s="7" t="s">
        <v>2878</v>
      </c>
      <c r="F512" s="7" t="s">
        <v>396</v>
      </c>
      <c r="G512" s="7" t="s">
        <v>2892</v>
      </c>
      <c r="H512" s="7">
        <v>4.2</v>
      </c>
      <c r="I512" s="7" t="s">
        <v>718</v>
      </c>
    </row>
    <row r="513" spans="1:9">
      <c r="A513" s="7" t="s">
        <v>690</v>
      </c>
      <c r="B513" s="7" t="s">
        <v>1037</v>
      </c>
      <c r="C513" s="7">
        <v>2</v>
      </c>
      <c r="D513" s="7" t="s">
        <v>2834</v>
      </c>
      <c r="E513" s="7" t="s">
        <v>2878</v>
      </c>
      <c r="F513" s="7" t="s">
        <v>396</v>
      </c>
      <c r="G513" s="7" t="s">
        <v>2892</v>
      </c>
      <c r="H513" s="7">
        <v>4.2</v>
      </c>
      <c r="I513" s="7" t="s">
        <v>718</v>
      </c>
    </row>
    <row r="514" spans="1:9">
      <c r="A514" s="7" t="s">
        <v>690</v>
      </c>
      <c r="B514" s="7" t="s">
        <v>1037</v>
      </c>
      <c r="C514" s="7">
        <v>2</v>
      </c>
      <c r="D514" s="7" t="s">
        <v>2834</v>
      </c>
      <c r="E514" s="7" t="s">
        <v>2878</v>
      </c>
      <c r="F514" s="7" t="s">
        <v>2893</v>
      </c>
      <c r="G514" s="7" t="s">
        <v>2700</v>
      </c>
      <c r="H514" s="7">
        <v>4.2</v>
      </c>
      <c r="I514" s="7" t="s">
        <v>718</v>
      </c>
    </row>
    <row r="515" spans="1:9">
      <c r="A515" s="7" t="s">
        <v>690</v>
      </c>
      <c r="B515" s="7" t="s">
        <v>1037</v>
      </c>
      <c r="C515" s="7">
        <v>2</v>
      </c>
      <c r="D515" s="7" t="s">
        <v>2834</v>
      </c>
      <c r="E515" s="7" t="s">
        <v>2878</v>
      </c>
      <c r="F515" s="7" t="s">
        <v>402</v>
      </c>
      <c r="G515" s="7" t="s">
        <v>1044</v>
      </c>
      <c r="H515" s="7">
        <v>4.2</v>
      </c>
      <c r="I515" s="7" t="s">
        <v>718</v>
      </c>
    </row>
    <row r="516" spans="1:9">
      <c r="A516" s="7" t="s">
        <v>690</v>
      </c>
      <c r="B516" s="7" t="s">
        <v>1037</v>
      </c>
      <c r="C516" s="7">
        <v>2</v>
      </c>
      <c r="D516" s="7" t="s">
        <v>2834</v>
      </c>
      <c r="E516" s="7" t="s">
        <v>2878</v>
      </c>
      <c r="F516" s="7" t="s">
        <v>402</v>
      </c>
      <c r="G516" s="7" t="s">
        <v>1044</v>
      </c>
      <c r="H516" s="7">
        <v>4.2</v>
      </c>
      <c r="I516" s="7" t="s">
        <v>718</v>
      </c>
    </row>
    <row r="517" spans="1:9">
      <c r="A517" s="7" t="s">
        <v>690</v>
      </c>
      <c r="B517" s="7" t="s">
        <v>1037</v>
      </c>
      <c r="C517" s="7">
        <v>2</v>
      </c>
      <c r="D517" s="7" t="s">
        <v>2834</v>
      </c>
      <c r="E517" s="7" t="s">
        <v>2878</v>
      </c>
      <c r="F517" s="7" t="s">
        <v>403</v>
      </c>
      <c r="G517" s="7" t="s">
        <v>2894</v>
      </c>
      <c r="H517" s="7">
        <v>4.2</v>
      </c>
      <c r="I517" s="7" t="s">
        <v>718</v>
      </c>
    </row>
    <row r="518" spans="1:9">
      <c r="A518" s="7" t="s">
        <v>690</v>
      </c>
      <c r="B518" s="7" t="s">
        <v>1037</v>
      </c>
      <c r="C518" s="7">
        <v>2</v>
      </c>
      <c r="D518" s="7" t="s">
        <v>2834</v>
      </c>
      <c r="E518" s="7" t="s">
        <v>2878</v>
      </c>
      <c r="F518" s="7" t="s">
        <v>403</v>
      </c>
      <c r="G518" s="7" t="s">
        <v>2881</v>
      </c>
      <c r="H518" s="7">
        <v>4.2</v>
      </c>
      <c r="I518" s="7" t="s">
        <v>718</v>
      </c>
    </row>
    <row r="519" spans="1:9">
      <c r="A519" s="7" t="s">
        <v>690</v>
      </c>
      <c r="B519" s="7" t="s">
        <v>1037</v>
      </c>
      <c r="C519" s="7">
        <v>2</v>
      </c>
      <c r="D519" s="7" t="s">
        <v>2834</v>
      </c>
      <c r="E519" s="7" t="s">
        <v>2878</v>
      </c>
      <c r="F519" s="7" t="s">
        <v>403</v>
      </c>
      <c r="G519" s="7" t="s">
        <v>2881</v>
      </c>
      <c r="H519" s="7">
        <v>4.2</v>
      </c>
      <c r="I519" s="7" t="s">
        <v>718</v>
      </c>
    </row>
    <row r="520" spans="1:9">
      <c r="A520" s="7" t="s">
        <v>690</v>
      </c>
      <c r="B520" s="7" t="s">
        <v>1037</v>
      </c>
      <c r="C520" s="7">
        <v>2</v>
      </c>
      <c r="D520" s="7" t="s">
        <v>2834</v>
      </c>
      <c r="E520" s="7" t="s">
        <v>2878</v>
      </c>
      <c r="F520" s="7" t="s">
        <v>1049</v>
      </c>
      <c r="G520" s="7" t="s">
        <v>2895</v>
      </c>
      <c r="H520" s="7">
        <v>4.2</v>
      </c>
      <c r="I520" s="7" t="s">
        <v>718</v>
      </c>
    </row>
    <row r="521" spans="1:9">
      <c r="A521" s="7" t="s">
        <v>690</v>
      </c>
      <c r="B521" s="7" t="s">
        <v>1037</v>
      </c>
      <c r="C521" s="7">
        <v>2</v>
      </c>
      <c r="D521" s="7" t="s">
        <v>2834</v>
      </c>
      <c r="E521" s="7" t="s">
        <v>2878</v>
      </c>
      <c r="F521" s="7" t="s">
        <v>1049</v>
      </c>
      <c r="G521" s="7" t="s">
        <v>2895</v>
      </c>
      <c r="H521" s="7">
        <v>4.2</v>
      </c>
      <c r="I521" s="7" t="s">
        <v>718</v>
      </c>
    </row>
    <row r="522" spans="1:9">
      <c r="A522" s="7" t="s">
        <v>690</v>
      </c>
      <c r="B522" s="7" t="s">
        <v>1037</v>
      </c>
      <c r="C522" s="7">
        <v>2</v>
      </c>
      <c r="D522" s="7" t="s">
        <v>2834</v>
      </c>
      <c r="E522" s="7" t="s">
        <v>2878</v>
      </c>
      <c r="F522" s="7" t="s">
        <v>2896</v>
      </c>
      <c r="G522" s="7" t="s">
        <v>2897</v>
      </c>
      <c r="H522" s="7">
        <v>4.2</v>
      </c>
      <c r="I522" s="7" t="s">
        <v>718</v>
      </c>
    </row>
    <row r="523" spans="1:9">
      <c r="A523" s="7" t="s">
        <v>19</v>
      </c>
      <c r="B523" s="7" t="s">
        <v>3053</v>
      </c>
      <c r="C523" s="7">
        <v>1</v>
      </c>
      <c r="D523" s="7" t="s">
        <v>1227</v>
      </c>
      <c r="E523" s="7" t="s">
        <v>1227</v>
      </c>
      <c r="F523" s="7" t="s">
        <v>989</v>
      </c>
      <c r="G523" s="7" t="s">
        <v>990</v>
      </c>
      <c r="H523" s="7">
        <v>6.3</v>
      </c>
      <c r="I523" s="7" t="s">
        <v>719</v>
      </c>
    </row>
    <row r="524" spans="1:9">
      <c r="A524" s="7" t="s">
        <v>19</v>
      </c>
      <c r="B524" s="7" t="s">
        <v>3053</v>
      </c>
      <c r="C524" s="7">
        <v>1</v>
      </c>
      <c r="D524" s="7" t="s">
        <v>1227</v>
      </c>
      <c r="E524" s="7" t="s">
        <v>1227</v>
      </c>
      <c r="F524" s="7" t="s">
        <v>989</v>
      </c>
      <c r="G524" s="7" t="s">
        <v>991</v>
      </c>
      <c r="H524" s="7">
        <v>6.3</v>
      </c>
      <c r="I524" s="7" t="s">
        <v>719</v>
      </c>
    </row>
    <row r="525" spans="1:9">
      <c r="A525" s="7" t="s">
        <v>19</v>
      </c>
      <c r="B525" s="7" t="s">
        <v>3053</v>
      </c>
      <c r="C525" s="7">
        <v>1</v>
      </c>
      <c r="D525" s="7" t="s">
        <v>1227</v>
      </c>
      <c r="E525" s="7" t="s">
        <v>1227</v>
      </c>
      <c r="F525" s="7" t="s">
        <v>989</v>
      </c>
      <c r="G525" s="7" t="s">
        <v>2903</v>
      </c>
      <c r="H525" s="7">
        <v>6.3</v>
      </c>
      <c r="I525" s="7" t="s">
        <v>719</v>
      </c>
    </row>
    <row r="526" spans="1:9">
      <c r="A526" s="7" t="s">
        <v>19</v>
      </c>
      <c r="B526" s="7" t="s">
        <v>3053</v>
      </c>
      <c r="C526" s="7">
        <v>1</v>
      </c>
      <c r="D526" s="7" t="s">
        <v>1227</v>
      </c>
      <c r="E526" s="7" t="s">
        <v>1227</v>
      </c>
      <c r="F526" s="7" t="s">
        <v>989</v>
      </c>
      <c r="G526" s="7" t="s">
        <v>2693</v>
      </c>
      <c r="H526" s="7">
        <v>6.3</v>
      </c>
      <c r="I526" s="7" t="s">
        <v>719</v>
      </c>
    </row>
    <row r="527" spans="1:9">
      <c r="A527" s="7" t="s">
        <v>19</v>
      </c>
      <c r="B527" s="7" t="s">
        <v>3053</v>
      </c>
      <c r="C527" s="7">
        <v>1</v>
      </c>
      <c r="D527" s="7" t="s">
        <v>1227</v>
      </c>
      <c r="E527" s="7" t="s">
        <v>1227</v>
      </c>
      <c r="F527" s="7" t="s">
        <v>989</v>
      </c>
      <c r="G527" s="7" t="s">
        <v>206</v>
      </c>
      <c r="H527" s="7">
        <v>6.5</v>
      </c>
      <c r="I527" s="7" t="s">
        <v>719</v>
      </c>
    </row>
    <row r="528" spans="1:9">
      <c r="A528" s="7" t="s">
        <v>19</v>
      </c>
      <c r="B528" s="7" t="s">
        <v>3053</v>
      </c>
      <c r="C528" s="7">
        <v>1</v>
      </c>
      <c r="D528" s="7" t="s">
        <v>1227</v>
      </c>
      <c r="E528" s="7" t="s">
        <v>1227</v>
      </c>
      <c r="F528" s="7" t="s">
        <v>2904</v>
      </c>
      <c r="G528" s="7" t="s">
        <v>2700</v>
      </c>
      <c r="H528" s="7">
        <v>5.6</v>
      </c>
      <c r="I528" s="7" t="s">
        <v>718</v>
      </c>
    </row>
    <row r="529" spans="1:9">
      <c r="A529" s="7" t="s">
        <v>19</v>
      </c>
      <c r="B529" s="7" t="s">
        <v>3053</v>
      </c>
      <c r="C529" s="7">
        <v>1</v>
      </c>
      <c r="D529" s="7" t="s">
        <v>1227</v>
      </c>
      <c r="E529" s="7" t="s">
        <v>1227</v>
      </c>
      <c r="F529" s="7" t="s">
        <v>988</v>
      </c>
      <c r="G529" s="7" t="s">
        <v>2901</v>
      </c>
      <c r="H529" s="7">
        <v>5.6</v>
      </c>
      <c r="I529" s="7" t="s">
        <v>718</v>
      </c>
    </row>
    <row r="530" spans="1:9">
      <c r="A530" s="7" t="s">
        <v>19</v>
      </c>
      <c r="B530" s="7" t="s">
        <v>3053</v>
      </c>
      <c r="C530" s="7">
        <v>1</v>
      </c>
      <c r="D530" s="7" t="s">
        <v>1227</v>
      </c>
      <c r="E530" s="7" t="s">
        <v>1227</v>
      </c>
      <c r="F530" s="7" t="s">
        <v>988</v>
      </c>
      <c r="G530" s="7" t="s">
        <v>2902</v>
      </c>
      <c r="H530" s="7">
        <v>5.6</v>
      </c>
      <c r="I530" s="7" t="s">
        <v>718</v>
      </c>
    </row>
    <row r="531" spans="1:9">
      <c r="A531" s="7" t="s">
        <v>19</v>
      </c>
      <c r="B531" s="7" t="s">
        <v>3053</v>
      </c>
      <c r="C531" s="7">
        <v>1</v>
      </c>
      <c r="D531" s="7" t="s">
        <v>1227</v>
      </c>
      <c r="E531" s="7" t="s">
        <v>1227</v>
      </c>
      <c r="F531" s="7" t="s">
        <v>988</v>
      </c>
      <c r="G531" s="7" t="s">
        <v>2898</v>
      </c>
      <c r="H531" s="7">
        <v>5.6</v>
      </c>
      <c r="I531" s="7" t="s">
        <v>718</v>
      </c>
    </row>
    <row r="532" spans="1:9">
      <c r="A532" s="7" t="s">
        <v>19</v>
      </c>
      <c r="B532" s="7" t="s">
        <v>3053</v>
      </c>
      <c r="C532" s="7">
        <v>1</v>
      </c>
      <c r="D532" s="7" t="s">
        <v>1227</v>
      </c>
      <c r="E532" s="7" t="s">
        <v>1227</v>
      </c>
      <c r="F532" s="7" t="s">
        <v>988</v>
      </c>
      <c r="G532" s="7" t="s">
        <v>2900</v>
      </c>
      <c r="H532" s="7">
        <v>5.6</v>
      </c>
      <c r="I532" s="7" t="s">
        <v>718</v>
      </c>
    </row>
    <row r="533" spans="1:9">
      <c r="A533" s="7" t="s">
        <v>19</v>
      </c>
      <c r="B533" s="7" t="s">
        <v>3053</v>
      </c>
      <c r="C533" s="7">
        <v>1</v>
      </c>
      <c r="D533" s="7" t="s">
        <v>1227</v>
      </c>
      <c r="E533" s="7" t="s">
        <v>1227</v>
      </c>
      <c r="F533" s="7" t="s">
        <v>988</v>
      </c>
      <c r="G533" s="7" t="s">
        <v>2899</v>
      </c>
      <c r="H533" s="7">
        <v>5.6</v>
      </c>
      <c r="I533" s="7" t="s">
        <v>718</v>
      </c>
    </row>
    <row r="534" spans="1:9">
      <c r="A534" s="7" t="s">
        <v>19</v>
      </c>
      <c r="B534" s="7" t="s">
        <v>3053</v>
      </c>
      <c r="C534" s="7">
        <v>2</v>
      </c>
      <c r="D534" s="7" t="s">
        <v>1030</v>
      </c>
      <c r="E534" s="7" t="s">
        <v>1030</v>
      </c>
      <c r="F534" s="7" t="s">
        <v>992</v>
      </c>
      <c r="G534" s="7" t="s">
        <v>993</v>
      </c>
      <c r="H534" s="7">
        <v>5.4</v>
      </c>
      <c r="I534" s="7" t="s">
        <v>718</v>
      </c>
    </row>
    <row r="535" spans="1:9">
      <c r="A535" s="7" t="s">
        <v>19</v>
      </c>
      <c r="B535" s="7" t="s">
        <v>3053</v>
      </c>
      <c r="C535" s="7">
        <v>2</v>
      </c>
      <c r="D535" s="7" t="s">
        <v>1030</v>
      </c>
      <c r="E535" s="7" t="s">
        <v>1030</v>
      </c>
      <c r="F535" s="7" t="s">
        <v>992</v>
      </c>
      <c r="G535" s="7" t="s">
        <v>994</v>
      </c>
      <c r="H535" s="7">
        <v>5.4</v>
      </c>
      <c r="I535" s="7" t="s">
        <v>718</v>
      </c>
    </row>
    <row r="536" spans="1:9">
      <c r="A536" s="7" t="s">
        <v>19</v>
      </c>
      <c r="B536" s="7" t="s">
        <v>3053</v>
      </c>
      <c r="C536" s="7">
        <v>2</v>
      </c>
      <c r="D536" s="7" t="s">
        <v>1030</v>
      </c>
      <c r="E536" s="7" t="s">
        <v>1030</v>
      </c>
      <c r="F536" s="7" t="s">
        <v>992</v>
      </c>
      <c r="G536" s="7" t="s">
        <v>2905</v>
      </c>
      <c r="H536" s="7">
        <v>5.4</v>
      </c>
      <c r="I536" s="7" t="s">
        <v>718</v>
      </c>
    </row>
    <row r="537" spans="1:9">
      <c r="A537" s="7" t="s">
        <v>19</v>
      </c>
      <c r="B537" s="7" t="s">
        <v>3053</v>
      </c>
      <c r="C537" s="7">
        <v>2</v>
      </c>
      <c r="D537" s="7" t="s">
        <v>1030</v>
      </c>
      <c r="E537" s="7" t="s">
        <v>1030</v>
      </c>
      <c r="F537" s="7" t="s">
        <v>992</v>
      </c>
      <c r="G537" s="7" t="s">
        <v>995</v>
      </c>
      <c r="H537" s="7">
        <v>5.4</v>
      </c>
      <c r="I537" s="7" t="s">
        <v>718</v>
      </c>
    </row>
    <row r="538" spans="1:9">
      <c r="A538" s="7" t="s">
        <v>19</v>
      </c>
      <c r="B538" s="7" t="s">
        <v>3053</v>
      </c>
      <c r="C538" s="7">
        <v>2</v>
      </c>
      <c r="D538" s="7" t="s">
        <v>1030</v>
      </c>
      <c r="E538" s="7" t="s">
        <v>1030</v>
      </c>
      <c r="F538" s="7" t="s">
        <v>992</v>
      </c>
      <c r="G538" s="7" t="s">
        <v>383</v>
      </c>
      <c r="H538" s="7">
        <v>5.4</v>
      </c>
      <c r="I538" s="7" t="s">
        <v>718</v>
      </c>
    </row>
    <row r="539" spans="1:9">
      <c r="A539" s="7" t="s">
        <v>19</v>
      </c>
      <c r="B539" s="7" t="s">
        <v>3053</v>
      </c>
      <c r="C539" s="7">
        <v>2</v>
      </c>
      <c r="D539" s="7" t="s">
        <v>1030</v>
      </c>
      <c r="E539" s="7" t="s">
        <v>1030</v>
      </c>
      <c r="F539" s="7" t="s">
        <v>992</v>
      </c>
      <c r="G539" s="7" t="s">
        <v>384</v>
      </c>
      <c r="H539" s="7">
        <v>5.4</v>
      </c>
      <c r="I539" s="7" t="s">
        <v>718</v>
      </c>
    </row>
    <row r="540" spans="1:9">
      <c r="A540" s="7" t="s">
        <v>19</v>
      </c>
      <c r="B540" s="7" t="s">
        <v>3053</v>
      </c>
      <c r="C540" s="7">
        <v>2</v>
      </c>
      <c r="D540" s="7" t="s">
        <v>1030</v>
      </c>
      <c r="E540" s="7" t="s">
        <v>1030</v>
      </c>
      <c r="F540" s="7" t="s">
        <v>992</v>
      </c>
      <c r="G540" s="7" t="s">
        <v>2700</v>
      </c>
      <c r="H540" s="7">
        <v>5.4</v>
      </c>
      <c r="I540" s="7" t="s">
        <v>718</v>
      </c>
    </row>
    <row r="541" spans="1:9">
      <c r="A541" s="7" t="s">
        <v>19</v>
      </c>
      <c r="B541" s="7" t="s">
        <v>3053</v>
      </c>
      <c r="C541" s="7">
        <v>3</v>
      </c>
      <c r="D541" s="7" t="s">
        <v>458</v>
      </c>
      <c r="E541" s="7" t="s">
        <v>458</v>
      </c>
      <c r="F541" s="7" t="s">
        <v>2911</v>
      </c>
      <c r="G541" s="7" t="s">
        <v>191</v>
      </c>
      <c r="H541" s="7">
        <v>6.6</v>
      </c>
      <c r="I541" s="7" t="s">
        <v>719</v>
      </c>
    </row>
    <row r="542" spans="1:9">
      <c r="A542" s="7" t="s">
        <v>19</v>
      </c>
      <c r="B542" s="7" t="s">
        <v>3053</v>
      </c>
      <c r="C542" s="7">
        <v>3</v>
      </c>
      <c r="D542" s="7" t="s">
        <v>458</v>
      </c>
      <c r="E542" s="7" t="s">
        <v>458</v>
      </c>
      <c r="F542" s="7" t="s">
        <v>2911</v>
      </c>
      <c r="G542" s="7" t="s">
        <v>2693</v>
      </c>
      <c r="H542" s="7">
        <v>6.6</v>
      </c>
      <c r="I542" s="7" t="s">
        <v>719</v>
      </c>
    </row>
    <row r="543" spans="1:9">
      <c r="A543" s="7" t="s">
        <v>19</v>
      </c>
      <c r="B543" s="7" t="s">
        <v>3053</v>
      </c>
      <c r="C543" s="7">
        <v>3</v>
      </c>
      <c r="D543" s="7" t="s">
        <v>458</v>
      </c>
      <c r="E543" s="7" t="s">
        <v>458</v>
      </c>
      <c r="F543" s="7" t="s">
        <v>2911</v>
      </c>
      <c r="G543" s="7" t="s">
        <v>206</v>
      </c>
      <c r="H543" s="7">
        <v>6.5</v>
      </c>
      <c r="I543" s="7" t="s">
        <v>719</v>
      </c>
    </row>
    <row r="544" spans="1:9">
      <c r="A544" s="7" t="s">
        <v>19</v>
      </c>
      <c r="B544" s="7" t="s">
        <v>3053</v>
      </c>
      <c r="C544" s="7">
        <v>3</v>
      </c>
      <c r="D544" s="7" t="s">
        <v>458</v>
      </c>
      <c r="E544" s="7" t="s">
        <v>458</v>
      </c>
      <c r="F544" s="7" t="s">
        <v>1004</v>
      </c>
      <c r="G544" s="7" t="s">
        <v>2700</v>
      </c>
      <c r="H544" s="7">
        <v>5.5</v>
      </c>
      <c r="I544" s="7" t="s">
        <v>718</v>
      </c>
    </row>
    <row r="545" spans="1:9">
      <c r="A545" s="7" t="s">
        <v>19</v>
      </c>
      <c r="B545" s="7" t="s">
        <v>3053</v>
      </c>
      <c r="C545" s="7">
        <v>3</v>
      </c>
      <c r="D545" s="7" t="s">
        <v>458</v>
      </c>
      <c r="E545" s="7" t="s">
        <v>458</v>
      </c>
      <c r="F545" s="7" t="s">
        <v>3051</v>
      </c>
      <c r="G545" s="7" t="s">
        <v>191</v>
      </c>
      <c r="H545" s="7">
        <v>6.6</v>
      </c>
      <c r="I545" s="7" t="s">
        <v>719</v>
      </c>
    </row>
    <row r="546" spans="1:9">
      <c r="A546" s="7" t="s">
        <v>19</v>
      </c>
      <c r="B546" s="7" t="s">
        <v>3053</v>
      </c>
      <c r="C546" s="7">
        <v>3</v>
      </c>
      <c r="D546" s="7" t="s">
        <v>458</v>
      </c>
      <c r="E546" s="7" t="s">
        <v>458</v>
      </c>
      <c r="F546" s="7" t="s">
        <v>3051</v>
      </c>
      <c r="G546" s="7" t="s">
        <v>2693</v>
      </c>
      <c r="H546" s="7">
        <v>6.6</v>
      </c>
      <c r="I546" s="7" t="s">
        <v>719</v>
      </c>
    </row>
    <row r="547" spans="1:9">
      <c r="A547" s="7" t="s">
        <v>19</v>
      </c>
      <c r="B547" s="7" t="s">
        <v>3053</v>
      </c>
      <c r="C547" s="7">
        <v>3</v>
      </c>
      <c r="D547" s="7" t="s">
        <v>458</v>
      </c>
      <c r="E547" s="7" t="s">
        <v>458</v>
      </c>
      <c r="F547" s="7" t="s">
        <v>3051</v>
      </c>
      <c r="G547" s="7" t="s">
        <v>206</v>
      </c>
      <c r="H547" s="7">
        <v>6.5</v>
      </c>
      <c r="I547" s="7" t="s">
        <v>719</v>
      </c>
    </row>
    <row r="548" spans="1:9">
      <c r="A548" s="7" t="s">
        <v>19</v>
      </c>
      <c r="B548" s="7" t="s">
        <v>3053</v>
      </c>
      <c r="C548" s="7">
        <v>3</v>
      </c>
      <c r="D548" s="7" t="s">
        <v>458</v>
      </c>
      <c r="E548" s="7" t="s">
        <v>458</v>
      </c>
      <c r="F548" s="7" t="s">
        <v>382</v>
      </c>
      <c r="G548" s="7" t="s">
        <v>2906</v>
      </c>
      <c r="H548" s="7">
        <v>5.5</v>
      </c>
      <c r="I548" s="7" t="s">
        <v>718</v>
      </c>
    </row>
    <row r="549" spans="1:9">
      <c r="A549" s="7" t="s">
        <v>19</v>
      </c>
      <c r="B549" s="7" t="s">
        <v>3053</v>
      </c>
      <c r="C549" s="7">
        <v>3</v>
      </c>
      <c r="D549" s="7" t="s">
        <v>458</v>
      </c>
      <c r="E549" s="7" t="s">
        <v>458</v>
      </c>
      <c r="F549" s="7" t="s">
        <v>382</v>
      </c>
      <c r="G549" s="7" t="s">
        <v>1006</v>
      </c>
      <c r="H549" s="7">
        <v>5.5</v>
      </c>
      <c r="I549" s="7" t="s">
        <v>718</v>
      </c>
    </row>
    <row r="550" spans="1:9">
      <c r="A550" s="7" t="s">
        <v>19</v>
      </c>
      <c r="B550" s="7" t="s">
        <v>3053</v>
      </c>
      <c r="C550" s="7">
        <v>3</v>
      </c>
      <c r="D550" s="7" t="s">
        <v>458</v>
      </c>
      <c r="E550" s="7" t="s">
        <v>458</v>
      </c>
      <c r="F550" s="7" t="s">
        <v>382</v>
      </c>
      <c r="G550" s="7" t="s">
        <v>1007</v>
      </c>
      <c r="H550" s="7">
        <v>5.5</v>
      </c>
      <c r="I550" s="7" t="s">
        <v>718</v>
      </c>
    </row>
    <row r="551" spans="1:9">
      <c r="A551" s="7" t="s">
        <v>19</v>
      </c>
      <c r="B551" s="7" t="s">
        <v>3053</v>
      </c>
      <c r="C551" s="7">
        <v>3</v>
      </c>
      <c r="D551" s="7" t="s">
        <v>458</v>
      </c>
      <c r="E551" s="7" t="s">
        <v>458</v>
      </c>
      <c r="F551" s="7" t="s">
        <v>382</v>
      </c>
      <c r="G551" s="7" t="s">
        <v>2910</v>
      </c>
      <c r="H551" s="7">
        <v>5.5</v>
      </c>
      <c r="I551" s="7" t="s">
        <v>718</v>
      </c>
    </row>
    <row r="552" spans="1:9">
      <c r="A552" s="7" t="s">
        <v>19</v>
      </c>
      <c r="B552" s="7" t="s">
        <v>3053</v>
      </c>
      <c r="C552" s="7">
        <v>3</v>
      </c>
      <c r="D552" s="7" t="s">
        <v>458</v>
      </c>
      <c r="E552" s="7" t="s">
        <v>458</v>
      </c>
      <c r="F552" s="7" t="s">
        <v>382</v>
      </c>
      <c r="G552" s="7" t="s">
        <v>2909</v>
      </c>
      <c r="H552" s="7">
        <v>5.5</v>
      </c>
      <c r="I552" s="7" t="s">
        <v>718</v>
      </c>
    </row>
    <row r="553" spans="1:9">
      <c r="A553" s="7" t="s">
        <v>19</v>
      </c>
      <c r="B553" s="7" t="s">
        <v>3053</v>
      </c>
      <c r="C553" s="7">
        <v>3</v>
      </c>
      <c r="D553" s="7" t="s">
        <v>458</v>
      </c>
      <c r="E553" s="7" t="s">
        <v>458</v>
      </c>
      <c r="F553" s="7" t="s">
        <v>382</v>
      </c>
      <c r="G553" s="7" t="s">
        <v>1008</v>
      </c>
      <c r="H553" s="7">
        <v>5.5</v>
      </c>
      <c r="I553" s="7" t="s">
        <v>718</v>
      </c>
    </row>
    <row r="554" spans="1:9">
      <c r="A554" s="7" t="s">
        <v>19</v>
      </c>
      <c r="B554" s="7" t="s">
        <v>3053</v>
      </c>
      <c r="C554" s="7">
        <v>3</v>
      </c>
      <c r="D554" s="7" t="s">
        <v>458</v>
      </c>
      <c r="E554" s="7" t="s">
        <v>458</v>
      </c>
      <c r="F554" s="7" t="s">
        <v>382</v>
      </c>
      <c r="G554" s="7" t="s">
        <v>2907</v>
      </c>
      <c r="H554" s="7">
        <v>5.5</v>
      </c>
      <c r="I554" s="7" t="s">
        <v>718</v>
      </c>
    </row>
    <row r="555" spans="1:9">
      <c r="A555" s="7" t="s">
        <v>19</v>
      </c>
      <c r="B555" s="7" t="s">
        <v>3053</v>
      </c>
      <c r="C555" s="7">
        <v>3</v>
      </c>
      <c r="D555" s="7" t="s">
        <v>458</v>
      </c>
      <c r="E555" s="7" t="s">
        <v>458</v>
      </c>
      <c r="F555" s="7" t="s">
        <v>382</v>
      </c>
      <c r="G555" s="7" t="s">
        <v>1009</v>
      </c>
      <c r="H555" s="7">
        <v>5.5</v>
      </c>
      <c r="I555" s="7" t="s">
        <v>718</v>
      </c>
    </row>
    <row r="556" spans="1:9">
      <c r="A556" s="7" t="s">
        <v>19</v>
      </c>
      <c r="B556" s="7" t="s">
        <v>3053</v>
      </c>
      <c r="C556" s="7">
        <v>3</v>
      </c>
      <c r="D556" s="7" t="s">
        <v>458</v>
      </c>
      <c r="E556" s="7" t="s">
        <v>458</v>
      </c>
      <c r="F556" s="7" t="s">
        <v>382</v>
      </c>
      <c r="G556" s="7" t="s">
        <v>1010</v>
      </c>
      <c r="H556" s="7">
        <v>5.5</v>
      </c>
      <c r="I556" s="7" t="s">
        <v>718</v>
      </c>
    </row>
    <row r="557" spans="1:9">
      <c r="A557" s="7" t="s">
        <v>19</v>
      </c>
      <c r="B557" s="7" t="s">
        <v>3053</v>
      </c>
      <c r="C557" s="7">
        <v>3</v>
      </c>
      <c r="D557" s="7" t="s">
        <v>458</v>
      </c>
      <c r="E557" s="7" t="s">
        <v>458</v>
      </c>
      <c r="F557" s="7" t="s">
        <v>382</v>
      </c>
      <c r="G557" s="7" t="s">
        <v>2700</v>
      </c>
      <c r="H557" s="7">
        <v>5.5</v>
      </c>
      <c r="I557" s="7" t="s">
        <v>718</v>
      </c>
    </row>
    <row r="558" spans="1:9">
      <c r="A558" s="7" t="s">
        <v>19</v>
      </c>
      <c r="B558" s="7" t="s">
        <v>3053</v>
      </c>
      <c r="C558" s="7">
        <v>3</v>
      </c>
      <c r="D558" s="7" t="s">
        <v>458</v>
      </c>
      <c r="E558" s="7" t="s">
        <v>458</v>
      </c>
      <c r="F558" s="7" t="s">
        <v>382</v>
      </c>
      <c r="G558" s="7" t="s">
        <v>1011</v>
      </c>
      <c r="H558" s="7">
        <v>5.5</v>
      </c>
      <c r="I558" s="7" t="s">
        <v>718</v>
      </c>
    </row>
    <row r="559" spans="1:9">
      <c r="A559" s="7" t="s">
        <v>19</v>
      </c>
      <c r="B559" s="7" t="s">
        <v>3053</v>
      </c>
      <c r="C559" s="7">
        <v>3</v>
      </c>
      <c r="D559" s="7" t="s">
        <v>458</v>
      </c>
      <c r="E559" s="7" t="s">
        <v>458</v>
      </c>
      <c r="F559" s="7" t="s">
        <v>382</v>
      </c>
      <c r="G559" s="7" t="s">
        <v>2908</v>
      </c>
      <c r="H559" s="7">
        <v>5.5</v>
      </c>
      <c r="I559" s="7" t="s">
        <v>718</v>
      </c>
    </row>
    <row r="560" spans="1:9">
      <c r="A560" s="7" t="s">
        <v>19</v>
      </c>
      <c r="B560" s="7" t="s">
        <v>3053</v>
      </c>
      <c r="C560" s="7">
        <v>3</v>
      </c>
      <c r="D560" s="7" t="s">
        <v>458</v>
      </c>
      <c r="E560" s="7" t="s">
        <v>458</v>
      </c>
      <c r="F560" s="7" t="s">
        <v>382</v>
      </c>
      <c r="G560" s="7" t="s">
        <v>1012</v>
      </c>
      <c r="H560" s="7">
        <v>5.5</v>
      </c>
      <c r="I560" s="7" t="s">
        <v>718</v>
      </c>
    </row>
    <row r="561" spans="1:9">
      <c r="A561" s="7" t="s">
        <v>19</v>
      </c>
      <c r="B561" s="7" t="s">
        <v>3053</v>
      </c>
      <c r="C561" s="7">
        <v>3</v>
      </c>
      <c r="D561" s="7" t="s">
        <v>456</v>
      </c>
      <c r="E561" s="7" t="s">
        <v>1031</v>
      </c>
      <c r="F561" s="7" t="s">
        <v>456</v>
      </c>
      <c r="G561" s="7" t="s">
        <v>706</v>
      </c>
      <c r="H561" s="7">
        <v>5.0999999999999996</v>
      </c>
      <c r="I561" s="7" t="s">
        <v>2705</v>
      </c>
    </row>
    <row r="562" spans="1:9">
      <c r="A562" s="7" t="s">
        <v>19</v>
      </c>
      <c r="B562" s="7" t="s">
        <v>3053</v>
      </c>
      <c r="C562" s="7">
        <v>3</v>
      </c>
      <c r="D562" s="7" t="s">
        <v>456</v>
      </c>
      <c r="E562" s="7" t="s">
        <v>1031</v>
      </c>
      <c r="F562" s="7" t="s">
        <v>456</v>
      </c>
      <c r="G562" s="7" t="s">
        <v>996</v>
      </c>
      <c r="H562" s="7">
        <v>5.0999999999999996</v>
      </c>
      <c r="I562" s="7" t="s">
        <v>2705</v>
      </c>
    </row>
    <row r="563" spans="1:9">
      <c r="A563" s="7" t="s">
        <v>19</v>
      </c>
      <c r="B563" s="7" t="s">
        <v>3053</v>
      </c>
      <c r="C563" s="7">
        <v>3</v>
      </c>
      <c r="D563" s="7" t="s">
        <v>456</v>
      </c>
      <c r="E563" s="7" t="s">
        <v>1031</v>
      </c>
      <c r="F563" s="7" t="s">
        <v>456</v>
      </c>
      <c r="G563" s="7" t="s">
        <v>707</v>
      </c>
      <c r="H563" s="7">
        <v>5.0999999999999996</v>
      </c>
      <c r="I563" s="7" t="s">
        <v>2705</v>
      </c>
    </row>
    <row r="564" spans="1:9">
      <c r="A564" s="7" t="s">
        <v>19</v>
      </c>
      <c r="B564" s="7" t="s">
        <v>3053</v>
      </c>
      <c r="C564" s="7">
        <v>3</v>
      </c>
      <c r="D564" s="7" t="s">
        <v>456</v>
      </c>
      <c r="E564" s="7" t="s">
        <v>1031</v>
      </c>
      <c r="F564" s="7" t="s">
        <v>456</v>
      </c>
      <c r="G564" s="7" t="s">
        <v>997</v>
      </c>
      <c r="H564" s="7">
        <v>5.0999999999999996</v>
      </c>
      <c r="I564" s="7" t="s">
        <v>2705</v>
      </c>
    </row>
    <row r="565" spans="1:9">
      <c r="A565" s="7" t="s">
        <v>19</v>
      </c>
      <c r="B565" s="7" t="s">
        <v>3053</v>
      </c>
      <c r="C565" s="7">
        <v>3</v>
      </c>
      <c r="D565" s="7" t="s">
        <v>456</v>
      </c>
      <c r="E565" s="7" t="s">
        <v>1031</v>
      </c>
      <c r="F565" s="7" t="s">
        <v>456</v>
      </c>
      <c r="G565" s="7" t="s">
        <v>708</v>
      </c>
      <c r="H565" s="7">
        <v>5.0999999999999996</v>
      </c>
      <c r="I565" s="7" t="s">
        <v>2705</v>
      </c>
    </row>
    <row r="566" spans="1:9">
      <c r="A566" s="7" t="s">
        <v>19</v>
      </c>
      <c r="B566" s="7" t="s">
        <v>3053</v>
      </c>
      <c r="C566" s="7">
        <v>3</v>
      </c>
      <c r="D566" s="7" t="s">
        <v>456</v>
      </c>
      <c r="E566" s="7" t="s">
        <v>1031</v>
      </c>
      <c r="F566" s="7" t="s">
        <v>456</v>
      </c>
      <c r="G566" s="7" t="s">
        <v>998</v>
      </c>
      <c r="H566" s="7">
        <v>5.0999999999999996</v>
      </c>
      <c r="I566" s="7" t="s">
        <v>2705</v>
      </c>
    </row>
    <row r="567" spans="1:9">
      <c r="A567" s="7" t="s">
        <v>19</v>
      </c>
      <c r="B567" s="7" t="s">
        <v>3053</v>
      </c>
      <c r="C567" s="7">
        <v>3</v>
      </c>
      <c r="D567" s="7" t="s">
        <v>456</v>
      </c>
      <c r="E567" s="7" t="s">
        <v>1031</v>
      </c>
      <c r="F567" s="7" t="s">
        <v>456</v>
      </c>
      <c r="G567" s="7" t="s">
        <v>709</v>
      </c>
      <c r="H567" s="7">
        <v>5.0999999999999996</v>
      </c>
      <c r="I567" s="7" t="s">
        <v>2705</v>
      </c>
    </row>
    <row r="568" spans="1:9">
      <c r="A568" s="7" t="s">
        <v>19</v>
      </c>
      <c r="B568" s="7" t="s">
        <v>3053</v>
      </c>
      <c r="C568" s="7">
        <v>3</v>
      </c>
      <c r="D568" s="7" t="s">
        <v>456</v>
      </c>
      <c r="E568" s="7" t="s">
        <v>1031</v>
      </c>
      <c r="F568" s="7" t="s">
        <v>456</v>
      </c>
      <c r="G568" s="7" t="s">
        <v>999</v>
      </c>
      <c r="H568" s="7">
        <v>5.0999999999999996</v>
      </c>
      <c r="I568" s="7" t="s">
        <v>2705</v>
      </c>
    </row>
    <row r="569" spans="1:9">
      <c r="A569" s="7" t="s">
        <v>19</v>
      </c>
      <c r="B569" s="7" t="s">
        <v>3053</v>
      </c>
      <c r="C569" s="7">
        <v>3</v>
      </c>
      <c r="D569" s="7" t="s">
        <v>456</v>
      </c>
      <c r="E569" s="7" t="s">
        <v>1031</v>
      </c>
      <c r="F569" s="7" t="s">
        <v>456</v>
      </c>
      <c r="G569" s="7" t="s">
        <v>710</v>
      </c>
      <c r="H569" s="7">
        <v>5.0999999999999996</v>
      </c>
      <c r="I569" s="7" t="s">
        <v>2705</v>
      </c>
    </row>
    <row r="570" spans="1:9">
      <c r="A570" s="7" t="s">
        <v>19</v>
      </c>
      <c r="B570" s="7" t="s">
        <v>3053</v>
      </c>
      <c r="C570" s="7">
        <v>3</v>
      </c>
      <c r="D570" s="7" t="s">
        <v>456</v>
      </c>
      <c r="E570" s="7" t="s">
        <v>1031</v>
      </c>
      <c r="F570" s="7" t="s">
        <v>456</v>
      </c>
      <c r="G570" s="7" t="s">
        <v>1000</v>
      </c>
      <c r="H570" s="7">
        <v>5.0999999999999996</v>
      </c>
      <c r="I570" s="7" t="s">
        <v>2705</v>
      </c>
    </row>
    <row r="571" spans="1:9">
      <c r="A571" s="7" t="s">
        <v>19</v>
      </c>
      <c r="B571" s="7" t="s">
        <v>3053</v>
      </c>
      <c r="C571" s="7">
        <v>3</v>
      </c>
      <c r="D571" s="7" t="s">
        <v>456</v>
      </c>
      <c r="E571" s="7" t="s">
        <v>1031</v>
      </c>
      <c r="F571" s="7" t="s">
        <v>456</v>
      </c>
      <c r="G571" s="7" t="s">
        <v>711</v>
      </c>
      <c r="H571" s="7">
        <v>5.0999999999999996</v>
      </c>
      <c r="I571" s="7" t="s">
        <v>2705</v>
      </c>
    </row>
    <row r="572" spans="1:9">
      <c r="A572" s="7" t="s">
        <v>19</v>
      </c>
      <c r="B572" s="7" t="s">
        <v>3053</v>
      </c>
      <c r="C572" s="7">
        <v>3</v>
      </c>
      <c r="D572" s="7" t="s">
        <v>456</v>
      </c>
      <c r="E572" s="7" t="s">
        <v>1031</v>
      </c>
      <c r="F572" s="7" t="s">
        <v>456</v>
      </c>
      <c r="G572" s="7" t="s">
        <v>1001</v>
      </c>
      <c r="H572" s="7">
        <v>5.0999999999999996</v>
      </c>
      <c r="I572" s="7" t="s">
        <v>2705</v>
      </c>
    </row>
    <row r="573" spans="1:9">
      <c r="A573" s="7" t="s">
        <v>19</v>
      </c>
      <c r="B573" s="7" t="s">
        <v>3053</v>
      </c>
      <c r="C573" s="7">
        <v>3</v>
      </c>
      <c r="D573" s="7" t="s">
        <v>456</v>
      </c>
      <c r="E573" s="7" t="s">
        <v>1031</v>
      </c>
      <c r="F573" s="7" t="s">
        <v>456</v>
      </c>
      <c r="G573" s="7" t="s">
        <v>712</v>
      </c>
      <c r="H573" s="7">
        <v>5.0999999999999996</v>
      </c>
      <c r="I573" s="7" t="s">
        <v>2705</v>
      </c>
    </row>
    <row r="574" spans="1:9">
      <c r="A574" s="7" t="s">
        <v>19</v>
      </c>
      <c r="B574" s="7" t="s">
        <v>3053</v>
      </c>
      <c r="C574" s="7">
        <v>3</v>
      </c>
      <c r="D574" s="7" t="s">
        <v>456</v>
      </c>
      <c r="E574" s="7" t="s">
        <v>1031</v>
      </c>
      <c r="F574" s="7" t="s">
        <v>456</v>
      </c>
      <c r="G574" s="7" t="s">
        <v>1002</v>
      </c>
      <c r="H574" s="7">
        <v>5.0999999999999996</v>
      </c>
      <c r="I574" s="7" t="s">
        <v>2705</v>
      </c>
    </row>
    <row r="575" spans="1:9">
      <c r="A575" s="7" t="s">
        <v>19</v>
      </c>
      <c r="B575" s="7" t="s">
        <v>3053</v>
      </c>
      <c r="C575" s="7">
        <v>3</v>
      </c>
      <c r="D575" s="7" t="s">
        <v>456</v>
      </c>
      <c r="E575" s="7" t="s">
        <v>1031</v>
      </c>
      <c r="F575" s="7" t="s">
        <v>456</v>
      </c>
      <c r="G575" s="7" t="s">
        <v>713</v>
      </c>
      <c r="H575" s="7">
        <v>5.0999999999999996</v>
      </c>
      <c r="I575" s="7" t="s">
        <v>2705</v>
      </c>
    </row>
    <row r="576" spans="1:9">
      <c r="A576" s="7" t="s">
        <v>19</v>
      </c>
      <c r="B576" s="7" t="s">
        <v>3053</v>
      </c>
      <c r="C576" s="7">
        <v>3</v>
      </c>
      <c r="D576" s="7" t="s">
        <v>456</v>
      </c>
      <c r="E576" s="7" t="s">
        <v>1031</v>
      </c>
      <c r="F576" s="7" t="s">
        <v>456</v>
      </c>
      <c r="G576" s="7" t="s">
        <v>1003</v>
      </c>
      <c r="H576" s="7">
        <v>5.0999999999999996</v>
      </c>
      <c r="I576" s="7" t="s">
        <v>2705</v>
      </c>
    </row>
    <row r="577" spans="1:9">
      <c r="A577" s="7" t="s">
        <v>19</v>
      </c>
      <c r="B577" s="7" t="s">
        <v>3053</v>
      </c>
      <c r="C577" s="7">
        <v>3</v>
      </c>
      <c r="D577" s="7" t="s">
        <v>456</v>
      </c>
      <c r="E577" s="7" t="s">
        <v>1031</v>
      </c>
      <c r="F577" s="7" t="s">
        <v>456</v>
      </c>
      <c r="G577" s="7" t="s">
        <v>2700</v>
      </c>
      <c r="H577" s="7">
        <v>5.0999999999999996</v>
      </c>
      <c r="I577" s="7" t="s">
        <v>2705</v>
      </c>
    </row>
    <row r="578" spans="1:9">
      <c r="A578" s="7" t="s">
        <v>19</v>
      </c>
      <c r="B578" s="7" t="s">
        <v>3053</v>
      </c>
      <c r="C578" s="7">
        <v>3</v>
      </c>
      <c r="D578" s="7" t="s">
        <v>457</v>
      </c>
      <c r="E578" s="7" t="s">
        <v>1032</v>
      </c>
      <c r="F578" s="7" t="s">
        <v>1032</v>
      </c>
      <c r="G578" s="7" t="s">
        <v>706</v>
      </c>
      <c r="H578" s="7">
        <v>5.0999999999999996</v>
      </c>
      <c r="I578" s="7" t="s">
        <v>2705</v>
      </c>
    </row>
    <row r="579" spans="1:9">
      <c r="A579" s="7" t="s">
        <v>19</v>
      </c>
      <c r="B579" s="7" t="s">
        <v>3053</v>
      </c>
      <c r="C579" s="7">
        <v>3</v>
      </c>
      <c r="D579" s="7" t="s">
        <v>457</v>
      </c>
      <c r="E579" s="7" t="s">
        <v>1032</v>
      </c>
      <c r="F579" s="7" t="s">
        <v>1032</v>
      </c>
      <c r="G579" s="7" t="s">
        <v>996</v>
      </c>
      <c r="H579" s="7">
        <v>5.0999999999999996</v>
      </c>
      <c r="I579" s="7" t="s">
        <v>2705</v>
      </c>
    </row>
    <row r="580" spans="1:9">
      <c r="A580" s="7" t="s">
        <v>19</v>
      </c>
      <c r="B580" s="7" t="s">
        <v>3053</v>
      </c>
      <c r="C580" s="7">
        <v>3</v>
      </c>
      <c r="D580" s="7" t="s">
        <v>457</v>
      </c>
      <c r="E580" s="7" t="s">
        <v>1032</v>
      </c>
      <c r="F580" s="7" t="s">
        <v>1032</v>
      </c>
      <c r="G580" s="7" t="s">
        <v>707</v>
      </c>
      <c r="H580" s="7">
        <v>5.0999999999999996</v>
      </c>
      <c r="I580" s="7" t="s">
        <v>2705</v>
      </c>
    </row>
    <row r="581" spans="1:9">
      <c r="A581" s="7" t="s">
        <v>19</v>
      </c>
      <c r="B581" s="7" t="s">
        <v>3053</v>
      </c>
      <c r="C581" s="7">
        <v>3</v>
      </c>
      <c r="D581" s="7" t="s">
        <v>457</v>
      </c>
      <c r="E581" s="7" t="s">
        <v>1032</v>
      </c>
      <c r="F581" s="7" t="s">
        <v>1032</v>
      </c>
      <c r="G581" s="7" t="s">
        <v>997</v>
      </c>
      <c r="H581" s="7">
        <v>5.0999999999999996</v>
      </c>
      <c r="I581" s="7" t="s">
        <v>2705</v>
      </c>
    </row>
    <row r="582" spans="1:9">
      <c r="A582" s="7" t="s">
        <v>19</v>
      </c>
      <c r="B582" s="7" t="s">
        <v>3053</v>
      </c>
      <c r="C582" s="7">
        <v>3</v>
      </c>
      <c r="D582" s="7" t="s">
        <v>457</v>
      </c>
      <c r="E582" s="7" t="s">
        <v>1032</v>
      </c>
      <c r="F582" s="7" t="s">
        <v>1032</v>
      </c>
      <c r="G582" s="7" t="s">
        <v>708</v>
      </c>
      <c r="H582" s="7">
        <v>5.0999999999999996</v>
      </c>
      <c r="I582" s="7" t="s">
        <v>2705</v>
      </c>
    </row>
    <row r="583" spans="1:9">
      <c r="A583" s="7" t="s">
        <v>19</v>
      </c>
      <c r="B583" s="7" t="s">
        <v>3053</v>
      </c>
      <c r="C583" s="7">
        <v>3</v>
      </c>
      <c r="D583" s="7" t="s">
        <v>457</v>
      </c>
      <c r="E583" s="7" t="s">
        <v>1032</v>
      </c>
      <c r="F583" s="7" t="s">
        <v>1032</v>
      </c>
      <c r="G583" s="7" t="s">
        <v>998</v>
      </c>
      <c r="H583" s="7">
        <v>5.0999999999999996</v>
      </c>
      <c r="I583" s="7" t="s">
        <v>2705</v>
      </c>
    </row>
    <row r="584" spans="1:9">
      <c r="A584" s="7" t="s">
        <v>19</v>
      </c>
      <c r="B584" s="7" t="s">
        <v>3053</v>
      </c>
      <c r="C584" s="7">
        <v>3</v>
      </c>
      <c r="D584" s="7" t="s">
        <v>457</v>
      </c>
      <c r="E584" s="7" t="s">
        <v>1032</v>
      </c>
      <c r="F584" s="7" t="s">
        <v>1032</v>
      </c>
      <c r="G584" s="7" t="s">
        <v>709</v>
      </c>
      <c r="H584" s="7">
        <v>5.0999999999999996</v>
      </c>
      <c r="I584" s="7" t="s">
        <v>2705</v>
      </c>
    </row>
    <row r="585" spans="1:9">
      <c r="A585" s="7" t="s">
        <v>19</v>
      </c>
      <c r="B585" s="7" t="s">
        <v>3053</v>
      </c>
      <c r="C585" s="7">
        <v>3</v>
      </c>
      <c r="D585" s="7" t="s">
        <v>457</v>
      </c>
      <c r="E585" s="7" t="s">
        <v>1032</v>
      </c>
      <c r="F585" s="7" t="s">
        <v>1032</v>
      </c>
      <c r="G585" s="7" t="s">
        <v>999</v>
      </c>
      <c r="H585" s="7">
        <v>5.0999999999999996</v>
      </c>
      <c r="I585" s="7" t="s">
        <v>2705</v>
      </c>
    </row>
    <row r="586" spans="1:9">
      <c r="A586" s="7" t="s">
        <v>19</v>
      </c>
      <c r="B586" s="7" t="s">
        <v>3053</v>
      </c>
      <c r="C586" s="7">
        <v>3</v>
      </c>
      <c r="D586" s="7" t="s">
        <v>457</v>
      </c>
      <c r="E586" s="7" t="s">
        <v>1032</v>
      </c>
      <c r="F586" s="7" t="s">
        <v>1032</v>
      </c>
      <c r="G586" s="7" t="s">
        <v>710</v>
      </c>
      <c r="H586" s="7">
        <v>5.0999999999999996</v>
      </c>
      <c r="I586" s="7" t="s">
        <v>2705</v>
      </c>
    </row>
    <row r="587" spans="1:9">
      <c r="A587" s="7" t="s">
        <v>19</v>
      </c>
      <c r="B587" s="7" t="s">
        <v>3053</v>
      </c>
      <c r="C587" s="7">
        <v>3</v>
      </c>
      <c r="D587" s="7" t="s">
        <v>457</v>
      </c>
      <c r="E587" s="7" t="s">
        <v>1032</v>
      </c>
      <c r="F587" s="7" t="s">
        <v>1032</v>
      </c>
      <c r="G587" s="7" t="s">
        <v>1000</v>
      </c>
      <c r="H587" s="7">
        <v>5.0999999999999996</v>
      </c>
      <c r="I587" s="7" t="s">
        <v>2705</v>
      </c>
    </row>
    <row r="588" spans="1:9">
      <c r="A588" s="7" t="s">
        <v>19</v>
      </c>
      <c r="B588" s="7" t="s">
        <v>3053</v>
      </c>
      <c r="C588" s="7">
        <v>3</v>
      </c>
      <c r="D588" s="7" t="s">
        <v>457</v>
      </c>
      <c r="E588" s="7" t="s">
        <v>1032</v>
      </c>
      <c r="F588" s="7" t="s">
        <v>1032</v>
      </c>
      <c r="G588" s="7" t="s">
        <v>711</v>
      </c>
      <c r="H588" s="7">
        <v>5.0999999999999996</v>
      </c>
      <c r="I588" s="7" t="s">
        <v>2705</v>
      </c>
    </row>
    <row r="589" spans="1:9">
      <c r="A589" s="7" t="s">
        <v>19</v>
      </c>
      <c r="B589" s="7" t="s">
        <v>3053</v>
      </c>
      <c r="C589" s="7">
        <v>3</v>
      </c>
      <c r="D589" s="7" t="s">
        <v>457</v>
      </c>
      <c r="E589" s="7" t="s">
        <v>1032</v>
      </c>
      <c r="F589" s="7" t="s">
        <v>1032</v>
      </c>
      <c r="G589" s="7" t="s">
        <v>1001</v>
      </c>
      <c r="H589" s="7">
        <v>5.0999999999999996</v>
      </c>
      <c r="I589" s="7" t="s">
        <v>2705</v>
      </c>
    </row>
    <row r="590" spans="1:9">
      <c r="A590" s="7" t="s">
        <v>19</v>
      </c>
      <c r="B590" s="7" t="s">
        <v>3053</v>
      </c>
      <c r="C590" s="7">
        <v>3</v>
      </c>
      <c r="D590" s="7" t="s">
        <v>457</v>
      </c>
      <c r="E590" s="7" t="s">
        <v>1032</v>
      </c>
      <c r="F590" s="7" t="s">
        <v>1032</v>
      </c>
      <c r="G590" s="7" t="s">
        <v>712</v>
      </c>
      <c r="H590" s="7">
        <v>5.0999999999999996</v>
      </c>
      <c r="I590" s="7" t="s">
        <v>2705</v>
      </c>
    </row>
    <row r="591" spans="1:9">
      <c r="A591" s="7" t="s">
        <v>19</v>
      </c>
      <c r="B591" s="7" t="s">
        <v>3053</v>
      </c>
      <c r="C591" s="7">
        <v>3</v>
      </c>
      <c r="D591" s="7" t="s">
        <v>457</v>
      </c>
      <c r="E591" s="7" t="s">
        <v>1032</v>
      </c>
      <c r="F591" s="7" t="s">
        <v>1032</v>
      </c>
      <c r="G591" s="7" t="s">
        <v>1002</v>
      </c>
      <c r="H591" s="7">
        <v>5.0999999999999996</v>
      </c>
      <c r="I591" s="7" t="s">
        <v>2705</v>
      </c>
    </row>
    <row r="592" spans="1:9">
      <c r="A592" s="7" t="s">
        <v>19</v>
      </c>
      <c r="B592" s="7" t="s">
        <v>3053</v>
      </c>
      <c r="C592" s="7">
        <v>3</v>
      </c>
      <c r="D592" s="7" t="s">
        <v>457</v>
      </c>
      <c r="E592" s="7" t="s">
        <v>1032</v>
      </c>
      <c r="F592" s="7" t="s">
        <v>1032</v>
      </c>
      <c r="G592" s="7" t="s">
        <v>713</v>
      </c>
      <c r="H592" s="7">
        <v>5.0999999999999996</v>
      </c>
      <c r="I592" s="7" t="s">
        <v>2705</v>
      </c>
    </row>
    <row r="593" spans="1:9">
      <c r="A593" s="7" t="s">
        <v>19</v>
      </c>
      <c r="B593" s="7" t="s">
        <v>3053</v>
      </c>
      <c r="C593" s="7">
        <v>3</v>
      </c>
      <c r="D593" s="7" t="s">
        <v>457</v>
      </c>
      <c r="E593" s="7" t="s">
        <v>1032</v>
      </c>
      <c r="F593" s="7" t="s">
        <v>1032</v>
      </c>
      <c r="G593" s="7" t="s">
        <v>1003</v>
      </c>
      <c r="H593" s="7">
        <v>5.0999999999999996</v>
      </c>
      <c r="I593" s="7" t="s">
        <v>2705</v>
      </c>
    </row>
    <row r="594" spans="1:9">
      <c r="A594" s="7" t="s">
        <v>19</v>
      </c>
      <c r="B594" s="7" t="s">
        <v>3053</v>
      </c>
      <c r="C594" s="7">
        <v>3</v>
      </c>
      <c r="D594" s="7" t="s">
        <v>457</v>
      </c>
      <c r="E594" s="7" t="s">
        <v>1032</v>
      </c>
      <c r="F594" s="7" t="s">
        <v>1032</v>
      </c>
      <c r="G594" s="7" t="s">
        <v>2700</v>
      </c>
      <c r="H594" s="7">
        <v>5.0999999999999996</v>
      </c>
      <c r="I594" s="7" t="s">
        <v>2705</v>
      </c>
    </row>
    <row r="595" spans="1:9">
      <c r="A595" s="7" t="s">
        <v>19</v>
      </c>
      <c r="B595" s="7" t="s">
        <v>3053</v>
      </c>
      <c r="C595" s="1709">
        <v>4</v>
      </c>
      <c r="D595" s="1709" t="s">
        <v>459</v>
      </c>
      <c r="E595" s="1709" t="s">
        <v>1229</v>
      </c>
      <c r="F595" s="1709" t="s">
        <v>1005</v>
      </c>
      <c r="G595" s="1709" t="s">
        <v>191</v>
      </c>
      <c r="H595" s="1709">
        <v>6.6</v>
      </c>
      <c r="I595" s="7" t="s">
        <v>719</v>
      </c>
    </row>
    <row r="596" spans="1:9">
      <c r="A596" s="7" t="s">
        <v>19</v>
      </c>
      <c r="B596" s="7" t="s">
        <v>3053</v>
      </c>
      <c r="C596" s="1709">
        <v>4</v>
      </c>
      <c r="D596" s="1709" t="s">
        <v>459</v>
      </c>
      <c r="E596" s="1709" t="s">
        <v>1229</v>
      </c>
      <c r="F596" s="1709" t="s">
        <v>1005</v>
      </c>
      <c r="G596" s="1709" t="s">
        <v>2693</v>
      </c>
      <c r="H596" s="1709">
        <v>6.6</v>
      </c>
      <c r="I596" s="7" t="s">
        <v>719</v>
      </c>
    </row>
    <row r="597" spans="1:9">
      <c r="A597" s="7" t="s">
        <v>19</v>
      </c>
      <c r="B597" s="7" t="s">
        <v>3053</v>
      </c>
      <c r="C597" s="1709">
        <v>4</v>
      </c>
      <c r="D597" s="7" t="s">
        <v>459</v>
      </c>
      <c r="E597" s="1590" t="s">
        <v>1229</v>
      </c>
      <c r="F597" s="7" t="s">
        <v>1005</v>
      </c>
      <c r="G597" s="7" t="s">
        <v>206</v>
      </c>
      <c r="H597" s="7">
        <v>6.5</v>
      </c>
      <c r="I597" s="7" t="s">
        <v>719</v>
      </c>
    </row>
    <row r="598" spans="1:9">
      <c r="A598" s="7" t="s">
        <v>19</v>
      </c>
      <c r="B598" s="7" t="s">
        <v>3053</v>
      </c>
      <c r="C598" s="7">
        <v>4</v>
      </c>
      <c r="D598" s="7" t="s">
        <v>429</v>
      </c>
      <c r="E598" s="7" t="s">
        <v>1233</v>
      </c>
      <c r="F598" s="7" t="s">
        <v>3050</v>
      </c>
      <c r="G598" s="7" t="s">
        <v>2702</v>
      </c>
      <c r="H598" s="7">
        <v>5.8</v>
      </c>
      <c r="I598" s="7" t="s">
        <v>718</v>
      </c>
    </row>
    <row r="599" spans="1:9">
      <c r="A599" s="7" t="s">
        <v>19</v>
      </c>
      <c r="B599" s="7" t="s">
        <v>3053</v>
      </c>
      <c r="C599" s="7">
        <v>4</v>
      </c>
      <c r="D599" s="7" t="s">
        <v>429</v>
      </c>
      <c r="E599" s="7" t="s">
        <v>1233</v>
      </c>
      <c r="F599" s="7" t="s">
        <v>1014</v>
      </c>
      <c r="G599" s="7" t="s">
        <v>2700</v>
      </c>
      <c r="H599" s="7">
        <v>5.8</v>
      </c>
      <c r="I599" s="7" t="s">
        <v>718</v>
      </c>
    </row>
    <row r="600" spans="1:9">
      <c r="A600" s="7" t="s">
        <v>19</v>
      </c>
      <c r="B600" s="7" t="s">
        <v>3053</v>
      </c>
      <c r="C600" s="7">
        <v>4</v>
      </c>
      <c r="D600" s="7" t="s">
        <v>429</v>
      </c>
      <c r="E600" s="7" t="s">
        <v>1233</v>
      </c>
      <c r="F600" s="7" t="s">
        <v>1015</v>
      </c>
      <c r="G600" s="7" t="s">
        <v>2700</v>
      </c>
      <c r="H600" s="7">
        <v>5.8</v>
      </c>
      <c r="I600" s="7" t="s">
        <v>718</v>
      </c>
    </row>
    <row r="601" spans="1:9">
      <c r="A601" s="7" t="s">
        <v>19</v>
      </c>
      <c r="B601" s="7" t="s">
        <v>3053</v>
      </c>
      <c r="C601" s="7">
        <v>4</v>
      </c>
      <c r="D601" s="7" t="s">
        <v>429</v>
      </c>
      <c r="E601" s="7" t="s">
        <v>1233</v>
      </c>
      <c r="F601" s="7" t="s">
        <v>1016</v>
      </c>
      <c r="G601" s="7" t="s">
        <v>2700</v>
      </c>
      <c r="H601" s="7">
        <v>5.8</v>
      </c>
      <c r="I601" s="7" t="s">
        <v>718</v>
      </c>
    </row>
    <row r="602" spans="1:9">
      <c r="A602" s="7" t="s">
        <v>19</v>
      </c>
      <c r="B602" s="7" t="s">
        <v>3053</v>
      </c>
      <c r="C602" s="7">
        <v>4</v>
      </c>
      <c r="D602" s="7" t="s">
        <v>429</v>
      </c>
      <c r="E602" s="7" t="s">
        <v>1233</v>
      </c>
      <c r="F602" s="7" t="s">
        <v>2912</v>
      </c>
      <c r="G602" s="7" t="s">
        <v>2700</v>
      </c>
      <c r="H602" s="7">
        <v>5.8</v>
      </c>
      <c r="I602" s="7" t="s">
        <v>718</v>
      </c>
    </row>
    <row r="603" spans="1:9">
      <c r="A603" s="7" t="s">
        <v>19</v>
      </c>
      <c r="B603" s="7" t="s">
        <v>3053</v>
      </c>
      <c r="C603" s="7">
        <v>4</v>
      </c>
      <c r="D603" s="7" t="s">
        <v>429</v>
      </c>
      <c r="E603" s="7" t="s">
        <v>1233</v>
      </c>
      <c r="F603" s="7" t="s">
        <v>1019</v>
      </c>
      <c r="G603" s="7" t="s">
        <v>2700</v>
      </c>
      <c r="H603" s="7">
        <v>5.8</v>
      </c>
      <c r="I603" s="7" t="s">
        <v>718</v>
      </c>
    </row>
    <row r="604" spans="1:9">
      <c r="A604" s="7" t="s">
        <v>19</v>
      </c>
      <c r="B604" s="7" t="s">
        <v>3053</v>
      </c>
      <c r="C604" s="7">
        <v>4</v>
      </c>
      <c r="D604" s="7" t="s">
        <v>429</v>
      </c>
      <c r="E604" s="7" t="s">
        <v>1233</v>
      </c>
      <c r="F604" s="7" t="s">
        <v>2791</v>
      </c>
      <c r="G604" s="7" t="s">
        <v>2700</v>
      </c>
      <c r="H604" s="7">
        <v>5.8</v>
      </c>
      <c r="I604" s="7" t="s">
        <v>718</v>
      </c>
    </row>
    <row r="605" spans="1:9">
      <c r="A605" s="7" t="s">
        <v>19</v>
      </c>
      <c r="B605" s="7" t="s">
        <v>3053</v>
      </c>
      <c r="C605" s="7">
        <v>4</v>
      </c>
      <c r="D605" s="7" t="s">
        <v>429</v>
      </c>
      <c r="E605" s="7" t="s">
        <v>1233</v>
      </c>
      <c r="F605" s="7" t="s">
        <v>2703</v>
      </c>
      <c r="G605" s="7" t="s">
        <v>2704</v>
      </c>
      <c r="H605" s="7">
        <v>5.8</v>
      </c>
      <c r="I605" s="7" t="s">
        <v>2705</v>
      </c>
    </row>
    <row r="606" spans="1:9">
      <c r="A606" s="7" t="s">
        <v>19</v>
      </c>
      <c r="B606" s="7" t="s">
        <v>3053</v>
      </c>
      <c r="C606" s="7">
        <v>4</v>
      </c>
      <c r="D606" s="7" t="s">
        <v>429</v>
      </c>
      <c r="E606" s="7" t="s">
        <v>1233</v>
      </c>
      <c r="F606" s="7" t="s">
        <v>2706</v>
      </c>
      <c r="G606" s="7" t="s">
        <v>2707</v>
      </c>
      <c r="H606" s="7">
        <v>5.8</v>
      </c>
      <c r="I606" s="7" t="s">
        <v>718</v>
      </c>
    </row>
    <row r="607" spans="1:9">
      <c r="A607" s="7" t="s">
        <v>19</v>
      </c>
      <c r="B607" s="7" t="s">
        <v>3053</v>
      </c>
      <c r="C607" s="7">
        <v>4</v>
      </c>
      <c r="D607" s="7" t="s">
        <v>429</v>
      </c>
      <c r="E607" s="7" t="s">
        <v>1233</v>
      </c>
      <c r="F607" s="7" t="s">
        <v>2706</v>
      </c>
      <c r="G607" s="7" t="s">
        <v>2708</v>
      </c>
      <c r="H607" s="7">
        <v>5.8</v>
      </c>
      <c r="I607" s="7" t="s">
        <v>718</v>
      </c>
    </row>
    <row r="608" spans="1:9">
      <c r="A608" s="7" t="s">
        <v>19</v>
      </c>
      <c r="B608" s="7" t="s">
        <v>3053</v>
      </c>
      <c r="C608" s="7">
        <v>4</v>
      </c>
      <c r="D608" s="7" t="s">
        <v>429</v>
      </c>
      <c r="E608" s="7" t="s">
        <v>1233</v>
      </c>
      <c r="F608" s="7" t="s">
        <v>2706</v>
      </c>
      <c r="G608" s="7" t="s">
        <v>2709</v>
      </c>
      <c r="H608" s="7">
        <v>5.8</v>
      </c>
      <c r="I608" s="7" t="s">
        <v>719</v>
      </c>
    </row>
    <row r="609" spans="1:9">
      <c r="A609" s="7" t="s">
        <v>19</v>
      </c>
      <c r="B609" s="7" t="s">
        <v>3053</v>
      </c>
      <c r="C609" s="7">
        <v>4</v>
      </c>
      <c r="D609" s="7" t="s">
        <v>429</v>
      </c>
      <c r="E609" s="7" t="s">
        <v>1233</v>
      </c>
      <c r="F609" s="7" t="s">
        <v>2710</v>
      </c>
      <c r="G609" s="7" t="s">
        <v>2711</v>
      </c>
      <c r="H609" s="7">
        <v>5.8</v>
      </c>
      <c r="I609" s="7" t="s">
        <v>2705</v>
      </c>
    </row>
    <row r="610" spans="1:9">
      <c r="A610" s="7" t="s">
        <v>19</v>
      </c>
      <c r="B610" s="7" t="s">
        <v>3053</v>
      </c>
      <c r="C610" s="7">
        <v>4</v>
      </c>
      <c r="D610" s="7" t="s">
        <v>429</v>
      </c>
      <c r="E610" s="7" t="s">
        <v>1233</v>
      </c>
      <c r="F610" s="7" t="s">
        <v>2712</v>
      </c>
      <c r="G610" s="7" t="s">
        <v>2717</v>
      </c>
      <c r="H610" s="7">
        <v>5.8</v>
      </c>
      <c r="I610" s="7" t="s">
        <v>2714</v>
      </c>
    </row>
    <row r="611" spans="1:9">
      <c r="A611" s="7" t="s">
        <v>19</v>
      </c>
      <c r="B611" s="7" t="s">
        <v>3053</v>
      </c>
      <c r="C611" s="7">
        <v>4</v>
      </c>
      <c r="D611" s="7" t="s">
        <v>429</v>
      </c>
      <c r="E611" s="7" t="s">
        <v>1233</v>
      </c>
      <c r="F611" s="7" t="s">
        <v>2712</v>
      </c>
      <c r="G611" s="7" t="s">
        <v>2713</v>
      </c>
      <c r="H611" s="7">
        <v>5.8</v>
      </c>
      <c r="I611" s="7" t="s">
        <v>2714</v>
      </c>
    </row>
    <row r="612" spans="1:9">
      <c r="A612" s="7" t="s">
        <v>19</v>
      </c>
      <c r="B612" s="7" t="s">
        <v>3053</v>
      </c>
      <c r="C612" s="7">
        <v>4</v>
      </c>
      <c r="D612" s="7" t="s">
        <v>429</v>
      </c>
      <c r="E612" s="7" t="s">
        <v>1233</v>
      </c>
      <c r="F612" s="7" t="s">
        <v>2712</v>
      </c>
      <c r="G612" s="7" t="s">
        <v>2716</v>
      </c>
      <c r="H612" s="7">
        <v>5.8</v>
      </c>
      <c r="I612" s="7" t="s">
        <v>2714</v>
      </c>
    </row>
    <row r="613" spans="1:9">
      <c r="A613" s="7" t="s">
        <v>19</v>
      </c>
      <c r="B613" s="7" t="s">
        <v>3053</v>
      </c>
      <c r="C613" s="7">
        <v>4</v>
      </c>
      <c r="D613" s="7" t="s">
        <v>429</v>
      </c>
      <c r="E613" s="7" t="s">
        <v>1233</v>
      </c>
      <c r="F613" s="7" t="s">
        <v>2712</v>
      </c>
      <c r="G613" s="7" t="s">
        <v>2715</v>
      </c>
      <c r="H613" s="7">
        <v>5.8</v>
      </c>
      <c r="I613" s="7" t="s">
        <v>2714</v>
      </c>
    </row>
    <row r="614" spans="1:9">
      <c r="A614" s="7" t="s">
        <v>19</v>
      </c>
      <c r="B614" s="7" t="s">
        <v>3053</v>
      </c>
      <c r="C614" s="7">
        <v>4</v>
      </c>
      <c r="D614" s="7" t="s">
        <v>429</v>
      </c>
      <c r="E614" s="7" t="s">
        <v>1233</v>
      </c>
      <c r="F614" s="7" t="s">
        <v>2913</v>
      </c>
      <c r="G614" s="7" t="s">
        <v>2918</v>
      </c>
      <c r="H614" s="7">
        <v>5.8</v>
      </c>
      <c r="I614" s="7" t="s">
        <v>2705</v>
      </c>
    </row>
    <row r="615" spans="1:9">
      <c r="A615" s="7" t="s">
        <v>19</v>
      </c>
      <c r="B615" s="7" t="s">
        <v>3053</v>
      </c>
      <c r="C615" s="7">
        <v>4</v>
      </c>
      <c r="D615" s="7" t="s">
        <v>429</v>
      </c>
      <c r="E615" s="7" t="s">
        <v>1233</v>
      </c>
      <c r="F615" s="7" t="s">
        <v>2913</v>
      </c>
      <c r="G615" s="7" t="s">
        <v>2915</v>
      </c>
      <c r="H615" s="7">
        <v>5.8</v>
      </c>
      <c r="I615" s="7" t="s">
        <v>2705</v>
      </c>
    </row>
    <row r="616" spans="1:9">
      <c r="A616" s="7" t="s">
        <v>19</v>
      </c>
      <c r="B616" s="7" t="s">
        <v>3053</v>
      </c>
      <c r="C616" s="7">
        <v>4</v>
      </c>
      <c r="D616" s="7" t="s">
        <v>429</v>
      </c>
      <c r="E616" s="7" t="s">
        <v>1233</v>
      </c>
      <c r="F616" s="7" t="s">
        <v>2913</v>
      </c>
      <c r="G616" s="7" t="s">
        <v>2916</v>
      </c>
      <c r="H616" s="7">
        <v>5.8</v>
      </c>
      <c r="I616" s="7" t="s">
        <v>2705</v>
      </c>
    </row>
    <row r="617" spans="1:9">
      <c r="A617" s="7" t="s">
        <v>19</v>
      </c>
      <c r="B617" s="7" t="s">
        <v>3053</v>
      </c>
      <c r="C617" s="7">
        <v>4</v>
      </c>
      <c r="D617" s="7" t="s">
        <v>429</v>
      </c>
      <c r="E617" s="7" t="s">
        <v>1233</v>
      </c>
      <c r="F617" s="7" t="s">
        <v>2913</v>
      </c>
      <c r="G617" s="7" t="s">
        <v>3063</v>
      </c>
      <c r="H617" s="7">
        <v>5.8</v>
      </c>
      <c r="I617" s="7" t="s">
        <v>2705</v>
      </c>
    </row>
    <row r="618" spans="1:9">
      <c r="A618" s="7" t="s">
        <v>19</v>
      </c>
      <c r="B618" s="7" t="s">
        <v>3053</v>
      </c>
      <c r="C618" s="7">
        <v>4</v>
      </c>
      <c r="D618" s="7" t="s">
        <v>429</v>
      </c>
      <c r="E618" s="7" t="s">
        <v>1233</v>
      </c>
      <c r="F618" s="7" t="s">
        <v>2913</v>
      </c>
      <c r="G618" s="7" t="s">
        <v>52</v>
      </c>
      <c r="H618" s="7">
        <v>5.8</v>
      </c>
      <c r="I618" s="7" t="s">
        <v>2705</v>
      </c>
    </row>
    <row r="619" spans="1:9">
      <c r="A619" s="7" t="s">
        <v>19</v>
      </c>
      <c r="B619" s="7" t="s">
        <v>3053</v>
      </c>
      <c r="C619" s="7">
        <v>4</v>
      </c>
      <c r="D619" s="7" t="s">
        <v>429</v>
      </c>
      <c r="E619" s="7" t="s">
        <v>1233</v>
      </c>
      <c r="F619" s="7" t="s">
        <v>2913</v>
      </c>
      <c r="G619" s="7" t="s">
        <v>2914</v>
      </c>
      <c r="H619" s="7">
        <v>5.8</v>
      </c>
      <c r="I619" s="7" t="s">
        <v>2705</v>
      </c>
    </row>
    <row r="620" spans="1:9">
      <c r="A620" s="7" t="s">
        <v>19</v>
      </c>
      <c r="B620" s="7" t="s">
        <v>3053</v>
      </c>
      <c r="C620" s="7">
        <v>4</v>
      </c>
      <c r="D620" s="7" t="s">
        <v>429</v>
      </c>
      <c r="E620" s="7" t="s">
        <v>1233</v>
      </c>
      <c r="F620" s="7" t="s">
        <v>2913</v>
      </c>
      <c r="G620" s="7" t="s">
        <v>2917</v>
      </c>
      <c r="H620" s="7">
        <v>5.8</v>
      </c>
      <c r="I620" s="7" t="s">
        <v>2705</v>
      </c>
    </row>
    <row r="621" spans="1:9">
      <c r="A621" s="7" t="s">
        <v>19</v>
      </c>
      <c r="B621" s="7" t="s">
        <v>3053</v>
      </c>
      <c r="C621" s="7">
        <v>4</v>
      </c>
      <c r="D621" s="7" t="s">
        <v>429</v>
      </c>
      <c r="E621" s="7" t="s">
        <v>1233</v>
      </c>
      <c r="F621" s="7" t="s">
        <v>2718</v>
      </c>
      <c r="G621" s="7" t="s">
        <v>2720</v>
      </c>
      <c r="H621" s="7">
        <v>5.8</v>
      </c>
      <c r="I621" s="7" t="s">
        <v>718</v>
      </c>
    </row>
    <row r="622" spans="1:9">
      <c r="A622" s="7" t="s">
        <v>19</v>
      </c>
      <c r="B622" s="7" t="s">
        <v>3053</v>
      </c>
      <c r="C622" s="7">
        <v>4</v>
      </c>
      <c r="D622" s="7" t="s">
        <v>429</v>
      </c>
      <c r="E622" s="7" t="s">
        <v>1233</v>
      </c>
      <c r="F622" s="7" t="s">
        <v>2718</v>
      </c>
      <c r="G622" s="7" t="s">
        <v>2719</v>
      </c>
      <c r="H622" s="7">
        <v>5.8</v>
      </c>
      <c r="I622" s="7" t="s">
        <v>718</v>
      </c>
    </row>
    <row r="623" spans="1:9">
      <c r="A623" s="7" t="s">
        <v>19</v>
      </c>
      <c r="B623" s="7" t="s">
        <v>3053</v>
      </c>
      <c r="C623" s="7">
        <v>4</v>
      </c>
      <c r="D623" s="7" t="s">
        <v>429</v>
      </c>
      <c r="E623" s="7" t="s">
        <v>1233</v>
      </c>
      <c r="F623" s="7" t="s">
        <v>1025</v>
      </c>
      <c r="G623" s="7" t="s">
        <v>2919</v>
      </c>
      <c r="H623" s="7">
        <v>5.8</v>
      </c>
      <c r="I623" s="7" t="s">
        <v>718</v>
      </c>
    </row>
    <row r="624" spans="1:9">
      <c r="A624" s="7" t="s">
        <v>19</v>
      </c>
      <c r="B624" s="7" t="s">
        <v>3053</v>
      </c>
      <c r="C624" s="7">
        <v>4</v>
      </c>
      <c r="D624" s="7" t="s">
        <v>429</v>
      </c>
      <c r="E624" s="7" t="s">
        <v>1233</v>
      </c>
      <c r="F624" s="7" t="s">
        <v>2920</v>
      </c>
      <c r="G624" s="7" t="s">
        <v>2700</v>
      </c>
      <c r="H624" s="7">
        <v>5.8</v>
      </c>
      <c r="I624" s="7" t="s">
        <v>718</v>
      </c>
    </row>
    <row r="625" spans="1:9">
      <c r="A625" s="7" t="s">
        <v>19</v>
      </c>
      <c r="B625" s="7" t="s">
        <v>3053</v>
      </c>
      <c r="C625" s="7">
        <v>4</v>
      </c>
      <c r="D625" s="7" t="s">
        <v>429</v>
      </c>
      <c r="E625" s="7" t="s">
        <v>1233</v>
      </c>
      <c r="F625" s="7" t="s">
        <v>2722</v>
      </c>
      <c r="G625" s="7" t="s">
        <v>2793</v>
      </c>
      <c r="H625" s="7">
        <v>5.8</v>
      </c>
      <c r="I625" s="7" t="s">
        <v>719</v>
      </c>
    </row>
    <row r="626" spans="1:9">
      <c r="A626" s="7" t="s">
        <v>19</v>
      </c>
      <c r="B626" s="7" t="s">
        <v>3053</v>
      </c>
      <c r="C626" s="7">
        <v>4</v>
      </c>
      <c r="D626" s="7" t="s">
        <v>429</v>
      </c>
      <c r="E626" s="7" t="s">
        <v>1233</v>
      </c>
      <c r="F626" s="7" t="s">
        <v>2722</v>
      </c>
      <c r="G626" s="7" t="s">
        <v>2794</v>
      </c>
      <c r="H626" s="7">
        <v>5.8</v>
      </c>
      <c r="I626" s="7" t="s">
        <v>719</v>
      </c>
    </row>
    <row r="627" spans="1:9">
      <c r="A627" s="7" t="s">
        <v>19</v>
      </c>
      <c r="B627" s="7" t="s">
        <v>3053</v>
      </c>
      <c r="C627" s="7">
        <v>4</v>
      </c>
      <c r="D627" s="7" t="s">
        <v>429</v>
      </c>
      <c r="E627" s="7" t="s">
        <v>1233</v>
      </c>
      <c r="F627" s="7" t="s">
        <v>2722</v>
      </c>
      <c r="G627" s="7" t="s">
        <v>2723</v>
      </c>
      <c r="H627" s="7">
        <v>5.8</v>
      </c>
      <c r="I627" s="7" t="s">
        <v>718</v>
      </c>
    </row>
    <row r="628" spans="1:9">
      <c r="A628" s="7" t="s">
        <v>19</v>
      </c>
      <c r="B628" s="7" t="s">
        <v>3053</v>
      </c>
      <c r="C628" s="7">
        <v>4</v>
      </c>
      <c r="D628" s="7" t="s">
        <v>429</v>
      </c>
      <c r="E628" s="7" t="s">
        <v>1233</v>
      </c>
      <c r="F628" s="7" t="s">
        <v>2722</v>
      </c>
      <c r="G628" s="7" t="s">
        <v>2724</v>
      </c>
      <c r="H628" s="7">
        <v>5.8</v>
      </c>
      <c r="I628" s="7" t="s">
        <v>718</v>
      </c>
    </row>
    <row r="629" spans="1:9">
      <c r="A629" s="7" t="s">
        <v>19</v>
      </c>
      <c r="B629" s="7" t="s">
        <v>3053</v>
      </c>
      <c r="C629" s="7">
        <v>4</v>
      </c>
      <c r="D629" s="7" t="s">
        <v>459</v>
      </c>
      <c r="E629" s="7" t="s">
        <v>1228</v>
      </c>
      <c r="F629" s="7" t="s">
        <v>1013</v>
      </c>
      <c r="G629" s="7" t="s">
        <v>191</v>
      </c>
      <c r="H629" s="7">
        <v>6.6</v>
      </c>
      <c r="I629" s="7" t="s">
        <v>719</v>
      </c>
    </row>
    <row r="630" spans="1:9">
      <c r="A630" s="7" t="s">
        <v>19</v>
      </c>
      <c r="B630" s="7" t="s">
        <v>3053</v>
      </c>
      <c r="C630" s="7">
        <v>4</v>
      </c>
      <c r="D630" s="7" t="s">
        <v>459</v>
      </c>
      <c r="E630" s="7" t="s">
        <v>1228</v>
      </c>
      <c r="F630" s="7" t="s">
        <v>1013</v>
      </c>
      <c r="G630" s="7" t="s">
        <v>2693</v>
      </c>
      <c r="H630" s="7">
        <v>6.6</v>
      </c>
      <c r="I630" s="7" t="s">
        <v>719</v>
      </c>
    </row>
    <row r="631" spans="1:9">
      <c r="A631" s="7" t="s">
        <v>19</v>
      </c>
      <c r="B631" s="7" t="s">
        <v>3053</v>
      </c>
      <c r="C631" s="7">
        <v>4</v>
      </c>
      <c r="D631" s="7" t="s">
        <v>459</v>
      </c>
      <c r="E631" s="7" t="s">
        <v>1228</v>
      </c>
      <c r="F631" s="7" t="s">
        <v>1013</v>
      </c>
      <c r="G631" s="7" t="s">
        <v>206</v>
      </c>
      <c r="H631" s="7">
        <v>6.5</v>
      </c>
      <c r="I631" s="7" t="s">
        <v>719</v>
      </c>
    </row>
    <row r="632" spans="1:9">
      <c r="A632" s="7" t="s">
        <v>19</v>
      </c>
      <c r="B632" s="7" t="s">
        <v>3053</v>
      </c>
      <c r="C632" s="7">
        <v>4</v>
      </c>
      <c r="D632" s="7" t="s">
        <v>459</v>
      </c>
      <c r="E632" s="7" t="s">
        <v>1228</v>
      </c>
      <c r="F632" s="7" t="s">
        <v>203</v>
      </c>
      <c r="G632" s="7" t="s">
        <v>191</v>
      </c>
      <c r="H632" s="7">
        <v>6.6</v>
      </c>
      <c r="I632" s="7" t="s">
        <v>719</v>
      </c>
    </row>
    <row r="633" spans="1:9">
      <c r="A633" s="7" t="s">
        <v>19</v>
      </c>
      <c r="B633" s="7" t="s">
        <v>3053</v>
      </c>
      <c r="C633" s="7">
        <v>4</v>
      </c>
      <c r="D633" s="7" t="s">
        <v>459</v>
      </c>
      <c r="E633" s="7" t="s">
        <v>1228</v>
      </c>
      <c r="F633" s="7" t="s">
        <v>203</v>
      </c>
      <c r="G633" s="7" t="s">
        <v>2693</v>
      </c>
      <c r="H633" s="7">
        <v>6.6</v>
      </c>
      <c r="I633" s="7" t="s">
        <v>719</v>
      </c>
    </row>
    <row r="634" spans="1:9">
      <c r="A634" s="7" t="s">
        <v>19</v>
      </c>
      <c r="B634" s="7" t="s">
        <v>3053</v>
      </c>
      <c r="C634" s="7">
        <v>4</v>
      </c>
      <c r="D634" s="7" t="s">
        <v>459</v>
      </c>
      <c r="E634" s="7" t="s">
        <v>1228</v>
      </c>
      <c r="F634" s="7" t="s">
        <v>203</v>
      </c>
      <c r="G634" s="7" t="s">
        <v>206</v>
      </c>
      <c r="H634" s="7">
        <v>6.5</v>
      </c>
      <c r="I634" s="7" t="s">
        <v>719</v>
      </c>
    </row>
    <row r="635" spans="1:9">
      <c r="A635" s="7" t="s">
        <v>19</v>
      </c>
      <c r="B635" s="7" t="s">
        <v>3053</v>
      </c>
      <c r="C635" s="7">
        <v>4</v>
      </c>
      <c r="D635" s="7" t="s">
        <v>459</v>
      </c>
      <c r="E635" s="7" t="s">
        <v>1228</v>
      </c>
      <c r="F635" s="7" t="s">
        <v>204</v>
      </c>
      <c r="G635" s="7" t="s">
        <v>191</v>
      </c>
      <c r="H635" s="7">
        <v>6.6</v>
      </c>
      <c r="I635" s="7" t="s">
        <v>719</v>
      </c>
    </row>
    <row r="636" spans="1:9">
      <c r="A636" s="7" t="s">
        <v>19</v>
      </c>
      <c r="B636" s="7" t="s">
        <v>3053</v>
      </c>
      <c r="C636" s="7">
        <v>4</v>
      </c>
      <c r="D636" s="7" t="s">
        <v>459</v>
      </c>
      <c r="E636" s="7" t="s">
        <v>1228</v>
      </c>
      <c r="F636" s="7" t="s">
        <v>204</v>
      </c>
      <c r="G636" s="7" t="s">
        <v>2693</v>
      </c>
      <c r="H636" s="7">
        <v>6.6</v>
      </c>
      <c r="I636" s="7" t="s">
        <v>719</v>
      </c>
    </row>
    <row r="637" spans="1:9">
      <c r="A637" s="7" t="s">
        <v>19</v>
      </c>
      <c r="B637" s="7" t="s">
        <v>3053</v>
      </c>
      <c r="C637" s="7">
        <v>4</v>
      </c>
      <c r="D637" s="7" t="s">
        <v>459</v>
      </c>
      <c r="E637" s="7" t="s">
        <v>1228</v>
      </c>
      <c r="F637" s="7" t="s">
        <v>204</v>
      </c>
      <c r="G637" s="7" t="s">
        <v>206</v>
      </c>
      <c r="H637" s="7">
        <v>6.5</v>
      </c>
      <c r="I637" s="7" t="s">
        <v>719</v>
      </c>
    </row>
    <row r="638" spans="1:9">
      <c r="A638" s="7" t="s">
        <v>19</v>
      </c>
      <c r="B638" s="7" t="s">
        <v>3053</v>
      </c>
      <c r="C638" s="7">
        <v>4</v>
      </c>
      <c r="D638" s="7" t="s">
        <v>459</v>
      </c>
      <c r="E638" s="7" t="s">
        <v>1228</v>
      </c>
      <c r="F638" s="7" t="s">
        <v>205</v>
      </c>
      <c r="G638" s="7" t="s">
        <v>191</v>
      </c>
      <c r="H638" s="7">
        <v>6.6</v>
      </c>
      <c r="I638" s="7" t="s">
        <v>719</v>
      </c>
    </row>
    <row r="639" spans="1:9">
      <c r="A639" s="7" t="s">
        <v>19</v>
      </c>
      <c r="B639" s="7" t="s">
        <v>3053</v>
      </c>
      <c r="C639" s="7">
        <v>4</v>
      </c>
      <c r="D639" s="7" t="s">
        <v>459</v>
      </c>
      <c r="E639" s="7" t="s">
        <v>1228</v>
      </c>
      <c r="F639" s="7" t="s">
        <v>205</v>
      </c>
      <c r="G639" s="7" t="s">
        <v>2693</v>
      </c>
      <c r="H639" s="7">
        <v>6.6</v>
      </c>
      <c r="I639" s="7" t="s">
        <v>719</v>
      </c>
    </row>
    <row r="640" spans="1:9">
      <c r="A640" s="7" t="s">
        <v>19</v>
      </c>
      <c r="B640" s="7" t="s">
        <v>3053</v>
      </c>
      <c r="C640" s="7">
        <v>4</v>
      </c>
      <c r="D640" s="7" t="s">
        <v>459</v>
      </c>
      <c r="E640" s="7" t="s">
        <v>1228</v>
      </c>
      <c r="F640" s="7" t="s">
        <v>205</v>
      </c>
      <c r="G640" s="7" t="s">
        <v>206</v>
      </c>
      <c r="H640" s="7">
        <v>6.5</v>
      </c>
      <c r="I640" s="7" t="s">
        <v>719</v>
      </c>
    </row>
    <row r="641" spans="1:9">
      <c r="A641" s="7" t="s">
        <v>19</v>
      </c>
      <c r="B641" s="7" t="s">
        <v>3053</v>
      </c>
      <c r="C641" s="7">
        <v>4</v>
      </c>
      <c r="D641" s="7" t="s">
        <v>459</v>
      </c>
      <c r="E641" s="7" t="s">
        <v>1228</v>
      </c>
      <c r="F641" s="7" t="s">
        <v>207</v>
      </c>
      <c r="G641" s="7" t="s">
        <v>191</v>
      </c>
      <c r="H641" s="7">
        <v>6.6</v>
      </c>
      <c r="I641" s="7" t="s">
        <v>719</v>
      </c>
    </row>
    <row r="642" spans="1:9">
      <c r="A642" s="7" t="s">
        <v>19</v>
      </c>
      <c r="B642" s="7" t="s">
        <v>3053</v>
      </c>
      <c r="C642" s="7">
        <v>4</v>
      </c>
      <c r="D642" s="7" t="s">
        <v>459</v>
      </c>
      <c r="E642" s="7" t="s">
        <v>1228</v>
      </c>
      <c r="F642" s="7" t="s">
        <v>207</v>
      </c>
      <c r="G642" s="7" t="s">
        <v>2693</v>
      </c>
      <c r="H642" s="7">
        <v>6.6</v>
      </c>
      <c r="I642" s="7" t="s">
        <v>719</v>
      </c>
    </row>
    <row r="643" spans="1:9">
      <c r="A643" s="7" t="s">
        <v>19</v>
      </c>
      <c r="B643" s="7" t="s">
        <v>3053</v>
      </c>
      <c r="C643" s="7">
        <v>4</v>
      </c>
      <c r="D643" s="7" t="s">
        <v>459</v>
      </c>
      <c r="E643" s="7" t="s">
        <v>1228</v>
      </c>
      <c r="F643" s="7" t="s">
        <v>207</v>
      </c>
      <c r="G643" s="7" t="s">
        <v>206</v>
      </c>
      <c r="H643" s="7">
        <v>6.5</v>
      </c>
      <c r="I643" s="7" t="s">
        <v>719</v>
      </c>
    </row>
    <row r="644" spans="1:9">
      <c r="A644" s="7" t="s">
        <v>19</v>
      </c>
      <c r="B644" s="7" t="s">
        <v>3053</v>
      </c>
      <c r="C644" s="7">
        <v>4</v>
      </c>
      <c r="D644" s="7" t="s">
        <v>459</v>
      </c>
      <c r="E644" s="7" t="s">
        <v>1228</v>
      </c>
      <c r="F644" s="7" t="s">
        <v>1034</v>
      </c>
      <c r="G644" s="7" t="s">
        <v>191</v>
      </c>
      <c r="H644" s="7">
        <v>6.6</v>
      </c>
      <c r="I644" s="7" t="s">
        <v>719</v>
      </c>
    </row>
    <row r="645" spans="1:9">
      <c r="A645" s="7" t="s">
        <v>19</v>
      </c>
      <c r="B645" s="7" t="s">
        <v>3053</v>
      </c>
      <c r="C645" s="7">
        <v>4</v>
      </c>
      <c r="D645" s="7" t="s">
        <v>459</v>
      </c>
      <c r="E645" s="7" t="s">
        <v>1228</v>
      </c>
      <c r="F645" s="7" t="s">
        <v>1034</v>
      </c>
      <c r="G645" s="7" t="s">
        <v>2693</v>
      </c>
      <c r="H645" s="7">
        <v>6.6</v>
      </c>
      <c r="I645" s="7" t="s">
        <v>719</v>
      </c>
    </row>
    <row r="646" spans="1:9">
      <c r="A646" s="7" t="s">
        <v>19</v>
      </c>
      <c r="B646" s="7" t="s">
        <v>3053</v>
      </c>
      <c r="C646" s="7">
        <v>4</v>
      </c>
      <c r="D646" s="7" t="s">
        <v>459</v>
      </c>
      <c r="E646" s="7" t="s">
        <v>1228</v>
      </c>
      <c r="F646" s="7" t="s">
        <v>1034</v>
      </c>
      <c r="G646" s="7" t="s">
        <v>206</v>
      </c>
      <c r="H646" s="7">
        <v>6.5</v>
      </c>
      <c r="I646" s="7" t="s">
        <v>719</v>
      </c>
    </row>
    <row r="647" spans="1:9">
      <c r="A647" s="7" t="s">
        <v>19</v>
      </c>
      <c r="B647" s="7" t="s">
        <v>3053</v>
      </c>
      <c r="C647" s="7">
        <v>4</v>
      </c>
      <c r="D647" s="7" t="s">
        <v>459</v>
      </c>
      <c r="E647" s="7" t="s">
        <v>1228</v>
      </c>
      <c r="F647" s="7" t="s">
        <v>1027</v>
      </c>
      <c r="G647" s="7" t="s">
        <v>191</v>
      </c>
      <c r="H647" s="7">
        <v>6.6</v>
      </c>
      <c r="I647" s="7" t="s">
        <v>719</v>
      </c>
    </row>
    <row r="648" spans="1:9">
      <c r="A648" s="7" t="s">
        <v>19</v>
      </c>
      <c r="B648" s="7" t="s">
        <v>3053</v>
      </c>
      <c r="C648" s="7">
        <v>4</v>
      </c>
      <c r="D648" s="7" t="s">
        <v>459</v>
      </c>
      <c r="E648" s="7" t="s">
        <v>1228</v>
      </c>
      <c r="F648" s="7" t="s">
        <v>1027</v>
      </c>
      <c r="G648" s="7" t="s">
        <v>2693</v>
      </c>
      <c r="H648" s="7">
        <v>6.6</v>
      </c>
      <c r="I648" s="7" t="s">
        <v>719</v>
      </c>
    </row>
    <row r="649" spans="1:9">
      <c r="A649" s="7" t="s">
        <v>19</v>
      </c>
      <c r="B649" s="7" t="s">
        <v>3053</v>
      </c>
      <c r="C649" s="7">
        <v>4</v>
      </c>
      <c r="D649" s="7" t="s">
        <v>459</v>
      </c>
      <c r="E649" s="7" t="s">
        <v>1228</v>
      </c>
      <c r="F649" s="7" t="s">
        <v>1027</v>
      </c>
      <c r="G649" s="7" t="s">
        <v>206</v>
      </c>
      <c r="H649" s="7">
        <v>6.5</v>
      </c>
      <c r="I649" s="7" t="s">
        <v>719</v>
      </c>
    </row>
    <row r="650" spans="1:9">
      <c r="A650" s="7" t="s">
        <v>19</v>
      </c>
      <c r="B650" s="7" t="s">
        <v>3053</v>
      </c>
      <c r="C650" s="7">
        <v>4</v>
      </c>
      <c r="D650" s="7" t="s">
        <v>459</v>
      </c>
      <c r="E650" s="7" t="s">
        <v>1228</v>
      </c>
      <c r="F650" s="7" t="s">
        <v>2728</v>
      </c>
      <c r="G650" s="7" t="s">
        <v>191</v>
      </c>
      <c r="H650" s="7">
        <v>6.6</v>
      </c>
      <c r="I650" s="7" t="s">
        <v>719</v>
      </c>
    </row>
    <row r="651" spans="1:9">
      <c r="A651" s="7" t="s">
        <v>19</v>
      </c>
      <c r="B651" s="7" t="s">
        <v>3053</v>
      </c>
      <c r="C651" s="7">
        <v>4</v>
      </c>
      <c r="D651" s="7" t="s">
        <v>459</v>
      </c>
      <c r="E651" s="7" t="s">
        <v>1228</v>
      </c>
      <c r="F651" s="7" t="s">
        <v>2728</v>
      </c>
      <c r="G651" s="7" t="s">
        <v>2693</v>
      </c>
      <c r="H651" s="7">
        <v>6.6</v>
      </c>
      <c r="I651" s="7" t="s">
        <v>719</v>
      </c>
    </row>
    <row r="652" spans="1:9">
      <c r="A652" s="7" t="s">
        <v>19</v>
      </c>
      <c r="B652" s="7" t="s">
        <v>3053</v>
      </c>
      <c r="C652" s="7">
        <v>4</v>
      </c>
      <c r="D652" s="7" t="s">
        <v>459</v>
      </c>
      <c r="E652" s="7" t="s">
        <v>1228</v>
      </c>
      <c r="F652" s="7" t="s">
        <v>2728</v>
      </c>
      <c r="G652" s="7" t="s">
        <v>206</v>
      </c>
      <c r="H652" s="7">
        <v>6.5</v>
      </c>
      <c r="I652" s="7" t="s">
        <v>719</v>
      </c>
    </row>
    <row r="653" spans="1:9">
      <c r="A653" s="7" t="s">
        <v>19</v>
      </c>
      <c r="B653" s="7" t="s">
        <v>3053</v>
      </c>
      <c r="C653" s="7">
        <v>4</v>
      </c>
      <c r="D653" s="7" t="s">
        <v>459</v>
      </c>
      <c r="E653" s="7" t="s">
        <v>1228</v>
      </c>
      <c r="F653" s="7" t="s">
        <v>2729</v>
      </c>
      <c r="G653" s="7" t="s">
        <v>191</v>
      </c>
      <c r="H653" s="7">
        <v>6.6</v>
      </c>
      <c r="I653" s="7" t="s">
        <v>719</v>
      </c>
    </row>
    <row r="654" spans="1:9">
      <c r="A654" s="7" t="s">
        <v>19</v>
      </c>
      <c r="B654" s="7" t="s">
        <v>3053</v>
      </c>
      <c r="C654" s="7">
        <v>4</v>
      </c>
      <c r="D654" s="7" t="s">
        <v>459</v>
      </c>
      <c r="E654" s="7" t="s">
        <v>1228</v>
      </c>
      <c r="F654" s="7" t="s">
        <v>2729</v>
      </c>
      <c r="G654" s="7" t="s">
        <v>2693</v>
      </c>
      <c r="H654" s="7">
        <v>6.6</v>
      </c>
      <c r="I654" s="7" t="s">
        <v>719</v>
      </c>
    </row>
    <row r="655" spans="1:9">
      <c r="A655" s="7" t="s">
        <v>19</v>
      </c>
      <c r="B655" s="7" t="s">
        <v>3053</v>
      </c>
      <c r="C655" s="7">
        <v>4</v>
      </c>
      <c r="D655" s="7" t="s">
        <v>459</v>
      </c>
      <c r="E655" s="7" t="s">
        <v>1228</v>
      </c>
      <c r="F655" s="7" t="s">
        <v>2729</v>
      </c>
      <c r="G655" s="7" t="s">
        <v>206</v>
      </c>
      <c r="H655" s="7">
        <v>6.5</v>
      </c>
      <c r="I655" s="7" t="s">
        <v>719</v>
      </c>
    </row>
    <row r="656" spans="1:9">
      <c r="A656" s="7" t="s">
        <v>19</v>
      </c>
      <c r="B656" s="7" t="s">
        <v>3053</v>
      </c>
      <c r="C656" s="7">
        <v>4</v>
      </c>
      <c r="D656" s="7" t="s">
        <v>459</v>
      </c>
      <c r="E656" s="7" t="s">
        <v>1228</v>
      </c>
      <c r="F656" s="7" t="s">
        <v>2730</v>
      </c>
      <c r="G656" s="7" t="s">
        <v>191</v>
      </c>
      <c r="H656" s="7">
        <v>6.6</v>
      </c>
      <c r="I656" s="7" t="s">
        <v>719</v>
      </c>
    </row>
    <row r="657" spans="1:9">
      <c r="A657" s="7" t="s">
        <v>19</v>
      </c>
      <c r="B657" s="7" t="s">
        <v>3053</v>
      </c>
      <c r="C657" s="7">
        <v>4</v>
      </c>
      <c r="D657" s="7" t="s">
        <v>459</v>
      </c>
      <c r="E657" s="7" t="s">
        <v>1228</v>
      </c>
      <c r="F657" s="7" t="s">
        <v>2730</v>
      </c>
      <c r="G657" s="7" t="s">
        <v>2693</v>
      </c>
      <c r="H657" s="7">
        <v>6.6</v>
      </c>
      <c r="I657" s="7" t="s">
        <v>719</v>
      </c>
    </row>
    <row r="658" spans="1:9">
      <c r="A658" s="7" t="s">
        <v>19</v>
      </c>
      <c r="B658" s="7" t="s">
        <v>3053</v>
      </c>
      <c r="C658" s="7">
        <v>4</v>
      </c>
      <c r="D658" s="7" t="s">
        <v>459</v>
      </c>
      <c r="E658" s="7" t="s">
        <v>1228</v>
      </c>
      <c r="F658" s="7" t="s">
        <v>2730</v>
      </c>
      <c r="G658" s="7" t="s">
        <v>206</v>
      </c>
      <c r="H658" s="7">
        <v>6.5</v>
      </c>
      <c r="I658" s="7" t="s">
        <v>719</v>
      </c>
    </row>
    <row r="659" spans="1:9">
      <c r="A659" s="7" t="s">
        <v>19</v>
      </c>
      <c r="B659" s="7" t="s">
        <v>3053</v>
      </c>
      <c r="C659" s="7">
        <v>4</v>
      </c>
      <c r="D659" s="7" t="s">
        <v>459</v>
      </c>
      <c r="E659" s="7" t="s">
        <v>1228</v>
      </c>
      <c r="F659" s="7" t="s">
        <v>209</v>
      </c>
      <c r="G659" s="7" t="s">
        <v>191</v>
      </c>
      <c r="H659" s="7">
        <v>6.6</v>
      </c>
      <c r="I659" s="7" t="s">
        <v>719</v>
      </c>
    </row>
    <row r="660" spans="1:9">
      <c r="A660" s="7" t="s">
        <v>19</v>
      </c>
      <c r="B660" s="7" t="s">
        <v>3053</v>
      </c>
      <c r="C660" s="7">
        <v>4</v>
      </c>
      <c r="D660" s="7" t="s">
        <v>459</v>
      </c>
      <c r="E660" s="7" t="s">
        <v>1228</v>
      </c>
      <c r="F660" s="7" t="s">
        <v>209</v>
      </c>
      <c r="G660" s="7" t="s">
        <v>2693</v>
      </c>
      <c r="H660" s="7">
        <v>6.6</v>
      </c>
      <c r="I660" s="7" t="s">
        <v>719</v>
      </c>
    </row>
    <row r="661" spans="1:9">
      <c r="A661" s="7" t="s">
        <v>19</v>
      </c>
      <c r="B661" s="7" t="s">
        <v>3053</v>
      </c>
      <c r="C661" s="7">
        <v>4</v>
      </c>
      <c r="D661" s="7" t="s">
        <v>459</v>
      </c>
      <c r="E661" s="7" t="s">
        <v>1228</v>
      </c>
      <c r="F661" s="7" t="s">
        <v>209</v>
      </c>
      <c r="G661" s="7" t="s">
        <v>206</v>
      </c>
      <c r="H661" s="7">
        <v>6.5</v>
      </c>
      <c r="I661" s="7" t="s">
        <v>719</v>
      </c>
    </row>
    <row r="662" spans="1:9">
      <c r="A662" s="7" t="s">
        <v>19</v>
      </c>
      <c r="B662" s="7" t="s">
        <v>3053</v>
      </c>
      <c r="C662" s="7">
        <v>4</v>
      </c>
      <c r="D662" s="7" t="s">
        <v>459</v>
      </c>
      <c r="E662" s="7" t="s">
        <v>1228</v>
      </c>
      <c r="F662" s="7" t="s">
        <v>2731</v>
      </c>
      <c r="G662" s="7" t="s">
        <v>191</v>
      </c>
      <c r="H662" s="7">
        <v>6.6</v>
      </c>
      <c r="I662" s="7" t="s">
        <v>719</v>
      </c>
    </row>
    <row r="663" spans="1:9">
      <c r="A663" s="7" t="s">
        <v>19</v>
      </c>
      <c r="B663" s="7" t="s">
        <v>3053</v>
      </c>
      <c r="C663" s="7">
        <v>4</v>
      </c>
      <c r="D663" s="7" t="s">
        <v>459</v>
      </c>
      <c r="E663" s="7" t="s">
        <v>1228</v>
      </c>
      <c r="F663" s="7" t="s">
        <v>2731</v>
      </c>
      <c r="G663" s="7" t="s">
        <v>2693</v>
      </c>
      <c r="H663" s="7">
        <v>6.6</v>
      </c>
      <c r="I663" s="7" t="s">
        <v>719</v>
      </c>
    </row>
    <row r="664" spans="1:9">
      <c r="A664" s="7" t="s">
        <v>19</v>
      </c>
      <c r="B664" s="7" t="s">
        <v>3053</v>
      </c>
      <c r="C664" s="7">
        <v>4</v>
      </c>
      <c r="D664" s="7" t="s">
        <v>459</v>
      </c>
      <c r="E664" s="7" t="s">
        <v>1228</v>
      </c>
      <c r="F664" s="7" t="s">
        <v>2731</v>
      </c>
      <c r="G664" s="7" t="s">
        <v>206</v>
      </c>
      <c r="H664" s="7">
        <v>6.5</v>
      </c>
      <c r="I664" s="7" t="s">
        <v>719</v>
      </c>
    </row>
    <row r="665" spans="1:9">
      <c r="A665" s="7" t="s">
        <v>19</v>
      </c>
      <c r="B665" s="7" t="s">
        <v>3053</v>
      </c>
      <c r="C665" s="7">
        <v>4</v>
      </c>
      <c r="D665" s="7" t="s">
        <v>459</v>
      </c>
      <c r="E665" s="7" t="s">
        <v>1228</v>
      </c>
      <c r="F665" s="7" t="s">
        <v>2732</v>
      </c>
      <c r="G665" s="7" t="s">
        <v>191</v>
      </c>
      <c r="H665" s="7">
        <v>6.6</v>
      </c>
      <c r="I665" s="7" t="s">
        <v>719</v>
      </c>
    </row>
    <row r="666" spans="1:9">
      <c r="A666" s="7" t="s">
        <v>19</v>
      </c>
      <c r="B666" s="7" t="s">
        <v>3053</v>
      </c>
      <c r="C666" s="7">
        <v>4</v>
      </c>
      <c r="D666" s="7" t="s">
        <v>459</v>
      </c>
      <c r="E666" s="7" t="s">
        <v>1228</v>
      </c>
      <c r="F666" s="7" t="s">
        <v>2732</v>
      </c>
      <c r="G666" s="7" t="s">
        <v>2693</v>
      </c>
      <c r="H666" s="7">
        <v>6.6</v>
      </c>
      <c r="I666" s="7" t="s">
        <v>719</v>
      </c>
    </row>
    <row r="667" spans="1:9">
      <c r="A667" s="7" t="s">
        <v>19</v>
      </c>
      <c r="B667" s="7" t="s">
        <v>3053</v>
      </c>
      <c r="C667" s="7">
        <v>4</v>
      </c>
      <c r="D667" s="7" t="s">
        <v>459</v>
      </c>
      <c r="E667" s="7" t="s">
        <v>1228</v>
      </c>
      <c r="F667" s="7" t="s">
        <v>2732</v>
      </c>
      <c r="G667" s="7" t="s">
        <v>206</v>
      </c>
      <c r="H667" s="7">
        <v>6.5</v>
      </c>
      <c r="I667" s="7" t="s">
        <v>719</v>
      </c>
    </row>
    <row r="668" spans="1:9">
      <c r="A668" s="7" t="s">
        <v>19</v>
      </c>
      <c r="B668" s="7" t="s">
        <v>3053</v>
      </c>
      <c r="C668" s="7">
        <v>4</v>
      </c>
      <c r="D668" s="7" t="s">
        <v>459</v>
      </c>
      <c r="E668" s="7" t="s">
        <v>1228</v>
      </c>
      <c r="F668" s="7" t="s">
        <v>210</v>
      </c>
      <c r="G668" s="7" t="s">
        <v>191</v>
      </c>
      <c r="H668" s="7">
        <v>6.6</v>
      </c>
      <c r="I668" s="7" t="s">
        <v>719</v>
      </c>
    </row>
    <row r="669" spans="1:9">
      <c r="A669" s="7" t="s">
        <v>19</v>
      </c>
      <c r="B669" s="7" t="s">
        <v>3053</v>
      </c>
      <c r="C669" s="7">
        <v>4</v>
      </c>
      <c r="D669" s="7" t="s">
        <v>459</v>
      </c>
      <c r="E669" s="7" t="s">
        <v>1228</v>
      </c>
      <c r="F669" s="7" t="s">
        <v>210</v>
      </c>
      <c r="G669" s="7" t="s">
        <v>2693</v>
      </c>
      <c r="H669" s="7">
        <v>6.6</v>
      </c>
      <c r="I669" s="7" t="s">
        <v>719</v>
      </c>
    </row>
    <row r="670" spans="1:9">
      <c r="A670" s="7" t="s">
        <v>19</v>
      </c>
      <c r="B670" s="7" t="s">
        <v>3053</v>
      </c>
      <c r="C670" s="7">
        <v>4</v>
      </c>
      <c r="D670" s="7" t="s">
        <v>459</v>
      </c>
      <c r="E670" s="7" t="s">
        <v>1228</v>
      </c>
      <c r="F670" s="7" t="s">
        <v>210</v>
      </c>
      <c r="G670" s="7" t="s">
        <v>206</v>
      </c>
      <c r="H670" s="7">
        <v>6.5</v>
      </c>
      <c r="I670" s="7" t="s">
        <v>719</v>
      </c>
    </row>
    <row r="671" spans="1:9">
      <c r="A671" s="7" t="s">
        <v>19</v>
      </c>
      <c r="B671" s="7" t="s">
        <v>3053</v>
      </c>
      <c r="C671" s="7">
        <v>4</v>
      </c>
      <c r="D671" s="7" t="s">
        <v>459</v>
      </c>
      <c r="E671" s="7" t="s">
        <v>1234</v>
      </c>
      <c r="F671" s="7" t="s">
        <v>2921</v>
      </c>
      <c r="G671" s="7" t="s">
        <v>2924</v>
      </c>
      <c r="H671" s="7">
        <v>5.6</v>
      </c>
      <c r="I671" s="7" t="s">
        <v>718</v>
      </c>
    </row>
    <row r="672" spans="1:9">
      <c r="A672" s="7" t="s">
        <v>19</v>
      </c>
      <c r="B672" s="7" t="s">
        <v>3053</v>
      </c>
      <c r="C672" s="7">
        <v>4</v>
      </c>
      <c r="D672" s="7" t="s">
        <v>459</v>
      </c>
      <c r="E672" s="7" t="s">
        <v>1234</v>
      </c>
      <c r="F672" s="7" t="s">
        <v>2921</v>
      </c>
      <c r="G672" s="7" t="s">
        <v>2923</v>
      </c>
      <c r="H672" s="7">
        <v>5.6</v>
      </c>
      <c r="I672" s="7" t="s">
        <v>718</v>
      </c>
    </row>
    <row r="673" spans="1:9">
      <c r="A673" s="7" t="s">
        <v>19</v>
      </c>
      <c r="B673" s="7" t="s">
        <v>3053</v>
      </c>
      <c r="C673" s="7">
        <v>4</v>
      </c>
      <c r="D673" s="7" t="s">
        <v>459</v>
      </c>
      <c r="E673" s="7" t="s">
        <v>1234</v>
      </c>
      <c r="F673" s="7" t="s">
        <v>2921</v>
      </c>
      <c r="G673" s="7" t="s">
        <v>2922</v>
      </c>
      <c r="H673" s="7">
        <v>5.6</v>
      </c>
      <c r="I673" s="7" t="s">
        <v>718</v>
      </c>
    </row>
    <row r="674" spans="1:9">
      <c r="A674" s="7" t="s">
        <v>19</v>
      </c>
      <c r="B674" s="7" t="s">
        <v>3053</v>
      </c>
      <c r="C674" s="7">
        <v>4</v>
      </c>
      <c r="D674" s="7" t="s">
        <v>459</v>
      </c>
      <c r="E674" s="7" t="s">
        <v>1895</v>
      </c>
      <c r="F674" s="7" t="s">
        <v>2804</v>
      </c>
      <c r="G674" s="7" t="s">
        <v>2700</v>
      </c>
      <c r="H674" s="7">
        <v>5.8</v>
      </c>
      <c r="I674" s="7" t="s">
        <v>718</v>
      </c>
    </row>
    <row r="675" spans="1:9">
      <c r="A675" s="7" t="s">
        <v>19</v>
      </c>
      <c r="B675" s="7" t="s">
        <v>3053</v>
      </c>
      <c r="C675" s="7">
        <v>4</v>
      </c>
      <c r="D675" s="7" t="s">
        <v>459</v>
      </c>
      <c r="E675" s="7" t="s">
        <v>1895</v>
      </c>
      <c r="F675" s="7" t="s">
        <v>2804</v>
      </c>
      <c r="G675" s="7" t="s">
        <v>2810</v>
      </c>
      <c r="H675" s="7">
        <v>5.8</v>
      </c>
      <c r="I675" s="7" t="s">
        <v>718</v>
      </c>
    </row>
    <row r="676" spans="1:9">
      <c r="A676" s="7" t="s">
        <v>19</v>
      </c>
      <c r="B676" s="7" t="s">
        <v>3053</v>
      </c>
      <c r="C676" s="7">
        <v>4</v>
      </c>
      <c r="D676" s="7" t="s">
        <v>459</v>
      </c>
      <c r="E676" s="7" t="s">
        <v>1895</v>
      </c>
      <c r="F676" s="7" t="s">
        <v>2804</v>
      </c>
      <c r="G676" s="7" t="s">
        <v>2811</v>
      </c>
      <c r="H676" s="7">
        <v>5.8</v>
      </c>
      <c r="I676" s="7" t="s">
        <v>719</v>
      </c>
    </row>
    <row r="677" spans="1:9">
      <c r="A677" s="7" t="s">
        <v>19</v>
      </c>
      <c r="B677" s="7" t="s">
        <v>3053</v>
      </c>
      <c r="C677" s="7">
        <v>4</v>
      </c>
      <c r="D677" s="7" t="s">
        <v>459</v>
      </c>
      <c r="E677" s="7" t="s">
        <v>1895</v>
      </c>
      <c r="F677" s="7" t="s">
        <v>2804</v>
      </c>
      <c r="G677" s="7" t="s">
        <v>2812</v>
      </c>
      <c r="H677" s="7">
        <v>5.8</v>
      </c>
      <c r="I677" s="7" t="s">
        <v>719</v>
      </c>
    </row>
    <row r="678" spans="1:9">
      <c r="A678" s="7" t="s">
        <v>19</v>
      </c>
      <c r="B678" s="7" t="s">
        <v>3053</v>
      </c>
      <c r="C678" s="7">
        <v>4</v>
      </c>
      <c r="D678" s="7" t="s">
        <v>459</v>
      </c>
      <c r="E678" s="7" t="s">
        <v>1895</v>
      </c>
      <c r="F678" s="7" t="s">
        <v>1026</v>
      </c>
      <c r="G678" s="7" t="s">
        <v>2700</v>
      </c>
      <c r="H678" s="7">
        <v>5.6</v>
      </c>
      <c r="I678" s="7" t="s">
        <v>718</v>
      </c>
    </row>
    <row r="679" spans="1:9">
      <c r="A679" s="7" t="s">
        <v>19</v>
      </c>
      <c r="B679" s="7" t="s">
        <v>3053</v>
      </c>
      <c r="C679" s="7">
        <v>4</v>
      </c>
      <c r="D679" s="7" t="s">
        <v>459</v>
      </c>
      <c r="E679" s="7" t="s">
        <v>1895</v>
      </c>
      <c r="F679" s="7" t="s">
        <v>2741</v>
      </c>
      <c r="G679" s="7" t="s">
        <v>191</v>
      </c>
      <c r="H679" s="7">
        <v>6.6</v>
      </c>
      <c r="I679" s="7" t="s">
        <v>719</v>
      </c>
    </row>
    <row r="680" spans="1:9">
      <c r="A680" s="7" t="s">
        <v>19</v>
      </c>
      <c r="B680" s="7" t="s">
        <v>3053</v>
      </c>
      <c r="C680" s="7">
        <v>4</v>
      </c>
      <c r="D680" s="7" t="s">
        <v>459</v>
      </c>
      <c r="E680" s="7" t="s">
        <v>1895</v>
      </c>
      <c r="F680" s="7" t="s">
        <v>2741</v>
      </c>
      <c r="G680" s="7" t="s">
        <v>2693</v>
      </c>
      <c r="H680" s="7">
        <v>6.6</v>
      </c>
      <c r="I680" s="7" t="s">
        <v>719</v>
      </c>
    </row>
    <row r="681" spans="1:9">
      <c r="A681" s="7" t="s">
        <v>19</v>
      </c>
      <c r="B681" s="7" t="s">
        <v>3053</v>
      </c>
      <c r="C681" s="7">
        <v>4</v>
      </c>
      <c r="D681" s="7" t="s">
        <v>459</v>
      </c>
      <c r="E681" s="7" t="s">
        <v>1895</v>
      </c>
      <c r="F681" s="7" t="s">
        <v>2741</v>
      </c>
      <c r="G681" s="7" t="s">
        <v>206</v>
      </c>
      <c r="H681" s="7">
        <v>6.5</v>
      </c>
      <c r="I681" s="7" t="s">
        <v>719</v>
      </c>
    </row>
    <row r="682" spans="1:9">
      <c r="A682" s="7" t="s">
        <v>19</v>
      </c>
      <c r="B682" s="7" t="s">
        <v>3053</v>
      </c>
      <c r="C682" s="7">
        <v>4</v>
      </c>
      <c r="D682" s="7" t="s">
        <v>459</v>
      </c>
      <c r="E682" s="7" t="s">
        <v>1895</v>
      </c>
      <c r="F682" s="7" t="s">
        <v>2742</v>
      </c>
      <c r="G682" s="7" t="s">
        <v>191</v>
      </c>
      <c r="H682" s="7">
        <v>6.6</v>
      </c>
      <c r="I682" s="7" t="s">
        <v>719</v>
      </c>
    </row>
    <row r="683" spans="1:9">
      <c r="A683" s="7" t="s">
        <v>19</v>
      </c>
      <c r="B683" s="7" t="s">
        <v>3053</v>
      </c>
      <c r="C683" s="7">
        <v>4</v>
      </c>
      <c r="D683" s="7" t="s">
        <v>459</v>
      </c>
      <c r="E683" s="7" t="s">
        <v>1895</v>
      </c>
      <c r="F683" s="7" t="s">
        <v>2742</v>
      </c>
      <c r="G683" s="7" t="s">
        <v>2693</v>
      </c>
      <c r="H683" s="7">
        <v>6.6</v>
      </c>
      <c r="I683" s="7" t="s">
        <v>719</v>
      </c>
    </row>
    <row r="684" spans="1:9">
      <c r="A684" s="7" t="s">
        <v>19</v>
      </c>
      <c r="B684" s="7" t="s">
        <v>3053</v>
      </c>
      <c r="C684" s="7">
        <v>4</v>
      </c>
      <c r="D684" s="7" t="s">
        <v>459</v>
      </c>
      <c r="E684" s="7" t="s">
        <v>1895</v>
      </c>
      <c r="F684" s="7" t="s">
        <v>2742</v>
      </c>
      <c r="G684" s="7" t="s">
        <v>206</v>
      </c>
      <c r="H684" s="7">
        <v>6.5</v>
      </c>
      <c r="I684" s="7" t="s">
        <v>719</v>
      </c>
    </row>
    <row r="685" spans="1:9">
      <c r="A685" s="7" t="s">
        <v>19</v>
      </c>
      <c r="B685" s="7" t="s">
        <v>687</v>
      </c>
      <c r="C685" s="7">
        <v>1</v>
      </c>
      <c r="D685" s="7" t="s">
        <v>451</v>
      </c>
      <c r="E685" s="7" t="s">
        <v>451</v>
      </c>
      <c r="F685" s="7" t="s">
        <v>370</v>
      </c>
      <c r="G685" s="7" t="s">
        <v>959</v>
      </c>
      <c r="H685" s="7">
        <v>4.3</v>
      </c>
      <c r="I685" s="7" t="s">
        <v>718</v>
      </c>
    </row>
    <row r="686" spans="1:9">
      <c r="A686" s="7" t="s">
        <v>19</v>
      </c>
      <c r="B686" s="7" t="s">
        <v>687</v>
      </c>
      <c r="C686" s="7">
        <v>1</v>
      </c>
      <c r="D686" s="7" t="s">
        <v>451</v>
      </c>
      <c r="E686" s="7" t="s">
        <v>451</v>
      </c>
      <c r="F686" s="7" t="s">
        <v>370</v>
      </c>
      <c r="G686" s="7" t="s">
        <v>960</v>
      </c>
      <c r="H686" s="7">
        <v>4.3</v>
      </c>
      <c r="I686" s="7" t="s">
        <v>718</v>
      </c>
    </row>
    <row r="687" spans="1:9">
      <c r="A687" s="7" t="s">
        <v>19</v>
      </c>
      <c r="B687" s="7" t="s">
        <v>687</v>
      </c>
      <c r="C687" s="7">
        <v>1</v>
      </c>
      <c r="D687" s="7" t="s">
        <v>451</v>
      </c>
      <c r="E687" s="7" t="s">
        <v>451</v>
      </c>
      <c r="F687" s="7" t="s">
        <v>957</v>
      </c>
      <c r="G687" s="7" t="s">
        <v>958</v>
      </c>
      <c r="H687" s="7">
        <v>4.3</v>
      </c>
      <c r="I687" s="7" t="s">
        <v>718</v>
      </c>
    </row>
    <row r="688" spans="1:9">
      <c r="A688" s="7" t="s">
        <v>19</v>
      </c>
      <c r="B688" s="7" t="s">
        <v>687</v>
      </c>
      <c r="C688" s="7">
        <v>1</v>
      </c>
      <c r="D688" s="7" t="s">
        <v>451</v>
      </c>
      <c r="E688" s="7" t="s">
        <v>451</v>
      </c>
      <c r="F688" s="7" t="s">
        <v>357</v>
      </c>
      <c r="G688" s="7" t="s">
        <v>961</v>
      </c>
      <c r="H688" s="7">
        <v>4.3</v>
      </c>
      <c r="I688" s="7" t="s">
        <v>718</v>
      </c>
    </row>
    <row r="689" spans="1:9">
      <c r="A689" s="7" t="s">
        <v>19</v>
      </c>
      <c r="B689" s="7" t="s">
        <v>687</v>
      </c>
      <c r="C689" s="7">
        <v>1</v>
      </c>
      <c r="D689" s="7" t="s">
        <v>451</v>
      </c>
      <c r="E689" s="7" t="s">
        <v>451</v>
      </c>
      <c r="F689" s="7" t="s">
        <v>357</v>
      </c>
      <c r="G689" s="7" t="s">
        <v>2926</v>
      </c>
      <c r="H689" s="7">
        <v>4.3</v>
      </c>
      <c r="I689" s="7" t="s">
        <v>718</v>
      </c>
    </row>
    <row r="690" spans="1:9">
      <c r="A690" s="7" t="s">
        <v>19</v>
      </c>
      <c r="B690" s="7" t="s">
        <v>687</v>
      </c>
      <c r="C690" s="7">
        <v>1</v>
      </c>
      <c r="D690" s="7" t="s">
        <v>451</v>
      </c>
      <c r="E690" s="7" t="s">
        <v>451</v>
      </c>
      <c r="F690" s="7" t="s">
        <v>357</v>
      </c>
      <c r="G690" s="7" t="s">
        <v>2927</v>
      </c>
      <c r="H690" s="7">
        <v>4.3</v>
      </c>
      <c r="I690" s="7" t="s">
        <v>718</v>
      </c>
    </row>
    <row r="691" spans="1:9">
      <c r="A691" s="7" t="s">
        <v>19</v>
      </c>
      <c r="B691" s="7" t="s">
        <v>687</v>
      </c>
      <c r="C691" s="7">
        <v>1</v>
      </c>
      <c r="D691" s="7" t="s">
        <v>451</v>
      </c>
      <c r="E691" s="7" t="s">
        <v>451</v>
      </c>
      <c r="F691" s="7" t="s">
        <v>357</v>
      </c>
      <c r="G691" s="7" t="s">
        <v>2925</v>
      </c>
      <c r="H691" s="7">
        <v>4.3</v>
      </c>
      <c r="I691" s="7" t="s">
        <v>718</v>
      </c>
    </row>
    <row r="692" spans="1:9">
      <c r="A692" s="7" t="s">
        <v>19</v>
      </c>
      <c r="B692" s="7" t="s">
        <v>687</v>
      </c>
      <c r="C692" s="7">
        <v>1</v>
      </c>
      <c r="D692" s="7" t="s">
        <v>451</v>
      </c>
      <c r="E692" s="7" t="s">
        <v>451</v>
      </c>
      <c r="F692" s="7" t="s">
        <v>357</v>
      </c>
      <c r="G692" s="7" t="s">
        <v>962</v>
      </c>
      <c r="H692" s="7">
        <v>4.3</v>
      </c>
      <c r="I692" s="7" t="s">
        <v>718</v>
      </c>
    </row>
    <row r="693" spans="1:9">
      <c r="A693" s="7" t="s">
        <v>19</v>
      </c>
      <c r="B693" s="7" t="s">
        <v>687</v>
      </c>
      <c r="C693" s="7">
        <v>1</v>
      </c>
      <c r="D693" s="7" t="s">
        <v>451</v>
      </c>
      <c r="E693" s="7" t="s">
        <v>451</v>
      </c>
      <c r="F693" s="7" t="s">
        <v>357</v>
      </c>
      <c r="G693" s="7" t="s">
        <v>2928</v>
      </c>
      <c r="H693" s="7">
        <v>4.3</v>
      </c>
      <c r="I693" s="7" t="s">
        <v>718</v>
      </c>
    </row>
    <row r="694" spans="1:9">
      <c r="A694" s="7" t="s">
        <v>19</v>
      </c>
      <c r="B694" s="7" t="s">
        <v>687</v>
      </c>
      <c r="C694" s="7">
        <v>1</v>
      </c>
      <c r="D694" s="7" t="s">
        <v>451</v>
      </c>
      <c r="E694" s="7" t="s">
        <v>451</v>
      </c>
      <c r="F694" s="7" t="s">
        <v>357</v>
      </c>
      <c r="G694" s="7" t="s">
        <v>963</v>
      </c>
      <c r="H694" s="7">
        <v>4.3</v>
      </c>
      <c r="I694" s="7" t="s">
        <v>718</v>
      </c>
    </row>
    <row r="695" spans="1:9">
      <c r="A695" s="7" t="s">
        <v>19</v>
      </c>
      <c r="B695" s="7" t="s">
        <v>687</v>
      </c>
      <c r="C695" s="7">
        <v>1</v>
      </c>
      <c r="D695" s="7" t="s">
        <v>451</v>
      </c>
      <c r="E695" s="7" t="s">
        <v>451</v>
      </c>
      <c r="F695" s="7" t="s">
        <v>357</v>
      </c>
      <c r="G695" s="7" t="s">
        <v>2929</v>
      </c>
      <c r="H695" s="7">
        <v>4.3</v>
      </c>
      <c r="I695" s="7" t="s">
        <v>718</v>
      </c>
    </row>
    <row r="696" spans="1:9">
      <c r="A696" s="7" t="s">
        <v>19</v>
      </c>
      <c r="B696" s="7" t="s">
        <v>687</v>
      </c>
      <c r="C696" s="7">
        <v>1</v>
      </c>
      <c r="D696" s="7" t="s">
        <v>451</v>
      </c>
      <c r="E696" s="7" t="s">
        <v>451</v>
      </c>
      <c r="F696" s="7" t="s">
        <v>357</v>
      </c>
      <c r="G696" s="7" t="s">
        <v>964</v>
      </c>
      <c r="H696" s="7">
        <v>4.3</v>
      </c>
      <c r="I696" s="7" t="s">
        <v>718</v>
      </c>
    </row>
    <row r="697" spans="1:9">
      <c r="A697" s="7" t="s">
        <v>19</v>
      </c>
      <c r="B697" s="7" t="s">
        <v>687</v>
      </c>
      <c r="C697" s="7">
        <v>1</v>
      </c>
      <c r="D697" s="7" t="s">
        <v>451</v>
      </c>
      <c r="E697" s="7" t="s">
        <v>451</v>
      </c>
      <c r="F697" s="7" t="s">
        <v>357</v>
      </c>
      <c r="G697" s="7" t="s">
        <v>2930</v>
      </c>
      <c r="H697" s="7">
        <v>4.3</v>
      </c>
      <c r="I697" s="7" t="s">
        <v>718</v>
      </c>
    </row>
    <row r="698" spans="1:9">
      <c r="A698" s="7" t="s">
        <v>19</v>
      </c>
      <c r="B698" s="7" t="s">
        <v>687</v>
      </c>
      <c r="C698" s="7">
        <v>1</v>
      </c>
      <c r="D698" s="7" t="s">
        <v>451</v>
      </c>
      <c r="E698" s="7" t="s">
        <v>451</v>
      </c>
      <c r="F698" s="7" t="s">
        <v>357</v>
      </c>
      <c r="G698" s="7" t="s">
        <v>965</v>
      </c>
      <c r="H698" s="7">
        <v>4.3</v>
      </c>
      <c r="I698" s="7" t="s">
        <v>718</v>
      </c>
    </row>
    <row r="699" spans="1:9">
      <c r="A699" s="7" t="s">
        <v>19</v>
      </c>
      <c r="B699" s="7" t="s">
        <v>687</v>
      </c>
      <c r="C699" s="7">
        <v>1</v>
      </c>
      <c r="D699" s="7" t="s">
        <v>451</v>
      </c>
      <c r="E699" s="7" t="s">
        <v>451</v>
      </c>
      <c r="F699" s="7" t="s">
        <v>357</v>
      </c>
      <c r="G699" s="7" t="s">
        <v>2931</v>
      </c>
      <c r="H699" s="7">
        <v>4.3</v>
      </c>
      <c r="I699" s="7" t="s">
        <v>718</v>
      </c>
    </row>
    <row r="700" spans="1:9">
      <c r="A700" s="7" t="s">
        <v>19</v>
      </c>
      <c r="B700" s="7" t="s">
        <v>687</v>
      </c>
      <c r="C700" s="7">
        <v>1</v>
      </c>
      <c r="D700" s="7" t="s">
        <v>451</v>
      </c>
      <c r="E700" s="7" t="s">
        <v>451</v>
      </c>
      <c r="F700" s="7" t="s">
        <v>357</v>
      </c>
      <c r="G700" s="7" t="s">
        <v>966</v>
      </c>
      <c r="H700" s="7">
        <v>4.3</v>
      </c>
      <c r="I700" s="7" t="s">
        <v>718</v>
      </c>
    </row>
    <row r="701" spans="1:9">
      <c r="A701" s="7" t="s">
        <v>19</v>
      </c>
      <c r="B701" s="7" t="s">
        <v>687</v>
      </c>
      <c r="C701" s="7">
        <v>1</v>
      </c>
      <c r="D701" s="7" t="s">
        <v>451</v>
      </c>
      <c r="E701" s="7" t="s">
        <v>451</v>
      </c>
      <c r="F701" s="7" t="s">
        <v>365</v>
      </c>
      <c r="G701" s="7" t="s">
        <v>2932</v>
      </c>
      <c r="H701" s="7">
        <v>4.3</v>
      </c>
      <c r="I701" s="7" t="s">
        <v>718</v>
      </c>
    </row>
    <row r="702" spans="1:9">
      <c r="A702" s="7" t="s">
        <v>19</v>
      </c>
      <c r="B702" s="7" t="s">
        <v>687</v>
      </c>
      <c r="C702" s="7">
        <v>1</v>
      </c>
      <c r="D702" s="7" t="s">
        <v>451</v>
      </c>
      <c r="E702" s="7" t="s">
        <v>451</v>
      </c>
      <c r="F702" s="7" t="s">
        <v>365</v>
      </c>
      <c r="G702" s="7" t="s">
        <v>967</v>
      </c>
      <c r="H702" s="7">
        <v>4.3</v>
      </c>
      <c r="I702" s="7" t="s">
        <v>718</v>
      </c>
    </row>
    <row r="703" spans="1:9">
      <c r="A703" s="7" t="s">
        <v>19</v>
      </c>
      <c r="B703" s="7" t="s">
        <v>687</v>
      </c>
      <c r="C703" s="7">
        <v>1</v>
      </c>
      <c r="D703" s="7" t="s">
        <v>451</v>
      </c>
      <c r="E703" s="7" t="s">
        <v>451</v>
      </c>
      <c r="F703" s="7" t="s">
        <v>365</v>
      </c>
      <c r="G703" s="7" t="s">
        <v>968</v>
      </c>
      <c r="H703" s="7">
        <v>4.3</v>
      </c>
      <c r="I703" s="7" t="s">
        <v>718</v>
      </c>
    </row>
    <row r="704" spans="1:9">
      <c r="A704" s="7" t="s">
        <v>19</v>
      </c>
      <c r="B704" s="7" t="s">
        <v>687</v>
      </c>
      <c r="C704" s="7">
        <v>1</v>
      </c>
      <c r="D704" s="7" t="s">
        <v>451</v>
      </c>
      <c r="E704" s="7" t="s">
        <v>451</v>
      </c>
      <c r="F704" s="7" t="s">
        <v>365</v>
      </c>
      <c r="G704" s="7" t="s">
        <v>969</v>
      </c>
      <c r="H704" s="7">
        <v>4.3</v>
      </c>
      <c r="I704" s="7" t="s">
        <v>718</v>
      </c>
    </row>
    <row r="705" spans="1:9">
      <c r="A705" s="7" t="s">
        <v>19</v>
      </c>
      <c r="B705" s="7" t="s">
        <v>687</v>
      </c>
      <c r="C705" s="7">
        <v>1</v>
      </c>
      <c r="D705" s="7" t="s">
        <v>451</v>
      </c>
      <c r="E705" s="7" t="s">
        <v>451</v>
      </c>
      <c r="F705" s="7" t="s">
        <v>363</v>
      </c>
      <c r="G705" s="7" t="s">
        <v>2933</v>
      </c>
      <c r="H705" s="7">
        <v>4.3</v>
      </c>
      <c r="I705" s="7" t="s">
        <v>718</v>
      </c>
    </row>
    <row r="706" spans="1:9">
      <c r="A706" s="7" t="s">
        <v>19</v>
      </c>
      <c r="B706" s="7" t="s">
        <v>687</v>
      </c>
      <c r="C706" s="7">
        <v>1</v>
      </c>
      <c r="D706" s="7" t="s">
        <v>451</v>
      </c>
      <c r="E706" s="7" t="s">
        <v>451</v>
      </c>
      <c r="F706" s="7" t="s">
        <v>363</v>
      </c>
      <c r="G706" s="7" t="s">
        <v>2934</v>
      </c>
      <c r="H706" s="7">
        <v>4.3</v>
      </c>
      <c r="I706" s="7" t="s">
        <v>718</v>
      </c>
    </row>
    <row r="707" spans="1:9">
      <c r="A707" s="7" t="s">
        <v>19</v>
      </c>
      <c r="B707" s="7" t="s">
        <v>687</v>
      </c>
      <c r="C707" s="7">
        <v>1</v>
      </c>
      <c r="D707" s="7" t="s">
        <v>451</v>
      </c>
      <c r="E707" s="7" t="s">
        <v>451</v>
      </c>
      <c r="F707" s="7" t="s">
        <v>363</v>
      </c>
      <c r="G707" s="7" t="s">
        <v>970</v>
      </c>
      <c r="H707" s="7">
        <v>4.3</v>
      </c>
      <c r="I707" s="7" t="s">
        <v>718</v>
      </c>
    </row>
    <row r="708" spans="1:9">
      <c r="A708" s="7" t="s">
        <v>19</v>
      </c>
      <c r="B708" s="7" t="s">
        <v>687</v>
      </c>
      <c r="C708" s="7">
        <v>1</v>
      </c>
      <c r="D708" s="7" t="s">
        <v>451</v>
      </c>
      <c r="E708" s="7" t="s">
        <v>451</v>
      </c>
      <c r="F708" s="7" t="s">
        <v>363</v>
      </c>
      <c r="G708" s="7" t="s">
        <v>971</v>
      </c>
      <c r="H708" s="7">
        <v>4.3</v>
      </c>
      <c r="I708" s="7" t="s">
        <v>718</v>
      </c>
    </row>
    <row r="709" spans="1:9">
      <c r="A709" s="7" t="s">
        <v>19</v>
      </c>
      <c r="B709" s="7" t="s">
        <v>687</v>
      </c>
      <c r="C709" s="7">
        <v>1</v>
      </c>
      <c r="D709" s="7" t="s">
        <v>451</v>
      </c>
      <c r="E709" s="7" t="s">
        <v>451</v>
      </c>
      <c r="F709" s="7" t="s">
        <v>371</v>
      </c>
      <c r="G709" s="7" t="s">
        <v>2935</v>
      </c>
      <c r="H709" s="7">
        <v>4.3</v>
      </c>
      <c r="I709" s="7" t="s">
        <v>718</v>
      </c>
    </row>
    <row r="710" spans="1:9">
      <c r="A710" s="7" t="s">
        <v>19</v>
      </c>
      <c r="B710" s="7" t="s">
        <v>687</v>
      </c>
      <c r="C710" s="7">
        <v>1</v>
      </c>
      <c r="D710" s="7" t="s">
        <v>451</v>
      </c>
      <c r="E710" s="7" t="s">
        <v>451</v>
      </c>
      <c r="F710" s="7" t="s">
        <v>371</v>
      </c>
      <c r="G710" s="7" t="s">
        <v>2936</v>
      </c>
      <c r="H710" s="7">
        <v>4.3</v>
      </c>
      <c r="I710" s="7" t="s">
        <v>718</v>
      </c>
    </row>
    <row r="711" spans="1:9">
      <c r="A711" s="7" t="s">
        <v>19</v>
      </c>
      <c r="B711" s="7" t="s">
        <v>687</v>
      </c>
      <c r="C711" s="7">
        <v>1</v>
      </c>
      <c r="D711" s="7" t="s">
        <v>451</v>
      </c>
      <c r="E711" s="7" t="s">
        <v>451</v>
      </c>
      <c r="F711" s="7" t="s">
        <v>371</v>
      </c>
      <c r="G711" s="7" t="s">
        <v>2937</v>
      </c>
      <c r="H711" s="7">
        <v>4.3</v>
      </c>
      <c r="I711" s="7" t="s">
        <v>718</v>
      </c>
    </row>
    <row r="712" spans="1:9">
      <c r="A712" s="7" t="s">
        <v>19</v>
      </c>
      <c r="B712" s="7" t="s">
        <v>687</v>
      </c>
      <c r="C712" s="7">
        <v>1</v>
      </c>
      <c r="D712" s="7" t="s">
        <v>451</v>
      </c>
      <c r="E712" s="7" t="s">
        <v>451</v>
      </c>
      <c r="F712" s="7" t="s">
        <v>371</v>
      </c>
      <c r="G712" s="7" t="s">
        <v>2938</v>
      </c>
      <c r="H712" s="7">
        <v>4.3</v>
      </c>
      <c r="I712" s="7" t="s">
        <v>718</v>
      </c>
    </row>
    <row r="713" spans="1:9">
      <c r="A713" s="7" t="s">
        <v>19</v>
      </c>
      <c r="B713" s="7" t="s">
        <v>687</v>
      </c>
      <c r="C713" s="7">
        <v>1</v>
      </c>
      <c r="D713" s="7" t="s">
        <v>451</v>
      </c>
      <c r="E713" s="7" t="s">
        <v>451</v>
      </c>
      <c r="F713" s="7" t="s">
        <v>372</v>
      </c>
      <c r="G713" s="7" t="s">
        <v>2939</v>
      </c>
      <c r="H713" s="7">
        <v>4.3</v>
      </c>
      <c r="I713" s="7" t="s">
        <v>718</v>
      </c>
    </row>
    <row r="714" spans="1:9">
      <c r="A714" s="7" t="s">
        <v>19</v>
      </c>
      <c r="B714" s="7" t="s">
        <v>687</v>
      </c>
      <c r="C714" s="7">
        <v>1</v>
      </c>
      <c r="D714" s="7" t="s">
        <v>451</v>
      </c>
      <c r="E714" s="7" t="s">
        <v>451</v>
      </c>
      <c r="F714" s="7" t="s">
        <v>372</v>
      </c>
      <c r="G714" s="7" t="s">
        <v>2940</v>
      </c>
      <c r="H714" s="7">
        <v>4.3</v>
      </c>
      <c r="I714" s="7" t="s">
        <v>718</v>
      </c>
    </row>
    <row r="715" spans="1:9">
      <c r="A715" s="7" t="s">
        <v>19</v>
      </c>
      <c r="B715" s="7" t="s">
        <v>687</v>
      </c>
      <c r="C715" s="7">
        <v>1</v>
      </c>
      <c r="D715" s="7" t="s">
        <v>451</v>
      </c>
      <c r="E715" s="7" t="s">
        <v>451</v>
      </c>
      <c r="F715" s="7" t="s">
        <v>372</v>
      </c>
      <c r="G715" s="7" t="s">
        <v>2941</v>
      </c>
      <c r="H715" s="7">
        <v>4.3</v>
      </c>
      <c r="I715" s="7" t="s">
        <v>718</v>
      </c>
    </row>
    <row r="716" spans="1:9">
      <c r="A716" s="7" t="s">
        <v>19</v>
      </c>
      <c r="B716" s="7" t="s">
        <v>687</v>
      </c>
      <c r="C716" s="7">
        <v>1</v>
      </c>
      <c r="D716" s="7" t="s">
        <v>451</v>
      </c>
      <c r="E716" s="7" t="s">
        <v>451</v>
      </c>
      <c r="F716" s="7" t="s">
        <v>372</v>
      </c>
      <c r="G716" s="7" t="s">
        <v>972</v>
      </c>
      <c r="H716" s="7">
        <v>4.3</v>
      </c>
      <c r="I716" s="7" t="s">
        <v>718</v>
      </c>
    </row>
    <row r="717" spans="1:9">
      <c r="A717" s="7" t="s">
        <v>19</v>
      </c>
      <c r="B717" s="7" t="s">
        <v>687</v>
      </c>
      <c r="C717" s="7">
        <v>1</v>
      </c>
      <c r="D717" s="7" t="s">
        <v>451</v>
      </c>
      <c r="E717" s="7" t="s">
        <v>451</v>
      </c>
      <c r="F717" s="7" t="s">
        <v>372</v>
      </c>
      <c r="G717" s="7" t="s">
        <v>2942</v>
      </c>
      <c r="H717" s="7">
        <v>4.3</v>
      </c>
      <c r="I717" s="7" t="s">
        <v>718</v>
      </c>
    </row>
    <row r="718" spans="1:9">
      <c r="A718" s="7" t="s">
        <v>19</v>
      </c>
      <c r="B718" s="7" t="s">
        <v>687</v>
      </c>
      <c r="C718" s="7">
        <v>1</v>
      </c>
      <c r="D718" s="7" t="s">
        <v>451</v>
      </c>
      <c r="E718" s="7" t="s">
        <v>451</v>
      </c>
      <c r="F718" s="7" t="s">
        <v>372</v>
      </c>
      <c r="G718" s="7" t="s">
        <v>2943</v>
      </c>
      <c r="H718" s="7">
        <v>4.3</v>
      </c>
      <c r="I718" s="7" t="s">
        <v>718</v>
      </c>
    </row>
    <row r="719" spans="1:9">
      <c r="A719" s="7" t="s">
        <v>19</v>
      </c>
      <c r="B719" s="7" t="s">
        <v>687</v>
      </c>
      <c r="C719" s="7">
        <v>1</v>
      </c>
      <c r="D719" s="7" t="s">
        <v>451</v>
      </c>
      <c r="E719" s="7" t="s">
        <v>451</v>
      </c>
      <c r="F719" s="7" t="s">
        <v>372</v>
      </c>
      <c r="G719" s="7" t="s">
        <v>2944</v>
      </c>
      <c r="H719" s="7">
        <v>4.3</v>
      </c>
      <c r="I719" s="7" t="s">
        <v>718</v>
      </c>
    </row>
    <row r="720" spans="1:9">
      <c r="A720" s="7" t="s">
        <v>19</v>
      </c>
      <c r="B720" s="7" t="s">
        <v>687</v>
      </c>
      <c r="C720" s="7">
        <v>1</v>
      </c>
      <c r="D720" s="7" t="s">
        <v>451</v>
      </c>
      <c r="E720" s="7" t="s">
        <v>451</v>
      </c>
      <c r="F720" s="7" t="s">
        <v>372</v>
      </c>
      <c r="G720" s="7" t="s">
        <v>2945</v>
      </c>
      <c r="H720" s="7">
        <v>4.3</v>
      </c>
      <c r="I720" s="7" t="s">
        <v>718</v>
      </c>
    </row>
    <row r="721" spans="1:9">
      <c r="A721" s="7" t="s">
        <v>19</v>
      </c>
      <c r="B721" s="7" t="s">
        <v>687</v>
      </c>
      <c r="C721" s="7">
        <v>1</v>
      </c>
      <c r="D721" s="7" t="s">
        <v>451</v>
      </c>
      <c r="E721" s="7" t="s">
        <v>451</v>
      </c>
      <c r="F721" s="7" t="s">
        <v>372</v>
      </c>
      <c r="G721" s="7" t="s">
        <v>973</v>
      </c>
      <c r="H721" s="7">
        <v>4.3</v>
      </c>
      <c r="I721" s="7" t="s">
        <v>718</v>
      </c>
    </row>
    <row r="722" spans="1:9">
      <c r="A722" s="7" t="s">
        <v>19</v>
      </c>
      <c r="B722" s="7" t="s">
        <v>687</v>
      </c>
      <c r="C722" s="7">
        <v>1</v>
      </c>
      <c r="D722" s="7" t="s">
        <v>451</v>
      </c>
      <c r="E722" s="7" t="s">
        <v>451</v>
      </c>
      <c r="F722" s="7" t="s">
        <v>373</v>
      </c>
      <c r="G722" s="7" t="s">
        <v>2947</v>
      </c>
      <c r="H722" s="7">
        <v>4.3</v>
      </c>
      <c r="I722" s="7" t="s">
        <v>718</v>
      </c>
    </row>
    <row r="723" spans="1:9">
      <c r="A723" s="7" t="s">
        <v>19</v>
      </c>
      <c r="B723" s="7" t="s">
        <v>687</v>
      </c>
      <c r="C723" s="7">
        <v>1</v>
      </c>
      <c r="D723" s="7" t="s">
        <v>451</v>
      </c>
      <c r="E723" s="7" t="s">
        <v>451</v>
      </c>
      <c r="F723" s="7" t="s">
        <v>373</v>
      </c>
      <c r="G723" s="7" t="s">
        <v>2946</v>
      </c>
      <c r="H723" s="7">
        <v>4.3</v>
      </c>
      <c r="I723" s="7" t="s">
        <v>718</v>
      </c>
    </row>
    <row r="724" spans="1:9">
      <c r="A724" s="7" t="s">
        <v>19</v>
      </c>
      <c r="B724" s="7" t="s">
        <v>687</v>
      </c>
      <c r="C724" s="7">
        <v>1</v>
      </c>
      <c r="D724" s="7" t="s">
        <v>451</v>
      </c>
      <c r="E724" s="7" t="s">
        <v>451</v>
      </c>
      <c r="F724" s="7" t="s">
        <v>374</v>
      </c>
      <c r="G724" s="7" t="s">
        <v>2948</v>
      </c>
      <c r="H724" s="7">
        <v>4.3</v>
      </c>
      <c r="I724" s="7" t="s">
        <v>718</v>
      </c>
    </row>
    <row r="725" spans="1:9">
      <c r="A725" s="7" t="s">
        <v>19</v>
      </c>
      <c r="B725" s="7" t="s">
        <v>687</v>
      </c>
      <c r="C725" s="7">
        <v>1</v>
      </c>
      <c r="D725" s="7" t="s">
        <v>451</v>
      </c>
      <c r="E725" s="7" t="s">
        <v>451</v>
      </c>
      <c r="F725" s="7" t="s">
        <v>374</v>
      </c>
      <c r="G725" s="7" t="s">
        <v>2949</v>
      </c>
      <c r="H725" s="7">
        <v>4.3</v>
      </c>
      <c r="I725" s="7" t="s">
        <v>718</v>
      </c>
    </row>
    <row r="726" spans="1:9">
      <c r="A726" s="7" t="s">
        <v>19</v>
      </c>
      <c r="B726" s="7" t="s">
        <v>687</v>
      </c>
      <c r="C726" s="7">
        <v>1</v>
      </c>
      <c r="D726" s="7" t="s">
        <v>451</v>
      </c>
      <c r="E726" s="7" t="s">
        <v>451</v>
      </c>
      <c r="F726" s="7" t="s">
        <v>374</v>
      </c>
      <c r="G726" s="7" t="s">
        <v>974</v>
      </c>
      <c r="H726" s="7">
        <v>4.3</v>
      </c>
      <c r="I726" s="7" t="s">
        <v>718</v>
      </c>
    </row>
    <row r="727" spans="1:9">
      <c r="A727" s="7" t="s">
        <v>19</v>
      </c>
      <c r="B727" s="7" t="s">
        <v>687</v>
      </c>
      <c r="C727" s="7">
        <v>1</v>
      </c>
      <c r="D727" s="7" t="s">
        <v>451</v>
      </c>
      <c r="E727" s="7" t="s">
        <v>451</v>
      </c>
      <c r="F727" s="7" t="s">
        <v>374</v>
      </c>
      <c r="G727" s="7" t="s">
        <v>975</v>
      </c>
      <c r="H727" s="7">
        <v>4.3</v>
      </c>
      <c r="I727" s="7" t="s">
        <v>718</v>
      </c>
    </row>
    <row r="728" spans="1:9">
      <c r="A728" s="7" t="s">
        <v>19</v>
      </c>
      <c r="B728" s="7" t="s">
        <v>687</v>
      </c>
      <c r="C728" s="7">
        <v>1</v>
      </c>
      <c r="D728" s="7" t="s">
        <v>451</v>
      </c>
      <c r="E728" s="7" t="s">
        <v>451</v>
      </c>
      <c r="F728" s="7" t="s">
        <v>374</v>
      </c>
      <c r="G728" s="7" t="s">
        <v>976</v>
      </c>
      <c r="H728" s="7">
        <v>4.3</v>
      </c>
      <c r="I728" s="7" t="s">
        <v>718</v>
      </c>
    </row>
    <row r="729" spans="1:9">
      <c r="A729" s="7" t="s">
        <v>19</v>
      </c>
      <c r="B729" s="7" t="s">
        <v>687</v>
      </c>
      <c r="C729" s="7">
        <v>1</v>
      </c>
      <c r="D729" s="7" t="s">
        <v>451</v>
      </c>
      <c r="E729" s="7" t="s">
        <v>451</v>
      </c>
      <c r="F729" s="7" t="s">
        <v>374</v>
      </c>
      <c r="G729" s="7" t="s">
        <v>977</v>
      </c>
      <c r="H729" s="7">
        <v>4.3</v>
      </c>
      <c r="I729" s="7" t="s">
        <v>718</v>
      </c>
    </row>
    <row r="730" spans="1:9">
      <c r="A730" s="7" t="s">
        <v>19</v>
      </c>
      <c r="B730" s="7" t="s">
        <v>687</v>
      </c>
      <c r="C730" s="7">
        <v>1</v>
      </c>
      <c r="D730" s="7" t="s">
        <v>451</v>
      </c>
      <c r="E730" s="7" t="s">
        <v>451</v>
      </c>
      <c r="F730" s="7" t="s">
        <v>374</v>
      </c>
      <c r="G730" s="7" t="s">
        <v>978</v>
      </c>
      <c r="H730" s="7">
        <v>4.3</v>
      </c>
      <c r="I730" s="7" t="s">
        <v>718</v>
      </c>
    </row>
    <row r="731" spans="1:9">
      <c r="A731" s="7" t="s">
        <v>19</v>
      </c>
      <c r="B731" s="7" t="s">
        <v>687</v>
      </c>
      <c r="C731" s="7">
        <v>1</v>
      </c>
      <c r="D731" s="7" t="s">
        <v>451</v>
      </c>
      <c r="E731" s="7" t="s">
        <v>451</v>
      </c>
      <c r="F731" s="7" t="s">
        <v>1062</v>
      </c>
      <c r="G731" s="7" t="s">
        <v>1044</v>
      </c>
      <c r="H731" s="7">
        <v>4.3</v>
      </c>
      <c r="I731" s="7" t="s">
        <v>718</v>
      </c>
    </row>
    <row r="732" spans="1:9">
      <c r="A732" s="7" t="s">
        <v>19</v>
      </c>
      <c r="B732" s="7" t="s">
        <v>687</v>
      </c>
      <c r="C732" s="7">
        <v>1</v>
      </c>
      <c r="D732" s="7" t="s">
        <v>451</v>
      </c>
      <c r="E732" s="7" t="s">
        <v>451</v>
      </c>
      <c r="F732" s="7" t="s">
        <v>1062</v>
      </c>
      <c r="G732" s="7" t="s">
        <v>3064</v>
      </c>
      <c r="H732" s="7">
        <v>4.3</v>
      </c>
      <c r="I732" s="7" t="s">
        <v>718</v>
      </c>
    </row>
    <row r="733" spans="1:9">
      <c r="A733" s="7" t="s">
        <v>19</v>
      </c>
      <c r="B733" s="7" t="s">
        <v>687</v>
      </c>
      <c r="C733" s="7">
        <v>1</v>
      </c>
      <c r="D733" s="7" t="s">
        <v>451</v>
      </c>
      <c r="E733" s="7" t="s">
        <v>451</v>
      </c>
      <c r="F733" s="7" t="s">
        <v>2950</v>
      </c>
      <c r="G733" s="7" t="s">
        <v>2700</v>
      </c>
      <c r="H733" s="7">
        <v>4.3</v>
      </c>
      <c r="I733" s="7" t="s">
        <v>718</v>
      </c>
    </row>
    <row r="734" spans="1:9">
      <c r="A734" s="7" t="s">
        <v>19</v>
      </c>
      <c r="B734" s="7" t="s">
        <v>687</v>
      </c>
      <c r="C734" s="7">
        <v>1</v>
      </c>
      <c r="D734" s="7" t="s">
        <v>451</v>
      </c>
      <c r="E734" s="7" t="s">
        <v>451</v>
      </c>
      <c r="F734" s="7" t="s">
        <v>376</v>
      </c>
      <c r="G734" s="7" t="s">
        <v>3070</v>
      </c>
      <c r="H734" s="7">
        <v>4.3</v>
      </c>
      <c r="I734" s="7" t="s">
        <v>718</v>
      </c>
    </row>
    <row r="735" spans="1:9">
      <c r="A735" s="7" t="s">
        <v>19</v>
      </c>
      <c r="B735" s="7" t="s">
        <v>687</v>
      </c>
      <c r="C735" s="7">
        <v>1</v>
      </c>
      <c r="D735" s="7" t="s">
        <v>451</v>
      </c>
      <c r="E735" s="7" t="s">
        <v>451</v>
      </c>
      <c r="F735" s="7" t="s">
        <v>376</v>
      </c>
      <c r="G735" s="7" t="s">
        <v>3070</v>
      </c>
      <c r="H735" s="7">
        <v>4.3</v>
      </c>
      <c r="I735" s="7" t="s">
        <v>718</v>
      </c>
    </row>
    <row r="736" spans="1:9">
      <c r="A736" s="7" t="s">
        <v>19</v>
      </c>
      <c r="B736" s="7" t="s">
        <v>687</v>
      </c>
      <c r="C736" s="7">
        <v>1</v>
      </c>
      <c r="D736" s="7" t="s">
        <v>451</v>
      </c>
      <c r="E736" s="7" t="s">
        <v>451</v>
      </c>
      <c r="F736" s="7" t="s">
        <v>376</v>
      </c>
      <c r="G736" s="7" t="s">
        <v>2951</v>
      </c>
      <c r="H736" s="7">
        <v>4.3</v>
      </c>
      <c r="I736" s="7" t="s">
        <v>718</v>
      </c>
    </row>
    <row r="737" spans="1:9">
      <c r="A737" s="7" t="s">
        <v>19</v>
      </c>
      <c r="B737" s="7" t="s">
        <v>687</v>
      </c>
      <c r="C737" s="7">
        <v>1</v>
      </c>
      <c r="D737" s="7" t="s">
        <v>451</v>
      </c>
      <c r="E737" s="7" t="s">
        <v>451</v>
      </c>
      <c r="F737" s="7" t="s">
        <v>376</v>
      </c>
      <c r="G737" s="7" t="s">
        <v>2956</v>
      </c>
      <c r="H737" s="7">
        <v>4.3</v>
      </c>
      <c r="I737" s="7" t="s">
        <v>718</v>
      </c>
    </row>
    <row r="738" spans="1:9">
      <c r="A738" s="7" t="s">
        <v>19</v>
      </c>
      <c r="B738" s="7" t="s">
        <v>687</v>
      </c>
      <c r="C738" s="7">
        <v>1</v>
      </c>
      <c r="D738" s="7" t="s">
        <v>451</v>
      </c>
      <c r="E738" s="7" t="s">
        <v>451</v>
      </c>
      <c r="F738" s="7" t="s">
        <v>376</v>
      </c>
      <c r="G738" s="7" t="s">
        <v>2952</v>
      </c>
      <c r="H738" s="7">
        <v>4.3</v>
      </c>
      <c r="I738" s="7" t="s">
        <v>718</v>
      </c>
    </row>
    <row r="739" spans="1:9">
      <c r="A739" s="7" t="s">
        <v>19</v>
      </c>
      <c r="B739" s="7" t="s">
        <v>687</v>
      </c>
      <c r="C739" s="7">
        <v>1</v>
      </c>
      <c r="D739" s="7" t="s">
        <v>451</v>
      </c>
      <c r="E739" s="7" t="s">
        <v>451</v>
      </c>
      <c r="F739" s="7" t="s">
        <v>376</v>
      </c>
      <c r="G739" s="7" t="s">
        <v>3071</v>
      </c>
      <c r="H739" s="7">
        <v>4.3</v>
      </c>
      <c r="I739" s="7" t="s">
        <v>718</v>
      </c>
    </row>
    <row r="740" spans="1:9">
      <c r="A740" s="7" t="s">
        <v>19</v>
      </c>
      <c r="B740" s="7" t="s">
        <v>687</v>
      </c>
      <c r="C740" s="7">
        <v>1</v>
      </c>
      <c r="D740" s="7" t="s">
        <v>451</v>
      </c>
      <c r="E740" s="7" t="s">
        <v>451</v>
      </c>
      <c r="F740" s="7" t="s">
        <v>376</v>
      </c>
      <c r="G740" s="7" t="s">
        <v>3071</v>
      </c>
      <c r="H740" s="7">
        <v>4.3</v>
      </c>
      <c r="I740" s="7" t="s">
        <v>718</v>
      </c>
    </row>
    <row r="741" spans="1:9">
      <c r="A741" s="7" t="s">
        <v>19</v>
      </c>
      <c r="B741" s="7" t="s">
        <v>687</v>
      </c>
      <c r="C741" s="7">
        <v>1</v>
      </c>
      <c r="D741" s="7" t="s">
        <v>451</v>
      </c>
      <c r="E741" s="7" t="s">
        <v>451</v>
      </c>
      <c r="F741" s="7" t="s">
        <v>376</v>
      </c>
      <c r="G741" s="7" t="s">
        <v>2953</v>
      </c>
      <c r="H741" s="7">
        <v>4.3</v>
      </c>
      <c r="I741" s="7" t="s">
        <v>718</v>
      </c>
    </row>
    <row r="742" spans="1:9">
      <c r="A742" s="7" t="s">
        <v>19</v>
      </c>
      <c r="B742" s="7" t="s">
        <v>687</v>
      </c>
      <c r="C742" s="7">
        <v>1</v>
      </c>
      <c r="D742" s="7" t="s">
        <v>451</v>
      </c>
      <c r="E742" s="7" t="s">
        <v>451</v>
      </c>
      <c r="F742" s="7" t="s">
        <v>376</v>
      </c>
      <c r="G742" s="7" t="s">
        <v>2957</v>
      </c>
      <c r="H742" s="7">
        <v>4.3</v>
      </c>
      <c r="I742" s="7" t="s">
        <v>718</v>
      </c>
    </row>
    <row r="743" spans="1:9">
      <c r="A743" s="7" t="s">
        <v>19</v>
      </c>
      <c r="B743" s="7" t="s">
        <v>687</v>
      </c>
      <c r="C743" s="7">
        <v>1</v>
      </c>
      <c r="D743" s="7" t="s">
        <v>451</v>
      </c>
      <c r="E743" s="7" t="s">
        <v>451</v>
      </c>
      <c r="F743" s="7" t="s">
        <v>376</v>
      </c>
      <c r="G743" s="7" t="s">
        <v>2954</v>
      </c>
      <c r="H743" s="7">
        <v>4.3</v>
      </c>
      <c r="I743" s="7" t="s">
        <v>718</v>
      </c>
    </row>
    <row r="744" spans="1:9">
      <c r="A744" s="7" t="s">
        <v>19</v>
      </c>
      <c r="B744" s="7" t="s">
        <v>687</v>
      </c>
      <c r="C744" s="7">
        <v>1</v>
      </c>
      <c r="D744" s="7" t="s">
        <v>451</v>
      </c>
      <c r="E744" s="7" t="s">
        <v>451</v>
      </c>
      <c r="F744" s="7" t="s">
        <v>376</v>
      </c>
      <c r="G744" s="7" t="s">
        <v>2958</v>
      </c>
      <c r="H744" s="7">
        <v>4.3</v>
      </c>
      <c r="I744" s="7" t="s">
        <v>718</v>
      </c>
    </row>
    <row r="745" spans="1:9">
      <c r="A745" s="7" t="s">
        <v>19</v>
      </c>
      <c r="B745" s="7" t="s">
        <v>687</v>
      </c>
      <c r="C745" s="7">
        <v>1</v>
      </c>
      <c r="D745" s="7" t="s">
        <v>451</v>
      </c>
      <c r="E745" s="7" t="s">
        <v>451</v>
      </c>
      <c r="F745" s="7" t="s">
        <v>376</v>
      </c>
      <c r="G745" s="7" t="s">
        <v>2955</v>
      </c>
      <c r="H745" s="7">
        <v>4.3</v>
      </c>
      <c r="I745" s="7" t="s">
        <v>718</v>
      </c>
    </row>
    <row r="746" spans="1:9">
      <c r="A746" s="7" t="s">
        <v>19</v>
      </c>
      <c r="B746" s="7" t="s">
        <v>687</v>
      </c>
      <c r="C746" s="7">
        <v>1</v>
      </c>
      <c r="D746" s="7" t="s">
        <v>451</v>
      </c>
      <c r="E746" s="7" t="s">
        <v>451</v>
      </c>
      <c r="F746" s="7" t="s">
        <v>359</v>
      </c>
      <c r="G746" s="7" t="s">
        <v>979</v>
      </c>
      <c r="H746" s="7">
        <v>4.3</v>
      </c>
      <c r="I746" s="7" t="s">
        <v>718</v>
      </c>
    </row>
    <row r="747" spans="1:9">
      <c r="A747" s="7" t="s">
        <v>19</v>
      </c>
      <c r="B747" s="7" t="s">
        <v>687</v>
      </c>
      <c r="C747" s="7">
        <v>1</v>
      </c>
      <c r="D747" s="7" t="s">
        <v>451</v>
      </c>
      <c r="E747" s="7" t="s">
        <v>451</v>
      </c>
      <c r="F747" s="7" t="s">
        <v>359</v>
      </c>
      <c r="G747" s="7" t="s">
        <v>2959</v>
      </c>
      <c r="H747" s="7">
        <v>4.3</v>
      </c>
      <c r="I747" s="7" t="s">
        <v>718</v>
      </c>
    </row>
    <row r="748" spans="1:9">
      <c r="A748" s="7" t="s">
        <v>19</v>
      </c>
      <c r="B748" s="7" t="s">
        <v>687</v>
      </c>
      <c r="C748" s="7">
        <v>1</v>
      </c>
      <c r="D748" s="7" t="s">
        <v>451</v>
      </c>
      <c r="E748" s="7" t="s">
        <v>451</v>
      </c>
      <c r="F748" s="7" t="s">
        <v>359</v>
      </c>
      <c r="G748" s="7" t="s">
        <v>2960</v>
      </c>
      <c r="H748" s="7">
        <v>4.3</v>
      </c>
      <c r="I748" s="7" t="s">
        <v>718</v>
      </c>
    </row>
    <row r="749" spans="1:9">
      <c r="A749" s="7" t="s">
        <v>19</v>
      </c>
      <c r="B749" s="7" t="s">
        <v>687</v>
      </c>
      <c r="C749" s="7">
        <v>1</v>
      </c>
      <c r="D749" s="7" t="s">
        <v>451</v>
      </c>
      <c r="E749" s="7" t="s">
        <v>451</v>
      </c>
      <c r="F749" s="7" t="s">
        <v>359</v>
      </c>
      <c r="G749" s="7" t="s">
        <v>980</v>
      </c>
      <c r="H749" s="7">
        <v>4.3</v>
      </c>
      <c r="I749" s="7" t="s">
        <v>718</v>
      </c>
    </row>
    <row r="750" spans="1:9">
      <c r="A750" s="7" t="s">
        <v>19</v>
      </c>
      <c r="B750" s="7" t="s">
        <v>687</v>
      </c>
      <c r="C750" s="7">
        <v>1</v>
      </c>
      <c r="D750" s="7" t="s">
        <v>451</v>
      </c>
      <c r="E750" s="7" t="s">
        <v>451</v>
      </c>
      <c r="F750" s="7" t="s">
        <v>359</v>
      </c>
      <c r="G750" s="7" t="s">
        <v>981</v>
      </c>
      <c r="H750" s="7">
        <v>4.3</v>
      </c>
      <c r="I750" s="7" t="s">
        <v>718</v>
      </c>
    </row>
    <row r="751" spans="1:9">
      <c r="A751" s="7" t="s">
        <v>19</v>
      </c>
      <c r="B751" s="7" t="s">
        <v>687</v>
      </c>
      <c r="C751" s="7">
        <v>1</v>
      </c>
      <c r="D751" s="7" t="s">
        <v>451</v>
      </c>
      <c r="E751" s="7" t="s">
        <v>451</v>
      </c>
      <c r="F751" s="7" t="s">
        <v>377</v>
      </c>
      <c r="G751" s="7" t="s">
        <v>379</v>
      </c>
      <c r="H751" s="7">
        <v>4.3</v>
      </c>
      <c r="I751" s="7" t="s">
        <v>718</v>
      </c>
    </row>
    <row r="752" spans="1:9">
      <c r="A752" s="7" t="s">
        <v>19</v>
      </c>
      <c r="B752" s="7" t="s">
        <v>687</v>
      </c>
      <c r="C752" s="7">
        <v>1</v>
      </c>
      <c r="D752" s="7" t="s">
        <v>451</v>
      </c>
      <c r="E752" s="7" t="s">
        <v>451</v>
      </c>
      <c r="F752" s="7" t="s">
        <v>378</v>
      </c>
      <c r="G752" s="7" t="s">
        <v>380</v>
      </c>
      <c r="H752" s="7">
        <v>4.3</v>
      </c>
      <c r="I752" s="7" t="s">
        <v>718</v>
      </c>
    </row>
    <row r="753" spans="1:9">
      <c r="A753" s="7" t="s">
        <v>19</v>
      </c>
      <c r="B753" s="7" t="s">
        <v>687</v>
      </c>
      <c r="C753" s="7">
        <v>1</v>
      </c>
      <c r="D753" s="7" t="s">
        <v>451</v>
      </c>
      <c r="E753" s="7" t="s">
        <v>451</v>
      </c>
      <c r="F753" s="7" t="s">
        <v>378</v>
      </c>
      <c r="G753" s="7" t="s">
        <v>381</v>
      </c>
      <c r="H753" s="7">
        <v>4.3</v>
      </c>
      <c r="I753" s="7" t="s">
        <v>718</v>
      </c>
    </row>
    <row r="754" spans="1:9">
      <c r="A754" s="7" t="s">
        <v>19</v>
      </c>
      <c r="B754" s="7" t="s">
        <v>687</v>
      </c>
      <c r="C754" s="7">
        <v>1</v>
      </c>
      <c r="D754" s="7" t="s">
        <v>451</v>
      </c>
      <c r="E754" s="7" t="s">
        <v>451</v>
      </c>
      <c r="F754" s="7" t="s">
        <v>378</v>
      </c>
      <c r="G754" s="7" t="s">
        <v>982</v>
      </c>
      <c r="H754" s="7">
        <v>4.3</v>
      </c>
      <c r="I754" s="7" t="s">
        <v>718</v>
      </c>
    </row>
    <row r="755" spans="1:9">
      <c r="A755" s="7" t="s">
        <v>19</v>
      </c>
      <c r="B755" s="7" t="s">
        <v>687</v>
      </c>
      <c r="C755" s="7">
        <v>1</v>
      </c>
      <c r="D755" s="7" t="s">
        <v>451</v>
      </c>
      <c r="E755" s="7" t="s">
        <v>451</v>
      </c>
      <c r="F755" s="7" t="s">
        <v>378</v>
      </c>
      <c r="G755" s="7" t="s">
        <v>983</v>
      </c>
      <c r="H755" s="7">
        <v>4.3</v>
      </c>
      <c r="I755" s="7" t="s">
        <v>718</v>
      </c>
    </row>
    <row r="756" spans="1:9">
      <c r="A756" s="7" t="s">
        <v>19</v>
      </c>
      <c r="B756" s="7" t="s">
        <v>687</v>
      </c>
      <c r="C756" s="7">
        <v>2</v>
      </c>
      <c r="D756" s="7" t="s">
        <v>1029</v>
      </c>
      <c r="E756" s="7" t="s">
        <v>1029</v>
      </c>
      <c r="F756" s="7" t="s">
        <v>370</v>
      </c>
      <c r="G756" s="7" t="s">
        <v>959</v>
      </c>
      <c r="H756" s="7">
        <v>4.3</v>
      </c>
      <c r="I756" s="7" t="s">
        <v>718</v>
      </c>
    </row>
    <row r="757" spans="1:9">
      <c r="A757" s="7" t="s">
        <v>19</v>
      </c>
      <c r="B757" s="7" t="s">
        <v>687</v>
      </c>
      <c r="C757" s="7">
        <v>2</v>
      </c>
      <c r="D757" s="7" t="s">
        <v>1029</v>
      </c>
      <c r="E757" s="7" t="s">
        <v>1029</v>
      </c>
      <c r="F757" s="7" t="s">
        <v>370</v>
      </c>
      <c r="G757" s="7" t="s">
        <v>960</v>
      </c>
      <c r="H757" s="7">
        <v>4.3</v>
      </c>
      <c r="I757" s="7" t="s">
        <v>718</v>
      </c>
    </row>
    <row r="758" spans="1:9">
      <c r="A758" s="7" t="s">
        <v>19</v>
      </c>
      <c r="B758" s="7" t="s">
        <v>687</v>
      </c>
      <c r="C758" s="7">
        <v>2</v>
      </c>
      <c r="D758" s="7" t="s">
        <v>1029</v>
      </c>
      <c r="E758" s="7" t="s">
        <v>1029</v>
      </c>
      <c r="F758" s="7" t="s">
        <v>357</v>
      </c>
      <c r="G758" s="7" t="s">
        <v>961</v>
      </c>
      <c r="H758" s="7">
        <v>4.3</v>
      </c>
      <c r="I758" s="7" t="s">
        <v>718</v>
      </c>
    </row>
    <row r="759" spans="1:9">
      <c r="A759" s="7" t="s">
        <v>19</v>
      </c>
      <c r="B759" s="7" t="s">
        <v>687</v>
      </c>
      <c r="C759" s="7">
        <v>2</v>
      </c>
      <c r="D759" s="7" t="s">
        <v>1029</v>
      </c>
      <c r="E759" s="7" t="s">
        <v>1029</v>
      </c>
      <c r="F759" s="7" t="s">
        <v>357</v>
      </c>
      <c r="G759" s="7" t="s">
        <v>2926</v>
      </c>
      <c r="H759" s="7">
        <v>4.3</v>
      </c>
      <c r="I759" s="7" t="s">
        <v>718</v>
      </c>
    </row>
    <row r="760" spans="1:9">
      <c r="A760" s="7" t="s">
        <v>19</v>
      </c>
      <c r="B760" s="7" t="s">
        <v>687</v>
      </c>
      <c r="C760" s="7">
        <v>2</v>
      </c>
      <c r="D760" s="7" t="s">
        <v>1029</v>
      </c>
      <c r="E760" s="7" t="s">
        <v>1029</v>
      </c>
      <c r="F760" s="7" t="s">
        <v>357</v>
      </c>
      <c r="G760" s="7" t="s">
        <v>2927</v>
      </c>
      <c r="H760" s="7">
        <v>4.3</v>
      </c>
      <c r="I760" s="7" t="s">
        <v>718</v>
      </c>
    </row>
    <row r="761" spans="1:9">
      <c r="A761" s="7" t="s">
        <v>19</v>
      </c>
      <c r="B761" s="7" t="s">
        <v>687</v>
      </c>
      <c r="C761" s="7">
        <v>2</v>
      </c>
      <c r="D761" s="7" t="s">
        <v>1029</v>
      </c>
      <c r="E761" s="7" t="s">
        <v>1029</v>
      </c>
      <c r="F761" s="7" t="s">
        <v>357</v>
      </c>
      <c r="G761" s="7" t="s">
        <v>2925</v>
      </c>
      <c r="H761" s="7">
        <v>4.3</v>
      </c>
      <c r="I761" s="7" t="s">
        <v>718</v>
      </c>
    </row>
    <row r="762" spans="1:9">
      <c r="A762" s="7" t="s">
        <v>19</v>
      </c>
      <c r="B762" s="7" t="s">
        <v>687</v>
      </c>
      <c r="C762" s="7">
        <v>2</v>
      </c>
      <c r="D762" s="7" t="s">
        <v>1029</v>
      </c>
      <c r="E762" s="7" t="s">
        <v>1029</v>
      </c>
      <c r="F762" s="7" t="s">
        <v>357</v>
      </c>
      <c r="G762" s="7" t="s">
        <v>962</v>
      </c>
      <c r="H762" s="7">
        <v>4.3</v>
      </c>
      <c r="I762" s="7" t="s">
        <v>718</v>
      </c>
    </row>
    <row r="763" spans="1:9">
      <c r="A763" s="7" t="s">
        <v>19</v>
      </c>
      <c r="B763" s="7" t="s">
        <v>687</v>
      </c>
      <c r="C763" s="7">
        <v>2</v>
      </c>
      <c r="D763" s="7" t="s">
        <v>1029</v>
      </c>
      <c r="E763" s="7" t="s">
        <v>1029</v>
      </c>
      <c r="F763" s="7" t="s">
        <v>357</v>
      </c>
      <c r="G763" s="7" t="s">
        <v>2928</v>
      </c>
      <c r="H763" s="7">
        <v>4.3</v>
      </c>
      <c r="I763" s="7" t="s">
        <v>718</v>
      </c>
    </row>
    <row r="764" spans="1:9">
      <c r="A764" s="7" t="s">
        <v>19</v>
      </c>
      <c r="B764" s="7" t="s">
        <v>687</v>
      </c>
      <c r="C764" s="7">
        <v>2</v>
      </c>
      <c r="D764" s="7" t="s">
        <v>1029</v>
      </c>
      <c r="E764" s="7" t="s">
        <v>1029</v>
      </c>
      <c r="F764" s="7" t="s">
        <v>357</v>
      </c>
      <c r="G764" s="7" t="s">
        <v>963</v>
      </c>
      <c r="H764" s="7">
        <v>4.3</v>
      </c>
      <c r="I764" s="7" t="s">
        <v>718</v>
      </c>
    </row>
    <row r="765" spans="1:9">
      <c r="A765" s="7" t="s">
        <v>19</v>
      </c>
      <c r="B765" s="7" t="s">
        <v>687</v>
      </c>
      <c r="C765" s="7">
        <v>2</v>
      </c>
      <c r="D765" s="7" t="s">
        <v>1029</v>
      </c>
      <c r="E765" s="7" t="s">
        <v>1029</v>
      </c>
      <c r="F765" s="7" t="s">
        <v>357</v>
      </c>
      <c r="G765" s="7" t="s">
        <v>2929</v>
      </c>
      <c r="H765" s="7">
        <v>4.3</v>
      </c>
      <c r="I765" s="7" t="s">
        <v>718</v>
      </c>
    </row>
    <row r="766" spans="1:9">
      <c r="A766" s="7" t="s">
        <v>19</v>
      </c>
      <c r="B766" s="7" t="s">
        <v>687</v>
      </c>
      <c r="C766" s="7">
        <v>2</v>
      </c>
      <c r="D766" s="7" t="s">
        <v>1029</v>
      </c>
      <c r="E766" s="7" t="s">
        <v>1029</v>
      </c>
      <c r="F766" s="7" t="s">
        <v>357</v>
      </c>
      <c r="G766" s="7" t="s">
        <v>964</v>
      </c>
      <c r="H766" s="7">
        <v>4.3</v>
      </c>
      <c r="I766" s="7" t="s">
        <v>718</v>
      </c>
    </row>
    <row r="767" spans="1:9">
      <c r="A767" s="7" t="s">
        <v>19</v>
      </c>
      <c r="B767" s="7" t="s">
        <v>687</v>
      </c>
      <c r="C767" s="7">
        <v>2</v>
      </c>
      <c r="D767" s="7" t="s">
        <v>1029</v>
      </c>
      <c r="E767" s="7" t="s">
        <v>1029</v>
      </c>
      <c r="F767" s="7" t="s">
        <v>357</v>
      </c>
      <c r="G767" s="7" t="s">
        <v>2930</v>
      </c>
      <c r="H767" s="7">
        <v>4.3</v>
      </c>
      <c r="I767" s="7" t="s">
        <v>718</v>
      </c>
    </row>
    <row r="768" spans="1:9">
      <c r="A768" s="7" t="s">
        <v>19</v>
      </c>
      <c r="B768" s="7" t="s">
        <v>687</v>
      </c>
      <c r="C768" s="7">
        <v>2</v>
      </c>
      <c r="D768" s="7" t="s">
        <v>1029</v>
      </c>
      <c r="E768" s="7" t="s">
        <v>1029</v>
      </c>
      <c r="F768" s="7" t="s">
        <v>357</v>
      </c>
      <c r="G768" s="7" t="s">
        <v>965</v>
      </c>
      <c r="H768" s="7">
        <v>4.3</v>
      </c>
      <c r="I768" s="7" t="s">
        <v>718</v>
      </c>
    </row>
    <row r="769" spans="1:9">
      <c r="A769" s="7" t="s">
        <v>19</v>
      </c>
      <c r="B769" s="7" t="s">
        <v>687</v>
      </c>
      <c r="C769" s="7">
        <v>2</v>
      </c>
      <c r="D769" s="7" t="s">
        <v>1029</v>
      </c>
      <c r="E769" s="7" t="s">
        <v>1029</v>
      </c>
      <c r="F769" s="7" t="s">
        <v>357</v>
      </c>
      <c r="G769" s="7" t="s">
        <v>2931</v>
      </c>
      <c r="H769" s="7">
        <v>4.3</v>
      </c>
      <c r="I769" s="7" t="s">
        <v>718</v>
      </c>
    </row>
    <row r="770" spans="1:9">
      <c r="A770" s="7" t="s">
        <v>19</v>
      </c>
      <c r="B770" s="7" t="s">
        <v>687</v>
      </c>
      <c r="C770" s="7">
        <v>2</v>
      </c>
      <c r="D770" s="7" t="s">
        <v>1029</v>
      </c>
      <c r="E770" s="7" t="s">
        <v>1029</v>
      </c>
      <c r="F770" s="7" t="s">
        <v>357</v>
      </c>
      <c r="G770" s="7" t="s">
        <v>966</v>
      </c>
      <c r="H770" s="7">
        <v>4.3</v>
      </c>
      <c r="I770" s="7" t="s">
        <v>718</v>
      </c>
    </row>
    <row r="771" spans="1:9">
      <c r="A771" s="7" t="s">
        <v>19</v>
      </c>
      <c r="B771" s="7" t="s">
        <v>687</v>
      </c>
      <c r="C771" s="7">
        <v>2</v>
      </c>
      <c r="D771" s="7" t="s">
        <v>1029</v>
      </c>
      <c r="E771" s="7" t="s">
        <v>1029</v>
      </c>
      <c r="F771" s="7" t="s">
        <v>363</v>
      </c>
      <c r="G771" s="7" t="s">
        <v>2933</v>
      </c>
      <c r="H771" s="7">
        <v>4.3</v>
      </c>
      <c r="I771" s="7" t="s">
        <v>718</v>
      </c>
    </row>
    <row r="772" spans="1:9">
      <c r="A772" s="7" t="s">
        <v>19</v>
      </c>
      <c r="B772" s="7" t="s">
        <v>687</v>
      </c>
      <c r="C772" s="7">
        <v>2</v>
      </c>
      <c r="D772" s="7" t="s">
        <v>1029</v>
      </c>
      <c r="E772" s="7" t="s">
        <v>1029</v>
      </c>
      <c r="F772" s="7" t="s">
        <v>363</v>
      </c>
      <c r="G772" s="7" t="s">
        <v>2934</v>
      </c>
      <c r="H772" s="7">
        <v>4.3</v>
      </c>
      <c r="I772" s="7" t="s">
        <v>718</v>
      </c>
    </row>
    <row r="773" spans="1:9">
      <c r="A773" s="7" t="s">
        <v>19</v>
      </c>
      <c r="B773" s="7" t="s">
        <v>687</v>
      </c>
      <c r="C773" s="7">
        <v>2</v>
      </c>
      <c r="D773" s="7" t="s">
        <v>1029</v>
      </c>
      <c r="E773" s="7" t="s">
        <v>1029</v>
      </c>
      <c r="F773" s="7" t="s">
        <v>363</v>
      </c>
      <c r="G773" s="7" t="s">
        <v>970</v>
      </c>
      <c r="H773" s="7">
        <v>4.3</v>
      </c>
      <c r="I773" s="7" t="s">
        <v>718</v>
      </c>
    </row>
    <row r="774" spans="1:9">
      <c r="A774" s="7" t="s">
        <v>19</v>
      </c>
      <c r="B774" s="7" t="s">
        <v>687</v>
      </c>
      <c r="C774" s="7">
        <v>2</v>
      </c>
      <c r="D774" s="7" t="s">
        <v>1029</v>
      </c>
      <c r="E774" s="7" t="s">
        <v>1029</v>
      </c>
      <c r="F774" s="7" t="s">
        <v>363</v>
      </c>
      <c r="G774" s="7" t="s">
        <v>971</v>
      </c>
      <c r="H774" s="7">
        <v>4.3</v>
      </c>
      <c r="I774" s="7" t="s">
        <v>718</v>
      </c>
    </row>
    <row r="775" spans="1:9">
      <c r="A775" s="7" t="s">
        <v>19</v>
      </c>
      <c r="B775" s="7" t="s">
        <v>687</v>
      </c>
      <c r="C775" s="7">
        <v>2</v>
      </c>
      <c r="D775" s="7" t="s">
        <v>1029</v>
      </c>
      <c r="E775" s="7" t="s">
        <v>1029</v>
      </c>
      <c r="F775" s="7" t="s">
        <v>371</v>
      </c>
      <c r="G775" s="7" t="s">
        <v>2935</v>
      </c>
      <c r="H775" s="7">
        <v>4.3</v>
      </c>
      <c r="I775" s="7" t="s">
        <v>718</v>
      </c>
    </row>
    <row r="776" spans="1:9">
      <c r="A776" s="7" t="s">
        <v>19</v>
      </c>
      <c r="B776" s="7" t="s">
        <v>687</v>
      </c>
      <c r="C776" s="7">
        <v>2</v>
      </c>
      <c r="D776" s="7" t="s">
        <v>1029</v>
      </c>
      <c r="E776" s="7" t="s">
        <v>1029</v>
      </c>
      <c r="F776" s="7" t="s">
        <v>371</v>
      </c>
      <c r="G776" s="7" t="s">
        <v>2936</v>
      </c>
      <c r="H776" s="7">
        <v>4.3</v>
      </c>
      <c r="I776" s="7" t="s">
        <v>718</v>
      </c>
    </row>
    <row r="777" spans="1:9">
      <c r="A777" s="7" t="s">
        <v>19</v>
      </c>
      <c r="B777" s="7" t="s">
        <v>687</v>
      </c>
      <c r="C777" s="7">
        <v>2</v>
      </c>
      <c r="D777" s="7" t="s">
        <v>1029</v>
      </c>
      <c r="E777" s="7" t="s">
        <v>1029</v>
      </c>
      <c r="F777" s="7" t="s">
        <v>371</v>
      </c>
      <c r="G777" s="7" t="s">
        <v>2937</v>
      </c>
      <c r="H777" s="7">
        <v>4.3</v>
      </c>
      <c r="I777" s="7" t="s">
        <v>718</v>
      </c>
    </row>
    <row r="778" spans="1:9">
      <c r="A778" s="7" t="s">
        <v>19</v>
      </c>
      <c r="B778" s="7" t="s">
        <v>687</v>
      </c>
      <c r="C778" s="7">
        <v>2</v>
      </c>
      <c r="D778" s="7" t="s">
        <v>1029</v>
      </c>
      <c r="E778" s="7" t="s">
        <v>1029</v>
      </c>
      <c r="F778" s="7" t="s">
        <v>371</v>
      </c>
      <c r="G778" s="7" t="s">
        <v>2938</v>
      </c>
      <c r="H778" s="7">
        <v>4.3</v>
      </c>
      <c r="I778" s="7" t="s">
        <v>718</v>
      </c>
    </row>
    <row r="779" spans="1:9">
      <c r="A779" s="7" t="s">
        <v>19</v>
      </c>
      <c r="B779" s="7" t="s">
        <v>687</v>
      </c>
      <c r="C779" s="7">
        <v>2</v>
      </c>
      <c r="D779" s="7" t="s">
        <v>1029</v>
      </c>
      <c r="E779" s="7" t="s">
        <v>1029</v>
      </c>
      <c r="F779" s="7" t="s">
        <v>373</v>
      </c>
      <c r="G779" s="7" t="s">
        <v>2947</v>
      </c>
      <c r="H779" s="7">
        <v>4.3</v>
      </c>
      <c r="I779" s="7" t="s">
        <v>718</v>
      </c>
    </row>
    <row r="780" spans="1:9">
      <c r="A780" s="7" t="s">
        <v>19</v>
      </c>
      <c r="B780" s="7" t="s">
        <v>687</v>
      </c>
      <c r="C780" s="7">
        <v>2</v>
      </c>
      <c r="D780" s="7" t="s">
        <v>1029</v>
      </c>
      <c r="E780" s="7" t="s">
        <v>1029</v>
      </c>
      <c r="F780" s="7" t="s">
        <v>373</v>
      </c>
      <c r="G780" s="7" t="s">
        <v>2946</v>
      </c>
      <c r="H780" s="7">
        <v>4.3</v>
      </c>
      <c r="I780" s="7" t="s">
        <v>718</v>
      </c>
    </row>
    <row r="781" spans="1:9">
      <c r="A781" s="7" t="s">
        <v>19</v>
      </c>
      <c r="B781" s="7" t="s">
        <v>687</v>
      </c>
      <c r="C781" s="7">
        <v>2</v>
      </c>
      <c r="D781" s="7" t="s">
        <v>1029</v>
      </c>
      <c r="E781" s="7" t="s">
        <v>1029</v>
      </c>
      <c r="F781" s="7" t="s">
        <v>2961</v>
      </c>
      <c r="G781" s="7" t="s">
        <v>2962</v>
      </c>
      <c r="H781" s="7">
        <v>4.3</v>
      </c>
      <c r="I781" s="7" t="s">
        <v>718</v>
      </c>
    </row>
    <row r="782" spans="1:9">
      <c r="A782" s="7" t="s">
        <v>19</v>
      </c>
      <c r="B782" s="7" t="s">
        <v>687</v>
      </c>
      <c r="C782" s="7">
        <v>2</v>
      </c>
      <c r="D782" s="7" t="s">
        <v>1029</v>
      </c>
      <c r="E782" s="7" t="s">
        <v>1029</v>
      </c>
      <c r="F782" s="7" t="s">
        <v>1062</v>
      </c>
      <c r="G782" s="7" t="s">
        <v>1044</v>
      </c>
      <c r="H782" s="7">
        <v>4.3</v>
      </c>
      <c r="I782" s="7" t="s">
        <v>718</v>
      </c>
    </row>
    <row r="783" spans="1:9">
      <c r="A783" s="7" t="s">
        <v>19</v>
      </c>
      <c r="B783" s="7" t="s">
        <v>687</v>
      </c>
      <c r="C783" s="7">
        <v>2</v>
      </c>
      <c r="D783" s="7" t="s">
        <v>1029</v>
      </c>
      <c r="E783" s="7" t="s">
        <v>1029</v>
      </c>
      <c r="F783" s="7" t="s">
        <v>1062</v>
      </c>
      <c r="G783" s="7" t="s">
        <v>3064</v>
      </c>
      <c r="H783" s="7">
        <v>4.3</v>
      </c>
      <c r="I783" s="7" t="s">
        <v>718</v>
      </c>
    </row>
    <row r="784" spans="1:9">
      <c r="A784" s="7" t="s">
        <v>19</v>
      </c>
      <c r="B784" s="7" t="s">
        <v>687</v>
      </c>
      <c r="C784" s="7">
        <v>2</v>
      </c>
      <c r="D784" s="7" t="s">
        <v>1029</v>
      </c>
      <c r="E784" s="7" t="s">
        <v>1029</v>
      </c>
      <c r="F784" s="7" t="s">
        <v>2963</v>
      </c>
      <c r="G784" s="7" t="s">
        <v>2879</v>
      </c>
      <c r="H784" s="7">
        <v>4.3</v>
      </c>
      <c r="I784" s="7" t="s">
        <v>718</v>
      </c>
    </row>
    <row r="785" spans="1:9">
      <c r="A785" s="7" t="s">
        <v>19</v>
      </c>
      <c r="B785" s="7" t="s">
        <v>687</v>
      </c>
      <c r="C785" s="7">
        <v>2</v>
      </c>
      <c r="D785" s="7" t="s">
        <v>1029</v>
      </c>
      <c r="E785" s="7" t="s">
        <v>1029</v>
      </c>
      <c r="F785" s="7" t="s">
        <v>2963</v>
      </c>
      <c r="G785" s="7" t="s">
        <v>1885</v>
      </c>
      <c r="H785" s="7">
        <v>4.3</v>
      </c>
      <c r="I785" s="7" t="s">
        <v>718</v>
      </c>
    </row>
    <row r="786" spans="1:9">
      <c r="A786" s="7" t="s">
        <v>19</v>
      </c>
      <c r="B786" s="7" t="s">
        <v>687</v>
      </c>
      <c r="C786" s="7">
        <v>2</v>
      </c>
      <c r="D786" s="7" t="s">
        <v>1029</v>
      </c>
      <c r="E786" s="7" t="s">
        <v>1029</v>
      </c>
      <c r="F786" s="7" t="s">
        <v>375</v>
      </c>
      <c r="G786" s="7" t="s">
        <v>2890</v>
      </c>
      <c r="H786" s="7">
        <v>4.3</v>
      </c>
      <c r="I786" s="7" t="s">
        <v>718</v>
      </c>
    </row>
    <row r="787" spans="1:9">
      <c r="A787" s="7" t="s">
        <v>19</v>
      </c>
      <c r="B787" s="7" t="s">
        <v>687</v>
      </c>
      <c r="C787" s="7">
        <v>2</v>
      </c>
      <c r="D787" s="7" t="s">
        <v>1029</v>
      </c>
      <c r="E787" s="7" t="s">
        <v>1029</v>
      </c>
      <c r="F787" s="7" t="s">
        <v>2964</v>
      </c>
      <c r="G787" s="7" t="s">
        <v>2700</v>
      </c>
      <c r="H787" s="7">
        <v>4.3</v>
      </c>
      <c r="I787" s="7" t="s">
        <v>718</v>
      </c>
    </row>
    <row r="788" spans="1:9">
      <c r="A788" s="7" t="s">
        <v>19</v>
      </c>
      <c r="B788" s="7" t="s">
        <v>687</v>
      </c>
      <c r="C788" s="7">
        <v>2</v>
      </c>
      <c r="D788" s="7" t="s">
        <v>1029</v>
      </c>
      <c r="E788" s="7" t="s">
        <v>1029</v>
      </c>
      <c r="F788" s="7" t="s">
        <v>172</v>
      </c>
      <c r="G788" s="7" t="s">
        <v>2700</v>
      </c>
      <c r="H788" s="7">
        <v>4.3</v>
      </c>
      <c r="I788" s="7" t="s">
        <v>718</v>
      </c>
    </row>
    <row r="789" spans="1:9">
      <c r="A789" s="7" t="s">
        <v>19</v>
      </c>
      <c r="B789" s="7" t="s">
        <v>687</v>
      </c>
      <c r="C789" s="7">
        <v>2</v>
      </c>
      <c r="D789" s="7" t="s">
        <v>1029</v>
      </c>
      <c r="E789" s="7" t="s">
        <v>1029</v>
      </c>
      <c r="F789" s="7" t="s">
        <v>376</v>
      </c>
      <c r="G789" s="7" t="s">
        <v>2951</v>
      </c>
      <c r="H789" s="7">
        <v>4.3</v>
      </c>
      <c r="I789" s="7" t="s">
        <v>718</v>
      </c>
    </row>
    <row r="790" spans="1:9">
      <c r="A790" s="7" t="s">
        <v>19</v>
      </c>
      <c r="B790" s="7" t="s">
        <v>687</v>
      </c>
      <c r="C790" s="7">
        <v>2</v>
      </c>
      <c r="D790" s="7" t="s">
        <v>1029</v>
      </c>
      <c r="E790" s="7" t="s">
        <v>1029</v>
      </c>
      <c r="F790" s="7" t="s">
        <v>376</v>
      </c>
      <c r="G790" s="7" t="s">
        <v>2956</v>
      </c>
      <c r="H790" s="7">
        <v>4.3</v>
      </c>
      <c r="I790" s="7" t="s">
        <v>718</v>
      </c>
    </row>
    <row r="791" spans="1:9">
      <c r="A791" s="7" t="s">
        <v>19</v>
      </c>
      <c r="B791" s="7" t="s">
        <v>687</v>
      </c>
      <c r="C791" s="7">
        <v>2</v>
      </c>
      <c r="D791" s="7" t="s">
        <v>1029</v>
      </c>
      <c r="E791" s="7" t="s">
        <v>1029</v>
      </c>
      <c r="F791" s="7" t="s">
        <v>376</v>
      </c>
      <c r="G791" s="7" t="s">
        <v>2952</v>
      </c>
      <c r="H791" s="7">
        <v>4.3</v>
      </c>
      <c r="I791" s="7" t="s">
        <v>718</v>
      </c>
    </row>
    <row r="792" spans="1:9">
      <c r="A792" s="7" t="s">
        <v>19</v>
      </c>
      <c r="B792" s="7" t="s">
        <v>687</v>
      </c>
      <c r="C792" s="7">
        <v>2</v>
      </c>
      <c r="D792" s="7" t="s">
        <v>1029</v>
      </c>
      <c r="E792" s="7" t="s">
        <v>1029</v>
      </c>
      <c r="F792" s="7" t="s">
        <v>376</v>
      </c>
      <c r="G792" s="7" t="s">
        <v>2953</v>
      </c>
      <c r="H792" s="7">
        <v>4.3</v>
      </c>
      <c r="I792" s="7" t="s">
        <v>718</v>
      </c>
    </row>
    <row r="793" spans="1:9">
      <c r="A793" s="7" t="s">
        <v>19</v>
      </c>
      <c r="B793" s="7" t="s">
        <v>687</v>
      </c>
      <c r="C793" s="7">
        <v>2</v>
      </c>
      <c r="D793" s="7" t="s">
        <v>1029</v>
      </c>
      <c r="E793" s="7" t="s">
        <v>1029</v>
      </c>
      <c r="F793" s="7" t="s">
        <v>376</v>
      </c>
      <c r="G793" s="7" t="s">
        <v>2957</v>
      </c>
      <c r="H793" s="7">
        <v>4.3</v>
      </c>
      <c r="I793" s="7" t="s">
        <v>718</v>
      </c>
    </row>
    <row r="794" spans="1:9">
      <c r="A794" s="7" t="s">
        <v>19</v>
      </c>
      <c r="B794" s="7" t="s">
        <v>687</v>
      </c>
      <c r="C794" s="7">
        <v>2</v>
      </c>
      <c r="D794" s="7" t="s">
        <v>1029</v>
      </c>
      <c r="E794" s="7" t="s">
        <v>1029</v>
      </c>
      <c r="F794" s="7" t="s">
        <v>376</v>
      </c>
      <c r="G794" s="7" t="s">
        <v>2954</v>
      </c>
      <c r="H794" s="7">
        <v>4.3</v>
      </c>
      <c r="I794" s="7" t="s">
        <v>718</v>
      </c>
    </row>
    <row r="795" spans="1:9">
      <c r="A795" s="7" t="s">
        <v>19</v>
      </c>
      <c r="B795" s="7" t="s">
        <v>687</v>
      </c>
      <c r="C795" s="7">
        <v>2</v>
      </c>
      <c r="D795" s="7" t="s">
        <v>1029</v>
      </c>
      <c r="E795" s="7" t="s">
        <v>1029</v>
      </c>
      <c r="F795" s="7" t="s">
        <v>376</v>
      </c>
      <c r="G795" s="7" t="s">
        <v>2958</v>
      </c>
      <c r="H795" s="7">
        <v>4.3</v>
      </c>
      <c r="I795" s="7" t="s">
        <v>718</v>
      </c>
    </row>
    <row r="796" spans="1:9">
      <c r="A796" s="7" t="s">
        <v>19</v>
      </c>
      <c r="B796" s="7" t="s">
        <v>687</v>
      </c>
      <c r="C796" s="7">
        <v>2</v>
      </c>
      <c r="D796" s="7" t="s">
        <v>1029</v>
      </c>
      <c r="E796" s="7" t="s">
        <v>1029</v>
      </c>
      <c r="F796" s="7" t="s">
        <v>376</v>
      </c>
      <c r="G796" s="7" t="s">
        <v>2955</v>
      </c>
      <c r="H796" s="7">
        <v>4.3</v>
      </c>
      <c r="I796" s="7" t="s">
        <v>718</v>
      </c>
    </row>
    <row r="797" spans="1:9">
      <c r="A797" s="7" t="s">
        <v>19</v>
      </c>
      <c r="B797" s="7" t="s">
        <v>687</v>
      </c>
      <c r="C797" s="7">
        <v>2</v>
      </c>
      <c r="D797" s="7" t="s">
        <v>1029</v>
      </c>
      <c r="E797" s="7" t="s">
        <v>1029</v>
      </c>
      <c r="F797" s="7" t="s">
        <v>377</v>
      </c>
      <c r="G797" s="7" t="s">
        <v>379</v>
      </c>
      <c r="H797" s="7">
        <v>4.3</v>
      </c>
      <c r="I797" s="7" t="s">
        <v>718</v>
      </c>
    </row>
    <row r="798" spans="1:9">
      <c r="A798" s="7" t="s">
        <v>19</v>
      </c>
      <c r="B798" s="7" t="s">
        <v>687</v>
      </c>
      <c r="C798" s="7">
        <v>2</v>
      </c>
      <c r="D798" s="7" t="s">
        <v>1029</v>
      </c>
      <c r="E798" s="7" t="s">
        <v>1029</v>
      </c>
      <c r="F798" s="7" t="s">
        <v>361</v>
      </c>
      <c r="G798" s="7" t="s">
        <v>984</v>
      </c>
      <c r="H798" s="7">
        <v>4.3</v>
      </c>
      <c r="I798" s="7" t="s">
        <v>718</v>
      </c>
    </row>
    <row r="799" spans="1:9">
      <c r="A799" s="7" t="s">
        <v>19</v>
      </c>
      <c r="B799" s="7" t="s">
        <v>687</v>
      </c>
      <c r="C799" s="7">
        <v>2</v>
      </c>
      <c r="D799" s="7" t="s">
        <v>1029</v>
      </c>
      <c r="E799" s="7" t="s">
        <v>1029</v>
      </c>
      <c r="F799" s="7" t="s">
        <v>361</v>
      </c>
      <c r="G799" s="7" t="s">
        <v>2965</v>
      </c>
      <c r="H799" s="7">
        <v>4.3</v>
      </c>
      <c r="I799" s="7" t="s">
        <v>718</v>
      </c>
    </row>
    <row r="800" spans="1:9">
      <c r="A800" s="7" t="s">
        <v>19</v>
      </c>
      <c r="B800" s="7" t="s">
        <v>687</v>
      </c>
      <c r="C800" s="7">
        <v>2</v>
      </c>
      <c r="D800" s="7" t="s">
        <v>1029</v>
      </c>
      <c r="E800" s="7" t="s">
        <v>1029</v>
      </c>
      <c r="F800" s="7" t="s">
        <v>361</v>
      </c>
      <c r="G800" s="7" t="s">
        <v>985</v>
      </c>
      <c r="H800" s="7">
        <v>4.3</v>
      </c>
      <c r="I800" s="7" t="s">
        <v>718</v>
      </c>
    </row>
    <row r="801" spans="1:9">
      <c r="A801" s="7" t="s">
        <v>19</v>
      </c>
      <c r="B801" s="7" t="s">
        <v>687</v>
      </c>
      <c r="C801" s="7">
        <v>2</v>
      </c>
      <c r="D801" s="7" t="s">
        <v>1029</v>
      </c>
      <c r="E801" s="7" t="s">
        <v>1029</v>
      </c>
      <c r="F801" s="7" t="s">
        <v>361</v>
      </c>
      <c r="G801" s="7" t="s">
        <v>986</v>
      </c>
      <c r="H801" s="7">
        <v>4.3</v>
      </c>
      <c r="I801" s="7" t="s">
        <v>718</v>
      </c>
    </row>
    <row r="802" spans="1:9">
      <c r="A802" s="7" t="s">
        <v>19</v>
      </c>
      <c r="B802" s="7" t="s">
        <v>687</v>
      </c>
      <c r="C802" s="7">
        <v>2</v>
      </c>
      <c r="D802" s="7" t="s">
        <v>1029</v>
      </c>
      <c r="E802" s="7" t="s">
        <v>1029</v>
      </c>
      <c r="F802" s="7" t="s">
        <v>361</v>
      </c>
      <c r="G802" s="7" t="s">
        <v>987</v>
      </c>
      <c r="H802" s="7">
        <v>4.3</v>
      </c>
      <c r="I802" s="7" t="s">
        <v>718</v>
      </c>
    </row>
    <row r="803" spans="1:9">
      <c r="A803" s="7" t="s">
        <v>688</v>
      </c>
      <c r="B803" s="7" t="s">
        <v>3052</v>
      </c>
      <c r="C803" s="7">
        <v>1</v>
      </c>
      <c r="D803" s="7" t="s">
        <v>1251</v>
      </c>
      <c r="E803" s="7" t="s">
        <v>1251</v>
      </c>
      <c r="F803" s="7" t="s">
        <v>989</v>
      </c>
      <c r="G803" s="7" t="s">
        <v>990</v>
      </c>
      <c r="H803" s="7">
        <v>6.3</v>
      </c>
      <c r="I803" s="7" t="s">
        <v>719</v>
      </c>
    </row>
    <row r="804" spans="1:9">
      <c r="A804" s="7" t="s">
        <v>688</v>
      </c>
      <c r="B804" s="7" t="s">
        <v>3052</v>
      </c>
      <c r="C804" s="7">
        <v>1</v>
      </c>
      <c r="D804" s="7" t="s">
        <v>1251</v>
      </c>
      <c r="E804" s="7" t="s">
        <v>1251</v>
      </c>
      <c r="F804" s="7" t="s">
        <v>989</v>
      </c>
      <c r="G804" s="7" t="s">
        <v>991</v>
      </c>
      <c r="H804" s="7">
        <v>6.3</v>
      </c>
      <c r="I804" s="7" t="s">
        <v>719</v>
      </c>
    </row>
    <row r="805" spans="1:9">
      <c r="A805" s="7" t="s">
        <v>688</v>
      </c>
      <c r="B805" s="7" t="s">
        <v>3052</v>
      </c>
      <c r="C805" s="7">
        <v>1</v>
      </c>
      <c r="D805" s="7" t="s">
        <v>1251</v>
      </c>
      <c r="E805" s="7" t="s">
        <v>1251</v>
      </c>
      <c r="F805" s="7" t="s">
        <v>989</v>
      </c>
      <c r="G805" s="7" t="s">
        <v>2903</v>
      </c>
      <c r="H805" s="7">
        <v>6.3</v>
      </c>
      <c r="I805" s="7" t="s">
        <v>719</v>
      </c>
    </row>
    <row r="806" spans="1:9">
      <c r="A806" s="7" t="s">
        <v>688</v>
      </c>
      <c r="B806" s="7" t="s">
        <v>3052</v>
      </c>
      <c r="C806" s="7">
        <v>1</v>
      </c>
      <c r="D806" s="7" t="s">
        <v>1251</v>
      </c>
      <c r="E806" s="7" t="s">
        <v>1251</v>
      </c>
      <c r="F806" s="7" t="s">
        <v>989</v>
      </c>
      <c r="G806" s="7" t="s">
        <v>2693</v>
      </c>
      <c r="H806" s="7">
        <v>6.3</v>
      </c>
      <c r="I806" s="7" t="s">
        <v>719</v>
      </c>
    </row>
    <row r="807" spans="1:9">
      <c r="A807" s="7" t="s">
        <v>688</v>
      </c>
      <c r="B807" s="7" t="s">
        <v>3052</v>
      </c>
      <c r="C807" s="7">
        <v>1</v>
      </c>
      <c r="D807" s="7" t="s">
        <v>1251</v>
      </c>
      <c r="E807" s="7" t="s">
        <v>1251</v>
      </c>
      <c r="F807" s="7" t="s">
        <v>989</v>
      </c>
      <c r="G807" s="7" t="s">
        <v>206</v>
      </c>
      <c r="H807" s="7">
        <v>6.5</v>
      </c>
      <c r="I807" s="7" t="s">
        <v>719</v>
      </c>
    </row>
    <row r="808" spans="1:9">
      <c r="A808" s="7" t="s">
        <v>688</v>
      </c>
      <c r="B808" s="7" t="s">
        <v>3052</v>
      </c>
      <c r="C808" s="7">
        <v>1</v>
      </c>
      <c r="D808" s="7" t="s">
        <v>1251</v>
      </c>
      <c r="E808" s="7" t="s">
        <v>1251</v>
      </c>
      <c r="F808" s="7" t="s">
        <v>2979</v>
      </c>
      <c r="G808" s="7" t="s">
        <v>2700</v>
      </c>
      <c r="H808" s="7">
        <v>5.6</v>
      </c>
      <c r="I808" s="7" t="s">
        <v>718</v>
      </c>
    </row>
    <row r="809" spans="1:9">
      <c r="A809" s="7" t="s">
        <v>688</v>
      </c>
      <c r="B809" s="7" t="s">
        <v>3052</v>
      </c>
      <c r="C809" s="7">
        <v>1</v>
      </c>
      <c r="D809" s="7" t="s">
        <v>1251</v>
      </c>
      <c r="E809" s="7" t="s">
        <v>1251</v>
      </c>
      <c r="F809" s="7" t="s">
        <v>1172</v>
      </c>
      <c r="G809" s="7" t="s">
        <v>1174</v>
      </c>
      <c r="H809" s="7">
        <v>5.6</v>
      </c>
      <c r="I809" s="7" t="s">
        <v>718</v>
      </c>
    </row>
    <row r="810" spans="1:9">
      <c r="A810" s="7" t="s">
        <v>688</v>
      </c>
      <c r="B810" s="7" t="s">
        <v>3052</v>
      </c>
      <c r="C810" s="7">
        <v>1</v>
      </c>
      <c r="D810" s="7" t="s">
        <v>1251</v>
      </c>
      <c r="E810" s="7" t="s">
        <v>1251</v>
      </c>
      <c r="F810" s="7" t="s">
        <v>1172</v>
      </c>
      <c r="G810" s="7" t="s">
        <v>1175</v>
      </c>
      <c r="H810" s="7">
        <v>5.6</v>
      </c>
      <c r="I810" s="7" t="s">
        <v>718</v>
      </c>
    </row>
    <row r="811" spans="1:9">
      <c r="A811" s="7" t="s">
        <v>688</v>
      </c>
      <c r="B811" s="7" t="s">
        <v>3052</v>
      </c>
      <c r="C811" s="7">
        <v>1</v>
      </c>
      <c r="D811" s="7" t="s">
        <v>1251</v>
      </c>
      <c r="E811" s="7" t="s">
        <v>1251</v>
      </c>
      <c r="F811" s="7" t="s">
        <v>1173</v>
      </c>
      <c r="G811" s="7" t="s">
        <v>2977</v>
      </c>
      <c r="H811" s="7">
        <v>5.6</v>
      </c>
      <c r="I811" s="7" t="s">
        <v>718</v>
      </c>
    </row>
    <row r="812" spans="1:9">
      <c r="A812" s="7" t="s">
        <v>688</v>
      </c>
      <c r="B812" s="7" t="s">
        <v>3052</v>
      </c>
      <c r="C812" s="7">
        <v>1</v>
      </c>
      <c r="D812" s="7" t="s">
        <v>1251</v>
      </c>
      <c r="E812" s="7" t="s">
        <v>1251</v>
      </c>
      <c r="F812" s="7" t="s">
        <v>1173</v>
      </c>
      <c r="G812" s="7" t="s">
        <v>2976</v>
      </c>
      <c r="H812" s="7">
        <v>5.6</v>
      </c>
      <c r="I812" s="7" t="s">
        <v>718</v>
      </c>
    </row>
    <row r="813" spans="1:9">
      <c r="A813" s="7" t="s">
        <v>688</v>
      </c>
      <c r="B813" s="7" t="s">
        <v>3052</v>
      </c>
      <c r="C813" s="7">
        <v>1</v>
      </c>
      <c r="D813" s="7" t="s">
        <v>1251</v>
      </c>
      <c r="E813" s="7" t="s">
        <v>1251</v>
      </c>
      <c r="F813" s="7" t="s">
        <v>1173</v>
      </c>
      <c r="G813" s="7" t="s">
        <v>2966</v>
      </c>
      <c r="H813" s="7">
        <v>5.6</v>
      </c>
      <c r="I813" s="7" t="s">
        <v>718</v>
      </c>
    </row>
    <row r="814" spans="1:9">
      <c r="A814" s="7" t="s">
        <v>688</v>
      </c>
      <c r="B814" s="7" t="s">
        <v>3052</v>
      </c>
      <c r="C814" s="7">
        <v>1</v>
      </c>
      <c r="D814" s="7" t="s">
        <v>1251</v>
      </c>
      <c r="E814" s="7" t="s">
        <v>1251</v>
      </c>
      <c r="F814" s="7" t="s">
        <v>1173</v>
      </c>
      <c r="G814" s="7" t="s">
        <v>2975</v>
      </c>
      <c r="H814" s="7">
        <v>5.6</v>
      </c>
      <c r="I814" s="7" t="s">
        <v>718</v>
      </c>
    </row>
    <row r="815" spans="1:9">
      <c r="A815" s="7" t="s">
        <v>688</v>
      </c>
      <c r="B815" s="7" t="s">
        <v>3052</v>
      </c>
      <c r="C815" s="7">
        <v>1</v>
      </c>
      <c r="D815" s="7" t="s">
        <v>1251</v>
      </c>
      <c r="E815" s="7" t="s">
        <v>1251</v>
      </c>
      <c r="F815" s="7" t="s">
        <v>1173</v>
      </c>
      <c r="G815" s="7" t="s">
        <v>2968</v>
      </c>
      <c r="H815" s="7">
        <v>5.6</v>
      </c>
      <c r="I815" s="7" t="s">
        <v>718</v>
      </c>
    </row>
    <row r="816" spans="1:9">
      <c r="A816" s="7" t="s">
        <v>688</v>
      </c>
      <c r="B816" s="7" t="s">
        <v>3052</v>
      </c>
      <c r="C816" s="7">
        <v>1</v>
      </c>
      <c r="D816" s="7" t="s">
        <v>1251</v>
      </c>
      <c r="E816" s="7" t="s">
        <v>1251</v>
      </c>
      <c r="F816" s="7" t="s">
        <v>1173</v>
      </c>
      <c r="G816" s="7" t="s">
        <v>2967</v>
      </c>
      <c r="H816" s="7">
        <v>5.6</v>
      </c>
      <c r="I816" s="7" t="s">
        <v>718</v>
      </c>
    </row>
    <row r="817" spans="1:9">
      <c r="A817" s="7" t="s">
        <v>688</v>
      </c>
      <c r="B817" s="7" t="s">
        <v>3052</v>
      </c>
      <c r="C817" s="7">
        <v>1</v>
      </c>
      <c r="D817" s="7" t="s">
        <v>1251</v>
      </c>
      <c r="E817" s="7" t="s">
        <v>1251</v>
      </c>
      <c r="F817" s="7" t="s">
        <v>1173</v>
      </c>
      <c r="G817" s="7" t="s">
        <v>2970</v>
      </c>
      <c r="H817" s="7">
        <v>5.6</v>
      </c>
      <c r="I817" s="7" t="s">
        <v>718</v>
      </c>
    </row>
    <row r="818" spans="1:9">
      <c r="A818" s="7" t="s">
        <v>688</v>
      </c>
      <c r="B818" s="7" t="s">
        <v>3052</v>
      </c>
      <c r="C818" s="7">
        <v>1</v>
      </c>
      <c r="D818" s="7" t="s">
        <v>1251</v>
      </c>
      <c r="E818" s="7" t="s">
        <v>1251</v>
      </c>
      <c r="F818" s="7" t="s">
        <v>1173</v>
      </c>
      <c r="G818" s="7" t="s">
        <v>2978</v>
      </c>
      <c r="H818" s="7">
        <v>5.6</v>
      </c>
      <c r="I818" s="7" t="s">
        <v>718</v>
      </c>
    </row>
    <row r="819" spans="1:9">
      <c r="A819" s="7" t="s">
        <v>688</v>
      </c>
      <c r="B819" s="7" t="s">
        <v>3052</v>
      </c>
      <c r="C819" s="7">
        <v>1</v>
      </c>
      <c r="D819" s="7" t="s">
        <v>1251</v>
      </c>
      <c r="E819" s="7" t="s">
        <v>1251</v>
      </c>
      <c r="F819" s="7" t="s">
        <v>1173</v>
      </c>
      <c r="G819" s="7" t="s">
        <v>2969</v>
      </c>
      <c r="H819" s="7">
        <v>5.6</v>
      </c>
      <c r="I819" s="7" t="s">
        <v>718</v>
      </c>
    </row>
    <row r="820" spans="1:9">
      <c r="A820" s="7" t="s">
        <v>688</v>
      </c>
      <c r="B820" s="7" t="s">
        <v>3052</v>
      </c>
      <c r="C820" s="7">
        <v>1</v>
      </c>
      <c r="D820" s="7" t="s">
        <v>1251</v>
      </c>
      <c r="E820" s="7" t="s">
        <v>1251</v>
      </c>
      <c r="F820" s="7" t="s">
        <v>1173</v>
      </c>
      <c r="G820" s="7" t="s">
        <v>3065</v>
      </c>
      <c r="H820" s="7">
        <v>5.6</v>
      </c>
      <c r="I820" s="7" t="s">
        <v>718</v>
      </c>
    </row>
    <row r="821" spans="1:9">
      <c r="A821" s="7" t="s">
        <v>688</v>
      </c>
      <c r="B821" s="7" t="s">
        <v>3052</v>
      </c>
      <c r="C821" s="7">
        <v>1</v>
      </c>
      <c r="D821" s="7" t="s">
        <v>1251</v>
      </c>
      <c r="E821" s="7" t="s">
        <v>1251</v>
      </c>
      <c r="F821" s="7" t="s">
        <v>1173</v>
      </c>
      <c r="G821" s="7" t="s">
        <v>2971</v>
      </c>
      <c r="H821" s="7">
        <v>5.6</v>
      </c>
      <c r="I821" s="7" t="s">
        <v>718</v>
      </c>
    </row>
    <row r="822" spans="1:9">
      <c r="A822" s="7" t="s">
        <v>688</v>
      </c>
      <c r="B822" s="7" t="s">
        <v>3052</v>
      </c>
      <c r="C822" s="7">
        <v>1</v>
      </c>
      <c r="D822" s="7" t="s">
        <v>1251</v>
      </c>
      <c r="E822" s="7" t="s">
        <v>1251</v>
      </c>
      <c r="F822" s="7" t="s">
        <v>1173</v>
      </c>
      <c r="G822" s="7" t="s">
        <v>2974</v>
      </c>
      <c r="H822" s="7">
        <v>5.6</v>
      </c>
      <c r="I822" s="7" t="s">
        <v>718</v>
      </c>
    </row>
    <row r="823" spans="1:9">
      <c r="A823" s="7" t="s">
        <v>688</v>
      </c>
      <c r="B823" s="7" t="s">
        <v>3052</v>
      </c>
      <c r="C823" s="7">
        <v>1</v>
      </c>
      <c r="D823" s="7" t="s">
        <v>1251</v>
      </c>
      <c r="E823" s="7" t="s">
        <v>1251</v>
      </c>
      <c r="F823" s="7" t="s">
        <v>1173</v>
      </c>
      <c r="G823" s="7" t="s">
        <v>2973</v>
      </c>
      <c r="H823" s="7">
        <v>5.6</v>
      </c>
      <c r="I823" s="7" t="s">
        <v>718</v>
      </c>
    </row>
    <row r="824" spans="1:9">
      <c r="A824" s="7" t="s">
        <v>688</v>
      </c>
      <c r="B824" s="7" t="s">
        <v>3052</v>
      </c>
      <c r="C824" s="7">
        <v>1</v>
      </c>
      <c r="D824" s="7" t="s">
        <v>1251</v>
      </c>
      <c r="E824" s="7" t="s">
        <v>1251</v>
      </c>
      <c r="F824" s="7" t="s">
        <v>1173</v>
      </c>
      <c r="G824" s="7" t="s">
        <v>2972</v>
      </c>
      <c r="H824" s="7">
        <v>5.6</v>
      </c>
      <c r="I824" s="7" t="s">
        <v>718</v>
      </c>
    </row>
    <row r="825" spans="1:9">
      <c r="A825" s="7" t="s">
        <v>688</v>
      </c>
      <c r="B825" s="7" t="s">
        <v>3052</v>
      </c>
      <c r="C825" s="7">
        <v>2</v>
      </c>
      <c r="D825" s="7" t="s">
        <v>1348</v>
      </c>
      <c r="E825" s="7" t="s">
        <v>1349</v>
      </c>
      <c r="F825" s="7" t="s">
        <v>448</v>
      </c>
      <c r="G825" s="7" t="s">
        <v>1324</v>
      </c>
      <c r="H825" s="7">
        <v>5.4</v>
      </c>
      <c r="I825" s="7" t="s">
        <v>718</v>
      </c>
    </row>
    <row r="826" spans="1:9">
      <c r="A826" s="7" t="s">
        <v>688</v>
      </c>
      <c r="B826" s="7" t="s">
        <v>3052</v>
      </c>
      <c r="C826" s="7">
        <v>2</v>
      </c>
      <c r="D826" s="7" t="s">
        <v>1348</v>
      </c>
      <c r="E826" s="7" t="s">
        <v>1349</v>
      </c>
      <c r="F826" s="7" t="s">
        <v>448</v>
      </c>
      <c r="G826" s="7" t="s">
        <v>1351</v>
      </c>
      <c r="H826" s="7">
        <v>5.4</v>
      </c>
      <c r="I826" s="7" t="s">
        <v>718</v>
      </c>
    </row>
    <row r="827" spans="1:9">
      <c r="A827" s="7" t="s">
        <v>688</v>
      </c>
      <c r="B827" s="7" t="s">
        <v>3052</v>
      </c>
      <c r="C827" s="7">
        <v>2</v>
      </c>
      <c r="D827" s="7" t="s">
        <v>1348</v>
      </c>
      <c r="E827" s="7" t="s">
        <v>1349</v>
      </c>
      <c r="F827" s="7" t="s">
        <v>448</v>
      </c>
      <c r="G827" s="7" t="s">
        <v>1352</v>
      </c>
      <c r="H827" s="7">
        <v>5.4</v>
      </c>
      <c r="I827" s="7" t="s">
        <v>718</v>
      </c>
    </row>
    <row r="828" spans="1:9">
      <c r="A828" s="7" t="s">
        <v>688</v>
      </c>
      <c r="B828" s="7" t="s">
        <v>3052</v>
      </c>
      <c r="C828" s="7">
        <v>2</v>
      </c>
      <c r="D828" s="7" t="s">
        <v>1348</v>
      </c>
      <c r="E828" s="7" t="s">
        <v>1349</v>
      </c>
      <c r="F828" s="7" t="s">
        <v>448</v>
      </c>
      <c r="G828" s="7" t="s">
        <v>1353</v>
      </c>
      <c r="H828" s="7">
        <v>5.4</v>
      </c>
      <c r="I828" s="7" t="s">
        <v>718</v>
      </c>
    </row>
    <row r="829" spans="1:9">
      <c r="A829" s="7" t="s">
        <v>688</v>
      </c>
      <c r="B829" s="7" t="s">
        <v>3052</v>
      </c>
      <c r="C829" s="7">
        <v>2</v>
      </c>
      <c r="D829" s="7" t="s">
        <v>1348</v>
      </c>
      <c r="E829" s="7" t="s">
        <v>1349</v>
      </c>
      <c r="F829" s="7" t="s">
        <v>1176</v>
      </c>
      <c r="G829" s="7" t="s">
        <v>1178</v>
      </c>
      <c r="H829" s="7">
        <v>6.4</v>
      </c>
      <c r="I829" s="7" t="s">
        <v>719</v>
      </c>
    </row>
    <row r="830" spans="1:9">
      <c r="A830" s="7" t="s">
        <v>688</v>
      </c>
      <c r="B830" s="7" t="s">
        <v>3052</v>
      </c>
      <c r="C830" s="7">
        <v>2</v>
      </c>
      <c r="D830" s="7" t="s">
        <v>1348</v>
      </c>
      <c r="E830" s="7" t="s">
        <v>1349</v>
      </c>
      <c r="F830" s="7" t="s">
        <v>1176</v>
      </c>
      <c r="G830" s="7" t="s">
        <v>1179</v>
      </c>
      <c r="H830" s="7">
        <v>6.4</v>
      </c>
      <c r="I830" s="7" t="s">
        <v>719</v>
      </c>
    </row>
    <row r="831" spans="1:9">
      <c r="A831" s="7" t="s">
        <v>688</v>
      </c>
      <c r="B831" s="7" t="s">
        <v>3052</v>
      </c>
      <c r="C831" s="7">
        <v>2</v>
      </c>
      <c r="D831" s="7" t="s">
        <v>1348</v>
      </c>
      <c r="E831" s="7" t="s">
        <v>1349</v>
      </c>
      <c r="F831" s="7" t="s">
        <v>1176</v>
      </c>
      <c r="G831" s="7" t="s">
        <v>2726</v>
      </c>
      <c r="H831" s="7">
        <v>6.4</v>
      </c>
      <c r="I831" s="7" t="s">
        <v>719</v>
      </c>
    </row>
    <row r="832" spans="1:9">
      <c r="A832" s="7" t="s">
        <v>688</v>
      </c>
      <c r="B832" s="7" t="s">
        <v>3052</v>
      </c>
      <c r="C832" s="7">
        <v>2</v>
      </c>
      <c r="D832" s="7" t="s">
        <v>1348</v>
      </c>
      <c r="E832" s="7" t="s">
        <v>1349</v>
      </c>
      <c r="F832" s="7" t="s">
        <v>1176</v>
      </c>
      <c r="G832" s="7" t="s">
        <v>1177</v>
      </c>
      <c r="H832" s="7">
        <v>6.4</v>
      </c>
      <c r="I832" s="7" t="s">
        <v>719</v>
      </c>
    </row>
    <row r="833" spans="1:9">
      <c r="A833" s="7" t="s">
        <v>688</v>
      </c>
      <c r="B833" s="7" t="s">
        <v>3052</v>
      </c>
      <c r="C833" s="7">
        <v>2</v>
      </c>
      <c r="D833" s="7" t="s">
        <v>1348</v>
      </c>
      <c r="E833" s="7" t="s">
        <v>1349</v>
      </c>
      <c r="F833" s="7" t="s">
        <v>1176</v>
      </c>
      <c r="G833" s="7" t="s">
        <v>2725</v>
      </c>
      <c r="H833" s="7">
        <v>6.4</v>
      </c>
      <c r="I833" s="7" t="s">
        <v>719</v>
      </c>
    </row>
    <row r="834" spans="1:9">
      <c r="A834" s="7" t="s">
        <v>688</v>
      </c>
      <c r="B834" s="7" t="s">
        <v>3052</v>
      </c>
      <c r="C834" s="7">
        <v>2</v>
      </c>
      <c r="D834" s="7" t="s">
        <v>1348</v>
      </c>
      <c r="E834" s="7" t="s">
        <v>1349</v>
      </c>
      <c r="F834" s="7" t="s">
        <v>1176</v>
      </c>
      <c r="G834" s="7" t="s">
        <v>1180</v>
      </c>
      <c r="H834" s="7">
        <v>6.4</v>
      </c>
      <c r="I834" s="7" t="s">
        <v>719</v>
      </c>
    </row>
    <row r="835" spans="1:9">
      <c r="A835" s="7" t="s">
        <v>688</v>
      </c>
      <c r="B835" s="7" t="s">
        <v>3052</v>
      </c>
      <c r="C835" s="7">
        <v>2</v>
      </c>
      <c r="D835" s="7" t="s">
        <v>1348</v>
      </c>
      <c r="E835" s="7" t="s">
        <v>1349</v>
      </c>
      <c r="F835" s="7" t="s">
        <v>1176</v>
      </c>
      <c r="G835" s="7" t="s">
        <v>2727</v>
      </c>
      <c r="H835" s="7">
        <v>6.4</v>
      </c>
      <c r="I835" s="7" t="s">
        <v>719</v>
      </c>
    </row>
    <row r="836" spans="1:9">
      <c r="A836" s="7" t="s">
        <v>688</v>
      </c>
      <c r="B836" s="7" t="s">
        <v>3052</v>
      </c>
      <c r="C836" s="7">
        <v>2</v>
      </c>
      <c r="D836" s="7" t="s">
        <v>1348</v>
      </c>
      <c r="E836" s="7" t="s">
        <v>1349</v>
      </c>
      <c r="F836" s="7" t="s">
        <v>1176</v>
      </c>
      <c r="G836" s="7" t="s">
        <v>52</v>
      </c>
      <c r="H836" s="7">
        <v>6.4</v>
      </c>
      <c r="I836" s="7" t="s">
        <v>719</v>
      </c>
    </row>
    <row r="837" spans="1:9">
      <c r="A837" s="7" t="s">
        <v>688</v>
      </c>
      <c r="B837" s="7" t="s">
        <v>3052</v>
      </c>
      <c r="C837" s="7">
        <v>2</v>
      </c>
      <c r="D837" s="7" t="s">
        <v>1348</v>
      </c>
      <c r="E837" s="7" t="s">
        <v>1349</v>
      </c>
      <c r="F837" s="7" t="s">
        <v>1176</v>
      </c>
      <c r="G837" s="7" t="s">
        <v>2693</v>
      </c>
      <c r="H837" s="7">
        <v>6.4</v>
      </c>
      <c r="I837" s="7" t="s">
        <v>719</v>
      </c>
    </row>
    <row r="838" spans="1:9">
      <c r="A838" s="7" t="s">
        <v>688</v>
      </c>
      <c r="B838" s="7" t="s">
        <v>3052</v>
      </c>
      <c r="C838" s="7">
        <v>2</v>
      </c>
      <c r="D838" s="7" t="s">
        <v>1348</v>
      </c>
      <c r="E838" s="7" t="s">
        <v>1349</v>
      </c>
      <c r="F838" s="7" t="s">
        <v>1176</v>
      </c>
      <c r="G838" s="7" t="s">
        <v>206</v>
      </c>
      <c r="H838" s="7">
        <v>6.5</v>
      </c>
      <c r="I838" s="7" t="s">
        <v>719</v>
      </c>
    </row>
    <row r="839" spans="1:9">
      <c r="A839" s="7" t="s">
        <v>688</v>
      </c>
      <c r="B839" s="7" t="s">
        <v>3052</v>
      </c>
      <c r="C839" s="7">
        <v>2</v>
      </c>
      <c r="D839" s="7" t="s">
        <v>1348</v>
      </c>
      <c r="E839" s="7" t="s">
        <v>1348</v>
      </c>
      <c r="F839" s="7" t="s">
        <v>1350</v>
      </c>
      <c r="G839" s="7" t="s">
        <v>1208</v>
      </c>
      <c r="H839" s="7">
        <v>5.4</v>
      </c>
      <c r="I839" s="7" t="s">
        <v>718</v>
      </c>
    </row>
    <row r="840" spans="1:9">
      <c r="A840" s="7" t="s">
        <v>688</v>
      </c>
      <c r="B840" s="7" t="s">
        <v>3052</v>
      </c>
      <c r="C840" s="7">
        <v>2</v>
      </c>
      <c r="D840" s="7" t="s">
        <v>1348</v>
      </c>
      <c r="E840" s="7" t="s">
        <v>1348</v>
      </c>
      <c r="F840" s="7" t="s">
        <v>1350</v>
      </c>
      <c r="G840" s="7" t="s">
        <v>2700</v>
      </c>
      <c r="H840" s="7">
        <v>5.4</v>
      </c>
      <c r="I840" s="7" t="s">
        <v>718</v>
      </c>
    </row>
    <row r="841" spans="1:9">
      <c r="A841" s="7" t="s">
        <v>688</v>
      </c>
      <c r="B841" s="7" t="s">
        <v>3052</v>
      </c>
      <c r="C841" s="7">
        <v>2</v>
      </c>
      <c r="D841" s="7" t="s">
        <v>1348</v>
      </c>
      <c r="E841" s="7" t="s">
        <v>1348</v>
      </c>
      <c r="F841" s="7" t="s">
        <v>2777</v>
      </c>
      <c r="G841" s="7" t="s">
        <v>2778</v>
      </c>
      <c r="H841" s="7">
        <v>5.4</v>
      </c>
      <c r="I841" s="7" t="s">
        <v>718</v>
      </c>
    </row>
    <row r="842" spans="1:9">
      <c r="A842" s="7" t="s">
        <v>688</v>
      </c>
      <c r="B842" s="7" t="s">
        <v>3052</v>
      </c>
      <c r="C842" s="7">
        <v>2</v>
      </c>
      <c r="D842" s="7" t="s">
        <v>1348</v>
      </c>
      <c r="E842" s="7" t="s">
        <v>1348</v>
      </c>
      <c r="F842" s="7" t="s">
        <v>2777</v>
      </c>
      <c r="G842" s="7" t="s">
        <v>2779</v>
      </c>
      <c r="H842" s="7">
        <v>5.4</v>
      </c>
      <c r="I842" s="7" t="s">
        <v>718</v>
      </c>
    </row>
    <row r="843" spans="1:9">
      <c r="A843" s="7" t="s">
        <v>688</v>
      </c>
      <c r="B843" s="7" t="s">
        <v>3052</v>
      </c>
      <c r="C843" s="7">
        <v>2</v>
      </c>
      <c r="D843" s="7" t="s">
        <v>1348</v>
      </c>
      <c r="E843" s="7" t="s">
        <v>1348</v>
      </c>
      <c r="F843" s="7" t="s">
        <v>2773</v>
      </c>
      <c r="G843" s="7" t="s">
        <v>2774</v>
      </c>
      <c r="H843" s="7">
        <v>5.4</v>
      </c>
      <c r="I843" s="7" t="s">
        <v>718</v>
      </c>
    </row>
    <row r="844" spans="1:9">
      <c r="A844" s="7" t="s">
        <v>688</v>
      </c>
      <c r="B844" s="7" t="s">
        <v>3052</v>
      </c>
      <c r="C844" s="7">
        <v>2</v>
      </c>
      <c r="D844" s="7" t="s">
        <v>1348</v>
      </c>
      <c r="E844" s="7" t="s">
        <v>1348</v>
      </c>
      <c r="F844" s="7" t="s">
        <v>2773</v>
      </c>
      <c r="G844" s="7" t="s">
        <v>2775</v>
      </c>
      <c r="H844" s="7">
        <v>5.4</v>
      </c>
      <c r="I844" s="7" t="s">
        <v>718</v>
      </c>
    </row>
    <row r="845" spans="1:9">
      <c r="A845" s="7" t="s">
        <v>688</v>
      </c>
      <c r="B845" s="7" t="s">
        <v>3052</v>
      </c>
      <c r="C845" s="7">
        <v>2</v>
      </c>
      <c r="D845" s="7" t="s">
        <v>1348</v>
      </c>
      <c r="E845" s="7" t="s">
        <v>1348</v>
      </c>
      <c r="F845" s="7" t="s">
        <v>2773</v>
      </c>
      <c r="G845" s="7" t="s">
        <v>2776</v>
      </c>
      <c r="H845" s="7">
        <v>5.4</v>
      </c>
      <c r="I845" s="7" t="s">
        <v>718</v>
      </c>
    </row>
    <row r="846" spans="1:9">
      <c r="A846" s="7" t="s">
        <v>688</v>
      </c>
      <c r="B846" s="7" t="s">
        <v>3052</v>
      </c>
      <c r="C846" s="7">
        <v>2</v>
      </c>
      <c r="D846" s="7" t="s">
        <v>1348</v>
      </c>
      <c r="E846" s="7" t="s">
        <v>2980</v>
      </c>
      <c r="F846" s="7" t="s">
        <v>2734</v>
      </c>
      <c r="G846" s="7" t="s">
        <v>191</v>
      </c>
      <c r="H846" s="7">
        <v>6.4</v>
      </c>
      <c r="I846" s="7" t="s">
        <v>719</v>
      </c>
    </row>
    <row r="847" spans="1:9">
      <c r="A847" s="7" t="s">
        <v>688</v>
      </c>
      <c r="B847" s="7" t="s">
        <v>3052</v>
      </c>
      <c r="C847" s="7">
        <v>2</v>
      </c>
      <c r="D847" s="7" t="s">
        <v>1348</v>
      </c>
      <c r="E847" s="7" t="s">
        <v>2980</v>
      </c>
      <c r="F847" s="7" t="s">
        <v>2734</v>
      </c>
      <c r="G847" s="7" t="s">
        <v>2693</v>
      </c>
      <c r="H847" s="7">
        <v>6.4</v>
      </c>
      <c r="I847" s="7" t="s">
        <v>719</v>
      </c>
    </row>
    <row r="848" spans="1:9">
      <c r="A848" s="7" t="s">
        <v>688</v>
      </c>
      <c r="B848" s="7" t="s">
        <v>3052</v>
      </c>
      <c r="C848" s="7">
        <v>2</v>
      </c>
      <c r="D848" s="7" t="s">
        <v>1348</v>
      </c>
      <c r="E848" s="7" t="s">
        <v>2980</v>
      </c>
      <c r="F848" s="7" t="s">
        <v>2734</v>
      </c>
      <c r="G848" s="7" t="s">
        <v>206</v>
      </c>
      <c r="H848" s="7">
        <v>6.5</v>
      </c>
      <c r="I848" s="7" t="s">
        <v>719</v>
      </c>
    </row>
    <row r="849" spans="1:9">
      <c r="A849" s="7" t="s">
        <v>688</v>
      </c>
      <c r="B849" s="7" t="s">
        <v>3052</v>
      </c>
      <c r="C849" s="7">
        <v>2</v>
      </c>
      <c r="D849" s="7" t="s">
        <v>1348</v>
      </c>
      <c r="E849" s="7" t="s">
        <v>2980</v>
      </c>
      <c r="F849" s="7" t="s">
        <v>2735</v>
      </c>
      <c r="G849" s="7" t="s">
        <v>191</v>
      </c>
      <c r="H849" s="7">
        <v>6.4</v>
      </c>
      <c r="I849" s="7" t="s">
        <v>719</v>
      </c>
    </row>
    <row r="850" spans="1:9">
      <c r="A850" s="7" t="s">
        <v>688</v>
      </c>
      <c r="B850" s="7" t="s">
        <v>3052</v>
      </c>
      <c r="C850" s="7">
        <v>2</v>
      </c>
      <c r="D850" s="7" t="s">
        <v>1348</v>
      </c>
      <c r="E850" s="7" t="s">
        <v>2980</v>
      </c>
      <c r="F850" s="7" t="s">
        <v>2735</v>
      </c>
      <c r="G850" s="7" t="s">
        <v>2693</v>
      </c>
      <c r="H850" s="7">
        <v>6.4</v>
      </c>
      <c r="I850" s="7" t="s">
        <v>719</v>
      </c>
    </row>
    <row r="851" spans="1:9">
      <c r="A851" s="7" t="s">
        <v>688</v>
      </c>
      <c r="B851" s="7" t="s">
        <v>3052</v>
      </c>
      <c r="C851" s="7">
        <v>2</v>
      </c>
      <c r="D851" s="7" t="s">
        <v>1348</v>
      </c>
      <c r="E851" s="7" t="s">
        <v>2980</v>
      </c>
      <c r="F851" s="7" t="s">
        <v>2735</v>
      </c>
      <c r="G851" s="7" t="s">
        <v>206</v>
      </c>
      <c r="H851" s="7">
        <v>6.5</v>
      </c>
      <c r="I851" s="7" t="s">
        <v>719</v>
      </c>
    </row>
    <row r="852" spans="1:9">
      <c r="A852" s="7" t="s">
        <v>688</v>
      </c>
      <c r="B852" s="7" t="s">
        <v>3052</v>
      </c>
      <c r="C852" s="7">
        <v>2</v>
      </c>
      <c r="D852" s="7" t="s">
        <v>1348</v>
      </c>
      <c r="E852" s="7" t="s">
        <v>2980</v>
      </c>
      <c r="F852" s="7" t="s">
        <v>2736</v>
      </c>
      <c r="G852" s="7" t="s">
        <v>191</v>
      </c>
      <c r="H852" s="7">
        <v>6.4</v>
      </c>
      <c r="I852" s="7" t="s">
        <v>719</v>
      </c>
    </row>
    <row r="853" spans="1:9">
      <c r="A853" s="7" t="s">
        <v>688</v>
      </c>
      <c r="B853" s="7" t="s">
        <v>3052</v>
      </c>
      <c r="C853" s="7">
        <v>2</v>
      </c>
      <c r="D853" s="7" t="s">
        <v>1348</v>
      </c>
      <c r="E853" s="7" t="s">
        <v>2980</v>
      </c>
      <c r="F853" s="7" t="s">
        <v>2736</v>
      </c>
      <c r="G853" s="7" t="s">
        <v>2693</v>
      </c>
      <c r="H853" s="7">
        <v>6.4</v>
      </c>
      <c r="I853" s="7" t="s">
        <v>719</v>
      </c>
    </row>
    <row r="854" spans="1:9">
      <c r="A854" s="7" t="s">
        <v>688</v>
      </c>
      <c r="B854" s="7" t="s">
        <v>3052</v>
      </c>
      <c r="C854" s="7">
        <v>2</v>
      </c>
      <c r="D854" s="7" t="s">
        <v>1348</v>
      </c>
      <c r="E854" s="7" t="s">
        <v>2980</v>
      </c>
      <c r="F854" s="7" t="s">
        <v>2736</v>
      </c>
      <c r="G854" s="7" t="s">
        <v>206</v>
      </c>
      <c r="H854" s="7">
        <v>6.5</v>
      </c>
      <c r="I854" s="7" t="s">
        <v>719</v>
      </c>
    </row>
    <row r="855" spans="1:9">
      <c r="A855" s="7" t="s">
        <v>688</v>
      </c>
      <c r="B855" s="7" t="s">
        <v>3052</v>
      </c>
      <c r="C855" s="7">
        <v>2</v>
      </c>
      <c r="D855" s="7" t="s">
        <v>1348</v>
      </c>
      <c r="E855" s="7" t="s">
        <v>2980</v>
      </c>
      <c r="F855" s="7" t="s">
        <v>2737</v>
      </c>
      <c r="G855" s="7" t="s">
        <v>191</v>
      </c>
      <c r="H855" s="7">
        <v>6.4</v>
      </c>
      <c r="I855" s="7" t="s">
        <v>719</v>
      </c>
    </row>
    <row r="856" spans="1:9">
      <c r="A856" s="7" t="s">
        <v>688</v>
      </c>
      <c r="B856" s="7" t="s">
        <v>3052</v>
      </c>
      <c r="C856" s="7">
        <v>2</v>
      </c>
      <c r="D856" s="7" t="s">
        <v>1348</v>
      </c>
      <c r="E856" s="7" t="s">
        <v>2980</v>
      </c>
      <c r="F856" s="7" t="s">
        <v>2737</v>
      </c>
      <c r="G856" s="7" t="s">
        <v>2693</v>
      </c>
      <c r="H856" s="7">
        <v>6.4</v>
      </c>
      <c r="I856" s="7" t="s">
        <v>719</v>
      </c>
    </row>
    <row r="857" spans="1:9">
      <c r="A857" s="7" t="s">
        <v>688</v>
      </c>
      <c r="B857" s="7" t="s">
        <v>3052</v>
      </c>
      <c r="C857" s="7">
        <v>2</v>
      </c>
      <c r="D857" s="7" t="s">
        <v>1348</v>
      </c>
      <c r="E857" s="7" t="s">
        <v>2980</v>
      </c>
      <c r="F857" s="7" t="s">
        <v>2737</v>
      </c>
      <c r="G857" s="7" t="s">
        <v>206</v>
      </c>
      <c r="H857" s="7">
        <v>6.5</v>
      </c>
      <c r="I857" s="7" t="s">
        <v>719</v>
      </c>
    </row>
    <row r="858" spans="1:9">
      <c r="A858" s="7" t="s">
        <v>688</v>
      </c>
      <c r="B858" s="7" t="s">
        <v>3052</v>
      </c>
      <c r="C858" s="7">
        <v>2</v>
      </c>
      <c r="D858" s="7" t="s">
        <v>1348</v>
      </c>
      <c r="E858" s="7" t="s">
        <v>2981</v>
      </c>
      <c r="F858" s="7" t="s">
        <v>2739</v>
      </c>
      <c r="G858" s="7" t="s">
        <v>191</v>
      </c>
      <c r="H858" s="7">
        <v>6.4</v>
      </c>
      <c r="I858" s="7" t="s">
        <v>719</v>
      </c>
    </row>
    <row r="859" spans="1:9">
      <c r="A859" s="7" t="s">
        <v>688</v>
      </c>
      <c r="B859" s="7" t="s">
        <v>3052</v>
      </c>
      <c r="C859" s="7">
        <v>2</v>
      </c>
      <c r="D859" s="7" t="s">
        <v>1348</v>
      </c>
      <c r="E859" s="7" t="s">
        <v>2981</v>
      </c>
      <c r="F859" s="7" t="s">
        <v>2739</v>
      </c>
      <c r="G859" s="7" t="s">
        <v>2693</v>
      </c>
      <c r="H859" s="7">
        <v>6.4</v>
      </c>
      <c r="I859" s="7" t="s">
        <v>719</v>
      </c>
    </row>
    <row r="860" spans="1:9">
      <c r="A860" s="7" t="s">
        <v>688</v>
      </c>
      <c r="B860" s="7" t="s">
        <v>3052</v>
      </c>
      <c r="C860" s="7">
        <v>2</v>
      </c>
      <c r="D860" s="7" t="s">
        <v>1348</v>
      </c>
      <c r="E860" s="7" t="s">
        <v>2981</v>
      </c>
      <c r="F860" s="7" t="s">
        <v>2739</v>
      </c>
      <c r="G860" s="7" t="s">
        <v>206</v>
      </c>
      <c r="H860" s="7">
        <v>6.5</v>
      </c>
      <c r="I860" s="7" t="s">
        <v>719</v>
      </c>
    </row>
    <row r="861" spans="1:9">
      <c r="A861" s="7" t="s">
        <v>688</v>
      </c>
      <c r="B861" s="7" t="s">
        <v>3052</v>
      </c>
      <c r="C861" s="7">
        <v>2</v>
      </c>
      <c r="D861" s="7" t="s">
        <v>1348</v>
      </c>
      <c r="E861" s="7" t="s">
        <v>2981</v>
      </c>
      <c r="F861" s="7" t="s">
        <v>2740</v>
      </c>
      <c r="G861" s="7" t="s">
        <v>191</v>
      </c>
      <c r="H861" s="7">
        <v>6.4</v>
      </c>
      <c r="I861" s="7" t="s">
        <v>719</v>
      </c>
    </row>
    <row r="862" spans="1:9">
      <c r="A862" s="7" t="s">
        <v>688</v>
      </c>
      <c r="B862" s="7" t="s">
        <v>3052</v>
      </c>
      <c r="C862" s="7">
        <v>2</v>
      </c>
      <c r="D862" s="7" t="s">
        <v>1348</v>
      </c>
      <c r="E862" s="7" t="s">
        <v>2981</v>
      </c>
      <c r="F862" s="7" t="s">
        <v>2740</v>
      </c>
      <c r="G862" s="7" t="s">
        <v>2693</v>
      </c>
      <c r="H862" s="7">
        <v>6.4</v>
      </c>
      <c r="I862" s="7" t="s">
        <v>719</v>
      </c>
    </row>
    <row r="863" spans="1:9">
      <c r="A863" s="7" t="s">
        <v>688</v>
      </c>
      <c r="B863" s="7" t="s">
        <v>3052</v>
      </c>
      <c r="C863" s="7">
        <v>2</v>
      </c>
      <c r="D863" s="7" t="s">
        <v>1348</v>
      </c>
      <c r="E863" s="7" t="s">
        <v>2981</v>
      </c>
      <c r="F863" s="7" t="s">
        <v>2740</v>
      </c>
      <c r="G863" s="7" t="s">
        <v>206</v>
      </c>
      <c r="H863" s="7">
        <v>6.5</v>
      </c>
      <c r="I863" s="7" t="s">
        <v>719</v>
      </c>
    </row>
    <row r="864" spans="1:9">
      <c r="A864" s="7" t="s">
        <v>688</v>
      </c>
      <c r="B864" s="7" t="s">
        <v>3052</v>
      </c>
      <c r="C864" s="7">
        <v>3</v>
      </c>
      <c r="D864" s="7" t="s">
        <v>1354</v>
      </c>
      <c r="E864" s="7" t="s">
        <v>1354</v>
      </c>
      <c r="F864" s="7" t="s">
        <v>3002</v>
      </c>
      <c r="G864" s="7" t="s">
        <v>2693</v>
      </c>
      <c r="H864" s="7">
        <v>6.6</v>
      </c>
      <c r="I864" s="7" t="s">
        <v>719</v>
      </c>
    </row>
    <row r="865" spans="1:9">
      <c r="A865" s="7" t="s">
        <v>688</v>
      </c>
      <c r="B865" s="7" t="s">
        <v>3052</v>
      </c>
      <c r="C865" s="7">
        <v>3</v>
      </c>
      <c r="D865" s="7" t="s">
        <v>1354</v>
      </c>
      <c r="E865" s="7" t="s">
        <v>1354</v>
      </c>
      <c r="F865" s="7" t="s">
        <v>3002</v>
      </c>
      <c r="G865" s="7" t="s">
        <v>206</v>
      </c>
      <c r="H865" s="7">
        <v>6.5</v>
      </c>
      <c r="I865" s="7" t="s">
        <v>719</v>
      </c>
    </row>
    <row r="866" spans="1:9">
      <c r="A866" s="7" t="s">
        <v>688</v>
      </c>
      <c r="B866" s="7" t="s">
        <v>3052</v>
      </c>
      <c r="C866" s="7">
        <v>3</v>
      </c>
      <c r="D866" s="7" t="s">
        <v>1354</v>
      </c>
      <c r="E866" s="7" t="s">
        <v>1354</v>
      </c>
      <c r="F866" s="7" t="s">
        <v>3003</v>
      </c>
      <c r="G866" s="7" t="s">
        <v>191</v>
      </c>
      <c r="H866" s="7">
        <v>6.6</v>
      </c>
      <c r="I866" s="7" t="s">
        <v>719</v>
      </c>
    </row>
    <row r="867" spans="1:9">
      <c r="A867" s="7" t="s">
        <v>688</v>
      </c>
      <c r="B867" s="7" t="s">
        <v>3052</v>
      </c>
      <c r="C867" s="7">
        <v>3</v>
      </c>
      <c r="D867" s="7" t="s">
        <v>1354</v>
      </c>
      <c r="E867" s="7" t="s">
        <v>1354</v>
      </c>
      <c r="F867" s="7" t="s">
        <v>1183</v>
      </c>
      <c r="G867" s="7" t="s">
        <v>191</v>
      </c>
      <c r="H867" s="7">
        <v>6.6</v>
      </c>
      <c r="I867" s="7" t="s">
        <v>719</v>
      </c>
    </row>
    <row r="868" spans="1:9">
      <c r="A868" s="7" t="s">
        <v>688</v>
      </c>
      <c r="B868" s="7" t="s">
        <v>3052</v>
      </c>
      <c r="C868" s="7">
        <v>3</v>
      </c>
      <c r="D868" s="7" t="s">
        <v>1354</v>
      </c>
      <c r="E868" s="7" t="s">
        <v>1354</v>
      </c>
      <c r="F868" s="7" t="s">
        <v>2626</v>
      </c>
      <c r="G868" s="7" t="s">
        <v>2700</v>
      </c>
      <c r="H868" s="7">
        <v>5.6</v>
      </c>
      <c r="I868" s="7" t="s">
        <v>718</v>
      </c>
    </row>
    <row r="869" spans="1:9">
      <c r="A869" s="7" t="s">
        <v>688</v>
      </c>
      <c r="B869" s="7" t="s">
        <v>3052</v>
      </c>
      <c r="C869" s="7">
        <v>3</v>
      </c>
      <c r="D869" s="7" t="s">
        <v>1354</v>
      </c>
      <c r="E869" s="7" t="s">
        <v>1354</v>
      </c>
      <c r="F869" s="7" t="s">
        <v>1181</v>
      </c>
      <c r="G869" s="7" t="s">
        <v>2700</v>
      </c>
      <c r="H869" s="7">
        <v>5.6</v>
      </c>
      <c r="I869" s="7" t="s">
        <v>718</v>
      </c>
    </row>
    <row r="870" spans="1:9">
      <c r="A870" s="7" t="s">
        <v>688</v>
      </c>
      <c r="B870" s="7" t="s">
        <v>3052</v>
      </c>
      <c r="C870" s="7">
        <v>3</v>
      </c>
      <c r="D870" s="7" t="s">
        <v>1354</v>
      </c>
      <c r="E870" s="7" t="s">
        <v>1354</v>
      </c>
      <c r="F870" s="7" t="s">
        <v>302</v>
      </c>
      <c r="G870" s="7" t="s">
        <v>714</v>
      </c>
      <c r="H870" s="7">
        <v>5.6</v>
      </c>
      <c r="I870" s="7" t="s">
        <v>718</v>
      </c>
    </row>
    <row r="871" spans="1:9">
      <c r="A871" s="7" t="s">
        <v>688</v>
      </c>
      <c r="B871" s="7" t="s">
        <v>3052</v>
      </c>
      <c r="C871" s="7">
        <v>3</v>
      </c>
      <c r="D871" s="7" t="s">
        <v>1354</v>
      </c>
      <c r="E871" s="7" t="s">
        <v>1354</v>
      </c>
      <c r="F871" s="7" t="s">
        <v>302</v>
      </c>
      <c r="G871" s="7" t="s">
        <v>715</v>
      </c>
      <c r="H871" s="7">
        <v>5.6</v>
      </c>
      <c r="I871" s="7" t="s">
        <v>718</v>
      </c>
    </row>
    <row r="872" spans="1:9">
      <c r="A872" s="7" t="s">
        <v>688</v>
      </c>
      <c r="B872" s="7" t="s">
        <v>3052</v>
      </c>
      <c r="C872" s="7">
        <v>3</v>
      </c>
      <c r="D872" s="7" t="s">
        <v>1354</v>
      </c>
      <c r="E872" s="7" t="s">
        <v>1354</v>
      </c>
      <c r="F872" s="7" t="s">
        <v>302</v>
      </c>
      <c r="G872" s="7" t="s">
        <v>716</v>
      </c>
      <c r="H872" s="7">
        <v>5.6</v>
      </c>
      <c r="I872" s="7" t="s">
        <v>718</v>
      </c>
    </row>
    <row r="873" spans="1:9">
      <c r="A873" s="7" t="s">
        <v>688</v>
      </c>
      <c r="B873" s="7" t="s">
        <v>3052</v>
      </c>
      <c r="C873" s="7">
        <v>3</v>
      </c>
      <c r="D873" s="7" t="s">
        <v>1354</v>
      </c>
      <c r="E873" s="7" t="s">
        <v>1354</v>
      </c>
      <c r="F873" s="7" t="s">
        <v>302</v>
      </c>
      <c r="G873" s="7" t="s">
        <v>3072</v>
      </c>
      <c r="H873" s="7">
        <v>5.6</v>
      </c>
      <c r="I873" s="7" t="s">
        <v>718</v>
      </c>
    </row>
    <row r="874" spans="1:9">
      <c r="A874" s="7" t="s">
        <v>688</v>
      </c>
      <c r="B874" s="7" t="s">
        <v>3052</v>
      </c>
      <c r="C874" s="7">
        <v>3</v>
      </c>
      <c r="D874" s="7" t="s">
        <v>1354</v>
      </c>
      <c r="E874" s="7" t="s">
        <v>1354</v>
      </c>
      <c r="F874" s="7" t="s">
        <v>302</v>
      </c>
      <c r="G874" s="7" t="s">
        <v>717</v>
      </c>
      <c r="H874" s="7">
        <v>5.6</v>
      </c>
      <c r="I874" s="7" t="s">
        <v>718</v>
      </c>
    </row>
    <row r="875" spans="1:9">
      <c r="A875" s="7" t="s">
        <v>688</v>
      </c>
      <c r="B875" s="7" t="s">
        <v>3052</v>
      </c>
      <c r="C875" s="7">
        <v>3</v>
      </c>
      <c r="D875" s="7" t="s">
        <v>1354</v>
      </c>
      <c r="E875" s="7" t="s">
        <v>1354</v>
      </c>
      <c r="F875" s="7" t="s">
        <v>302</v>
      </c>
      <c r="G875" s="7" t="s">
        <v>2990</v>
      </c>
      <c r="H875" s="7">
        <v>5.6</v>
      </c>
      <c r="I875" s="7" t="s">
        <v>718</v>
      </c>
    </row>
    <row r="876" spans="1:9">
      <c r="A876" s="7" t="s">
        <v>688</v>
      </c>
      <c r="B876" s="7" t="s">
        <v>3052</v>
      </c>
      <c r="C876" s="7">
        <v>3</v>
      </c>
      <c r="D876" s="7" t="s">
        <v>1354</v>
      </c>
      <c r="E876" s="7" t="s">
        <v>1354</v>
      </c>
      <c r="F876" s="7" t="s">
        <v>302</v>
      </c>
      <c r="G876" s="7" t="s">
        <v>2991</v>
      </c>
      <c r="H876" s="7">
        <v>5.6</v>
      </c>
      <c r="I876" s="7" t="s">
        <v>718</v>
      </c>
    </row>
    <row r="877" spans="1:9">
      <c r="A877" s="7" t="s">
        <v>688</v>
      </c>
      <c r="B877" s="7" t="s">
        <v>3052</v>
      </c>
      <c r="C877" s="7">
        <v>3</v>
      </c>
      <c r="D877" s="7" t="s">
        <v>1354</v>
      </c>
      <c r="E877" s="7" t="s">
        <v>1354</v>
      </c>
      <c r="F877" s="7" t="s">
        <v>302</v>
      </c>
      <c r="G877" s="7" t="s">
        <v>2988</v>
      </c>
      <c r="H877" s="7">
        <v>5.6</v>
      </c>
      <c r="I877" s="7" t="s">
        <v>719</v>
      </c>
    </row>
    <row r="878" spans="1:9">
      <c r="A878" s="7" t="s">
        <v>688</v>
      </c>
      <c r="B878" s="7" t="s">
        <v>3052</v>
      </c>
      <c r="C878" s="7">
        <v>3</v>
      </c>
      <c r="D878" s="7" t="s">
        <v>1354</v>
      </c>
      <c r="E878" s="7" t="s">
        <v>1354</v>
      </c>
      <c r="F878" s="7" t="s">
        <v>302</v>
      </c>
      <c r="G878" s="7" t="s">
        <v>2987</v>
      </c>
      <c r="H878" s="7">
        <v>5.6</v>
      </c>
      <c r="I878" s="7" t="s">
        <v>719</v>
      </c>
    </row>
    <row r="879" spans="1:9">
      <c r="A879" s="7" t="s">
        <v>688</v>
      </c>
      <c r="B879" s="7" t="s">
        <v>3052</v>
      </c>
      <c r="C879" s="7">
        <v>3</v>
      </c>
      <c r="D879" s="7" t="s">
        <v>1354</v>
      </c>
      <c r="E879" s="7" t="s">
        <v>1354</v>
      </c>
      <c r="F879" s="7" t="s">
        <v>302</v>
      </c>
      <c r="G879" s="7" t="s">
        <v>2986</v>
      </c>
      <c r="H879" s="7">
        <v>5.6</v>
      </c>
      <c r="I879" s="7" t="s">
        <v>718</v>
      </c>
    </row>
    <row r="880" spans="1:9">
      <c r="A880" s="7" t="s">
        <v>688</v>
      </c>
      <c r="B880" s="7" t="s">
        <v>3052</v>
      </c>
      <c r="C880" s="7">
        <v>3</v>
      </c>
      <c r="D880" s="7" t="s">
        <v>1354</v>
      </c>
      <c r="E880" s="7" t="s">
        <v>1354</v>
      </c>
      <c r="F880" s="7" t="s">
        <v>302</v>
      </c>
      <c r="G880" s="7" t="s">
        <v>2989</v>
      </c>
      <c r="H880" s="7">
        <v>5.6</v>
      </c>
      <c r="I880" s="7" t="s">
        <v>718</v>
      </c>
    </row>
    <row r="881" spans="1:9">
      <c r="A881" s="7" t="s">
        <v>688</v>
      </c>
      <c r="B881" s="7" t="s">
        <v>3052</v>
      </c>
      <c r="C881" s="7">
        <v>3</v>
      </c>
      <c r="D881" s="7" t="s">
        <v>1354</v>
      </c>
      <c r="E881" s="7" t="s">
        <v>1354</v>
      </c>
      <c r="F881" s="7" t="s">
        <v>302</v>
      </c>
      <c r="G881" s="7" t="s">
        <v>2992</v>
      </c>
      <c r="H881" s="7">
        <v>5.6</v>
      </c>
      <c r="I881" s="7" t="s">
        <v>718</v>
      </c>
    </row>
    <row r="882" spans="1:9">
      <c r="A882" s="7" t="s">
        <v>688</v>
      </c>
      <c r="B882" s="7" t="s">
        <v>3052</v>
      </c>
      <c r="C882" s="7">
        <v>3</v>
      </c>
      <c r="D882" s="7" t="s">
        <v>1354</v>
      </c>
      <c r="E882" s="7" t="s">
        <v>1354</v>
      </c>
      <c r="F882" s="7" t="s">
        <v>302</v>
      </c>
      <c r="G882" s="7" t="s">
        <v>2982</v>
      </c>
      <c r="H882" s="7">
        <v>5.6</v>
      </c>
      <c r="I882" s="7" t="s">
        <v>718</v>
      </c>
    </row>
    <row r="883" spans="1:9">
      <c r="A883" s="7" t="s">
        <v>688</v>
      </c>
      <c r="B883" s="7" t="s">
        <v>3052</v>
      </c>
      <c r="C883" s="7">
        <v>3</v>
      </c>
      <c r="D883" s="7" t="s">
        <v>1354</v>
      </c>
      <c r="E883" s="7" t="s">
        <v>1354</v>
      </c>
      <c r="F883" s="7" t="s">
        <v>302</v>
      </c>
      <c r="G883" s="7" t="s">
        <v>2983</v>
      </c>
      <c r="H883" s="7">
        <v>5.6</v>
      </c>
      <c r="I883" s="7" t="s">
        <v>718</v>
      </c>
    </row>
    <row r="884" spans="1:9">
      <c r="A884" s="7" t="s">
        <v>688</v>
      </c>
      <c r="B884" s="7" t="s">
        <v>3052</v>
      </c>
      <c r="C884" s="7">
        <v>3</v>
      </c>
      <c r="D884" s="7" t="s">
        <v>1354</v>
      </c>
      <c r="E884" s="7" t="s">
        <v>1354</v>
      </c>
      <c r="F884" s="7" t="s">
        <v>302</v>
      </c>
      <c r="G884" s="7" t="s">
        <v>2984</v>
      </c>
      <c r="H884" s="7">
        <v>5.6</v>
      </c>
      <c r="I884" s="7" t="s">
        <v>718</v>
      </c>
    </row>
    <row r="885" spans="1:9">
      <c r="A885" s="7" t="s">
        <v>688</v>
      </c>
      <c r="B885" s="7" t="s">
        <v>3052</v>
      </c>
      <c r="C885" s="7">
        <v>3</v>
      </c>
      <c r="D885" s="7" t="s">
        <v>1354</v>
      </c>
      <c r="E885" s="7" t="s">
        <v>1354</v>
      </c>
      <c r="F885" s="7" t="s">
        <v>302</v>
      </c>
      <c r="G885" s="7" t="s">
        <v>2985</v>
      </c>
      <c r="H885" s="7">
        <v>5.6</v>
      </c>
      <c r="I885" s="7" t="s">
        <v>718</v>
      </c>
    </row>
    <row r="886" spans="1:9">
      <c r="A886" s="7" t="s">
        <v>688</v>
      </c>
      <c r="B886" s="7" t="s">
        <v>3052</v>
      </c>
      <c r="C886" s="7">
        <v>3</v>
      </c>
      <c r="D886" s="7" t="s">
        <v>1354</v>
      </c>
      <c r="E886" s="7" t="s">
        <v>1354</v>
      </c>
      <c r="F886" s="7" t="s">
        <v>302</v>
      </c>
      <c r="G886" s="7" t="s">
        <v>2993</v>
      </c>
      <c r="H886" s="7">
        <v>5.6</v>
      </c>
      <c r="I886" s="7" t="s">
        <v>718</v>
      </c>
    </row>
    <row r="887" spans="1:9">
      <c r="A887" s="7" t="s">
        <v>688</v>
      </c>
      <c r="B887" s="7" t="s">
        <v>3052</v>
      </c>
      <c r="C887" s="7">
        <v>3</v>
      </c>
      <c r="D887" s="7" t="s">
        <v>1354</v>
      </c>
      <c r="E887" s="7" t="s">
        <v>1354</v>
      </c>
      <c r="F887" s="7" t="s">
        <v>302</v>
      </c>
      <c r="G887" s="7" t="s">
        <v>3066</v>
      </c>
      <c r="H887" s="7">
        <v>5.6</v>
      </c>
      <c r="I887" s="7" t="s">
        <v>718</v>
      </c>
    </row>
    <row r="888" spans="1:9">
      <c r="A888" s="7" t="s">
        <v>688</v>
      </c>
      <c r="B888" s="7" t="s">
        <v>3052</v>
      </c>
      <c r="C888" s="7">
        <v>3</v>
      </c>
      <c r="D888" s="7" t="s">
        <v>1354</v>
      </c>
      <c r="E888" s="7" t="s">
        <v>1354</v>
      </c>
      <c r="F888" s="7" t="s">
        <v>1184</v>
      </c>
      <c r="G888" s="7" t="s">
        <v>2700</v>
      </c>
      <c r="H888" s="7">
        <v>5.6</v>
      </c>
      <c r="I888" s="7" t="s">
        <v>718</v>
      </c>
    </row>
    <row r="889" spans="1:9">
      <c r="A889" s="7" t="s">
        <v>688</v>
      </c>
      <c r="B889" s="7" t="s">
        <v>3052</v>
      </c>
      <c r="C889" s="7">
        <v>3</v>
      </c>
      <c r="D889" s="7" t="s">
        <v>1354</v>
      </c>
      <c r="E889" s="7" t="s">
        <v>1354</v>
      </c>
      <c r="F889" s="7" t="s">
        <v>2996</v>
      </c>
      <c r="G889" s="7" t="s">
        <v>3001</v>
      </c>
      <c r="H889" s="7">
        <v>6.4</v>
      </c>
      <c r="I889" s="7" t="s">
        <v>719</v>
      </c>
    </row>
    <row r="890" spans="1:9">
      <c r="A890" s="7" t="s">
        <v>688</v>
      </c>
      <c r="B890" s="7" t="s">
        <v>3052</v>
      </c>
      <c r="C890" s="7">
        <v>3</v>
      </c>
      <c r="D890" s="7" t="s">
        <v>1354</v>
      </c>
      <c r="E890" s="7" t="s">
        <v>1354</v>
      </c>
      <c r="F890" s="7" t="s">
        <v>2996</v>
      </c>
      <c r="G890" s="7" t="s">
        <v>1192</v>
      </c>
      <c r="H890" s="7">
        <v>6.4</v>
      </c>
      <c r="I890" s="7" t="s">
        <v>719</v>
      </c>
    </row>
    <row r="891" spans="1:9">
      <c r="A891" s="7" t="s">
        <v>688</v>
      </c>
      <c r="B891" s="7" t="s">
        <v>3052</v>
      </c>
      <c r="C891" s="7">
        <v>3</v>
      </c>
      <c r="D891" s="7" t="s">
        <v>1354</v>
      </c>
      <c r="E891" s="7" t="s">
        <v>1354</v>
      </c>
      <c r="F891" s="7" t="s">
        <v>2996</v>
      </c>
      <c r="G891" s="7" t="s">
        <v>2998</v>
      </c>
      <c r="H891" s="7">
        <v>6.4</v>
      </c>
      <c r="I891" s="7" t="s">
        <v>719</v>
      </c>
    </row>
    <row r="892" spans="1:9">
      <c r="A892" s="7" t="s">
        <v>688</v>
      </c>
      <c r="B892" s="7" t="s">
        <v>3052</v>
      </c>
      <c r="C892" s="7">
        <v>3</v>
      </c>
      <c r="D892" s="7" t="s">
        <v>1354</v>
      </c>
      <c r="E892" s="7" t="s">
        <v>1354</v>
      </c>
      <c r="F892" s="7" t="s">
        <v>2996</v>
      </c>
      <c r="G892" s="7" t="s">
        <v>3000</v>
      </c>
      <c r="H892" s="7">
        <v>6.4</v>
      </c>
      <c r="I892" s="7" t="s">
        <v>719</v>
      </c>
    </row>
    <row r="893" spans="1:9">
      <c r="A893" s="7" t="s">
        <v>688</v>
      </c>
      <c r="B893" s="7" t="s">
        <v>3052</v>
      </c>
      <c r="C893" s="7">
        <v>3</v>
      </c>
      <c r="D893" s="7" t="s">
        <v>1354</v>
      </c>
      <c r="E893" s="7" t="s">
        <v>1354</v>
      </c>
      <c r="F893" s="7" t="s">
        <v>2996</v>
      </c>
      <c r="G893" s="7" t="s">
        <v>1193</v>
      </c>
      <c r="H893" s="7">
        <v>6.4</v>
      </c>
      <c r="I893" s="7" t="s">
        <v>719</v>
      </c>
    </row>
    <row r="894" spans="1:9">
      <c r="A894" s="7" t="s">
        <v>688</v>
      </c>
      <c r="B894" s="7" t="s">
        <v>3052</v>
      </c>
      <c r="C894" s="7">
        <v>3</v>
      </c>
      <c r="D894" s="7" t="s">
        <v>1354</v>
      </c>
      <c r="E894" s="7" t="s">
        <v>1354</v>
      </c>
      <c r="F894" s="7" t="s">
        <v>2996</v>
      </c>
      <c r="G894" s="7" t="s">
        <v>3067</v>
      </c>
      <c r="H894" s="7">
        <v>6.4</v>
      </c>
      <c r="I894" s="7" t="s">
        <v>719</v>
      </c>
    </row>
    <row r="895" spans="1:9">
      <c r="A895" s="7" t="s">
        <v>688</v>
      </c>
      <c r="B895" s="7" t="s">
        <v>3052</v>
      </c>
      <c r="C895" s="7">
        <v>3</v>
      </c>
      <c r="D895" s="7" t="s">
        <v>1354</v>
      </c>
      <c r="E895" s="7" t="s">
        <v>1354</v>
      </c>
      <c r="F895" s="7" t="s">
        <v>2996</v>
      </c>
      <c r="G895" s="7" t="s">
        <v>1194</v>
      </c>
      <c r="H895" s="7">
        <v>6.4</v>
      </c>
      <c r="I895" s="7" t="s">
        <v>719</v>
      </c>
    </row>
    <row r="896" spans="1:9">
      <c r="A896" s="7" t="s">
        <v>688</v>
      </c>
      <c r="B896" s="7" t="s">
        <v>3052</v>
      </c>
      <c r="C896" s="7">
        <v>3</v>
      </c>
      <c r="D896" s="7" t="s">
        <v>1354</v>
      </c>
      <c r="E896" s="7" t="s">
        <v>1354</v>
      </c>
      <c r="F896" s="7" t="s">
        <v>2996</v>
      </c>
      <c r="G896" s="7" t="s">
        <v>2997</v>
      </c>
      <c r="H896" s="7">
        <v>6.4</v>
      </c>
      <c r="I896" s="7" t="s">
        <v>719</v>
      </c>
    </row>
    <row r="897" spans="1:9">
      <c r="A897" s="7" t="s">
        <v>688</v>
      </c>
      <c r="B897" s="7" t="s">
        <v>3052</v>
      </c>
      <c r="C897" s="7">
        <v>3</v>
      </c>
      <c r="D897" s="7" t="s">
        <v>1354</v>
      </c>
      <c r="E897" s="7" t="s">
        <v>1354</v>
      </c>
      <c r="F897" s="7" t="s">
        <v>2996</v>
      </c>
      <c r="G897" s="7" t="s">
        <v>52</v>
      </c>
      <c r="H897" s="7">
        <v>6.4</v>
      </c>
      <c r="I897" s="7" t="s">
        <v>719</v>
      </c>
    </row>
    <row r="898" spans="1:9">
      <c r="A898" s="7" t="s">
        <v>688</v>
      </c>
      <c r="B898" s="7" t="s">
        <v>3052</v>
      </c>
      <c r="C898" s="7">
        <v>3</v>
      </c>
      <c r="D898" s="7" t="s">
        <v>1354</v>
      </c>
      <c r="E898" s="7" t="s">
        <v>1354</v>
      </c>
      <c r="F898" s="7" t="s">
        <v>2996</v>
      </c>
      <c r="G898" s="7" t="s">
        <v>2693</v>
      </c>
      <c r="H898" s="7">
        <v>6.4</v>
      </c>
      <c r="I898" s="7" t="s">
        <v>719</v>
      </c>
    </row>
    <row r="899" spans="1:9">
      <c r="A899" s="7" t="s">
        <v>688</v>
      </c>
      <c r="B899" s="7" t="s">
        <v>3052</v>
      </c>
      <c r="C899" s="7">
        <v>3</v>
      </c>
      <c r="D899" s="7" t="s">
        <v>1354</v>
      </c>
      <c r="E899" s="7" t="s">
        <v>1354</v>
      </c>
      <c r="F899" s="7" t="s">
        <v>2996</v>
      </c>
      <c r="G899" s="7" t="s">
        <v>2999</v>
      </c>
      <c r="H899" s="7">
        <v>6.4</v>
      </c>
      <c r="I899" s="7" t="s">
        <v>719</v>
      </c>
    </row>
    <row r="900" spans="1:9">
      <c r="A900" s="7" t="s">
        <v>688</v>
      </c>
      <c r="B900" s="7" t="s">
        <v>3052</v>
      </c>
      <c r="C900" s="7">
        <v>3</v>
      </c>
      <c r="D900" s="7" t="s">
        <v>1354</v>
      </c>
      <c r="E900" s="7" t="s">
        <v>1354</v>
      </c>
      <c r="F900" s="7" t="s">
        <v>2996</v>
      </c>
      <c r="G900" s="7" t="s">
        <v>206</v>
      </c>
      <c r="H900" s="7">
        <v>6.5</v>
      </c>
      <c r="I900" s="7" t="s">
        <v>719</v>
      </c>
    </row>
    <row r="901" spans="1:9">
      <c r="A901" s="7" t="s">
        <v>688</v>
      </c>
      <c r="B901" s="7" t="s">
        <v>3052</v>
      </c>
      <c r="C901" s="7">
        <v>3</v>
      </c>
      <c r="D901" s="7" t="s">
        <v>1354</v>
      </c>
      <c r="E901" s="7" t="s">
        <v>1354</v>
      </c>
      <c r="F901" s="7" t="s">
        <v>3004</v>
      </c>
      <c r="G901" s="7" t="s">
        <v>3005</v>
      </c>
      <c r="H901" s="7">
        <v>6.6</v>
      </c>
      <c r="I901" s="7" t="s">
        <v>719</v>
      </c>
    </row>
    <row r="902" spans="1:9">
      <c r="A902" s="7" t="s">
        <v>688</v>
      </c>
      <c r="B902" s="7" t="s">
        <v>3052</v>
      </c>
      <c r="C902" s="7">
        <v>3</v>
      </c>
      <c r="D902" s="7" t="s">
        <v>1354</v>
      </c>
      <c r="E902" s="7" t="s">
        <v>1354</v>
      </c>
      <c r="F902" s="7" t="s">
        <v>3004</v>
      </c>
      <c r="G902" s="7" t="s">
        <v>3006</v>
      </c>
      <c r="H902" s="7">
        <v>6.6</v>
      </c>
      <c r="I902" s="7" t="s">
        <v>719</v>
      </c>
    </row>
    <row r="903" spans="1:9">
      <c r="A903" s="7" t="s">
        <v>688</v>
      </c>
      <c r="B903" s="7" t="s">
        <v>3052</v>
      </c>
      <c r="C903" s="7">
        <v>3</v>
      </c>
      <c r="D903" s="7" t="s">
        <v>1354</v>
      </c>
      <c r="E903" s="7" t="s">
        <v>1354</v>
      </c>
      <c r="F903" s="7" t="s">
        <v>3004</v>
      </c>
      <c r="G903" s="7" t="s">
        <v>3007</v>
      </c>
      <c r="H903" s="7">
        <v>6.6</v>
      </c>
      <c r="I903" s="7" t="s">
        <v>719</v>
      </c>
    </row>
    <row r="904" spans="1:9">
      <c r="A904" s="7" t="s">
        <v>688</v>
      </c>
      <c r="B904" s="7" t="s">
        <v>3052</v>
      </c>
      <c r="C904" s="7">
        <v>3</v>
      </c>
      <c r="D904" s="7" t="s">
        <v>1354</v>
      </c>
      <c r="E904" s="7" t="s">
        <v>1354</v>
      </c>
      <c r="F904" s="7" t="s">
        <v>3004</v>
      </c>
      <c r="G904" s="7" t="s">
        <v>3010</v>
      </c>
      <c r="H904" s="7">
        <v>6.6</v>
      </c>
      <c r="I904" s="7" t="s">
        <v>719</v>
      </c>
    </row>
    <row r="905" spans="1:9">
      <c r="A905" s="7" t="s">
        <v>688</v>
      </c>
      <c r="B905" s="7" t="s">
        <v>3052</v>
      </c>
      <c r="C905" s="7">
        <v>3</v>
      </c>
      <c r="D905" s="7" t="s">
        <v>1354</v>
      </c>
      <c r="E905" s="7" t="s">
        <v>1354</v>
      </c>
      <c r="F905" s="7" t="s">
        <v>3004</v>
      </c>
      <c r="G905" s="7" t="s">
        <v>3008</v>
      </c>
      <c r="H905" s="7">
        <v>6.6</v>
      </c>
      <c r="I905" s="7" t="s">
        <v>719</v>
      </c>
    </row>
    <row r="906" spans="1:9">
      <c r="A906" s="7" t="s">
        <v>688</v>
      </c>
      <c r="B906" s="7" t="s">
        <v>3052</v>
      </c>
      <c r="C906" s="7">
        <v>3</v>
      </c>
      <c r="D906" s="7" t="s">
        <v>1354</v>
      </c>
      <c r="E906" s="7" t="s">
        <v>1354</v>
      </c>
      <c r="F906" s="7" t="s">
        <v>3004</v>
      </c>
      <c r="G906" s="7" t="s">
        <v>3009</v>
      </c>
      <c r="H906" s="7">
        <v>6.6</v>
      </c>
      <c r="I906" s="7" t="s">
        <v>719</v>
      </c>
    </row>
    <row r="907" spans="1:9">
      <c r="A907" s="7" t="s">
        <v>688</v>
      </c>
      <c r="B907" s="7" t="s">
        <v>3052</v>
      </c>
      <c r="C907" s="7">
        <v>3</v>
      </c>
      <c r="D907" s="7" t="s">
        <v>1354</v>
      </c>
      <c r="E907" s="7" t="s">
        <v>1354</v>
      </c>
      <c r="F907" s="7" t="s">
        <v>1185</v>
      </c>
      <c r="G907" s="7" t="s">
        <v>2700</v>
      </c>
      <c r="H907" s="7">
        <v>5.6</v>
      </c>
      <c r="I907" s="7" t="s">
        <v>718</v>
      </c>
    </row>
    <row r="908" spans="1:9">
      <c r="A908" s="7" t="s">
        <v>688</v>
      </c>
      <c r="B908" s="7" t="s">
        <v>3052</v>
      </c>
      <c r="C908" s="7">
        <v>3</v>
      </c>
      <c r="D908" s="7" t="s">
        <v>1354</v>
      </c>
      <c r="E908" s="7" t="s">
        <v>1354</v>
      </c>
      <c r="F908" s="7" t="s">
        <v>1186</v>
      </c>
      <c r="G908" s="7" t="s">
        <v>2700</v>
      </c>
      <c r="H908" s="7">
        <v>5.6</v>
      </c>
      <c r="I908" s="7" t="s">
        <v>718</v>
      </c>
    </row>
    <row r="909" spans="1:9">
      <c r="A909" s="7" t="s">
        <v>688</v>
      </c>
      <c r="B909" s="7" t="s">
        <v>3052</v>
      </c>
      <c r="C909" s="7">
        <v>3</v>
      </c>
      <c r="D909" s="7" t="s">
        <v>1354</v>
      </c>
      <c r="E909" s="7" t="s">
        <v>1354</v>
      </c>
      <c r="F909" s="7" t="s">
        <v>1186</v>
      </c>
      <c r="G909" s="7" t="s">
        <v>1191</v>
      </c>
      <c r="H909" s="7">
        <v>5.6</v>
      </c>
      <c r="I909" s="7" t="s">
        <v>718</v>
      </c>
    </row>
    <row r="910" spans="1:9">
      <c r="A910" s="7" t="s">
        <v>688</v>
      </c>
      <c r="B910" s="7" t="s">
        <v>3052</v>
      </c>
      <c r="C910" s="7">
        <v>3</v>
      </c>
      <c r="D910" s="7" t="s">
        <v>1354</v>
      </c>
      <c r="E910" s="7" t="s">
        <v>1354</v>
      </c>
      <c r="F910" s="7" t="s">
        <v>1186</v>
      </c>
      <c r="G910" s="7" t="s">
        <v>3012</v>
      </c>
      <c r="H910" s="7">
        <v>5.6</v>
      </c>
      <c r="I910" s="7" t="s">
        <v>718</v>
      </c>
    </row>
    <row r="911" spans="1:9">
      <c r="A911" s="7" t="s">
        <v>688</v>
      </c>
      <c r="B911" s="7" t="s">
        <v>3052</v>
      </c>
      <c r="C911" s="7">
        <v>3</v>
      </c>
      <c r="D911" s="7" t="s">
        <v>1354</v>
      </c>
      <c r="E911" s="7" t="s">
        <v>1354</v>
      </c>
      <c r="F911" s="7" t="s">
        <v>1186</v>
      </c>
      <c r="G911" s="7" t="s">
        <v>1190</v>
      </c>
      <c r="H911" s="7">
        <v>5.6</v>
      </c>
      <c r="I911" s="7" t="s">
        <v>718</v>
      </c>
    </row>
    <row r="912" spans="1:9">
      <c r="A912" s="7" t="s">
        <v>688</v>
      </c>
      <c r="B912" s="7" t="s">
        <v>3052</v>
      </c>
      <c r="C912" s="7">
        <v>3</v>
      </c>
      <c r="D912" s="7" t="s">
        <v>1354</v>
      </c>
      <c r="E912" s="7" t="s">
        <v>1354</v>
      </c>
      <c r="F912" s="7" t="s">
        <v>1186</v>
      </c>
      <c r="G912" s="7" t="s">
        <v>3011</v>
      </c>
      <c r="H912" s="7">
        <v>5.6</v>
      </c>
      <c r="I912" s="7" t="s">
        <v>718</v>
      </c>
    </row>
    <row r="913" spans="1:9">
      <c r="A913" s="7" t="s">
        <v>688</v>
      </c>
      <c r="B913" s="7" t="s">
        <v>3052</v>
      </c>
      <c r="C913" s="7">
        <v>3</v>
      </c>
      <c r="D913" s="7" t="s">
        <v>1354</v>
      </c>
      <c r="E913" s="7" t="s">
        <v>1354</v>
      </c>
      <c r="F913" s="7" t="s">
        <v>1186</v>
      </c>
      <c r="G913" s="7" t="s">
        <v>1187</v>
      </c>
      <c r="H913" s="7">
        <v>5.6</v>
      </c>
      <c r="I913" s="7" t="s">
        <v>718</v>
      </c>
    </row>
    <row r="914" spans="1:9">
      <c r="A914" s="7" t="s">
        <v>688</v>
      </c>
      <c r="B914" s="7" t="s">
        <v>3052</v>
      </c>
      <c r="C914" s="7">
        <v>3</v>
      </c>
      <c r="D914" s="7" t="s">
        <v>1354</v>
      </c>
      <c r="E914" s="7" t="s">
        <v>1354</v>
      </c>
      <c r="F914" s="7" t="s">
        <v>1186</v>
      </c>
      <c r="G914" s="7" t="s">
        <v>1189</v>
      </c>
      <c r="H914" s="7">
        <v>5.6</v>
      </c>
      <c r="I914" s="7" t="s">
        <v>718</v>
      </c>
    </row>
    <row r="915" spans="1:9">
      <c r="A915" s="7" t="s">
        <v>688</v>
      </c>
      <c r="B915" s="7" t="s">
        <v>3052</v>
      </c>
      <c r="C915" s="7">
        <v>3</v>
      </c>
      <c r="D915" s="7" t="s">
        <v>1354</v>
      </c>
      <c r="E915" s="7" t="s">
        <v>1354</v>
      </c>
      <c r="F915" s="7" t="s">
        <v>1186</v>
      </c>
      <c r="G915" s="7" t="s">
        <v>1188</v>
      </c>
      <c r="H915" s="7">
        <v>5.6</v>
      </c>
      <c r="I915" s="7" t="s">
        <v>718</v>
      </c>
    </row>
    <row r="916" spans="1:9">
      <c r="A916" s="7" t="s">
        <v>688</v>
      </c>
      <c r="B916" s="7" t="s">
        <v>3052</v>
      </c>
      <c r="C916" s="7">
        <v>3</v>
      </c>
      <c r="D916" s="7" t="s">
        <v>1354</v>
      </c>
      <c r="E916" s="7" t="s">
        <v>1354</v>
      </c>
      <c r="F916" s="7" t="s">
        <v>2994</v>
      </c>
      <c r="G916" s="7" t="s">
        <v>2700</v>
      </c>
      <c r="H916" s="7">
        <v>5.6</v>
      </c>
      <c r="I916" s="7" t="s">
        <v>718</v>
      </c>
    </row>
    <row r="917" spans="1:9">
      <c r="A917" s="7" t="s">
        <v>688</v>
      </c>
      <c r="B917" s="7" t="s">
        <v>3052</v>
      </c>
      <c r="C917" s="7">
        <v>3</v>
      </c>
      <c r="D917" s="7" t="s">
        <v>1354</v>
      </c>
      <c r="E917" s="7" t="s">
        <v>1354</v>
      </c>
      <c r="F917" s="7" t="s">
        <v>2995</v>
      </c>
      <c r="G917" s="7" t="s">
        <v>1198</v>
      </c>
      <c r="H917" s="7">
        <v>5.6</v>
      </c>
      <c r="I917" s="7" t="s">
        <v>718</v>
      </c>
    </row>
    <row r="918" spans="1:9">
      <c r="A918" s="7" t="s">
        <v>688</v>
      </c>
      <c r="B918" s="7" t="s">
        <v>3052</v>
      </c>
      <c r="C918" s="7">
        <v>3</v>
      </c>
      <c r="D918" s="7" t="s">
        <v>1354</v>
      </c>
      <c r="E918" s="7" t="s">
        <v>1354</v>
      </c>
      <c r="F918" s="7" t="s">
        <v>2627</v>
      </c>
      <c r="G918" s="7" t="s">
        <v>2700</v>
      </c>
      <c r="H918" s="7">
        <v>5.6</v>
      </c>
      <c r="I918" s="7" t="s">
        <v>718</v>
      </c>
    </row>
    <row r="919" spans="1:9">
      <c r="A919" s="7" t="s">
        <v>688</v>
      </c>
      <c r="B919" s="7" t="s">
        <v>3052</v>
      </c>
      <c r="C919" s="7">
        <v>3</v>
      </c>
      <c r="D919" s="7" t="s">
        <v>1354</v>
      </c>
      <c r="E919" s="7" t="s">
        <v>1354</v>
      </c>
      <c r="F919" s="7" t="s">
        <v>1182</v>
      </c>
      <c r="G919" s="7" t="s">
        <v>2700</v>
      </c>
      <c r="H919" s="7">
        <v>5.6</v>
      </c>
      <c r="I919" s="7" t="s">
        <v>718</v>
      </c>
    </row>
    <row r="920" spans="1:9">
      <c r="A920" s="7" t="s">
        <v>688</v>
      </c>
      <c r="B920" s="7" t="s">
        <v>3052</v>
      </c>
      <c r="C920" s="7">
        <v>4</v>
      </c>
      <c r="D920" s="7" t="s">
        <v>449</v>
      </c>
      <c r="E920" s="7" t="s">
        <v>1356</v>
      </c>
      <c r="F920" s="7" t="s">
        <v>3050</v>
      </c>
      <c r="G920" s="7" t="s">
        <v>2702</v>
      </c>
      <c r="H920" s="7">
        <v>5.8</v>
      </c>
      <c r="I920" s="7" t="s">
        <v>718</v>
      </c>
    </row>
    <row r="921" spans="1:9">
      <c r="A921" s="7" t="s">
        <v>688</v>
      </c>
      <c r="B921" s="7" t="s">
        <v>3052</v>
      </c>
      <c r="C921" s="7">
        <v>4</v>
      </c>
      <c r="D921" s="7" t="s">
        <v>449</v>
      </c>
      <c r="E921" s="7" t="s">
        <v>1356</v>
      </c>
      <c r="F921" s="7" t="s">
        <v>1014</v>
      </c>
      <c r="G921" s="7" t="s">
        <v>2700</v>
      </c>
      <c r="H921" s="7">
        <v>5.8</v>
      </c>
      <c r="I921" s="7" t="s">
        <v>718</v>
      </c>
    </row>
    <row r="922" spans="1:9">
      <c r="A922" s="7" t="s">
        <v>688</v>
      </c>
      <c r="B922" s="7" t="s">
        <v>3052</v>
      </c>
      <c r="C922" s="7">
        <v>4</v>
      </c>
      <c r="D922" s="7" t="s">
        <v>449</v>
      </c>
      <c r="E922" s="7" t="s">
        <v>1356</v>
      </c>
      <c r="F922" s="7" t="s">
        <v>1015</v>
      </c>
      <c r="G922" s="7" t="s">
        <v>2700</v>
      </c>
      <c r="H922" s="7">
        <v>5.8</v>
      </c>
      <c r="I922" s="7" t="s">
        <v>718</v>
      </c>
    </row>
    <row r="923" spans="1:9">
      <c r="A923" s="7" t="s">
        <v>688</v>
      </c>
      <c r="B923" s="7" t="s">
        <v>3052</v>
      </c>
      <c r="C923" s="7">
        <v>4</v>
      </c>
      <c r="D923" s="7" t="s">
        <v>449</v>
      </c>
      <c r="E923" s="7" t="s">
        <v>1356</v>
      </c>
      <c r="F923" s="7" t="s">
        <v>1016</v>
      </c>
      <c r="G923" s="7" t="s">
        <v>2700</v>
      </c>
      <c r="H923" s="7">
        <v>5.8</v>
      </c>
      <c r="I923" s="7" t="s">
        <v>718</v>
      </c>
    </row>
    <row r="924" spans="1:9">
      <c r="A924" s="7" t="s">
        <v>688</v>
      </c>
      <c r="B924" s="7" t="s">
        <v>3052</v>
      </c>
      <c r="C924" s="7">
        <v>4</v>
      </c>
      <c r="D924" s="7" t="s">
        <v>449</v>
      </c>
      <c r="E924" s="7" t="s">
        <v>1356</v>
      </c>
      <c r="F924" s="7" t="s">
        <v>2912</v>
      </c>
      <c r="G924" s="7" t="s">
        <v>2700</v>
      </c>
      <c r="H924" s="7">
        <v>5.8</v>
      </c>
      <c r="I924" s="7" t="s">
        <v>718</v>
      </c>
    </row>
    <row r="925" spans="1:9">
      <c r="A925" s="7" t="s">
        <v>688</v>
      </c>
      <c r="B925" s="7" t="s">
        <v>3052</v>
      </c>
      <c r="C925" s="7">
        <v>4</v>
      </c>
      <c r="D925" s="7" t="s">
        <v>449</v>
      </c>
      <c r="E925" s="7" t="s">
        <v>1356</v>
      </c>
      <c r="F925" s="7" t="s">
        <v>1019</v>
      </c>
      <c r="G925" s="7" t="s">
        <v>2700</v>
      </c>
      <c r="H925" s="7">
        <v>5.8</v>
      </c>
      <c r="I925" s="7" t="s">
        <v>718</v>
      </c>
    </row>
    <row r="926" spans="1:9">
      <c r="A926" s="7" t="s">
        <v>688</v>
      </c>
      <c r="B926" s="7" t="s">
        <v>3052</v>
      </c>
      <c r="C926" s="7">
        <v>4</v>
      </c>
      <c r="D926" s="7" t="s">
        <v>449</v>
      </c>
      <c r="E926" s="7" t="s">
        <v>1356</v>
      </c>
      <c r="F926" s="7" t="s">
        <v>2791</v>
      </c>
      <c r="G926" s="7" t="s">
        <v>2700</v>
      </c>
      <c r="H926" s="7">
        <v>5.8</v>
      </c>
      <c r="I926" s="7" t="s">
        <v>718</v>
      </c>
    </row>
    <row r="927" spans="1:9">
      <c r="A927" s="7" t="s">
        <v>688</v>
      </c>
      <c r="B927" s="7" t="s">
        <v>3052</v>
      </c>
      <c r="C927" s="7">
        <v>4</v>
      </c>
      <c r="D927" s="7" t="s">
        <v>449</v>
      </c>
      <c r="E927" s="7" t="s">
        <v>1356</v>
      </c>
      <c r="F927" s="7" t="s">
        <v>2792</v>
      </c>
      <c r="G927" s="7" t="s">
        <v>3013</v>
      </c>
      <c r="H927" s="7">
        <v>5.8</v>
      </c>
      <c r="I927" s="7" t="s">
        <v>718</v>
      </c>
    </row>
    <row r="928" spans="1:9">
      <c r="A928" s="7" t="s">
        <v>688</v>
      </c>
      <c r="B928" s="7" t="s">
        <v>3052</v>
      </c>
      <c r="C928" s="7">
        <v>4</v>
      </c>
      <c r="D928" s="7" t="s">
        <v>449</v>
      </c>
      <c r="E928" s="7" t="s">
        <v>1356</v>
      </c>
      <c r="F928" s="7" t="s">
        <v>1195</v>
      </c>
      <c r="G928" s="7" t="s">
        <v>2700</v>
      </c>
      <c r="H928" s="7">
        <v>5.8</v>
      </c>
      <c r="I928" s="7" t="s">
        <v>718</v>
      </c>
    </row>
    <row r="929" spans="1:9">
      <c r="A929" s="7" t="s">
        <v>688</v>
      </c>
      <c r="B929" s="7" t="s">
        <v>3052</v>
      </c>
      <c r="C929" s="7">
        <v>4</v>
      </c>
      <c r="D929" s="7" t="s">
        <v>449</v>
      </c>
      <c r="E929" s="7" t="s">
        <v>1356</v>
      </c>
      <c r="F929" s="7" t="s">
        <v>2703</v>
      </c>
      <c r="G929" s="7" t="s">
        <v>2704</v>
      </c>
      <c r="H929" s="7">
        <v>5.8</v>
      </c>
      <c r="I929" s="7" t="s">
        <v>2705</v>
      </c>
    </row>
    <row r="930" spans="1:9">
      <c r="A930" s="7" t="s">
        <v>688</v>
      </c>
      <c r="B930" s="7" t="s">
        <v>3052</v>
      </c>
      <c r="C930" s="7">
        <v>4</v>
      </c>
      <c r="D930" s="7" t="s">
        <v>449</v>
      </c>
      <c r="E930" s="7" t="s">
        <v>1356</v>
      </c>
      <c r="F930" s="7" t="s">
        <v>1196</v>
      </c>
      <c r="G930" s="7" t="s">
        <v>2700</v>
      </c>
      <c r="H930" s="7">
        <v>5.8</v>
      </c>
      <c r="I930" s="7" t="s">
        <v>718</v>
      </c>
    </row>
    <row r="931" spans="1:9">
      <c r="A931" s="7" t="s">
        <v>688</v>
      </c>
      <c r="B931" s="7" t="s">
        <v>3052</v>
      </c>
      <c r="C931" s="7">
        <v>4</v>
      </c>
      <c r="D931" s="7" t="s">
        <v>449</v>
      </c>
      <c r="E931" s="7" t="s">
        <v>1356</v>
      </c>
      <c r="F931" s="7" t="s">
        <v>2706</v>
      </c>
      <c r="G931" s="7" t="s">
        <v>2707</v>
      </c>
      <c r="H931" s="7">
        <v>5.8</v>
      </c>
      <c r="I931" s="7" t="s">
        <v>718</v>
      </c>
    </row>
    <row r="932" spans="1:9">
      <c r="A932" s="7" t="s">
        <v>688</v>
      </c>
      <c r="B932" s="7" t="s">
        <v>3052</v>
      </c>
      <c r="C932" s="7">
        <v>4</v>
      </c>
      <c r="D932" s="7" t="s">
        <v>449</v>
      </c>
      <c r="E932" s="7" t="s">
        <v>1356</v>
      </c>
      <c r="F932" s="7" t="s">
        <v>2706</v>
      </c>
      <c r="G932" s="7" t="s">
        <v>2708</v>
      </c>
      <c r="H932" s="7">
        <v>5.8</v>
      </c>
      <c r="I932" s="7" t="s">
        <v>718</v>
      </c>
    </row>
    <row r="933" spans="1:9">
      <c r="A933" s="7" t="s">
        <v>688</v>
      </c>
      <c r="B933" s="7" t="s">
        <v>3052</v>
      </c>
      <c r="C933" s="7">
        <v>4</v>
      </c>
      <c r="D933" s="7" t="s">
        <v>449</v>
      </c>
      <c r="E933" s="7" t="s">
        <v>1356</v>
      </c>
      <c r="F933" s="7" t="s">
        <v>2706</v>
      </c>
      <c r="G933" s="7" t="s">
        <v>2709</v>
      </c>
      <c r="H933" s="7">
        <v>5.8</v>
      </c>
      <c r="I933" s="7" t="s">
        <v>719</v>
      </c>
    </row>
    <row r="934" spans="1:9">
      <c r="A934" s="7" t="s">
        <v>688</v>
      </c>
      <c r="B934" s="7" t="s">
        <v>3052</v>
      </c>
      <c r="C934" s="7">
        <v>4</v>
      </c>
      <c r="D934" s="7" t="s">
        <v>449</v>
      </c>
      <c r="E934" s="7" t="s">
        <v>1356</v>
      </c>
      <c r="F934" s="7" t="s">
        <v>2710</v>
      </c>
      <c r="G934" s="7" t="s">
        <v>2711</v>
      </c>
      <c r="H934" s="7">
        <v>5.8</v>
      </c>
      <c r="I934" s="7" t="s">
        <v>2705</v>
      </c>
    </row>
    <row r="935" spans="1:9">
      <c r="A935" s="7" t="s">
        <v>688</v>
      </c>
      <c r="B935" s="7" t="s">
        <v>3052</v>
      </c>
      <c r="C935" s="7">
        <v>4</v>
      </c>
      <c r="D935" s="7" t="s">
        <v>449</v>
      </c>
      <c r="E935" s="7" t="s">
        <v>1356</v>
      </c>
      <c r="F935" s="7" t="s">
        <v>2712</v>
      </c>
      <c r="G935" s="7" t="s">
        <v>2717</v>
      </c>
      <c r="H935" s="7">
        <v>5.8</v>
      </c>
      <c r="I935" s="7" t="s">
        <v>2714</v>
      </c>
    </row>
    <row r="936" spans="1:9">
      <c r="A936" s="7" t="s">
        <v>688</v>
      </c>
      <c r="B936" s="7" t="s">
        <v>3052</v>
      </c>
      <c r="C936" s="7">
        <v>4</v>
      </c>
      <c r="D936" s="7" t="s">
        <v>449</v>
      </c>
      <c r="E936" s="7" t="s">
        <v>1356</v>
      </c>
      <c r="F936" s="7" t="s">
        <v>2712</v>
      </c>
      <c r="G936" s="7" t="s">
        <v>2713</v>
      </c>
      <c r="H936" s="7">
        <v>5.8</v>
      </c>
      <c r="I936" s="7" t="s">
        <v>2714</v>
      </c>
    </row>
    <row r="937" spans="1:9">
      <c r="A937" s="7" t="s">
        <v>688</v>
      </c>
      <c r="B937" s="7" t="s">
        <v>3052</v>
      </c>
      <c r="C937" s="7">
        <v>4</v>
      </c>
      <c r="D937" s="7" t="s">
        <v>449</v>
      </c>
      <c r="E937" s="7" t="s">
        <v>1356</v>
      </c>
      <c r="F937" s="7" t="s">
        <v>2712</v>
      </c>
      <c r="G937" s="7" t="s">
        <v>2716</v>
      </c>
      <c r="H937" s="7">
        <v>5.8</v>
      </c>
      <c r="I937" s="7" t="s">
        <v>2714</v>
      </c>
    </row>
    <row r="938" spans="1:9">
      <c r="A938" s="7" t="s">
        <v>688</v>
      </c>
      <c r="B938" s="7" t="s">
        <v>3052</v>
      </c>
      <c r="C938" s="7">
        <v>4</v>
      </c>
      <c r="D938" s="7" t="s">
        <v>449</v>
      </c>
      <c r="E938" s="7" t="s">
        <v>1356</v>
      </c>
      <c r="F938" s="7" t="s">
        <v>2712</v>
      </c>
      <c r="G938" s="7" t="s">
        <v>2715</v>
      </c>
      <c r="H938" s="7">
        <v>5.8</v>
      </c>
      <c r="I938" s="7" t="s">
        <v>2714</v>
      </c>
    </row>
    <row r="939" spans="1:9">
      <c r="A939" s="7" t="s">
        <v>688</v>
      </c>
      <c r="B939" s="7" t="s">
        <v>3052</v>
      </c>
      <c r="C939" s="7">
        <v>4</v>
      </c>
      <c r="D939" s="7" t="s">
        <v>449</v>
      </c>
      <c r="E939" s="7" t="s">
        <v>1356</v>
      </c>
      <c r="F939" s="7" t="s">
        <v>2718</v>
      </c>
      <c r="G939" s="7" t="s">
        <v>2720</v>
      </c>
      <c r="H939" s="7">
        <v>5.8</v>
      </c>
      <c r="I939" s="7" t="s">
        <v>718</v>
      </c>
    </row>
    <row r="940" spans="1:9">
      <c r="A940" s="7" t="s">
        <v>688</v>
      </c>
      <c r="B940" s="7" t="s">
        <v>3052</v>
      </c>
      <c r="C940" s="7">
        <v>4</v>
      </c>
      <c r="D940" s="7" t="s">
        <v>449</v>
      </c>
      <c r="E940" s="7" t="s">
        <v>1356</v>
      </c>
      <c r="F940" s="7" t="s">
        <v>2718</v>
      </c>
      <c r="G940" s="7" t="s">
        <v>2719</v>
      </c>
      <c r="H940" s="7">
        <v>5.8</v>
      </c>
      <c r="I940" s="7" t="s">
        <v>718</v>
      </c>
    </row>
    <row r="941" spans="1:9">
      <c r="A941" s="7" t="s">
        <v>688</v>
      </c>
      <c r="B941" s="7" t="s">
        <v>3052</v>
      </c>
      <c r="C941" s="7">
        <v>4</v>
      </c>
      <c r="D941" s="7" t="s">
        <v>449</v>
      </c>
      <c r="E941" s="7" t="s">
        <v>1356</v>
      </c>
      <c r="F941" s="7" t="s">
        <v>1197</v>
      </c>
      <c r="G941" s="7" t="s">
        <v>2919</v>
      </c>
      <c r="H941" s="7">
        <v>5.8</v>
      </c>
      <c r="I941" s="7" t="s">
        <v>718</v>
      </c>
    </row>
    <row r="942" spans="1:9">
      <c r="A942" s="7" t="s">
        <v>688</v>
      </c>
      <c r="B942" s="7" t="s">
        <v>3052</v>
      </c>
      <c r="C942" s="7">
        <v>4</v>
      </c>
      <c r="D942" s="7" t="s">
        <v>449</v>
      </c>
      <c r="E942" s="7" t="s">
        <v>1356</v>
      </c>
      <c r="F942" s="7" t="s">
        <v>3014</v>
      </c>
      <c r="G942" s="7" t="s">
        <v>2700</v>
      </c>
      <c r="H942" s="7">
        <v>5.8</v>
      </c>
      <c r="I942" s="7" t="s">
        <v>718</v>
      </c>
    </row>
    <row r="943" spans="1:9">
      <c r="A943" s="7" t="s">
        <v>688</v>
      </c>
      <c r="B943" s="7" t="s">
        <v>3052</v>
      </c>
      <c r="C943" s="7">
        <v>4</v>
      </c>
      <c r="D943" s="7" t="s">
        <v>449</v>
      </c>
      <c r="E943" s="7" t="s">
        <v>1356</v>
      </c>
      <c r="F943" s="7" t="s">
        <v>2722</v>
      </c>
      <c r="G943" s="7" t="s">
        <v>2793</v>
      </c>
      <c r="H943" s="7">
        <v>5.8</v>
      </c>
      <c r="I943" s="7" t="s">
        <v>719</v>
      </c>
    </row>
    <row r="944" spans="1:9">
      <c r="A944" s="7" t="s">
        <v>688</v>
      </c>
      <c r="B944" s="7" t="s">
        <v>3052</v>
      </c>
      <c r="C944" s="7">
        <v>4</v>
      </c>
      <c r="D944" s="7" t="s">
        <v>449</v>
      </c>
      <c r="E944" s="7" t="s">
        <v>1356</v>
      </c>
      <c r="F944" s="7" t="s">
        <v>2722</v>
      </c>
      <c r="G944" s="7" t="s">
        <v>2794</v>
      </c>
      <c r="H944" s="7">
        <v>5.8</v>
      </c>
      <c r="I944" s="7" t="s">
        <v>719</v>
      </c>
    </row>
    <row r="945" spans="1:9">
      <c r="A945" s="7" t="s">
        <v>688</v>
      </c>
      <c r="B945" s="7" t="s">
        <v>3052</v>
      </c>
      <c r="C945" s="7">
        <v>4</v>
      </c>
      <c r="D945" s="7" t="s">
        <v>449</v>
      </c>
      <c r="E945" s="7" t="s">
        <v>1356</v>
      </c>
      <c r="F945" s="7" t="s">
        <v>2722</v>
      </c>
      <c r="G945" s="7" t="s">
        <v>2723</v>
      </c>
      <c r="H945" s="7">
        <v>5.8</v>
      </c>
      <c r="I945" s="7" t="s">
        <v>718</v>
      </c>
    </row>
    <row r="946" spans="1:9">
      <c r="A946" s="7" t="s">
        <v>688</v>
      </c>
      <c r="B946" s="7" t="s">
        <v>3052</v>
      </c>
      <c r="C946" s="7">
        <v>4</v>
      </c>
      <c r="D946" s="7" t="s">
        <v>449</v>
      </c>
      <c r="E946" s="7" t="s">
        <v>1356</v>
      </c>
      <c r="F946" s="7" t="s">
        <v>2722</v>
      </c>
      <c r="G946" s="7" t="s">
        <v>2724</v>
      </c>
      <c r="H946" s="7">
        <v>5.8</v>
      </c>
      <c r="I946" s="7" t="s">
        <v>718</v>
      </c>
    </row>
    <row r="947" spans="1:9">
      <c r="A947" s="7" t="s">
        <v>688</v>
      </c>
      <c r="B947" s="7" t="s">
        <v>3052</v>
      </c>
      <c r="C947" s="7">
        <v>4</v>
      </c>
      <c r="D947" s="7" t="s">
        <v>449</v>
      </c>
      <c r="E947" s="7" t="s">
        <v>1357</v>
      </c>
      <c r="F947" s="7" t="s">
        <v>1013</v>
      </c>
      <c r="G947" s="7" t="s">
        <v>191</v>
      </c>
      <c r="H947" s="7">
        <v>6.6</v>
      </c>
      <c r="I947" s="7" t="s">
        <v>719</v>
      </c>
    </row>
    <row r="948" spans="1:9">
      <c r="A948" s="7" t="s">
        <v>688</v>
      </c>
      <c r="B948" s="7" t="s">
        <v>3052</v>
      </c>
      <c r="C948" s="7">
        <v>4</v>
      </c>
      <c r="D948" s="7" t="s">
        <v>449</v>
      </c>
      <c r="E948" s="7" t="s">
        <v>1357</v>
      </c>
      <c r="F948" s="7" t="s">
        <v>1013</v>
      </c>
      <c r="G948" s="7" t="s">
        <v>2693</v>
      </c>
      <c r="H948" s="7">
        <v>6.6</v>
      </c>
      <c r="I948" s="7" t="s">
        <v>719</v>
      </c>
    </row>
    <row r="949" spans="1:9">
      <c r="A949" s="7" t="s">
        <v>688</v>
      </c>
      <c r="B949" s="7" t="s">
        <v>3052</v>
      </c>
      <c r="C949" s="7">
        <v>4</v>
      </c>
      <c r="D949" s="7" t="s">
        <v>449</v>
      </c>
      <c r="E949" s="7" t="s">
        <v>1357</v>
      </c>
      <c r="F949" s="7" t="s">
        <v>1013</v>
      </c>
      <c r="G949" s="7" t="s">
        <v>206</v>
      </c>
      <c r="H949" s="7">
        <v>6.5</v>
      </c>
      <c r="I949" s="7" t="s">
        <v>719</v>
      </c>
    </row>
    <row r="950" spans="1:9">
      <c r="A950" s="7" t="s">
        <v>688</v>
      </c>
      <c r="B950" s="7" t="s">
        <v>3052</v>
      </c>
      <c r="C950" s="7">
        <v>4</v>
      </c>
      <c r="D950" s="7" t="s">
        <v>449</v>
      </c>
      <c r="E950" s="7" t="s">
        <v>1357</v>
      </c>
      <c r="F950" s="7" t="s">
        <v>203</v>
      </c>
      <c r="G950" s="7" t="s">
        <v>191</v>
      </c>
      <c r="H950" s="7">
        <v>6.6</v>
      </c>
      <c r="I950" s="7" t="s">
        <v>719</v>
      </c>
    </row>
    <row r="951" spans="1:9">
      <c r="A951" s="7" t="s">
        <v>688</v>
      </c>
      <c r="B951" s="7" t="s">
        <v>3052</v>
      </c>
      <c r="C951" s="7">
        <v>4</v>
      </c>
      <c r="D951" s="7" t="s">
        <v>449</v>
      </c>
      <c r="E951" s="7" t="s">
        <v>1357</v>
      </c>
      <c r="F951" s="7" t="s">
        <v>203</v>
      </c>
      <c r="G951" s="7" t="s">
        <v>2693</v>
      </c>
      <c r="H951" s="7">
        <v>6.6</v>
      </c>
      <c r="I951" s="7" t="s">
        <v>719</v>
      </c>
    </row>
    <row r="952" spans="1:9">
      <c r="A952" s="7" t="s">
        <v>688</v>
      </c>
      <c r="B952" s="7" t="s">
        <v>3052</v>
      </c>
      <c r="C952" s="7">
        <v>4</v>
      </c>
      <c r="D952" s="7" t="s">
        <v>449</v>
      </c>
      <c r="E952" s="7" t="s">
        <v>1357</v>
      </c>
      <c r="F952" s="7" t="s">
        <v>203</v>
      </c>
      <c r="G952" s="7" t="s">
        <v>206</v>
      </c>
      <c r="H952" s="7">
        <v>6.5</v>
      </c>
      <c r="I952" s="7" t="s">
        <v>719</v>
      </c>
    </row>
    <row r="953" spans="1:9">
      <c r="A953" s="7" t="s">
        <v>688</v>
      </c>
      <c r="B953" s="7" t="s">
        <v>3052</v>
      </c>
      <c r="C953" s="7">
        <v>4</v>
      </c>
      <c r="D953" s="7" t="s">
        <v>449</v>
      </c>
      <c r="E953" s="7" t="s">
        <v>1357</v>
      </c>
      <c r="F953" s="7" t="s">
        <v>204</v>
      </c>
      <c r="G953" s="7" t="s">
        <v>191</v>
      </c>
      <c r="H953" s="7">
        <v>6.6</v>
      </c>
      <c r="I953" s="7" t="s">
        <v>719</v>
      </c>
    </row>
    <row r="954" spans="1:9">
      <c r="A954" s="7" t="s">
        <v>688</v>
      </c>
      <c r="B954" s="7" t="s">
        <v>3052</v>
      </c>
      <c r="C954" s="7">
        <v>4</v>
      </c>
      <c r="D954" s="7" t="s">
        <v>449</v>
      </c>
      <c r="E954" s="7" t="s">
        <v>1357</v>
      </c>
      <c r="F954" s="7" t="s">
        <v>204</v>
      </c>
      <c r="G954" s="7" t="s">
        <v>2693</v>
      </c>
      <c r="H954" s="7">
        <v>6.6</v>
      </c>
      <c r="I954" s="7" t="s">
        <v>719</v>
      </c>
    </row>
    <row r="955" spans="1:9">
      <c r="A955" s="7" t="s">
        <v>688</v>
      </c>
      <c r="B955" s="7" t="s">
        <v>3052</v>
      </c>
      <c r="C955" s="7">
        <v>4</v>
      </c>
      <c r="D955" s="7" t="s">
        <v>449</v>
      </c>
      <c r="E955" s="7" t="s">
        <v>1357</v>
      </c>
      <c r="F955" s="7" t="s">
        <v>204</v>
      </c>
      <c r="G955" s="7" t="s">
        <v>206</v>
      </c>
      <c r="H955" s="7">
        <v>6.5</v>
      </c>
      <c r="I955" s="7" t="s">
        <v>719</v>
      </c>
    </row>
    <row r="956" spans="1:9">
      <c r="A956" s="7" t="s">
        <v>688</v>
      </c>
      <c r="B956" s="7" t="s">
        <v>3052</v>
      </c>
      <c r="C956" s="7">
        <v>4</v>
      </c>
      <c r="D956" s="7" t="s">
        <v>449</v>
      </c>
      <c r="E956" s="7" t="s">
        <v>1357</v>
      </c>
      <c r="F956" s="7" t="s">
        <v>205</v>
      </c>
      <c r="G956" s="7" t="s">
        <v>191</v>
      </c>
      <c r="H956" s="7">
        <v>6.6</v>
      </c>
      <c r="I956" s="7" t="s">
        <v>719</v>
      </c>
    </row>
    <row r="957" spans="1:9">
      <c r="A957" s="7" t="s">
        <v>688</v>
      </c>
      <c r="B957" s="7" t="s">
        <v>3052</v>
      </c>
      <c r="C957" s="7">
        <v>4</v>
      </c>
      <c r="D957" s="7" t="s">
        <v>449</v>
      </c>
      <c r="E957" s="7" t="s">
        <v>1357</v>
      </c>
      <c r="F957" s="7" t="s">
        <v>205</v>
      </c>
      <c r="G957" s="7" t="s">
        <v>2693</v>
      </c>
      <c r="H957" s="7">
        <v>6.6</v>
      </c>
      <c r="I957" s="7" t="s">
        <v>719</v>
      </c>
    </row>
    <row r="958" spans="1:9">
      <c r="A958" s="7" t="s">
        <v>688</v>
      </c>
      <c r="B958" s="7" t="s">
        <v>3052</v>
      </c>
      <c r="C958" s="7">
        <v>4</v>
      </c>
      <c r="D958" s="7" t="s">
        <v>449</v>
      </c>
      <c r="E958" s="7" t="s">
        <v>1357</v>
      </c>
      <c r="F958" s="7" t="s">
        <v>205</v>
      </c>
      <c r="G958" s="7" t="s">
        <v>206</v>
      </c>
      <c r="H958" s="7">
        <v>6.5</v>
      </c>
      <c r="I958" s="7" t="s">
        <v>719</v>
      </c>
    </row>
    <row r="959" spans="1:9">
      <c r="A959" s="7" t="s">
        <v>688</v>
      </c>
      <c r="B959" s="7" t="s">
        <v>3052</v>
      </c>
      <c r="C959" s="7">
        <v>4</v>
      </c>
      <c r="D959" s="7" t="s">
        <v>449</v>
      </c>
      <c r="E959" s="7" t="s">
        <v>1357</v>
      </c>
      <c r="F959" s="7" t="s">
        <v>207</v>
      </c>
      <c r="G959" s="7" t="s">
        <v>191</v>
      </c>
      <c r="H959" s="7">
        <v>6.6</v>
      </c>
      <c r="I959" s="7" t="s">
        <v>719</v>
      </c>
    </row>
    <row r="960" spans="1:9">
      <c r="A960" s="7" t="s">
        <v>688</v>
      </c>
      <c r="B960" s="7" t="s">
        <v>3052</v>
      </c>
      <c r="C960" s="7">
        <v>4</v>
      </c>
      <c r="D960" s="7" t="s">
        <v>449</v>
      </c>
      <c r="E960" s="7" t="s">
        <v>1357</v>
      </c>
      <c r="F960" s="7" t="s">
        <v>207</v>
      </c>
      <c r="G960" s="7" t="s">
        <v>2693</v>
      </c>
      <c r="H960" s="7">
        <v>6.6</v>
      </c>
      <c r="I960" s="7" t="s">
        <v>719</v>
      </c>
    </row>
    <row r="961" spans="1:9">
      <c r="A961" s="7" t="s">
        <v>688</v>
      </c>
      <c r="B961" s="7" t="s">
        <v>3052</v>
      </c>
      <c r="C961" s="7">
        <v>4</v>
      </c>
      <c r="D961" s="7" t="s">
        <v>449</v>
      </c>
      <c r="E961" s="7" t="s">
        <v>1357</v>
      </c>
      <c r="F961" s="7" t="s">
        <v>207</v>
      </c>
      <c r="G961" s="7" t="s">
        <v>206</v>
      </c>
      <c r="H961" s="7">
        <v>6.5</v>
      </c>
      <c r="I961" s="7" t="s">
        <v>719</v>
      </c>
    </row>
    <row r="962" spans="1:9">
      <c r="A962" s="7" t="s">
        <v>688</v>
      </c>
      <c r="B962" s="7" t="s">
        <v>3052</v>
      </c>
      <c r="C962" s="7">
        <v>4</v>
      </c>
      <c r="D962" s="7" t="s">
        <v>449</v>
      </c>
      <c r="E962" s="7" t="s">
        <v>1357</v>
      </c>
      <c r="F962" s="7" t="s">
        <v>1034</v>
      </c>
      <c r="G962" s="7" t="s">
        <v>191</v>
      </c>
      <c r="H962" s="7">
        <v>6.6</v>
      </c>
      <c r="I962" s="7" t="s">
        <v>719</v>
      </c>
    </row>
    <row r="963" spans="1:9">
      <c r="A963" s="7" t="s">
        <v>688</v>
      </c>
      <c r="B963" s="7" t="s">
        <v>3052</v>
      </c>
      <c r="C963" s="7">
        <v>4</v>
      </c>
      <c r="D963" s="7" t="s">
        <v>449</v>
      </c>
      <c r="E963" s="7" t="s">
        <v>1357</v>
      </c>
      <c r="F963" s="7" t="s">
        <v>1034</v>
      </c>
      <c r="G963" s="7" t="s">
        <v>2693</v>
      </c>
      <c r="H963" s="7">
        <v>6.6</v>
      </c>
      <c r="I963" s="7" t="s">
        <v>719</v>
      </c>
    </row>
    <row r="964" spans="1:9">
      <c r="A964" s="7" t="s">
        <v>688</v>
      </c>
      <c r="B964" s="7" t="s">
        <v>3052</v>
      </c>
      <c r="C964" s="7">
        <v>4</v>
      </c>
      <c r="D964" s="7" t="s">
        <v>449</v>
      </c>
      <c r="E964" s="7" t="s">
        <v>1357</v>
      </c>
      <c r="F964" s="7" t="s">
        <v>1034</v>
      </c>
      <c r="G964" s="7" t="s">
        <v>206</v>
      </c>
      <c r="H964" s="7">
        <v>6.5</v>
      </c>
      <c r="I964" s="7" t="s">
        <v>719</v>
      </c>
    </row>
    <row r="965" spans="1:9">
      <c r="A965" s="7" t="s">
        <v>688</v>
      </c>
      <c r="B965" s="7" t="s">
        <v>3052</v>
      </c>
      <c r="C965" s="7">
        <v>4</v>
      </c>
      <c r="D965" s="7" t="s">
        <v>449</v>
      </c>
      <c r="E965" s="7" t="s">
        <v>1357</v>
      </c>
      <c r="F965" s="7" t="s">
        <v>1027</v>
      </c>
      <c r="G965" s="7" t="s">
        <v>191</v>
      </c>
      <c r="H965" s="7">
        <v>6.6</v>
      </c>
      <c r="I965" s="7" t="s">
        <v>719</v>
      </c>
    </row>
    <row r="966" spans="1:9">
      <c r="A966" s="7" t="s">
        <v>688</v>
      </c>
      <c r="B966" s="7" t="s">
        <v>3052</v>
      </c>
      <c r="C966" s="7">
        <v>4</v>
      </c>
      <c r="D966" s="7" t="s">
        <v>449</v>
      </c>
      <c r="E966" s="7" t="s">
        <v>1357</v>
      </c>
      <c r="F966" s="7" t="s">
        <v>1027</v>
      </c>
      <c r="G966" s="7" t="s">
        <v>2693</v>
      </c>
      <c r="H966" s="7">
        <v>6.6</v>
      </c>
      <c r="I966" s="7" t="s">
        <v>719</v>
      </c>
    </row>
    <row r="967" spans="1:9">
      <c r="A967" s="7" t="s">
        <v>688</v>
      </c>
      <c r="B967" s="7" t="s">
        <v>3052</v>
      </c>
      <c r="C967" s="7">
        <v>4</v>
      </c>
      <c r="D967" s="7" t="s">
        <v>449</v>
      </c>
      <c r="E967" s="7" t="s">
        <v>1357</v>
      </c>
      <c r="F967" s="7" t="s">
        <v>1027</v>
      </c>
      <c r="G967" s="7" t="s">
        <v>206</v>
      </c>
      <c r="H967" s="7">
        <v>6.5</v>
      </c>
      <c r="I967" s="7" t="s">
        <v>719</v>
      </c>
    </row>
    <row r="968" spans="1:9">
      <c r="A968" s="7" t="s">
        <v>688</v>
      </c>
      <c r="B968" s="7" t="s">
        <v>3052</v>
      </c>
      <c r="C968" s="7">
        <v>4</v>
      </c>
      <c r="D968" s="7" t="s">
        <v>449</v>
      </c>
      <c r="E968" s="7" t="s">
        <v>1357</v>
      </c>
      <c r="F968" s="7" t="s">
        <v>2728</v>
      </c>
      <c r="G968" s="7" t="s">
        <v>191</v>
      </c>
      <c r="H968" s="7">
        <v>6.6</v>
      </c>
      <c r="I968" s="7" t="s">
        <v>719</v>
      </c>
    </row>
    <row r="969" spans="1:9">
      <c r="A969" s="7" t="s">
        <v>688</v>
      </c>
      <c r="B969" s="7" t="s">
        <v>3052</v>
      </c>
      <c r="C969" s="7">
        <v>4</v>
      </c>
      <c r="D969" s="7" t="s">
        <v>449</v>
      </c>
      <c r="E969" s="7" t="s">
        <v>1357</v>
      </c>
      <c r="F969" s="7" t="s">
        <v>2728</v>
      </c>
      <c r="G969" s="7" t="s">
        <v>2693</v>
      </c>
      <c r="H969" s="7">
        <v>6.6</v>
      </c>
      <c r="I969" s="7" t="s">
        <v>719</v>
      </c>
    </row>
    <row r="970" spans="1:9">
      <c r="A970" s="7" t="s">
        <v>688</v>
      </c>
      <c r="B970" s="7" t="s">
        <v>3052</v>
      </c>
      <c r="C970" s="7">
        <v>4</v>
      </c>
      <c r="D970" s="7" t="s">
        <v>449</v>
      </c>
      <c r="E970" s="7" t="s">
        <v>1357</v>
      </c>
      <c r="F970" s="7" t="s">
        <v>2728</v>
      </c>
      <c r="G970" s="7" t="s">
        <v>206</v>
      </c>
      <c r="H970" s="7">
        <v>6.5</v>
      </c>
      <c r="I970" s="7" t="s">
        <v>719</v>
      </c>
    </row>
    <row r="971" spans="1:9">
      <c r="A971" s="7" t="s">
        <v>688</v>
      </c>
      <c r="B971" s="7" t="s">
        <v>3052</v>
      </c>
      <c r="C971" s="7">
        <v>4</v>
      </c>
      <c r="D971" s="7" t="s">
        <v>449</v>
      </c>
      <c r="E971" s="7" t="s">
        <v>1357</v>
      </c>
      <c r="F971" s="7" t="s">
        <v>2729</v>
      </c>
      <c r="G971" s="7" t="s">
        <v>191</v>
      </c>
      <c r="H971" s="7">
        <v>6.6</v>
      </c>
      <c r="I971" s="7" t="s">
        <v>719</v>
      </c>
    </row>
    <row r="972" spans="1:9">
      <c r="A972" s="7" t="s">
        <v>688</v>
      </c>
      <c r="B972" s="7" t="s">
        <v>3052</v>
      </c>
      <c r="C972" s="7">
        <v>4</v>
      </c>
      <c r="D972" s="7" t="s">
        <v>449</v>
      </c>
      <c r="E972" s="7" t="s">
        <v>1357</v>
      </c>
      <c r="F972" s="7" t="s">
        <v>2729</v>
      </c>
      <c r="G972" s="7" t="s">
        <v>2693</v>
      </c>
      <c r="H972" s="7">
        <v>6.6</v>
      </c>
      <c r="I972" s="7" t="s">
        <v>719</v>
      </c>
    </row>
    <row r="973" spans="1:9">
      <c r="A973" s="7" t="s">
        <v>688</v>
      </c>
      <c r="B973" s="7" t="s">
        <v>3052</v>
      </c>
      <c r="C973" s="7">
        <v>4</v>
      </c>
      <c r="D973" s="7" t="s">
        <v>449</v>
      </c>
      <c r="E973" s="7" t="s">
        <v>1357</v>
      </c>
      <c r="F973" s="7" t="s">
        <v>2729</v>
      </c>
      <c r="G973" s="7" t="s">
        <v>206</v>
      </c>
      <c r="H973" s="7">
        <v>6.5</v>
      </c>
      <c r="I973" s="7" t="s">
        <v>719</v>
      </c>
    </row>
    <row r="974" spans="1:9">
      <c r="A974" s="7" t="s">
        <v>688</v>
      </c>
      <c r="B974" s="7" t="s">
        <v>3052</v>
      </c>
      <c r="C974" s="7">
        <v>4</v>
      </c>
      <c r="D974" s="7" t="s">
        <v>449</v>
      </c>
      <c r="E974" s="7" t="s">
        <v>1357</v>
      </c>
      <c r="F974" s="7" t="s">
        <v>2730</v>
      </c>
      <c r="G974" s="7" t="s">
        <v>191</v>
      </c>
      <c r="H974" s="7">
        <v>6.6</v>
      </c>
      <c r="I974" s="7" t="s">
        <v>719</v>
      </c>
    </row>
    <row r="975" spans="1:9">
      <c r="A975" s="7" t="s">
        <v>688</v>
      </c>
      <c r="B975" s="7" t="s">
        <v>3052</v>
      </c>
      <c r="C975" s="7">
        <v>4</v>
      </c>
      <c r="D975" s="7" t="s">
        <v>449</v>
      </c>
      <c r="E975" s="7" t="s">
        <v>1357</v>
      </c>
      <c r="F975" s="7" t="s">
        <v>2730</v>
      </c>
      <c r="G975" s="7" t="s">
        <v>2693</v>
      </c>
      <c r="H975" s="7">
        <v>6.6</v>
      </c>
      <c r="I975" s="7" t="s">
        <v>719</v>
      </c>
    </row>
    <row r="976" spans="1:9">
      <c r="A976" s="7" t="s">
        <v>688</v>
      </c>
      <c r="B976" s="7" t="s">
        <v>3052</v>
      </c>
      <c r="C976" s="7">
        <v>4</v>
      </c>
      <c r="D976" s="7" t="s">
        <v>449</v>
      </c>
      <c r="E976" s="7" t="s">
        <v>1357</v>
      </c>
      <c r="F976" s="7" t="s">
        <v>2730</v>
      </c>
      <c r="G976" s="7" t="s">
        <v>206</v>
      </c>
      <c r="H976" s="7">
        <v>6.5</v>
      </c>
      <c r="I976" s="7" t="s">
        <v>719</v>
      </c>
    </row>
    <row r="977" spans="1:9">
      <c r="A977" s="7" t="s">
        <v>688</v>
      </c>
      <c r="B977" s="7" t="s">
        <v>3052</v>
      </c>
      <c r="C977" s="7">
        <v>4</v>
      </c>
      <c r="D977" s="7" t="s">
        <v>449</v>
      </c>
      <c r="E977" s="7" t="s">
        <v>1357</v>
      </c>
      <c r="F977" s="7" t="s">
        <v>209</v>
      </c>
      <c r="G977" s="7" t="s">
        <v>191</v>
      </c>
      <c r="H977" s="7">
        <v>6.6</v>
      </c>
      <c r="I977" s="7" t="s">
        <v>719</v>
      </c>
    </row>
    <row r="978" spans="1:9">
      <c r="A978" s="7" t="s">
        <v>688</v>
      </c>
      <c r="B978" s="7" t="s">
        <v>3052</v>
      </c>
      <c r="C978" s="7">
        <v>4</v>
      </c>
      <c r="D978" s="7" t="s">
        <v>449</v>
      </c>
      <c r="E978" s="7" t="s">
        <v>1357</v>
      </c>
      <c r="F978" s="7" t="s">
        <v>209</v>
      </c>
      <c r="G978" s="7" t="s">
        <v>2693</v>
      </c>
      <c r="H978" s="7">
        <v>6.6</v>
      </c>
      <c r="I978" s="7" t="s">
        <v>719</v>
      </c>
    </row>
    <row r="979" spans="1:9">
      <c r="A979" s="7" t="s">
        <v>688</v>
      </c>
      <c r="B979" s="7" t="s">
        <v>3052</v>
      </c>
      <c r="C979" s="7">
        <v>4</v>
      </c>
      <c r="D979" s="7" t="s">
        <v>449</v>
      </c>
      <c r="E979" s="7" t="s">
        <v>1357</v>
      </c>
      <c r="F979" s="7" t="s">
        <v>209</v>
      </c>
      <c r="G979" s="7" t="s">
        <v>206</v>
      </c>
      <c r="H979" s="7">
        <v>6.5</v>
      </c>
      <c r="I979" s="7" t="s">
        <v>719</v>
      </c>
    </row>
    <row r="980" spans="1:9">
      <c r="A980" s="7" t="s">
        <v>688</v>
      </c>
      <c r="B980" s="7" t="s">
        <v>3052</v>
      </c>
      <c r="C980" s="7">
        <v>4</v>
      </c>
      <c r="D980" s="7" t="s">
        <v>449</v>
      </c>
      <c r="E980" s="7" t="s">
        <v>1357</v>
      </c>
      <c r="F980" s="7" t="s">
        <v>2731</v>
      </c>
      <c r="G980" s="7" t="s">
        <v>191</v>
      </c>
      <c r="H980" s="7">
        <v>6.6</v>
      </c>
      <c r="I980" s="7" t="s">
        <v>719</v>
      </c>
    </row>
    <row r="981" spans="1:9">
      <c r="A981" s="7" t="s">
        <v>688</v>
      </c>
      <c r="B981" s="7" t="s">
        <v>3052</v>
      </c>
      <c r="C981" s="7">
        <v>4</v>
      </c>
      <c r="D981" s="7" t="s">
        <v>449</v>
      </c>
      <c r="E981" s="7" t="s">
        <v>1357</v>
      </c>
      <c r="F981" s="7" t="s">
        <v>2731</v>
      </c>
      <c r="G981" s="7" t="s">
        <v>2693</v>
      </c>
      <c r="H981" s="7">
        <v>6.6</v>
      </c>
      <c r="I981" s="7" t="s">
        <v>719</v>
      </c>
    </row>
    <row r="982" spans="1:9">
      <c r="A982" s="7" t="s">
        <v>688</v>
      </c>
      <c r="B982" s="7" t="s">
        <v>3052</v>
      </c>
      <c r="C982" s="7">
        <v>4</v>
      </c>
      <c r="D982" s="7" t="s">
        <v>449</v>
      </c>
      <c r="E982" s="7" t="s">
        <v>1357</v>
      </c>
      <c r="F982" s="7" t="s">
        <v>2731</v>
      </c>
      <c r="G982" s="7" t="s">
        <v>206</v>
      </c>
      <c r="H982" s="7">
        <v>6.5</v>
      </c>
      <c r="I982" s="7" t="s">
        <v>719</v>
      </c>
    </row>
    <row r="983" spans="1:9">
      <c r="A983" s="7" t="s">
        <v>688</v>
      </c>
      <c r="B983" s="7" t="s">
        <v>3052</v>
      </c>
      <c r="C983" s="7">
        <v>4</v>
      </c>
      <c r="D983" s="7" t="s">
        <v>449</v>
      </c>
      <c r="E983" s="7" t="s">
        <v>1357</v>
      </c>
      <c r="F983" s="7" t="s">
        <v>2732</v>
      </c>
      <c r="G983" s="7" t="s">
        <v>191</v>
      </c>
      <c r="H983" s="7">
        <v>6.6</v>
      </c>
      <c r="I983" s="7" t="s">
        <v>719</v>
      </c>
    </row>
    <row r="984" spans="1:9">
      <c r="A984" s="7" t="s">
        <v>688</v>
      </c>
      <c r="B984" s="7" t="s">
        <v>3052</v>
      </c>
      <c r="C984" s="7">
        <v>4</v>
      </c>
      <c r="D984" s="7" t="s">
        <v>449</v>
      </c>
      <c r="E984" s="7" t="s">
        <v>1357</v>
      </c>
      <c r="F984" s="7" t="s">
        <v>2732</v>
      </c>
      <c r="G984" s="7" t="s">
        <v>2693</v>
      </c>
      <c r="H984" s="7">
        <v>6.6</v>
      </c>
      <c r="I984" s="7" t="s">
        <v>719</v>
      </c>
    </row>
    <row r="985" spans="1:9">
      <c r="A985" s="7" t="s">
        <v>688</v>
      </c>
      <c r="B985" s="7" t="s">
        <v>3052</v>
      </c>
      <c r="C985" s="7">
        <v>4</v>
      </c>
      <c r="D985" s="7" t="s">
        <v>449</v>
      </c>
      <c r="E985" s="7" t="s">
        <v>1357</v>
      </c>
      <c r="F985" s="7" t="s">
        <v>2732</v>
      </c>
      <c r="G985" s="7" t="s">
        <v>206</v>
      </c>
      <c r="H985" s="7">
        <v>6.5</v>
      </c>
      <c r="I985" s="7" t="s">
        <v>719</v>
      </c>
    </row>
    <row r="986" spans="1:9">
      <c r="A986" s="7" t="s">
        <v>688</v>
      </c>
      <c r="B986" s="7" t="s">
        <v>3052</v>
      </c>
      <c r="C986" s="7">
        <v>4</v>
      </c>
      <c r="D986" s="7" t="s">
        <v>449</v>
      </c>
      <c r="E986" s="7" t="s">
        <v>1357</v>
      </c>
      <c r="F986" s="7" t="s">
        <v>210</v>
      </c>
      <c r="G986" s="7" t="s">
        <v>191</v>
      </c>
      <c r="H986" s="7">
        <v>6.6</v>
      </c>
      <c r="I986" s="7" t="s">
        <v>719</v>
      </c>
    </row>
    <row r="987" spans="1:9">
      <c r="A987" s="7" t="s">
        <v>688</v>
      </c>
      <c r="B987" s="7" t="s">
        <v>3052</v>
      </c>
      <c r="C987" s="7">
        <v>4</v>
      </c>
      <c r="D987" s="7" t="s">
        <v>449</v>
      </c>
      <c r="E987" s="7" t="s">
        <v>1357</v>
      </c>
      <c r="F987" s="7" t="s">
        <v>210</v>
      </c>
      <c r="G987" s="7" t="s">
        <v>2693</v>
      </c>
      <c r="H987" s="7">
        <v>6.6</v>
      </c>
      <c r="I987" s="7" t="s">
        <v>719</v>
      </c>
    </row>
    <row r="988" spans="1:9">
      <c r="A988" s="7" t="s">
        <v>688</v>
      </c>
      <c r="B988" s="7" t="s">
        <v>3052</v>
      </c>
      <c r="C988" s="7">
        <v>4</v>
      </c>
      <c r="D988" s="7" t="s">
        <v>449</v>
      </c>
      <c r="E988" s="7" t="s">
        <v>1357</v>
      </c>
      <c r="F988" s="7" t="s">
        <v>210</v>
      </c>
      <c r="G988" s="7" t="s">
        <v>206</v>
      </c>
      <c r="H988" s="7">
        <v>6.5</v>
      </c>
      <c r="I988" s="7" t="s">
        <v>719</v>
      </c>
    </row>
    <row r="989" spans="1:9">
      <c r="A989" s="7" t="s">
        <v>688</v>
      </c>
      <c r="B989" s="7" t="s">
        <v>3052</v>
      </c>
      <c r="C989" s="7">
        <v>4</v>
      </c>
      <c r="D989" s="7" t="s">
        <v>449</v>
      </c>
      <c r="E989" s="7" t="s">
        <v>1358</v>
      </c>
      <c r="F989" s="7" t="s">
        <v>3015</v>
      </c>
      <c r="G989" s="7" t="s">
        <v>191</v>
      </c>
      <c r="H989" s="7">
        <v>6.6</v>
      </c>
      <c r="I989" s="7" t="s">
        <v>719</v>
      </c>
    </row>
    <row r="990" spans="1:9">
      <c r="A990" s="7" t="s">
        <v>688</v>
      </c>
      <c r="B990" s="7" t="s">
        <v>3052</v>
      </c>
      <c r="C990" s="7">
        <v>4</v>
      </c>
      <c r="D990" s="7" t="s">
        <v>449</v>
      </c>
      <c r="E990" s="7" t="s">
        <v>1358</v>
      </c>
      <c r="F990" s="7" t="s">
        <v>3015</v>
      </c>
      <c r="G990" s="7" t="s">
        <v>2693</v>
      </c>
      <c r="H990" s="7">
        <v>6.6</v>
      </c>
      <c r="I990" s="7" t="s">
        <v>719</v>
      </c>
    </row>
    <row r="991" spans="1:9">
      <c r="A991" s="7" t="s">
        <v>688</v>
      </c>
      <c r="B991" s="7" t="s">
        <v>3052</v>
      </c>
      <c r="C991" s="7">
        <v>4</v>
      </c>
      <c r="D991" s="7" t="s">
        <v>449</v>
      </c>
      <c r="E991" s="7" t="s">
        <v>1358</v>
      </c>
      <c r="F991" s="7" t="s">
        <v>3015</v>
      </c>
      <c r="G991" s="7" t="s">
        <v>206</v>
      </c>
      <c r="H991" s="7">
        <v>6.5</v>
      </c>
      <c r="I991" s="7" t="s">
        <v>719</v>
      </c>
    </row>
    <row r="992" spans="1:9">
      <c r="A992" s="7" t="s">
        <v>688</v>
      </c>
      <c r="B992" s="7" t="s">
        <v>3052</v>
      </c>
      <c r="C992" s="7">
        <v>4</v>
      </c>
      <c r="D992" s="7" t="s">
        <v>449</v>
      </c>
      <c r="E992" s="7" t="s">
        <v>1358</v>
      </c>
      <c r="F992" s="7" t="s">
        <v>1200</v>
      </c>
      <c r="G992" s="7" t="s">
        <v>1201</v>
      </c>
      <c r="H992" s="7">
        <v>6.6</v>
      </c>
      <c r="I992" s="7" t="s">
        <v>719</v>
      </c>
    </row>
    <row r="993" spans="1:9">
      <c r="A993" s="7" t="s">
        <v>688</v>
      </c>
      <c r="B993" s="7" t="s">
        <v>3052</v>
      </c>
      <c r="C993" s="7">
        <v>4</v>
      </c>
      <c r="D993" s="7" t="s">
        <v>449</v>
      </c>
      <c r="E993" s="7" t="s">
        <v>1358</v>
      </c>
      <c r="F993" s="7" t="s">
        <v>1200</v>
      </c>
      <c r="G993" s="7" t="s">
        <v>1202</v>
      </c>
      <c r="H993" s="7">
        <v>6.6</v>
      </c>
      <c r="I993" s="7" t="s">
        <v>719</v>
      </c>
    </row>
    <row r="994" spans="1:9">
      <c r="A994" s="7" t="s">
        <v>688</v>
      </c>
      <c r="B994" s="7" t="s">
        <v>3052</v>
      </c>
      <c r="C994" s="7">
        <v>4</v>
      </c>
      <c r="D994" s="7" t="s">
        <v>449</v>
      </c>
      <c r="E994" s="7" t="s">
        <v>1358</v>
      </c>
      <c r="F994" s="7" t="s">
        <v>1200</v>
      </c>
      <c r="G994" s="7" t="s">
        <v>1203</v>
      </c>
      <c r="H994" s="7">
        <v>6.6</v>
      </c>
      <c r="I994" s="7" t="s">
        <v>719</v>
      </c>
    </row>
    <row r="995" spans="1:9">
      <c r="A995" s="7" t="s">
        <v>688</v>
      </c>
      <c r="B995" s="7" t="s">
        <v>3052</v>
      </c>
      <c r="C995" s="7">
        <v>4</v>
      </c>
      <c r="D995" s="7" t="s">
        <v>449</v>
      </c>
      <c r="E995" s="7" t="s">
        <v>1358</v>
      </c>
      <c r="F995" s="7" t="s">
        <v>1200</v>
      </c>
      <c r="G995" s="7" t="s">
        <v>1204</v>
      </c>
      <c r="H995" s="7">
        <v>6.6</v>
      </c>
      <c r="I995" s="7" t="s">
        <v>719</v>
      </c>
    </row>
    <row r="996" spans="1:9">
      <c r="A996" s="7" t="s">
        <v>688</v>
      </c>
      <c r="B996" s="7" t="s">
        <v>3052</v>
      </c>
      <c r="C996" s="7">
        <v>4</v>
      </c>
      <c r="D996" s="7" t="s">
        <v>449</v>
      </c>
      <c r="E996" s="7" t="s">
        <v>1358</v>
      </c>
      <c r="F996" s="7" t="s">
        <v>1200</v>
      </c>
      <c r="G996" s="7" t="s">
        <v>1205</v>
      </c>
      <c r="H996" s="7">
        <v>6.6</v>
      </c>
      <c r="I996" s="7" t="s">
        <v>719</v>
      </c>
    </row>
    <row r="997" spans="1:9">
      <c r="A997" s="7" t="s">
        <v>688</v>
      </c>
      <c r="B997" s="7" t="s">
        <v>3052</v>
      </c>
      <c r="C997" s="7">
        <v>4</v>
      </c>
      <c r="D997" s="7" t="s">
        <v>449</v>
      </c>
      <c r="E997" s="7" t="s">
        <v>1358</v>
      </c>
      <c r="F997" s="7" t="s">
        <v>1200</v>
      </c>
      <c r="G997" s="7" t="s">
        <v>1206</v>
      </c>
      <c r="H997" s="7">
        <v>6.6</v>
      </c>
      <c r="I997" s="7" t="s">
        <v>719</v>
      </c>
    </row>
    <row r="998" spans="1:9">
      <c r="A998" s="7" t="s">
        <v>688</v>
      </c>
      <c r="B998" s="7" t="s">
        <v>3052</v>
      </c>
      <c r="C998" s="7">
        <v>4</v>
      </c>
      <c r="D998" s="7" t="s">
        <v>449</v>
      </c>
      <c r="E998" s="7" t="s">
        <v>1358</v>
      </c>
      <c r="F998" s="7" t="s">
        <v>1200</v>
      </c>
      <c r="G998" s="7" t="s">
        <v>2903</v>
      </c>
      <c r="H998" s="7">
        <v>6.6</v>
      </c>
      <c r="I998" s="7" t="s">
        <v>719</v>
      </c>
    </row>
    <row r="999" spans="1:9">
      <c r="A999" s="7" t="s">
        <v>688</v>
      </c>
      <c r="B999" s="7" t="s">
        <v>3052</v>
      </c>
      <c r="C999" s="7">
        <v>4</v>
      </c>
      <c r="D999" s="7" t="s">
        <v>449</v>
      </c>
      <c r="E999" s="7" t="s">
        <v>1358</v>
      </c>
      <c r="F999" s="7" t="s">
        <v>1200</v>
      </c>
      <c r="G999" s="7" t="s">
        <v>1207</v>
      </c>
      <c r="H999" s="7">
        <v>6.6</v>
      </c>
      <c r="I999" s="7" t="s">
        <v>719</v>
      </c>
    </row>
    <row r="1000" spans="1:9">
      <c r="A1000" s="7" t="s">
        <v>688</v>
      </c>
      <c r="B1000" s="7" t="s">
        <v>3052</v>
      </c>
      <c r="C1000" s="7">
        <v>4</v>
      </c>
      <c r="D1000" s="7" t="s">
        <v>449</v>
      </c>
      <c r="E1000" s="7" t="s">
        <v>1358</v>
      </c>
      <c r="F1000" s="7" t="s">
        <v>1200</v>
      </c>
      <c r="G1000" s="7" t="s">
        <v>2693</v>
      </c>
      <c r="H1000" s="7">
        <v>6.6</v>
      </c>
      <c r="I1000" s="7" t="s">
        <v>719</v>
      </c>
    </row>
    <row r="1001" spans="1:9">
      <c r="A1001" s="7" t="s">
        <v>688</v>
      </c>
      <c r="B1001" s="7" t="s">
        <v>3052</v>
      </c>
      <c r="C1001" s="7">
        <v>4</v>
      </c>
      <c r="D1001" s="7" t="s">
        <v>449</v>
      </c>
      <c r="E1001" s="7" t="s">
        <v>1358</v>
      </c>
      <c r="F1001" s="7" t="s">
        <v>1200</v>
      </c>
      <c r="G1001" s="7" t="s">
        <v>206</v>
      </c>
      <c r="H1001" s="7">
        <v>6.5</v>
      </c>
      <c r="I1001" s="7" t="s">
        <v>719</v>
      </c>
    </row>
    <row r="1002" spans="1:9">
      <c r="A1002" s="7" t="s">
        <v>688</v>
      </c>
      <c r="B1002" s="7" t="s">
        <v>3052</v>
      </c>
      <c r="C1002" s="7">
        <v>4</v>
      </c>
      <c r="D1002" s="7" t="s">
        <v>449</v>
      </c>
      <c r="E1002" s="7" t="s">
        <v>1360</v>
      </c>
      <c r="F1002" s="7" t="s">
        <v>1199</v>
      </c>
      <c r="G1002" s="7" t="s">
        <v>2700</v>
      </c>
      <c r="H1002" s="7">
        <v>5.6</v>
      </c>
      <c r="I1002" s="7" t="s">
        <v>718</v>
      </c>
    </row>
    <row r="1003" spans="1:9">
      <c r="A1003" s="7" t="s">
        <v>688</v>
      </c>
      <c r="B1003" s="7" t="s">
        <v>3052</v>
      </c>
      <c r="C1003" s="7">
        <v>4</v>
      </c>
      <c r="D1003" s="7" t="s">
        <v>449</v>
      </c>
      <c r="E1003" s="7" t="s">
        <v>1355</v>
      </c>
      <c r="F1003" s="7" t="s">
        <v>194</v>
      </c>
      <c r="G1003" s="7" t="s">
        <v>696</v>
      </c>
      <c r="H1003" s="7">
        <v>5.4</v>
      </c>
      <c r="I1003" s="7" t="s">
        <v>718</v>
      </c>
    </row>
    <row r="1004" spans="1:9">
      <c r="A1004" s="7" t="s">
        <v>688</v>
      </c>
      <c r="B1004" s="7" t="s">
        <v>3052</v>
      </c>
      <c r="C1004" s="7">
        <v>4</v>
      </c>
      <c r="D1004" s="7" t="s">
        <v>449</v>
      </c>
      <c r="E1004" s="7" t="s">
        <v>1355</v>
      </c>
      <c r="F1004" s="7" t="s">
        <v>194</v>
      </c>
      <c r="G1004" s="7" t="s">
        <v>2747</v>
      </c>
      <c r="H1004" s="7">
        <v>5.4</v>
      </c>
      <c r="I1004" s="7" t="s">
        <v>718</v>
      </c>
    </row>
    <row r="1005" spans="1:9">
      <c r="A1005" s="7" t="s">
        <v>688</v>
      </c>
      <c r="B1005" s="7" t="s">
        <v>3052</v>
      </c>
      <c r="C1005" s="7">
        <v>4</v>
      </c>
      <c r="D1005" s="7" t="s">
        <v>449</v>
      </c>
      <c r="E1005" s="7" t="s">
        <v>1355</v>
      </c>
      <c r="F1005" s="7" t="s">
        <v>194</v>
      </c>
      <c r="G1005" s="7" t="s">
        <v>2748</v>
      </c>
      <c r="H1005" s="7">
        <v>5.4</v>
      </c>
      <c r="I1005" s="7" t="s">
        <v>718</v>
      </c>
    </row>
    <row r="1006" spans="1:9">
      <c r="A1006" s="7" t="s">
        <v>688</v>
      </c>
      <c r="B1006" s="7" t="s">
        <v>3052</v>
      </c>
      <c r="C1006" s="7">
        <v>4</v>
      </c>
      <c r="D1006" s="7" t="s">
        <v>449</v>
      </c>
      <c r="E1006" s="7" t="s">
        <v>1355</v>
      </c>
      <c r="F1006" s="7" t="s">
        <v>194</v>
      </c>
      <c r="G1006" s="7" t="s">
        <v>2749</v>
      </c>
      <c r="H1006" s="7">
        <v>5.4</v>
      </c>
      <c r="I1006" s="7" t="s">
        <v>718</v>
      </c>
    </row>
    <row r="1007" spans="1:9">
      <c r="A1007" s="7" t="s">
        <v>688</v>
      </c>
      <c r="B1007" s="7" t="s">
        <v>3052</v>
      </c>
      <c r="C1007" s="7">
        <v>4</v>
      </c>
      <c r="D1007" s="7" t="s">
        <v>449</v>
      </c>
      <c r="E1007" s="7" t="s">
        <v>1355</v>
      </c>
      <c r="F1007" s="7" t="s">
        <v>194</v>
      </c>
      <c r="G1007" s="7" t="s">
        <v>1209</v>
      </c>
      <c r="H1007" s="7">
        <v>5.4</v>
      </c>
      <c r="I1007" s="7" t="s">
        <v>718</v>
      </c>
    </row>
    <row r="1008" spans="1:9">
      <c r="A1008" s="7" t="s">
        <v>688</v>
      </c>
      <c r="B1008" s="7" t="s">
        <v>3052</v>
      </c>
      <c r="C1008" s="7">
        <v>4</v>
      </c>
      <c r="D1008" s="7" t="s">
        <v>449</v>
      </c>
      <c r="E1008" s="7" t="s">
        <v>1355</v>
      </c>
      <c r="F1008" s="7" t="s">
        <v>194</v>
      </c>
      <c r="G1008" s="7" t="s">
        <v>2750</v>
      </c>
      <c r="H1008" s="7">
        <v>5.4</v>
      </c>
      <c r="I1008" s="7" t="s">
        <v>718</v>
      </c>
    </row>
    <row r="1009" spans="1:9">
      <c r="A1009" s="7" t="s">
        <v>688</v>
      </c>
      <c r="B1009" s="7" t="s">
        <v>3052</v>
      </c>
      <c r="C1009" s="7">
        <v>4</v>
      </c>
      <c r="D1009" s="7" t="s">
        <v>449</v>
      </c>
      <c r="E1009" s="7" t="s">
        <v>1355</v>
      </c>
      <c r="F1009" s="7" t="s">
        <v>194</v>
      </c>
      <c r="G1009" s="7" t="s">
        <v>1211</v>
      </c>
      <c r="H1009" s="7">
        <v>5.4</v>
      </c>
      <c r="I1009" s="7" t="s">
        <v>718</v>
      </c>
    </row>
    <row r="1010" spans="1:9">
      <c r="A1010" s="7" t="s">
        <v>688</v>
      </c>
      <c r="B1010" s="7" t="s">
        <v>3052</v>
      </c>
      <c r="C1010" s="7">
        <v>4</v>
      </c>
      <c r="D1010" s="7" t="s">
        <v>449</v>
      </c>
      <c r="E1010" s="7" t="s">
        <v>1355</v>
      </c>
      <c r="F1010" s="7" t="s">
        <v>194</v>
      </c>
      <c r="G1010" s="7" t="s">
        <v>1210</v>
      </c>
      <c r="H1010" s="7">
        <v>5.4</v>
      </c>
      <c r="I1010" s="7" t="s">
        <v>718</v>
      </c>
    </row>
    <row r="1011" spans="1:9">
      <c r="A1011" s="7" t="s">
        <v>688</v>
      </c>
      <c r="B1011" s="7" t="s">
        <v>3052</v>
      </c>
      <c r="C1011" s="7">
        <v>4</v>
      </c>
      <c r="D1011" s="7" t="s">
        <v>449</v>
      </c>
      <c r="E1011" s="7" t="s">
        <v>1355</v>
      </c>
      <c r="F1011" s="7" t="s">
        <v>194</v>
      </c>
      <c r="G1011" s="7" t="s">
        <v>2751</v>
      </c>
      <c r="H1011" s="7">
        <v>5.4</v>
      </c>
      <c r="I1011" s="7" t="s">
        <v>718</v>
      </c>
    </row>
    <row r="1012" spans="1:9">
      <c r="A1012" s="7" t="s">
        <v>688</v>
      </c>
      <c r="B1012" s="7" t="s">
        <v>3052</v>
      </c>
      <c r="C1012" s="7">
        <v>4</v>
      </c>
      <c r="D1012" s="7" t="s">
        <v>449</v>
      </c>
      <c r="E1012" s="7" t="s">
        <v>1355</v>
      </c>
      <c r="F1012" s="7" t="s">
        <v>194</v>
      </c>
      <c r="G1012" s="7" t="s">
        <v>2752</v>
      </c>
      <c r="H1012" s="7">
        <v>5.4</v>
      </c>
      <c r="I1012" s="7" t="s">
        <v>718</v>
      </c>
    </row>
    <row r="1013" spans="1:9">
      <c r="A1013" s="7" t="s">
        <v>688</v>
      </c>
      <c r="B1013" s="7" t="s">
        <v>3052</v>
      </c>
      <c r="C1013" s="7">
        <v>4</v>
      </c>
      <c r="D1013" s="7" t="s">
        <v>449</v>
      </c>
      <c r="E1013" s="7" t="s">
        <v>1355</v>
      </c>
      <c r="F1013" s="7" t="s">
        <v>194</v>
      </c>
      <c r="G1013" s="7" t="s">
        <v>3059</v>
      </c>
      <c r="H1013" s="7">
        <v>5.4</v>
      </c>
      <c r="I1013" s="7" t="s">
        <v>718</v>
      </c>
    </row>
    <row r="1014" spans="1:9">
      <c r="A1014" s="7" t="s">
        <v>688</v>
      </c>
      <c r="B1014" s="7" t="s">
        <v>3052</v>
      </c>
      <c r="C1014" s="7">
        <v>4</v>
      </c>
      <c r="D1014" s="7" t="s">
        <v>449</v>
      </c>
      <c r="E1014" s="7" t="s">
        <v>1355</v>
      </c>
      <c r="F1014" s="7" t="s">
        <v>194</v>
      </c>
      <c r="G1014" s="7" t="s">
        <v>697</v>
      </c>
      <c r="H1014" s="7">
        <v>5.4</v>
      </c>
      <c r="I1014" s="7" t="s">
        <v>718</v>
      </c>
    </row>
    <row r="1015" spans="1:9">
      <c r="A1015" s="7" t="s">
        <v>688</v>
      </c>
      <c r="B1015" s="7" t="s">
        <v>3052</v>
      </c>
      <c r="C1015" s="7">
        <v>4</v>
      </c>
      <c r="D1015" s="7" t="s">
        <v>449</v>
      </c>
      <c r="E1015" s="7" t="s">
        <v>1355</v>
      </c>
      <c r="F1015" s="7" t="s">
        <v>194</v>
      </c>
      <c r="G1015" s="7" t="s">
        <v>2753</v>
      </c>
      <c r="H1015" s="7">
        <v>5.4</v>
      </c>
      <c r="I1015" s="7" t="s">
        <v>718</v>
      </c>
    </row>
    <row r="1016" spans="1:9">
      <c r="A1016" s="7" t="s">
        <v>688</v>
      </c>
      <c r="B1016" s="7" t="s">
        <v>3052</v>
      </c>
      <c r="C1016" s="7">
        <v>4</v>
      </c>
      <c r="D1016" s="7" t="s">
        <v>449</v>
      </c>
      <c r="E1016" s="7" t="s">
        <v>1355</v>
      </c>
      <c r="F1016" s="7" t="s">
        <v>194</v>
      </c>
      <c r="G1016" s="7" t="s">
        <v>1212</v>
      </c>
      <c r="H1016" s="7">
        <v>5.4</v>
      </c>
      <c r="I1016" s="7" t="s">
        <v>718</v>
      </c>
    </row>
    <row r="1017" spans="1:9">
      <c r="A1017" s="7" t="s">
        <v>688</v>
      </c>
      <c r="B1017" s="7" t="s">
        <v>3052</v>
      </c>
      <c r="C1017" s="7">
        <v>4</v>
      </c>
      <c r="D1017" s="7" t="s">
        <v>449</v>
      </c>
      <c r="E1017" s="7" t="s">
        <v>1355</v>
      </c>
      <c r="F1017" s="7" t="s">
        <v>194</v>
      </c>
      <c r="G1017" s="7" t="s">
        <v>2754</v>
      </c>
      <c r="H1017" s="7">
        <v>5.4</v>
      </c>
      <c r="I1017" s="7" t="s">
        <v>718</v>
      </c>
    </row>
    <row r="1018" spans="1:9">
      <c r="A1018" s="7" t="s">
        <v>688</v>
      </c>
      <c r="B1018" s="7" t="s">
        <v>3052</v>
      </c>
      <c r="C1018" s="7">
        <v>4</v>
      </c>
      <c r="D1018" s="7" t="s">
        <v>449</v>
      </c>
      <c r="E1018" s="7" t="s">
        <v>1355</v>
      </c>
      <c r="F1018" s="7" t="s">
        <v>194</v>
      </c>
      <c r="G1018" s="7" t="s">
        <v>2755</v>
      </c>
      <c r="H1018" s="7">
        <v>5.4</v>
      </c>
      <c r="I1018" s="7" t="s">
        <v>718</v>
      </c>
    </row>
    <row r="1019" spans="1:9">
      <c r="A1019" s="7" t="s">
        <v>688</v>
      </c>
      <c r="B1019" s="7" t="s">
        <v>3052</v>
      </c>
      <c r="C1019" s="7">
        <v>4</v>
      </c>
      <c r="D1019" s="7" t="s">
        <v>449</v>
      </c>
      <c r="E1019" s="7" t="s">
        <v>1355</v>
      </c>
      <c r="F1019" s="7" t="s">
        <v>194</v>
      </c>
      <c r="G1019" s="7" t="s">
        <v>2756</v>
      </c>
      <c r="H1019" s="7">
        <v>5.4</v>
      </c>
      <c r="I1019" s="7" t="s">
        <v>718</v>
      </c>
    </row>
    <row r="1020" spans="1:9">
      <c r="A1020" s="7" t="s">
        <v>688</v>
      </c>
      <c r="B1020" s="7" t="s">
        <v>3052</v>
      </c>
      <c r="C1020" s="7">
        <v>4</v>
      </c>
      <c r="D1020" s="7" t="s">
        <v>449</v>
      </c>
      <c r="E1020" s="7" t="s">
        <v>1355</v>
      </c>
      <c r="F1020" s="7" t="s">
        <v>194</v>
      </c>
      <c r="G1020" s="7" t="s">
        <v>2757</v>
      </c>
      <c r="H1020" s="7">
        <v>5.4</v>
      </c>
      <c r="I1020" s="7" t="s">
        <v>718</v>
      </c>
    </row>
    <row r="1021" spans="1:9">
      <c r="A1021" s="7" t="s">
        <v>688</v>
      </c>
      <c r="B1021" s="7" t="s">
        <v>3052</v>
      </c>
      <c r="C1021" s="7">
        <v>4</v>
      </c>
      <c r="D1021" s="7" t="s">
        <v>449</v>
      </c>
      <c r="E1021" s="7" t="s">
        <v>1355</v>
      </c>
      <c r="F1021" s="7" t="s">
        <v>194</v>
      </c>
      <c r="G1021" s="7" t="s">
        <v>2758</v>
      </c>
      <c r="H1021" s="7">
        <v>5.4</v>
      </c>
      <c r="I1021" s="7" t="s">
        <v>718</v>
      </c>
    </row>
    <row r="1022" spans="1:9">
      <c r="A1022" s="7" t="s">
        <v>688</v>
      </c>
      <c r="B1022" s="7" t="s">
        <v>3052</v>
      </c>
      <c r="C1022" s="7">
        <v>4</v>
      </c>
      <c r="D1022" s="7" t="s">
        <v>449</v>
      </c>
      <c r="E1022" s="7" t="s">
        <v>1355</v>
      </c>
      <c r="F1022" s="7" t="s">
        <v>194</v>
      </c>
      <c r="G1022" s="7" t="s">
        <v>2759</v>
      </c>
      <c r="H1022" s="7">
        <v>5.4</v>
      </c>
      <c r="I1022" s="7" t="s">
        <v>718</v>
      </c>
    </row>
    <row r="1023" spans="1:9">
      <c r="A1023" s="7" t="s">
        <v>688</v>
      </c>
      <c r="B1023" s="7" t="s">
        <v>3052</v>
      </c>
      <c r="C1023" s="7">
        <v>4</v>
      </c>
      <c r="D1023" s="7" t="s">
        <v>449</v>
      </c>
      <c r="E1023" s="7" t="s">
        <v>1355</v>
      </c>
      <c r="F1023" s="7" t="s">
        <v>194</v>
      </c>
      <c r="G1023" s="7" t="s">
        <v>2760</v>
      </c>
      <c r="H1023" s="7">
        <v>5.4</v>
      </c>
      <c r="I1023" s="7" t="s">
        <v>718</v>
      </c>
    </row>
    <row r="1024" spans="1:9">
      <c r="A1024" s="7" t="s">
        <v>688</v>
      </c>
      <c r="B1024" s="7" t="s">
        <v>3052</v>
      </c>
      <c r="C1024" s="7">
        <v>4</v>
      </c>
      <c r="D1024" s="7" t="s">
        <v>449</v>
      </c>
      <c r="E1024" s="7" t="s">
        <v>1355</v>
      </c>
      <c r="F1024" s="7" t="s">
        <v>194</v>
      </c>
      <c r="G1024" s="7" t="s">
        <v>2761</v>
      </c>
      <c r="H1024" s="7">
        <v>5.4</v>
      </c>
      <c r="I1024" s="7" t="s">
        <v>718</v>
      </c>
    </row>
    <row r="1025" spans="1:9">
      <c r="A1025" s="7" t="s">
        <v>688</v>
      </c>
      <c r="B1025" s="7" t="s">
        <v>3052</v>
      </c>
      <c r="C1025" s="7">
        <v>4</v>
      </c>
      <c r="D1025" s="7" t="s">
        <v>449</v>
      </c>
      <c r="E1025" s="7" t="s">
        <v>1355</v>
      </c>
      <c r="F1025" s="7" t="s">
        <v>194</v>
      </c>
      <c r="G1025" s="7" t="s">
        <v>2762</v>
      </c>
      <c r="H1025" s="7">
        <v>5.4</v>
      </c>
      <c r="I1025" s="7" t="s">
        <v>718</v>
      </c>
    </row>
    <row r="1026" spans="1:9">
      <c r="A1026" s="7" t="s">
        <v>688</v>
      </c>
      <c r="B1026" s="7" t="s">
        <v>3052</v>
      </c>
      <c r="C1026" s="7">
        <v>4</v>
      </c>
      <c r="D1026" s="7" t="s">
        <v>449</v>
      </c>
      <c r="E1026" s="7" t="s">
        <v>1355</v>
      </c>
      <c r="F1026" s="7" t="s">
        <v>194</v>
      </c>
      <c r="G1026" s="7" t="s">
        <v>2763</v>
      </c>
      <c r="H1026" s="7">
        <v>5.4</v>
      </c>
      <c r="I1026" s="7" t="s">
        <v>718</v>
      </c>
    </row>
    <row r="1027" spans="1:9">
      <c r="A1027" s="7" t="s">
        <v>688</v>
      </c>
      <c r="B1027" s="7" t="s">
        <v>3052</v>
      </c>
      <c r="C1027" s="7">
        <v>4</v>
      </c>
      <c r="D1027" s="7" t="s">
        <v>449</v>
      </c>
      <c r="E1027" s="7" t="s">
        <v>1355</v>
      </c>
      <c r="F1027" s="7" t="s">
        <v>194</v>
      </c>
      <c r="G1027" s="7" t="s">
        <v>2764</v>
      </c>
      <c r="H1027" s="7">
        <v>5.4</v>
      </c>
      <c r="I1027" s="7" t="s">
        <v>718</v>
      </c>
    </row>
    <row r="1028" spans="1:9">
      <c r="A1028" s="7" t="s">
        <v>688</v>
      </c>
      <c r="B1028" s="7" t="s">
        <v>3052</v>
      </c>
      <c r="C1028" s="7">
        <v>4</v>
      </c>
      <c r="D1028" s="7" t="s">
        <v>449</v>
      </c>
      <c r="E1028" s="7" t="s">
        <v>1355</v>
      </c>
      <c r="F1028" s="7" t="s">
        <v>194</v>
      </c>
      <c r="G1028" s="7" t="s">
        <v>699</v>
      </c>
      <c r="H1028" s="7">
        <v>5.4</v>
      </c>
      <c r="I1028" s="7" t="s">
        <v>718</v>
      </c>
    </row>
    <row r="1029" spans="1:9">
      <c r="A1029" s="7" t="s">
        <v>688</v>
      </c>
      <c r="B1029" s="7" t="s">
        <v>3052</v>
      </c>
      <c r="C1029" s="7">
        <v>4</v>
      </c>
      <c r="D1029" s="7" t="s">
        <v>449</v>
      </c>
      <c r="E1029" s="7" t="s">
        <v>1355</v>
      </c>
      <c r="F1029" s="7" t="s">
        <v>194</v>
      </c>
      <c r="G1029" s="7" t="s">
        <v>2700</v>
      </c>
      <c r="H1029" s="7">
        <v>5.4</v>
      </c>
      <c r="I1029" s="7" t="s">
        <v>718</v>
      </c>
    </row>
    <row r="1030" spans="1:9">
      <c r="A1030" s="7" t="s">
        <v>688</v>
      </c>
      <c r="B1030" s="7" t="s">
        <v>3052</v>
      </c>
      <c r="C1030" s="7">
        <v>4</v>
      </c>
      <c r="D1030" s="7" t="s">
        <v>449</v>
      </c>
      <c r="E1030" s="7" t="s">
        <v>1900</v>
      </c>
      <c r="F1030" s="7" t="s">
        <v>2804</v>
      </c>
      <c r="G1030" s="7" t="s">
        <v>2700</v>
      </c>
      <c r="H1030" s="7">
        <v>5.8</v>
      </c>
      <c r="I1030" s="7" t="s">
        <v>718</v>
      </c>
    </row>
    <row r="1031" spans="1:9">
      <c r="A1031" s="7" t="s">
        <v>688</v>
      </c>
      <c r="B1031" s="7" t="s">
        <v>3052</v>
      </c>
      <c r="C1031" s="7">
        <v>4</v>
      </c>
      <c r="D1031" s="7" t="s">
        <v>449</v>
      </c>
      <c r="E1031" s="7" t="s">
        <v>1900</v>
      </c>
      <c r="F1031" s="7" t="s">
        <v>2804</v>
      </c>
      <c r="G1031" s="7" t="s">
        <v>2810</v>
      </c>
      <c r="H1031" s="7">
        <v>5.8</v>
      </c>
      <c r="I1031" s="7" t="s">
        <v>718</v>
      </c>
    </row>
    <row r="1032" spans="1:9">
      <c r="A1032" s="7" t="s">
        <v>688</v>
      </c>
      <c r="B1032" s="7" t="s">
        <v>3052</v>
      </c>
      <c r="C1032" s="7">
        <v>4</v>
      </c>
      <c r="D1032" s="7" t="s">
        <v>449</v>
      </c>
      <c r="E1032" s="7" t="s">
        <v>1900</v>
      </c>
      <c r="F1032" s="7" t="s">
        <v>2804</v>
      </c>
      <c r="G1032" s="7" t="s">
        <v>2811</v>
      </c>
      <c r="H1032" s="7">
        <v>5.8</v>
      </c>
      <c r="I1032" s="7" t="s">
        <v>719</v>
      </c>
    </row>
    <row r="1033" spans="1:9">
      <c r="A1033" s="7" t="s">
        <v>688</v>
      </c>
      <c r="B1033" s="7" t="s">
        <v>3052</v>
      </c>
      <c r="C1033" s="7">
        <v>4</v>
      </c>
      <c r="D1033" s="7" t="s">
        <v>449</v>
      </c>
      <c r="E1033" s="7" t="s">
        <v>1900</v>
      </c>
      <c r="F1033" s="7" t="s">
        <v>2804</v>
      </c>
      <c r="G1033" s="7" t="s">
        <v>2812</v>
      </c>
      <c r="H1033" s="7">
        <v>5.8</v>
      </c>
      <c r="I1033" s="7" t="s">
        <v>719</v>
      </c>
    </row>
    <row r="1034" spans="1:9">
      <c r="A1034" s="7" t="s">
        <v>688</v>
      </c>
      <c r="B1034" s="7" t="s">
        <v>3052</v>
      </c>
      <c r="C1034" s="7">
        <v>4</v>
      </c>
      <c r="D1034" s="7" t="s">
        <v>449</v>
      </c>
      <c r="E1034" s="7" t="s">
        <v>1900</v>
      </c>
      <c r="F1034" s="7" t="s">
        <v>1026</v>
      </c>
      <c r="G1034" s="7" t="s">
        <v>2700</v>
      </c>
      <c r="H1034" s="7">
        <v>5.6</v>
      </c>
      <c r="I1034" s="7" t="s">
        <v>718</v>
      </c>
    </row>
    <row r="1035" spans="1:9">
      <c r="A1035" s="7" t="s">
        <v>688</v>
      </c>
      <c r="B1035" s="7" t="s">
        <v>3052</v>
      </c>
      <c r="C1035" s="7">
        <v>4</v>
      </c>
      <c r="D1035" s="7" t="s">
        <v>449</v>
      </c>
      <c r="E1035" s="7" t="s">
        <v>1900</v>
      </c>
      <c r="F1035" s="7" t="s">
        <v>2741</v>
      </c>
      <c r="G1035" s="7" t="s">
        <v>191</v>
      </c>
      <c r="H1035" s="7">
        <v>6.6</v>
      </c>
      <c r="I1035" s="7" t="s">
        <v>719</v>
      </c>
    </row>
    <row r="1036" spans="1:9">
      <c r="A1036" s="7" t="s">
        <v>688</v>
      </c>
      <c r="B1036" s="7" t="s">
        <v>3052</v>
      </c>
      <c r="C1036" s="7">
        <v>4</v>
      </c>
      <c r="D1036" s="7" t="s">
        <v>449</v>
      </c>
      <c r="E1036" s="7" t="s">
        <v>1900</v>
      </c>
      <c r="F1036" s="7" t="s">
        <v>2741</v>
      </c>
      <c r="G1036" s="7" t="s">
        <v>2693</v>
      </c>
      <c r="H1036" s="7">
        <v>6.6</v>
      </c>
      <c r="I1036" s="7" t="s">
        <v>719</v>
      </c>
    </row>
    <row r="1037" spans="1:9">
      <c r="A1037" s="7" t="s">
        <v>688</v>
      </c>
      <c r="B1037" s="7" t="s">
        <v>3052</v>
      </c>
      <c r="C1037" s="7">
        <v>4</v>
      </c>
      <c r="D1037" s="7" t="s">
        <v>449</v>
      </c>
      <c r="E1037" s="7" t="s">
        <v>1900</v>
      </c>
      <c r="F1037" s="7" t="s">
        <v>2741</v>
      </c>
      <c r="G1037" s="7" t="s">
        <v>206</v>
      </c>
      <c r="H1037" s="7">
        <v>6.5</v>
      </c>
      <c r="I1037" s="7" t="s">
        <v>719</v>
      </c>
    </row>
    <row r="1038" spans="1:9">
      <c r="A1038" s="7" t="s">
        <v>688</v>
      </c>
      <c r="B1038" s="7" t="s">
        <v>3052</v>
      </c>
      <c r="C1038" s="7">
        <v>4</v>
      </c>
      <c r="D1038" s="7" t="s">
        <v>449</v>
      </c>
      <c r="E1038" s="7" t="s">
        <v>1900</v>
      </c>
      <c r="F1038" s="7" t="s">
        <v>2742</v>
      </c>
      <c r="G1038" s="7" t="s">
        <v>191</v>
      </c>
      <c r="H1038" s="7">
        <v>6.6</v>
      </c>
      <c r="I1038" s="7" t="s">
        <v>719</v>
      </c>
    </row>
    <row r="1039" spans="1:9">
      <c r="A1039" s="7" t="s">
        <v>688</v>
      </c>
      <c r="B1039" s="7" t="s">
        <v>3052</v>
      </c>
      <c r="C1039" s="7">
        <v>4</v>
      </c>
      <c r="D1039" s="7" t="s">
        <v>449</v>
      </c>
      <c r="E1039" s="7" t="s">
        <v>1900</v>
      </c>
      <c r="F1039" s="7" t="s">
        <v>2742</v>
      </c>
      <c r="G1039" s="7" t="s">
        <v>2693</v>
      </c>
      <c r="H1039" s="7">
        <v>6.6</v>
      </c>
      <c r="I1039" s="7" t="s">
        <v>719</v>
      </c>
    </row>
    <row r="1040" spans="1:9">
      <c r="A1040" s="7" t="s">
        <v>688</v>
      </c>
      <c r="B1040" s="7" t="s">
        <v>3052</v>
      </c>
      <c r="C1040" s="7">
        <v>4</v>
      </c>
      <c r="D1040" s="7" t="s">
        <v>449</v>
      </c>
      <c r="E1040" s="7" t="s">
        <v>1900</v>
      </c>
      <c r="F1040" s="7" t="s">
        <v>2742</v>
      </c>
      <c r="G1040" s="7" t="s">
        <v>206</v>
      </c>
      <c r="H1040" s="7">
        <v>6.5</v>
      </c>
      <c r="I1040" s="7" t="s">
        <v>719</v>
      </c>
    </row>
    <row r="1041" spans="1:9">
      <c r="A1041" s="7" t="s">
        <v>688</v>
      </c>
      <c r="B1041" s="7" t="s">
        <v>1038</v>
      </c>
      <c r="C1041" s="7">
        <v>1</v>
      </c>
      <c r="D1041" s="7" t="s">
        <v>445</v>
      </c>
      <c r="E1041" s="7" t="s">
        <v>3016</v>
      </c>
      <c r="F1041" s="7" t="s">
        <v>390</v>
      </c>
      <c r="G1041" s="7" t="s">
        <v>2879</v>
      </c>
      <c r="H1041" s="7">
        <v>4.2</v>
      </c>
      <c r="I1041" s="7" t="s">
        <v>718</v>
      </c>
    </row>
    <row r="1042" spans="1:9">
      <c r="A1042" s="7" t="s">
        <v>688</v>
      </c>
      <c r="B1042" s="7" t="s">
        <v>1038</v>
      </c>
      <c r="C1042" s="7">
        <v>1</v>
      </c>
      <c r="D1042" s="7" t="s">
        <v>445</v>
      </c>
      <c r="E1042" s="7" t="s">
        <v>3016</v>
      </c>
      <c r="F1042" s="7" t="s">
        <v>390</v>
      </c>
      <c r="G1042" s="7" t="s">
        <v>2880</v>
      </c>
      <c r="H1042" s="7">
        <v>4.2</v>
      </c>
      <c r="I1042" s="7" t="s">
        <v>718</v>
      </c>
    </row>
    <row r="1043" spans="1:9">
      <c r="A1043" s="7" t="s">
        <v>688</v>
      </c>
      <c r="B1043" s="7" t="s">
        <v>1038</v>
      </c>
      <c r="C1043" s="7">
        <v>1</v>
      </c>
      <c r="D1043" s="7" t="s">
        <v>445</v>
      </c>
      <c r="E1043" s="7" t="s">
        <v>3016</v>
      </c>
      <c r="F1043" s="7" t="s">
        <v>390</v>
      </c>
      <c r="G1043" s="7" t="s">
        <v>3017</v>
      </c>
      <c r="H1043" s="7">
        <v>4.2</v>
      </c>
      <c r="I1043" s="7" t="s">
        <v>718</v>
      </c>
    </row>
    <row r="1044" spans="1:9">
      <c r="A1044" s="7" t="s">
        <v>688</v>
      </c>
      <c r="B1044" s="7" t="s">
        <v>1038</v>
      </c>
      <c r="C1044" s="7">
        <v>1</v>
      </c>
      <c r="D1044" s="7" t="s">
        <v>445</v>
      </c>
      <c r="E1044" s="7" t="s">
        <v>3016</v>
      </c>
      <c r="F1044" s="7" t="s">
        <v>390</v>
      </c>
      <c r="G1044" s="7" t="s">
        <v>3018</v>
      </c>
      <c r="H1044" s="7">
        <v>4.2</v>
      </c>
      <c r="I1044" s="7" t="s">
        <v>718</v>
      </c>
    </row>
    <row r="1045" spans="1:9">
      <c r="A1045" s="7" t="s">
        <v>688</v>
      </c>
      <c r="B1045" s="7" t="s">
        <v>1038</v>
      </c>
      <c r="C1045" s="7">
        <v>1</v>
      </c>
      <c r="D1045" s="7" t="s">
        <v>445</v>
      </c>
      <c r="E1045" s="7" t="s">
        <v>3016</v>
      </c>
      <c r="F1045" s="7" t="s">
        <v>391</v>
      </c>
      <c r="G1045" s="7" t="s">
        <v>3019</v>
      </c>
      <c r="H1045" s="7">
        <v>4.2</v>
      </c>
      <c r="I1045" s="7" t="s">
        <v>718</v>
      </c>
    </row>
    <row r="1046" spans="1:9">
      <c r="A1046" s="7" t="s">
        <v>688</v>
      </c>
      <c r="B1046" s="7" t="s">
        <v>1038</v>
      </c>
      <c r="C1046" s="7">
        <v>1</v>
      </c>
      <c r="D1046" s="7" t="s">
        <v>445</v>
      </c>
      <c r="E1046" s="7" t="s">
        <v>3016</v>
      </c>
      <c r="F1046" s="7" t="s">
        <v>391</v>
      </c>
      <c r="G1046" s="7" t="s">
        <v>3021</v>
      </c>
      <c r="H1046" s="7">
        <v>4.2</v>
      </c>
      <c r="I1046" s="7" t="s">
        <v>718</v>
      </c>
    </row>
    <row r="1047" spans="1:9">
      <c r="A1047" s="7" t="s">
        <v>688</v>
      </c>
      <c r="B1047" s="7" t="s">
        <v>1038</v>
      </c>
      <c r="C1047" s="7">
        <v>1</v>
      </c>
      <c r="D1047" s="7" t="s">
        <v>445</v>
      </c>
      <c r="E1047" s="7" t="s">
        <v>3016</v>
      </c>
      <c r="F1047" s="7" t="s">
        <v>391</v>
      </c>
      <c r="G1047" s="7" t="s">
        <v>3020</v>
      </c>
      <c r="H1047" s="7">
        <v>4.2</v>
      </c>
      <c r="I1047" s="7" t="s">
        <v>718</v>
      </c>
    </row>
    <row r="1048" spans="1:9">
      <c r="A1048" s="7" t="s">
        <v>688</v>
      </c>
      <c r="B1048" s="7" t="s">
        <v>1038</v>
      </c>
      <c r="C1048" s="7">
        <v>1</v>
      </c>
      <c r="D1048" s="7" t="s">
        <v>445</v>
      </c>
      <c r="E1048" s="7" t="s">
        <v>3016</v>
      </c>
      <c r="F1048" s="7" t="s">
        <v>392</v>
      </c>
      <c r="G1048" s="7" t="s">
        <v>3022</v>
      </c>
      <c r="H1048" s="7">
        <v>4.2</v>
      </c>
      <c r="I1048" s="7" t="s">
        <v>718</v>
      </c>
    </row>
    <row r="1049" spans="1:9">
      <c r="A1049" s="7" t="s">
        <v>688</v>
      </c>
      <c r="B1049" s="7" t="s">
        <v>1038</v>
      </c>
      <c r="C1049" s="7">
        <v>1</v>
      </c>
      <c r="D1049" s="7" t="s">
        <v>445</v>
      </c>
      <c r="E1049" s="7" t="s">
        <v>3016</v>
      </c>
      <c r="F1049" s="7" t="s">
        <v>392</v>
      </c>
      <c r="G1049" s="7" t="s">
        <v>3023</v>
      </c>
      <c r="H1049" s="7">
        <v>4.2</v>
      </c>
      <c r="I1049" s="7" t="s">
        <v>718</v>
      </c>
    </row>
    <row r="1050" spans="1:9">
      <c r="A1050" s="7" t="s">
        <v>688</v>
      </c>
      <c r="B1050" s="7" t="s">
        <v>1038</v>
      </c>
      <c r="C1050" s="7">
        <v>1</v>
      </c>
      <c r="D1050" s="7" t="s">
        <v>445</v>
      </c>
      <c r="E1050" s="7" t="s">
        <v>3016</v>
      </c>
      <c r="F1050" s="7" t="s">
        <v>280</v>
      </c>
      <c r="G1050" s="7" t="s">
        <v>2879</v>
      </c>
      <c r="H1050" s="7">
        <v>4.2</v>
      </c>
      <c r="I1050" s="7" t="s">
        <v>718</v>
      </c>
    </row>
    <row r="1051" spans="1:9">
      <c r="A1051" s="7" t="s">
        <v>688</v>
      </c>
      <c r="B1051" s="7" t="s">
        <v>1038</v>
      </c>
      <c r="C1051" s="7">
        <v>1</v>
      </c>
      <c r="D1051" s="7" t="s">
        <v>445</v>
      </c>
      <c r="E1051" s="7" t="s">
        <v>3016</v>
      </c>
      <c r="F1051" s="7" t="s">
        <v>280</v>
      </c>
      <c r="G1051" s="7" t="s">
        <v>2880</v>
      </c>
      <c r="H1051" s="7">
        <v>4.2</v>
      </c>
      <c r="I1051" s="7" t="s">
        <v>718</v>
      </c>
    </row>
    <row r="1052" spans="1:9">
      <c r="A1052" s="7" t="s">
        <v>688</v>
      </c>
      <c r="B1052" s="7" t="s">
        <v>1038</v>
      </c>
      <c r="C1052" s="7">
        <v>1</v>
      </c>
      <c r="D1052" s="7" t="s">
        <v>445</v>
      </c>
      <c r="E1052" s="7" t="s">
        <v>3016</v>
      </c>
      <c r="F1052" s="7" t="s">
        <v>280</v>
      </c>
      <c r="G1052" s="7" t="s">
        <v>2881</v>
      </c>
      <c r="H1052" s="7">
        <v>4.2</v>
      </c>
      <c r="I1052" s="7" t="s">
        <v>718</v>
      </c>
    </row>
    <row r="1053" spans="1:9">
      <c r="A1053" s="7" t="s">
        <v>688</v>
      </c>
      <c r="B1053" s="7" t="s">
        <v>1038</v>
      </c>
      <c r="C1053" s="7">
        <v>1</v>
      </c>
      <c r="D1053" s="7" t="s">
        <v>445</v>
      </c>
      <c r="E1053" s="7" t="s">
        <v>3016</v>
      </c>
      <c r="F1053" s="7" t="s">
        <v>280</v>
      </c>
      <c r="G1053" s="7" t="s">
        <v>2882</v>
      </c>
      <c r="H1053" s="7">
        <v>4.2</v>
      </c>
      <c r="I1053" s="7" t="s">
        <v>718</v>
      </c>
    </row>
    <row r="1054" spans="1:9">
      <c r="A1054" s="7" t="s">
        <v>688</v>
      </c>
      <c r="B1054" s="7" t="s">
        <v>1038</v>
      </c>
      <c r="C1054" s="7">
        <v>1</v>
      </c>
      <c r="D1054" s="7" t="s">
        <v>445</v>
      </c>
      <c r="E1054" s="7" t="s">
        <v>3016</v>
      </c>
      <c r="F1054" s="7" t="s">
        <v>278</v>
      </c>
      <c r="G1054" s="7" t="s">
        <v>3024</v>
      </c>
      <c r="H1054" s="7">
        <v>4.2</v>
      </c>
      <c r="I1054" s="7" t="s">
        <v>718</v>
      </c>
    </row>
    <row r="1055" spans="1:9">
      <c r="A1055" s="7" t="s">
        <v>688</v>
      </c>
      <c r="B1055" s="7" t="s">
        <v>1038</v>
      </c>
      <c r="C1055" s="7">
        <v>1</v>
      </c>
      <c r="D1055" s="7" t="s">
        <v>445</v>
      </c>
      <c r="E1055" s="7" t="s">
        <v>3016</v>
      </c>
      <c r="F1055" s="7" t="s">
        <v>278</v>
      </c>
      <c r="G1055" s="7" t="s">
        <v>3025</v>
      </c>
      <c r="H1055" s="7">
        <v>4.2</v>
      </c>
      <c r="I1055" s="7" t="s">
        <v>718</v>
      </c>
    </row>
    <row r="1056" spans="1:9">
      <c r="A1056" s="7" t="s">
        <v>688</v>
      </c>
      <c r="B1056" s="7" t="s">
        <v>1038</v>
      </c>
      <c r="C1056" s="7">
        <v>1</v>
      </c>
      <c r="D1056" s="7" t="s">
        <v>445</v>
      </c>
      <c r="E1056" s="7" t="s">
        <v>3016</v>
      </c>
      <c r="F1056" s="7" t="s">
        <v>279</v>
      </c>
      <c r="G1056" s="7" t="s">
        <v>2885</v>
      </c>
      <c r="H1056" s="7">
        <v>4.2</v>
      </c>
      <c r="I1056" s="7" t="s">
        <v>718</v>
      </c>
    </row>
    <row r="1057" spans="1:9">
      <c r="A1057" s="7" t="s">
        <v>688</v>
      </c>
      <c r="B1057" s="7" t="s">
        <v>1038</v>
      </c>
      <c r="C1057" s="7">
        <v>1</v>
      </c>
      <c r="D1057" s="7" t="s">
        <v>445</v>
      </c>
      <c r="E1057" s="7" t="s">
        <v>3016</v>
      </c>
      <c r="F1057" s="7" t="s">
        <v>279</v>
      </c>
      <c r="G1057" s="7" t="s">
        <v>2886</v>
      </c>
      <c r="H1057" s="7">
        <v>4.2</v>
      </c>
      <c r="I1057" s="7" t="s">
        <v>718</v>
      </c>
    </row>
    <row r="1058" spans="1:9">
      <c r="A1058" s="7" t="s">
        <v>688</v>
      </c>
      <c r="B1058" s="7" t="s">
        <v>1038</v>
      </c>
      <c r="C1058" s="7">
        <v>1</v>
      </c>
      <c r="D1058" s="7" t="s">
        <v>445</v>
      </c>
      <c r="E1058" s="7" t="s">
        <v>3016</v>
      </c>
      <c r="F1058" s="7" t="s">
        <v>279</v>
      </c>
      <c r="G1058" s="7" t="s">
        <v>2887</v>
      </c>
      <c r="H1058" s="7">
        <v>4.2</v>
      </c>
      <c r="I1058" s="7" t="s">
        <v>718</v>
      </c>
    </row>
    <row r="1059" spans="1:9">
      <c r="A1059" s="7" t="s">
        <v>688</v>
      </c>
      <c r="B1059" s="7" t="s">
        <v>1038</v>
      </c>
      <c r="C1059" s="7">
        <v>1</v>
      </c>
      <c r="D1059" s="7" t="s">
        <v>445</v>
      </c>
      <c r="E1059" s="7" t="s">
        <v>3016</v>
      </c>
      <c r="F1059" s="7" t="s">
        <v>279</v>
      </c>
      <c r="G1059" s="7" t="s">
        <v>2888</v>
      </c>
      <c r="H1059" s="7">
        <v>4.2</v>
      </c>
      <c r="I1059" s="7" t="s">
        <v>718</v>
      </c>
    </row>
    <row r="1060" spans="1:9">
      <c r="A1060" s="7" t="s">
        <v>688</v>
      </c>
      <c r="B1060" s="7" t="s">
        <v>1038</v>
      </c>
      <c r="C1060" s="7">
        <v>1</v>
      </c>
      <c r="D1060" s="7" t="s">
        <v>445</v>
      </c>
      <c r="E1060" s="7" t="s">
        <v>3016</v>
      </c>
      <c r="F1060" s="7" t="s">
        <v>279</v>
      </c>
      <c r="G1060" s="7" t="s">
        <v>2889</v>
      </c>
      <c r="H1060" s="7">
        <v>4.2</v>
      </c>
      <c r="I1060" s="7" t="s">
        <v>718</v>
      </c>
    </row>
    <row r="1061" spans="1:9">
      <c r="A1061" s="7" t="s">
        <v>688</v>
      </c>
      <c r="B1061" s="7" t="s">
        <v>1038</v>
      </c>
      <c r="C1061" s="7">
        <v>1</v>
      </c>
      <c r="D1061" s="7" t="s">
        <v>445</v>
      </c>
      <c r="E1061" s="7" t="s">
        <v>3016</v>
      </c>
      <c r="F1061" s="7" t="s">
        <v>3026</v>
      </c>
      <c r="G1061" s="7" t="s">
        <v>2700</v>
      </c>
      <c r="H1061" s="7">
        <v>4.2</v>
      </c>
      <c r="I1061" s="7" t="s">
        <v>718</v>
      </c>
    </row>
    <row r="1062" spans="1:9">
      <c r="A1062" s="7" t="s">
        <v>688</v>
      </c>
      <c r="B1062" s="7" t="s">
        <v>1038</v>
      </c>
      <c r="C1062" s="7">
        <v>1</v>
      </c>
      <c r="D1062" s="7" t="s">
        <v>445</v>
      </c>
      <c r="E1062" s="7" t="s">
        <v>3016</v>
      </c>
      <c r="F1062" s="7" t="s">
        <v>286</v>
      </c>
      <c r="G1062" s="7" t="s">
        <v>1043</v>
      </c>
      <c r="H1062" s="7">
        <v>4.2</v>
      </c>
      <c r="I1062" s="7" t="s">
        <v>718</v>
      </c>
    </row>
    <row r="1063" spans="1:9">
      <c r="A1063" s="7" t="s">
        <v>688</v>
      </c>
      <c r="B1063" s="7" t="s">
        <v>1038</v>
      </c>
      <c r="C1063" s="7">
        <v>1</v>
      </c>
      <c r="D1063" s="7" t="s">
        <v>445</v>
      </c>
      <c r="E1063" s="7" t="s">
        <v>3016</v>
      </c>
      <c r="F1063" s="7" t="s">
        <v>286</v>
      </c>
      <c r="G1063" s="7" t="s">
        <v>3017</v>
      </c>
      <c r="H1063" s="7">
        <v>4.2</v>
      </c>
      <c r="I1063" s="7" t="s">
        <v>718</v>
      </c>
    </row>
    <row r="1064" spans="1:9">
      <c r="A1064" s="7" t="s">
        <v>688</v>
      </c>
      <c r="B1064" s="7" t="s">
        <v>1038</v>
      </c>
      <c r="C1064" s="7">
        <v>1</v>
      </c>
      <c r="D1064" s="7" t="s">
        <v>445</v>
      </c>
      <c r="E1064" s="7" t="s">
        <v>3016</v>
      </c>
      <c r="F1064" s="7" t="s">
        <v>286</v>
      </c>
      <c r="G1064" s="7" t="s">
        <v>3018</v>
      </c>
      <c r="H1064" s="7">
        <v>4.2</v>
      </c>
      <c r="I1064" s="7" t="s">
        <v>718</v>
      </c>
    </row>
    <row r="1065" spans="1:9">
      <c r="A1065" s="7" t="s">
        <v>688</v>
      </c>
      <c r="B1065" s="7" t="s">
        <v>1038</v>
      </c>
      <c r="C1065" s="7">
        <v>1</v>
      </c>
      <c r="D1065" s="7" t="s">
        <v>445</v>
      </c>
      <c r="E1065" s="7" t="s">
        <v>3016</v>
      </c>
      <c r="F1065" s="7" t="s">
        <v>286</v>
      </c>
      <c r="G1065" s="7" t="s">
        <v>3027</v>
      </c>
      <c r="H1065" s="7">
        <v>4.2</v>
      </c>
      <c r="I1065" s="7" t="s">
        <v>718</v>
      </c>
    </row>
    <row r="1066" spans="1:9">
      <c r="A1066" s="7" t="s">
        <v>688</v>
      </c>
      <c r="B1066" s="7" t="s">
        <v>1038</v>
      </c>
      <c r="C1066" s="7">
        <v>1</v>
      </c>
      <c r="D1066" s="7" t="s">
        <v>445</v>
      </c>
      <c r="E1066" s="7" t="s">
        <v>3016</v>
      </c>
      <c r="F1066" s="7" t="s">
        <v>402</v>
      </c>
      <c r="G1066" s="7" t="s">
        <v>1044</v>
      </c>
      <c r="H1066" s="7">
        <v>4.2</v>
      </c>
      <c r="I1066" s="7" t="s">
        <v>718</v>
      </c>
    </row>
    <row r="1067" spans="1:9">
      <c r="A1067" s="7" t="s">
        <v>688</v>
      </c>
      <c r="B1067" s="7" t="s">
        <v>1038</v>
      </c>
      <c r="C1067" s="7">
        <v>1</v>
      </c>
      <c r="D1067" s="7" t="s">
        <v>445</v>
      </c>
      <c r="E1067" s="7" t="s">
        <v>3016</v>
      </c>
      <c r="F1067" s="7" t="s">
        <v>403</v>
      </c>
      <c r="G1067" s="7" t="s">
        <v>2894</v>
      </c>
      <c r="H1067" s="7">
        <v>4.2</v>
      </c>
      <c r="I1067" s="7" t="s">
        <v>718</v>
      </c>
    </row>
    <row r="1068" spans="1:9">
      <c r="A1068" s="7" t="s">
        <v>688</v>
      </c>
      <c r="B1068" s="7" t="s">
        <v>1038</v>
      </c>
      <c r="C1068" s="7">
        <v>1</v>
      </c>
      <c r="D1068" s="7" t="s">
        <v>445</v>
      </c>
      <c r="E1068" s="7" t="s">
        <v>3016</v>
      </c>
      <c r="F1068" s="7" t="s">
        <v>403</v>
      </c>
      <c r="G1068" s="7" t="s">
        <v>410</v>
      </c>
      <c r="H1068" s="7">
        <v>4.2</v>
      </c>
      <c r="I1068" s="7" t="s">
        <v>718</v>
      </c>
    </row>
    <row r="1069" spans="1:9">
      <c r="A1069" s="7" t="s">
        <v>688</v>
      </c>
      <c r="B1069" s="7" t="s">
        <v>1038</v>
      </c>
      <c r="C1069" s="7">
        <v>1</v>
      </c>
      <c r="D1069" s="7" t="s">
        <v>445</v>
      </c>
      <c r="E1069" s="7" t="s">
        <v>3016</v>
      </c>
      <c r="F1069" s="7" t="s">
        <v>403</v>
      </c>
      <c r="G1069" s="7" t="s">
        <v>411</v>
      </c>
      <c r="H1069" s="7">
        <v>4.2</v>
      </c>
      <c r="I1069" s="7" t="s">
        <v>718</v>
      </c>
    </row>
    <row r="1070" spans="1:9">
      <c r="A1070" s="7" t="s">
        <v>688</v>
      </c>
      <c r="B1070" s="7" t="s">
        <v>1038</v>
      </c>
      <c r="C1070" s="7">
        <v>1</v>
      </c>
      <c r="D1070" s="7" t="s">
        <v>445</v>
      </c>
      <c r="E1070" s="7" t="s">
        <v>3016</v>
      </c>
      <c r="F1070" s="7" t="s">
        <v>403</v>
      </c>
      <c r="G1070" s="7" t="s">
        <v>2881</v>
      </c>
      <c r="H1070" s="7">
        <v>4.2</v>
      </c>
      <c r="I1070" s="7" t="s">
        <v>718</v>
      </c>
    </row>
    <row r="1071" spans="1:9">
      <c r="A1071" s="7" t="s">
        <v>688</v>
      </c>
      <c r="B1071" s="7" t="s">
        <v>1038</v>
      </c>
      <c r="C1071" s="7">
        <v>1</v>
      </c>
      <c r="D1071" s="7" t="s">
        <v>445</v>
      </c>
      <c r="E1071" s="7" t="s">
        <v>3016</v>
      </c>
      <c r="F1071" s="7" t="s">
        <v>403</v>
      </c>
      <c r="G1071" s="7" t="s">
        <v>1045</v>
      </c>
      <c r="H1071" s="7">
        <v>4.2</v>
      </c>
      <c r="I1071" s="7" t="s">
        <v>718</v>
      </c>
    </row>
    <row r="1072" spans="1:9">
      <c r="A1072" s="7" t="s">
        <v>688</v>
      </c>
      <c r="B1072" s="7" t="s">
        <v>1038</v>
      </c>
      <c r="C1072" s="7">
        <v>1</v>
      </c>
      <c r="D1072" s="7" t="s">
        <v>445</v>
      </c>
      <c r="E1072" s="7" t="s">
        <v>3016</v>
      </c>
      <c r="F1072" s="7" t="s">
        <v>403</v>
      </c>
      <c r="G1072" s="7" t="s">
        <v>1046</v>
      </c>
      <c r="H1072" s="7">
        <v>4.2</v>
      </c>
      <c r="I1072" s="7" t="s">
        <v>718</v>
      </c>
    </row>
    <row r="1073" spans="1:9">
      <c r="A1073" s="7" t="s">
        <v>688</v>
      </c>
      <c r="B1073" s="7" t="s">
        <v>1038</v>
      </c>
      <c r="C1073" s="7">
        <v>1</v>
      </c>
      <c r="D1073" s="7" t="s">
        <v>445</v>
      </c>
      <c r="E1073" s="7" t="s">
        <v>3016</v>
      </c>
      <c r="F1073" s="7" t="s">
        <v>1049</v>
      </c>
      <c r="G1073" s="7" t="s">
        <v>2895</v>
      </c>
      <c r="H1073" s="7">
        <v>4.2</v>
      </c>
      <c r="I1073" s="7" t="s">
        <v>718</v>
      </c>
    </row>
    <row r="1074" spans="1:9">
      <c r="A1074" s="7" t="s">
        <v>688</v>
      </c>
      <c r="B1074" s="7" t="s">
        <v>1038</v>
      </c>
      <c r="C1074" s="7">
        <v>1</v>
      </c>
      <c r="D1074" s="7" t="s">
        <v>445</v>
      </c>
      <c r="E1074" s="7" t="s">
        <v>3016</v>
      </c>
      <c r="F1074" s="7" t="s">
        <v>2896</v>
      </c>
      <c r="G1074" s="7" t="s">
        <v>2897</v>
      </c>
      <c r="H1074" s="7">
        <v>4.2</v>
      </c>
      <c r="I1074" s="7" t="s">
        <v>718</v>
      </c>
    </row>
    <row r="1075" spans="1:9">
      <c r="A1075" s="7" t="s">
        <v>688</v>
      </c>
      <c r="B1075" s="7" t="s">
        <v>1038</v>
      </c>
      <c r="C1075" s="7">
        <v>1</v>
      </c>
      <c r="D1075" s="7" t="s">
        <v>445</v>
      </c>
      <c r="E1075" s="7" t="s">
        <v>3016</v>
      </c>
      <c r="F1075" s="7" t="s">
        <v>277</v>
      </c>
      <c r="G1075" s="7" t="s">
        <v>1047</v>
      </c>
      <c r="H1075" s="7">
        <v>4.2</v>
      </c>
      <c r="I1075" s="7" t="s">
        <v>718</v>
      </c>
    </row>
    <row r="1076" spans="1:9">
      <c r="A1076" s="7" t="s">
        <v>688</v>
      </c>
      <c r="B1076" s="7" t="s">
        <v>1038</v>
      </c>
      <c r="C1076" s="7">
        <v>2</v>
      </c>
      <c r="D1076" s="7" t="s">
        <v>446</v>
      </c>
      <c r="E1076" s="7" t="s">
        <v>3028</v>
      </c>
      <c r="F1076" s="7" t="s">
        <v>284</v>
      </c>
      <c r="G1076" s="7" t="s">
        <v>386</v>
      </c>
      <c r="H1076" s="7">
        <v>4.2</v>
      </c>
      <c r="I1076" s="7" t="s">
        <v>718</v>
      </c>
    </row>
    <row r="1077" spans="1:9">
      <c r="A1077" s="7" t="s">
        <v>688</v>
      </c>
      <c r="B1077" s="7" t="s">
        <v>1038</v>
      </c>
      <c r="C1077" s="7">
        <v>2</v>
      </c>
      <c r="D1077" s="7" t="s">
        <v>446</v>
      </c>
      <c r="E1077" s="7" t="s">
        <v>3028</v>
      </c>
      <c r="F1077" s="7" t="s">
        <v>385</v>
      </c>
      <c r="G1077" s="7" t="s">
        <v>394</v>
      </c>
      <c r="H1077" s="7">
        <v>4.2</v>
      </c>
      <c r="I1077" s="7" t="s">
        <v>718</v>
      </c>
    </row>
    <row r="1078" spans="1:9">
      <c r="A1078" s="7" t="s">
        <v>688</v>
      </c>
      <c r="B1078" s="7" t="s">
        <v>1038</v>
      </c>
      <c r="C1078" s="7">
        <v>2</v>
      </c>
      <c r="D1078" s="7" t="s">
        <v>446</v>
      </c>
      <c r="E1078" s="7" t="s">
        <v>3028</v>
      </c>
      <c r="F1078" s="7" t="s">
        <v>385</v>
      </c>
      <c r="G1078" s="7" t="s">
        <v>397</v>
      </c>
      <c r="H1078" s="7">
        <v>4.2</v>
      </c>
      <c r="I1078" s="7" t="s">
        <v>718</v>
      </c>
    </row>
    <row r="1079" spans="1:9">
      <c r="A1079" s="7" t="s">
        <v>688</v>
      </c>
      <c r="B1079" s="7" t="s">
        <v>1038</v>
      </c>
      <c r="C1079" s="7">
        <v>2</v>
      </c>
      <c r="D1079" s="7" t="s">
        <v>446</v>
      </c>
      <c r="E1079" s="7" t="s">
        <v>3028</v>
      </c>
      <c r="F1079" s="7" t="s">
        <v>385</v>
      </c>
      <c r="G1079" s="7" t="s">
        <v>3029</v>
      </c>
      <c r="H1079" s="7">
        <v>4.2</v>
      </c>
      <c r="I1079" s="7" t="s">
        <v>718</v>
      </c>
    </row>
    <row r="1080" spans="1:9">
      <c r="A1080" s="7" t="s">
        <v>688</v>
      </c>
      <c r="B1080" s="7" t="s">
        <v>1038</v>
      </c>
      <c r="C1080" s="7">
        <v>2</v>
      </c>
      <c r="D1080" s="7" t="s">
        <v>446</v>
      </c>
      <c r="E1080" s="7" t="s">
        <v>3028</v>
      </c>
      <c r="F1080" s="7" t="s">
        <v>385</v>
      </c>
      <c r="G1080" s="7" t="s">
        <v>3030</v>
      </c>
      <c r="H1080" s="7">
        <v>4.2</v>
      </c>
      <c r="I1080" s="7" t="s">
        <v>718</v>
      </c>
    </row>
    <row r="1081" spans="1:9">
      <c r="A1081" s="7" t="s">
        <v>688</v>
      </c>
      <c r="B1081" s="7" t="s">
        <v>1038</v>
      </c>
      <c r="C1081" s="7">
        <v>2</v>
      </c>
      <c r="D1081" s="7" t="s">
        <v>446</v>
      </c>
      <c r="E1081" s="7" t="s">
        <v>3028</v>
      </c>
      <c r="F1081" s="7" t="s">
        <v>283</v>
      </c>
      <c r="G1081" s="7" t="s">
        <v>1051</v>
      </c>
      <c r="H1081" s="7">
        <v>4.2</v>
      </c>
      <c r="I1081" s="7" t="s">
        <v>718</v>
      </c>
    </row>
    <row r="1082" spans="1:9">
      <c r="A1082" s="7" t="s">
        <v>688</v>
      </c>
      <c r="B1082" s="7" t="s">
        <v>1038</v>
      </c>
      <c r="C1082" s="7">
        <v>2</v>
      </c>
      <c r="D1082" s="7" t="s">
        <v>446</v>
      </c>
      <c r="E1082" s="7" t="s">
        <v>3028</v>
      </c>
      <c r="F1082" s="7" t="s">
        <v>283</v>
      </c>
      <c r="G1082" s="7" t="s">
        <v>1052</v>
      </c>
      <c r="H1082" s="7">
        <v>4.2</v>
      </c>
      <c r="I1082" s="7" t="s">
        <v>718</v>
      </c>
    </row>
    <row r="1083" spans="1:9">
      <c r="A1083" s="7" t="s">
        <v>688</v>
      </c>
      <c r="B1083" s="7" t="s">
        <v>1038</v>
      </c>
      <c r="C1083" s="7">
        <v>2</v>
      </c>
      <c r="D1083" s="7" t="s">
        <v>446</v>
      </c>
      <c r="E1083" s="7" t="s">
        <v>3028</v>
      </c>
      <c r="F1083" s="7" t="s">
        <v>283</v>
      </c>
      <c r="G1083" s="7" t="s">
        <v>3031</v>
      </c>
      <c r="H1083" s="7">
        <v>4.2</v>
      </c>
      <c r="I1083" s="7" t="s">
        <v>718</v>
      </c>
    </row>
    <row r="1084" spans="1:9">
      <c r="A1084" s="7" t="s">
        <v>688</v>
      </c>
      <c r="B1084" s="7" t="s">
        <v>1038</v>
      </c>
      <c r="C1084" s="7">
        <v>2</v>
      </c>
      <c r="D1084" s="7" t="s">
        <v>446</v>
      </c>
      <c r="E1084" s="7" t="s">
        <v>3028</v>
      </c>
      <c r="F1084" s="7" t="s">
        <v>387</v>
      </c>
      <c r="G1084" s="7" t="s">
        <v>379</v>
      </c>
      <c r="H1084" s="7">
        <v>4.2</v>
      </c>
      <c r="I1084" s="7" t="s">
        <v>718</v>
      </c>
    </row>
    <row r="1085" spans="1:9">
      <c r="A1085" s="7" t="s">
        <v>688</v>
      </c>
      <c r="B1085" s="7" t="s">
        <v>1038</v>
      </c>
      <c r="C1085" s="7">
        <v>2</v>
      </c>
      <c r="D1085" s="7" t="s">
        <v>446</v>
      </c>
      <c r="E1085" s="7" t="s">
        <v>3028</v>
      </c>
      <c r="F1085" s="7" t="s">
        <v>387</v>
      </c>
      <c r="G1085" s="7" t="s">
        <v>3032</v>
      </c>
      <c r="H1085" s="7">
        <v>4.2</v>
      </c>
      <c r="I1085" s="7" t="s">
        <v>718</v>
      </c>
    </row>
    <row r="1086" spans="1:9">
      <c r="A1086" s="7" t="s">
        <v>688</v>
      </c>
      <c r="B1086" s="7" t="s">
        <v>1038</v>
      </c>
      <c r="C1086" s="7">
        <v>2</v>
      </c>
      <c r="D1086" s="7" t="s">
        <v>446</v>
      </c>
      <c r="E1086" s="7" t="s">
        <v>3028</v>
      </c>
      <c r="F1086" s="7" t="s">
        <v>387</v>
      </c>
      <c r="G1086" s="7" t="s">
        <v>1087</v>
      </c>
      <c r="H1086" s="7">
        <v>4.2</v>
      </c>
      <c r="I1086" s="7" t="s">
        <v>718</v>
      </c>
    </row>
    <row r="1087" spans="1:9">
      <c r="A1087" s="7" t="s">
        <v>688</v>
      </c>
      <c r="B1087" s="7" t="s">
        <v>1038</v>
      </c>
      <c r="C1087" s="7">
        <v>2</v>
      </c>
      <c r="D1087" s="7" t="s">
        <v>446</v>
      </c>
      <c r="E1087" s="7" t="s">
        <v>3028</v>
      </c>
      <c r="F1087" s="7" t="s">
        <v>388</v>
      </c>
      <c r="G1087" s="7" t="s">
        <v>3034</v>
      </c>
      <c r="H1087" s="7">
        <v>4.2</v>
      </c>
      <c r="I1087" s="7" t="s">
        <v>718</v>
      </c>
    </row>
    <row r="1088" spans="1:9">
      <c r="A1088" s="7" t="s">
        <v>688</v>
      </c>
      <c r="B1088" s="7" t="s">
        <v>1038</v>
      </c>
      <c r="C1088" s="7">
        <v>2</v>
      </c>
      <c r="D1088" s="7" t="s">
        <v>446</v>
      </c>
      <c r="E1088" s="7" t="s">
        <v>3028</v>
      </c>
      <c r="F1088" s="7" t="s">
        <v>388</v>
      </c>
      <c r="G1088" s="7" t="s">
        <v>3033</v>
      </c>
      <c r="H1088" s="7">
        <v>4.2</v>
      </c>
      <c r="I1088" s="7" t="s">
        <v>718</v>
      </c>
    </row>
    <row r="1089" spans="1:9">
      <c r="A1089" s="7" t="s">
        <v>688</v>
      </c>
      <c r="B1089" s="7" t="s">
        <v>1038</v>
      </c>
      <c r="C1089" s="7">
        <v>2</v>
      </c>
      <c r="D1089" s="7" t="s">
        <v>446</v>
      </c>
      <c r="E1089" s="7" t="s">
        <v>3028</v>
      </c>
      <c r="F1089" s="7" t="s">
        <v>389</v>
      </c>
      <c r="G1089" s="7" t="s">
        <v>3035</v>
      </c>
      <c r="H1089" s="7">
        <v>4.2</v>
      </c>
      <c r="I1089" s="7" t="s">
        <v>718</v>
      </c>
    </row>
    <row r="1090" spans="1:9">
      <c r="A1090" s="7" t="s">
        <v>688</v>
      </c>
      <c r="B1090" s="7" t="s">
        <v>1038</v>
      </c>
      <c r="C1090" s="7">
        <v>2</v>
      </c>
      <c r="D1090" s="7" t="s">
        <v>446</v>
      </c>
      <c r="E1090" s="7" t="s">
        <v>3028</v>
      </c>
      <c r="F1090" s="7" t="s">
        <v>390</v>
      </c>
      <c r="G1090" s="7" t="s">
        <v>2879</v>
      </c>
      <c r="H1090" s="7">
        <v>4.2</v>
      </c>
      <c r="I1090" s="7" t="s">
        <v>718</v>
      </c>
    </row>
    <row r="1091" spans="1:9">
      <c r="A1091" s="7" t="s">
        <v>688</v>
      </c>
      <c r="B1091" s="7" t="s">
        <v>1038</v>
      </c>
      <c r="C1091" s="7">
        <v>2</v>
      </c>
      <c r="D1091" s="7" t="s">
        <v>446</v>
      </c>
      <c r="E1091" s="7" t="s">
        <v>3028</v>
      </c>
      <c r="F1091" s="7" t="s">
        <v>390</v>
      </c>
      <c r="G1091" s="7" t="s">
        <v>2880</v>
      </c>
      <c r="H1091" s="7">
        <v>4.2</v>
      </c>
      <c r="I1091" s="7" t="s">
        <v>718</v>
      </c>
    </row>
    <row r="1092" spans="1:9">
      <c r="A1092" s="7" t="s">
        <v>688</v>
      </c>
      <c r="B1092" s="7" t="s">
        <v>1038</v>
      </c>
      <c r="C1092" s="7">
        <v>2</v>
      </c>
      <c r="D1092" s="7" t="s">
        <v>446</v>
      </c>
      <c r="E1092" s="7" t="s">
        <v>3028</v>
      </c>
      <c r="F1092" s="7" t="s">
        <v>390</v>
      </c>
      <c r="G1092" s="7" t="s">
        <v>3017</v>
      </c>
      <c r="H1092" s="7">
        <v>4.2</v>
      </c>
      <c r="I1092" s="7" t="s">
        <v>718</v>
      </c>
    </row>
    <row r="1093" spans="1:9">
      <c r="A1093" s="7" t="s">
        <v>688</v>
      </c>
      <c r="B1093" s="7" t="s">
        <v>1038</v>
      </c>
      <c r="C1093" s="7">
        <v>2</v>
      </c>
      <c r="D1093" s="7" t="s">
        <v>446</v>
      </c>
      <c r="E1093" s="7" t="s">
        <v>3028</v>
      </c>
      <c r="F1093" s="7" t="s">
        <v>390</v>
      </c>
      <c r="G1093" s="7" t="s">
        <v>3018</v>
      </c>
      <c r="H1093" s="7">
        <v>4.2</v>
      </c>
      <c r="I1093" s="7" t="s">
        <v>718</v>
      </c>
    </row>
    <row r="1094" spans="1:9">
      <c r="A1094" s="7" t="s">
        <v>688</v>
      </c>
      <c r="B1094" s="7" t="s">
        <v>1038</v>
      </c>
      <c r="C1094" s="7">
        <v>2</v>
      </c>
      <c r="D1094" s="7" t="s">
        <v>446</v>
      </c>
      <c r="E1094" s="7" t="s">
        <v>3028</v>
      </c>
      <c r="F1094" s="7" t="s">
        <v>393</v>
      </c>
      <c r="G1094" s="7" t="s">
        <v>3036</v>
      </c>
      <c r="H1094" s="7">
        <v>4.2</v>
      </c>
      <c r="I1094" s="7" t="s">
        <v>718</v>
      </c>
    </row>
    <row r="1095" spans="1:9">
      <c r="A1095" s="7" t="s">
        <v>688</v>
      </c>
      <c r="B1095" s="7" t="s">
        <v>1038</v>
      </c>
      <c r="C1095" s="7">
        <v>2</v>
      </c>
      <c r="D1095" s="7" t="s">
        <v>446</v>
      </c>
      <c r="E1095" s="7" t="s">
        <v>3028</v>
      </c>
      <c r="F1095" s="7" t="s">
        <v>393</v>
      </c>
      <c r="G1095" s="7" t="s">
        <v>2890</v>
      </c>
      <c r="H1095" s="7">
        <v>4.2</v>
      </c>
      <c r="I1095" s="7" t="s">
        <v>718</v>
      </c>
    </row>
    <row r="1096" spans="1:9">
      <c r="A1096" s="7" t="s">
        <v>688</v>
      </c>
      <c r="B1096" s="7" t="s">
        <v>1038</v>
      </c>
      <c r="C1096" s="7">
        <v>2</v>
      </c>
      <c r="D1096" s="7" t="s">
        <v>446</v>
      </c>
      <c r="E1096" s="7" t="s">
        <v>3028</v>
      </c>
      <c r="F1096" s="7" t="s">
        <v>395</v>
      </c>
      <c r="G1096" s="7" t="s">
        <v>406</v>
      </c>
      <c r="H1096" s="7">
        <v>4.2</v>
      </c>
      <c r="I1096" s="7" t="s">
        <v>718</v>
      </c>
    </row>
    <row r="1097" spans="1:9">
      <c r="A1097" s="7" t="s">
        <v>688</v>
      </c>
      <c r="B1097" s="7" t="s">
        <v>1038</v>
      </c>
      <c r="C1097" s="7">
        <v>2</v>
      </c>
      <c r="D1097" s="7" t="s">
        <v>446</v>
      </c>
      <c r="E1097" s="7" t="s">
        <v>3028</v>
      </c>
      <c r="F1097" s="7" t="s">
        <v>280</v>
      </c>
      <c r="G1097" s="7" t="s">
        <v>2879</v>
      </c>
      <c r="H1097" s="7">
        <v>4.2</v>
      </c>
      <c r="I1097" s="7" t="s">
        <v>718</v>
      </c>
    </row>
    <row r="1098" spans="1:9">
      <c r="A1098" s="7" t="s">
        <v>688</v>
      </c>
      <c r="B1098" s="7" t="s">
        <v>1038</v>
      </c>
      <c r="C1098" s="7">
        <v>2</v>
      </c>
      <c r="D1098" s="7" t="s">
        <v>446</v>
      </c>
      <c r="E1098" s="7" t="s">
        <v>3028</v>
      </c>
      <c r="F1098" s="7" t="s">
        <v>280</v>
      </c>
      <c r="G1098" s="7" t="s">
        <v>2880</v>
      </c>
      <c r="H1098" s="7">
        <v>4.2</v>
      </c>
      <c r="I1098" s="7" t="s">
        <v>718</v>
      </c>
    </row>
    <row r="1099" spans="1:9">
      <c r="A1099" s="7" t="s">
        <v>688</v>
      </c>
      <c r="B1099" s="7" t="s">
        <v>1038</v>
      </c>
      <c r="C1099" s="7">
        <v>2</v>
      </c>
      <c r="D1099" s="7" t="s">
        <v>446</v>
      </c>
      <c r="E1099" s="7" t="s">
        <v>3028</v>
      </c>
      <c r="F1099" s="7" t="s">
        <v>280</v>
      </c>
      <c r="G1099" s="7" t="s">
        <v>2881</v>
      </c>
      <c r="H1099" s="7">
        <v>4.2</v>
      </c>
      <c r="I1099" s="7" t="s">
        <v>718</v>
      </c>
    </row>
    <row r="1100" spans="1:9">
      <c r="A1100" s="7" t="s">
        <v>688</v>
      </c>
      <c r="B1100" s="7" t="s">
        <v>1038</v>
      </c>
      <c r="C1100" s="7">
        <v>2</v>
      </c>
      <c r="D1100" s="7" t="s">
        <v>446</v>
      </c>
      <c r="E1100" s="7" t="s">
        <v>3028</v>
      </c>
      <c r="F1100" s="7" t="s">
        <v>280</v>
      </c>
      <c r="G1100" s="7" t="s">
        <v>2882</v>
      </c>
      <c r="H1100" s="7">
        <v>4.2</v>
      </c>
      <c r="I1100" s="7" t="s">
        <v>718</v>
      </c>
    </row>
    <row r="1101" spans="1:9">
      <c r="A1101" s="7" t="s">
        <v>688</v>
      </c>
      <c r="B1101" s="7" t="s">
        <v>1038</v>
      </c>
      <c r="C1101" s="7">
        <v>2</v>
      </c>
      <c r="D1101" s="7" t="s">
        <v>446</v>
      </c>
      <c r="E1101" s="7" t="s">
        <v>3028</v>
      </c>
      <c r="F1101" s="7" t="s">
        <v>396</v>
      </c>
      <c r="G1101" s="7" t="s">
        <v>2880</v>
      </c>
      <c r="H1101" s="7">
        <v>4.2</v>
      </c>
      <c r="I1101" s="7" t="s">
        <v>718</v>
      </c>
    </row>
    <row r="1102" spans="1:9">
      <c r="A1102" s="7" t="s">
        <v>688</v>
      </c>
      <c r="B1102" s="7" t="s">
        <v>1038</v>
      </c>
      <c r="C1102" s="7">
        <v>2</v>
      </c>
      <c r="D1102" s="7" t="s">
        <v>446</v>
      </c>
      <c r="E1102" s="7" t="s">
        <v>3028</v>
      </c>
      <c r="F1102" s="7" t="s">
        <v>396</v>
      </c>
      <c r="G1102" s="7" t="s">
        <v>2890</v>
      </c>
      <c r="H1102" s="7">
        <v>4.2</v>
      </c>
      <c r="I1102" s="7" t="s">
        <v>718</v>
      </c>
    </row>
    <row r="1103" spans="1:9">
      <c r="A1103" s="7" t="s">
        <v>688</v>
      </c>
      <c r="B1103" s="7" t="s">
        <v>1038</v>
      </c>
      <c r="C1103" s="7">
        <v>2</v>
      </c>
      <c r="D1103" s="7" t="s">
        <v>446</v>
      </c>
      <c r="E1103" s="7" t="s">
        <v>3028</v>
      </c>
      <c r="F1103" s="7" t="s">
        <v>396</v>
      </c>
      <c r="G1103" s="7" t="s">
        <v>2891</v>
      </c>
      <c r="H1103" s="7">
        <v>4.2</v>
      </c>
      <c r="I1103" s="7" t="s">
        <v>718</v>
      </c>
    </row>
    <row r="1104" spans="1:9">
      <c r="A1104" s="7" t="s">
        <v>688</v>
      </c>
      <c r="B1104" s="7" t="s">
        <v>1038</v>
      </c>
      <c r="C1104" s="7">
        <v>2</v>
      </c>
      <c r="D1104" s="7" t="s">
        <v>446</v>
      </c>
      <c r="E1104" s="7" t="s">
        <v>3028</v>
      </c>
      <c r="F1104" s="7" t="s">
        <v>396</v>
      </c>
      <c r="G1104" s="7" t="s">
        <v>2892</v>
      </c>
      <c r="H1104" s="7">
        <v>4.2</v>
      </c>
      <c r="I1104" s="7" t="s">
        <v>718</v>
      </c>
    </row>
    <row r="1105" spans="1:9">
      <c r="A1105" s="7" t="s">
        <v>688</v>
      </c>
      <c r="B1105" s="7" t="s">
        <v>1038</v>
      </c>
      <c r="C1105" s="7">
        <v>2</v>
      </c>
      <c r="D1105" s="7" t="s">
        <v>446</v>
      </c>
      <c r="E1105" s="7" t="s">
        <v>3028</v>
      </c>
      <c r="F1105" s="7" t="s">
        <v>285</v>
      </c>
      <c r="G1105" s="7" t="s">
        <v>3037</v>
      </c>
      <c r="H1105" s="7">
        <v>4.2</v>
      </c>
      <c r="I1105" s="7" t="s">
        <v>718</v>
      </c>
    </row>
    <row r="1106" spans="1:9">
      <c r="A1106" s="7" t="s">
        <v>688</v>
      </c>
      <c r="B1106" s="7" t="s">
        <v>1038</v>
      </c>
      <c r="C1106" s="7">
        <v>2</v>
      </c>
      <c r="D1106" s="7" t="s">
        <v>446</v>
      </c>
      <c r="E1106" s="7" t="s">
        <v>3028</v>
      </c>
      <c r="F1106" s="7" t="s">
        <v>398</v>
      </c>
      <c r="G1106" s="7" t="s">
        <v>407</v>
      </c>
      <c r="H1106" s="7">
        <v>4.2</v>
      </c>
      <c r="I1106" s="7" t="s">
        <v>718</v>
      </c>
    </row>
    <row r="1107" spans="1:9">
      <c r="A1107" s="7" t="s">
        <v>688</v>
      </c>
      <c r="B1107" s="7" t="s">
        <v>1038</v>
      </c>
      <c r="C1107" s="7">
        <v>2</v>
      </c>
      <c r="D1107" s="7" t="s">
        <v>446</v>
      </c>
      <c r="E1107" s="7" t="s">
        <v>3028</v>
      </c>
      <c r="F1107" s="7" t="s">
        <v>399</v>
      </c>
      <c r="G1107" s="7" t="s">
        <v>2880</v>
      </c>
      <c r="H1107" s="7">
        <v>4.2</v>
      </c>
      <c r="I1107" s="7" t="s">
        <v>718</v>
      </c>
    </row>
    <row r="1108" spans="1:9">
      <c r="A1108" s="7" t="s">
        <v>688</v>
      </c>
      <c r="B1108" s="7" t="s">
        <v>1038</v>
      </c>
      <c r="C1108" s="7">
        <v>2</v>
      </c>
      <c r="D1108" s="7" t="s">
        <v>446</v>
      </c>
      <c r="E1108" s="7" t="s">
        <v>3028</v>
      </c>
      <c r="F1108" s="7" t="s">
        <v>399</v>
      </c>
      <c r="G1108" s="7" t="s">
        <v>3017</v>
      </c>
      <c r="H1108" s="7">
        <v>4.2</v>
      </c>
      <c r="I1108" s="7" t="s">
        <v>718</v>
      </c>
    </row>
    <row r="1109" spans="1:9">
      <c r="A1109" s="7" t="s">
        <v>688</v>
      </c>
      <c r="B1109" s="7" t="s">
        <v>1038</v>
      </c>
      <c r="C1109" s="7">
        <v>2</v>
      </c>
      <c r="D1109" s="7" t="s">
        <v>446</v>
      </c>
      <c r="E1109" s="7" t="s">
        <v>3028</v>
      </c>
      <c r="F1109" s="7" t="s">
        <v>3038</v>
      </c>
      <c r="G1109" s="7" t="s">
        <v>2700</v>
      </c>
      <c r="H1109" s="7">
        <v>4.2</v>
      </c>
      <c r="I1109" s="7" t="s">
        <v>718</v>
      </c>
    </row>
    <row r="1110" spans="1:9">
      <c r="A1110" s="7" t="s">
        <v>688</v>
      </c>
      <c r="B1110" s="7" t="s">
        <v>1038</v>
      </c>
      <c r="C1110" s="7">
        <v>2</v>
      </c>
      <c r="D1110" s="7" t="s">
        <v>446</v>
      </c>
      <c r="E1110" s="7" t="s">
        <v>3028</v>
      </c>
      <c r="F1110" s="7" t="s">
        <v>3039</v>
      </c>
      <c r="G1110" s="7" t="s">
        <v>408</v>
      </c>
      <c r="H1110" s="7">
        <v>4.2</v>
      </c>
      <c r="I1110" s="7" t="s">
        <v>718</v>
      </c>
    </row>
    <row r="1111" spans="1:9">
      <c r="A1111" s="7" t="s">
        <v>688</v>
      </c>
      <c r="B1111" s="7" t="s">
        <v>1038</v>
      </c>
      <c r="C1111" s="7">
        <v>2</v>
      </c>
      <c r="D1111" s="7" t="s">
        <v>446</v>
      </c>
      <c r="E1111" s="7" t="s">
        <v>3028</v>
      </c>
      <c r="F1111" s="7" t="s">
        <v>400</v>
      </c>
      <c r="G1111" s="7" t="s">
        <v>409</v>
      </c>
      <c r="H1111" s="7">
        <v>4.2</v>
      </c>
      <c r="I1111" s="7" t="s">
        <v>718</v>
      </c>
    </row>
    <row r="1112" spans="1:9">
      <c r="A1112" s="7" t="s">
        <v>688</v>
      </c>
      <c r="B1112" s="7" t="s">
        <v>1038</v>
      </c>
      <c r="C1112" s="7">
        <v>2</v>
      </c>
      <c r="D1112" s="7" t="s">
        <v>446</v>
      </c>
      <c r="E1112" s="7" t="s">
        <v>3028</v>
      </c>
      <c r="F1112" s="7" t="s">
        <v>1048</v>
      </c>
      <c r="G1112" s="7" t="s">
        <v>1050</v>
      </c>
      <c r="H1112" s="7">
        <v>4.2</v>
      </c>
      <c r="I1112" s="7" t="s">
        <v>718</v>
      </c>
    </row>
    <row r="1113" spans="1:9">
      <c r="A1113" s="7" t="s">
        <v>688</v>
      </c>
      <c r="B1113" s="7" t="s">
        <v>1038</v>
      </c>
      <c r="C1113" s="7">
        <v>2</v>
      </c>
      <c r="D1113" s="7" t="s">
        <v>446</v>
      </c>
      <c r="E1113" s="7" t="s">
        <v>3028</v>
      </c>
      <c r="F1113" s="7" t="s">
        <v>401</v>
      </c>
      <c r="G1113" s="7" t="s">
        <v>2890</v>
      </c>
      <c r="H1113" s="7">
        <v>4.2</v>
      </c>
      <c r="I1113" s="7" t="s">
        <v>718</v>
      </c>
    </row>
    <row r="1114" spans="1:9">
      <c r="A1114" s="7" t="s">
        <v>688</v>
      </c>
      <c r="B1114" s="7" t="s">
        <v>1038</v>
      </c>
      <c r="C1114" s="7">
        <v>2</v>
      </c>
      <c r="D1114" s="7" t="s">
        <v>446</v>
      </c>
      <c r="E1114" s="7" t="s">
        <v>3028</v>
      </c>
      <c r="F1114" s="7" t="s">
        <v>286</v>
      </c>
      <c r="G1114" s="7" t="s">
        <v>1043</v>
      </c>
      <c r="H1114" s="7">
        <v>4.2</v>
      </c>
      <c r="I1114" s="7" t="s">
        <v>718</v>
      </c>
    </row>
    <row r="1115" spans="1:9">
      <c r="A1115" s="7" t="s">
        <v>688</v>
      </c>
      <c r="B1115" s="7" t="s">
        <v>1038</v>
      </c>
      <c r="C1115" s="7">
        <v>2</v>
      </c>
      <c r="D1115" s="7" t="s">
        <v>446</v>
      </c>
      <c r="E1115" s="7" t="s">
        <v>3028</v>
      </c>
      <c r="F1115" s="7" t="s">
        <v>286</v>
      </c>
      <c r="G1115" s="7" t="s">
        <v>3017</v>
      </c>
      <c r="H1115" s="7">
        <v>4.2</v>
      </c>
      <c r="I1115" s="7" t="s">
        <v>718</v>
      </c>
    </row>
    <row r="1116" spans="1:9">
      <c r="A1116" s="7" t="s">
        <v>688</v>
      </c>
      <c r="B1116" s="7" t="s">
        <v>1038</v>
      </c>
      <c r="C1116" s="7">
        <v>2</v>
      </c>
      <c r="D1116" s="7" t="s">
        <v>446</v>
      </c>
      <c r="E1116" s="7" t="s">
        <v>3028</v>
      </c>
      <c r="F1116" s="7" t="s">
        <v>286</v>
      </c>
      <c r="G1116" s="7" t="s">
        <v>3018</v>
      </c>
      <c r="H1116" s="7">
        <v>4.2</v>
      </c>
      <c r="I1116" s="7" t="s">
        <v>718</v>
      </c>
    </row>
    <row r="1117" spans="1:9">
      <c r="A1117" s="7" t="s">
        <v>688</v>
      </c>
      <c r="B1117" s="7" t="s">
        <v>1038</v>
      </c>
      <c r="C1117" s="7">
        <v>2</v>
      </c>
      <c r="D1117" s="7" t="s">
        <v>446</v>
      </c>
      <c r="E1117" s="7" t="s">
        <v>3028</v>
      </c>
      <c r="F1117" s="7" t="s">
        <v>286</v>
      </c>
      <c r="G1117" s="7" t="s">
        <v>3027</v>
      </c>
      <c r="H1117" s="7">
        <v>4.2</v>
      </c>
      <c r="I1117" s="7" t="s">
        <v>718</v>
      </c>
    </row>
    <row r="1118" spans="1:9">
      <c r="A1118" s="7" t="s">
        <v>688</v>
      </c>
      <c r="B1118" s="7" t="s">
        <v>1038</v>
      </c>
      <c r="C1118" s="7">
        <v>2</v>
      </c>
      <c r="D1118" s="7" t="s">
        <v>446</v>
      </c>
      <c r="E1118" s="7" t="s">
        <v>3028</v>
      </c>
      <c r="F1118" s="7" t="s">
        <v>404</v>
      </c>
      <c r="G1118" s="7" t="s">
        <v>3040</v>
      </c>
      <c r="H1118" s="7">
        <v>4.2</v>
      </c>
      <c r="I1118" s="7" t="s">
        <v>718</v>
      </c>
    </row>
    <row r="1119" spans="1:9">
      <c r="A1119" s="7" t="s">
        <v>688</v>
      </c>
      <c r="B1119" s="7" t="s">
        <v>1038</v>
      </c>
      <c r="C1119" s="7">
        <v>2</v>
      </c>
      <c r="D1119" s="7" t="s">
        <v>446</v>
      </c>
      <c r="E1119" s="7" t="s">
        <v>3028</v>
      </c>
      <c r="F1119" s="7" t="s">
        <v>803</v>
      </c>
      <c r="G1119" s="7" t="s">
        <v>2700</v>
      </c>
      <c r="H1119" s="7">
        <v>5.7</v>
      </c>
      <c r="I1119" s="7" t="s">
        <v>718</v>
      </c>
    </row>
    <row r="1120" spans="1:9">
      <c r="A1120" s="7" t="s">
        <v>688</v>
      </c>
      <c r="B1120" s="7" t="s">
        <v>1038</v>
      </c>
      <c r="C1120" s="7">
        <v>2</v>
      </c>
      <c r="D1120" s="7" t="s">
        <v>446</v>
      </c>
      <c r="E1120" s="7" t="s">
        <v>3028</v>
      </c>
      <c r="F1120" s="7" t="s">
        <v>3041</v>
      </c>
      <c r="G1120" s="7" t="s">
        <v>3068</v>
      </c>
      <c r="H1120" s="7">
        <v>5.7</v>
      </c>
      <c r="I1120" s="7" t="s">
        <v>718</v>
      </c>
    </row>
    <row r="1121" spans="1:9">
      <c r="A1121" s="7" t="s">
        <v>688</v>
      </c>
      <c r="B1121" s="7" t="s">
        <v>1038</v>
      </c>
      <c r="C1121" s="7">
        <v>2</v>
      </c>
      <c r="D1121" s="7" t="s">
        <v>446</v>
      </c>
      <c r="E1121" s="7" t="s">
        <v>3028</v>
      </c>
      <c r="F1121" s="7" t="s">
        <v>3041</v>
      </c>
      <c r="G1121" s="7" t="s">
        <v>3042</v>
      </c>
      <c r="H1121" s="7">
        <v>5.7</v>
      </c>
      <c r="I1121" s="7" t="s">
        <v>718</v>
      </c>
    </row>
    <row r="1122" spans="1:9">
      <c r="A1122" s="7" t="s">
        <v>688</v>
      </c>
      <c r="B1122" s="7" t="s">
        <v>1038</v>
      </c>
      <c r="C1122" s="7">
        <v>2</v>
      </c>
      <c r="D1122" s="7" t="s">
        <v>446</v>
      </c>
      <c r="E1122" s="7" t="s">
        <v>3028</v>
      </c>
      <c r="F1122" s="7" t="s">
        <v>1249</v>
      </c>
      <c r="G1122" s="7" t="s">
        <v>3033</v>
      </c>
      <c r="H1122" s="7">
        <v>4.2</v>
      </c>
      <c r="I1122" s="7" t="s">
        <v>718</v>
      </c>
    </row>
    <row r="1123" spans="1:9">
      <c r="A1123" s="7" t="s">
        <v>688</v>
      </c>
      <c r="B1123" s="7" t="s">
        <v>1038</v>
      </c>
      <c r="C1123" s="7">
        <v>2</v>
      </c>
      <c r="D1123" s="7" t="s">
        <v>446</v>
      </c>
      <c r="E1123" s="7" t="s">
        <v>3028</v>
      </c>
      <c r="F1123" s="7" t="s">
        <v>405</v>
      </c>
      <c r="G1123" s="7" t="s">
        <v>415</v>
      </c>
      <c r="H1123" s="7">
        <v>4.7</v>
      </c>
      <c r="I1123" s="7" t="s">
        <v>718</v>
      </c>
    </row>
    <row r="1124" spans="1:9">
      <c r="A1124" s="7" t="s">
        <v>688</v>
      </c>
      <c r="B1124" s="7" t="s">
        <v>1038</v>
      </c>
      <c r="C1124" s="7">
        <v>3</v>
      </c>
      <c r="D1124" s="7" t="s">
        <v>445</v>
      </c>
      <c r="E1124" s="7" t="s">
        <v>3043</v>
      </c>
      <c r="F1124" s="7" t="s">
        <v>280</v>
      </c>
      <c r="G1124" s="7" t="s">
        <v>2879</v>
      </c>
      <c r="H1124" s="7">
        <v>4.2</v>
      </c>
      <c r="I1124" s="7" t="s">
        <v>718</v>
      </c>
    </row>
    <row r="1125" spans="1:9">
      <c r="A1125" s="7" t="s">
        <v>688</v>
      </c>
      <c r="B1125" s="7" t="s">
        <v>1038</v>
      </c>
      <c r="C1125" s="7">
        <v>3</v>
      </c>
      <c r="D1125" s="7" t="s">
        <v>445</v>
      </c>
      <c r="E1125" s="7" t="s">
        <v>3043</v>
      </c>
      <c r="F1125" s="7" t="s">
        <v>280</v>
      </c>
      <c r="G1125" s="7" t="s">
        <v>2880</v>
      </c>
      <c r="H1125" s="7">
        <v>4.2</v>
      </c>
      <c r="I1125" s="7" t="s">
        <v>718</v>
      </c>
    </row>
    <row r="1126" spans="1:9">
      <c r="A1126" s="7" t="s">
        <v>688</v>
      </c>
      <c r="B1126" s="7" t="s">
        <v>1038</v>
      </c>
      <c r="C1126" s="7">
        <v>3</v>
      </c>
      <c r="D1126" s="7" t="s">
        <v>445</v>
      </c>
      <c r="E1126" s="7" t="s">
        <v>3043</v>
      </c>
      <c r="F1126" s="7" t="s">
        <v>280</v>
      </c>
      <c r="G1126" s="7" t="s">
        <v>2881</v>
      </c>
      <c r="H1126" s="7">
        <v>4.2</v>
      </c>
      <c r="I1126" s="7" t="s">
        <v>718</v>
      </c>
    </row>
    <row r="1127" spans="1:9">
      <c r="A1127" s="7" t="s">
        <v>688</v>
      </c>
      <c r="B1127" s="7" t="s">
        <v>1038</v>
      </c>
      <c r="C1127" s="7">
        <v>3</v>
      </c>
      <c r="D1127" s="7" t="s">
        <v>445</v>
      </c>
      <c r="E1127" s="7" t="s">
        <v>3043</v>
      </c>
      <c r="F1127" s="7" t="s">
        <v>280</v>
      </c>
      <c r="G1127" s="7" t="s">
        <v>2882</v>
      </c>
      <c r="H1127" s="7">
        <v>4.2</v>
      </c>
      <c r="I1127" s="7" t="s">
        <v>718</v>
      </c>
    </row>
    <row r="1128" spans="1:9">
      <c r="A1128" s="7" t="s">
        <v>688</v>
      </c>
      <c r="B1128" s="7" t="s">
        <v>1038</v>
      </c>
      <c r="C1128" s="7">
        <v>3</v>
      </c>
      <c r="D1128" s="7" t="s">
        <v>445</v>
      </c>
      <c r="E1128" s="7" t="s">
        <v>3043</v>
      </c>
      <c r="F1128" s="7" t="s">
        <v>2883</v>
      </c>
      <c r="G1128" s="7" t="s">
        <v>2884</v>
      </c>
      <c r="H1128" s="7">
        <v>4.2</v>
      </c>
      <c r="I1128" s="7" t="s">
        <v>718</v>
      </c>
    </row>
    <row r="1129" spans="1:9">
      <c r="A1129" s="7" t="s">
        <v>688</v>
      </c>
      <c r="B1129" s="7" t="s">
        <v>1038</v>
      </c>
      <c r="C1129" s="7">
        <v>3</v>
      </c>
      <c r="D1129" s="7" t="s">
        <v>445</v>
      </c>
      <c r="E1129" s="7" t="s">
        <v>3043</v>
      </c>
      <c r="F1129" s="7" t="s">
        <v>279</v>
      </c>
      <c r="G1129" s="7" t="s">
        <v>2885</v>
      </c>
      <c r="H1129" s="7">
        <v>4.2</v>
      </c>
      <c r="I1129" s="7" t="s">
        <v>718</v>
      </c>
    </row>
    <row r="1130" spans="1:9">
      <c r="A1130" s="7" t="s">
        <v>688</v>
      </c>
      <c r="B1130" s="7" t="s">
        <v>1038</v>
      </c>
      <c r="C1130" s="7">
        <v>3</v>
      </c>
      <c r="D1130" s="7" t="s">
        <v>445</v>
      </c>
      <c r="E1130" s="7" t="s">
        <v>3043</v>
      </c>
      <c r="F1130" s="7" t="s">
        <v>279</v>
      </c>
      <c r="G1130" s="7" t="s">
        <v>2886</v>
      </c>
      <c r="H1130" s="7">
        <v>4.2</v>
      </c>
      <c r="I1130" s="7" t="s">
        <v>718</v>
      </c>
    </row>
    <row r="1131" spans="1:9">
      <c r="A1131" s="7" t="s">
        <v>688</v>
      </c>
      <c r="B1131" s="7" t="s">
        <v>1038</v>
      </c>
      <c r="C1131" s="7">
        <v>3</v>
      </c>
      <c r="D1131" s="7" t="s">
        <v>445</v>
      </c>
      <c r="E1131" s="7" t="s">
        <v>3043</v>
      </c>
      <c r="F1131" s="7" t="s">
        <v>279</v>
      </c>
      <c r="G1131" s="7" t="s">
        <v>2887</v>
      </c>
      <c r="H1131" s="7">
        <v>4.2</v>
      </c>
      <c r="I1131" s="7" t="s">
        <v>718</v>
      </c>
    </row>
    <row r="1132" spans="1:9">
      <c r="A1132" s="7" t="s">
        <v>688</v>
      </c>
      <c r="B1132" s="7" t="s">
        <v>1038</v>
      </c>
      <c r="C1132" s="7">
        <v>3</v>
      </c>
      <c r="D1132" s="7" t="s">
        <v>445</v>
      </c>
      <c r="E1132" s="7" t="s">
        <v>3043</v>
      </c>
      <c r="F1132" s="7" t="s">
        <v>279</v>
      </c>
      <c r="G1132" s="7" t="s">
        <v>2888</v>
      </c>
      <c r="H1132" s="7">
        <v>4.2</v>
      </c>
      <c r="I1132" s="7" t="s">
        <v>718</v>
      </c>
    </row>
    <row r="1133" spans="1:9">
      <c r="A1133" s="7" t="s">
        <v>688</v>
      </c>
      <c r="B1133" s="7" t="s">
        <v>1038</v>
      </c>
      <c r="C1133" s="7">
        <v>3</v>
      </c>
      <c r="D1133" s="7" t="s">
        <v>445</v>
      </c>
      <c r="E1133" s="7" t="s">
        <v>3043</v>
      </c>
      <c r="F1133" s="7" t="s">
        <v>279</v>
      </c>
      <c r="G1133" s="7" t="s">
        <v>2889</v>
      </c>
      <c r="H1133" s="7">
        <v>4.2</v>
      </c>
      <c r="I1133" s="7" t="s">
        <v>718</v>
      </c>
    </row>
    <row r="1134" spans="1:9">
      <c r="A1134" s="7" t="s">
        <v>688</v>
      </c>
      <c r="B1134" s="7" t="s">
        <v>1038</v>
      </c>
      <c r="C1134" s="7">
        <v>3</v>
      </c>
      <c r="D1134" s="7" t="s">
        <v>445</v>
      </c>
      <c r="E1134" s="7" t="s">
        <v>3043</v>
      </c>
      <c r="F1134" s="7" t="s">
        <v>396</v>
      </c>
      <c r="G1134" s="7" t="s">
        <v>2880</v>
      </c>
      <c r="H1134" s="7">
        <v>4.2</v>
      </c>
      <c r="I1134" s="7" t="s">
        <v>718</v>
      </c>
    </row>
    <row r="1135" spans="1:9">
      <c r="A1135" s="7" t="s">
        <v>688</v>
      </c>
      <c r="B1135" s="7" t="s">
        <v>1038</v>
      </c>
      <c r="C1135" s="7">
        <v>3</v>
      </c>
      <c r="D1135" s="7" t="s">
        <v>445</v>
      </c>
      <c r="E1135" s="7" t="s">
        <v>3043</v>
      </c>
      <c r="F1135" s="7" t="s">
        <v>396</v>
      </c>
      <c r="G1135" s="7" t="s">
        <v>2890</v>
      </c>
      <c r="H1135" s="7">
        <v>4.2</v>
      </c>
      <c r="I1135" s="7" t="s">
        <v>718</v>
      </c>
    </row>
    <row r="1136" spans="1:9">
      <c r="A1136" s="7" t="s">
        <v>688</v>
      </c>
      <c r="B1136" s="7" t="s">
        <v>1038</v>
      </c>
      <c r="C1136" s="7">
        <v>3</v>
      </c>
      <c r="D1136" s="7" t="s">
        <v>445</v>
      </c>
      <c r="E1136" s="7" t="s">
        <v>3043</v>
      </c>
      <c r="F1136" s="7" t="s">
        <v>396</v>
      </c>
      <c r="G1136" s="7" t="s">
        <v>2891</v>
      </c>
      <c r="H1136" s="7">
        <v>4.2</v>
      </c>
      <c r="I1136" s="7" t="s">
        <v>718</v>
      </c>
    </row>
    <row r="1137" spans="1:9">
      <c r="A1137" s="7" t="s">
        <v>688</v>
      </c>
      <c r="B1137" s="7" t="s">
        <v>1038</v>
      </c>
      <c r="C1137" s="7">
        <v>3</v>
      </c>
      <c r="D1137" s="7" t="s">
        <v>445</v>
      </c>
      <c r="E1137" s="7" t="s">
        <v>3043</v>
      </c>
      <c r="F1137" s="7" t="s">
        <v>396</v>
      </c>
      <c r="G1137" s="7" t="s">
        <v>2892</v>
      </c>
      <c r="H1137" s="7">
        <v>4.2</v>
      </c>
      <c r="I1137" s="7" t="s">
        <v>718</v>
      </c>
    </row>
    <row r="1138" spans="1:9">
      <c r="A1138" s="7" t="s">
        <v>688</v>
      </c>
      <c r="B1138" s="7" t="s">
        <v>1038</v>
      </c>
      <c r="C1138" s="7">
        <v>3</v>
      </c>
      <c r="D1138" s="7" t="s">
        <v>445</v>
      </c>
      <c r="E1138" s="7" t="s">
        <v>3043</v>
      </c>
      <c r="F1138" s="7" t="s">
        <v>2893</v>
      </c>
      <c r="G1138" s="7" t="s">
        <v>2700</v>
      </c>
      <c r="H1138" s="7">
        <v>4.2</v>
      </c>
      <c r="I1138" s="7" t="s">
        <v>718</v>
      </c>
    </row>
    <row r="1139" spans="1:9">
      <c r="A1139" s="7" t="s">
        <v>688</v>
      </c>
      <c r="B1139" s="7" t="s">
        <v>1038</v>
      </c>
      <c r="C1139" s="7">
        <v>3</v>
      </c>
      <c r="D1139" s="7" t="s">
        <v>445</v>
      </c>
      <c r="E1139" s="7" t="s">
        <v>3043</v>
      </c>
      <c r="F1139" s="7" t="s">
        <v>402</v>
      </c>
      <c r="G1139" s="7" t="s">
        <v>1044</v>
      </c>
      <c r="H1139" s="7">
        <v>4.2</v>
      </c>
      <c r="I1139" s="7" t="s">
        <v>718</v>
      </c>
    </row>
    <row r="1140" spans="1:9">
      <c r="A1140" s="7" t="s">
        <v>688</v>
      </c>
      <c r="B1140" s="7" t="s">
        <v>1038</v>
      </c>
      <c r="C1140" s="7">
        <v>3</v>
      </c>
      <c r="D1140" s="7" t="s">
        <v>445</v>
      </c>
      <c r="E1140" s="7" t="s">
        <v>3043</v>
      </c>
      <c r="F1140" s="7" t="s">
        <v>403</v>
      </c>
      <c r="G1140" s="7" t="s">
        <v>2894</v>
      </c>
      <c r="H1140" s="7">
        <v>4.2</v>
      </c>
      <c r="I1140" s="7" t="s">
        <v>718</v>
      </c>
    </row>
    <row r="1141" spans="1:9">
      <c r="A1141" s="7" t="s">
        <v>688</v>
      </c>
      <c r="B1141" s="7" t="s">
        <v>1038</v>
      </c>
      <c r="C1141" s="7">
        <v>3</v>
      </c>
      <c r="D1141" s="7" t="s">
        <v>445</v>
      </c>
      <c r="E1141" s="7" t="s">
        <v>3043</v>
      </c>
      <c r="F1141" s="7" t="s">
        <v>403</v>
      </c>
      <c r="G1141" s="7" t="s">
        <v>2881</v>
      </c>
      <c r="H1141" s="7">
        <v>4.2</v>
      </c>
      <c r="I1141" s="7" t="s">
        <v>718</v>
      </c>
    </row>
    <row r="1142" spans="1:9">
      <c r="A1142" s="7" t="s">
        <v>688</v>
      </c>
      <c r="B1142" s="7" t="s">
        <v>1038</v>
      </c>
      <c r="C1142" s="7">
        <v>3</v>
      </c>
      <c r="D1142" s="7" t="s">
        <v>445</v>
      </c>
      <c r="E1142" s="7" t="s">
        <v>3043</v>
      </c>
      <c r="F1142" s="7" t="s">
        <v>1049</v>
      </c>
      <c r="G1142" s="7" t="s">
        <v>2895</v>
      </c>
      <c r="H1142" s="7">
        <v>4.2</v>
      </c>
      <c r="I1142" s="7" t="s">
        <v>718</v>
      </c>
    </row>
    <row r="1143" spans="1:9">
      <c r="A1143" s="7" t="s">
        <v>688</v>
      </c>
      <c r="B1143" s="7" t="s">
        <v>1038</v>
      </c>
      <c r="C1143" s="7">
        <v>3</v>
      </c>
      <c r="D1143" s="7" t="s">
        <v>445</v>
      </c>
      <c r="E1143" s="7" t="s">
        <v>3043</v>
      </c>
      <c r="F1143" s="7" t="s">
        <v>2896</v>
      </c>
      <c r="G1143" s="7" t="s">
        <v>2897</v>
      </c>
      <c r="H1143" s="7">
        <v>4.2</v>
      </c>
      <c r="I1143" s="7" t="s">
        <v>718</v>
      </c>
    </row>
    <row r="1144" spans="1:9">
      <c r="A1144" s="7" t="s">
        <v>688</v>
      </c>
      <c r="B1144" s="7" t="s">
        <v>1038</v>
      </c>
      <c r="C1144" s="7">
        <v>4</v>
      </c>
      <c r="D1144" s="7" t="s">
        <v>3044</v>
      </c>
      <c r="E1144" s="7" t="s">
        <v>3045</v>
      </c>
      <c r="F1144" s="7" t="s">
        <v>1055</v>
      </c>
      <c r="G1144" s="7" t="s">
        <v>2840</v>
      </c>
      <c r="H1144" s="7">
        <v>4.7</v>
      </c>
      <c r="I1144" s="7" t="s">
        <v>718</v>
      </c>
    </row>
    <row r="1145" spans="1:9">
      <c r="A1145" s="7" t="s">
        <v>688</v>
      </c>
      <c r="B1145" s="7" t="s">
        <v>1038</v>
      </c>
      <c r="C1145" s="7">
        <v>4</v>
      </c>
      <c r="D1145" s="7" t="s">
        <v>3044</v>
      </c>
      <c r="E1145" s="7" t="s">
        <v>3045</v>
      </c>
      <c r="F1145" s="7" t="s">
        <v>1055</v>
      </c>
      <c r="G1145" s="7" t="s">
        <v>1123</v>
      </c>
      <c r="H1145" s="7">
        <v>4.7</v>
      </c>
      <c r="I1145" s="7" t="s">
        <v>718</v>
      </c>
    </row>
    <row r="1146" spans="1:9">
      <c r="A1146" s="7" t="s">
        <v>688</v>
      </c>
      <c r="B1146" s="7" t="s">
        <v>1038</v>
      </c>
      <c r="C1146" s="7">
        <v>4</v>
      </c>
      <c r="D1146" s="7" t="s">
        <v>3044</v>
      </c>
      <c r="E1146" s="7" t="s">
        <v>3045</v>
      </c>
      <c r="F1146" s="7" t="s">
        <v>1442</v>
      </c>
      <c r="G1146" s="7" t="s">
        <v>1346</v>
      </c>
      <c r="H1146" s="7">
        <v>4.7</v>
      </c>
      <c r="I1146" s="7" t="s">
        <v>718</v>
      </c>
    </row>
    <row r="1147" spans="1:9">
      <c r="A1147" s="7" t="s">
        <v>688</v>
      </c>
      <c r="B1147" s="7" t="s">
        <v>1038</v>
      </c>
      <c r="C1147" s="7">
        <v>4</v>
      </c>
      <c r="D1147" s="7" t="s">
        <v>3044</v>
      </c>
      <c r="E1147" s="7" t="s">
        <v>3045</v>
      </c>
      <c r="F1147" s="7" t="s">
        <v>1056</v>
      </c>
      <c r="G1147" s="7" t="s">
        <v>1124</v>
      </c>
      <c r="H1147" s="7">
        <v>4.7</v>
      </c>
      <c r="I1147" s="7" t="s">
        <v>718</v>
      </c>
    </row>
    <row r="1148" spans="1:9">
      <c r="A1148" s="7" t="s">
        <v>688</v>
      </c>
      <c r="B1148" s="7" t="s">
        <v>1038</v>
      </c>
      <c r="C1148" s="7">
        <v>4</v>
      </c>
      <c r="D1148" s="7" t="s">
        <v>3044</v>
      </c>
      <c r="E1148" s="7" t="s">
        <v>3045</v>
      </c>
      <c r="F1148" s="7" t="s">
        <v>1056</v>
      </c>
      <c r="G1148" s="7" t="s">
        <v>1125</v>
      </c>
      <c r="H1148" s="7">
        <v>4.7</v>
      </c>
      <c r="I1148" s="7" t="s">
        <v>718</v>
      </c>
    </row>
    <row r="1149" spans="1:9">
      <c r="A1149" s="7" t="s">
        <v>688</v>
      </c>
      <c r="B1149" s="7" t="s">
        <v>1038</v>
      </c>
      <c r="C1149" s="7">
        <v>4</v>
      </c>
      <c r="D1149" s="7" t="s">
        <v>3044</v>
      </c>
      <c r="E1149" s="7" t="s">
        <v>3045</v>
      </c>
      <c r="F1149" s="7" t="s">
        <v>1056</v>
      </c>
      <c r="G1149" s="7" t="s">
        <v>1126</v>
      </c>
      <c r="H1149" s="7">
        <v>4.7</v>
      </c>
      <c r="I1149" s="7" t="s">
        <v>718</v>
      </c>
    </row>
    <row r="1150" spans="1:9">
      <c r="A1150" s="7" t="s">
        <v>688</v>
      </c>
      <c r="B1150" s="7" t="s">
        <v>1038</v>
      </c>
      <c r="C1150" s="7">
        <v>4</v>
      </c>
      <c r="D1150" s="7" t="s">
        <v>3044</v>
      </c>
      <c r="E1150" s="7" t="s">
        <v>3045</v>
      </c>
      <c r="F1150" s="7" t="s">
        <v>385</v>
      </c>
      <c r="G1150" s="7" t="s">
        <v>2841</v>
      </c>
      <c r="H1150" s="7">
        <v>4.7</v>
      </c>
      <c r="I1150" s="7" t="s">
        <v>718</v>
      </c>
    </row>
    <row r="1151" spans="1:9">
      <c r="A1151" s="7" t="s">
        <v>688</v>
      </c>
      <c r="B1151" s="7" t="s">
        <v>1038</v>
      </c>
      <c r="C1151" s="7">
        <v>4</v>
      </c>
      <c r="D1151" s="7" t="s">
        <v>3044</v>
      </c>
      <c r="E1151" s="7" t="s">
        <v>3045</v>
      </c>
      <c r="F1151" s="7" t="s">
        <v>385</v>
      </c>
      <c r="G1151" s="7" t="s">
        <v>2842</v>
      </c>
      <c r="H1151" s="7">
        <v>4.7</v>
      </c>
      <c r="I1151" s="7" t="s">
        <v>718</v>
      </c>
    </row>
    <row r="1152" spans="1:9">
      <c r="A1152" s="7" t="s">
        <v>688</v>
      </c>
      <c r="B1152" s="7" t="s">
        <v>1038</v>
      </c>
      <c r="C1152" s="7">
        <v>4</v>
      </c>
      <c r="D1152" s="7" t="s">
        <v>3044</v>
      </c>
      <c r="E1152" s="7" t="s">
        <v>3045</v>
      </c>
      <c r="F1152" s="7" t="s">
        <v>2835</v>
      </c>
      <c r="G1152" s="7" t="s">
        <v>1057</v>
      </c>
      <c r="H1152" s="7">
        <v>4.5</v>
      </c>
      <c r="I1152" s="7" t="s">
        <v>718</v>
      </c>
    </row>
    <row r="1153" spans="1:9">
      <c r="A1153" s="7" t="s">
        <v>688</v>
      </c>
      <c r="B1153" s="7" t="s">
        <v>1038</v>
      </c>
      <c r="C1153" s="7">
        <v>4</v>
      </c>
      <c r="D1153" s="7" t="s">
        <v>3044</v>
      </c>
      <c r="E1153" s="7" t="s">
        <v>3045</v>
      </c>
      <c r="F1153" s="7" t="s">
        <v>1127</v>
      </c>
      <c r="G1153" s="7" t="s">
        <v>1128</v>
      </c>
      <c r="H1153" s="7">
        <v>4.7</v>
      </c>
      <c r="I1153" s="7" t="s">
        <v>718</v>
      </c>
    </row>
    <row r="1154" spans="1:9">
      <c r="A1154" s="7" t="s">
        <v>688</v>
      </c>
      <c r="B1154" s="7" t="s">
        <v>1038</v>
      </c>
      <c r="C1154" s="7">
        <v>4</v>
      </c>
      <c r="D1154" s="7" t="s">
        <v>3044</v>
      </c>
      <c r="E1154" s="7" t="s">
        <v>3045</v>
      </c>
      <c r="F1154" s="7" t="s">
        <v>1058</v>
      </c>
      <c r="G1154" s="7" t="s">
        <v>1129</v>
      </c>
      <c r="H1154" s="7">
        <v>4.7</v>
      </c>
      <c r="I1154" s="7" t="s">
        <v>718</v>
      </c>
    </row>
    <row r="1155" spans="1:9">
      <c r="A1155" s="7" t="s">
        <v>688</v>
      </c>
      <c r="B1155" s="7" t="s">
        <v>1038</v>
      </c>
      <c r="C1155" s="7">
        <v>4</v>
      </c>
      <c r="D1155" s="7" t="s">
        <v>3044</v>
      </c>
      <c r="E1155" s="7" t="s">
        <v>3045</v>
      </c>
      <c r="F1155" s="7" t="s">
        <v>1058</v>
      </c>
      <c r="G1155" s="7" t="s">
        <v>1130</v>
      </c>
      <c r="H1155" s="7">
        <v>4.7</v>
      </c>
      <c r="I1155" s="7" t="s">
        <v>718</v>
      </c>
    </row>
    <row r="1156" spans="1:9">
      <c r="A1156" s="7" t="s">
        <v>688</v>
      </c>
      <c r="B1156" s="7" t="s">
        <v>1038</v>
      </c>
      <c r="C1156" s="7">
        <v>4</v>
      </c>
      <c r="D1156" s="7" t="s">
        <v>3044</v>
      </c>
      <c r="E1156" s="7" t="s">
        <v>3045</v>
      </c>
      <c r="F1156" s="7" t="s">
        <v>1058</v>
      </c>
      <c r="G1156" s="7" t="s">
        <v>1131</v>
      </c>
      <c r="H1156" s="7">
        <v>4.7</v>
      </c>
      <c r="I1156" s="7" t="s">
        <v>718</v>
      </c>
    </row>
    <row r="1157" spans="1:9">
      <c r="A1157" s="7" t="s">
        <v>688</v>
      </c>
      <c r="B1157" s="7" t="s">
        <v>1038</v>
      </c>
      <c r="C1157" s="7">
        <v>4</v>
      </c>
      <c r="D1157" s="7" t="s">
        <v>3044</v>
      </c>
      <c r="E1157" s="7" t="s">
        <v>3045</v>
      </c>
      <c r="F1157" s="7" t="s">
        <v>1132</v>
      </c>
      <c r="G1157" s="7" t="s">
        <v>1133</v>
      </c>
      <c r="H1157" s="7">
        <v>4.7</v>
      </c>
      <c r="I1157" s="7" t="s">
        <v>718</v>
      </c>
    </row>
    <row r="1158" spans="1:9">
      <c r="A1158" s="7" t="s">
        <v>688</v>
      </c>
      <c r="B1158" s="7" t="s">
        <v>1038</v>
      </c>
      <c r="C1158" s="7">
        <v>4</v>
      </c>
      <c r="D1158" s="7" t="s">
        <v>3044</v>
      </c>
      <c r="E1158" s="7" t="s">
        <v>3045</v>
      </c>
      <c r="F1158" s="7" t="s">
        <v>2843</v>
      </c>
      <c r="G1158" s="7" t="s">
        <v>2844</v>
      </c>
      <c r="H1158" s="7">
        <v>4.7</v>
      </c>
      <c r="I1158" s="7" t="s">
        <v>718</v>
      </c>
    </row>
    <row r="1159" spans="1:9">
      <c r="A1159" s="7" t="s">
        <v>688</v>
      </c>
      <c r="B1159" s="7" t="s">
        <v>1038</v>
      </c>
      <c r="C1159" s="7">
        <v>4</v>
      </c>
      <c r="D1159" s="7" t="s">
        <v>3044</v>
      </c>
      <c r="E1159" s="7" t="s">
        <v>3045</v>
      </c>
      <c r="F1159" s="7" t="s">
        <v>1059</v>
      </c>
      <c r="G1159" s="7" t="s">
        <v>1060</v>
      </c>
      <c r="H1159" s="7">
        <v>4.7</v>
      </c>
      <c r="I1159" s="7" t="s">
        <v>718</v>
      </c>
    </row>
    <row r="1160" spans="1:9">
      <c r="A1160" s="7" t="s">
        <v>688</v>
      </c>
      <c r="B1160" s="7" t="s">
        <v>1038</v>
      </c>
      <c r="C1160" s="7">
        <v>4</v>
      </c>
      <c r="D1160" s="7" t="s">
        <v>3044</v>
      </c>
      <c r="E1160" s="7" t="s">
        <v>3045</v>
      </c>
      <c r="F1160" s="7" t="s">
        <v>1134</v>
      </c>
      <c r="G1160" s="7" t="s">
        <v>1135</v>
      </c>
      <c r="H1160" s="7">
        <v>4.7</v>
      </c>
      <c r="I1160" s="7" t="s">
        <v>718</v>
      </c>
    </row>
    <row r="1161" spans="1:9">
      <c r="A1161" s="7" t="s">
        <v>688</v>
      </c>
      <c r="B1161" s="7" t="s">
        <v>1038</v>
      </c>
      <c r="C1161" s="7">
        <v>4</v>
      </c>
      <c r="D1161" s="7" t="s">
        <v>3044</v>
      </c>
      <c r="E1161" s="7" t="s">
        <v>3045</v>
      </c>
      <c r="F1161" s="7" t="s">
        <v>1134</v>
      </c>
      <c r="G1161" s="7" t="s">
        <v>2845</v>
      </c>
      <c r="H1161" s="7">
        <v>4.7</v>
      </c>
      <c r="I1161" s="7" t="s">
        <v>718</v>
      </c>
    </row>
    <row r="1162" spans="1:9">
      <c r="A1162" s="7" t="s">
        <v>688</v>
      </c>
      <c r="B1162" s="7" t="s">
        <v>1038</v>
      </c>
      <c r="C1162" s="7">
        <v>4</v>
      </c>
      <c r="D1162" s="7" t="s">
        <v>3044</v>
      </c>
      <c r="E1162" s="7" t="s">
        <v>3045</v>
      </c>
      <c r="F1162" s="7" t="s">
        <v>2846</v>
      </c>
      <c r="G1162" s="7" t="s">
        <v>2847</v>
      </c>
      <c r="H1162" s="7">
        <v>4.7</v>
      </c>
      <c r="I1162" s="7" t="s">
        <v>718</v>
      </c>
    </row>
    <row r="1163" spans="1:9">
      <c r="A1163" s="7" t="s">
        <v>688</v>
      </c>
      <c r="B1163" s="7" t="s">
        <v>1038</v>
      </c>
      <c r="C1163" s="7">
        <v>4</v>
      </c>
      <c r="D1163" s="7" t="s">
        <v>3044</v>
      </c>
      <c r="E1163" s="7" t="s">
        <v>3045</v>
      </c>
      <c r="F1163" s="7" t="s">
        <v>1136</v>
      </c>
      <c r="G1163" s="7" t="s">
        <v>1137</v>
      </c>
      <c r="H1163" s="7">
        <v>4.7</v>
      </c>
      <c r="I1163" s="7" t="s">
        <v>718</v>
      </c>
    </row>
    <row r="1164" spans="1:9">
      <c r="A1164" s="7" t="s">
        <v>688</v>
      </c>
      <c r="B1164" s="7" t="s">
        <v>1038</v>
      </c>
      <c r="C1164" s="7">
        <v>4</v>
      </c>
      <c r="D1164" s="7" t="s">
        <v>3044</v>
      </c>
      <c r="E1164" s="7" t="s">
        <v>3045</v>
      </c>
      <c r="F1164" s="7" t="s">
        <v>1061</v>
      </c>
      <c r="G1164" s="7" t="s">
        <v>1138</v>
      </c>
      <c r="H1164" s="7">
        <v>4.7</v>
      </c>
      <c r="I1164" s="7" t="s">
        <v>718</v>
      </c>
    </row>
    <row r="1165" spans="1:9">
      <c r="A1165" s="7" t="s">
        <v>688</v>
      </c>
      <c r="B1165" s="7" t="s">
        <v>1038</v>
      </c>
      <c r="C1165" s="7">
        <v>4</v>
      </c>
      <c r="D1165" s="7" t="s">
        <v>3044</v>
      </c>
      <c r="E1165" s="7" t="s">
        <v>3045</v>
      </c>
      <c r="F1165" s="7" t="s">
        <v>1061</v>
      </c>
      <c r="G1165" s="7" t="s">
        <v>1889</v>
      </c>
      <c r="H1165" s="7">
        <v>4.7</v>
      </c>
      <c r="I1165" s="7" t="s">
        <v>718</v>
      </c>
    </row>
    <row r="1166" spans="1:9">
      <c r="A1166" s="7" t="s">
        <v>688</v>
      </c>
      <c r="B1166" s="7" t="s">
        <v>1038</v>
      </c>
      <c r="C1166" s="7">
        <v>4</v>
      </c>
      <c r="D1166" s="7" t="s">
        <v>3044</v>
      </c>
      <c r="E1166" s="7" t="s">
        <v>3045</v>
      </c>
      <c r="F1166" s="7" t="s">
        <v>2848</v>
      </c>
      <c r="G1166" s="7" t="s">
        <v>2849</v>
      </c>
      <c r="H1166" s="7">
        <v>4.7</v>
      </c>
      <c r="I1166" s="7" t="s">
        <v>718</v>
      </c>
    </row>
    <row r="1167" spans="1:9">
      <c r="A1167" s="7" t="s">
        <v>688</v>
      </c>
      <c r="B1167" s="7" t="s">
        <v>1038</v>
      </c>
      <c r="C1167" s="7">
        <v>4</v>
      </c>
      <c r="D1167" s="7" t="s">
        <v>3044</v>
      </c>
      <c r="E1167" s="7" t="s">
        <v>3045</v>
      </c>
      <c r="F1167" s="7" t="s">
        <v>1139</v>
      </c>
      <c r="G1167" s="7" t="s">
        <v>1140</v>
      </c>
      <c r="H1167" s="7">
        <v>4.7</v>
      </c>
      <c r="I1167" s="7" t="s">
        <v>718</v>
      </c>
    </row>
    <row r="1168" spans="1:9">
      <c r="A1168" s="7" t="s">
        <v>688</v>
      </c>
      <c r="B1168" s="7" t="s">
        <v>1038</v>
      </c>
      <c r="C1168" s="7">
        <v>4</v>
      </c>
      <c r="D1168" s="7" t="s">
        <v>3044</v>
      </c>
      <c r="E1168" s="7" t="s">
        <v>3045</v>
      </c>
      <c r="F1168" s="7" t="s">
        <v>1062</v>
      </c>
      <c r="G1168" s="7" t="s">
        <v>1044</v>
      </c>
      <c r="H1168" s="7">
        <v>4.7</v>
      </c>
      <c r="I1168" s="7" t="s">
        <v>718</v>
      </c>
    </row>
    <row r="1169" spans="1:9">
      <c r="A1169" s="7" t="s">
        <v>688</v>
      </c>
      <c r="B1169" s="7" t="s">
        <v>1038</v>
      </c>
      <c r="C1169" s="7">
        <v>4</v>
      </c>
      <c r="D1169" s="7" t="s">
        <v>3044</v>
      </c>
      <c r="E1169" s="7" t="s">
        <v>3045</v>
      </c>
      <c r="F1169" s="7" t="s">
        <v>1062</v>
      </c>
      <c r="G1169" s="7" t="s">
        <v>1141</v>
      </c>
      <c r="H1169" s="7">
        <v>4.7</v>
      </c>
      <c r="I1169" s="7" t="s">
        <v>718</v>
      </c>
    </row>
    <row r="1170" spans="1:9">
      <c r="A1170" s="7" t="s">
        <v>688</v>
      </c>
      <c r="B1170" s="7" t="s">
        <v>1038</v>
      </c>
      <c r="C1170" s="7">
        <v>4</v>
      </c>
      <c r="D1170" s="7" t="s">
        <v>3044</v>
      </c>
      <c r="E1170" s="7" t="s">
        <v>3045</v>
      </c>
      <c r="F1170" s="7" t="s">
        <v>1063</v>
      </c>
      <c r="G1170" s="7" t="s">
        <v>1143</v>
      </c>
      <c r="H1170" s="7">
        <v>4.7</v>
      </c>
      <c r="I1170" s="7" t="s">
        <v>718</v>
      </c>
    </row>
    <row r="1171" spans="1:9">
      <c r="A1171" s="7" t="s">
        <v>688</v>
      </c>
      <c r="B1171" s="7" t="s">
        <v>1038</v>
      </c>
      <c r="C1171" s="7">
        <v>4</v>
      </c>
      <c r="D1171" s="7" t="s">
        <v>3044</v>
      </c>
      <c r="E1171" s="7" t="s">
        <v>3045</v>
      </c>
      <c r="F1171" s="7" t="s">
        <v>1063</v>
      </c>
      <c r="G1171" s="7" t="s">
        <v>1142</v>
      </c>
      <c r="H1171" s="7">
        <v>4.7</v>
      </c>
      <c r="I1171" s="7" t="s">
        <v>718</v>
      </c>
    </row>
    <row r="1172" spans="1:9">
      <c r="A1172" s="7" t="s">
        <v>688</v>
      </c>
      <c r="B1172" s="7" t="s">
        <v>1038</v>
      </c>
      <c r="C1172" s="7">
        <v>4</v>
      </c>
      <c r="D1172" s="7" t="s">
        <v>3044</v>
      </c>
      <c r="E1172" s="7" t="s">
        <v>3045</v>
      </c>
      <c r="F1172" s="7" t="s">
        <v>1070</v>
      </c>
      <c r="G1172" s="7" t="s">
        <v>1144</v>
      </c>
      <c r="H1172" s="7">
        <v>4.7</v>
      </c>
      <c r="I1172" s="7" t="s">
        <v>718</v>
      </c>
    </row>
    <row r="1173" spans="1:9">
      <c r="A1173" s="7" t="s">
        <v>688</v>
      </c>
      <c r="B1173" s="7" t="s">
        <v>1038</v>
      </c>
      <c r="C1173" s="7">
        <v>4</v>
      </c>
      <c r="D1173" s="7" t="s">
        <v>3044</v>
      </c>
      <c r="E1173" s="7" t="s">
        <v>3045</v>
      </c>
      <c r="F1173" s="7" t="s">
        <v>1071</v>
      </c>
      <c r="G1173" s="7" t="s">
        <v>1145</v>
      </c>
      <c r="H1173" s="7">
        <v>4.7</v>
      </c>
      <c r="I1173" s="7" t="s">
        <v>718</v>
      </c>
    </row>
    <row r="1174" spans="1:9">
      <c r="A1174" s="7" t="s">
        <v>688</v>
      </c>
      <c r="B1174" s="7" t="s">
        <v>1038</v>
      </c>
      <c r="C1174" s="7">
        <v>4</v>
      </c>
      <c r="D1174" s="7" t="s">
        <v>3044</v>
      </c>
      <c r="E1174" s="7" t="s">
        <v>3045</v>
      </c>
      <c r="F1174" s="7" t="s">
        <v>1071</v>
      </c>
      <c r="G1174" s="7" t="s">
        <v>1146</v>
      </c>
      <c r="H1174" s="7">
        <v>4.7</v>
      </c>
      <c r="I1174" s="7" t="s">
        <v>718</v>
      </c>
    </row>
    <row r="1175" spans="1:9">
      <c r="A1175" s="7" t="s">
        <v>688</v>
      </c>
      <c r="B1175" s="7" t="s">
        <v>1038</v>
      </c>
      <c r="C1175" s="7">
        <v>4</v>
      </c>
      <c r="D1175" s="7" t="s">
        <v>3044</v>
      </c>
      <c r="E1175" s="7" t="s">
        <v>3045</v>
      </c>
      <c r="F1175" s="7" t="s">
        <v>1072</v>
      </c>
      <c r="G1175" s="7" t="s">
        <v>1147</v>
      </c>
      <c r="H1175" s="7">
        <v>4.7</v>
      </c>
      <c r="I1175" s="7" t="s">
        <v>718</v>
      </c>
    </row>
    <row r="1176" spans="1:9">
      <c r="A1176" s="7" t="s">
        <v>688</v>
      </c>
      <c r="B1176" s="7" t="s">
        <v>1038</v>
      </c>
      <c r="C1176" s="7">
        <v>4</v>
      </c>
      <c r="D1176" s="7" t="s">
        <v>3044</v>
      </c>
      <c r="E1176" s="7" t="s">
        <v>3045</v>
      </c>
      <c r="F1176" s="7" t="s">
        <v>2695</v>
      </c>
      <c r="G1176" s="7" t="s">
        <v>2698</v>
      </c>
      <c r="H1176" s="7">
        <v>4.7</v>
      </c>
      <c r="I1176" s="7" t="s">
        <v>718</v>
      </c>
    </row>
    <row r="1177" spans="1:9">
      <c r="A1177" s="7" t="s">
        <v>688</v>
      </c>
      <c r="B1177" s="7" t="s">
        <v>1038</v>
      </c>
      <c r="C1177" s="7">
        <v>4</v>
      </c>
      <c r="D1177" s="7" t="s">
        <v>3044</v>
      </c>
      <c r="E1177" s="7" t="s">
        <v>3045</v>
      </c>
      <c r="F1177" s="7" t="s">
        <v>2695</v>
      </c>
      <c r="G1177" s="7" t="s">
        <v>2697</v>
      </c>
      <c r="H1177" s="7">
        <v>4.7</v>
      </c>
      <c r="I1177" s="7" t="s">
        <v>718</v>
      </c>
    </row>
    <row r="1178" spans="1:9">
      <c r="A1178" s="7" t="s">
        <v>688</v>
      </c>
      <c r="B1178" s="7" t="s">
        <v>1038</v>
      </c>
      <c r="C1178" s="7">
        <v>4</v>
      </c>
      <c r="D1178" s="7" t="s">
        <v>3044</v>
      </c>
      <c r="E1178" s="7" t="s">
        <v>3045</v>
      </c>
      <c r="F1178" s="7" t="s">
        <v>2695</v>
      </c>
      <c r="G1178" s="7" t="s">
        <v>2696</v>
      </c>
      <c r="H1178" s="7">
        <v>4.7</v>
      </c>
      <c r="I1178" s="7" t="s">
        <v>718</v>
      </c>
    </row>
    <row r="1179" spans="1:9">
      <c r="A1179" s="7" t="s">
        <v>688</v>
      </c>
      <c r="B1179" s="7" t="s">
        <v>1038</v>
      </c>
      <c r="C1179" s="7">
        <v>4</v>
      </c>
      <c r="D1179" s="7" t="s">
        <v>3044</v>
      </c>
      <c r="E1179" s="7" t="s">
        <v>3045</v>
      </c>
      <c r="F1179" s="7" t="s">
        <v>2695</v>
      </c>
      <c r="G1179" s="7" t="s">
        <v>2699</v>
      </c>
      <c r="H1179" s="7">
        <v>4.7</v>
      </c>
      <c r="I1179" s="7" t="s">
        <v>718</v>
      </c>
    </row>
    <row r="1180" spans="1:9">
      <c r="A1180" s="7" t="s">
        <v>688</v>
      </c>
      <c r="B1180" s="7" t="s">
        <v>1038</v>
      </c>
      <c r="C1180" s="7">
        <v>4</v>
      </c>
      <c r="D1180" s="7" t="s">
        <v>3044</v>
      </c>
      <c r="E1180" s="7" t="s">
        <v>3045</v>
      </c>
      <c r="F1180" s="7" t="s">
        <v>1443</v>
      </c>
      <c r="G1180" s="7" t="s">
        <v>1074</v>
      </c>
      <c r="H1180" s="7">
        <v>4.7</v>
      </c>
      <c r="I1180" s="7" t="s">
        <v>718</v>
      </c>
    </row>
    <row r="1181" spans="1:9">
      <c r="A1181" s="7" t="s">
        <v>688</v>
      </c>
      <c r="B1181" s="7" t="s">
        <v>1038</v>
      </c>
      <c r="C1181" s="7">
        <v>4</v>
      </c>
      <c r="D1181" s="7" t="s">
        <v>3044</v>
      </c>
      <c r="E1181" s="7" t="s">
        <v>3045</v>
      </c>
      <c r="F1181" s="7" t="s">
        <v>1443</v>
      </c>
      <c r="G1181" s="7" t="s">
        <v>1073</v>
      </c>
      <c r="H1181" s="7">
        <v>4.7</v>
      </c>
      <c r="I1181" s="7" t="s">
        <v>718</v>
      </c>
    </row>
    <row r="1182" spans="1:9">
      <c r="A1182" s="7" t="s">
        <v>688</v>
      </c>
      <c r="B1182" s="7" t="s">
        <v>1038</v>
      </c>
      <c r="C1182" s="7">
        <v>4</v>
      </c>
      <c r="D1182" s="7" t="s">
        <v>3044</v>
      </c>
      <c r="E1182" s="7" t="s">
        <v>3045</v>
      </c>
      <c r="F1182" s="7" t="s">
        <v>2850</v>
      </c>
      <c r="G1182" s="7" t="s">
        <v>1053</v>
      </c>
      <c r="H1182" s="7">
        <v>4.7</v>
      </c>
      <c r="I1182" s="7" t="s">
        <v>718</v>
      </c>
    </row>
    <row r="1183" spans="1:9">
      <c r="A1183" s="7" t="s">
        <v>688</v>
      </c>
      <c r="B1183" s="7" t="s">
        <v>1038</v>
      </c>
      <c r="C1183" s="7">
        <v>4</v>
      </c>
      <c r="D1183" s="7" t="s">
        <v>3044</v>
      </c>
      <c r="E1183" s="7" t="s">
        <v>3045</v>
      </c>
      <c r="F1183" s="7" t="s">
        <v>1444</v>
      </c>
      <c r="G1183" s="7" t="s">
        <v>1075</v>
      </c>
      <c r="H1183" s="7">
        <v>4.7</v>
      </c>
      <c r="I1183" s="7" t="s">
        <v>718</v>
      </c>
    </row>
    <row r="1184" spans="1:9">
      <c r="A1184" s="7" t="s">
        <v>688</v>
      </c>
      <c r="B1184" s="7" t="s">
        <v>1038</v>
      </c>
      <c r="C1184" s="7">
        <v>4</v>
      </c>
      <c r="D1184" s="7" t="s">
        <v>3044</v>
      </c>
      <c r="E1184" s="7" t="s">
        <v>3045</v>
      </c>
      <c r="F1184" s="7" t="s">
        <v>1444</v>
      </c>
      <c r="G1184" s="7" t="s">
        <v>1076</v>
      </c>
      <c r="H1184" s="7">
        <v>4.7</v>
      </c>
      <c r="I1184" s="7" t="s">
        <v>718</v>
      </c>
    </row>
    <row r="1185" spans="1:9">
      <c r="A1185" s="7" t="s">
        <v>688</v>
      </c>
      <c r="B1185" s="7" t="s">
        <v>1038</v>
      </c>
      <c r="C1185" s="7">
        <v>4</v>
      </c>
      <c r="D1185" s="7" t="s">
        <v>3044</v>
      </c>
      <c r="E1185" s="7" t="s">
        <v>3045</v>
      </c>
      <c r="F1185" s="7" t="s">
        <v>1445</v>
      </c>
      <c r="G1185" s="7" t="s">
        <v>1885</v>
      </c>
      <c r="H1185" s="7">
        <v>4.7</v>
      </c>
      <c r="I1185" s="7" t="s">
        <v>718</v>
      </c>
    </row>
    <row r="1186" spans="1:9">
      <c r="A1186" s="7" t="s">
        <v>688</v>
      </c>
      <c r="B1186" s="7" t="s">
        <v>1038</v>
      </c>
      <c r="C1186" s="7">
        <v>4</v>
      </c>
      <c r="D1186" s="7" t="s">
        <v>3044</v>
      </c>
      <c r="E1186" s="7" t="s">
        <v>3045</v>
      </c>
      <c r="F1186" s="7" t="s">
        <v>1077</v>
      </c>
      <c r="G1186" s="7" t="s">
        <v>1886</v>
      </c>
      <c r="H1186" s="7">
        <v>4.7</v>
      </c>
      <c r="I1186" s="7" t="s">
        <v>718</v>
      </c>
    </row>
    <row r="1187" spans="1:9">
      <c r="A1187" s="7" t="s">
        <v>688</v>
      </c>
      <c r="B1187" s="7" t="s">
        <v>1038</v>
      </c>
      <c r="C1187" s="7">
        <v>4</v>
      </c>
      <c r="D1187" s="7" t="s">
        <v>3044</v>
      </c>
      <c r="E1187" s="7" t="s">
        <v>3045</v>
      </c>
      <c r="F1187" s="7" t="s">
        <v>1077</v>
      </c>
      <c r="G1187" s="7" t="s">
        <v>1887</v>
      </c>
      <c r="H1187" s="7">
        <v>4.7</v>
      </c>
      <c r="I1187" s="7" t="s">
        <v>718</v>
      </c>
    </row>
    <row r="1188" spans="1:9">
      <c r="A1188" s="7" t="s">
        <v>688</v>
      </c>
      <c r="B1188" s="7" t="s">
        <v>1038</v>
      </c>
      <c r="C1188" s="7">
        <v>4</v>
      </c>
      <c r="D1188" s="7" t="s">
        <v>3044</v>
      </c>
      <c r="E1188" s="7" t="s">
        <v>3045</v>
      </c>
      <c r="F1188" s="7" t="s">
        <v>1077</v>
      </c>
      <c r="G1188" s="7" t="s">
        <v>1888</v>
      </c>
      <c r="H1188" s="7">
        <v>4.7</v>
      </c>
      <c r="I1188" s="7" t="s">
        <v>718</v>
      </c>
    </row>
    <row r="1189" spans="1:9">
      <c r="A1189" s="7" t="s">
        <v>688</v>
      </c>
      <c r="B1189" s="7" t="s">
        <v>1038</v>
      </c>
      <c r="C1189" s="7">
        <v>4</v>
      </c>
      <c r="D1189" s="7" t="s">
        <v>3044</v>
      </c>
      <c r="E1189" s="7" t="s">
        <v>3045</v>
      </c>
      <c r="F1189" s="7" t="s">
        <v>1077</v>
      </c>
      <c r="G1189" s="7" t="s">
        <v>1078</v>
      </c>
      <c r="H1189" s="7">
        <v>4.7</v>
      </c>
      <c r="I1189" s="7" t="s">
        <v>718</v>
      </c>
    </row>
    <row r="1190" spans="1:9">
      <c r="A1190" s="7" t="s">
        <v>688</v>
      </c>
      <c r="B1190" s="7" t="s">
        <v>1038</v>
      </c>
      <c r="C1190" s="7">
        <v>4</v>
      </c>
      <c r="D1190" s="7" t="s">
        <v>3044</v>
      </c>
      <c r="E1190" s="7" t="s">
        <v>3045</v>
      </c>
      <c r="F1190" s="7" t="s">
        <v>1079</v>
      </c>
      <c r="G1190" s="7" t="s">
        <v>1080</v>
      </c>
      <c r="H1190" s="7">
        <v>4.7</v>
      </c>
      <c r="I1190" s="7" t="s">
        <v>718</v>
      </c>
    </row>
    <row r="1191" spans="1:9">
      <c r="A1191" s="7" t="s">
        <v>688</v>
      </c>
      <c r="B1191" s="7" t="s">
        <v>1038</v>
      </c>
      <c r="C1191" s="7">
        <v>4</v>
      </c>
      <c r="D1191" s="7" t="s">
        <v>3044</v>
      </c>
      <c r="E1191" s="7" t="s">
        <v>3045</v>
      </c>
      <c r="F1191" s="7" t="s">
        <v>1446</v>
      </c>
      <c r="G1191" s="7" t="s">
        <v>1081</v>
      </c>
      <c r="H1191" s="7">
        <v>4.7</v>
      </c>
      <c r="I1191" s="7" t="s">
        <v>718</v>
      </c>
    </row>
    <row r="1192" spans="1:9">
      <c r="A1192" s="7" t="s">
        <v>688</v>
      </c>
      <c r="B1192" s="7" t="s">
        <v>1038</v>
      </c>
      <c r="C1192" s="7">
        <v>4</v>
      </c>
      <c r="D1192" s="7" t="s">
        <v>3044</v>
      </c>
      <c r="E1192" s="7" t="s">
        <v>3045</v>
      </c>
      <c r="F1192" s="7" t="s">
        <v>1446</v>
      </c>
      <c r="G1192" s="7" t="s">
        <v>1082</v>
      </c>
      <c r="H1192" s="7">
        <v>4.7</v>
      </c>
      <c r="I1192" s="7" t="s">
        <v>718</v>
      </c>
    </row>
    <row r="1193" spans="1:9">
      <c r="A1193" s="7" t="s">
        <v>688</v>
      </c>
      <c r="B1193" s="7" t="s">
        <v>1038</v>
      </c>
      <c r="C1193" s="7">
        <v>4</v>
      </c>
      <c r="D1193" s="7" t="s">
        <v>3044</v>
      </c>
      <c r="E1193" s="7" t="s">
        <v>3045</v>
      </c>
      <c r="F1193" s="7" t="s">
        <v>1446</v>
      </c>
      <c r="G1193" s="7" t="s">
        <v>1083</v>
      </c>
      <c r="H1193" s="7">
        <v>4.7</v>
      </c>
      <c r="I1193" s="7" t="s">
        <v>718</v>
      </c>
    </row>
    <row r="1194" spans="1:9">
      <c r="A1194" s="7" t="s">
        <v>688</v>
      </c>
      <c r="B1194" s="7" t="s">
        <v>1038</v>
      </c>
      <c r="C1194" s="7">
        <v>4</v>
      </c>
      <c r="D1194" s="7" t="s">
        <v>3044</v>
      </c>
      <c r="E1194" s="7" t="s">
        <v>3045</v>
      </c>
      <c r="F1194" s="7" t="s">
        <v>1084</v>
      </c>
      <c r="G1194" s="7" t="s">
        <v>1085</v>
      </c>
      <c r="H1194" s="7">
        <v>4.5</v>
      </c>
      <c r="I1194" s="7" t="s">
        <v>718</v>
      </c>
    </row>
    <row r="1195" spans="1:9">
      <c r="A1195" s="7" t="s">
        <v>688</v>
      </c>
      <c r="B1195" s="7" t="s">
        <v>1038</v>
      </c>
      <c r="C1195" s="7">
        <v>4</v>
      </c>
      <c r="D1195" s="7" t="s">
        <v>3044</v>
      </c>
      <c r="E1195" s="7" t="s">
        <v>3045</v>
      </c>
      <c r="F1195" s="7" t="s">
        <v>1084</v>
      </c>
      <c r="G1195" s="7" t="s">
        <v>1086</v>
      </c>
      <c r="H1195" s="7">
        <v>4.5</v>
      </c>
      <c r="I1195" s="7" t="s">
        <v>718</v>
      </c>
    </row>
    <row r="1196" spans="1:9">
      <c r="A1196" s="7" t="s">
        <v>688</v>
      </c>
      <c r="B1196" s="7" t="s">
        <v>1038</v>
      </c>
      <c r="C1196" s="7">
        <v>4</v>
      </c>
      <c r="D1196" s="7" t="s">
        <v>3044</v>
      </c>
      <c r="E1196" s="7" t="s">
        <v>3045</v>
      </c>
      <c r="F1196" s="7" t="s">
        <v>1084</v>
      </c>
      <c r="G1196" s="7" t="s">
        <v>1087</v>
      </c>
      <c r="H1196" s="7">
        <v>4.5</v>
      </c>
      <c r="I1196" s="7" t="s">
        <v>718</v>
      </c>
    </row>
    <row r="1197" spans="1:9">
      <c r="A1197" s="7" t="s">
        <v>688</v>
      </c>
      <c r="B1197" s="7" t="s">
        <v>1038</v>
      </c>
      <c r="C1197" s="7">
        <v>4</v>
      </c>
      <c r="D1197" s="7" t="s">
        <v>3044</v>
      </c>
      <c r="E1197" s="7" t="s">
        <v>3045</v>
      </c>
      <c r="F1197" s="7" t="s">
        <v>1084</v>
      </c>
      <c r="G1197" s="7" t="s">
        <v>1088</v>
      </c>
      <c r="H1197" s="7">
        <v>4.5</v>
      </c>
      <c r="I1197" s="7" t="s">
        <v>718</v>
      </c>
    </row>
    <row r="1198" spans="1:9">
      <c r="A1198" s="7" t="s">
        <v>688</v>
      </c>
      <c r="B1198" s="7" t="s">
        <v>1038</v>
      </c>
      <c r="C1198" s="7">
        <v>4</v>
      </c>
      <c r="D1198" s="7" t="s">
        <v>3044</v>
      </c>
      <c r="E1198" s="7" t="s">
        <v>3045</v>
      </c>
      <c r="F1198" s="7" t="s">
        <v>1089</v>
      </c>
      <c r="G1198" s="7" t="s">
        <v>1140</v>
      </c>
      <c r="H1198" s="7">
        <v>4.5</v>
      </c>
      <c r="I1198" s="7" t="s">
        <v>718</v>
      </c>
    </row>
    <row r="1199" spans="1:9">
      <c r="A1199" s="7" t="s">
        <v>688</v>
      </c>
      <c r="B1199" s="7" t="s">
        <v>1038</v>
      </c>
      <c r="C1199" s="7">
        <v>4</v>
      </c>
      <c r="D1199" s="7" t="s">
        <v>3044</v>
      </c>
      <c r="E1199" s="7" t="s">
        <v>3045</v>
      </c>
      <c r="F1199" s="7" t="s">
        <v>1090</v>
      </c>
      <c r="G1199" s="7" t="s">
        <v>1091</v>
      </c>
      <c r="H1199" s="7">
        <v>4.5</v>
      </c>
      <c r="I1199" s="7" t="s">
        <v>718</v>
      </c>
    </row>
    <row r="1200" spans="1:9">
      <c r="A1200" s="7" t="s">
        <v>688</v>
      </c>
      <c r="B1200" s="7" t="s">
        <v>1038</v>
      </c>
      <c r="C1200" s="7">
        <v>4</v>
      </c>
      <c r="D1200" s="7" t="s">
        <v>3044</v>
      </c>
      <c r="E1200" s="7" t="s">
        <v>3045</v>
      </c>
      <c r="F1200" s="7" t="s">
        <v>2851</v>
      </c>
      <c r="G1200" s="7" t="s">
        <v>2852</v>
      </c>
      <c r="H1200" s="7">
        <v>4.7</v>
      </c>
      <c r="I1200" s="7" t="s">
        <v>718</v>
      </c>
    </row>
    <row r="1201" spans="1:9">
      <c r="A1201" s="7" t="s">
        <v>688</v>
      </c>
      <c r="B1201" s="7" t="s">
        <v>1038</v>
      </c>
      <c r="C1201" s="7">
        <v>4</v>
      </c>
      <c r="D1201" s="7" t="s">
        <v>3044</v>
      </c>
      <c r="E1201" s="7" t="s">
        <v>3045</v>
      </c>
      <c r="F1201" s="7" t="s">
        <v>1092</v>
      </c>
      <c r="G1201" s="7" t="s">
        <v>1093</v>
      </c>
      <c r="H1201" s="7">
        <v>4.7</v>
      </c>
      <c r="I1201" s="7" t="s">
        <v>718</v>
      </c>
    </row>
    <row r="1202" spans="1:9">
      <c r="A1202" s="7" t="s">
        <v>688</v>
      </c>
      <c r="B1202" s="7" t="s">
        <v>1038</v>
      </c>
      <c r="C1202" s="7">
        <v>4</v>
      </c>
      <c r="D1202" s="7" t="s">
        <v>3044</v>
      </c>
      <c r="E1202" s="7" t="s">
        <v>3045</v>
      </c>
      <c r="F1202" s="7" t="s">
        <v>1148</v>
      </c>
      <c r="G1202" s="7" t="s">
        <v>1149</v>
      </c>
      <c r="H1202" s="7">
        <v>4.7</v>
      </c>
      <c r="I1202" s="7" t="s">
        <v>718</v>
      </c>
    </row>
    <row r="1203" spans="1:9">
      <c r="A1203" s="7" t="s">
        <v>688</v>
      </c>
      <c r="B1203" s="7" t="s">
        <v>1038</v>
      </c>
      <c r="C1203" s="7">
        <v>4</v>
      </c>
      <c r="D1203" s="7" t="s">
        <v>3044</v>
      </c>
      <c r="E1203" s="7" t="s">
        <v>3045</v>
      </c>
      <c r="F1203" s="7" t="s">
        <v>2853</v>
      </c>
      <c r="G1203" s="7" t="s">
        <v>2854</v>
      </c>
      <c r="H1203" s="7">
        <v>4.7</v>
      </c>
      <c r="I1203" s="7" t="s">
        <v>718</v>
      </c>
    </row>
    <row r="1204" spans="1:9">
      <c r="A1204" s="7" t="s">
        <v>688</v>
      </c>
      <c r="B1204" s="7" t="s">
        <v>1038</v>
      </c>
      <c r="C1204" s="7">
        <v>4</v>
      </c>
      <c r="D1204" s="7" t="s">
        <v>3044</v>
      </c>
      <c r="E1204" s="7" t="s">
        <v>3045</v>
      </c>
      <c r="F1204" s="7" t="s">
        <v>1094</v>
      </c>
      <c r="G1204" s="7" t="s">
        <v>1150</v>
      </c>
      <c r="H1204" s="7">
        <v>4.7</v>
      </c>
      <c r="I1204" s="7" t="s">
        <v>718</v>
      </c>
    </row>
    <row r="1205" spans="1:9">
      <c r="A1205" s="7" t="s">
        <v>688</v>
      </c>
      <c r="B1205" s="7" t="s">
        <v>1038</v>
      </c>
      <c r="C1205" s="7">
        <v>4</v>
      </c>
      <c r="D1205" s="7" t="s">
        <v>3044</v>
      </c>
      <c r="E1205" s="7" t="s">
        <v>3045</v>
      </c>
      <c r="F1205" s="7" t="s">
        <v>1094</v>
      </c>
      <c r="G1205" s="7" t="s">
        <v>1151</v>
      </c>
      <c r="H1205" s="7">
        <v>4.7</v>
      </c>
      <c r="I1205" s="7" t="s">
        <v>718</v>
      </c>
    </row>
    <row r="1206" spans="1:9">
      <c r="A1206" s="7" t="s">
        <v>688</v>
      </c>
      <c r="B1206" s="7" t="s">
        <v>1038</v>
      </c>
      <c r="C1206" s="7">
        <v>4</v>
      </c>
      <c r="D1206" s="7" t="s">
        <v>3044</v>
      </c>
      <c r="E1206" s="7" t="s">
        <v>3045</v>
      </c>
      <c r="F1206" s="7" t="s">
        <v>1152</v>
      </c>
      <c r="G1206" s="7" t="s">
        <v>1153</v>
      </c>
      <c r="H1206" s="7">
        <v>4.7</v>
      </c>
      <c r="I1206" s="7" t="s">
        <v>718</v>
      </c>
    </row>
    <row r="1207" spans="1:9">
      <c r="A1207" s="7" t="s">
        <v>688</v>
      </c>
      <c r="B1207" s="7" t="s">
        <v>1038</v>
      </c>
      <c r="C1207" s="7">
        <v>4</v>
      </c>
      <c r="D1207" s="7" t="s">
        <v>3044</v>
      </c>
      <c r="E1207" s="7" t="s">
        <v>3045</v>
      </c>
      <c r="F1207" s="7" t="s">
        <v>1095</v>
      </c>
      <c r="G1207" s="7" t="s">
        <v>1154</v>
      </c>
      <c r="H1207" s="7">
        <v>4.7</v>
      </c>
      <c r="I1207" s="7" t="s">
        <v>718</v>
      </c>
    </row>
    <row r="1208" spans="1:9">
      <c r="A1208" s="7" t="s">
        <v>688</v>
      </c>
      <c r="B1208" s="7" t="s">
        <v>1038</v>
      </c>
      <c r="C1208" s="7">
        <v>4</v>
      </c>
      <c r="D1208" s="7" t="s">
        <v>3044</v>
      </c>
      <c r="E1208" s="7" t="s">
        <v>3045</v>
      </c>
      <c r="F1208" s="7" t="s">
        <v>2855</v>
      </c>
      <c r="G1208" s="7" t="s">
        <v>2856</v>
      </c>
      <c r="H1208" s="7">
        <v>4.7</v>
      </c>
      <c r="I1208" s="7" t="s">
        <v>718</v>
      </c>
    </row>
    <row r="1209" spans="1:9">
      <c r="A1209" s="7" t="s">
        <v>688</v>
      </c>
      <c r="B1209" s="7" t="s">
        <v>1038</v>
      </c>
      <c r="C1209" s="7">
        <v>4</v>
      </c>
      <c r="D1209" s="7" t="s">
        <v>3044</v>
      </c>
      <c r="E1209" s="7" t="s">
        <v>3045</v>
      </c>
      <c r="F1209" s="7" t="s">
        <v>2857</v>
      </c>
      <c r="G1209" s="7" t="s">
        <v>2858</v>
      </c>
      <c r="H1209" s="7">
        <v>4.7</v>
      </c>
      <c r="I1209" s="7" t="s">
        <v>718</v>
      </c>
    </row>
    <row r="1210" spans="1:9">
      <c r="A1210" s="7" t="s">
        <v>688</v>
      </c>
      <c r="B1210" s="7" t="s">
        <v>1038</v>
      </c>
      <c r="C1210" s="7">
        <v>4</v>
      </c>
      <c r="D1210" s="7" t="s">
        <v>3044</v>
      </c>
      <c r="E1210" s="7" t="s">
        <v>3045</v>
      </c>
      <c r="F1210" s="7" t="s">
        <v>2859</v>
      </c>
      <c r="G1210" s="7" t="s">
        <v>2860</v>
      </c>
      <c r="H1210" s="7">
        <v>4.7</v>
      </c>
      <c r="I1210" s="7" t="s">
        <v>718</v>
      </c>
    </row>
    <row r="1211" spans="1:9">
      <c r="A1211" s="7" t="s">
        <v>688</v>
      </c>
      <c r="B1211" s="7" t="s">
        <v>1038</v>
      </c>
      <c r="C1211" s="7">
        <v>4</v>
      </c>
      <c r="D1211" s="7" t="s">
        <v>3044</v>
      </c>
      <c r="E1211" s="7" t="s">
        <v>3045</v>
      </c>
      <c r="F1211" s="7" t="s">
        <v>1155</v>
      </c>
      <c r="G1211" s="7" t="s">
        <v>1156</v>
      </c>
      <c r="H1211" s="7">
        <v>4.7</v>
      </c>
      <c r="I1211" s="7" t="s">
        <v>718</v>
      </c>
    </row>
    <row r="1212" spans="1:9">
      <c r="A1212" s="7" t="s">
        <v>688</v>
      </c>
      <c r="B1212" s="7" t="s">
        <v>1038</v>
      </c>
      <c r="C1212" s="7">
        <v>4</v>
      </c>
      <c r="D1212" s="7" t="s">
        <v>3044</v>
      </c>
      <c r="E1212" s="7" t="s">
        <v>3045</v>
      </c>
      <c r="F1212" s="7" t="s">
        <v>1155</v>
      </c>
      <c r="G1212" s="7" t="s">
        <v>1157</v>
      </c>
      <c r="H1212" s="7">
        <v>4.7</v>
      </c>
      <c r="I1212" s="7" t="s">
        <v>718</v>
      </c>
    </row>
    <row r="1213" spans="1:9">
      <c r="A1213" s="7" t="s">
        <v>688</v>
      </c>
      <c r="B1213" s="7" t="s">
        <v>1038</v>
      </c>
      <c r="C1213" s="7">
        <v>4</v>
      </c>
      <c r="D1213" s="7" t="s">
        <v>3044</v>
      </c>
      <c r="E1213" s="7" t="s">
        <v>3045</v>
      </c>
      <c r="F1213" s="7" t="s">
        <v>1155</v>
      </c>
      <c r="G1213" s="7" t="s">
        <v>1158</v>
      </c>
      <c r="H1213" s="7">
        <v>4.7</v>
      </c>
      <c r="I1213" s="7" t="s">
        <v>718</v>
      </c>
    </row>
    <row r="1214" spans="1:9">
      <c r="A1214" s="7" t="s">
        <v>688</v>
      </c>
      <c r="B1214" s="7" t="s">
        <v>1038</v>
      </c>
      <c r="C1214" s="7">
        <v>4</v>
      </c>
      <c r="D1214" s="7" t="s">
        <v>3044</v>
      </c>
      <c r="E1214" s="7" t="s">
        <v>3045</v>
      </c>
      <c r="F1214" s="7" t="s">
        <v>2861</v>
      </c>
      <c r="G1214" s="7" t="s">
        <v>2862</v>
      </c>
      <c r="H1214" s="7">
        <v>4.7</v>
      </c>
      <c r="I1214" s="7" t="s">
        <v>718</v>
      </c>
    </row>
    <row r="1215" spans="1:9">
      <c r="A1215" s="7" t="s">
        <v>688</v>
      </c>
      <c r="B1215" s="7" t="s">
        <v>1038</v>
      </c>
      <c r="C1215" s="7">
        <v>4</v>
      </c>
      <c r="D1215" s="7" t="s">
        <v>3044</v>
      </c>
      <c r="E1215" s="7" t="s">
        <v>3045</v>
      </c>
      <c r="F1215" s="7" t="s">
        <v>2863</v>
      </c>
      <c r="G1215" s="7" t="s">
        <v>2864</v>
      </c>
      <c r="H1215" s="7">
        <v>4.7</v>
      </c>
      <c r="I1215" s="7" t="s">
        <v>718</v>
      </c>
    </row>
    <row r="1216" spans="1:9">
      <c r="A1216" s="7" t="s">
        <v>688</v>
      </c>
      <c r="B1216" s="7" t="s">
        <v>1038</v>
      </c>
      <c r="C1216" s="7">
        <v>4</v>
      </c>
      <c r="D1216" s="7" t="s">
        <v>3044</v>
      </c>
      <c r="E1216" s="7" t="s">
        <v>3045</v>
      </c>
      <c r="F1216" s="7" t="s">
        <v>1096</v>
      </c>
      <c r="G1216" s="7" t="s">
        <v>1159</v>
      </c>
      <c r="H1216" s="7">
        <v>4.7</v>
      </c>
      <c r="I1216" s="7" t="s">
        <v>718</v>
      </c>
    </row>
    <row r="1217" spans="1:9">
      <c r="A1217" s="7" t="s">
        <v>688</v>
      </c>
      <c r="B1217" s="7" t="s">
        <v>1038</v>
      </c>
      <c r="C1217" s="7">
        <v>4</v>
      </c>
      <c r="D1217" s="7" t="s">
        <v>3044</v>
      </c>
      <c r="E1217" s="7" t="s">
        <v>3045</v>
      </c>
      <c r="F1217" s="7" t="s">
        <v>1096</v>
      </c>
      <c r="G1217" s="7" t="s">
        <v>1160</v>
      </c>
      <c r="H1217" s="7">
        <v>4.7</v>
      </c>
      <c r="I1217" s="7" t="s">
        <v>718</v>
      </c>
    </row>
    <row r="1218" spans="1:9">
      <c r="A1218" s="7" t="s">
        <v>688</v>
      </c>
      <c r="B1218" s="7" t="s">
        <v>1038</v>
      </c>
      <c r="C1218" s="7">
        <v>4</v>
      </c>
      <c r="D1218" s="7" t="s">
        <v>3044</v>
      </c>
      <c r="E1218" s="7" t="s">
        <v>3045</v>
      </c>
      <c r="F1218" s="7" t="s">
        <v>2865</v>
      </c>
      <c r="G1218" s="7" t="s">
        <v>2866</v>
      </c>
      <c r="H1218" s="7">
        <v>4.7</v>
      </c>
      <c r="I1218" s="7" t="s">
        <v>718</v>
      </c>
    </row>
    <row r="1219" spans="1:9">
      <c r="A1219" s="7" t="s">
        <v>688</v>
      </c>
      <c r="B1219" s="7" t="s">
        <v>1038</v>
      </c>
      <c r="C1219" s="7">
        <v>4</v>
      </c>
      <c r="D1219" s="7" t="s">
        <v>3044</v>
      </c>
      <c r="E1219" s="7" t="s">
        <v>3045</v>
      </c>
      <c r="F1219" s="7" t="s">
        <v>1161</v>
      </c>
      <c r="G1219" s="7" t="s">
        <v>1162</v>
      </c>
      <c r="H1219" s="7">
        <v>4.7</v>
      </c>
      <c r="I1219" s="7" t="s">
        <v>718</v>
      </c>
    </row>
    <row r="1220" spans="1:9">
      <c r="A1220" s="7" t="s">
        <v>688</v>
      </c>
      <c r="B1220" s="7" t="s">
        <v>1038</v>
      </c>
      <c r="C1220" s="7">
        <v>4</v>
      </c>
      <c r="D1220" s="7" t="s">
        <v>3044</v>
      </c>
      <c r="E1220" s="7" t="s">
        <v>3045</v>
      </c>
      <c r="F1220" s="7" t="s">
        <v>2839</v>
      </c>
      <c r="G1220" s="7" t="s">
        <v>2700</v>
      </c>
      <c r="H1220" s="7">
        <v>4.7</v>
      </c>
      <c r="I1220" s="7" t="s">
        <v>718</v>
      </c>
    </row>
    <row r="1221" spans="1:9">
      <c r="A1221" s="7" t="s">
        <v>688</v>
      </c>
      <c r="B1221" s="7" t="s">
        <v>1038</v>
      </c>
      <c r="C1221" s="7">
        <v>4</v>
      </c>
      <c r="D1221" s="7" t="s">
        <v>3044</v>
      </c>
      <c r="E1221" s="7" t="s">
        <v>3045</v>
      </c>
      <c r="F1221" s="7" t="s">
        <v>2837</v>
      </c>
      <c r="G1221" s="7" t="s">
        <v>2700</v>
      </c>
      <c r="H1221" s="7">
        <v>4.5</v>
      </c>
      <c r="I1221" s="7" t="s">
        <v>718</v>
      </c>
    </row>
    <row r="1222" spans="1:9">
      <c r="A1222" s="7" t="s">
        <v>688</v>
      </c>
      <c r="B1222" s="7" t="s">
        <v>1038</v>
      </c>
      <c r="C1222" s="7">
        <v>4</v>
      </c>
      <c r="D1222" s="7" t="s">
        <v>3044</v>
      </c>
      <c r="E1222" s="7" t="s">
        <v>3045</v>
      </c>
      <c r="F1222" s="7" t="s">
        <v>1097</v>
      </c>
      <c r="G1222" s="7" t="s">
        <v>1163</v>
      </c>
      <c r="H1222" s="7">
        <v>4.7</v>
      </c>
      <c r="I1222" s="7" t="s">
        <v>718</v>
      </c>
    </row>
    <row r="1223" spans="1:9">
      <c r="A1223" s="7" t="s">
        <v>688</v>
      </c>
      <c r="B1223" s="7" t="s">
        <v>1038</v>
      </c>
      <c r="C1223" s="7">
        <v>4</v>
      </c>
      <c r="D1223" s="7" t="s">
        <v>3044</v>
      </c>
      <c r="E1223" s="7" t="s">
        <v>3045</v>
      </c>
      <c r="F1223" s="7" t="s">
        <v>1164</v>
      </c>
      <c r="G1223" s="7" t="s">
        <v>1165</v>
      </c>
      <c r="H1223" s="7">
        <v>4.7</v>
      </c>
      <c r="I1223" s="7" t="s">
        <v>718</v>
      </c>
    </row>
    <row r="1224" spans="1:9">
      <c r="A1224" s="7" t="s">
        <v>688</v>
      </c>
      <c r="B1224" s="7" t="s">
        <v>1038</v>
      </c>
      <c r="C1224" s="7">
        <v>4</v>
      </c>
      <c r="D1224" s="7" t="s">
        <v>3044</v>
      </c>
      <c r="E1224" s="7" t="s">
        <v>3045</v>
      </c>
      <c r="F1224" s="7" t="s">
        <v>1164</v>
      </c>
      <c r="G1224" s="7" t="s">
        <v>1126</v>
      </c>
      <c r="H1224" s="7">
        <v>4.7</v>
      </c>
      <c r="I1224" s="7" t="s">
        <v>718</v>
      </c>
    </row>
    <row r="1225" spans="1:9">
      <c r="A1225" s="7" t="s">
        <v>688</v>
      </c>
      <c r="B1225" s="7" t="s">
        <v>1038</v>
      </c>
      <c r="C1225" s="7">
        <v>4</v>
      </c>
      <c r="D1225" s="7" t="s">
        <v>3044</v>
      </c>
      <c r="E1225" s="7" t="s">
        <v>3045</v>
      </c>
      <c r="F1225" s="7" t="s">
        <v>1098</v>
      </c>
      <c r="G1225" s="7" t="s">
        <v>1166</v>
      </c>
      <c r="H1225" s="7">
        <v>4.5</v>
      </c>
      <c r="I1225" s="7" t="s">
        <v>718</v>
      </c>
    </row>
    <row r="1226" spans="1:9">
      <c r="A1226" s="7" t="s">
        <v>688</v>
      </c>
      <c r="B1226" s="7" t="s">
        <v>1038</v>
      </c>
      <c r="C1226" s="7">
        <v>4</v>
      </c>
      <c r="D1226" s="7" t="s">
        <v>3044</v>
      </c>
      <c r="E1226" s="7" t="s">
        <v>3045</v>
      </c>
      <c r="F1226" s="7" t="s">
        <v>1098</v>
      </c>
      <c r="G1226" s="7" t="s">
        <v>2675</v>
      </c>
      <c r="H1226" s="7">
        <v>4.5</v>
      </c>
      <c r="I1226" s="7" t="s">
        <v>718</v>
      </c>
    </row>
    <row r="1227" spans="1:9">
      <c r="A1227" s="7" t="s">
        <v>688</v>
      </c>
      <c r="B1227" s="7" t="s">
        <v>1038</v>
      </c>
      <c r="C1227" s="7">
        <v>4</v>
      </c>
      <c r="D1227" s="7" t="s">
        <v>3044</v>
      </c>
      <c r="E1227" s="7" t="s">
        <v>3045</v>
      </c>
      <c r="F1227" s="7" t="s">
        <v>1167</v>
      </c>
      <c r="G1227" s="7" t="s">
        <v>1083</v>
      </c>
      <c r="H1227" s="7">
        <v>4.7</v>
      </c>
      <c r="I1227" s="7" t="s">
        <v>718</v>
      </c>
    </row>
    <row r="1228" spans="1:9">
      <c r="A1228" s="7" t="s">
        <v>688</v>
      </c>
      <c r="B1228" s="7" t="s">
        <v>1038</v>
      </c>
      <c r="C1228" s="7">
        <v>4</v>
      </c>
      <c r="D1228" s="7" t="s">
        <v>3044</v>
      </c>
      <c r="E1228" s="7" t="s">
        <v>3045</v>
      </c>
      <c r="F1228" s="7" t="s">
        <v>1099</v>
      </c>
      <c r="G1228" s="7" t="s">
        <v>1100</v>
      </c>
      <c r="H1228" s="7">
        <v>4.7</v>
      </c>
      <c r="I1228" s="7" t="s">
        <v>718</v>
      </c>
    </row>
    <row r="1229" spans="1:9">
      <c r="A1229" s="7" t="s">
        <v>688</v>
      </c>
      <c r="B1229" s="7" t="s">
        <v>1038</v>
      </c>
      <c r="C1229" s="7">
        <v>4</v>
      </c>
      <c r="D1229" s="7" t="s">
        <v>3044</v>
      </c>
      <c r="E1229" s="7" t="s">
        <v>3045</v>
      </c>
      <c r="F1229" s="7" t="s">
        <v>2867</v>
      </c>
      <c r="G1229" s="7" t="s">
        <v>2868</v>
      </c>
      <c r="H1229" s="7">
        <v>4.7</v>
      </c>
      <c r="I1229" s="7" t="s">
        <v>718</v>
      </c>
    </row>
    <row r="1230" spans="1:9">
      <c r="A1230" s="7" t="s">
        <v>688</v>
      </c>
      <c r="B1230" s="7" t="s">
        <v>1038</v>
      </c>
      <c r="C1230" s="7">
        <v>4</v>
      </c>
      <c r="D1230" s="7" t="s">
        <v>3044</v>
      </c>
      <c r="E1230" s="7" t="s">
        <v>3045</v>
      </c>
      <c r="F1230" s="7" t="s">
        <v>2869</v>
      </c>
      <c r="G1230" s="7" t="s">
        <v>2870</v>
      </c>
      <c r="H1230" s="7">
        <v>4.7</v>
      </c>
      <c r="I1230" s="7" t="s">
        <v>718</v>
      </c>
    </row>
    <row r="1231" spans="1:9">
      <c r="A1231" s="7" t="s">
        <v>688</v>
      </c>
      <c r="B1231" s="7" t="s">
        <v>1038</v>
      </c>
      <c r="C1231" s="7">
        <v>4</v>
      </c>
      <c r="D1231" s="7" t="s">
        <v>3044</v>
      </c>
      <c r="E1231" s="7" t="s">
        <v>3045</v>
      </c>
      <c r="F1231" s="7" t="s">
        <v>2871</v>
      </c>
      <c r="G1231" s="7" t="s">
        <v>2870</v>
      </c>
      <c r="H1231" s="7">
        <v>4.7</v>
      </c>
      <c r="I1231" s="7" t="s">
        <v>718</v>
      </c>
    </row>
    <row r="1232" spans="1:9">
      <c r="A1232" s="7" t="s">
        <v>688</v>
      </c>
      <c r="B1232" s="7" t="s">
        <v>1038</v>
      </c>
      <c r="C1232" s="7">
        <v>4</v>
      </c>
      <c r="D1232" s="7" t="s">
        <v>3044</v>
      </c>
      <c r="E1232" s="7" t="s">
        <v>3045</v>
      </c>
      <c r="F1232" s="7" t="s">
        <v>2872</v>
      </c>
      <c r="G1232" s="7" t="s">
        <v>1894</v>
      </c>
      <c r="H1232" s="7">
        <v>4.7</v>
      </c>
      <c r="I1232" s="7" t="s">
        <v>718</v>
      </c>
    </row>
    <row r="1233" spans="1:9">
      <c r="A1233" s="7" t="s">
        <v>688</v>
      </c>
      <c r="B1233" s="7" t="s">
        <v>1038</v>
      </c>
      <c r="C1233" s="7">
        <v>4</v>
      </c>
      <c r="D1233" s="7" t="s">
        <v>3044</v>
      </c>
      <c r="E1233" s="7" t="s">
        <v>3045</v>
      </c>
      <c r="F1233" s="7" t="s">
        <v>1101</v>
      </c>
      <c r="G1233" s="7" t="s">
        <v>1102</v>
      </c>
      <c r="H1233" s="7">
        <v>4.7</v>
      </c>
      <c r="I1233" s="7" t="s">
        <v>718</v>
      </c>
    </row>
    <row r="1234" spans="1:9">
      <c r="A1234" s="7" t="s">
        <v>688</v>
      </c>
      <c r="B1234" s="7" t="s">
        <v>1038</v>
      </c>
      <c r="C1234" s="7">
        <v>4</v>
      </c>
      <c r="D1234" s="7" t="s">
        <v>3044</v>
      </c>
      <c r="E1234" s="7" t="s">
        <v>3045</v>
      </c>
      <c r="F1234" s="7" t="s">
        <v>1101</v>
      </c>
      <c r="G1234" s="7" t="s">
        <v>1103</v>
      </c>
      <c r="H1234" s="7">
        <v>4.7</v>
      </c>
      <c r="I1234" s="7" t="s">
        <v>718</v>
      </c>
    </row>
    <row r="1235" spans="1:9">
      <c r="A1235" s="7" t="s">
        <v>688</v>
      </c>
      <c r="B1235" s="7" t="s">
        <v>1038</v>
      </c>
      <c r="C1235" s="7">
        <v>4</v>
      </c>
      <c r="D1235" s="7" t="s">
        <v>3044</v>
      </c>
      <c r="E1235" s="7" t="s">
        <v>3045</v>
      </c>
      <c r="F1235" s="7" t="s">
        <v>1104</v>
      </c>
      <c r="G1235" s="7" t="s">
        <v>1105</v>
      </c>
      <c r="H1235" s="7">
        <v>4.7</v>
      </c>
      <c r="I1235" s="7" t="s">
        <v>718</v>
      </c>
    </row>
    <row r="1236" spans="1:9">
      <c r="A1236" s="7" t="s">
        <v>688</v>
      </c>
      <c r="B1236" s="7" t="s">
        <v>1038</v>
      </c>
      <c r="C1236" s="7">
        <v>4</v>
      </c>
      <c r="D1236" s="7" t="s">
        <v>3044</v>
      </c>
      <c r="E1236" s="7" t="s">
        <v>3045</v>
      </c>
      <c r="F1236" s="7" t="s">
        <v>1104</v>
      </c>
      <c r="G1236" s="7" t="s">
        <v>1106</v>
      </c>
      <c r="H1236" s="7">
        <v>4.7</v>
      </c>
      <c r="I1236" s="7" t="s">
        <v>718</v>
      </c>
    </row>
    <row r="1237" spans="1:9">
      <c r="A1237" s="7" t="s">
        <v>688</v>
      </c>
      <c r="B1237" s="7" t="s">
        <v>1038</v>
      </c>
      <c r="C1237" s="7">
        <v>4</v>
      </c>
      <c r="D1237" s="7" t="s">
        <v>3044</v>
      </c>
      <c r="E1237" s="7" t="s">
        <v>3045</v>
      </c>
      <c r="F1237" s="7" t="s">
        <v>2873</v>
      </c>
      <c r="G1237" s="7" t="s">
        <v>1286</v>
      </c>
      <c r="H1237" s="7">
        <v>4.7</v>
      </c>
      <c r="I1237" s="7" t="s">
        <v>718</v>
      </c>
    </row>
    <row r="1238" spans="1:9">
      <c r="A1238" s="7" t="s">
        <v>688</v>
      </c>
      <c r="B1238" s="7" t="s">
        <v>1038</v>
      </c>
      <c r="C1238" s="7">
        <v>4</v>
      </c>
      <c r="D1238" s="7" t="s">
        <v>3044</v>
      </c>
      <c r="E1238" s="7" t="s">
        <v>3045</v>
      </c>
      <c r="F1238" s="7" t="s">
        <v>1168</v>
      </c>
      <c r="G1238" s="7" t="s">
        <v>1107</v>
      </c>
      <c r="H1238" s="7">
        <v>4.7</v>
      </c>
      <c r="I1238" s="7" t="s">
        <v>718</v>
      </c>
    </row>
    <row r="1239" spans="1:9">
      <c r="A1239" s="7" t="s">
        <v>688</v>
      </c>
      <c r="B1239" s="7" t="s">
        <v>1038</v>
      </c>
      <c r="C1239" s="7">
        <v>4</v>
      </c>
      <c r="D1239" s="7" t="s">
        <v>3044</v>
      </c>
      <c r="E1239" s="7" t="s">
        <v>3045</v>
      </c>
      <c r="F1239" s="7" t="s">
        <v>1169</v>
      </c>
      <c r="G1239" s="7" t="s">
        <v>1108</v>
      </c>
      <c r="H1239" s="7">
        <v>4.7</v>
      </c>
      <c r="I1239" s="7" t="s">
        <v>718</v>
      </c>
    </row>
    <row r="1240" spans="1:9">
      <c r="A1240" s="7" t="s">
        <v>688</v>
      </c>
      <c r="B1240" s="7" t="s">
        <v>1038</v>
      </c>
      <c r="C1240" s="7">
        <v>4</v>
      </c>
      <c r="D1240" s="7" t="s">
        <v>3044</v>
      </c>
      <c r="E1240" s="7" t="s">
        <v>3045</v>
      </c>
      <c r="F1240" s="7" t="s">
        <v>1109</v>
      </c>
      <c r="G1240" s="7" t="s">
        <v>1110</v>
      </c>
      <c r="H1240" s="7">
        <v>4.7</v>
      </c>
      <c r="I1240" s="7" t="s">
        <v>718</v>
      </c>
    </row>
    <row r="1241" spans="1:9">
      <c r="A1241" s="7" t="s">
        <v>688</v>
      </c>
      <c r="B1241" s="7" t="s">
        <v>1038</v>
      </c>
      <c r="C1241" s="7">
        <v>4</v>
      </c>
      <c r="D1241" s="7" t="s">
        <v>3044</v>
      </c>
      <c r="E1241" s="7" t="s">
        <v>3045</v>
      </c>
      <c r="F1241" s="7" t="s">
        <v>1170</v>
      </c>
      <c r="G1241" s="7" t="s">
        <v>1890</v>
      </c>
      <c r="H1241" s="7">
        <v>4.7</v>
      </c>
      <c r="I1241" s="7" t="s">
        <v>718</v>
      </c>
    </row>
    <row r="1242" spans="1:9">
      <c r="A1242" s="7" t="s">
        <v>688</v>
      </c>
      <c r="B1242" s="7" t="s">
        <v>1038</v>
      </c>
      <c r="C1242" s="7">
        <v>4</v>
      </c>
      <c r="D1242" s="7" t="s">
        <v>3044</v>
      </c>
      <c r="E1242" s="7" t="s">
        <v>3045</v>
      </c>
      <c r="F1242" s="7" t="s">
        <v>1250</v>
      </c>
      <c r="G1242" s="7" t="s">
        <v>1891</v>
      </c>
      <c r="H1242" s="7">
        <v>4.7</v>
      </c>
      <c r="I1242" s="7" t="s">
        <v>718</v>
      </c>
    </row>
    <row r="1243" spans="1:9">
      <c r="A1243" s="7" t="s">
        <v>688</v>
      </c>
      <c r="B1243" s="7" t="s">
        <v>1038</v>
      </c>
      <c r="C1243" s="7">
        <v>4</v>
      </c>
      <c r="D1243" s="7" t="s">
        <v>3044</v>
      </c>
      <c r="E1243" s="7" t="s">
        <v>3045</v>
      </c>
      <c r="F1243" s="7" t="s">
        <v>1447</v>
      </c>
      <c r="G1243" s="7" t="s">
        <v>1892</v>
      </c>
      <c r="H1243" s="7">
        <v>4.7</v>
      </c>
      <c r="I1243" s="7" t="s">
        <v>718</v>
      </c>
    </row>
    <row r="1244" spans="1:9">
      <c r="A1244" s="7" t="s">
        <v>688</v>
      </c>
      <c r="B1244" s="7" t="s">
        <v>1038</v>
      </c>
      <c r="C1244" s="7">
        <v>4</v>
      </c>
      <c r="D1244" s="7" t="s">
        <v>3044</v>
      </c>
      <c r="E1244" s="7" t="s">
        <v>3045</v>
      </c>
      <c r="F1244" s="7" t="s">
        <v>1111</v>
      </c>
      <c r="G1244" s="7" t="s">
        <v>1893</v>
      </c>
      <c r="H1244" s="7">
        <v>4.7</v>
      </c>
      <c r="I1244" s="7" t="s">
        <v>718</v>
      </c>
    </row>
    <row r="1245" spans="1:9">
      <c r="A1245" s="7" t="s">
        <v>688</v>
      </c>
      <c r="B1245" s="7" t="s">
        <v>1038</v>
      </c>
      <c r="C1245" s="7">
        <v>4</v>
      </c>
      <c r="D1245" s="7" t="s">
        <v>3044</v>
      </c>
      <c r="E1245" s="7" t="s">
        <v>3045</v>
      </c>
      <c r="F1245" s="7" t="s">
        <v>1171</v>
      </c>
      <c r="G1245" s="7" t="s">
        <v>1112</v>
      </c>
      <c r="H1245" s="7">
        <v>4.7</v>
      </c>
      <c r="I1245" s="7" t="s">
        <v>718</v>
      </c>
    </row>
    <row r="1246" spans="1:9">
      <c r="A1246" s="7" t="s">
        <v>688</v>
      </c>
      <c r="B1246" s="7" t="s">
        <v>1038</v>
      </c>
      <c r="C1246" s="7">
        <v>4</v>
      </c>
      <c r="D1246" s="7" t="s">
        <v>3044</v>
      </c>
      <c r="E1246" s="7" t="s">
        <v>3045</v>
      </c>
      <c r="F1246" s="7" t="s">
        <v>705</v>
      </c>
      <c r="G1246" s="7" t="s">
        <v>2700</v>
      </c>
      <c r="H1246" s="7">
        <v>4.7</v>
      </c>
      <c r="I1246" s="7" t="s">
        <v>718</v>
      </c>
    </row>
    <row r="1247" spans="1:9">
      <c r="A1247" s="7" t="s">
        <v>688</v>
      </c>
      <c r="B1247" s="7" t="s">
        <v>1038</v>
      </c>
      <c r="C1247" s="7">
        <v>4</v>
      </c>
      <c r="D1247" s="7" t="s">
        <v>3044</v>
      </c>
      <c r="E1247" s="7" t="s">
        <v>3045</v>
      </c>
      <c r="F1247" s="7" t="s">
        <v>1113</v>
      </c>
      <c r="G1247" s="7" t="s">
        <v>1114</v>
      </c>
      <c r="H1247" s="7">
        <v>4.7</v>
      </c>
      <c r="I1247" s="7" t="s">
        <v>718</v>
      </c>
    </row>
    <row r="1248" spans="1:9">
      <c r="A1248" s="7" t="s">
        <v>688</v>
      </c>
      <c r="B1248" s="7" t="s">
        <v>1038</v>
      </c>
      <c r="C1248" s="7">
        <v>4</v>
      </c>
      <c r="D1248" s="7" t="s">
        <v>3044</v>
      </c>
      <c r="E1248" s="7" t="s">
        <v>3045</v>
      </c>
      <c r="F1248" s="7" t="s">
        <v>1113</v>
      </c>
      <c r="G1248" s="7" t="s">
        <v>1115</v>
      </c>
      <c r="H1248" s="7">
        <v>4.7</v>
      </c>
      <c r="I1248" s="7" t="s">
        <v>718</v>
      </c>
    </row>
    <row r="1249" spans="1:9">
      <c r="A1249" s="7" t="s">
        <v>688</v>
      </c>
      <c r="B1249" s="7" t="s">
        <v>1038</v>
      </c>
      <c r="C1249" s="7">
        <v>4</v>
      </c>
      <c r="D1249" s="7" t="s">
        <v>3044</v>
      </c>
      <c r="E1249" s="7" t="s">
        <v>3045</v>
      </c>
      <c r="F1249" s="7" t="s">
        <v>1116</v>
      </c>
      <c r="G1249" s="7" t="s">
        <v>1117</v>
      </c>
      <c r="H1249" s="7">
        <v>4.5</v>
      </c>
      <c r="I1249" s="7" t="s">
        <v>718</v>
      </c>
    </row>
    <row r="1250" spans="1:9">
      <c r="A1250" s="7" t="s">
        <v>688</v>
      </c>
      <c r="B1250" s="7" t="s">
        <v>1038</v>
      </c>
      <c r="C1250" s="7">
        <v>4</v>
      </c>
      <c r="D1250" s="7" t="s">
        <v>3044</v>
      </c>
      <c r="E1250" s="7" t="s">
        <v>3045</v>
      </c>
      <c r="F1250" s="7" t="s">
        <v>1118</v>
      </c>
      <c r="G1250" s="7" t="s">
        <v>1119</v>
      </c>
      <c r="H1250" s="7">
        <v>4.7</v>
      </c>
      <c r="I1250" s="7" t="s">
        <v>718</v>
      </c>
    </row>
    <row r="1251" spans="1:9">
      <c r="A1251" s="7" t="s">
        <v>688</v>
      </c>
      <c r="B1251" s="7" t="s">
        <v>1038</v>
      </c>
      <c r="C1251" s="7">
        <v>4</v>
      </c>
      <c r="D1251" s="7" t="s">
        <v>3044</v>
      </c>
      <c r="E1251" s="7" t="s">
        <v>3045</v>
      </c>
      <c r="F1251" s="7" t="s">
        <v>1120</v>
      </c>
      <c r="G1251" s="7" t="s">
        <v>1121</v>
      </c>
      <c r="H1251" s="7">
        <v>4.7</v>
      </c>
      <c r="I1251" s="7" t="s">
        <v>718</v>
      </c>
    </row>
    <row r="1252" spans="1:9">
      <c r="A1252" s="7" t="s">
        <v>688</v>
      </c>
      <c r="B1252" s="7" t="s">
        <v>1038</v>
      </c>
      <c r="C1252" s="7">
        <v>4</v>
      </c>
      <c r="D1252" s="7" t="s">
        <v>3044</v>
      </c>
      <c r="E1252" s="7" t="s">
        <v>3045</v>
      </c>
      <c r="F1252" s="7" t="s">
        <v>1120</v>
      </c>
      <c r="G1252" s="7" t="s">
        <v>2875</v>
      </c>
      <c r="H1252" s="7">
        <v>4.7</v>
      </c>
      <c r="I1252" s="7" t="s">
        <v>718</v>
      </c>
    </row>
    <row r="1253" spans="1:9">
      <c r="A1253" s="7" t="s">
        <v>688</v>
      </c>
      <c r="B1253" s="7" t="s">
        <v>1038</v>
      </c>
      <c r="C1253" s="7">
        <v>4</v>
      </c>
      <c r="D1253" s="7" t="s">
        <v>3044</v>
      </c>
      <c r="E1253" s="7" t="s">
        <v>3045</v>
      </c>
      <c r="F1253" s="7" t="s">
        <v>1120</v>
      </c>
      <c r="G1253" s="7" t="s">
        <v>2874</v>
      </c>
      <c r="H1253" s="7">
        <v>4.7</v>
      </c>
      <c r="I1253" s="7" t="s">
        <v>718</v>
      </c>
    </row>
    <row r="1254" spans="1:9">
      <c r="A1254" s="7" t="s">
        <v>688</v>
      </c>
      <c r="B1254" s="7" t="s">
        <v>1038</v>
      </c>
      <c r="C1254" s="7">
        <v>4</v>
      </c>
      <c r="D1254" s="7" t="s">
        <v>3044</v>
      </c>
      <c r="E1254" s="7" t="s">
        <v>3045</v>
      </c>
      <c r="F1254" s="7" t="s">
        <v>405</v>
      </c>
      <c r="G1254" s="7" t="s">
        <v>1122</v>
      </c>
      <c r="H1254" s="7">
        <v>4.7</v>
      </c>
      <c r="I1254" s="7" t="s">
        <v>718</v>
      </c>
    </row>
    <row r="1255" spans="1:9">
      <c r="A1255" s="7" t="s">
        <v>688</v>
      </c>
      <c r="B1255" s="7" t="s">
        <v>1038</v>
      </c>
      <c r="C1255" s="7">
        <v>4</v>
      </c>
      <c r="D1255" s="7" t="s">
        <v>3044</v>
      </c>
      <c r="E1255" s="7" t="s">
        <v>3045</v>
      </c>
      <c r="F1255" s="7" t="s">
        <v>405</v>
      </c>
      <c r="G1255" s="7" t="s">
        <v>413</v>
      </c>
      <c r="H1255" s="7">
        <v>4.7</v>
      </c>
      <c r="I1255" s="7" t="s">
        <v>718</v>
      </c>
    </row>
    <row r="1256" spans="1:9">
      <c r="A1256" s="7" t="s">
        <v>688</v>
      </c>
      <c r="B1256" s="7" t="s">
        <v>1038</v>
      </c>
      <c r="C1256" s="7">
        <v>4</v>
      </c>
      <c r="D1256" s="7" t="s">
        <v>3044</v>
      </c>
      <c r="E1256" s="7" t="s">
        <v>3045</v>
      </c>
      <c r="F1256" s="7" t="s">
        <v>405</v>
      </c>
      <c r="G1256" s="7" t="s">
        <v>412</v>
      </c>
      <c r="H1256" s="7">
        <v>4.7</v>
      </c>
      <c r="I1256" s="7" t="s">
        <v>718</v>
      </c>
    </row>
    <row r="1257" spans="1:9">
      <c r="A1257" s="7" t="s">
        <v>688</v>
      </c>
      <c r="B1257" s="7" t="s">
        <v>1038</v>
      </c>
      <c r="C1257" s="7">
        <v>4</v>
      </c>
      <c r="D1257" s="7" t="s">
        <v>3044</v>
      </c>
      <c r="E1257" s="7" t="s">
        <v>3045</v>
      </c>
      <c r="F1257" s="7" t="s">
        <v>405</v>
      </c>
      <c r="G1257" s="7" t="s">
        <v>414</v>
      </c>
      <c r="H1257" s="7">
        <v>4.7</v>
      </c>
      <c r="I1257" s="7" t="s">
        <v>718</v>
      </c>
    </row>
    <row r="1258" spans="1:9">
      <c r="A1258" s="7" t="s">
        <v>688</v>
      </c>
      <c r="B1258" s="7" t="s">
        <v>1038</v>
      </c>
      <c r="C1258" s="7">
        <v>4</v>
      </c>
      <c r="D1258" s="7" t="s">
        <v>3044</v>
      </c>
      <c r="E1258" s="7" t="s">
        <v>3045</v>
      </c>
      <c r="F1258" s="7" t="s">
        <v>405</v>
      </c>
      <c r="G1258" s="7" t="s">
        <v>415</v>
      </c>
      <c r="H1258" s="7">
        <v>4.7</v>
      </c>
      <c r="I1258" s="7" t="s">
        <v>718</v>
      </c>
    </row>
    <row r="1259" spans="1:9">
      <c r="A1259" s="7" t="s">
        <v>688</v>
      </c>
      <c r="B1259" s="7" t="s">
        <v>1038</v>
      </c>
      <c r="C1259" s="7">
        <v>4</v>
      </c>
      <c r="D1259" s="7" t="s">
        <v>3044</v>
      </c>
      <c r="E1259" s="7" t="s">
        <v>3045</v>
      </c>
      <c r="F1259" s="7" t="s">
        <v>2876</v>
      </c>
      <c r="G1259" s="7" t="s">
        <v>2877</v>
      </c>
      <c r="H1259" s="7">
        <v>4.7</v>
      </c>
      <c r="I1259" s="7" t="s">
        <v>718</v>
      </c>
    </row>
  </sheetData>
  <sheetProtection algorithmName="SHA-512" hashValue="/UatvQBkpVwpJhiY+eUZCt5MN082pfFT3d6mtKcAQssLkKaUiZVCmoVYZs4ebT+XfqWcifWwLf58CGcXGP0xDA==" saltValue="tc7NBIPRnGRR2I7j3dvDnA==" spinCount="100000" sheet="1" autoFilter="0"/>
  <pageMargins left="0.7" right="0.7" top="0.75" bottom="0.75" header="0.3" footer="0.3"/>
  <pageSetup orientation="portrait" horizontalDpi="90" verticalDpi="9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339933"/>
  </sheetPr>
  <dimension ref="A1:X89"/>
  <sheetViews>
    <sheetView showGridLines="0" topLeftCell="A76" zoomScale="87" zoomScaleNormal="87" workbookViewId="0">
      <selection activeCell="L3" sqref="L3"/>
    </sheetView>
  </sheetViews>
  <sheetFormatPr baseColWidth="10" defaultColWidth="8.7265625" defaultRowHeight="14.5"/>
  <cols>
    <col min="1" max="1" width="8.7265625" style="49"/>
    <col min="2" max="3" width="15.26953125" style="49" customWidth="1"/>
    <col min="4" max="4" width="17" style="49" customWidth="1"/>
    <col min="5" max="5" width="17.7265625" style="49" bestFit="1" customWidth="1"/>
    <col min="6" max="6" width="20.26953125" style="49" customWidth="1"/>
    <col min="7" max="7" width="17.54296875" style="49" customWidth="1"/>
    <col min="8" max="8" width="22.54296875" style="49" customWidth="1"/>
    <col min="9" max="9" width="15.26953125" style="49" customWidth="1"/>
    <col min="10" max="10" width="19" style="49" customWidth="1"/>
    <col min="11" max="11" width="15.26953125" style="49" customWidth="1"/>
    <col min="12" max="12" width="19.54296875" style="49" customWidth="1"/>
    <col min="13" max="13" width="18" style="49" customWidth="1"/>
    <col min="14" max="15" width="15.26953125" style="49" customWidth="1"/>
    <col min="16" max="16384" width="8.7265625" style="49"/>
  </cols>
  <sheetData>
    <row r="1" spans="1:15" ht="23.65" customHeight="1" thickBot="1">
      <c r="A1" s="2239" t="s">
        <v>2658</v>
      </c>
      <c r="B1" s="2240"/>
      <c r="C1" s="2240"/>
      <c r="D1" s="2240"/>
      <c r="E1" s="2240"/>
      <c r="F1" s="2240"/>
      <c r="G1" s="2240"/>
      <c r="H1" s="2240"/>
      <c r="I1" s="2240"/>
      <c r="J1" s="2241"/>
      <c r="K1" s="1801">
        <f>SETUP!$A$2</f>
        <v>3</v>
      </c>
      <c r="L1" s="2238"/>
      <c r="M1" s="2234" t="s">
        <v>63</v>
      </c>
      <c r="N1" s="2234" t="s">
        <v>64</v>
      </c>
      <c r="O1" s="2234" t="s">
        <v>65</v>
      </c>
    </row>
    <row r="2" spans="1:15" ht="15" thickBot="1">
      <c r="A2" s="40"/>
      <c r="B2" s="40"/>
      <c r="C2" s="40"/>
      <c r="D2" s="40"/>
      <c r="E2" s="40"/>
      <c r="F2" s="40"/>
      <c r="G2" s="40"/>
      <c r="H2" s="40"/>
      <c r="I2" s="40"/>
      <c r="J2" s="40"/>
      <c r="K2" s="39"/>
      <c r="L2" s="2238"/>
      <c r="M2" s="2235"/>
      <c r="N2" s="2235"/>
      <c r="O2" s="2235"/>
    </row>
    <row r="3" spans="1:15" ht="15" customHeight="1" thickBot="1">
      <c r="A3" s="41"/>
      <c r="B3" s="2256" t="s">
        <v>1</v>
      </c>
      <c r="C3" s="2258" t="str">
        <f>SETUP!$E$3</f>
        <v>El Salvador</v>
      </c>
      <c r="D3" s="2258"/>
      <c r="E3" s="2258"/>
      <c r="F3" s="42"/>
      <c r="G3" s="2246" t="s">
        <v>2</v>
      </c>
      <c r="H3" s="2248" t="str">
        <f>SETUP!$G$13</f>
        <v>SLV-H-MOH</v>
      </c>
      <c r="I3" s="2248"/>
      <c r="J3" s="2249"/>
      <c r="K3" s="39"/>
      <c r="L3" s="1285"/>
      <c r="M3" s="48"/>
      <c r="N3" s="48"/>
      <c r="O3" s="48"/>
    </row>
    <row r="4" spans="1:15" ht="15.75" customHeight="1" thickTop="1" thickBot="1">
      <c r="A4" s="43"/>
      <c r="B4" s="2257"/>
      <c r="C4" s="2259"/>
      <c r="D4" s="2259"/>
      <c r="E4" s="2259"/>
      <c r="F4" s="44"/>
      <c r="G4" s="2247"/>
      <c r="H4" s="2250"/>
      <c r="I4" s="2250"/>
      <c r="J4" s="2251"/>
      <c r="K4" s="39"/>
      <c r="L4" s="28"/>
      <c r="M4" s="28"/>
      <c r="N4" s="28"/>
      <c r="O4" s="28"/>
    </row>
    <row r="5" spans="1:15" ht="15.5" thickTop="1" thickBot="1">
      <c r="A5" s="43"/>
      <c r="B5" s="2252" t="s">
        <v>3</v>
      </c>
      <c r="C5" s="2254" t="str">
        <f>SETUP!$E$6</f>
        <v>HIV</v>
      </c>
      <c r="D5" s="2254"/>
      <c r="E5" s="2254"/>
      <c r="F5" s="45"/>
      <c r="G5" s="2265" t="s">
        <v>4</v>
      </c>
      <c r="H5" s="2267" t="str">
        <f>SETUP!E7</f>
        <v>Ministry of Health of the Republic of El Salvador</v>
      </c>
      <c r="I5" s="2267"/>
      <c r="J5" s="2268"/>
      <c r="K5" s="39"/>
      <c r="L5" s="28"/>
      <c r="M5" s="28"/>
      <c r="N5" s="28"/>
      <c r="O5" s="28"/>
    </row>
    <row r="6" spans="1:15" ht="15.5" thickTop="1" thickBot="1">
      <c r="A6" s="46"/>
      <c r="B6" s="2253"/>
      <c r="C6" s="2255"/>
      <c r="D6" s="2255"/>
      <c r="E6" s="2255"/>
      <c r="F6" s="47"/>
      <c r="G6" s="2266"/>
      <c r="H6" s="2269"/>
      <c r="I6" s="2269"/>
      <c r="J6" s="2270"/>
      <c r="K6" s="39"/>
      <c r="L6" s="28"/>
      <c r="M6" s="28"/>
      <c r="N6" s="28"/>
      <c r="O6" s="28"/>
    </row>
    <row r="7" spans="1:15">
      <c r="A7" s="37"/>
      <c r="B7" s="37"/>
      <c r="C7" s="37"/>
      <c r="D7" s="37"/>
      <c r="E7" s="37"/>
      <c r="F7" s="37"/>
      <c r="G7" s="225"/>
      <c r="H7" s="225"/>
      <c r="I7" s="225"/>
      <c r="J7" s="226"/>
      <c r="K7" s="36"/>
      <c r="L7" s="36"/>
      <c r="M7" s="36"/>
      <c r="N7" s="36"/>
      <c r="O7" s="48"/>
    </row>
    <row r="8" spans="1:15">
      <c r="A8" s="38"/>
      <c r="B8" s="2260" t="s">
        <v>66</v>
      </c>
      <c r="C8" s="2261"/>
      <c r="D8" s="2261"/>
      <c r="E8" s="2261"/>
      <c r="F8" s="2261"/>
      <c r="G8" s="2261"/>
      <c r="H8" s="2261"/>
      <c r="I8" s="2261"/>
      <c r="J8" s="2261"/>
      <c r="K8" s="2261"/>
      <c r="L8" s="2261"/>
      <c r="M8" s="2261"/>
      <c r="N8" s="2261"/>
      <c r="O8" s="136"/>
    </row>
    <row r="9" spans="1:15" ht="15" thickBot="1">
      <c r="A9" s="38"/>
      <c r="B9" s="2260"/>
      <c r="C9" s="2261"/>
      <c r="D9" s="2261"/>
      <c r="E9" s="2261"/>
      <c r="F9" s="2261"/>
      <c r="G9" s="2261"/>
      <c r="H9" s="2261"/>
      <c r="I9" s="2261"/>
      <c r="J9" s="2261"/>
      <c r="K9" s="2261"/>
      <c r="L9" s="2261"/>
      <c r="M9" s="2261"/>
      <c r="N9" s="2261"/>
      <c r="O9" s="136"/>
    </row>
    <row r="10" spans="1:15">
      <c r="A10" s="141"/>
      <c r="B10" s="2242"/>
      <c r="C10" s="2243"/>
      <c r="D10" s="2243"/>
      <c r="E10" s="2220" t="s">
        <v>67</v>
      </c>
      <c r="F10" s="2220"/>
      <c r="G10" s="2220" t="s">
        <v>68</v>
      </c>
      <c r="H10" s="2220"/>
      <c r="I10" s="2220" t="s">
        <v>69</v>
      </c>
      <c r="J10" s="2220"/>
      <c r="K10" s="2220" t="s">
        <v>70</v>
      </c>
      <c r="L10" s="2220"/>
      <c r="M10" s="2220" t="s">
        <v>71</v>
      </c>
      <c r="N10" s="2262"/>
      <c r="O10" s="136"/>
    </row>
    <row r="11" spans="1:15">
      <c r="A11" s="141"/>
      <c r="B11" s="2244"/>
      <c r="C11" s="2245"/>
      <c r="D11" s="2245"/>
      <c r="E11" s="2236">
        <f>IF(ISBLANK(IMP_ST_DATE),"Please fill setup",(IMP_ST_DATE))</f>
        <v>44562</v>
      </c>
      <c r="F11" s="2236"/>
      <c r="G11" s="2237">
        <f>IF(ISBLANK(IMP_ST_DATE),"Please fill setup",IF(MO_CHECK&gt;3,"Y1",YEAR(IMP_ST_DATE)))</f>
        <v>2022</v>
      </c>
      <c r="H11" s="2237"/>
      <c r="I11" s="2237">
        <f>IF(G11="Y1","Y2",IF(ISBLANK(IMP_ST_DATE),"Please fill setup",YEAR(IMP_ST_DATE)+1))</f>
        <v>2023</v>
      </c>
      <c r="J11" s="2237"/>
      <c r="K11" s="2237">
        <f>IF(G11="Y1","Y3",IF(ISBLANK(IMP_ST_DATE),"Please fill setup",YEAR(IMP_ST_DATE)+2))</f>
        <v>2024</v>
      </c>
      <c r="L11" s="2237"/>
      <c r="M11" s="2237"/>
      <c r="N11" s="2263"/>
      <c r="O11" s="136"/>
    </row>
    <row r="12" spans="1:15" ht="29.5" thickBot="1">
      <c r="A12" s="141"/>
      <c r="B12" s="608"/>
      <c r="C12" s="609"/>
      <c r="D12" s="609"/>
      <c r="E12" s="610" t="s">
        <v>2615</v>
      </c>
      <c r="F12" s="1258" t="s">
        <v>2616</v>
      </c>
      <c r="G12" s="610" t="s">
        <v>2615</v>
      </c>
      <c r="H12" s="1258" t="s">
        <v>2616</v>
      </c>
      <c r="I12" s="610" t="s">
        <v>2615</v>
      </c>
      <c r="J12" s="1258" t="s">
        <v>2616</v>
      </c>
      <c r="K12" s="610" t="s">
        <v>2615</v>
      </c>
      <c r="L12" s="1258" t="s">
        <v>2616</v>
      </c>
      <c r="M12" s="2221"/>
      <c r="N12" s="2264"/>
      <c r="O12" s="136"/>
    </row>
    <row r="13" spans="1:15">
      <c r="A13" s="141"/>
      <c r="B13" s="2280" t="s">
        <v>72</v>
      </c>
      <c r="C13" s="2281"/>
      <c r="D13" s="2281"/>
      <c r="E13" s="991">
        <f>SUM(E14,E18)</f>
        <v>0</v>
      </c>
      <c r="F13" s="991">
        <f>SUM(F14,F18)</f>
        <v>0</v>
      </c>
      <c r="G13" s="991">
        <f t="shared" ref="G13:L13" si="0">SUM(G14,G18)</f>
        <v>0</v>
      </c>
      <c r="H13" s="991">
        <f t="shared" si="0"/>
        <v>0</v>
      </c>
      <c r="I13" s="991">
        <f t="shared" si="0"/>
        <v>0</v>
      </c>
      <c r="J13" s="991">
        <f t="shared" si="0"/>
        <v>0</v>
      </c>
      <c r="K13" s="991">
        <f t="shared" si="0"/>
        <v>0</v>
      </c>
      <c r="L13" s="991">
        <f t="shared" si="0"/>
        <v>0</v>
      </c>
      <c r="M13" s="2214"/>
      <c r="N13" s="2215"/>
      <c r="O13" s="136"/>
    </row>
    <row r="14" spans="1:15">
      <c r="A14" s="141"/>
      <c r="B14" s="2282" t="s">
        <v>73</v>
      </c>
      <c r="C14" s="2283"/>
      <c r="D14" s="2283"/>
      <c r="E14" s="992">
        <f>SUM(E15,E16,E17)</f>
        <v>0</v>
      </c>
      <c r="F14" s="992">
        <f t="shared" ref="F14:L14" si="1">SUM(F15,F16,F17)</f>
        <v>0</v>
      </c>
      <c r="G14" s="992">
        <f t="shared" si="1"/>
        <v>0</v>
      </c>
      <c r="H14" s="992">
        <f t="shared" si="1"/>
        <v>0</v>
      </c>
      <c r="I14" s="992">
        <f t="shared" si="1"/>
        <v>0</v>
      </c>
      <c r="J14" s="992">
        <f t="shared" si="1"/>
        <v>0</v>
      </c>
      <c r="K14" s="992">
        <f t="shared" si="1"/>
        <v>0</v>
      </c>
      <c r="L14" s="992">
        <f t="shared" si="1"/>
        <v>0</v>
      </c>
      <c r="M14" s="2284"/>
      <c r="N14" s="2285"/>
      <c r="O14" s="136"/>
    </row>
    <row r="15" spans="1:15">
      <c r="A15" s="141"/>
      <c r="B15" s="2287" t="s">
        <v>74</v>
      </c>
      <c r="C15" s="2288"/>
      <c r="D15" s="2288"/>
      <c r="E15" s="707"/>
      <c r="F15" s="644"/>
      <c r="G15" s="644"/>
      <c r="H15" s="644"/>
      <c r="I15" s="644"/>
      <c r="J15" s="644"/>
      <c r="K15" s="644"/>
      <c r="L15" s="644"/>
      <c r="M15" s="2214"/>
      <c r="N15" s="2215"/>
      <c r="O15" s="136"/>
    </row>
    <row r="16" spans="1:15">
      <c r="A16" s="141"/>
      <c r="B16" s="2291" t="s">
        <v>75</v>
      </c>
      <c r="C16" s="2292"/>
      <c r="D16" s="2292"/>
      <c r="E16" s="708"/>
      <c r="F16" s="645"/>
      <c r="G16" s="645"/>
      <c r="H16" s="645"/>
      <c r="I16" s="645"/>
      <c r="J16" s="645"/>
      <c r="K16" s="645"/>
      <c r="L16" s="645"/>
      <c r="M16" s="2284"/>
      <c r="N16" s="2285"/>
      <c r="O16" s="136"/>
    </row>
    <row r="17" spans="1:18">
      <c r="A17" s="141"/>
      <c r="B17" s="2287" t="s">
        <v>76</v>
      </c>
      <c r="C17" s="2288"/>
      <c r="D17" s="2288"/>
      <c r="E17" s="707"/>
      <c r="F17" s="644"/>
      <c r="G17" s="644"/>
      <c r="H17" s="644"/>
      <c r="I17" s="644"/>
      <c r="J17" s="644"/>
      <c r="K17" s="644"/>
      <c r="L17" s="644"/>
      <c r="M17" s="2214"/>
      <c r="N17" s="2215"/>
      <c r="O17" s="136"/>
    </row>
    <row r="18" spans="1:18">
      <c r="A18" s="141"/>
      <c r="B18" s="2282" t="s">
        <v>77</v>
      </c>
      <c r="C18" s="2283"/>
      <c r="D18" s="2283"/>
      <c r="E18" s="992">
        <f>SUM(E19,E20)</f>
        <v>0</v>
      </c>
      <c r="F18" s="992">
        <f t="shared" ref="F18:L18" si="2">SUM(F19,F20)</f>
        <v>0</v>
      </c>
      <c r="G18" s="992">
        <f t="shared" si="2"/>
        <v>0</v>
      </c>
      <c r="H18" s="992">
        <f t="shared" si="2"/>
        <v>0</v>
      </c>
      <c r="I18" s="992">
        <f t="shared" si="2"/>
        <v>0</v>
      </c>
      <c r="J18" s="992">
        <f>SUM(J19,J20)</f>
        <v>0</v>
      </c>
      <c r="K18" s="992">
        <f t="shared" si="2"/>
        <v>0</v>
      </c>
      <c r="L18" s="992">
        <f t="shared" si="2"/>
        <v>0</v>
      </c>
      <c r="M18" s="2284"/>
      <c r="N18" s="2285"/>
      <c r="O18" s="136"/>
    </row>
    <row r="19" spans="1:18">
      <c r="A19" s="141"/>
      <c r="B19" s="2287" t="s">
        <v>78</v>
      </c>
      <c r="C19" s="2288"/>
      <c r="D19" s="2288"/>
      <c r="E19" s="707"/>
      <c r="F19" s="644"/>
      <c r="G19" s="644"/>
      <c r="H19" s="644"/>
      <c r="I19" s="644"/>
      <c r="J19" s="644"/>
      <c r="K19" s="644"/>
      <c r="L19" s="644"/>
      <c r="M19" s="2214"/>
      <c r="N19" s="2215"/>
      <c r="O19" s="136"/>
    </row>
    <row r="20" spans="1:18" ht="15" thickBot="1">
      <c r="A20" s="141"/>
      <c r="B20" s="2289" t="s">
        <v>79</v>
      </c>
      <c r="C20" s="2290"/>
      <c r="D20" s="2290"/>
      <c r="E20" s="709"/>
      <c r="F20" s="646"/>
      <c r="G20" s="646"/>
      <c r="H20" s="646"/>
      <c r="I20" s="646"/>
      <c r="J20" s="646"/>
      <c r="K20" s="646"/>
      <c r="L20" s="646"/>
      <c r="M20" s="2293"/>
      <c r="N20" s="2294"/>
      <c r="O20" s="331"/>
      <c r="P20" s="332"/>
      <c r="Q20" s="332"/>
      <c r="R20" s="332"/>
    </row>
    <row r="21" spans="1:18">
      <c r="A21" s="38"/>
      <c r="B21" s="227"/>
      <c r="C21" s="227"/>
      <c r="D21" s="227"/>
      <c r="E21" s="227"/>
      <c r="F21" s="227"/>
      <c r="G21" s="227"/>
      <c r="H21" s="227"/>
      <c r="I21" s="227"/>
      <c r="J21" s="228"/>
      <c r="K21" s="48"/>
      <c r="L21" s="48"/>
      <c r="M21" s="48"/>
      <c r="N21" s="48"/>
      <c r="O21" s="48"/>
    </row>
    <row r="22" spans="1:18">
      <c r="A22" s="38"/>
      <c r="B22" s="2260" t="s">
        <v>80</v>
      </c>
      <c r="C22" s="2276"/>
      <c r="D22" s="2276"/>
      <c r="E22" s="2276"/>
      <c r="F22" s="2276"/>
      <c r="G22" s="2276"/>
      <c r="H22" s="2276"/>
      <c r="I22" s="2276"/>
      <c r="J22" s="2276"/>
      <c r="K22" s="39"/>
      <c r="O22" s="28"/>
    </row>
    <row r="23" spans="1:18">
      <c r="A23" s="38"/>
      <c r="B23" s="2260"/>
      <c r="C23" s="2276"/>
      <c r="D23" s="2276"/>
      <c r="E23" s="2276"/>
      <c r="F23" s="2276"/>
      <c r="G23" s="2276"/>
      <c r="H23" s="2276"/>
      <c r="I23" s="2276"/>
      <c r="J23" s="2276"/>
      <c r="K23" s="39"/>
      <c r="L23" s="50"/>
      <c r="M23" s="51"/>
      <c r="N23" s="52"/>
      <c r="O23" s="28"/>
    </row>
    <row r="24" spans="1:18" ht="15" thickBot="1">
      <c r="A24" s="38"/>
      <c r="B24" s="597" t="s">
        <v>81</v>
      </c>
      <c r="C24" s="597"/>
      <c r="D24" s="597"/>
      <c r="E24" s="597"/>
      <c r="F24" s="597"/>
      <c r="G24" s="597"/>
      <c r="H24" s="597"/>
      <c r="I24" s="597"/>
      <c r="J24" s="597"/>
      <c r="K24" s="39"/>
      <c r="O24" s="28"/>
    </row>
    <row r="25" spans="1:18" s="334" customFormat="1" ht="29.5" thickBot="1">
      <c r="A25" s="603"/>
      <c r="B25" s="605" t="s">
        <v>82</v>
      </c>
      <c r="C25" s="2274" t="s">
        <v>83</v>
      </c>
      <c r="D25" s="2274"/>
      <c r="E25" s="2274"/>
      <c r="F25" s="606" t="s">
        <v>84</v>
      </c>
      <c r="G25" s="606" t="s">
        <v>85</v>
      </c>
      <c r="H25" s="606" t="s">
        <v>86</v>
      </c>
      <c r="I25" s="2277" t="s">
        <v>71</v>
      </c>
      <c r="J25" s="2278"/>
      <c r="K25" s="53"/>
      <c r="L25" s="54" t="s">
        <v>87</v>
      </c>
      <c r="M25" s="55"/>
      <c r="N25" s="56"/>
      <c r="O25" s="333"/>
    </row>
    <row r="26" spans="1:18" ht="15" thickBot="1">
      <c r="A26" s="141"/>
      <c r="B26" s="607"/>
      <c r="C26" s="2275"/>
      <c r="D26" s="2275"/>
      <c r="E26" s="2275"/>
      <c r="F26" s="710"/>
      <c r="G26" s="710"/>
      <c r="H26" s="710"/>
      <c r="I26" s="2275"/>
      <c r="J26" s="2279"/>
      <c r="K26" s="39"/>
      <c r="L26" s="57" t="s">
        <v>88</v>
      </c>
      <c r="M26" s="28"/>
      <c r="N26" s="28"/>
      <c r="O26" s="28"/>
    </row>
    <row r="27" spans="1:18" ht="15" thickBot="1">
      <c r="A27" s="141"/>
      <c r="B27" s="600"/>
      <c r="C27" s="2230"/>
      <c r="D27" s="2230"/>
      <c r="E27" s="2230"/>
      <c r="F27" s="645"/>
      <c r="G27" s="645"/>
      <c r="H27" s="645"/>
      <c r="I27" s="2230"/>
      <c r="J27" s="2231"/>
      <c r="K27" s="39"/>
      <c r="L27" s="2216" t="s">
        <v>89</v>
      </c>
      <c r="M27" s="2217"/>
      <c r="N27" s="251" t="s">
        <v>90</v>
      </c>
      <c r="O27" s="28"/>
    </row>
    <row r="28" spans="1:18" ht="15" thickBot="1">
      <c r="A28" s="141"/>
      <c r="B28" s="26"/>
      <c r="C28" s="2228"/>
      <c r="D28" s="2228"/>
      <c r="E28" s="2228"/>
      <c r="F28" s="644"/>
      <c r="G28" s="644"/>
      <c r="H28" s="644"/>
      <c r="I28" s="2228"/>
      <c r="J28" s="2229"/>
      <c r="K28" s="39"/>
      <c r="L28" s="2216" t="s">
        <v>91</v>
      </c>
      <c r="M28" s="2217"/>
      <c r="N28" s="251"/>
      <c r="O28" s="28"/>
    </row>
    <row r="29" spans="1:18" ht="15" thickBot="1">
      <c r="A29" s="141"/>
      <c r="B29" s="600"/>
      <c r="C29" s="2230"/>
      <c r="D29" s="2230"/>
      <c r="E29" s="2230"/>
      <c r="F29" s="645"/>
      <c r="G29" s="645"/>
      <c r="H29" s="645"/>
      <c r="I29" s="2230"/>
      <c r="J29" s="2231"/>
      <c r="K29" s="39"/>
      <c r="L29" s="2216" t="s">
        <v>92</v>
      </c>
      <c r="M29" s="2217"/>
      <c r="N29" s="251"/>
      <c r="O29" s="28"/>
    </row>
    <row r="30" spans="1:18" ht="15" thickBot="1">
      <c r="A30" s="141"/>
      <c r="B30" s="26"/>
      <c r="C30" s="2228"/>
      <c r="D30" s="2228"/>
      <c r="E30" s="2228"/>
      <c r="F30" s="644"/>
      <c r="G30" s="644"/>
      <c r="H30" s="644"/>
      <c r="I30" s="2228"/>
      <c r="J30" s="2229"/>
      <c r="K30" s="39"/>
      <c r="L30" s="2216" t="s">
        <v>94</v>
      </c>
      <c r="M30" s="2217"/>
      <c r="N30" s="251"/>
      <c r="O30" s="28"/>
    </row>
    <row r="31" spans="1:18" ht="15" thickBot="1">
      <c r="A31" s="141"/>
      <c r="B31" s="600"/>
      <c r="C31" s="2230"/>
      <c r="D31" s="2230"/>
      <c r="E31" s="2230"/>
      <c r="F31" s="645"/>
      <c r="G31" s="645"/>
      <c r="H31" s="645"/>
      <c r="I31" s="2230"/>
      <c r="J31" s="2231"/>
      <c r="K31" s="39"/>
      <c r="L31" s="2216" t="s">
        <v>95</v>
      </c>
      <c r="M31" s="2217"/>
      <c r="N31" s="251"/>
      <c r="O31" s="28"/>
    </row>
    <row r="32" spans="1:18" hidden="1">
      <c r="A32" s="141"/>
      <c r="B32" s="26"/>
      <c r="C32" s="2228"/>
      <c r="D32" s="2228"/>
      <c r="E32" s="2228"/>
      <c r="F32" s="644"/>
      <c r="G32" s="644"/>
      <c r="H32" s="644"/>
      <c r="I32" s="2228"/>
      <c r="J32" s="2229"/>
      <c r="K32" s="39"/>
      <c r="L32" s="28"/>
      <c r="M32" s="28"/>
      <c r="N32" s="28"/>
      <c r="O32" s="28"/>
    </row>
    <row r="33" spans="1:15" hidden="1">
      <c r="A33" s="141"/>
      <c r="B33" s="600"/>
      <c r="C33" s="2230"/>
      <c r="D33" s="2230"/>
      <c r="E33" s="2230"/>
      <c r="F33" s="645"/>
      <c r="G33" s="645"/>
      <c r="H33" s="645"/>
      <c r="I33" s="2230"/>
      <c r="J33" s="2231"/>
      <c r="K33" s="39"/>
      <c r="L33" s="28"/>
      <c r="M33" s="28"/>
      <c r="N33" s="28"/>
      <c r="O33" s="28"/>
    </row>
    <row r="34" spans="1:15" hidden="1">
      <c r="A34" s="141"/>
      <c r="B34" s="26"/>
      <c r="C34" s="2228"/>
      <c r="D34" s="2228"/>
      <c r="E34" s="2228"/>
      <c r="F34" s="644"/>
      <c r="G34" s="644"/>
      <c r="H34" s="644"/>
      <c r="I34" s="2228"/>
      <c r="J34" s="2229"/>
      <c r="K34" s="39"/>
      <c r="L34" s="28"/>
      <c r="M34" s="28"/>
      <c r="N34" s="28"/>
      <c r="O34" s="28"/>
    </row>
    <row r="35" spans="1:15" hidden="1">
      <c r="A35" s="141"/>
      <c r="B35" s="600"/>
      <c r="C35" s="2230"/>
      <c r="D35" s="2230"/>
      <c r="E35" s="2230"/>
      <c r="F35" s="645"/>
      <c r="G35" s="645"/>
      <c r="H35" s="645"/>
      <c r="I35" s="2230"/>
      <c r="J35" s="2231"/>
      <c r="K35" s="39"/>
      <c r="L35" s="28"/>
      <c r="M35" s="28"/>
      <c r="N35" s="28"/>
      <c r="O35" s="28"/>
    </row>
    <row r="36" spans="1:15" hidden="1">
      <c r="A36" s="141"/>
      <c r="B36" s="26"/>
      <c r="C36" s="2228"/>
      <c r="D36" s="2228"/>
      <c r="E36" s="2228"/>
      <c r="F36" s="644"/>
      <c r="G36" s="644"/>
      <c r="H36" s="644"/>
      <c r="I36" s="2228"/>
      <c r="J36" s="2229"/>
      <c r="K36" s="39"/>
      <c r="L36" s="28"/>
      <c r="M36" s="28"/>
      <c r="N36" s="28"/>
      <c r="O36" s="28"/>
    </row>
    <row r="37" spans="1:15" hidden="1">
      <c r="A37" s="141"/>
      <c r="B37" s="600"/>
      <c r="C37" s="2230"/>
      <c r="D37" s="2230"/>
      <c r="E37" s="2230"/>
      <c r="F37" s="645"/>
      <c r="G37" s="645"/>
      <c r="H37" s="645"/>
      <c r="I37" s="2230"/>
      <c r="J37" s="2231"/>
      <c r="K37" s="39"/>
      <c r="L37" s="28"/>
      <c r="M37" s="28"/>
      <c r="N37" s="28"/>
      <c r="O37" s="28"/>
    </row>
    <row r="38" spans="1:15" hidden="1">
      <c r="A38" s="141"/>
      <c r="B38" s="26"/>
      <c r="C38" s="2228"/>
      <c r="D38" s="2228"/>
      <c r="E38" s="2228"/>
      <c r="F38" s="644"/>
      <c r="G38" s="644"/>
      <c r="H38" s="644"/>
      <c r="I38" s="2228"/>
      <c r="J38" s="2229"/>
      <c r="K38" s="39"/>
      <c r="L38" s="28"/>
      <c r="M38" s="28"/>
      <c r="N38" s="28"/>
      <c r="O38" s="28"/>
    </row>
    <row r="39" spans="1:15" hidden="1">
      <c r="A39" s="141"/>
      <c r="B39" s="600"/>
      <c r="C39" s="2230"/>
      <c r="D39" s="2230"/>
      <c r="E39" s="2230"/>
      <c r="F39" s="645"/>
      <c r="G39" s="645"/>
      <c r="H39" s="645"/>
      <c r="I39" s="2230"/>
      <c r="J39" s="2231"/>
      <c r="K39" s="39"/>
      <c r="L39" s="28"/>
      <c r="M39" s="28"/>
      <c r="N39" s="28"/>
      <c r="O39" s="28"/>
    </row>
    <row r="40" spans="1:15" ht="15" thickBot="1">
      <c r="A40" s="141"/>
      <c r="B40" s="601"/>
      <c r="C40" s="2232"/>
      <c r="D40" s="2232"/>
      <c r="E40" s="2232"/>
      <c r="F40" s="711"/>
      <c r="G40" s="711"/>
      <c r="H40" s="711"/>
      <c r="I40" s="2232"/>
      <c r="J40" s="2233"/>
      <c r="K40" s="39"/>
      <c r="L40" s="28"/>
      <c r="M40" s="28"/>
      <c r="N40" s="28"/>
      <c r="O40" s="28"/>
    </row>
    <row r="41" spans="1:15" ht="15" thickBot="1">
      <c r="A41" s="38"/>
      <c r="B41" s="604" t="s">
        <v>96</v>
      </c>
      <c r="C41" s="604"/>
      <c r="D41" s="604"/>
      <c r="E41" s="604"/>
      <c r="F41" s="604"/>
      <c r="G41" s="604"/>
      <c r="H41" s="604"/>
      <c r="I41" s="604"/>
      <c r="J41" s="604"/>
      <c r="K41" s="39"/>
      <c r="L41" s="28"/>
      <c r="M41" s="28"/>
      <c r="N41" s="28"/>
      <c r="O41" s="28"/>
    </row>
    <row r="42" spans="1:15" ht="30" customHeight="1">
      <c r="A42" s="38"/>
      <c r="B42" s="2218" t="s">
        <v>82</v>
      </c>
      <c r="C42" s="2220" t="s">
        <v>97</v>
      </c>
      <c r="D42" s="598" t="s">
        <v>98</v>
      </c>
      <c r="E42" s="598" t="s">
        <v>99</v>
      </c>
      <c r="F42" s="598" t="s">
        <v>100</v>
      </c>
      <c r="G42" s="2222" t="s">
        <v>101</v>
      </c>
      <c r="H42" s="2224" t="s">
        <v>102</v>
      </c>
      <c r="I42" s="2222" t="s">
        <v>2502</v>
      </c>
      <c r="J42" s="2226" t="s">
        <v>102</v>
      </c>
      <c r="K42" s="39"/>
      <c r="L42" s="28"/>
      <c r="M42" s="28"/>
      <c r="N42" s="28"/>
      <c r="O42" s="28"/>
    </row>
    <row r="43" spans="1:15" ht="29.25" customHeight="1" thickBot="1">
      <c r="A43" s="38"/>
      <c r="B43" s="2219"/>
      <c r="C43" s="2221"/>
      <c r="D43" s="599">
        <f>IF(ISBLANK(IMP_ST_DATE),"Please fill setup",YEAR(IMP_ST_DATE))</f>
        <v>2022</v>
      </c>
      <c r="E43" s="599">
        <f>IF(ISBLANK(IMP_ST_DATE),"Please fill setup",YEAR(IMP_ST_DATE)+1)</f>
        <v>2023</v>
      </c>
      <c r="F43" s="599">
        <f>IF(ISBLANK(IMP_ST_DATE),"Please fill setup",YEAR(IMP_ST_DATE)+2)</f>
        <v>2024</v>
      </c>
      <c r="G43" s="2223"/>
      <c r="H43" s="2225"/>
      <c r="I43" s="2223"/>
      <c r="J43" s="2227"/>
      <c r="K43" s="39"/>
      <c r="L43" s="28"/>
      <c r="M43" s="28"/>
      <c r="N43" s="28"/>
      <c r="O43" s="28"/>
    </row>
    <row r="44" spans="1:15">
      <c r="A44" s="38"/>
      <c r="B44" s="26"/>
      <c r="C44" s="25"/>
      <c r="D44" s="644"/>
      <c r="E44" s="644"/>
      <c r="F44" s="644"/>
      <c r="G44" s="712"/>
      <c r="H44" s="712"/>
      <c r="I44" s="712"/>
      <c r="J44" s="713"/>
      <c r="K44" s="39"/>
      <c r="L44" s="28"/>
      <c r="M44" s="28"/>
      <c r="N44" s="28"/>
      <c r="O44" s="28"/>
    </row>
    <row r="45" spans="1:15">
      <c r="A45" s="38"/>
      <c r="B45" s="600"/>
      <c r="C45" s="24"/>
      <c r="D45" s="645"/>
      <c r="E45" s="645"/>
      <c r="F45" s="645"/>
      <c r="G45" s="692"/>
      <c r="H45" s="692"/>
      <c r="I45" s="692"/>
      <c r="J45" s="714"/>
      <c r="K45" s="39"/>
      <c r="L45" s="28"/>
      <c r="M45" s="28"/>
      <c r="N45" s="28"/>
      <c r="O45" s="28"/>
    </row>
    <row r="46" spans="1:15">
      <c r="A46" s="38"/>
      <c r="B46" s="26"/>
      <c r="C46" s="25"/>
      <c r="D46" s="644"/>
      <c r="E46" s="644"/>
      <c r="F46" s="644"/>
      <c r="G46" s="712"/>
      <c r="H46" s="712"/>
      <c r="I46" s="712"/>
      <c r="J46" s="713"/>
      <c r="K46" s="39"/>
      <c r="L46" s="28"/>
      <c r="M46" s="28"/>
      <c r="N46" s="28"/>
      <c r="O46" s="28"/>
    </row>
    <row r="47" spans="1:15">
      <c r="A47" s="38"/>
      <c r="B47" s="600"/>
      <c r="C47" s="24"/>
      <c r="D47" s="645"/>
      <c r="E47" s="645"/>
      <c r="F47" s="645"/>
      <c r="G47" s="692"/>
      <c r="H47" s="692"/>
      <c r="I47" s="692"/>
      <c r="J47" s="714"/>
      <c r="K47" s="39"/>
      <c r="L47" s="28"/>
      <c r="M47" s="28"/>
      <c r="N47" s="28"/>
      <c r="O47" s="28"/>
    </row>
    <row r="48" spans="1:15">
      <c r="A48" s="38"/>
      <c r="B48" s="26"/>
      <c r="C48" s="25"/>
      <c r="D48" s="644"/>
      <c r="E48" s="644"/>
      <c r="F48" s="644"/>
      <c r="G48" s="712"/>
      <c r="H48" s="712"/>
      <c r="I48" s="712"/>
      <c r="J48" s="713"/>
      <c r="K48" s="39"/>
      <c r="L48" s="28"/>
      <c r="M48" s="28"/>
      <c r="N48" s="28"/>
      <c r="O48" s="28"/>
    </row>
    <row r="49" spans="1:15">
      <c r="A49" s="38"/>
      <c r="B49" s="600"/>
      <c r="C49" s="24"/>
      <c r="D49" s="645"/>
      <c r="E49" s="645"/>
      <c r="F49" s="645"/>
      <c r="G49" s="692"/>
      <c r="H49" s="692"/>
      <c r="I49" s="692"/>
      <c r="J49" s="714"/>
      <c r="K49" s="39"/>
      <c r="L49" s="28"/>
      <c r="M49" s="28"/>
      <c r="N49" s="28"/>
      <c r="O49" s="28"/>
    </row>
    <row r="50" spans="1:15" ht="15" thickBot="1">
      <c r="A50" s="38"/>
      <c r="B50" s="601"/>
      <c r="C50" s="602"/>
      <c r="D50" s="711"/>
      <c r="E50" s="711"/>
      <c r="F50" s="711"/>
      <c r="G50" s="715"/>
      <c r="H50" s="715"/>
      <c r="I50" s="715"/>
      <c r="J50" s="716"/>
      <c r="K50" s="39"/>
      <c r="L50" s="335"/>
      <c r="M50" s="28"/>
      <c r="N50" s="28"/>
      <c r="O50" s="28"/>
    </row>
    <row r="51" spans="1:15" ht="15" thickBot="1">
      <c r="A51" s="38"/>
      <c r="B51" s="597" t="s">
        <v>103</v>
      </c>
      <c r="C51" s="597"/>
      <c r="D51" s="597"/>
      <c r="E51" s="597"/>
      <c r="F51" s="597"/>
      <c r="G51" s="597"/>
      <c r="H51" s="597"/>
      <c r="I51" s="597"/>
      <c r="J51" s="597"/>
      <c r="K51" s="39"/>
      <c r="L51" s="28"/>
      <c r="M51" s="28"/>
      <c r="N51" s="28"/>
      <c r="O51" s="28"/>
    </row>
    <row r="52" spans="1:15" ht="29">
      <c r="A52" s="141"/>
      <c r="B52" s="2218" t="s">
        <v>82</v>
      </c>
      <c r="C52" s="2220" t="s">
        <v>97</v>
      </c>
      <c r="D52" s="598" t="s">
        <v>98</v>
      </c>
      <c r="E52" s="598" t="s">
        <v>99</v>
      </c>
      <c r="F52" s="598" t="s">
        <v>100</v>
      </c>
      <c r="G52" s="2222" t="s">
        <v>101</v>
      </c>
      <c r="H52" s="2224" t="s">
        <v>102</v>
      </c>
      <c r="I52" s="2222" t="s">
        <v>2502</v>
      </c>
      <c r="J52" s="2226" t="s">
        <v>102</v>
      </c>
      <c r="K52" s="39"/>
      <c r="L52" s="28"/>
      <c r="M52" s="28"/>
      <c r="N52" s="28"/>
      <c r="O52" s="28"/>
    </row>
    <row r="53" spans="1:15" ht="15" thickBot="1">
      <c r="A53" s="141"/>
      <c r="B53" s="2219"/>
      <c r="C53" s="2221"/>
      <c r="D53" s="599">
        <f>D43</f>
        <v>2022</v>
      </c>
      <c r="E53" s="960">
        <f t="shared" ref="E53:F53" si="3">E43</f>
        <v>2023</v>
      </c>
      <c r="F53" s="960">
        <f t="shared" si="3"/>
        <v>2024</v>
      </c>
      <c r="G53" s="2223"/>
      <c r="H53" s="2225"/>
      <c r="I53" s="2223"/>
      <c r="J53" s="2227"/>
      <c r="K53" s="39"/>
      <c r="L53" s="28"/>
      <c r="M53" s="28"/>
      <c r="N53" s="28"/>
      <c r="O53" s="28"/>
    </row>
    <row r="54" spans="1:15">
      <c r="A54" s="141"/>
      <c r="B54" s="26"/>
      <c r="C54" s="25"/>
      <c r="D54" s="644"/>
      <c r="E54" s="644"/>
      <c r="F54" s="644"/>
      <c r="G54" s="712"/>
      <c r="H54" s="712"/>
      <c r="I54" s="712"/>
      <c r="J54" s="713"/>
      <c r="K54" s="39"/>
      <c r="L54" s="28"/>
      <c r="M54" s="28"/>
      <c r="N54" s="28"/>
      <c r="O54" s="28"/>
    </row>
    <row r="55" spans="1:15">
      <c r="A55" s="141"/>
      <c r="B55" s="600"/>
      <c r="C55" s="24"/>
      <c r="D55" s="645"/>
      <c r="E55" s="645"/>
      <c r="F55" s="645"/>
      <c r="G55" s="692"/>
      <c r="H55" s="692"/>
      <c r="I55" s="692"/>
      <c r="J55" s="714"/>
      <c r="K55" s="39"/>
      <c r="L55" s="28"/>
      <c r="M55" s="28"/>
      <c r="N55" s="28"/>
      <c r="O55" s="28"/>
    </row>
    <row r="56" spans="1:15">
      <c r="A56" s="141"/>
      <c r="B56" s="26"/>
      <c r="C56" s="25"/>
      <c r="D56" s="644"/>
      <c r="E56" s="644"/>
      <c r="F56" s="644"/>
      <c r="G56" s="712"/>
      <c r="H56" s="712"/>
      <c r="I56" s="712"/>
      <c r="J56" s="713"/>
      <c r="K56" s="39"/>
      <c r="L56" s="28"/>
      <c r="M56" s="28"/>
      <c r="N56" s="28"/>
      <c r="O56" s="28"/>
    </row>
    <row r="57" spans="1:15">
      <c r="A57" s="141"/>
      <c r="B57" s="600"/>
      <c r="C57" s="24"/>
      <c r="D57" s="645"/>
      <c r="E57" s="645"/>
      <c r="F57" s="645"/>
      <c r="G57" s="692"/>
      <c r="H57" s="692"/>
      <c r="I57" s="692"/>
      <c r="J57" s="714"/>
      <c r="K57" s="39"/>
      <c r="L57" s="28"/>
      <c r="M57" s="28"/>
      <c r="N57" s="28"/>
      <c r="O57" s="28"/>
    </row>
    <row r="58" spans="1:15">
      <c r="A58" s="141"/>
      <c r="B58" s="26"/>
      <c r="C58" s="25"/>
      <c r="D58" s="644"/>
      <c r="E58" s="644"/>
      <c r="F58" s="644"/>
      <c r="G58" s="712"/>
      <c r="H58" s="712"/>
      <c r="I58" s="712"/>
      <c r="J58" s="713"/>
      <c r="K58" s="39"/>
      <c r="L58" s="28"/>
      <c r="M58" s="28"/>
      <c r="N58" s="28"/>
      <c r="O58" s="28"/>
    </row>
    <row r="59" spans="1:15">
      <c r="A59" s="141"/>
      <c r="B59" s="600"/>
      <c r="C59" s="24"/>
      <c r="D59" s="645"/>
      <c r="E59" s="645"/>
      <c r="F59" s="645"/>
      <c r="G59" s="692"/>
      <c r="H59" s="692"/>
      <c r="I59" s="692"/>
      <c r="J59" s="714"/>
      <c r="K59" s="39"/>
      <c r="L59" s="28"/>
      <c r="M59" s="28"/>
      <c r="N59" s="28"/>
      <c r="O59" s="28"/>
    </row>
    <row r="60" spans="1:15" ht="15" thickBot="1">
      <c r="A60" s="141"/>
      <c r="B60" s="601"/>
      <c r="C60" s="602"/>
      <c r="D60" s="711"/>
      <c r="E60" s="711"/>
      <c r="F60" s="711"/>
      <c r="G60" s="715"/>
      <c r="H60" s="715"/>
      <c r="I60" s="715"/>
      <c r="J60" s="716"/>
      <c r="K60" s="39"/>
      <c r="L60" s="335"/>
      <c r="M60" s="28"/>
      <c r="N60" s="28"/>
      <c r="O60" s="28"/>
    </row>
    <row r="61" spans="1:15">
      <c r="B61" s="336"/>
      <c r="C61" s="336"/>
      <c r="D61" s="336"/>
      <c r="E61" s="336"/>
      <c r="F61" s="336"/>
      <c r="G61" s="336"/>
      <c r="H61" s="336"/>
      <c r="I61" s="336"/>
      <c r="J61" s="336"/>
    </row>
    <row r="62" spans="1:15" ht="30" customHeight="1">
      <c r="A62" s="2286" t="str">
        <f>IF($K$1=2,Language!$E$33,IF($K$1=3,Language!$F$33,Language!$G$33))</f>
        <v>PRESERVATIVOS: esta información servirá de base para el rellenado automático de la hoja de cálculo del presupuesto detallado. Si dispone de datos para estos porcentajes, utilícelos. Si no dispone de datos exactos, proporcione una estimación.</v>
      </c>
      <c r="B62" s="2286"/>
      <c r="C62" s="2286"/>
      <c r="D62" s="2286"/>
      <c r="E62" s="2286"/>
      <c r="F62" s="2286"/>
      <c r="G62" s="2286"/>
      <c r="H62" s="2286"/>
      <c r="I62" s="2286"/>
      <c r="J62" s="2286"/>
    </row>
    <row r="63" spans="1:15" ht="183.75" customHeight="1" thickBot="1">
      <c r="B63" s="2272" t="str">
        <f>IF($K$1=2,Language!$E$34,IF($K$1=3,Language!$F$34,Language!$G$34))</f>
        <v>1. COLUMNA E: ¿Qué porcentaje (%) del número total de preservativos masculinos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preservativos femeninos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 G: ¿Qué porcentaje (%) del número total de lubricantes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v>
      </c>
      <c r="C63" s="2273"/>
      <c r="D63" s="2273"/>
      <c r="E63" s="2273"/>
      <c r="F63" s="2273"/>
      <c r="G63" s="2273"/>
      <c r="H63" s="2273"/>
      <c r="I63" s="2273"/>
      <c r="J63" s="2273"/>
    </row>
    <row r="64" spans="1:15" ht="29.5" thickBot="1">
      <c r="B64" s="2205" t="s">
        <v>219</v>
      </c>
      <c r="C64" s="2206"/>
      <c r="D64" s="2207"/>
      <c r="E64" s="595" t="s">
        <v>220</v>
      </c>
      <c r="F64" s="595" t="s">
        <v>221</v>
      </c>
      <c r="G64" s="596" t="s">
        <v>222</v>
      </c>
      <c r="H64" s="493"/>
      <c r="I64" s="493" t="s">
        <v>1860</v>
      </c>
      <c r="J64" s="493" t="s">
        <v>1861</v>
      </c>
      <c r="K64" s="493" t="s">
        <v>1862</v>
      </c>
      <c r="L64" s="493"/>
    </row>
    <row r="65" spans="1:24">
      <c r="B65" s="2208" t="s">
        <v>1846</v>
      </c>
      <c r="C65" s="2209"/>
      <c r="D65" s="2210"/>
      <c r="E65" s="717">
        <v>0</v>
      </c>
      <c r="F65" s="717">
        <v>0</v>
      </c>
      <c r="G65" s="718">
        <v>0</v>
      </c>
      <c r="H65" s="493"/>
      <c r="I65" s="493">
        <v>44</v>
      </c>
      <c r="J65" s="493"/>
      <c r="K65" s="493"/>
      <c r="L65" s="493"/>
    </row>
    <row r="66" spans="1:24">
      <c r="B66" s="2196" t="s">
        <v>1847</v>
      </c>
      <c r="C66" s="2197"/>
      <c r="D66" s="2198"/>
      <c r="E66" s="717">
        <v>0</v>
      </c>
      <c r="F66" s="1199"/>
      <c r="G66" s="718">
        <v>0</v>
      </c>
      <c r="H66" s="493"/>
      <c r="I66" s="493">
        <v>45</v>
      </c>
      <c r="J66" s="493"/>
      <c r="K66" s="493"/>
      <c r="L66" s="493"/>
    </row>
    <row r="67" spans="1:24">
      <c r="B67" s="2208" t="s">
        <v>1848</v>
      </c>
      <c r="C67" s="2209"/>
      <c r="D67" s="2210"/>
      <c r="E67" s="717">
        <v>0</v>
      </c>
      <c r="F67" s="717">
        <v>0</v>
      </c>
      <c r="G67" s="718">
        <v>0</v>
      </c>
      <c r="H67" s="493"/>
      <c r="I67" s="493">
        <v>46</v>
      </c>
      <c r="J67" s="493"/>
      <c r="K67" s="493"/>
      <c r="L67" s="493"/>
    </row>
    <row r="68" spans="1:24">
      <c r="B68" s="2196" t="s">
        <v>1849</v>
      </c>
      <c r="C68" s="2197"/>
      <c r="D68" s="2198"/>
      <c r="E68" s="717">
        <v>0</v>
      </c>
      <c r="F68" s="717">
        <v>0</v>
      </c>
      <c r="G68" s="718">
        <v>0</v>
      </c>
      <c r="H68" s="493"/>
      <c r="I68" s="493">
        <v>47</v>
      </c>
      <c r="J68" s="493"/>
      <c r="K68" s="493"/>
      <c r="L68" s="493"/>
    </row>
    <row r="69" spans="1:24">
      <c r="B69" s="2208" t="s">
        <v>1850</v>
      </c>
      <c r="C69" s="2209"/>
      <c r="D69" s="2210"/>
      <c r="E69" s="717">
        <v>0</v>
      </c>
      <c r="F69" s="717">
        <v>0</v>
      </c>
      <c r="G69" s="718">
        <v>0</v>
      </c>
      <c r="H69" s="493"/>
      <c r="I69" s="493">
        <v>48</v>
      </c>
      <c r="J69" s="493"/>
      <c r="K69" s="493"/>
      <c r="L69" s="493"/>
    </row>
    <row r="70" spans="1:24">
      <c r="B70" s="2196" t="s">
        <v>1851</v>
      </c>
      <c r="C70" s="2197"/>
      <c r="D70" s="2198"/>
      <c r="E70" s="717">
        <v>0</v>
      </c>
      <c r="F70" s="717">
        <v>0</v>
      </c>
      <c r="G70" s="718">
        <v>0</v>
      </c>
      <c r="H70" s="493"/>
      <c r="I70" s="493">
        <v>49</v>
      </c>
      <c r="J70" s="493"/>
      <c r="K70" s="493"/>
      <c r="L70" s="493"/>
    </row>
    <row r="71" spans="1:24">
      <c r="B71" s="2199" t="s">
        <v>1852</v>
      </c>
      <c r="C71" s="2200"/>
      <c r="D71" s="2201"/>
      <c r="E71" s="717">
        <v>0</v>
      </c>
      <c r="F71" s="717">
        <v>0</v>
      </c>
      <c r="G71" s="718">
        <v>0</v>
      </c>
      <c r="H71" s="493"/>
      <c r="I71" s="493">
        <v>50</v>
      </c>
      <c r="J71" s="493"/>
      <c r="K71" s="493"/>
      <c r="L71" s="493"/>
    </row>
    <row r="72" spans="1:24">
      <c r="B72" s="2196" t="s">
        <v>1853</v>
      </c>
      <c r="C72" s="2197"/>
      <c r="D72" s="2198"/>
      <c r="E72" s="717">
        <v>0</v>
      </c>
      <c r="F72" s="717">
        <v>0</v>
      </c>
      <c r="G72" s="718">
        <v>0</v>
      </c>
      <c r="H72" s="493"/>
      <c r="I72" s="493">
        <v>51</v>
      </c>
      <c r="J72" s="493"/>
      <c r="K72" s="493"/>
      <c r="L72" s="493"/>
    </row>
    <row r="73" spans="1:24">
      <c r="B73" s="2208" t="s">
        <v>1854</v>
      </c>
      <c r="C73" s="2209"/>
      <c r="D73" s="2210"/>
      <c r="E73" s="717">
        <v>0</v>
      </c>
      <c r="F73" s="1200"/>
      <c r="G73" s="718">
        <v>0</v>
      </c>
      <c r="H73" s="493"/>
      <c r="I73" s="493">
        <v>52</v>
      </c>
      <c r="J73" s="493"/>
      <c r="K73" s="493"/>
      <c r="L73" s="493"/>
    </row>
    <row r="74" spans="1:24" ht="15" thickBot="1">
      <c r="B74" s="2202" t="s">
        <v>223</v>
      </c>
      <c r="C74" s="2203"/>
      <c r="D74" s="2204"/>
      <c r="E74" s="719">
        <v>0</v>
      </c>
      <c r="F74" s="719">
        <v>0</v>
      </c>
      <c r="G74" s="720">
        <v>0</v>
      </c>
      <c r="H74" s="493"/>
      <c r="I74" s="493">
        <v>53</v>
      </c>
      <c r="J74" s="493"/>
      <c r="K74" s="493"/>
      <c r="L74" s="493"/>
    </row>
    <row r="76" spans="1:24" s="1313" customFormat="1" ht="29.25" customHeight="1">
      <c r="A76" s="2271" t="str">
        <f>IF($K$1=2,Language!$E$35,IF($K$1=3,Language!$F$35,Language!$G$35))</f>
        <v>Pruebas de diagnóstico rápido:  esta información servirá de base para el rellenado automático de la hoja de cálculo del presupuesto detallado. Si dispone de datos para estos porcentajes, utilícelos. Si no dispone de datos exactos, facilite una estimación.</v>
      </c>
      <c r="B76" s="2271"/>
      <c r="C76" s="2271"/>
      <c r="D76" s="2271"/>
      <c r="E76" s="2271"/>
      <c r="F76" s="2271"/>
      <c r="G76" s="2271"/>
      <c r="H76" s="2271"/>
      <c r="I76" s="2271"/>
      <c r="J76" s="2271"/>
    </row>
    <row r="77" spans="1:24" ht="214.5" customHeight="1" thickBot="1">
      <c r="B77" s="2272" t="str">
        <f>IF($K$1=2,Language!$E$36,IF($K$1=3,Language!$F$36,Language!$G$36))</f>
        <v>1. COLUMNA E: ¿Qué porcentaje (%) del número total de pruebas del VIH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otras pruebas (p. ej., virus de la hepatitis C, sífilis, tuberculosis)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COLUMNAS G, H, I: Tenga en cuenta los casos en que se vayan a administrar pruebas del VIH y de otro tipo a clientes; del número total de pruebas que se vayan a proporcionar, qué porcentaje (%) de estas se administrará en un establecimiento de salud, en comparación con las que se administrarán en la comunidad y en comparación con las que se administrarán en un establecimiento de salud privado. Incluya el porcentaje en la combinación de columnas/filas pertinente e indique cero (0) para el resto. La suma de cada columna no puede superar el 100% Y la suma de cada fila (en estas 3 columnas) debe ser del 100% si están previstas pruebas del VIH o de otro tipo. Cuando aparezcan celdas resaltadas en rojo, significa que la suma de todos los porcentajes está por encima o por debajo del 100%.</v>
      </c>
      <c r="C77" s="2273"/>
      <c r="D77" s="2273"/>
      <c r="E77" s="2273"/>
      <c r="F77" s="2273"/>
      <c r="G77" s="2273"/>
      <c r="H77" s="2273"/>
      <c r="I77" s="2273"/>
      <c r="J77" s="2273"/>
    </row>
    <row r="78" spans="1:24" ht="29.5" thickBot="1">
      <c r="B78" s="2205" t="s">
        <v>219</v>
      </c>
      <c r="C78" s="2206"/>
      <c r="D78" s="2206"/>
      <c r="E78" s="595" t="s">
        <v>229</v>
      </c>
      <c r="F78" s="1100" t="s">
        <v>1855</v>
      </c>
      <c r="G78" s="595" t="s">
        <v>1856</v>
      </c>
      <c r="H78" s="595" t="s">
        <v>1857</v>
      </c>
      <c r="I78" s="596" t="s">
        <v>1858</v>
      </c>
      <c r="K78" s="493" t="s">
        <v>1860</v>
      </c>
      <c r="L78" s="493" t="s">
        <v>1861</v>
      </c>
      <c r="M78" s="493" t="s">
        <v>1862</v>
      </c>
      <c r="N78" s="493" t="s">
        <v>1863</v>
      </c>
      <c r="O78" s="493" t="s">
        <v>1864</v>
      </c>
      <c r="X78" s="1201"/>
    </row>
    <row r="79" spans="1:24">
      <c r="B79" s="2208" t="s">
        <v>1846</v>
      </c>
      <c r="C79" s="2209"/>
      <c r="D79" s="2210"/>
      <c r="E79" s="717">
        <v>0</v>
      </c>
      <c r="F79" s="1101">
        <v>0</v>
      </c>
      <c r="G79" s="717">
        <v>0</v>
      </c>
      <c r="H79" s="717">
        <v>0</v>
      </c>
      <c r="I79" s="717">
        <v>0</v>
      </c>
      <c r="K79" s="493">
        <v>90</v>
      </c>
      <c r="L79" s="493"/>
      <c r="M79" s="493"/>
      <c r="N79" s="493"/>
      <c r="O79" s="493"/>
      <c r="X79" s="1201"/>
    </row>
    <row r="80" spans="1:24">
      <c r="B80" s="2196" t="s">
        <v>1847</v>
      </c>
      <c r="C80" s="2197"/>
      <c r="D80" s="2198"/>
      <c r="E80" s="717">
        <v>9.8699999999999996E-2</v>
      </c>
      <c r="F80" s="1101">
        <v>0.28560000000000002</v>
      </c>
      <c r="G80" s="717">
        <v>0.83950000000000002</v>
      </c>
      <c r="H80" s="717">
        <v>0</v>
      </c>
      <c r="I80" s="717">
        <v>0.1605</v>
      </c>
      <c r="K80" s="493">
        <v>91</v>
      </c>
      <c r="L80" s="493"/>
      <c r="M80" s="493"/>
      <c r="N80" s="493"/>
      <c r="O80" s="493"/>
      <c r="X80" s="1201"/>
    </row>
    <row r="81" spans="2:24">
      <c r="B81" s="2208" t="s">
        <v>1848</v>
      </c>
      <c r="C81" s="2209"/>
      <c r="D81" s="2210"/>
      <c r="E81" s="717">
        <v>5.7000000000000002E-3</v>
      </c>
      <c r="F81" s="1101">
        <v>1.5900000000000001E-2</v>
      </c>
      <c r="G81" s="717">
        <v>0.99060000000000004</v>
      </c>
      <c r="H81" s="717">
        <v>0</v>
      </c>
      <c r="I81" s="717">
        <v>9.4000000000000004E-3</v>
      </c>
      <c r="K81" s="493">
        <v>92</v>
      </c>
      <c r="L81" s="493"/>
      <c r="M81" s="493"/>
      <c r="N81" s="493"/>
      <c r="O81" s="493"/>
      <c r="X81" s="1201"/>
    </row>
    <row r="82" spans="2:24">
      <c r="B82" s="2196" t="s">
        <v>1849</v>
      </c>
      <c r="C82" s="2197"/>
      <c r="D82" s="2198"/>
      <c r="E82" s="717">
        <v>4.3200000000000002E-2</v>
      </c>
      <c r="F82" s="1101">
        <v>6.3200000000000006E-2</v>
      </c>
      <c r="G82" s="717">
        <v>0.86380000000000001</v>
      </c>
      <c r="H82" s="717">
        <v>0</v>
      </c>
      <c r="I82" s="717">
        <v>0.13619999999999999</v>
      </c>
      <c r="K82" s="493">
        <v>93</v>
      </c>
      <c r="L82" s="493"/>
      <c r="M82" s="493"/>
      <c r="N82" s="493"/>
      <c r="O82" s="493"/>
      <c r="X82" s="1201"/>
    </row>
    <row r="83" spans="2:24">
      <c r="B83" s="2208" t="s">
        <v>1850</v>
      </c>
      <c r="C83" s="2209"/>
      <c r="D83" s="2210"/>
      <c r="E83" s="717">
        <v>0</v>
      </c>
      <c r="F83" s="1101">
        <v>0</v>
      </c>
      <c r="G83" s="717">
        <v>0</v>
      </c>
      <c r="H83" s="717">
        <v>0</v>
      </c>
      <c r="I83" s="717">
        <v>0</v>
      </c>
      <c r="K83" s="493">
        <v>94</v>
      </c>
      <c r="L83" s="493"/>
      <c r="M83" s="493"/>
      <c r="N83" s="493"/>
      <c r="O83" s="493"/>
      <c r="X83" s="1201"/>
    </row>
    <row r="84" spans="2:24">
      <c r="B84" s="2196" t="s">
        <v>1851</v>
      </c>
      <c r="C84" s="2197"/>
      <c r="D84" s="2198"/>
      <c r="E84" s="717">
        <v>0.30149999999999999</v>
      </c>
      <c r="F84" s="1101">
        <v>0.20430000000000001</v>
      </c>
      <c r="G84" s="717">
        <v>1</v>
      </c>
      <c r="H84" s="717">
        <v>0</v>
      </c>
      <c r="I84" s="717">
        <v>0</v>
      </c>
      <c r="K84" s="493">
        <v>95</v>
      </c>
      <c r="L84" s="493"/>
      <c r="M84" s="493"/>
      <c r="N84" s="493"/>
      <c r="O84" s="493"/>
      <c r="X84" s="1201"/>
    </row>
    <row r="85" spans="2:24">
      <c r="B85" s="2208" t="s">
        <v>1852</v>
      </c>
      <c r="C85" s="2209"/>
      <c r="D85" s="2210"/>
      <c r="E85" s="717">
        <v>0</v>
      </c>
      <c r="F85" s="1101">
        <v>0</v>
      </c>
      <c r="G85" s="717">
        <v>0</v>
      </c>
      <c r="H85" s="717">
        <v>0</v>
      </c>
      <c r="I85" s="717">
        <v>0</v>
      </c>
      <c r="K85" s="493">
        <v>96</v>
      </c>
      <c r="L85" s="493"/>
      <c r="M85" s="493"/>
      <c r="N85" s="493"/>
      <c r="O85" s="493"/>
      <c r="X85" s="1201"/>
    </row>
    <row r="86" spans="2:24">
      <c r="B86" s="2196" t="s">
        <v>1853</v>
      </c>
      <c r="C86" s="2197"/>
      <c r="D86" s="2198"/>
      <c r="E86" s="717">
        <v>5.8999999999999999E-3</v>
      </c>
      <c r="F86" s="1101">
        <v>1.9699999999999999E-2</v>
      </c>
      <c r="G86" s="717">
        <v>1</v>
      </c>
      <c r="H86" s="717">
        <v>0</v>
      </c>
      <c r="I86" s="717">
        <v>0</v>
      </c>
      <c r="K86" s="493">
        <v>97</v>
      </c>
      <c r="L86" s="493"/>
      <c r="M86" s="493"/>
      <c r="N86" s="493"/>
      <c r="O86" s="493"/>
      <c r="X86" s="1201"/>
    </row>
    <row r="87" spans="2:24">
      <c r="B87" s="2208" t="s">
        <v>1854</v>
      </c>
      <c r="C87" s="2209"/>
      <c r="D87" s="2210"/>
      <c r="E87" s="717">
        <v>0</v>
      </c>
      <c r="F87" s="1101">
        <v>0</v>
      </c>
      <c r="G87" s="717">
        <v>0</v>
      </c>
      <c r="H87" s="717">
        <v>0</v>
      </c>
      <c r="I87" s="717">
        <v>0</v>
      </c>
      <c r="K87" s="493">
        <v>98</v>
      </c>
      <c r="L87" s="493"/>
      <c r="M87" s="493"/>
      <c r="N87" s="493"/>
      <c r="O87" s="493"/>
      <c r="X87" s="1201"/>
    </row>
    <row r="88" spans="2:24">
      <c r="B88" s="2196" t="s">
        <v>1859</v>
      </c>
      <c r="C88" s="2197"/>
      <c r="D88" s="2198"/>
      <c r="E88" s="717">
        <v>9.8299999999999998E-2</v>
      </c>
      <c r="F88" s="1101">
        <v>0.1116</v>
      </c>
      <c r="G88" s="717">
        <v>0.30609999999999998</v>
      </c>
      <c r="H88" s="717">
        <v>0</v>
      </c>
      <c r="I88" s="717">
        <v>0.69389999999999996</v>
      </c>
      <c r="K88" s="493">
        <v>99</v>
      </c>
      <c r="L88" s="493"/>
      <c r="M88" s="493"/>
      <c r="N88" s="493"/>
      <c r="O88" s="493"/>
      <c r="X88" s="1201"/>
    </row>
    <row r="89" spans="2:24" ht="15" thickBot="1">
      <c r="B89" s="2211" t="s">
        <v>223</v>
      </c>
      <c r="C89" s="2212"/>
      <c r="D89" s="2213"/>
      <c r="E89" s="719">
        <v>0.44669999999999999</v>
      </c>
      <c r="F89" s="1577">
        <v>0.29970000000000002</v>
      </c>
      <c r="G89" s="719">
        <v>1</v>
      </c>
      <c r="H89" s="1578">
        <v>0</v>
      </c>
      <c r="I89" s="1578">
        <v>0</v>
      </c>
      <c r="K89" s="493">
        <v>100</v>
      </c>
      <c r="L89" s="493"/>
      <c r="M89" s="493"/>
      <c r="N89" s="493"/>
      <c r="O89" s="493"/>
      <c r="X89" s="1201"/>
    </row>
  </sheetData>
  <sheetProtection algorithmName="SHA-512" hashValue="ZlicmsjJzlnpuHfVpwP2inMjD1nMymw4CYARmMs7Bz5jYoXb7T5Ta1dBhBUc3Kt7lo7C0h7BaRK4tQACuutxZw==" saltValue="HCOhlIwVaoMicsr9Nc+3og==" spinCount="100000" sheet="1" formatColumns="0" formatRows="0" autoFilter="0"/>
  <protectedRanges>
    <protectedRange algorithmName="SHA-512" hashValue="7N9iKCMcqPHKvLWu4Au8wN1+niRMbStdZitYPzq9Tm4fU6u5RSv4s2nhvOdcLT57IyyVaHB4r1UtQactBLwskA==" saltValue="RC10gSb1O8lfx9VpUTI+pQ==" spinCount="100000" sqref="E18:L18" name="Range2"/>
    <protectedRange algorithmName="SHA-512" hashValue="ub526V5sc6ynE/faleBqe/EOI7Y7LecQcmaMUhZ28/KoDAoKAjTmlaWt4sBeVAo7blM5Q1fS35uL+xKALjLBtg==" saltValue="8CcBW/DlJ4laUNGKqK2cqg==" spinCount="100000" sqref="E13:L14" name="Range1"/>
  </protectedRanges>
  <mergeCells count="117">
    <mergeCell ref="C30:E30"/>
    <mergeCell ref="C27:E27"/>
    <mergeCell ref="B73:D73"/>
    <mergeCell ref="B13:D13"/>
    <mergeCell ref="B14:D14"/>
    <mergeCell ref="M14:N14"/>
    <mergeCell ref="M19:N19"/>
    <mergeCell ref="B63:J63"/>
    <mergeCell ref="A62:J62"/>
    <mergeCell ref="B19:D19"/>
    <mergeCell ref="B20:D20"/>
    <mergeCell ref="B15:D15"/>
    <mergeCell ref="B16:D16"/>
    <mergeCell ref="B18:D18"/>
    <mergeCell ref="B17:D17"/>
    <mergeCell ref="M20:N20"/>
    <mergeCell ref="M17:N17"/>
    <mergeCell ref="M18:N18"/>
    <mergeCell ref="L27:M27"/>
    <mergeCell ref="L28:M28"/>
    <mergeCell ref="L29:M29"/>
    <mergeCell ref="L30:M30"/>
    <mergeCell ref="M15:N15"/>
    <mergeCell ref="M16:N16"/>
    <mergeCell ref="A76:J76"/>
    <mergeCell ref="B77:J77"/>
    <mergeCell ref="C28:E28"/>
    <mergeCell ref="C29:E29"/>
    <mergeCell ref="C25:E25"/>
    <mergeCell ref="C26:E26"/>
    <mergeCell ref="B22:J23"/>
    <mergeCell ref="I25:J25"/>
    <mergeCell ref="I26:J26"/>
    <mergeCell ref="C39:E39"/>
    <mergeCell ref="I31:J31"/>
    <mergeCell ref="C36:E36"/>
    <mergeCell ref="C37:E37"/>
    <mergeCell ref="C38:E38"/>
    <mergeCell ref="C31:E31"/>
    <mergeCell ref="C32:E32"/>
    <mergeCell ref="C33:E33"/>
    <mergeCell ref="C34:E34"/>
    <mergeCell ref="I27:J27"/>
    <mergeCell ref="I28:J28"/>
    <mergeCell ref="I29:J29"/>
    <mergeCell ref="I30:J30"/>
    <mergeCell ref="C35:E35"/>
    <mergeCell ref="B69:D69"/>
    <mergeCell ref="O1:O2"/>
    <mergeCell ref="E10:F10"/>
    <mergeCell ref="E11:F11"/>
    <mergeCell ref="G10:H10"/>
    <mergeCell ref="G11:H11"/>
    <mergeCell ref="I10:J10"/>
    <mergeCell ref="I11:J11"/>
    <mergeCell ref="K10:L10"/>
    <mergeCell ref="K11:L11"/>
    <mergeCell ref="L1:L2"/>
    <mergeCell ref="A1:J1"/>
    <mergeCell ref="B10:D11"/>
    <mergeCell ref="G3:G4"/>
    <mergeCell ref="H3:J4"/>
    <mergeCell ref="B5:B6"/>
    <mergeCell ref="C5:E6"/>
    <mergeCell ref="B3:B4"/>
    <mergeCell ref="C3:E4"/>
    <mergeCell ref="B8:N9"/>
    <mergeCell ref="M10:N12"/>
    <mergeCell ref="G5:G6"/>
    <mergeCell ref="H5:J6"/>
    <mergeCell ref="M1:M2"/>
    <mergeCell ref="N1:N2"/>
    <mergeCell ref="M13:N13"/>
    <mergeCell ref="L31:M31"/>
    <mergeCell ref="B52:B53"/>
    <mergeCell ref="C52:C53"/>
    <mergeCell ref="G52:G53"/>
    <mergeCell ref="H52:H53"/>
    <mergeCell ref="I52:I53"/>
    <mergeCell ref="J52:J53"/>
    <mergeCell ref="B42:B43"/>
    <mergeCell ref="C42:C43"/>
    <mergeCell ref="I32:J32"/>
    <mergeCell ref="I33:J33"/>
    <mergeCell ref="I34:J34"/>
    <mergeCell ref="I35:J35"/>
    <mergeCell ref="I36:J36"/>
    <mergeCell ref="I37:J37"/>
    <mergeCell ref="C40:E40"/>
    <mergeCell ref="G42:G43"/>
    <mergeCell ref="H42:H43"/>
    <mergeCell ref="I42:I43"/>
    <mergeCell ref="J42:J43"/>
    <mergeCell ref="I38:J38"/>
    <mergeCell ref="I39:J39"/>
    <mergeCell ref="I40:J40"/>
    <mergeCell ref="B83:D83"/>
    <mergeCell ref="B84:D84"/>
    <mergeCell ref="B85:D85"/>
    <mergeCell ref="B86:D86"/>
    <mergeCell ref="B89:D89"/>
    <mergeCell ref="B78:D78"/>
    <mergeCell ref="B79:D79"/>
    <mergeCell ref="B80:D80"/>
    <mergeCell ref="B81:D81"/>
    <mergeCell ref="B82:D82"/>
    <mergeCell ref="B87:D87"/>
    <mergeCell ref="B88:D88"/>
    <mergeCell ref="B70:D70"/>
    <mergeCell ref="B71:D71"/>
    <mergeCell ref="B72:D72"/>
    <mergeCell ref="B74:D74"/>
    <mergeCell ref="B64:D64"/>
    <mergeCell ref="B65:D65"/>
    <mergeCell ref="B66:D66"/>
    <mergeCell ref="B67:D67"/>
    <mergeCell ref="B68:D68"/>
  </mergeCells>
  <conditionalFormatting sqref="G26:G40">
    <cfRule type="cellIs" dxfId="811" priority="18" operator="greaterThan">
      <formula>$F26</formula>
    </cfRule>
  </conditionalFormatting>
  <conditionalFormatting sqref="H26:H40">
    <cfRule type="cellIs" dxfId="810" priority="16" operator="greaterThan">
      <formula>$F26-$G26</formula>
    </cfRule>
    <cfRule type="cellIs" dxfId="809" priority="17" operator="greaterThan">
      <formula>$F26</formula>
    </cfRule>
  </conditionalFormatting>
  <conditionalFormatting sqref="E65:E74">
    <cfRule type="expression" dxfId="808" priority="9">
      <formula>SUM($E$65:$E$74)&lt;&gt;1</formula>
    </cfRule>
  </conditionalFormatting>
  <conditionalFormatting sqref="F65:F74">
    <cfRule type="expression" dxfId="807" priority="8">
      <formula>SUM($F$65:$F$74)&lt;&gt;1</formula>
    </cfRule>
  </conditionalFormatting>
  <conditionalFormatting sqref="G65:G74">
    <cfRule type="expression" dxfId="806" priority="7">
      <formula>SUM($G$65:$G$74)&lt;&gt;1</formula>
    </cfRule>
  </conditionalFormatting>
  <conditionalFormatting sqref="E79:E89">
    <cfRule type="expression" dxfId="805" priority="6">
      <formula>SUM($E$79:$E$89)&lt;&gt;1</formula>
    </cfRule>
  </conditionalFormatting>
  <conditionalFormatting sqref="F79:F89">
    <cfRule type="expression" dxfId="804" priority="3">
      <formula>SUM($F$79:$F$89)&lt;&gt;1</formula>
    </cfRule>
  </conditionalFormatting>
  <conditionalFormatting sqref="G79:I89">
    <cfRule type="expression" dxfId="803" priority="2">
      <formula>IF(SUM($E79:$F79)=0,SUM($G79:$I79)&lt;&gt;0,SUM($G79:$I79)&lt;&gt;1)</formula>
    </cfRule>
  </conditionalFormatting>
  <conditionalFormatting sqref="E79:I89">
    <cfRule type="containsBlanks" dxfId="802" priority="1">
      <formula>LEN(TRIM(E79))=0</formula>
    </cfRule>
  </conditionalFormatting>
  <dataValidations count="7">
    <dataValidation type="list" allowBlank="1" showInputMessage="1" showErrorMessage="1" sqref="B26:B40 B44:B50 B54:B60" xr:uid="{00000000-0002-0000-0500-000000000000}">
      <formula1>VLEIDBrand</formula1>
    </dataValidation>
    <dataValidation type="list" allowBlank="1" showInputMessage="1" showErrorMessage="1" sqref="C26:C40" xr:uid="{00000000-0002-0000-0500-000001000000}">
      <formula1>INDIRECT(B26)</formula1>
    </dataValidation>
    <dataValidation type="list" allowBlank="1" showInputMessage="1" showErrorMessage="1" sqref="C44:C50 C54:C60" xr:uid="{00000000-0002-0000-0500-000002000000}">
      <formula1>SampleTypeVLEID</formula1>
    </dataValidation>
    <dataValidation type="list" allowBlank="1" showInputMessage="1" showErrorMessage="1" sqref="F26:H40" xr:uid="{00000000-0002-0000-0500-000003000000}">
      <formula1>NbMachin</formula1>
    </dataValidation>
    <dataValidation type="list" allowBlank="1" showInputMessage="1" showErrorMessage="1" sqref="N27:N31" xr:uid="{00000000-0002-0000-0500-000004000000}">
      <formula1>YesNo</formula1>
    </dataValidation>
    <dataValidation type="decimal" allowBlank="1" showInputMessage="1" showErrorMessage="1" sqref="G54:J60 G44:J50 E75:G75 E65:G74 E79:I89" xr:uid="{00000000-0002-0000-0500-000005000000}">
      <formula1>0</formula1>
      <formula2>1</formula2>
    </dataValidation>
    <dataValidation type="whole" allowBlank="1" showInputMessage="1" showErrorMessage="1" sqref="E13:L20 D44:F50 D54:F60" xr:uid="{00000000-0002-0000-0500-000006000000}">
      <formula1>0</formula1>
      <formula2>1E+29</formula2>
    </dataValidation>
  </dataValidations>
  <hyperlinks>
    <hyperlink ref="M1:M2" location="'HIV-Pharmaceuticals'!A1" display="Go to HIV-Pharmaceuticals" xr:uid="{00000000-0004-0000-0500-000000000000}"/>
    <hyperlink ref="N1:N2" location="'HIV-Equipment'!A1" display="Go to HIV-Equipment" xr:uid="{00000000-0004-0000-0500-000001000000}"/>
    <hyperlink ref="O1:O2" location="'HIV-Other HPs'!A1" display="Go to HIV-Other HPs" xr:uid="{00000000-0004-0000-0500-000002000000}"/>
  </hyperlink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339933"/>
    <pageSetUpPr fitToPage="1"/>
  </sheetPr>
  <dimension ref="A1:BJ192"/>
  <sheetViews>
    <sheetView showGridLines="0" tabSelected="1" topLeftCell="A105" zoomScale="60" zoomScaleNormal="60" workbookViewId="0">
      <selection activeCell="AJ107" sqref="AJ107:AJ112"/>
    </sheetView>
  </sheetViews>
  <sheetFormatPr baseColWidth="10" defaultColWidth="8.7265625" defaultRowHeight="14.5"/>
  <cols>
    <col min="1" max="1" width="8.7265625" style="62"/>
    <col min="2" max="2" width="14.7265625" style="62" bestFit="1" customWidth="1"/>
    <col min="3" max="6" width="15.26953125" style="62" customWidth="1"/>
    <col min="7" max="7" width="28.7265625" style="62" bestFit="1" customWidth="1"/>
    <col min="8" max="8" width="15.26953125" style="62" customWidth="1"/>
    <col min="9" max="9" width="12.26953125" style="62" customWidth="1"/>
    <col min="10" max="10" width="15" style="62" customWidth="1"/>
    <col min="11" max="11" width="14.26953125" style="62" customWidth="1"/>
    <col min="12" max="13" width="15" style="62" customWidth="1"/>
    <col min="14" max="14" width="14" style="758" customWidth="1"/>
    <col min="15" max="19" width="15" style="62" customWidth="1"/>
    <col min="20" max="21" width="15" style="758" customWidth="1"/>
    <col min="22" max="24" width="15" style="62" customWidth="1"/>
    <col min="25" max="25" width="13.26953125" style="62" customWidth="1"/>
    <col min="26" max="26" width="15.26953125" style="62" customWidth="1"/>
    <col min="27" max="27" width="13.7265625" style="758" bestFit="1" customWidth="1"/>
    <col min="28" max="28" width="15.26953125" style="758" customWidth="1"/>
    <col min="29" max="29" width="15.26953125" style="62" customWidth="1"/>
    <col min="30" max="30" width="13.26953125" style="62" customWidth="1"/>
    <col min="31" max="31" width="11.26953125" style="62" customWidth="1"/>
    <col min="32" max="32" width="13.7265625" style="62" customWidth="1"/>
    <col min="33" max="33" width="12" style="62" customWidth="1"/>
    <col min="34" max="34" width="14.7265625" style="758" bestFit="1" customWidth="1"/>
    <col min="35" max="35" width="11" style="62" bestFit="1" customWidth="1"/>
    <col min="36" max="36" width="16.453125" style="758" customWidth="1"/>
    <col min="37" max="37" width="12" style="62" customWidth="1"/>
    <col min="38" max="38" width="59.26953125" style="62" customWidth="1"/>
    <col min="39" max="39" width="10.7265625" style="62" customWidth="1"/>
    <col min="40" max="40" width="8.7265625" style="62" hidden="1" customWidth="1"/>
    <col min="41" max="46" width="8.7265625" style="62"/>
    <col min="47" max="47" width="8.7265625" style="62" hidden="1" customWidth="1"/>
    <col min="48" max="48" width="18.54296875" style="62" hidden="1" customWidth="1"/>
    <col min="49" max="49" width="27.453125" style="62" hidden="1" customWidth="1"/>
    <col min="50" max="50" width="14" style="62" hidden="1" customWidth="1"/>
    <col min="51" max="51" width="6.26953125" style="62" hidden="1" customWidth="1"/>
    <col min="52" max="52" width="12.7265625" style="62" hidden="1" customWidth="1"/>
    <col min="53" max="53" width="7.54296875" style="62" hidden="1" customWidth="1"/>
    <col min="54" max="54" width="14" style="62" hidden="1" customWidth="1"/>
    <col min="55" max="55" width="6.26953125" style="62" hidden="1" customWidth="1"/>
    <col min="56" max="56" width="12.7265625" style="62" hidden="1" customWidth="1"/>
    <col min="57" max="57" width="7.54296875" style="62" hidden="1" customWidth="1"/>
    <col min="58" max="58" width="14" style="62" hidden="1" customWidth="1"/>
    <col min="59" max="61" width="6.26953125" style="62" hidden="1" customWidth="1"/>
    <col min="62" max="62" width="14" style="62" hidden="1" customWidth="1"/>
    <col min="63" max="16384" width="8.7265625" style="62"/>
  </cols>
  <sheetData>
    <row r="1" spans="1:62" ht="25.15" customHeight="1" thickBot="1">
      <c r="A1" s="2239" t="str">
        <f>VLOOKUP("Health Product Management Template - HIV - List of pharmaceuticals",Language!$D$37:$G$109,$K$1,FALSE)</f>
        <v>Plantilla para la gestión de productos sanitarios - VIH - lista de productos farmacéuticos</v>
      </c>
      <c r="B1" s="2240"/>
      <c r="C1" s="2240"/>
      <c r="D1" s="2240"/>
      <c r="E1" s="2240"/>
      <c r="F1" s="2240"/>
      <c r="G1" s="2240"/>
      <c r="H1" s="2240"/>
      <c r="I1" s="2240"/>
      <c r="J1" s="2240"/>
      <c r="K1" s="1825">
        <f>SETUP!$A$2</f>
        <v>3</v>
      </c>
      <c r="L1" s="2339"/>
      <c r="M1" s="2234" t="s">
        <v>136</v>
      </c>
      <c r="N1" s="2344" t="s">
        <v>64</v>
      </c>
      <c r="O1" s="2234" t="s">
        <v>65</v>
      </c>
      <c r="P1" s="59"/>
      <c r="Q1" s="60"/>
      <c r="R1" s="60"/>
      <c r="S1" s="60"/>
      <c r="T1" s="765"/>
      <c r="U1" s="765"/>
      <c r="V1" s="60"/>
      <c r="W1" s="60"/>
      <c r="X1" s="60"/>
      <c r="Y1" s="60"/>
      <c r="Z1" s="60"/>
      <c r="AA1" s="765"/>
      <c r="AB1" s="765"/>
      <c r="AC1" s="61"/>
    </row>
    <row r="2" spans="1:62" ht="15" thickBot="1">
      <c r="A2" s="63"/>
      <c r="B2" s="63"/>
      <c r="C2" s="63"/>
      <c r="D2" s="63"/>
      <c r="E2" s="63"/>
      <c r="F2" s="63"/>
      <c r="G2" s="63"/>
      <c r="H2" s="63"/>
      <c r="I2" s="63"/>
      <c r="J2" s="64"/>
      <c r="K2" s="58"/>
      <c r="L2" s="2343"/>
      <c r="M2" s="2235"/>
      <c r="N2" s="2345"/>
      <c r="O2" s="2235"/>
      <c r="P2" s="59"/>
      <c r="Q2" s="60"/>
      <c r="R2" s="60"/>
      <c r="S2" s="60"/>
      <c r="T2" s="765"/>
      <c r="U2" s="765"/>
      <c r="V2" s="60"/>
      <c r="W2" s="60"/>
      <c r="X2" s="60"/>
      <c r="Y2" s="60"/>
      <c r="Z2" s="60"/>
      <c r="AA2" s="765"/>
      <c r="AB2" s="765"/>
      <c r="AC2" s="61"/>
    </row>
    <row r="3" spans="1:62" ht="15" customHeight="1" thickBot="1">
      <c r="A3" s="65"/>
      <c r="B3" s="2353" t="str">
        <f>VLOOKUP("COUNTRY:",Language!$D$37:$G$109,$K$1,FALSE)</f>
        <v>PAÍS:</v>
      </c>
      <c r="C3" s="2248" t="str">
        <f>SETUP!$E$3</f>
        <v>El Salvador</v>
      </c>
      <c r="D3" s="2248"/>
      <c r="E3" s="2248"/>
      <c r="F3" s="66"/>
      <c r="G3" s="2356" t="str">
        <f>VLOOKUP("GRANT NUMBER:",Language!$D$37:$G$109,$K$1,FALSE)</f>
        <v>NÚMERO DE LA SUBVENCIÓN:</v>
      </c>
      <c r="H3" s="2248" t="str">
        <f>SETUP!$G$13</f>
        <v>SLV-H-MOH</v>
      </c>
      <c r="I3" s="2248"/>
      <c r="J3" s="2248"/>
      <c r="K3" s="67"/>
      <c r="L3" s="69"/>
      <c r="M3" s="69"/>
      <c r="N3" s="785"/>
      <c r="O3" s="69"/>
      <c r="P3" s="69"/>
      <c r="Q3" s="60"/>
      <c r="R3" s="60"/>
      <c r="S3" s="60"/>
      <c r="T3" s="765"/>
      <c r="U3" s="765"/>
      <c r="V3" s="60"/>
      <c r="W3" s="60"/>
      <c r="X3" s="60"/>
      <c r="Y3" s="60"/>
      <c r="Z3" s="60"/>
      <c r="AA3" s="765"/>
      <c r="AB3" s="765"/>
      <c r="AC3" s="60"/>
      <c r="AD3" s="70"/>
    </row>
    <row r="4" spans="1:62" ht="15.75" customHeight="1" thickTop="1" thickBot="1">
      <c r="A4" s="71"/>
      <c r="B4" s="2354"/>
      <c r="C4" s="2355"/>
      <c r="D4" s="2355"/>
      <c r="E4" s="2355"/>
      <c r="F4" s="72"/>
      <c r="G4" s="2357"/>
      <c r="H4" s="2250"/>
      <c r="I4" s="2250"/>
      <c r="J4" s="2250"/>
      <c r="K4" s="67"/>
      <c r="L4" s="59"/>
      <c r="M4" s="60"/>
      <c r="N4" s="765"/>
      <c r="O4" s="60"/>
      <c r="P4" s="60"/>
      <c r="Q4" s="60"/>
      <c r="R4" s="60"/>
      <c r="S4" s="60"/>
      <c r="T4" s="765"/>
      <c r="U4" s="765"/>
      <c r="V4" s="60"/>
      <c r="W4" s="60"/>
      <c r="X4" s="60"/>
      <c r="Y4" s="60"/>
      <c r="Z4" s="60"/>
      <c r="AA4" s="765"/>
      <c r="AB4" s="765"/>
      <c r="AC4" s="60"/>
      <c r="AD4" s="70"/>
    </row>
    <row r="5" spans="1:62" ht="15.5" thickTop="1" thickBot="1">
      <c r="A5" s="71"/>
      <c r="B5" s="2358" t="str">
        <f>VLOOKUP("COMPONENT:",Language!$D$37:$G$109,$K$1,FALSE)</f>
        <v>COMPONENTE:</v>
      </c>
      <c r="C5" s="2250" t="str">
        <f>SETUP!$E$6</f>
        <v>HIV</v>
      </c>
      <c r="D5" s="2250"/>
      <c r="E5" s="2250"/>
      <c r="F5" s="73"/>
      <c r="G5" s="2346" t="str">
        <f>VLOOKUP("PR: ",Language!$D$37:$G$109,$K$1,FALSE)</f>
        <v xml:space="preserve">RP: </v>
      </c>
      <c r="H5" s="2267" t="str">
        <f>SETUP!E7</f>
        <v>Ministry of Health of the Republic of El Salvador</v>
      </c>
      <c r="I5" s="2267"/>
      <c r="J5" s="2268"/>
      <c r="K5" s="67"/>
      <c r="L5" s="59"/>
      <c r="M5" s="60"/>
      <c r="N5" s="765"/>
      <c r="O5" s="60"/>
      <c r="P5" s="60"/>
      <c r="Q5" s="60"/>
      <c r="R5" s="60"/>
      <c r="S5" s="60"/>
      <c r="T5" s="765"/>
      <c r="U5" s="765"/>
      <c r="V5" s="60"/>
      <c r="W5" s="60"/>
      <c r="X5" s="60"/>
      <c r="Y5" s="60"/>
      <c r="Z5" s="60"/>
      <c r="AA5" s="765"/>
      <c r="AB5" s="765"/>
      <c r="AC5" s="60"/>
      <c r="AD5" s="70"/>
    </row>
    <row r="6" spans="1:62" ht="15.5" thickTop="1" thickBot="1">
      <c r="A6" s="74"/>
      <c r="B6" s="2359"/>
      <c r="C6" s="2360"/>
      <c r="D6" s="2360"/>
      <c r="E6" s="2360"/>
      <c r="F6" s="75"/>
      <c r="G6" s="2347"/>
      <c r="H6" s="2269"/>
      <c r="I6" s="2269"/>
      <c r="J6" s="2270"/>
      <c r="K6" s="67"/>
      <c r="L6" s="59"/>
      <c r="M6" s="60"/>
      <c r="N6" s="765"/>
      <c r="O6" s="60"/>
      <c r="P6" s="60"/>
      <c r="Q6" s="60"/>
      <c r="R6" s="60"/>
      <c r="S6" s="60"/>
      <c r="T6" s="765"/>
      <c r="U6" s="765"/>
      <c r="V6" s="60"/>
      <c r="W6" s="60"/>
      <c r="X6" s="60"/>
      <c r="Y6" s="60"/>
      <c r="Z6" s="60"/>
      <c r="AA6" s="765"/>
      <c r="AB6" s="765"/>
      <c r="AC6" s="60"/>
      <c r="AD6" s="70"/>
    </row>
    <row r="7" spans="1:62" ht="15" thickBot="1">
      <c r="A7" s="1513" t="s">
        <v>1037</v>
      </c>
      <c r="B7" s="76"/>
      <c r="C7" s="76"/>
      <c r="D7" s="76"/>
      <c r="E7" s="76"/>
      <c r="F7" s="76"/>
      <c r="G7" s="76"/>
      <c r="H7" s="76"/>
      <c r="I7" s="76"/>
      <c r="J7" s="77"/>
      <c r="K7" s="60"/>
      <c r="M7" s="79"/>
      <c r="N7" s="765"/>
      <c r="O7" s="60"/>
      <c r="P7" s="60"/>
      <c r="Q7" s="60"/>
      <c r="R7" s="60"/>
      <c r="S7" s="60"/>
      <c r="T7" s="765"/>
      <c r="U7" s="765"/>
      <c r="W7" s="60"/>
      <c r="X7" s="60"/>
      <c r="Y7" s="60"/>
      <c r="Z7" s="60"/>
      <c r="AA7" s="765"/>
      <c r="AB7" s="765"/>
      <c r="AD7" s="70"/>
      <c r="AJ7" s="59"/>
    </row>
    <row r="8" spans="1:62" ht="15" customHeight="1" thickBot="1">
      <c r="A8" s="2327">
        <v>1</v>
      </c>
      <c r="B8" s="2332" t="s">
        <v>137</v>
      </c>
      <c r="C8" s="2332"/>
      <c r="D8" s="2332"/>
      <c r="E8" s="2361" t="s">
        <v>39</v>
      </c>
      <c r="F8" s="2361"/>
      <c r="G8" s="2362"/>
      <c r="H8" s="2339" t="s">
        <v>138</v>
      </c>
      <c r="I8" s="78"/>
      <c r="J8" s="60"/>
      <c r="K8" s="60"/>
      <c r="L8" s="61"/>
      <c r="M8" s="1483"/>
      <c r="N8" s="1482"/>
      <c r="O8" s="60"/>
      <c r="P8" s="60"/>
      <c r="Q8" s="60"/>
      <c r="R8" s="60"/>
      <c r="S8" s="60"/>
      <c r="T8" s="765"/>
      <c r="U8" s="765"/>
      <c r="V8" s="60"/>
      <c r="W8" s="60"/>
      <c r="X8" s="60"/>
      <c r="Y8" s="60"/>
      <c r="Z8" s="60"/>
      <c r="AA8" s="765"/>
      <c r="AB8" s="765"/>
      <c r="AC8" s="60"/>
      <c r="AD8" s="70"/>
    </row>
    <row r="9" spans="1:62" ht="15" customHeight="1" thickBot="1">
      <c r="A9" s="2328"/>
      <c r="B9" s="2333"/>
      <c r="C9" s="2333"/>
      <c r="D9" s="2333"/>
      <c r="E9" s="2341" t="s">
        <v>139</v>
      </c>
      <c r="F9" s="2341"/>
      <c r="G9" s="2342"/>
      <c r="H9" s="2340"/>
      <c r="I9" s="78"/>
      <c r="J9" s="79"/>
      <c r="K9" s="79"/>
      <c r="L9" s="79"/>
      <c r="M9" s="76"/>
      <c r="N9" s="766"/>
      <c r="O9" s="79"/>
      <c r="P9" s="79"/>
      <c r="Q9" s="79"/>
      <c r="R9" s="79"/>
      <c r="S9" s="79"/>
      <c r="T9" s="766"/>
      <c r="U9" s="766"/>
      <c r="V9" s="79"/>
      <c r="W9" s="79"/>
      <c r="X9" s="79"/>
      <c r="Y9" s="79"/>
      <c r="Z9" s="79"/>
      <c r="AA9" s="766"/>
      <c r="AB9" s="766"/>
      <c r="AC9" s="79"/>
      <c r="AD9" s="80"/>
    </row>
    <row r="10" spans="1:62" ht="113.25" customHeight="1">
      <c r="A10" s="2348" t="str">
        <f>IF($K$1=2,Language!$E$42,IF($K$1=3,Language!$F$42,Language!$G$42))</f>
        <v>1. Columna A: Seleccionar la categoría de productos en el menú desplegable
2. Columna E: Seleccionar el nombre del producto (Denominación Común Internacional 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unitario de cada producto (el precio debe estar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país/Agente Local del Fondo (ALF)</v>
      </c>
      <c r="B10" s="2349"/>
      <c r="C10" s="2349"/>
      <c r="D10" s="2349"/>
      <c r="E10" s="2349"/>
      <c r="F10" s="2349"/>
      <c r="G10" s="2349"/>
      <c r="H10" s="2349"/>
      <c r="I10" s="2349"/>
      <c r="J10" s="2349"/>
      <c r="K10" s="2349"/>
      <c r="L10" s="2349"/>
      <c r="M10" s="2350"/>
      <c r="N10" s="1474"/>
      <c r="O10" s="78"/>
      <c r="P10" s="78"/>
      <c r="Q10" s="78"/>
      <c r="R10" s="78"/>
      <c r="S10" s="78"/>
      <c r="T10" s="767"/>
      <c r="U10" s="767"/>
      <c r="V10" s="78"/>
      <c r="W10" s="78"/>
      <c r="X10" s="78"/>
      <c r="Y10" s="78"/>
      <c r="Z10" s="78"/>
      <c r="AA10" s="767"/>
      <c r="AB10" s="767"/>
      <c r="AC10" s="78"/>
      <c r="AD10" s="82"/>
    </row>
    <row r="11" spans="1:62" ht="16" thickBot="1">
      <c r="A11" s="83"/>
      <c r="B11" s="1484"/>
      <c r="C11" s="84"/>
      <c r="D11" s="85"/>
      <c r="E11" s="85"/>
      <c r="F11" s="86"/>
      <c r="G11" s="86"/>
      <c r="H11" s="86"/>
      <c r="I11" s="1470"/>
      <c r="J11" s="86"/>
      <c r="K11" s="87"/>
      <c r="L11" s="88"/>
      <c r="N11" s="1475"/>
      <c r="O11" s="88"/>
      <c r="P11" s="88"/>
      <c r="Q11" s="88"/>
      <c r="R11" s="88"/>
      <c r="S11" s="88"/>
      <c r="T11" s="779"/>
      <c r="U11" s="779"/>
      <c r="V11" s="88"/>
      <c r="W11" s="88"/>
      <c r="X11" s="88"/>
      <c r="Y11" s="86"/>
      <c r="Z11" s="86"/>
      <c r="AA11" s="768"/>
      <c r="AB11" s="768"/>
      <c r="AC11" s="86"/>
      <c r="AD11" s="89"/>
      <c r="AK11" s="1481"/>
      <c r="AW11" s="337"/>
      <c r="AX11" s="2297" t="s">
        <v>1225</v>
      </c>
      <c r="AY11" s="2297"/>
      <c r="AZ11" s="2297"/>
      <c r="BA11" s="2297"/>
      <c r="BB11" s="2297"/>
      <c r="BC11" s="2297"/>
      <c r="BD11" s="2297"/>
      <c r="BE11" s="2297"/>
      <c r="BF11" s="2297"/>
      <c r="BG11" s="2297"/>
      <c r="BH11" s="2297"/>
      <c r="BI11" s="2297"/>
    </row>
    <row r="12" spans="1:62" s="787" customFormat="1" ht="15" customHeight="1" thickBot="1">
      <c r="A12" s="2310" t="str">
        <f>VLOOKUP("Product Category",Language!$D$37:$G$109,$K$1,FALSE)</f>
        <v>Categoría de productos</v>
      </c>
      <c r="B12" s="2312"/>
      <c r="C12" s="2312"/>
      <c r="D12" s="2312"/>
      <c r="E12" s="2310" t="str">
        <f>VLOOKUP("Product INN",Language!$D$37:$G$109,$K$1,FALSE)</f>
        <v>DCI del producto</v>
      </c>
      <c r="F12" s="2312"/>
      <c r="G12" s="2312"/>
      <c r="H12" s="2312"/>
      <c r="I12" s="2315" t="str">
        <f>VLOOKUP("Specification (dosage, form, packaging, pack size)",Language!$D$37:$G$109,$K$1,FALSE)</f>
        <v>Especificaciones (dosificación, forma farmacéutica, empaque, tamaño del empaque)</v>
      </c>
      <c r="J12" s="2316"/>
      <c r="K12" s="2316"/>
      <c r="L12" s="2310" t="str">
        <f>VLOOKUP("Unit of measure",Language!$D$37:$G$109,$K$1,FALSE)</f>
        <v>Unidad de medida</v>
      </c>
      <c r="M12" s="2325" t="str">
        <f>VLOOKUP("Payment Currency",Language!$D$37:$G$109,$K$1,FALSE)</f>
        <v>Moneda de pago</v>
      </c>
      <c r="N12" s="2321">
        <f>IF(ISBLANK(IMP_ST_DATE),SETUP!$A$3,IF(MO_CHECK&gt;3,"Y1",YEAR(IMP_ST_DATE)))</f>
        <v>2022</v>
      </c>
      <c r="O12" s="2322"/>
      <c r="P12" s="2322"/>
      <c r="Q12" s="2322"/>
      <c r="R12" s="2322"/>
      <c r="S12" s="2322"/>
      <c r="T12" s="2324"/>
      <c r="U12" s="2321">
        <f>IF(N12="Y1","Y2",IF(ISBLANK(IMP_ST_DATE),SETUP!$A$3,YEAR(IMP_ST_DATE)+1))</f>
        <v>2023</v>
      </c>
      <c r="V12" s="2322"/>
      <c r="W12" s="2322"/>
      <c r="X12" s="2322"/>
      <c r="Y12" s="2322"/>
      <c r="Z12" s="2322"/>
      <c r="AA12" s="2323"/>
      <c r="AB12" s="2321">
        <f>IF(N12="Y1","Y3",IF(ISBLANK(IMP_ST_DATE),SETUP!$A$3,YEAR(IMP_ST_DATE)+2))</f>
        <v>2024</v>
      </c>
      <c r="AC12" s="2322"/>
      <c r="AD12" s="2322"/>
      <c r="AE12" s="2322"/>
      <c r="AF12" s="2322"/>
      <c r="AG12" s="2322"/>
      <c r="AH12" s="2323"/>
      <c r="AI12" s="2308" t="str">
        <f>VLOOKUP("Total grant period",Language!$D$37:$G$109,$K$1,FALSE)</f>
        <v>Total del período de subvención</v>
      </c>
      <c r="AJ12" s="2309"/>
      <c r="AK12" s="786" t="str">
        <f>VLOOKUP("Finance",Language!$D$37:$G$109,$K$1,FALSE)</f>
        <v>Finanzas</v>
      </c>
      <c r="AL12" s="2295" t="str">
        <f>VLOOKUP("Comments",Language!$D$37:$G$109,$K$1,FALSE)</f>
        <v>Comentarios</v>
      </c>
      <c r="AM12" s="2295" t="str">
        <f>VLOOKUP("Delivery Lead Time",Language!$D$37:$G$109,$K$1,FALSE)</f>
        <v>Plazo de entrega</v>
      </c>
      <c r="AN12" s="2295" t="s">
        <v>3055</v>
      </c>
      <c r="AW12" s="788"/>
      <c r="AX12" s="2300">
        <f>YEAR(IMP_ST_DATE)</f>
        <v>2022</v>
      </c>
      <c r="AY12" s="2300"/>
      <c r="AZ12" s="2300"/>
      <c r="BA12" s="2300"/>
      <c r="BB12" s="2300">
        <f>YEAR(IMP_ST_DATE)+1</f>
        <v>2023</v>
      </c>
      <c r="BC12" s="2300"/>
      <c r="BD12" s="2300"/>
      <c r="BE12" s="2300"/>
      <c r="BF12" s="2300">
        <f>YEAR(IMP_ST_DATE)+2</f>
        <v>2024</v>
      </c>
      <c r="BG12" s="2300"/>
      <c r="BH12" s="2300"/>
      <c r="BI12" s="2300"/>
    </row>
    <row r="13" spans="1:62" s="323" customFormat="1" ht="39" customHeight="1" thickBot="1">
      <c r="A13" s="2313"/>
      <c r="B13" s="2314"/>
      <c r="C13" s="2314"/>
      <c r="D13" s="2314"/>
      <c r="E13" s="2313"/>
      <c r="F13" s="2314"/>
      <c r="G13" s="2314"/>
      <c r="H13" s="2314"/>
      <c r="I13" s="2317"/>
      <c r="J13" s="2318"/>
      <c r="K13" s="2318"/>
      <c r="L13" s="2311"/>
      <c r="M13" s="2326"/>
      <c r="N13" s="769" t="str">
        <f>VLOOKUP("Y1 Unit cost (payment currency)",Language!$D$37:$G$109,$K$1,FALSE)</f>
        <v>Costo unitario del A1</v>
      </c>
      <c r="O13" s="340" t="str">
        <f>VLOOKUP("Y1 Q1 quantity",Language!$D$37:$G$109,$K$1,FALSE)</f>
        <v>Cantidad del A1, T1</v>
      </c>
      <c r="P13" s="340" t="str">
        <f>VLOOKUP("Y1 Q2 quantity",Language!$D$37:$G$109,$K$1,FALSE)</f>
        <v>Cantidad del A1, T2</v>
      </c>
      <c r="Q13" s="340" t="str">
        <f>VLOOKUP("Y1 Q3 quantity",Language!$D$37:$G$109,$K$1,FALSE)</f>
        <v>Cantidad del A1, T3</v>
      </c>
      <c r="R13" s="340" t="str">
        <f>VLOOKUP("Y1 Q4 quantity",Language!$D$37:$G$109,$K$1,FALSE)</f>
        <v>Cantidad del A1, T4</v>
      </c>
      <c r="S13" s="340" t="str">
        <f>VLOOKUP("Y1 Total quantity",Language!$D$37:$G$109,$K$1,FALSE)</f>
        <v>Cantidad total del A1</v>
      </c>
      <c r="T13" s="759" t="str">
        <f>VLOOKUP("Y1 Total cost",Language!$D$37:$G$109,$K$1,FALSE)</f>
        <v>Costo total del A1</v>
      </c>
      <c r="U13" s="769" t="str">
        <f>VLOOKUP("Y2 Unit cost",Language!$D$37:$G$109,$K$1,FALSE)</f>
        <v>Costo unitario del A2</v>
      </c>
      <c r="V13" s="340" t="str">
        <f>VLOOKUP("Y2 Q1 quantity",Language!$D$37:$G$109,$K$1,FALSE)</f>
        <v>Cantidad del A2, T1</v>
      </c>
      <c r="W13" s="340" t="str">
        <f>VLOOKUP("Y2 Q2 quantity",Language!$D$37:$G$109,$K$1,FALSE)</f>
        <v>Cantidad del A2, T2</v>
      </c>
      <c r="X13" s="340" t="str">
        <f>VLOOKUP("Y2 Q3 quantity",Language!$D$37:$G$109,$K$1,FALSE)</f>
        <v>Cantidad del A2, T3</v>
      </c>
      <c r="Y13" s="340" t="str">
        <f>VLOOKUP("Y2 Q4 quantity",Language!$D$37:$G$109,$K$1,FALSE)</f>
        <v>Cantidad del A2, T4</v>
      </c>
      <c r="Z13" s="340" t="str">
        <f>VLOOKUP("Y2 Total quantity",Language!$D$37:$G$109,$K$1,FALSE)</f>
        <v>Cantidad total del A2</v>
      </c>
      <c r="AA13" s="759" t="str">
        <f>VLOOKUP("Y2 Total cost",Language!$D$37:$G$109,$K$1,FALSE)</f>
        <v>Costo total del A2</v>
      </c>
      <c r="AB13" s="769" t="str">
        <f>VLOOKUP("Y3 Unit cost",Language!$D$37:$G$109,$K$1,FALSE)</f>
        <v>Costo unitario del A3</v>
      </c>
      <c r="AC13" s="340" t="str">
        <f>VLOOKUP("Y3 Q1 quantity",Language!$D$37:$G$109,$K$1,FALSE)</f>
        <v>Cantidad del A3, T1</v>
      </c>
      <c r="AD13" s="340" t="str">
        <f>VLOOKUP("Y3 Q2 quantity",Language!$D$37:$G$109,$K$1,FALSE)</f>
        <v>Cantidad del A3, T2</v>
      </c>
      <c r="AE13" s="340" t="str">
        <f>VLOOKUP("Y3 Q3 quantity",Language!$D$37:$G$109,$K$1,FALSE)</f>
        <v>Cantidad del A3, T3</v>
      </c>
      <c r="AF13" s="340" t="str">
        <f>VLOOKUP("Y3 Q4 quantity",Language!$D$37:$G$109,$K$1,FALSE)</f>
        <v>Cantidad del A3, T4</v>
      </c>
      <c r="AG13" s="340" t="str">
        <f>VLOOKUP("Y3 Total quantity",Language!$D$37:$G$109,$K$1,FALSE)</f>
        <v>Cantidad total del A3</v>
      </c>
      <c r="AH13" s="759" t="str">
        <f>VLOOKUP("Y3 Total cost",Language!$D$37:$G$109,$K$1,FALSE)</f>
        <v>Costo total del A3</v>
      </c>
      <c r="AI13" s="339" t="str">
        <f>VLOOKUP("Total quantity",Language!$D$37:$G$109,$K$1,FALSE)</f>
        <v>Cantidad total</v>
      </c>
      <c r="AJ13" s="759" t="str">
        <f>VLOOKUP("Total cost ",Language!$D$37:$G$109,$K$1,FALSE)</f>
        <v xml:space="preserve">Costo total </v>
      </c>
      <c r="AK13" s="341" t="str">
        <f>VLOOKUP("Cost input",Language!$D$37:$G$109,$K$1,FALSE)</f>
        <v>Categoría de costos</v>
      </c>
      <c r="AL13" s="2296"/>
      <c r="AM13" s="2296"/>
      <c r="AN13" s="2296"/>
      <c r="AW13" s="342"/>
      <c r="AX13" s="343" t="s">
        <v>1213</v>
      </c>
      <c r="AY13" s="343" t="s">
        <v>1214</v>
      </c>
      <c r="AZ13" s="343" t="s">
        <v>1215</v>
      </c>
      <c r="BA13" s="343" t="s">
        <v>1216</v>
      </c>
      <c r="BB13" s="343" t="s">
        <v>1217</v>
      </c>
      <c r="BC13" s="343" t="s">
        <v>1218</v>
      </c>
      <c r="BD13" s="343" t="s">
        <v>1220</v>
      </c>
      <c r="BE13" s="343" t="s">
        <v>1221</v>
      </c>
      <c r="BF13" s="343" t="s">
        <v>1222</v>
      </c>
      <c r="BG13" s="343" t="s">
        <v>1223</v>
      </c>
      <c r="BH13" s="343" t="s">
        <v>1219</v>
      </c>
      <c r="BI13" s="343" t="s">
        <v>1224</v>
      </c>
    </row>
    <row r="14" spans="1:62" s="8" customFormat="1">
      <c r="A14" s="2351"/>
      <c r="B14" s="2352"/>
      <c r="C14" s="2352"/>
      <c r="D14" s="2352"/>
      <c r="E14" s="2319"/>
      <c r="F14" s="2320"/>
      <c r="G14" s="2320"/>
      <c r="H14" s="2320"/>
      <c r="I14" s="2319"/>
      <c r="J14" s="2320"/>
      <c r="K14" s="2320"/>
      <c r="L14" s="1163" t="str">
        <f>IF($A14&lt;&gt;"",IFERROR(INDEX(PMtbl[[WKst]:[Unit of measure*]],MATCH($A$8&amp;$A14&amp;$E14&amp;$I14,INDEX(PMtbl[Sec]&amp;PMtbl[Category]&amp;PMtbl[INN]&amp;PMtbl[Specification],0,),0),8),""),"")</f>
        <v/>
      </c>
      <c r="M14" s="1145" t="str">
        <f>IF(L14="", "",SETUP!$E$5)</f>
        <v/>
      </c>
      <c r="N14" s="770"/>
      <c r="O14" s="369"/>
      <c r="P14" s="369"/>
      <c r="Q14" s="369"/>
      <c r="R14" s="369"/>
      <c r="S14" s="344">
        <f>SUM('HIV-Pharmaceuticals'!$O14:$R14)</f>
        <v>0</v>
      </c>
      <c r="T14" s="780">
        <f>'HIV-Pharmaceuticals'!$N14*'HIV-Pharmaceuticals'!$S14</f>
        <v>0</v>
      </c>
      <c r="U14" s="770"/>
      <c r="V14" s="369"/>
      <c r="W14" s="369"/>
      <c r="X14" s="369"/>
      <c r="Y14" s="369"/>
      <c r="Z14" s="345">
        <f>SUM('HIV-Pharmaceuticals'!$V14:$Y14)</f>
        <v>0</v>
      </c>
      <c r="AA14" s="760">
        <f>'HIV-Pharmaceuticals'!$U14*'HIV-Pharmaceuticals'!$Z14</f>
        <v>0</v>
      </c>
      <c r="AB14" s="770"/>
      <c r="AC14" s="369"/>
      <c r="AD14" s="369"/>
      <c r="AE14" s="369"/>
      <c r="AF14" s="369"/>
      <c r="AG14" s="345">
        <f>SUM('HIV-Pharmaceuticals'!$AC14:$AF14)</f>
        <v>0</v>
      </c>
      <c r="AH14" s="760">
        <f>'HIV-Pharmaceuticals'!$AB14*'HIV-Pharmaceuticals'!$AG14</f>
        <v>0</v>
      </c>
      <c r="AI14" s="346">
        <f>'HIV-Pharmaceuticals'!$S14+'HIV-Pharmaceuticals'!$Z14+'HIV-Pharmaceuticals'!$AG14</f>
        <v>0</v>
      </c>
      <c r="AJ14" s="760">
        <f>'HIV-Pharmaceuticals'!$T14+'HIV-Pharmaceuticals'!$AA14+'HIV-Pharmaceuticals'!$AH14</f>
        <v>0</v>
      </c>
      <c r="AK14" s="1146" t="str">
        <f>IF(A14&lt;&gt;"",IFERROR(INDEX(PMtbl[[WKst]:[Unit of measure*]],MATCH($A$8&amp;$A14&amp;$E14&amp;$I14,INDEX(PMtbl[Sec]&amp;PMtbl[Category]&amp;PMtbl[INN]&amp;PMtbl[Specification],0,),0),7),""),"")</f>
        <v/>
      </c>
      <c r="AL14" s="2048"/>
      <c r="AM14" s="1379" t="str">
        <f>IFERROR(INDEX(SETUP!$C$19:$G$62,MATCH((INDEX(PMtbl[[WKst]:[Unit of measure*]],MATCH($A14&amp;$E14&amp;$I14,INDEX(PMtbl[Category]&amp;PMtbl[INN]&amp;PMtbl[Specification],0,),0),3)),SETUP!$D$19:$D$62,0),5),"")</f>
        <v/>
      </c>
      <c r="AN14" s="1379"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O14" s="1471"/>
      <c r="AW14" s="1147" t="s">
        <v>436</v>
      </c>
      <c r="AX14" s="455">
        <f>SUMPRODUCT(($A$14:$A$99="ARVs")*($N$14:$N$99)*((O14:O99)))</f>
        <v>0</v>
      </c>
      <c r="AY14" s="455">
        <f>SUMPRODUCT(($A$14:$A$99="ARVs")*($N$14:$N$99)*((P14:P99)))</f>
        <v>0</v>
      </c>
      <c r="AZ14" s="455">
        <f>SUMPRODUCT(($A$14:$A$99="ARVs")*($N$14:$N$99)*((Q14:Q99)))</f>
        <v>0</v>
      </c>
      <c r="BA14" s="455">
        <f>SUMPRODUCT(($A$14:$A$99="ARVs")*($N$14:$N$99)*((R14:R99)))</f>
        <v>0</v>
      </c>
      <c r="BB14" s="455">
        <f>SUMPRODUCT(($A$14:$A$99="ARVs")*($U$14:$U$99)*((V14:V99)))</f>
        <v>0</v>
      </c>
      <c r="BC14" s="455">
        <f>SUMPRODUCT(($A$14:$A$99="ARVs")*($U$14:$U$99)*((W14:W99)))</f>
        <v>0</v>
      </c>
      <c r="BD14" s="455">
        <f>SUMPRODUCT(($A$14:$A$99="ARVs")*($U$14:$U$99)*((X14:X99)))</f>
        <v>0</v>
      </c>
      <c r="BE14" s="455">
        <f>SUMPRODUCT(($A$14:$A$99="ARVs")*($U$14:$U$99)*((Y14:Y99)))</f>
        <v>0</v>
      </c>
      <c r="BF14" s="455">
        <f>SUMPRODUCT(($A$14:$A$99="ARVs")*($AB$14:$AB$99)*((AC14:AC99)))</f>
        <v>0</v>
      </c>
      <c r="BG14" s="455">
        <f>SUMPRODUCT(($A$14:$A$99="ARVs")*($AB$14:$AB$99)*((AD14:AD99)))</f>
        <v>0</v>
      </c>
      <c r="BH14" s="455">
        <f>SUMPRODUCT(($A$14:$A$99="ARVs")*($AB$14:$AB$99)*((AE14:AE99)))</f>
        <v>0</v>
      </c>
      <c r="BI14" s="455">
        <f>SUMPRODUCT(($A$14:$A$99="ARVs")*($AB$14:$AB$99)*((AF14:AF99)))</f>
        <v>0</v>
      </c>
      <c r="BJ14" s="1720">
        <f>SUM(AX14:BI14)</f>
        <v>0</v>
      </c>
    </row>
    <row r="15" spans="1:62" s="8" customFormat="1">
      <c r="A15" s="2330"/>
      <c r="B15" s="2331"/>
      <c r="C15" s="2331"/>
      <c r="D15" s="2331"/>
      <c r="E15" s="2303"/>
      <c r="F15" s="2304"/>
      <c r="G15" s="2304"/>
      <c r="H15" s="2304"/>
      <c r="I15" s="2303"/>
      <c r="J15" s="2304"/>
      <c r="K15" s="2304"/>
      <c r="L15" s="1164" t="str">
        <f>IF($A15&lt;&gt;"",IFERROR(INDEX(PMtbl[[WKst]:[Unit of measure*]],MATCH($A$8&amp;$A15&amp;$E15&amp;$I15,INDEX(PMtbl[Sec]&amp;PMtbl[Category]&amp;PMtbl[INN]&amp;PMtbl[Specification],0,),0),8),""),"")</f>
        <v/>
      </c>
      <c r="M15" s="1148" t="str">
        <f>IF(L15="", "",SETUP!$E$5)</f>
        <v/>
      </c>
      <c r="N15" s="772"/>
      <c r="O15" s="370"/>
      <c r="P15" s="370"/>
      <c r="Q15" s="370"/>
      <c r="R15" s="370"/>
      <c r="S15" s="11">
        <f>SUM('HIV-Pharmaceuticals'!$O15:$R15)</f>
        <v>0</v>
      </c>
      <c r="T15" s="781">
        <f>'HIV-Pharmaceuticals'!$N15*'HIV-Pharmaceuticals'!$S15</f>
        <v>0</v>
      </c>
      <c r="U15" s="772"/>
      <c r="V15" s="374"/>
      <c r="W15" s="374"/>
      <c r="X15" s="374"/>
      <c r="Y15" s="374"/>
      <c r="Z15" s="348">
        <f>SUM('HIV-Pharmaceuticals'!$V15:$Y15)</f>
        <v>0</v>
      </c>
      <c r="AA15" s="771">
        <f>'HIV-Pharmaceuticals'!$U15*'HIV-Pharmaceuticals'!$Z15</f>
        <v>0</v>
      </c>
      <c r="AB15" s="772"/>
      <c r="AC15" s="370"/>
      <c r="AD15" s="370"/>
      <c r="AE15" s="370"/>
      <c r="AF15" s="370"/>
      <c r="AG15" s="349">
        <f>SUM('HIV-Pharmaceuticals'!$AC15:$AF15)</f>
        <v>0</v>
      </c>
      <c r="AH15" s="761">
        <f>'HIV-Pharmaceuticals'!$AB15*'HIV-Pharmaceuticals'!$AG15</f>
        <v>0</v>
      </c>
      <c r="AI15" s="350">
        <f>'HIV-Pharmaceuticals'!$S15+'HIV-Pharmaceuticals'!$Z15+'HIV-Pharmaceuticals'!$AG15</f>
        <v>0</v>
      </c>
      <c r="AJ15" s="761">
        <f>'HIV-Pharmaceuticals'!$T15+'HIV-Pharmaceuticals'!$AA15+'HIV-Pharmaceuticals'!$AH15</f>
        <v>0</v>
      </c>
      <c r="AK15" s="1149" t="str">
        <f>IF(A15&lt;&gt;"",IFERROR(INDEX(PMtbl[[WKst]:[Unit of measure*]],MATCH($A$8&amp;$A15&amp;$E15&amp;$I15,INDEX(PMtbl[Sec]&amp;PMtbl[Category]&amp;PMtbl[INN]&amp;PMtbl[Specification],0,),0),7),""),"")</f>
        <v/>
      </c>
      <c r="AL15" s="2049"/>
      <c r="AM15" s="1500" t="str">
        <f>IFERROR(INDEX(SETUP!$C$19:$G$62,MATCH((INDEX(PMtbl[[WKst]:[Unit of measure*]],MATCH($A15&amp;$E15&amp;$I15,INDEX(PMtbl[Category]&amp;PMtbl[INN]&amp;PMtbl[Specification],0,),0),3)),SETUP!$D$19:$D$62,0),5),"")</f>
        <v/>
      </c>
      <c r="AN15" s="1500"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W15" s="1147" t="s">
        <v>44</v>
      </c>
      <c r="AX15" s="455">
        <f>SUMPRODUCT(($A$14:$A$99="Opioid substitute medicines")*($N$14:$N$99)*((O14:O99)))</f>
        <v>0</v>
      </c>
      <c r="AY15" s="455">
        <f>SUMPRODUCT(($A$14:$A$99="Opioid substitute medicines")*($N$14:$N$99)*((P14:P99)))</f>
        <v>0</v>
      </c>
      <c r="AZ15" s="455">
        <f>SUMPRODUCT(($A$14:$A$99="Opioid substitute medicines")*($N$14:$N$99)*((Q14:Q99)))</f>
        <v>0</v>
      </c>
      <c r="BA15" s="455">
        <f>SUMPRODUCT(($A$14:$A$99="Opioid substitute medicines")*($N$14:$N$99)*((R14:R99)))</f>
        <v>0</v>
      </c>
      <c r="BB15" s="455">
        <f>SUMPRODUCT(($A$14:$A$99="Opioid substitute medicines")*($U$14:$U$99)*((V14:V99)))</f>
        <v>0</v>
      </c>
      <c r="BC15" s="455">
        <f>SUMPRODUCT(($A$14:$A$99="Opioid substitute medicines")*($U$14:$U$99)*((W14:W99)))</f>
        <v>0</v>
      </c>
      <c r="BD15" s="455">
        <f>SUMPRODUCT(($A$14:$A$99="Opioid substitute medicines")*($U$14:$U$99)*((X14:X99)))</f>
        <v>0</v>
      </c>
      <c r="BE15" s="455">
        <f>SUMPRODUCT(($A$14:$A$99="Opioid substitute medicines")*($U$14:$U$99)*((Y14:Y99)))</f>
        <v>0</v>
      </c>
      <c r="BF15" s="455">
        <f>SUMPRODUCT(($A$14:$A$99="Opioid substitute medicines")*($AB$14:$AB$99)*((AC14:AC99)))</f>
        <v>0</v>
      </c>
      <c r="BG15" s="455">
        <f>SUMPRODUCT(($A$14:$A$99="Opioid substitute medicines")*($AB$14:$AB$99)*((AD14:AD99)))</f>
        <v>0</v>
      </c>
      <c r="BH15" s="455">
        <f>SUMPRODUCT(($A$14:$A$99="Opioid substitute medicines")*($AB$14:$AB$99)*((AE14:AE99)))</f>
        <v>0</v>
      </c>
      <c r="BI15" s="455">
        <f>SUMPRODUCT(($A$14:$A$99="Opioid substitute medicines")*($AB$14:$AB$99)*((AF14:AF99)))</f>
        <v>0</v>
      </c>
      <c r="BJ15" s="1720">
        <f>SUM(AX15:BI15)</f>
        <v>0</v>
      </c>
    </row>
    <row r="16" spans="1:62">
      <c r="A16" s="2336"/>
      <c r="B16" s="2337"/>
      <c r="C16" s="2337"/>
      <c r="D16" s="2337"/>
      <c r="E16" s="2301"/>
      <c r="F16" s="2302"/>
      <c r="G16" s="2302"/>
      <c r="H16" s="2302"/>
      <c r="I16" s="2301"/>
      <c r="J16" s="2302"/>
      <c r="K16" s="2302"/>
      <c r="L16" s="1165" t="str">
        <f>IF($A16&lt;&gt;"",IFERROR(INDEX(PMtbl[[WKst]:[Unit of measure*]],MATCH($A$8&amp;$A16&amp;$E16&amp;$I16,INDEX(PMtbl[Sec]&amp;PMtbl[Category]&amp;PMtbl[INN]&amp;PMtbl[Specification],0,),0),8),""),"")</f>
        <v/>
      </c>
      <c r="M16" s="270" t="str">
        <f>IF(L16="", "",SETUP!$E$5)</f>
        <v/>
      </c>
      <c r="N16" s="774"/>
      <c r="O16" s="371"/>
      <c r="P16" s="371"/>
      <c r="Q16" s="371"/>
      <c r="R16" s="371"/>
      <c r="S16" s="10">
        <f>SUM('HIV-Pharmaceuticals'!$O16:$R16)</f>
        <v>0</v>
      </c>
      <c r="T16" s="782">
        <f>'HIV-Pharmaceuticals'!$N16*'HIV-Pharmaceuticals'!$S16</f>
        <v>0</v>
      </c>
      <c r="U16" s="774"/>
      <c r="V16" s="375"/>
      <c r="W16" s="375"/>
      <c r="X16" s="375"/>
      <c r="Y16" s="375"/>
      <c r="Z16" s="352">
        <f>SUM('HIV-Pharmaceuticals'!$V16:$Y16)</f>
        <v>0</v>
      </c>
      <c r="AA16" s="773">
        <f>'HIV-Pharmaceuticals'!$U16*'HIV-Pharmaceuticals'!$Z16</f>
        <v>0</v>
      </c>
      <c r="AB16" s="774"/>
      <c r="AC16" s="371"/>
      <c r="AD16" s="371"/>
      <c r="AE16" s="371"/>
      <c r="AF16" s="371"/>
      <c r="AG16" s="353">
        <f>SUM('HIV-Pharmaceuticals'!$AC16:$AF16)</f>
        <v>0</v>
      </c>
      <c r="AH16" s="762">
        <f>'HIV-Pharmaceuticals'!$AB16*'HIV-Pharmaceuticals'!$AG16</f>
        <v>0</v>
      </c>
      <c r="AI16" s="354">
        <f>'HIV-Pharmaceuticals'!$S16+'HIV-Pharmaceuticals'!$Z16+'HIV-Pharmaceuticals'!$AG16</f>
        <v>0</v>
      </c>
      <c r="AJ16" s="762">
        <f>'HIV-Pharmaceuticals'!$T16+'HIV-Pharmaceuticals'!$AA16+'HIV-Pharmaceuticals'!$AH16</f>
        <v>0</v>
      </c>
      <c r="AK16" s="355" t="str">
        <f>IF(A16&lt;&gt;"",IFERROR(INDEX(PMtbl[[WKst]:[Unit of measure*]],MATCH($A$8&amp;$A16&amp;$E16&amp;$I16,INDEX(PMtbl[Sec]&amp;PMtbl[Category]&amp;PMtbl[INN]&amp;PMtbl[Specification],0,),0),7),""),"")</f>
        <v/>
      </c>
      <c r="AL16" s="2050"/>
      <c r="AM16" s="1501" t="str">
        <f>IFERROR(INDEX(SETUP!$C$19:$G$62,MATCH((INDEX(PMtbl[[WKst]:[Unit of measure*]],MATCH($A16&amp;$E16&amp;$I16,INDEX(PMtbl[Category]&amp;PMtbl[INN]&amp;PMtbl[Specification],0,),0),3)),SETUP!$D$19:$D$62,0),5),"")</f>
        <v/>
      </c>
      <c r="AN16" s="1501"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W16" s="347" t="s">
        <v>2834</v>
      </c>
      <c r="AX16" s="455">
        <f>SUMPRODUCT(($N$107:$N$192)*((O107:O192)))</f>
        <v>0</v>
      </c>
      <c r="AY16" s="455">
        <f>SUMPRODUCT(($N$107:$N$192)*((P107:P192)))</f>
        <v>152112.5</v>
      </c>
      <c r="AZ16" s="455">
        <f>SUMPRODUCT(($N$107:$N$192)*((Q107:Q192)))</f>
        <v>0</v>
      </c>
      <c r="BA16" s="455">
        <f>SUMPRODUCT(($N$107:$N$192)*((R107:R192)))</f>
        <v>0</v>
      </c>
      <c r="BB16" s="455">
        <f>SUMPRODUCT(($U$107:$U$192)*((V107:V192)))</f>
        <v>0</v>
      </c>
      <c r="BC16" s="455">
        <f>SUMPRODUCT(($U$107:$U$192)*((W107:W192)))</f>
        <v>152112.5</v>
      </c>
      <c r="BD16" s="455">
        <f>SUMPRODUCT(($U$107:$U$192)*((X107:X192)))</f>
        <v>0</v>
      </c>
      <c r="BE16" s="455">
        <f>SUMPRODUCT(($U$107:$U$192)*((Y107:Y192)))</f>
        <v>0</v>
      </c>
      <c r="BF16" s="455">
        <f>SUMPRODUCT(($AB$107:$AB$192)*((AC107:AC192)))</f>
        <v>0</v>
      </c>
      <c r="BG16" s="455">
        <f>SUMPRODUCT(($AB$107:$AB$192)*((AD107:AD192)))</f>
        <v>152112.5</v>
      </c>
      <c r="BH16" s="455">
        <f>SUMPRODUCT(($AB$107:$AB$192)*((AE107:AE192)))</f>
        <v>0</v>
      </c>
      <c r="BI16" s="455">
        <f>SUMPRODUCT(($AB$107:$AB$192)*((AF107:AF192)))</f>
        <v>0</v>
      </c>
      <c r="BJ16" s="1720">
        <f>SUM(AX16:BI16)</f>
        <v>456337.5</v>
      </c>
    </row>
    <row r="17" spans="1:62">
      <c r="A17" s="2330"/>
      <c r="B17" s="2331"/>
      <c r="C17" s="2331"/>
      <c r="D17" s="2331"/>
      <c r="E17" s="2303"/>
      <c r="F17" s="2304"/>
      <c r="G17" s="2304"/>
      <c r="H17" s="2304"/>
      <c r="I17" s="2303"/>
      <c r="J17" s="2304"/>
      <c r="K17" s="2304"/>
      <c r="L17" s="1166" t="str">
        <f>IF($A17&lt;&gt;"",IFERROR(INDEX(PMtbl[[WKst]:[Unit of measure*]],MATCH($A$8&amp;$A17&amp;$E17&amp;$I17,INDEX(PMtbl[Sec]&amp;PMtbl[Category]&amp;PMtbl[INN]&amp;PMtbl[Specification],0,),0),8),""),"")</f>
        <v/>
      </c>
      <c r="M17" s="269" t="str">
        <f>IF(L17="", "",SETUP!$E$5)</f>
        <v/>
      </c>
      <c r="N17" s="772"/>
      <c r="O17" s="370"/>
      <c r="P17" s="370"/>
      <c r="Q17" s="370"/>
      <c r="R17" s="370"/>
      <c r="S17" s="11">
        <f>SUM('HIV-Pharmaceuticals'!$O17:$R17)</f>
        <v>0</v>
      </c>
      <c r="T17" s="781">
        <f>'HIV-Pharmaceuticals'!$N17*'HIV-Pharmaceuticals'!$S17</f>
        <v>0</v>
      </c>
      <c r="U17" s="772"/>
      <c r="V17" s="374"/>
      <c r="W17" s="374"/>
      <c r="X17" s="374"/>
      <c r="Y17" s="374"/>
      <c r="Z17" s="348">
        <f>SUM('HIV-Pharmaceuticals'!$V17:$Y17)</f>
        <v>0</v>
      </c>
      <c r="AA17" s="771">
        <f>'HIV-Pharmaceuticals'!$U17*'HIV-Pharmaceuticals'!$Z17</f>
        <v>0</v>
      </c>
      <c r="AB17" s="772"/>
      <c r="AC17" s="370"/>
      <c r="AD17" s="370"/>
      <c r="AE17" s="370"/>
      <c r="AF17" s="370"/>
      <c r="AG17" s="349">
        <f>SUM('HIV-Pharmaceuticals'!$AC17:$AF17)</f>
        <v>0</v>
      </c>
      <c r="AH17" s="761">
        <f>'HIV-Pharmaceuticals'!$AB17*'HIV-Pharmaceuticals'!$AG17</f>
        <v>0</v>
      </c>
      <c r="AI17" s="350">
        <f>'HIV-Pharmaceuticals'!$S17+'HIV-Pharmaceuticals'!$Z17+'HIV-Pharmaceuticals'!$AG17</f>
        <v>0</v>
      </c>
      <c r="AJ17" s="761">
        <f>'HIV-Pharmaceuticals'!$T17+'HIV-Pharmaceuticals'!$AA17+'HIV-Pharmaceuticals'!$AH17</f>
        <v>0</v>
      </c>
      <c r="AK17" s="351" t="str">
        <f>IF(A17&lt;&gt;"",IFERROR(INDEX(PMtbl[[WKst]:[Unit of measure*]],MATCH($A$8&amp;$A17&amp;$E17&amp;$I17,INDEX(PMtbl[Sec]&amp;PMtbl[Category]&amp;PMtbl[INN]&amp;PMtbl[Specification],0,),0),7),""),"")</f>
        <v/>
      </c>
      <c r="AL17" s="2049"/>
      <c r="AM17" s="1500" t="str">
        <f>IFERROR(INDEX(SETUP!$C$19:$G$62,MATCH((INDEX(PMtbl[[WKst]:[Unit of measure*]],MATCH($A17&amp;$E17&amp;$I17,INDEX(PMtbl[Category]&amp;PMtbl[INN]&amp;PMtbl[Specification],0,),0),3)),SETUP!$D$19:$D$62,0),5),"")</f>
        <v/>
      </c>
      <c r="AN17" s="1500"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X17" s="1476">
        <f>SUM(AX14:AX16)</f>
        <v>0</v>
      </c>
      <c r="AY17" s="1476">
        <f t="shared" ref="AY17:BI17" si="0">SUM(AY14:AY16)</f>
        <v>152112.5</v>
      </c>
      <c r="AZ17" s="1476">
        <f t="shared" si="0"/>
        <v>0</v>
      </c>
      <c r="BA17" s="1476">
        <f t="shared" si="0"/>
        <v>0</v>
      </c>
      <c r="BB17" s="1476">
        <f t="shared" si="0"/>
        <v>0</v>
      </c>
      <c r="BC17" s="1476">
        <f t="shared" si="0"/>
        <v>152112.5</v>
      </c>
      <c r="BD17" s="1476">
        <f t="shared" si="0"/>
        <v>0</v>
      </c>
      <c r="BE17" s="1476">
        <f t="shared" si="0"/>
        <v>0</v>
      </c>
      <c r="BF17" s="1476">
        <f t="shared" si="0"/>
        <v>0</v>
      </c>
      <c r="BG17" s="1476">
        <f t="shared" si="0"/>
        <v>152112.5</v>
      </c>
      <c r="BH17" s="1476">
        <f t="shared" si="0"/>
        <v>0</v>
      </c>
      <c r="BI17" s="1476">
        <f t="shared" si="0"/>
        <v>0</v>
      </c>
    </row>
    <row r="18" spans="1:62">
      <c r="A18" s="2336"/>
      <c r="B18" s="2337"/>
      <c r="C18" s="2337"/>
      <c r="D18" s="2337"/>
      <c r="E18" s="2301"/>
      <c r="F18" s="2302"/>
      <c r="G18" s="2302"/>
      <c r="H18" s="2302"/>
      <c r="I18" s="2301"/>
      <c r="J18" s="2302"/>
      <c r="K18" s="2302"/>
      <c r="L18" s="1165" t="str">
        <f>IF($A18&lt;&gt;"",IFERROR(INDEX(PMtbl[[WKst]:[Unit of measure*]],MATCH($A$8&amp;$A18&amp;$E18&amp;$I18,INDEX(PMtbl[Sec]&amp;PMtbl[Category]&amp;PMtbl[INN]&amp;PMtbl[Specification],0,),0),8),""),"")</f>
        <v/>
      </c>
      <c r="M18" s="270" t="str">
        <f>IF(L18="", "",SETUP!$E$5)</f>
        <v/>
      </c>
      <c r="N18" s="774"/>
      <c r="O18" s="371"/>
      <c r="P18" s="371"/>
      <c r="Q18" s="371"/>
      <c r="R18" s="371"/>
      <c r="S18" s="10">
        <f>SUM('HIV-Pharmaceuticals'!$O18:$R18)</f>
        <v>0</v>
      </c>
      <c r="T18" s="782">
        <f>'HIV-Pharmaceuticals'!$N18*'HIV-Pharmaceuticals'!$S18</f>
        <v>0</v>
      </c>
      <c r="U18" s="774"/>
      <c r="V18" s="375"/>
      <c r="W18" s="375"/>
      <c r="X18" s="375"/>
      <c r="Y18" s="375"/>
      <c r="Z18" s="352">
        <f>SUM('HIV-Pharmaceuticals'!$V18:$Y18)</f>
        <v>0</v>
      </c>
      <c r="AA18" s="773">
        <f>'HIV-Pharmaceuticals'!$U18*'HIV-Pharmaceuticals'!$Z18</f>
        <v>0</v>
      </c>
      <c r="AB18" s="774"/>
      <c r="AC18" s="371"/>
      <c r="AD18" s="371"/>
      <c r="AE18" s="371"/>
      <c r="AF18" s="371"/>
      <c r="AG18" s="353">
        <f>SUM('HIV-Pharmaceuticals'!$AC18:$AF18)</f>
        <v>0</v>
      </c>
      <c r="AH18" s="762">
        <f>'HIV-Pharmaceuticals'!$AB18*'HIV-Pharmaceuticals'!$AG18</f>
        <v>0</v>
      </c>
      <c r="AI18" s="354">
        <f>'HIV-Pharmaceuticals'!$S18+'HIV-Pharmaceuticals'!$Z18+'HIV-Pharmaceuticals'!$AG18</f>
        <v>0</v>
      </c>
      <c r="AJ18" s="762">
        <f>'HIV-Pharmaceuticals'!$T18+'HIV-Pharmaceuticals'!$AA18+'HIV-Pharmaceuticals'!$AH18</f>
        <v>0</v>
      </c>
      <c r="AK18" s="355" t="str">
        <f>IF(A18&lt;&gt;"",IFERROR(INDEX(PMtbl[[WKst]:[Unit of measure*]],MATCH($A$8&amp;$A18&amp;$E18&amp;$I18,INDEX(PMtbl[Sec]&amp;PMtbl[Category]&amp;PMtbl[INN]&amp;PMtbl[Specification],0,),0),7),""),"")</f>
        <v/>
      </c>
      <c r="AL18" s="2050"/>
      <c r="AM18" s="1501" t="str">
        <f>IFERROR(INDEX(SETUP!$C$19:$G$62,MATCH((INDEX(PMtbl[[WKst]:[Unit of measure*]],MATCH($A18&amp;$E18&amp;$I18,INDEX(PMtbl[Category]&amp;PMtbl[INN]&amp;PMtbl[Specification],0,),0),3)),SETUP!$D$19:$D$62,0),5),"")</f>
        <v/>
      </c>
      <c r="AN18" s="1501"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X18" s="1719"/>
    </row>
    <row r="19" spans="1:62">
      <c r="A19" s="2330"/>
      <c r="B19" s="2331"/>
      <c r="C19" s="2331"/>
      <c r="D19" s="2331"/>
      <c r="E19" s="2303"/>
      <c r="F19" s="2304"/>
      <c r="G19" s="2304"/>
      <c r="H19" s="2304"/>
      <c r="I19" s="2303"/>
      <c r="J19" s="2304"/>
      <c r="K19" s="2304"/>
      <c r="L19" s="1166" t="str">
        <f>IF($A19&lt;&gt;"",IFERROR(INDEX(PMtbl[[WKst]:[Unit of measure*]],MATCH($A$8&amp;$A19&amp;$E19&amp;$I19,INDEX(PMtbl[Sec]&amp;PMtbl[Category]&amp;PMtbl[INN]&amp;PMtbl[Specification],0,),0),8),""),"")</f>
        <v/>
      </c>
      <c r="M19" s="269" t="str">
        <f>IF(L19="", "",SETUP!$E$5)</f>
        <v/>
      </c>
      <c r="N19" s="772"/>
      <c r="O19" s="370"/>
      <c r="P19" s="370"/>
      <c r="Q19" s="370"/>
      <c r="R19" s="370"/>
      <c r="S19" s="11">
        <f>SUM('HIV-Pharmaceuticals'!$O19:$R19)</f>
        <v>0</v>
      </c>
      <c r="T19" s="781">
        <f>'HIV-Pharmaceuticals'!$N19*'HIV-Pharmaceuticals'!$S19</f>
        <v>0</v>
      </c>
      <c r="U19" s="772"/>
      <c r="V19" s="374"/>
      <c r="W19" s="374"/>
      <c r="X19" s="374"/>
      <c r="Y19" s="374"/>
      <c r="Z19" s="348">
        <f>SUM('HIV-Pharmaceuticals'!$V19:$Y19)</f>
        <v>0</v>
      </c>
      <c r="AA19" s="771">
        <f>'HIV-Pharmaceuticals'!$U19*'HIV-Pharmaceuticals'!$Z19</f>
        <v>0</v>
      </c>
      <c r="AB19" s="772"/>
      <c r="AC19" s="370"/>
      <c r="AD19" s="370"/>
      <c r="AE19" s="370"/>
      <c r="AF19" s="370"/>
      <c r="AG19" s="349">
        <f>SUM('HIV-Pharmaceuticals'!$AC19:$AF19)</f>
        <v>0</v>
      </c>
      <c r="AH19" s="761">
        <f>'HIV-Pharmaceuticals'!$AB19*'HIV-Pharmaceuticals'!$AG19</f>
        <v>0</v>
      </c>
      <c r="AI19" s="350">
        <f>'HIV-Pharmaceuticals'!$S19+'HIV-Pharmaceuticals'!$Z19+'HIV-Pharmaceuticals'!$AG19</f>
        <v>0</v>
      </c>
      <c r="AJ19" s="761">
        <f>'HIV-Pharmaceuticals'!$T19+'HIV-Pharmaceuticals'!$AA19+'HIV-Pharmaceuticals'!$AH19</f>
        <v>0</v>
      </c>
      <c r="AK19" s="351" t="str">
        <f>IF(A19&lt;&gt;"",IFERROR(INDEX(PMtbl[[WKst]:[Unit of measure*]],MATCH($A$8&amp;$A19&amp;$E19&amp;$I19,INDEX(PMtbl[Sec]&amp;PMtbl[Category]&amp;PMtbl[INN]&amp;PMtbl[Specification],0,),0),7),""),"")</f>
        <v/>
      </c>
      <c r="AL19" s="2049"/>
      <c r="AM19" s="1500" t="str">
        <f>IFERROR(INDEX(SETUP!$C$19:$G$62,MATCH((INDEX(PMtbl[[WKst]:[Unit of measure*]],MATCH($A19&amp;$E19&amp;$I19,INDEX(PMtbl[Category]&amp;PMtbl[INN]&amp;PMtbl[Specification],0,),0),3)),SETUP!$D$19:$D$62,0),5),"")</f>
        <v/>
      </c>
      <c r="AN19" s="1500"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row>
    <row r="20" spans="1:62">
      <c r="A20" s="2336"/>
      <c r="B20" s="2337"/>
      <c r="C20" s="2337"/>
      <c r="D20" s="2338"/>
      <c r="E20" s="2301"/>
      <c r="F20" s="2302"/>
      <c r="G20" s="2302"/>
      <c r="H20" s="2307"/>
      <c r="I20" s="2301"/>
      <c r="J20" s="2302"/>
      <c r="K20" s="2307"/>
      <c r="L20" s="1165" t="str">
        <f>IF($A20&lt;&gt;"",IFERROR(INDEX(PMtbl[[WKst]:[Unit of measure*]],MATCH($A$8&amp;$A20&amp;$E20&amp;$I20,INDEX(PMtbl[Sec]&amp;PMtbl[Category]&amp;PMtbl[INN]&amp;PMtbl[Specification],0,),0),8),""),"")</f>
        <v/>
      </c>
      <c r="M20" s="270" t="str">
        <f>IF(L20="", "",SETUP!$E$5)</f>
        <v/>
      </c>
      <c r="N20" s="774"/>
      <c r="O20" s="371"/>
      <c r="P20" s="371"/>
      <c r="Q20" s="371"/>
      <c r="R20" s="371"/>
      <c r="S20" s="10">
        <f>SUM('HIV-Pharmaceuticals'!$O20:$R20)</f>
        <v>0</v>
      </c>
      <c r="T20" s="782">
        <f>'HIV-Pharmaceuticals'!$N20*'HIV-Pharmaceuticals'!$S20</f>
        <v>0</v>
      </c>
      <c r="U20" s="774"/>
      <c r="V20" s="375"/>
      <c r="W20" s="375"/>
      <c r="X20" s="375"/>
      <c r="Y20" s="375"/>
      <c r="Z20" s="352">
        <f>SUM('HIV-Pharmaceuticals'!$V20:$Y20)</f>
        <v>0</v>
      </c>
      <c r="AA20" s="773">
        <f>'HIV-Pharmaceuticals'!$U20*'HIV-Pharmaceuticals'!$Z20</f>
        <v>0</v>
      </c>
      <c r="AB20" s="774"/>
      <c r="AC20" s="371"/>
      <c r="AD20" s="371"/>
      <c r="AE20" s="371"/>
      <c r="AF20" s="371"/>
      <c r="AG20" s="353">
        <f>SUM('HIV-Pharmaceuticals'!$AC20:$AF20)</f>
        <v>0</v>
      </c>
      <c r="AH20" s="762">
        <f>'HIV-Pharmaceuticals'!$AB20*'HIV-Pharmaceuticals'!$AG20</f>
        <v>0</v>
      </c>
      <c r="AI20" s="354">
        <f>'HIV-Pharmaceuticals'!$S20+'HIV-Pharmaceuticals'!$Z20+'HIV-Pharmaceuticals'!$AG20</f>
        <v>0</v>
      </c>
      <c r="AJ20" s="762">
        <f>'HIV-Pharmaceuticals'!$T20+'HIV-Pharmaceuticals'!$AA20+'HIV-Pharmaceuticals'!$AH20</f>
        <v>0</v>
      </c>
      <c r="AK20" s="355" t="str">
        <f>IF(A20&lt;&gt;"",IFERROR(INDEX(PMtbl[[WKst]:[Unit of measure*]],MATCH($A$8&amp;$A20&amp;$E20&amp;$I20,INDEX(PMtbl[Sec]&amp;PMtbl[Category]&amp;PMtbl[INN]&amp;PMtbl[Specification],0,),0),7),""),"")</f>
        <v/>
      </c>
      <c r="AL20" s="2050"/>
      <c r="AM20" s="1501" t="str">
        <f>IFERROR(INDEX(SETUP!$C$19:$G$62,MATCH((INDEX(PMtbl[[WKst]:[Unit of measure*]],MATCH($A20&amp;$E20&amp;$I20,INDEX(PMtbl[Category]&amp;PMtbl[INN]&amp;PMtbl[Specification],0,),0),3)),SETUP!$D$19:$D$62,0),5),"")</f>
        <v/>
      </c>
      <c r="AN20" s="1501"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row>
    <row r="21" spans="1:62">
      <c r="A21" s="2330"/>
      <c r="B21" s="2331"/>
      <c r="C21" s="2331"/>
      <c r="D21" s="2331"/>
      <c r="E21" s="2303"/>
      <c r="F21" s="2304"/>
      <c r="G21" s="2304"/>
      <c r="H21" s="2304"/>
      <c r="I21" s="2303"/>
      <c r="J21" s="2304"/>
      <c r="K21" s="2304"/>
      <c r="L21" s="1166" t="str">
        <f>IF($A21&lt;&gt;"",IFERROR(INDEX(PMtbl[[WKst]:[Unit of measure*]],MATCH($A$8&amp;$A21&amp;$E21&amp;$I21,INDEX(PMtbl[Sec]&amp;PMtbl[Category]&amp;PMtbl[INN]&amp;PMtbl[Specification],0,),0),8),""),"")</f>
        <v/>
      </c>
      <c r="M21" s="269" t="str">
        <f>IF(L21="", "",SETUP!$E$5)</f>
        <v/>
      </c>
      <c r="N21" s="772"/>
      <c r="O21" s="370"/>
      <c r="P21" s="370"/>
      <c r="Q21" s="370"/>
      <c r="R21" s="370"/>
      <c r="S21" s="11">
        <f>SUM('HIV-Pharmaceuticals'!$O21:$R21)</f>
        <v>0</v>
      </c>
      <c r="T21" s="781">
        <f>'HIV-Pharmaceuticals'!$N21*'HIV-Pharmaceuticals'!$S21</f>
        <v>0</v>
      </c>
      <c r="U21" s="772"/>
      <c r="V21" s="374"/>
      <c r="W21" s="374"/>
      <c r="X21" s="374"/>
      <c r="Y21" s="374"/>
      <c r="Z21" s="348">
        <f>SUM('HIV-Pharmaceuticals'!$V21:$Y21)</f>
        <v>0</v>
      </c>
      <c r="AA21" s="771">
        <f>'HIV-Pharmaceuticals'!$U21*'HIV-Pharmaceuticals'!$Z21</f>
        <v>0</v>
      </c>
      <c r="AB21" s="772"/>
      <c r="AC21" s="370"/>
      <c r="AD21" s="370"/>
      <c r="AE21" s="370"/>
      <c r="AF21" s="370"/>
      <c r="AG21" s="349">
        <f>SUM('HIV-Pharmaceuticals'!$AC21:$AF21)</f>
        <v>0</v>
      </c>
      <c r="AH21" s="761">
        <f>'HIV-Pharmaceuticals'!$AB21*'HIV-Pharmaceuticals'!$AG21</f>
        <v>0</v>
      </c>
      <c r="AI21" s="350">
        <f>'HIV-Pharmaceuticals'!$S21+'HIV-Pharmaceuticals'!$Z21+'HIV-Pharmaceuticals'!$AG21</f>
        <v>0</v>
      </c>
      <c r="AJ21" s="761">
        <f>'HIV-Pharmaceuticals'!$T21+'HIV-Pharmaceuticals'!$AA21+'HIV-Pharmaceuticals'!$AH21</f>
        <v>0</v>
      </c>
      <c r="AK21" s="351" t="str">
        <f>IF(A21&lt;&gt;"",IFERROR(INDEX(PMtbl[[WKst]:[Unit of measure*]],MATCH($A$8&amp;$A21&amp;$E21&amp;$I21,INDEX(PMtbl[Sec]&amp;PMtbl[Category]&amp;PMtbl[INN]&amp;PMtbl[Specification],0,),0),7),""),"")</f>
        <v/>
      </c>
      <c r="AL21" s="2049"/>
      <c r="AM21" s="1500" t="str">
        <f>IFERROR(INDEX(SETUP!$C$19:$G$62,MATCH((INDEX(PMtbl[[WKst]:[Unit of measure*]],MATCH($A21&amp;$E21&amp;$I21,INDEX(PMtbl[Category]&amp;PMtbl[INN]&amp;PMtbl[Specification],0,),0),3)),SETUP!$D$19:$D$62,0),5),"")</f>
        <v/>
      </c>
      <c r="AN21" s="1500"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W21" s="337"/>
      <c r="AX21" s="2297" t="s">
        <v>1225</v>
      </c>
      <c r="AY21" s="2297"/>
      <c r="AZ21" s="2297"/>
      <c r="BA21" s="2297"/>
      <c r="BB21" s="2297"/>
      <c r="BC21" s="2297"/>
      <c r="BD21" s="2297"/>
      <c r="BE21" s="2297"/>
      <c r="BF21" s="2297"/>
      <c r="BG21" s="2297"/>
      <c r="BH21" s="2297"/>
      <c r="BI21" s="2297"/>
    </row>
    <row r="22" spans="1:62">
      <c r="A22" s="2336"/>
      <c r="B22" s="2337"/>
      <c r="C22" s="2337"/>
      <c r="D22" s="2337"/>
      <c r="E22" s="2301"/>
      <c r="F22" s="2302"/>
      <c r="G22" s="2302"/>
      <c r="H22" s="2302"/>
      <c r="I22" s="2301"/>
      <c r="J22" s="2302"/>
      <c r="K22" s="2302"/>
      <c r="L22" s="1165" t="str">
        <f>IF($A22&lt;&gt;"",IFERROR(INDEX(PMtbl[[WKst]:[Unit of measure*]],MATCH($A$8&amp;$A22&amp;$E22&amp;$I22,INDEX(PMtbl[Sec]&amp;PMtbl[Category]&amp;PMtbl[INN]&amp;PMtbl[Specification],0,),0),8),""),"")</f>
        <v/>
      </c>
      <c r="M22" s="270" t="str">
        <f>IF(L22="", "",SETUP!$E$5)</f>
        <v/>
      </c>
      <c r="N22" s="774"/>
      <c r="O22" s="371"/>
      <c r="P22" s="371"/>
      <c r="Q22" s="371"/>
      <c r="R22" s="371"/>
      <c r="S22" s="10">
        <f>SUM('HIV-Pharmaceuticals'!$O22:$R22)</f>
        <v>0</v>
      </c>
      <c r="T22" s="782">
        <f>'HIV-Pharmaceuticals'!$N22*'HIV-Pharmaceuticals'!$S22</f>
        <v>0</v>
      </c>
      <c r="U22" s="774"/>
      <c r="V22" s="375"/>
      <c r="W22" s="375"/>
      <c r="X22" s="375"/>
      <c r="Y22" s="375"/>
      <c r="Z22" s="352">
        <f>SUM('HIV-Pharmaceuticals'!$V22:$Y22)</f>
        <v>0</v>
      </c>
      <c r="AA22" s="773">
        <f>'HIV-Pharmaceuticals'!$U22*'HIV-Pharmaceuticals'!$Z22</f>
        <v>0</v>
      </c>
      <c r="AB22" s="774"/>
      <c r="AC22" s="371"/>
      <c r="AD22" s="371"/>
      <c r="AE22" s="371"/>
      <c r="AF22" s="371"/>
      <c r="AG22" s="353">
        <f>SUM('HIV-Pharmaceuticals'!$AC22:$AF22)</f>
        <v>0</v>
      </c>
      <c r="AH22" s="762">
        <f>'HIV-Pharmaceuticals'!$AB22*'HIV-Pharmaceuticals'!$AG22</f>
        <v>0</v>
      </c>
      <c r="AI22" s="354">
        <f>'HIV-Pharmaceuticals'!$S22+'HIV-Pharmaceuticals'!$Z22+'HIV-Pharmaceuticals'!$AG22</f>
        <v>0</v>
      </c>
      <c r="AJ22" s="762">
        <f>'HIV-Pharmaceuticals'!$T22+'HIV-Pharmaceuticals'!$AA22+'HIV-Pharmaceuticals'!$AH22</f>
        <v>0</v>
      </c>
      <c r="AK22" s="355" t="str">
        <f>IF(A22&lt;&gt;"",IFERROR(INDEX(PMtbl[[WKst]:[Unit of measure*]],MATCH($A$8&amp;$A22&amp;$E22&amp;$I22,INDEX(PMtbl[Sec]&amp;PMtbl[Category]&amp;PMtbl[INN]&amp;PMtbl[Specification],0,),0),7),""),"")</f>
        <v/>
      </c>
      <c r="AL22" s="2050"/>
      <c r="AM22" s="1501" t="str">
        <f>IFERROR(INDEX(SETUP!$C$19:$G$62,MATCH((INDEX(PMtbl[[WKst]:[Unit of measure*]],MATCH($A22&amp;$E22&amp;$I22,INDEX(PMtbl[Category]&amp;PMtbl[INN]&amp;PMtbl[Specification],0,),0),3)),SETUP!$D$19:$D$62,0),5),"")</f>
        <v/>
      </c>
      <c r="AN22" s="1501"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W22" s="788"/>
      <c r="AX22" s="2298">
        <f>YEAR(IMP_ST_DATE)</f>
        <v>2022</v>
      </c>
      <c r="AY22" s="2298"/>
      <c r="AZ22" s="2298"/>
      <c r="BA22" s="2298"/>
      <c r="BB22" s="2298">
        <f>YEAR(IMP_ST_DATE)+1</f>
        <v>2023</v>
      </c>
      <c r="BC22" s="2298"/>
      <c r="BD22" s="2298"/>
      <c r="BE22" s="2298"/>
      <c r="BF22" s="2298">
        <f>YEAR(IMP_ST_DATE)+2</f>
        <v>2024</v>
      </c>
      <c r="BG22" s="2298"/>
      <c r="BH22" s="2298"/>
      <c r="BI22" s="2298"/>
    </row>
    <row r="23" spans="1:62">
      <c r="A23" s="2330"/>
      <c r="B23" s="2331"/>
      <c r="C23" s="2331"/>
      <c r="D23" s="2331"/>
      <c r="E23" s="2303"/>
      <c r="F23" s="2304"/>
      <c r="G23" s="2304"/>
      <c r="H23" s="2329"/>
      <c r="I23" s="2303"/>
      <c r="J23" s="2304"/>
      <c r="K23" s="2304"/>
      <c r="L23" s="1166" t="str">
        <f>IF($A23&lt;&gt;"",IFERROR(INDEX(PMtbl[[WKst]:[Unit of measure*]],MATCH($A$8&amp;$A23&amp;$E23&amp;$I23,INDEX(PMtbl[Sec]&amp;PMtbl[Category]&amp;PMtbl[INN]&amp;PMtbl[Specification],0,),0),8),""),"")</f>
        <v/>
      </c>
      <c r="M23" s="269" t="str">
        <f>IF(L23="", "",SETUP!$E$5)</f>
        <v/>
      </c>
      <c r="N23" s="772"/>
      <c r="O23" s="370"/>
      <c r="P23" s="370"/>
      <c r="Q23" s="370"/>
      <c r="R23" s="370"/>
      <c r="S23" s="11">
        <f>SUM('HIV-Pharmaceuticals'!$O23:$R23)</f>
        <v>0</v>
      </c>
      <c r="T23" s="781">
        <f>'HIV-Pharmaceuticals'!$N23*'HIV-Pharmaceuticals'!$S23</f>
        <v>0</v>
      </c>
      <c r="U23" s="772"/>
      <c r="V23" s="374"/>
      <c r="W23" s="374"/>
      <c r="X23" s="374"/>
      <c r="Y23" s="374"/>
      <c r="Z23" s="348">
        <f>SUM('HIV-Pharmaceuticals'!$V23:$Y23)</f>
        <v>0</v>
      </c>
      <c r="AA23" s="771">
        <f>'HIV-Pharmaceuticals'!$U23*'HIV-Pharmaceuticals'!$Z23</f>
        <v>0</v>
      </c>
      <c r="AB23" s="772"/>
      <c r="AC23" s="370"/>
      <c r="AD23" s="370"/>
      <c r="AE23" s="370"/>
      <c r="AF23" s="370"/>
      <c r="AG23" s="349">
        <f>SUM('HIV-Pharmaceuticals'!$AC23:$AF23)</f>
        <v>0</v>
      </c>
      <c r="AH23" s="761">
        <f>'HIV-Pharmaceuticals'!$AB23*'HIV-Pharmaceuticals'!$AG23</f>
        <v>0</v>
      </c>
      <c r="AI23" s="350">
        <f>'HIV-Pharmaceuticals'!$S23+'HIV-Pharmaceuticals'!$Z23+'HIV-Pharmaceuticals'!$AG23</f>
        <v>0</v>
      </c>
      <c r="AJ23" s="761">
        <f>'HIV-Pharmaceuticals'!$T23+'HIV-Pharmaceuticals'!$AA23+'HIV-Pharmaceuticals'!$AH23</f>
        <v>0</v>
      </c>
      <c r="AK23" s="351" t="str">
        <f>IF(A23&lt;&gt;"",IFERROR(INDEX(PMtbl[[WKst]:[Unit of measure*]],MATCH($A$8&amp;$A23&amp;$E23&amp;$I23,INDEX(PMtbl[Sec]&amp;PMtbl[Category]&amp;PMtbl[INN]&amp;PMtbl[Specification],0,),0),7),""),"")</f>
        <v/>
      </c>
      <c r="AL23" s="2049"/>
      <c r="AM23" s="1500" t="str">
        <f>IFERROR(INDEX(SETUP!$C$19:$G$62,MATCH((INDEX(PMtbl[[WKst]:[Unit of measure*]],MATCH($A23&amp;$E23&amp;$I23,INDEX(PMtbl[Category]&amp;PMtbl[INN]&amp;PMtbl[Specification],0,),0),3)),SETUP!$D$19:$D$62,0),5),"")</f>
        <v/>
      </c>
      <c r="AN23" s="1500"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V23" s="343" t="s">
        <v>2671</v>
      </c>
      <c r="AW23" s="1378" t="s">
        <v>416</v>
      </c>
      <c r="AX23" s="343" t="s">
        <v>1213</v>
      </c>
      <c r="AY23" s="343" t="s">
        <v>1214</v>
      </c>
      <c r="AZ23" s="343" t="s">
        <v>1215</v>
      </c>
      <c r="BA23" s="343" t="s">
        <v>1216</v>
      </c>
      <c r="BB23" s="343" t="s">
        <v>1217</v>
      </c>
      <c r="BC23" s="343" t="s">
        <v>1218</v>
      </c>
      <c r="BD23" s="343" t="s">
        <v>1220</v>
      </c>
      <c r="BE23" s="343" t="s">
        <v>1221</v>
      </c>
      <c r="BF23" s="343" t="s">
        <v>1222</v>
      </c>
      <c r="BG23" s="343" t="s">
        <v>1223</v>
      </c>
      <c r="BH23" s="343" t="s">
        <v>1219</v>
      </c>
      <c r="BI23" s="343" t="s">
        <v>1224</v>
      </c>
      <c r="BJ23" s="343" t="s">
        <v>2498</v>
      </c>
    </row>
    <row r="24" spans="1:62">
      <c r="A24" s="2336"/>
      <c r="B24" s="2337"/>
      <c r="C24" s="2337"/>
      <c r="D24" s="2337"/>
      <c r="E24" s="2301"/>
      <c r="F24" s="2302"/>
      <c r="G24" s="2302"/>
      <c r="H24" s="2302"/>
      <c r="I24" s="2301"/>
      <c r="J24" s="2302"/>
      <c r="K24" s="2302"/>
      <c r="L24" s="1165" t="str">
        <f>IF($A24&lt;&gt;"",IFERROR(INDEX(PMtbl[[WKst]:[Unit of measure*]],MATCH($A$8&amp;$A24&amp;$E24&amp;$I24,INDEX(PMtbl[Sec]&amp;PMtbl[Category]&amp;PMtbl[INN]&amp;PMtbl[Specification],0,),0),8),""),"")</f>
        <v/>
      </c>
      <c r="M24" s="270" t="str">
        <f>IF(L24="", "",SETUP!$E$5)</f>
        <v/>
      </c>
      <c r="N24" s="774"/>
      <c r="O24" s="371"/>
      <c r="P24" s="371"/>
      <c r="Q24" s="371"/>
      <c r="R24" s="371"/>
      <c r="S24" s="10">
        <f>SUM('HIV-Pharmaceuticals'!$O24:$R24)</f>
        <v>0</v>
      </c>
      <c r="T24" s="782">
        <f>'HIV-Pharmaceuticals'!$N24*'HIV-Pharmaceuticals'!$S24</f>
        <v>0</v>
      </c>
      <c r="U24" s="774"/>
      <c r="V24" s="375"/>
      <c r="W24" s="375"/>
      <c r="X24" s="375"/>
      <c r="Y24" s="375"/>
      <c r="Z24" s="352">
        <f>SUM('HIV-Pharmaceuticals'!$V24:$Y24)</f>
        <v>0</v>
      </c>
      <c r="AA24" s="773">
        <f>'HIV-Pharmaceuticals'!$U24*'HIV-Pharmaceuticals'!$Z24</f>
        <v>0</v>
      </c>
      <c r="AB24" s="774"/>
      <c r="AC24" s="371"/>
      <c r="AD24" s="371"/>
      <c r="AE24" s="371"/>
      <c r="AF24" s="371"/>
      <c r="AG24" s="353">
        <f>SUM('HIV-Pharmaceuticals'!$AC24:$AF24)</f>
        <v>0</v>
      </c>
      <c r="AH24" s="762">
        <f>'HIV-Pharmaceuticals'!$AB24*'HIV-Pharmaceuticals'!$AG24</f>
        <v>0</v>
      </c>
      <c r="AI24" s="354">
        <f>'HIV-Pharmaceuticals'!$S24+'HIV-Pharmaceuticals'!$Z24+'HIV-Pharmaceuticals'!$AG24</f>
        <v>0</v>
      </c>
      <c r="AJ24" s="762">
        <f>'HIV-Pharmaceuticals'!$T24+'HIV-Pharmaceuticals'!$AA24+'HIV-Pharmaceuticals'!$AH24</f>
        <v>0</v>
      </c>
      <c r="AK24" s="355" t="str">
        <f>IF(A24&lt;&gt;"",IFERROR(INDEX(PMtbl[[WKst]:[Unit of measure*]],MATCH($A$8&amp;$A24&amp;$E24&amp;$I24,INDEX(PMtbl[Sec]&amp;PMtbl[Category]&amp;PMtbl[INN]&amp;PMtbl[Specification],0,),0),7),""),"")</f>
        <v/>
      </c>
      <c r="AL24" s="2050"/>
      <c r="AM24" s="1501" t="str">
        <f>IFERROR(INDEX(SETUP!$C$19:$G$62,MATCH((INDEX(PMtbl[[WKst]:[Unit of measure*]],MATCH($A24&amp;$E24&amp;$I24,INDEX(PMtbl[Category]&amp;PMtbl[INN]&amp;PMtbl[Specification],0,),0),3)),SETUP!$D$19:$D$62,0),5),"")</f>
        <v/>
      </c>
      <c r="AN24" s="1501"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U24" s="2299" t="s">
        <v>2672</v>
      </c>
      <c r="AV24" s="1381" t="str">
        <f>IFERROR(VLOOKUP($AW24,AK:AN,4,FALSE),"")</f>
        <v/>
      </c>
      <c r="AW24" s="1382">
        <v>4.0999999999999996</v>
      </c>
      <c r="AX24" s="1383">
        <f t="shared" ref="AX24:BA25" si="1">SUMPRODUCT(($AK$14:$AK$99=$AW24)*($N$14:$N$99)*((O$14:O$99)))</f>
        <v>0</v>
      </c>
      <c r="AY24" s="1383">
        <f t="shared" si="1"/>
        <v>0</v>
      </c>
      <c r="AZ24" s="1383">
        <f t="shared" si="1"/>
        <v>0</v>
      </c>
      <c r="BA24" s="1383">
        <f t="shared" si="1"/>
        <v>0</v>
      </c>
      <c r="BB24" s="1383">
        <f>SUMPRODUCT(($AK$14:$AK$99=$AW24)*($U$14:$U$99)*((V14:V99)))</f>
        <v>0</v>
      </c>
      <c r="BC24" s="1383">
        <f>SUMPRODUCT(($AK$14:$AK$99=$AW24)*($U$14:$U$99)*((W14:W99)))</f>
        <v>0</v>
      </c>
      <c r="BD24" s="1383">
        <f>SUMPRODUCT(($AK$14:$AK$99=$AW24)*($U$14:$U$99)*((X14:X99)))</f>
        <v>0</v>
      </c>
      <c r="BE24" s="1383">
        <f>SUMPRODUCT(($AK$14:$AK$99=$AW24)*($U$14:$U$99)*((Y14:Y99)))</f>
        <v>0</v>
      </c>
      <c r="BF24" s="1383">
        <f>SUMPRODUCT(($AK$14:$AK$99=$AW24)*($AB$14:$AB$99)*((AC14:AC99)))</f>
        <v>0</v>
      </c>
      <c r="BG24" s="1383">
        <f>SUMPRODUCT(($AK$14:$AK$99=$AW24)*($AB$14:$AB$99)*((AD14:AD99)))</f>
        <v>0</v>
      </c>
      <c r="BH24" s="1383">
        <f>SUMPRODUCT(($AK$14:$AK$99=$AW24)*($AB$14:$AB$99)*((AE14:AE99)))</f>
        <v>0</v>
      </c>
      <c r="BI24" s="1383">
        <f>SUMPRODUCT(($AK$14:$AK$99=$AW24)*($AB$14:$AB$99)*((AF14:AF99)))</f>
        <v>0</v>
      </c>
      <c r="BJ24" s="343">
        <f>SUM(AX24:BI24)</f>
        <v>0</v>
      </c>
    </row>
    <row r="25" spans="1:62">
      <c r="A25" s="2330"/>
      <c r="B25" s="2331"/>
      <c r="C25" s="2331"/>
      <c r="D25" s="2331"/>
      <c r="E25" s="2303"/>
      <c r="F25" s="2304"/>
      <c r="G25" s="2304"/>
      <c r="H25" s="2304"/>
      <c r="I25" s="2303"/>
      <c r="J25" s="2304"/>
      <c r="K25" s="2304"/>
      <c r="L25" s="1166" t="str">
        <f>IF($A25&lt;&gt;"",IFERROR(INDEX(PMtbl[[WKst]:[Unit of measure*]],MATCH($A$8&amp;$A25&amp;$E25&amp;$I25,INDEX(PMtbl[Sec]&amp;PMtbl[Category]&amp;PMtbl[INN]&amp;PMtbl[Specification],0,),0),8),""),"")</f>
        <v/>
      </c>
      <c r="M25" s="269" t="str">
        <f>IF(L25="", "",SETUP!$E$5)</f>
        <v/>
      </c>
      <c r="N25" s="772"/>
      <c r="O25" s="370"/>
      <c r="P25" s="370"/>
      <c r="Q25" s="370"/>
      <c r="R25" s="370"/>
      <c r="S25" s="11">
        <f>SUM('HIV-Pharmaceuticals'!$O25:$R25)</f>
        <v>0</v>
      </c>
      <c r="T25" s="781">
        <f>'HIV-Pharmaceuticals'!$N25*'HIV-Pharmaceuticals'!$S25</f>
        <v>0</v>
      </c>
      <c r="U25" s="772"/>
      <c r="V25" s="374"/>
      <c r="W25" s="374"/>
      <c r="X25" s="374"/>
      <c r="Y25" s="374"/>
      <c r="Z25" s="348">
        <f>SUM('HIV-Pharmaceuticals'!$V25:$Y25)</f>
        <v>0</v>
      </c>
      <c r="AA25" s="771">
        <f>'HIV-Pharmaceuticals'!$U25*'HIV-Pharmaceuticals'!$Z25</f>
        <v>0</v>
      </c>
      <c r="AB25" s="772"/>
      <c r="AC25" s="370"/>
      <c r="AD25" s="370"/>
      <c r="AE25" s="370"/>
      <c r="AF25" s="370"/>
      <c r="AG25" s="349">
        <f>SUM('HIV-Pharmaceuticals'!$AC25:$AF25)</f>
        <v>0</v>
      </c>
      <c r="AH25" s="761">
        <f>'HIV-Pharmaceuticals'!$AB25*'HIV-Pharmaceuticals'!$AG25</f>
        <v>0</v>
      </c>
      <c r="AI25" s="350">
        <f>'HIV-Pharmaceuticals'!$S25+'HIV-Pharmaceuticals'!$Z25+'HIV-Pharmaceuticals'!$AG25</f>
        <v>0</v>
      </c>
      <c r="AJ25" s="761">
        <f>'HIV-Pharmaceuticals'!$T25+'HIV-Pharmaceuticals'!$AA25+'HIV-Pharmaceuticals'!$AH25</f>
        <v>0</v>
      </c>
      <c r="AK25" s="351" t="str">
        <f>IF(A25&lt;&gt;"",IFERROR(INDEX(PMtbl[[WKst]:[Unit of measure*]],MATCH($A$8&amp;$A25&amp;$E25&amp;$I25,INDEX(PMtbl[Sec]&amp;PMtbl[Category]&amp;PMtbl[INN]&amp;PMtbl[Specification],0,),0),7),""),"")</f>
        <v/>
      </c>
      <c r="AL25" s="2049"/>
      <c r="AM25" s="1500" t="str">
        <f>IFERROR(INDEX(SETUP!$C$19:$G$62,MATCH((INDEX(PMtbl[[WKst]:[Unit of measure*]],MATCH($A25&amp;$E25&amp;$I25,INDEX(PMtbl[Category]&amp;PMtbl[INN]&amp;PMtbl[Specification],0,),0),3)),SETUP!$D$19:$D$62,0),5),"")</f>
        <v/>
      </c>
      <c r="AN25" s="1500"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2299"/>
      <c r="AV25" s="1381" t="str">
        <f>IFERROR(VLOOKUP($AW25,AK:AN,4,FALSE),"")</f>
        <v/>
      </c>
      <c r="AW25" s="1382">
        <v>4.4000000000000004</v>
      </c>
      <c r="AX25" s="1383">
        <f t="shared" si="1"/>
        <v>0</v>
      </c>
      <c r="AY25" s="1383">
        <f t="shared" si="1"/>
        <v>0</v>
      </c>
      <c r="AZ25" s="1383">
        <f t="shared" si="1"/>
        <v>0</v>
      </c>
      <c r="BA25" s="1383">
        <f t="shared" si="1"/>
        <v>0</v>
      </c>
      <c r="BB25" s="1383">
        <f>SUMPRODUCT(($AK$14:$AK$99=$AW25)*($U$14:$U$99)*((V14:V99)))</f>
        <v>0</v>
      </c>
      <c r="BC25" s="1383">
        <f>SUMPRODUCT(($AK$14:$AK$99=$AW25)*($U$14:$U$99)*((W14:W99)))</f>
        <v>0</v>
      </c>
      <c r="BD25" s="1383">
        <f>SUMPRODUCT(($AK$14:$AK$99=$AW25)*($U$14:$U$99)*((X14:X99)))</f>
        <v>0</v>
      </c>
      <c r="BE25" s="1383">
        <f>SUMPRODUCT(($AK$14:$AK$99=$AW25)*($U$14:$U$99)*((Y14:Y99)))</f>
        <v>0</v>
      </c>
      <c r="BF25" s="1383">
        <f>SUMPRODUCT(($AK$14:$AK$99=$AW25)*($AB$14:$AB$99)*((AC14:AC99)))</f>
        <v>0</v>
      </c>
      <c r="BG25" s="1383">
        <f>SUMPRODUCT(($AK$14:$AK$99=$AW25)*($AB$14:$AB$99)*((AD14:AD99)))</f>
        <v>0</v>
      </c>
      <c r="BH25" s="1383">
        <f>SUMPRODUCT(($AK$14:$AK$99=$AW25)*($AB$14:$AB$99)*((AE14:AE99)))</f>
        <v>0</v>
      </c>
      <c r="BI25" s="1383">
        <f>SUMPRODUCT(($AK$14:$AK$99=$AW25)*($AB$14:$AB$99)*((AF14:AF99)))</f>
        <v>0</v>
      </c>
      <c r="BJ25" s="343">
        <f>SUM(AX25:BI25)</f>
        <v>0</v>
      </c>
    </row>
    <row r="26" spans="1:62">
      <c r="A26" s="2336"/>
      <c r="B26" s="2337"/>
      <c r="C26" s="2337"/>
      <c r="D26" s="2337"/>
      <c r="E26" s="2301"/>
      <c r="F26" s="2302"/>
      <c r="G26" s="2302"/>
      <c r="H26" s="2302"/>
      <c r="I26" s="2301"/>
      <c r="J26" s="2302"/>
      <c r="K26" s="2302"/>
      <c r="L26" s="1165" t="str">
        <f>IF($A26&lt;&gt;"",IFERROR(INDEX(PMtbl[[WKst]:[Unit of measure*]],MATCH($A$8&amp;$A26&amp;$E26&amp;$I26,INDEX(PMtbl[Sec]&amp;PMtbl[Category]&amp;PMtbl[INN]&amp;PMtbl[Specification],0,),0),8),""),"")</f>
        <v/>
      </c>
      <c r="M26" s="270" t="str">
        <f>IF(L26="", "",SETUP!$E$5)</f>
        <v/>
      </c>
      <c r="N26" s="774"/>
      <c r="O26" s="371"/>
      <c r="P26" s="371"/>
      <c r="Q26" s="371"/>
      <c r="R26" s="371"/>
      <c r="S26" s="10">
        <f>SUM('HIV-Pharmaceuticals'!$O26:$R26)</f>
        <v>0</v>
      </c>
      <c r="T26" s="782">
        <f>'HIV-Pharmaceuticals'!$N26*'HIV-Pharmaceuticals'!$S26</f>
        <v>0</v>
      </c>
      <c r="U26" s="774"/>
      <c r="V26" s="375"/>
      <c r="W26" s="375"/>
      <c r="X26" s="375"/>
      <c r="Y26" s="375"/>
      <c r="Z26" s="352">
        <f>SUM('HIV-Pharmaceuticals'!$V26:$Y26)</f>
        <v>0</v>
      </c>
      <c r="AA26" s="773">
        <f>'HIV-Pharmaceuticals'!$U26*'HIV-Pharmaceuticals'!$Z26</f>
        <v>0</v>
      </c>
      <c r="AB26" s="774"/>
      <c r="AC26" s="371"/>
      <c r="AD26" s="371"/>
      <c r="AE26" s="371"/>
      <c r="AF26" s="371"/>
      <c r="AG26" s="353">
        <f>SUM('HIV-Pharmaceuticals'!$AC26:$AF26)</f>
        <v>0</v>
      </c>
      <c r="AH26" s="762">
        <f>'HIV-Pharmaceuticals'!$AB26*'HIV-Pharmaceuticals'!$AG26</f>
        <v>0</v>
      </c>
      <c r="AI26" s="354">
        <f>'HIV-Pharmaceuticals'!$S26+'HIV-Pharmaceuticals'!$Z26+'HIV-Pharmaceuticals'!$AG26</f>
        <v>0</v>
      </c>
      <c r="AJ26" s="762">
        <f>'HIV-Pharmaceuticals'!$T26+'HIV-Pharmaceuticals'!$AA26+'HIV-Pharmaceuticals'!$AH26</f>
        <v>0</v>
      </c>
      <c r="AK26" s="355" t="str">
        <f>IF(A26&lt;&gt;"",IFERROR(INDEX(PMtbl[[WKst]:[Unit of measure*]],MATCH($A$8&amp;$A26&amp;$E26&amp;$I26,INDEX(PMtbl[Sec]&amp;PMtbl[Category]&amp;PMtbl[INN]&amp;PMtbl[Specification],0,),0),7),""),"")</f>
        <v/>
      </c>
      <c r="AL26" s="2050"/>
      <c r="AM26" s="1501" t="str">
        <f>IFERROR(INDEX(SETUP!$C$19:$G$62,MATCH((INDEX(PMtbl[[WKst]:[Unit of measure*]],MATCH($A26&amp;$E26&amp;$I26,INDEX(PMtbl[Category]&amp;PMtbl[INN]&amp;PMtbl[Specification],0,),0),3)),SETUP!$D$19:$D$62,0),5),"")</f>
        <v/>
      </c>
      <c r="AN26" s="1501"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2299" t="s">
        <v>2673</v>
      </c>
      <c r="AV26" s="1381" t="str">
        <f>IFERROR(VLOOKUP($AW26,AK:AN,4,FALSE),"")</f>
        <v/>
      </c>
      <c r="AW26" s="1382">
        <v>4.2</v>
      </c>
      <c r="AX26" s="1383">
        <f>SUMPRODUCT(($AK$107:$AK$192=$AW26)*($N$107:$N$192)*((O$107:O$192)))</f>
        <v>0</v>
      </c>
      <c r="AY26" s="1383">
        <f>SUMPRODUCT(($AK$107:$AK$192=$AW26)*($N$107:$N$192)*((P$107:P$192)))</f>
        <v>0</v>
      </c>
      <c r="AZ26" s="1383">
        <f>SUMPRODUCT(($AK$107:$AK$192=$AW26)*($N$107:$N$192)*((Q$107:Q$192)))</f>
        <v>0</v>
      </c>
      <c r="BA26" s="1383">
        <f>SUMPRODUCT(($AK$107:$AK$192=$AW26)*($N$107:$N$192)*((R$107:R$192)))</f>
        <v>0</v>
      </c>
      <c r="BB26" s="1383">
        <f>SUMPRODUCT(($AK$107:$AK$192=$AW26)*($U$107:$U$192)*((V$107:V$192)))</f>
        <v>0</v>
      </c>
      <c r="BC26" s="1383">
        <f>SUMPRODUCT(($AK$107:$AK$192=$AW26)*($U$107:$U$192)*((W$107:W$192)))</f>
        <v>0</v>
      </c>
      <c r="BD26" s="1383">
        <f>SUMPRODUCT(($AK$107:$AK$192=$AW26)*($U$107:$U$192)*((X$107:X$192)))</f>
        <v>0</v>
      </c>
      <c r="BE26" s="1383">
        <f>SUMPRODUCT(($AK$107:$AK$192=$AW26)*($U$107:$U$192)*((Y$107:Y$192)))</f>
        <v>0</v>
      </c>
      <c r="BF26" s="1383">
        <f>SUMPRODUCT(($AK$107:$AK$192=$AW26)*($AB$107:$AB$192)*((AC$107:AC$192)))</f>
        <v>0</v>
      </c>
      <c r="BG26" s="1383">
        <f>SUMPRODUCT(($AK$107:$AK$192=$AW26)*($AB$107:$AB$192)*((AD$107:AD$192)))</f>
        <v>0</v>
      </c>
      <c r="BH26" s="1383">
        <f>SUMPRODUCT(($AK$107:$AK$192=$AW26)*($AB$107:$AB$192)*((AE$107:AE$192)))</f>
        <v>0</v>
      </c>
      <c r="BI26" s="1383">
        <f>SUMPRODUCT(($AK$107:$AK$192=$AW26)*($AB$107:$AB$192)*((AF$107:AF$192)))</f>
        <v>0</v>
      </c>
      <c r="BJ26" s="343">
        <f t="shared" ref="BJ26:BJ27" si="2">SUM(AX26:BI26)</f>
        <v>0</v>
      </c>
    </row>
    <row r="27" spans="1:62">
      <c r="A27" s="2330"/>
      <c r="B27" s="2331"/>
      <c r="C27" s="2331"/>
      <c r="D27" s="2331"/>
      <c r="E27" s="2303"/>
      <c r="F27" s="2304"/>
      <c r="G27" s="2304"/>
      <c r="H27" s="2304"/>
      <c r="I27" s="2303"/>
      <c r="J27" s="2304"/>
      <c r="K27" s="2304"/>
      <c r="L27" s="1166" t="str">
        <f>IF($A27&lt;&gt;"",IFERROR(INDEX(PMtbl[[WKst]:[Unit of measure*]],MATCH($A$8&amp;$A27&amp;$E27&amp;$I27,INDEX(PMtbl[Sec]&amp;PMtbl[Category]&amp;PMtbl[INN]&amp;PMtbl[Specification],0,),0),8),""),"")</f>
        <v/>
      </c>
      <c r="M27" s="269" t="str">
        <f>IF(L27="", "",SETUP!$E$5)</f>
        <v/>
      </c>
      <c r="N27" s="772"/>
      <c r="O27" s="370"/>
      <c r="P27" s="370"/>
      <c r="Q27" s="370"/>
      <c r="R27" s="370"/>
      <c r="S27" s="11">
        <f>SUM('HIV-Pharmaceuticals'!$O27:$R27)</f>
        <v>0</v>
      </c>
      <c r="T27" s="781">
        <f>'HIV-Pharmaceuticals'!$N27*'HIV-Pharmaceuticals'!$S27</f>
        <v>0</v>
      </c>
      <c r="U27" s="772"/>
      <c r="V27" s="374"/>
      <c r="W27" s="374"/>
      <c r="X27" s="374"/>
      <c r="Y27" s="374"/>
      <c r="Z27" s="348">
        <f>SUM('HIV-Pharmaceuticals'!$V27:$Y27)</f>
        <v>0</v>
      </c>
      <c r="AA27" s="771">
        <f>'HIV-Pharmaceuticals'!$U27*'HIV-Pharmaceuticals'!$Z27</f>
        <v>0</v>
      </c>
      <c r="AB27" s="772"/>
      <c r="AC27" s="370"/>
      <c r="AD27" s="370"/>
      <c r="AE27" s="370"/>
      <c r="AF27" s="370"/>
      <c r="AG27" s="349">
        <f>SUM('HIV-Pharmaceuticals'!$AC27:$AF27)</f>
        <v>0</v>
      </c>
      <c r="AH27" s="761">
        <f>'HIV-Pharmaceuticals'!$AB27*'HIV-Pharmaceuticals'!$AG27</f>
        <v>0</v>
      </c>
      <c r="AI27" s="350">
        <f>'HIV-Pharmaceuticals'!$S27+'HIV-Pharmaceuticals'!$Z27+'HIV-Pharmaceuticals'!$AG27</f>
        <v>0</v>
      </c>
      <c r="AJ27" s="761">
        <f>'HIV-Pharmaceuticals'!$T27+'HIV-Pharmaceuticals'!$AA27+'HIV-Pharmaceuticals'!$AH27</f>
        <v>0</v>
      </c>
      <c r="AK27" s="351" t="str">
        <f>IF(A27&lt;&gt;"",IFERROR(INDEX(PMtbl[[WKst]:[Unit of measure*]],MATCH($A$8&amp;$A27&amp;$E27&amp;$I27,INDEX(PMtbl[Sec]&amp;PMtbl[Category]&amp;PMtbl[INN]&amp;PMtbl[Specification],0,),0),7),""),"")</f>
        <v/>
      </c>
      <c r="AL27" s="2049"/>
      <c r="AM27" s="1500" t="str">
        <f>IFERROR(INDEX(SETUP!$C$19:$G$62,MATCH((INDEX(PMtbl[[WKst]:[Unit of measure*]],MATCH($A27&amp;$E27&amp;$I27,INDEX(PMtbl[Category]&amp;PMtbl[INN]&amp;PMtbl[Specification],0,),0),3)),SETUP!$D$19:$D$62,0),5),"")</f>
        <v/>
      </c>
      <c r="AN27" s="1500"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2299"/>
      <c r="AV27" s="1381">
        <f>IFERROR(VLOOKUP($AW27,AK:AN,4,FALSE),"")</f>
        <v>0</v>
      </c>
      <c r="AW27" s="1382">
        <v>4.5</v>
      </c>
      <c r="AX27" s="1383">
        <f t="shared" ref="AX27:AX28" si="3">SUMPRODUCT(($AK$107:$AK$192=$AW27)*($N$107:$N$192)*((O$107:O$192)))</f>
        <v>0</v>
      </c>
      <c r="AY27" s="1383">
        <f t="shared" ref="AY27:AY28" si="4">SUMPRODUCT(($AK$107:$AK$192=$AW27)*($N$107:$N$192)*((P$107:P$192)))</f>
        <v>88680</v>
      </c>
      <c r="AZ27" s="1383">
        <f t="shared" ref="AZ27:AZ28" si="5">SUMPRODUCT(($AK$107:$AK$192=$AW27)*($N$107:$N$192)*((Q$107:Q$192)))</f>
        <v>0</v>
      </c>
      <c r="BA27" s="1383">
        <f t="shared" ref="BA27:BA28" si="6">SUMPRODUCT(($AK$107:$AK$192=$AW27)*($N$107:$N$192)*((R$107:R$192)))</f>
        <v>0</v>
      </c>
      <c r="BB27" s="1383">
        <f t="shared" ref="BB27:BB28" si="7">SUMPRODUCT(($AK$107:$AK$192=$AW27)*($U$107:$U$192)*((V$107:V$192)))</f>
        <v>0</v>
      </c>
      <c r="BC27" s="1383">
        <f t="shared" ref="BC27:BC28" si="8">SUMPRODUCT(($AK$107:$AK$192=$AW27)*($U$107:$U$192)*((W$107:W$192)))</f>
        <v>88680</v>
      </c>
      <c r="BD27" s="1383">
        <f t="shared" ref="BD27:BD28" si="9">SUMPRODUCT(($AK$107:$AK$192=$AW27)*($U$107:$U$192)*((X$107:X$192)))</f>
        <v>0</v>
      </c>
      <c r="BE27" s="1383">
        <f t="shared" ref="BE27:BE28" si="10">SUMPRODUCT(($AK$107:$AK$192=$AW27)*($U$107:$U$192)*((Y$107:Y$192)))</f>
        <v>0</v>
      </c>
      <c r="BF27" s="1383">
        <f t="shared" ref="BF27:BF28" si="11">SUMPRODUCT(($AK$107:$AK$192=$AW27)*($AB$107:$AB$192)*((AC$107:AC$192)))</f>
        <v>0</v>
      </c>
      <c r="BG27" s="1383">
        <f t="shared" ref="BG27:BG28" si="12">SUMPRODUCT(($AK$107:$AK$192=$AW27)*($AB$107:$AB$192)*((AD$107:AD$192)))</f>
        <v>88680</v>
      </c>
      <c r="BH27" s="1383">
        <f t="shared" ref="BH27:BH28" si="13">SUMPRODUCT(($AK$107:$AK$192=$AW27)*($AB$107:$AB$192)*((AE$107:AE$192)))</f>
        <v>0</v>
      </c>
      <c r="BI27" s="1383">
        <f t="shared" ref="BI27:BI28" si="14">SUMPRODUCT(($AK$107:$AK$192=$AW27)*($AB$107:$AB$192)*((AF$107:AF$192)))</f>
        <v>0</v>
      </c>
      <c r="BJ27" s="343">
        <f t="shared" si="2"/>
        <v>266040</v>
      </c>
    </row>
    <row r="28" spans="1:62">
      <c r="A28" s="2336"/>
      <c r="B28" s="2337"/>
      <c r="C28" s="2337"/>
      <c r="D28" s="2338"/>
      <c r="E28" s="2301"/>
      <c r="F28" s="2302"/>
      <c r="G28" s="2302"/>
      <c r="H28" s="2307"/>
      <c r="I28" s="2301"/>
      <c r="J28" s="2302"/>
      <c r="K28" s="2307"/>
      <c r="L28" s="1165" t="str">
        <f>IF($A28&lt;&gt;"",IFERROR(INDEX(PMtbl[[WKst]:[Unit of measure*]],MATCH($A$8&amp;$A28&amp;$E28&amp;$I28,INDEX(PMtbl[Sec]&amp;PMtbl[Category]&amp;PMtbl[INN]&amp;PMtbl[Specification],0,),0),8),""),"")</f>
        <v/>
      </c>
      <c r="M28" s="270" t="str">
        <f>IF(L28="", "",SETUP!$E$5)</f>
        <v/>
      </c>
      <c r="N28" s="774"/>
      <c r="O28" s="371"/>
      <c r="P28" s="371"/>
      <c r="Q28" s="371"/>
      <c r="R28" s="371"/>
      <c r="S28" s="10">
        <f>SUM('HIV-Pharmaceuticals'!$O28:$R28)</f>
        <v>0</v>
      </c>
      <c r="T28" s="782">
        <f>'HIV-Pharmaceuticals'!$N28*'HIV-Pharmaceuticals'!$S28</f>
        <v>0</v>
      </c>
      <c r="U28" s="774"/>
      <c r="V28" s="375"/>
      <c r="W28" s="375"/>
      <c r="X28" s="375"/>
      <c r="Y28" s="375"/>
      <c r="Z28" s="352">
        <f>SUM('HIV-Pharmaceuticals'!$V28:$Y28)</f>
        <v>0</v>
      </c>
      <c r="AA28" s="773">
        <f>'HIV-Pharmaceuticals'!$U28*'HIV-Pharmaceuticals'!$Z28</f>
        <v>0</v>
      </c>
      <c r="AB28" s="774"/>
      <c r="AC28" s="371"/>
      <c r="AD28" s="371"/>
      <c r="AE28" s="371"/>
      <c r="AF28" s="371"/>
      <c r="AG28" s="353">
        <f>SUM('HIV-Pharmaceuticals'!$AC28:$AF28)</f>
        <v>0</v>
      </c>
      <c r="AH28" s="762">
        <f>'HIV-Pharmaceuticals'!$AB28*'HIV-Pharmaceuticals'!$AG28</f>
        <v>0</v>
      </c>
      <c r="AI28" s="354">
        <f>'HIV-Pharmaceuticals'!$S28+'HIV-Pharmaceuticals'!$Z28+'HIV-Pharmaceuticals'!$AG28</f>
        <v>0</v>
      </c>
      <c r="AJ28" s="762">
        <f>'HIV-Pharmaceuticals'!$T28+'HIV-Pharmaceuticals'!$AA28+'HIV-Pharmaceuticals'!$AH28</f>
        <v>0</v>
      </c>
      <c r="AK28" s="355" t="str">
        <f>IF(A28&lt;&gt;"",IFERROR(INDEX(PMtbl[[WKst]:[Unit of measure*]],MATCH($A$8&amp;$A28&amp;$E28&amp;$I28,INDEX(PMtbl[Sec]&amp;PMtbl[Category]&amp;PMtbl[INN]&amp;PMtbl[Specification],0,),0),7),""),"")</f>
        <v/>
      </c>
      <c r="AL28" s="2050"/>
      <c r="AM28" s="1501" t="str">
        <f>IFERROR(INDEX(SETUP!$C$19:$G$62,MATCH((INDEX(PMtbl[[WKst]:[Unit of measure*]],MATCH($A28&amp;$E28&amp;$I28,INDEX(PMtbl[Category]&amp;PMtbl[INN]&amp;PMtbl[Specification],0,),0),3)),SETUP!$D$19:$D$62,0),5),"")</f>
        <v/>
      </c>
      <c r="AN28" s="1501"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2299"/>
      <c r="AV28" s="1381">
        <f>IFERROR(VLOOKUP($AW28,AK:AN,4,FALSE),"")</f>
        <v>0</v>
      </c>
      <c r="AW28" s="1382">
        <v>4.7</v>
      </c>
      <c r="AX28" s="1383">
        <f t="shared" si="3"/>
        <v>0</v>
      </c>
      <c r="AY28" s="1383">
        <f t="shared" si="4"/>
        <v>63432.5</v>
      </c>
      <c r="AZ28" s="1383">
        <f t="shared" si="5"/>
        <v>0</v>
      </c>
      <c r="BA28" s="1383">
        <f t="shared" si="6"/>
        <v>0</v>
      </c>
      <c r="BB28" s="1383">
        <f t="shared" si="7"/>
        <v>0</v>
      </c>
      <c r="BC28" s="1383">
        <f t="shared" si="8"/>
        <v>63432.5</v>
      </c>
      <c r="BD28" s="1383">
        <f t="shared" si="9"/>
        <v>0</v>
      </c>
      <c r="BE28" s="1383">
        <f t="shared" si="10"/>
        <v>0</v>
      </c>
      <c r="BF28" s="1383">
        <f t="shared" si="11"/>
        <v>0</v>
      </c>
      <c r="BG28" s="1383">
        <f t="shared" si="12"/>
        <v>63432.5</v>
      </c>
      <c r="BH28" s="1383">
        <f t="shared" si="13"/>
        <v>0</v>
      </c>
      <c r="BI28" s="1383">
        <f t="shared" si="14"/>
        <v>0</v>
      </c>
      <c r="BJ28" s="343">
        <f>SUM(AX28:BI28)</f>
        <v>190297.5</v>
      </c>
    </row>
    <row r="29" spans="1:62">
      <c r="A29" s="2330"/>
      <c r="B29" s="2331"/>
      <c r="C29" s="2331"/>
      <c r="D29" s="2331"/>
      <c r="E29" s="2303"/>
      <c r="F29" s="2304"/>
      <c r="G29" s="2304"/>
      <c r="H29" s="2304"/>
      <c r="I29" s="2303"/>
      <c r="J29" s="2304"/>
      <c r="K29" s="2304"/>
      <c r="L29" s="1166" t="str">
        <f>IF($A29&lt;&gt;"",IFERROR(INDEX(PMtbl[[WKst]:[Unit of measure*]],MATCH($A$8&amp;$A29&amp;$E29&amp;$I29,INDEX(PMtbl[Sec]&amp;PMtbl[Category]&amp;PMtbl[INN]&amp;PMtbl[Specification],0,),0),8),""),"")</f>
        <v/>
      </c>
      <c r="M29" s="269" t="str">
        <f>IF(L29="", "",SETUP!$E$5)</f>
        <v/>
      </c>
      <c r="N29" s="772"/>
      <c r="O29" s="370"/>
      <c r="P29" s="370"/>
      <c r="Q29" s="370"/>
      <c r="R29" s="370"/>
      <c r="S29" s="11">
        <f>SUM('HIV-Pharmaceuticals'!$O29:$R29)</f>
        <v>0</v>
      </c>
      <c r="T29" s="781">
        <f>'HIV-Pharmaceuticals'!$N29*'HIV-Pharmaceuticals'!$S29</f>
        <v>0</v>
      </c>
      <c r="U29" s="772"/>
      <c r="V29" s="374"/>
      <c r="W29" s="374"/>
      <c r="X29" s="374"/>
      <c r="Y29" s="374"/>
      <c r="Z29" s="348">
        <f>SUM('HIV-Pharmaceuticals'!$V29:$Y29)</f>
        <v>0</v>
      </c>
      <c r="AA29" s="771">
        <f>'HIV-Pharmaceuticals'!$U29*'HIV-Pharmaceuticals'!$Z29</f>
        <v>0</v>
      </c>
      <c r="AB29" s="772"/>
      <c r="AC29" s="370"/>
      <c r="AD29" s="370"/>
      <c r="AE29" s="370"/>
      <c r="AF29" s="370"/>
      <c r="AG29" s="349">
        <f>SUM('HIV-Pharmaceuticals'!$AC29:$AF29)</f>
        <v>0</v>
      </c>
      <c r="AH29" s="761">
        <f>'HIV-Pharmaceuticals'!$AB29*'HIV-Pharmaceuticals'!$AG29</f>
        <v>0</v>
      </c>
      <c r="AI29" s="350">
        <f>'HIV-Pharmaceuticals'!$S29+'HIV-Pharmaceuticals'!$Z29+'HIV-Pharmaceuticals'!$AG29</f>
        <v>0</v>
      </c>
      <c r="AJ29" s="761">
        <f>'HIV-Pharmaceuticals'!$T29+'HIV-Pharmaceuticals'!$AA29+'HIV-Pharmaceuticals'!$AH29</f>
        <v>0</v>
      </c>
      <c r="AK29" s="351" t="str">
        <f>IF(A29&lt;&gt;"",IFERROR(INDEX(PMtbl[[WKst]:[Unit of measure*]],MATCH($A$8&amp;$A29&amp;$E29&amp;$I29,INDEX(PMtbl[Sec]&amp;PMtbl[Category]&amp;PMtbl[INN]&amp;PMtbl[Specification],0,),0),7),""),"")</f>
        <v/>
      </c>
      <c r="AL29" s="2049"/>
      <c r="AM29" s="1500" t="str">
        <f>IFERROR(INDEX(SETUP!$C$19:$G$62,MATCH((INDEX(PMtbl[[WKst]:[Unit of measure*]],MATCH($A29&amp;$E29&amp;$I29,INDEX(PMtbl[Category]&amp;PMtbl[INN]&amp;PMtbl[Specification],0,),0),3)),SETUP!$D$19:$D$62,0),5),"")</f>
        <v/>
      </c>
      <c r="AN29" s="1500"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X29" s="1476">
        <f>SUM(AX24:AX28)</f>
        <v>0</v>
      </c>
      <c r="AY29" s="1476">
        <f t="shared" ref="AY29:BI29" si="15">SUM(AY24:AY28)</f>
        <v>152112.5</v>
      </c>
      <c r="AZ29" s="1476">
        <f t="shared" si="15"/>
        <v>0</v>
      </c>
      <c r="BA29" s="1476">
        <f t="shared" si="15"/>
        <v>0</v>
      </c>
      <c r="BB29" s="1476">
        <f t="shared" si="15"/>
        <v>0</v>
      </c>
      <c r="BC29" s="1476">
        <f t="shared" si="15"/>
        <v>152112.5</v>
      </c>
      <c r="BD29" s="1476">
        <f t="shared" si="15"/>
        <v>0</v>
      </c>
      <c r="BE29" s="1476">
        <f t="shared" si="15"/>
        <v>0</v>
      </c>
      <c r="BF29" s="1476">
        <f t="shared" si="15"/>
        <v>0</v>
      </c>
      <c r="BG29" s="1476">
        <f t="shared" si="15"/>
        <v>152112.5</v>
      </c>
      <c r="BH29" s="1476">
        <f t="shared" si="15"/>
        <v>0</v>
      </c>
      <c r="BI29" s="1476">
        <f t="shared" si="15"/>
        <v>0</v>
      </c>
    </row>
    <row r="30" spans="1:62">
      <c r="A30" s="2336"/>
      <c r="B30" s="2337"/>
      <c r="C30" s="2337"/>
      <c r="D30" s="2337"/>
      <c r="E30" s="2301"/>
      <c r="F30" s="2302"/>
      <c r="G30" s="2302"/>
      <c r="H30" s="2302"/>
      <c r="I30" s="2301"/>
      <c r="J30" s="2302"/>
      <c r="K30" s="2302"/>
      <c r="L30" s="1165" t="str">
        <f>IF($A30&lt;&gt;"",IFERROR(INDEX(PMtbl[[WKst]:[Unit of measure*]],MATCH($A$8&amp;$A30&amp;$E30&amp;$I30,INDEX(PMtbl[Sec]&amp;PMtbl[Category]&amp;PMtbl[INN]&amp;PMtbl[Specification],0,),0),8),""),"")</f>
        <v/>
      </c>
      <c r="M30" s="270" t="str">
        <f>IF(L30="", "",SETUP!$E$5)</f>
        <v/>
      </c>
      <c r="N30" s="774"/>
      <c r="O30" s="371"/>
      <c r="P30" s="371"/>
      <c r="Q30" s="371"/>
      <c r="R30" s="371"/>
      <c r="S30" s="10">
        <f>SUM('HIV-Pharmaceuticals'!$O30:$R30)</f>
        <v>0</v>
      </c>
      <c r="T30" s="782">
        <f>'HIV-Pharmaceuticals'!$N30*'HIV-Pharmaceuticals'!$S30</f>
        <v>0</v>
      </c>
      <c r="U30" s="774"/>
      <c r="V30" s="375"/>
      <c r="W30" s="375"/>
      <c r="X30" s="375"/>
      <c r="Y30" s="375"/>
      <c r="Z30" s="352">
        <f>SUM('HIV-Pharmaceuticals'!$V30:$Y30)</f>
        <v>0</v>
      </c>
      <c r="AA30" s="773">
        <f>'HIV-Pharmaceuticals'!$U30*'HIV-Pharmaceuticals'!$Z30</f>
        <v>0</v>
      </c>
      <c r="AB30" s="774"/>
      <c r="AC30" s="371"/>
      <c r="AD30" s="371"/>
      <c r="AE30" s="371"/>
      <c r="AF30" s="371"/>
      <c r="AG30" s="353">
        <f>SUM('HIV-Pharmaceuticals'!$AC30:$AF30)</f>
        <v>0</v>
      </c>
      <c r="AH30" s="762">
        <f>'HIV-Pharmaceuticals'!$AB30*'HIV-Pharmaceuticals'!$AG30</f>
        <v>0</v>
      </c>
      <c r="AI30" s="354">
        <f>'HIV-Pharmaceuticals'!$S30+'HIV-Pharmaceuticals'!$Z30+'HIV-Pharmaceuticals'!$AG30</f>
        <v>0</v>
      </c>
      <c r="AJ30" s="762">
        <f>'HIV-Pharmaceuticals'!$T30+'HIV-Pharmaceuticals'!$AA30+'HIV-Pharmaceuticals'!$AH30</f>
        <v>0</v>
      </c>
      <c r="AK30" s="355" t="str">
        <f>IF(A30&lt;&gt;"",IFERROR(INDEX(PMtbl[[WKst]:[Unit of measure*]],MATCH($A$8&amp;$A30&amp;$E30&amp;$I30,INDEX(PMtbl[Sec]&amp;PMtbl[Category]&amp;PMtbl[INN]&amp;PMtbl[Specification],0,),0),7),""),"")</f>
        <v/>
      </c>
      <c r="AL30" s="2050"/>
      <c r="AM30" s="1501" t="str">
        <f>IFERROR(INDEX(SETUP!$C$19:$G$62,MATCH((INDEX(PMtbl[[WKst]:[Unit of measure*]],MATCH($A30&amp;$E30&amp;$I30,INDEX(PMtbl[Category]&amp;PMtbl[INN]&amp;PMtbl[Specification],0,),0),3)),SETUP!$D$19:$D$62,0),5),"")</f>
        <v/>
      </c>
      <c r="AN30" s="1501"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2">
      <c r="A31" s="2330"/>
      <c r="B31" s="2331"/>
      <c r="C31" s="2331"/>
      <c r="D31" s="2331"/>
      <c r="E31" s="2303"/>
      <c r="F31" s="2304"/>
      <c r="G31" s="2304"/>
      <c r="H31" s="2304"/>
      <c r="I31" s="2303"/>
      <c r="J31" s="2304"/>
      <c r="K31" s="2304"/>
      <c r="L31" s="1166" t="str">
        <f>IF($A31&lt;&gt;"",IFERROR(INDEX(PMtbl[[WKst]:[Unit of measure*]],MATCH($A$8&amp;$A31&amp;$E31&amp;$I31,INDEX(PMtbl[Sec]&amp;PMtbl[Category]&amp;PMtbl[INN]&amp;PMtbl[Specification],0,),0),8),""),"")</f>
        <v/>
      </c>
      <c r="M31" s="269" t="str">
        <f>IF(L31="", "",SETUP!$E$5)</f>
        <v/>
      </c>
      <c r="N31" s="772"/>
      <c r="O31" s="370"/>
      <c r="P31" s="370"/>
      <c r="Q31" s="370"/>
      <c r="R31" s="370"/>
      <c r="S31" s="11">
        <f>SUM('HIV-Pharmaceuticals'!$O31:$R31)</f>
        <v>0</v>
      </c>
      <c r="T31" s="781">
        <f>'HIV-Pharmaceuticals'!$N31*'HIV-Pharmaceuticals'!$S31</f>
        <v>0</v>
      </c>
      <c r="U31" s="772"/>
      <c r="V31" s="374"/>
      <c r="W31" s="374"/>
      <c r="X31" s="374"/>
      <c r="Y31" s="374"/>
      <c r="Z31" s="348">
        <f>SUM('HIV-Pharmaceuticals'!$V31:$Y31)</f>
        <v>0</v>
      </c>
      <c r="AA31" s="771">
        <f>'HIV-Pharmaceuticals'!$U31*'HIV-Pharmaceuticals'!$Z31</f>
        <v>0</v>
      </c>
      <c r="AB31" s="772"/>
      <c r="AC31" s="370"/>
      <c r="AD31" s="370"/>
      <c r="AE31" s="370"/>
      <c r="AF31" s="370"/>
      <c r="AG31" s="349">
        <f>SUM('HIV-Pharmaceuticals'!$AC31:$AF31)</f>
        <v>0</v>
      </c>
      <c r="AH31" s="761">
        <f>'HIV-Pharmaceuticals'!$AB31*'HIV-Pharmaceuticals'!$AG31</f>
        <v>0</v>
      </c>
      <c r="AI31" s="350">
        <f>'HIV-Pharmaceuticals'!$S31+'HIV-Pharmaceuticals'!$Z31+'HIV-Pharmaceuticals'!$AG31</f>
        <v>0</v>
      </c>
      <c r="AJ31" s="761">
        <f>'HIV-Pharmaceuticals'!$T31+'HIV-Pharmaceuticals'!$AA31+'HIV-Pharmaceuticals'!$AH31</f>
        <v>0</v>
      </c>
      <c r="AK31" s="351" t="str">
        <f>IF(A31&lt;&gt;"",IFERROR(INDEX(PMtbl[[WKst]:[Unit of measure*]],MATCH($A$8&amp;$A31&amp;$E31&amp;$I31,INDEX(PMtbl[Sec]&amp;PMtbl[Category]&amp;PMtbl[INN]&amp;PMtbl[Specification],0,),0),7),""),"")</f>
        <v/>
      </c>
      <c r="AL31" s="2049"/>
      <c r="AM31" s="1500" t="str">
        <f>IFERROR(INDEX(SETUP!$C$19:$G$62,MATCH((INDEX(PMtbl[[WKst]:[Unit of measure*]],MATCH($A31&amp;$E31&amp;$I31,INDEX(PMtbl[Category]&amp;PMtbl[INN]&amp;PMtbl[Specification],0,),0),3)),SETUP!$D$19:$D$62,0),5),"")</f>
        <v/>
      </c>
      <c r="AN31" s="1500"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2">
      <c r="A32" s="2336"/>
      <c r="B32" s="2337"/>
      <c r="C32" s="2337"/>
      <c r="D32" s="2337"/>
      <c r="E32" s="2301"/>
      <c r="F32" s="2302"/>
      <c r="G32" s="2302"/>
      <c r="H32" s="2302"/>
      <c r="I32" s="2301"/>
      <c r="J32" s="2302"/>
      <c r="K32" s="2302"/>
      <c r="L32" s="1165" t="str">
        <f>IF($A32&lt;&gt;"",IFERROR(INDEX(PMtbl[[WKst]:[Unit of measure*]],MATCH($A$8&amp;$A32&amp;$E32&amp;$I32,INDEX(PMtbl[Sec]&amp;PMtbl[Category]&amp;PMtbl[INN]&amp;PMtbl[Specification],0,),0),8),""),"")</f>
        <v/>
      </c>
      <c r="M32" s="270" t="str">
        <f>IF(L32="", "",SETUP!$E$5)</f>
        <v/>
      </c>
      <c r="N32" s="774"/>
      <c r="O32" s="371"/>
      <c r="P32" s="371"/>
      <c r="Q32" s="371"/>
      <c r="R32" s="371"/>
      <c r="S32" s="10">
        <f>SUM('HIV-Pharmaceuticals'!$O32:$R32)</f>
        <v>0</v>
      </c>
      <c r="T32" s="782">
        <f>'HIV-Pharmaceuticals'!$N32*'HIV-Pharmaceuticals'!$S32</f>
        <v>0</v>
      </c>
      <c r="U32" s="774"/>
      <c r="V32" s="375"/>
      <c r="W32" s="375"/>
      <c r="X32" s="375"/>
      <c r="Y32" s="375"/>
      <c r="Z32" s="352">
        <f>SUM('HIV-Pharmaceuticals'!$V32:$Y32)</f>
        <v>0</v>
      </c>
      <c r="AA32" s="773">
        <f>'HIV-Pharmaceuticals'!$U32*'HIV-Pharmaceuticals'!$Z32</f>
        <v>0</v>
      </c>
      <c r="AB32" s="774"/>
      <c r="AC32" s="371"/>
      <c r="AD32" s="371"/>
      <c r="AE32" s="371"/>
      <c r="AF32" s="371"/>
      <c r="AG32" s="353">
        <f>SUM('HIV-Pharmaceuticals'!$AC32:$AF32)</f>
        <v>0</v>
      </c>
      <c r="AH32" s="762">
        <f>'HIV-Pharmaceuticals'!$AB32*'HIV-Pharmaceuticals'!$AG32</f>
        <v>0</v>
      </c>
      <c r="AI32" s="354">
        <f>'HIV-Pharmaceuticals'!$S32+'HIV-Pharmaceuticals'!$Z32+'HIV-Pharmaceuticals'!$AG32</f>
        <v>0</v>
      </c>
      <c r="AJ32" s="762">
        <f>'HIV-Pharmaceuticals'!$T32+'HIV-Pharmaceuticals'!$AA32+'HIV-Pharmaceuticals'!$AH32</f>
        <v>0</v>
      </c>
      <c r="AK32" s="355" t="str">
        <f>IF(A32&lt;&gt;"",IFERROR(INDEX(PMtbl[[WKst]:[Unit of measure*]],MATCH($A$8&amp;$A32&amp;$E32&amp;$I32,INDEX(PMtbl[Sec]&amp;PMtbl[Category]&amp;PMtbl[INN]&amp;PMtbl[Specification],0,),0),7),""),"")</f>
        <v/>
      </c>
      <c r="AL32" s="2050"/>
      <c r="AM32" s="1501" t="str">
        <f>IFERROR(INDEX(SETUP!$C$19:$G$62,MATCH((INDEX(PMtbl[[WKst]:[Unit of measure*]],MATCH($A32&amp;$E32&amp;$I32,INDEX(PMtbl[Category]&amp;PMtbl[INN]&amp;PMtbl[Specification],0,),0),3)),SETUP!$D$19:$D$62,0),5),"")</f>
        <v/>
      </c>
      <c r="AN32" s="1501"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40">
      <c r="A33" s="2330"/>
      <c r="B33" s="2331"/>
      <c r="C33" s="2331"/>
      <c r="D33" s="2331"/>
      <c r="E33" s="2303"/>
      <c r="F33" s="2304"/>
      <c r="G33" s="2304"/>
      <c r="H33" s="2304"/>
      <c r="I33" s="2303"/>
      <c r="J33" s="2304"/>
      <c r="K33" s="2304"/>
      <c r="L33" s="1166" t="str">
        <f>IF($A33&lt;&gt;"",IFERROR(INDEX(PMtbl[[WKst]:[Unit of measure*]],MATCH($A$8&amp;$A33&amp;$E33&amp;$I33,INDEX(PMtbl[Sec]&amp;PMtbl[Category]&amp;PMtbl[INN]&amp;PMtbl[Specification],0,),0),8),""),"")</f>
        <v/>
      </c>
      <c r="M33" s="269" t="str">
        <f>IF(L33="", "",SETUP!$E$5)</f>
        <v/>
      </c>
      <c r="N33" s="772"/>
      <c r="O33" s="370"/>
      <c r="P33" s="370"/>
      <c r="Q33" s="370"/>
      <c r="R33" s="370"/>
      <c r="S33" s="11">
        <f>SUM('HIV-Pharmaceuticals'!$O33:$R33)</f>
        <v>0</v>
      </c>
      <c r="T33" s="781">
        <f>'HIV-Pharmaceuticals'!$N33*'HIV-Pharmaceuticals'!$S33</f>
        <v>0</v>
      </c>
      <c r="U33" s="772"/>
      <c r="V33" s="374"/>
      <c r="W33" s="374"/>
      <c r="X33" s="374"/>
      <c r="Y33" s="374"/>
      <c r="Z33" s="348">
        <f>SUM('HIV-Pharmaceuticals'!$V33:$Y33)</f>
        <v>0</v>
      </c>
      <c r="AA33" s="771">
        <f>'HIV-Pharmaceuticals'!$U33*'HIV-Pharmaceuticals'!$Z33</f>
        <v>0</v>
      </c>
      <c r="AB33" s="772"/>
      <c r="AC33" s="370"/>
      <c r="AD33" s="370"/>
      <c r="AE33" s="370"/>
      <c r="AF33" s="370"/>
      <c r="AG33" s="349">
        <f>SUM('HIV-Pharmaceuticals'!$AC33:$AF33)</f>
        <v>0</v>
      </c>
      <c r="AH33" s="761">
        <f>'HIV-Pharmaceuticals'!$AB33*'HIV-Pharmaceuticals'!$AG33</f>
        <v>0</v>
      </c>
      <c r="AI33" s="350">
        <f>'HIV-Pharmaceuticals'!$S33+'HIV-Pharmaceuticals'!$Z33+'HIV-Pharmaceuticals'!$AG33</f>
        <v>0</v>
      </c>
      <c r="AJ33" s="761">
        <f>'HIV-Pharmaceuticals'!$T33+'HIV-Pharmaceuticals'!$AA33+'HIV-Pharmaceuticals'!$AH33</f>
        <v>0</v>
      </c>
      <c r="AK33" s="351" t="str">
        <f>IF(A33&lt;&gt;"",IFERROR(INDEX(PMtbl[[WKst]:[Unit of measure*]],MATCH($A$8&amp;$A33&amp;$E33&amp;$I33,INDEX(PMtbl[Sec]&amp;PMtbl[Category]&amp;PMtbl[INN]&amp;PMtbl[Specification],0,),0),7),""),"")</f>
        <v/>
      </c>
      <c r="AL33" s="2049"/>
      <c r="AM33" s="1500" t="str">
        <f>IFERROR(INDEX(SETUP!$C$19:$G$62,MATCH((INDEX(PMtbl[[WKst]:[Unit of measure*]],MATCH($A33&amp;$E33&amp;$I33,INDEX(PMtbl[Category]&amp;PMtbl[INN]&amp;PMtbl[Specification],0,),0),3)),SETUP!$D$19:$D$62,0),5),"")</f>
        <v/>
      </c>
      <c r="AN33" s="1500"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40">
      <c r="A34" s="2336"/>
      <c r="B34" s="2337"/>
      <c r="C34" s="2337"/>
      <c r="D34" s="2337"/>
      <c r="E34" s="2301"/>
      <c r="F34" s="2302"/>
      <c r="G34" s="2302"/>
      <c r="H34" s="2302"/>
      <c r="I34" s="2301"/>
      <c r="J34" s="2302"/>
      <c r="K34" s="2302"/>
      <c r="L34" s="1165" t="str">
        <f>IF($A34&lt;&gt;"",IFERROR(INDEX(PMtbl[[WKst]:[Unit of measure*]],MATCH($A$8&amp;$A34&amp;$E34&amp;$I34,INDEX(PMtbl[Sec]&amp;PMtbl[Category]&amp;PMtbl[INN]&amp;PMtbl[Specification],0,),0),8),""),"")</f>
        <v/>
      </c>
      <c r="M34" s="270" t="str">
        <f>IF(L34="", "",SETUP!$E$5)</f>
        <v/>
      </c>
      <c r="N34" s="774"/>
      <c r="O34" s="371"/>
      <c r="P34" s="371"/>
      <c r="Q34" s="371"/>
      <c r="R34" s="371"/>
      <c r="S34" s="10">
        <f>SUM('HIV-Pharmaceuticals'!$O34:$R34)</f>
        <v>0</v>
      </c>
      <c r="T34" s="782">
        <f>'HIV-Pharmaceuticals'!$N34*'HIV-Pharmaceuticals'!$S34</f>
        <v>0</v>
      </c>
      <c r="U34" s="774"/>
      <c r="V34" s="375"/>
      <c r="W34" s="375"/>
      <c r="X34" s="375"/>
      <c r="Y34" s="375"/>
      <c r="Z34" s="352">
        <f>SUM('HIV-Pharmaceuticals'!$V34:$Y34)</f>
        <v>0</v>
      </c>
      <c r="AA34" s="773">
        <f>'HIV-Pharmaceuticals'!$U34*'HIV-Pharmaceuticals'!$Z34</f>
        <v>0</v>
      </c>
      <c r="AB34" s="774"/>
      <c r="AC34" s="371"/>
      <c r="AD34" s="371"/>
      <c r="AE34" s="371"/>
      <c r="AF34" s="371"/>
      <c r="AG34" s="353">
        <f>SUM('HIV-Pharmaceuticals'!$AC34:$AF34)</f>
        <v>0</v>
      </c>
      <c r="AH34" s="762">
        <f>'HIV-Pharmaceuticals'!$AB34*'HIV-Pharmaceuticals'!$AG34</f>
        <v>0</v>
      </c>
      <c r="AI34" s="354">
        <f>'HIV-Pharmaceuticals'!$S34+'HIV-Pharmaceuticals'!$Z34+'HIV-Pharmaceuticals'!$AG34</f>
        <v>0</v>
      </c>
      <c r="AJ34" s="762">
        <f>'HIV-Pharmaceuticals'!$T34+'HIV-Pharmaceuticals'!$AA34+'HIV-Pharmaceuticals'!$AH34</f>
        <v>0</v>
      </c>
      <c r="AK34" s="355" t="str">
        <f>IF(A34&lt;&gt;"",IFERROR(INDEX(PMtbl[[WKst]:[Unit of measure*]],MATCH($A$8&amp;$A34&amp;$E34&amp;$I34,INDEX(PMtbl[Sec]&amp;PMtbl[Category]&amp;PMtbl[INN]&amp;PMtbl[Specification],0,),0),7),""),"")</f>
        <v/>
      </c>
      <c r="AL34" s="2050"/>
      <c r="AM34" s="1501" t="str">
        <f>IFERROR(INDEX(SETUP!$C$19:$G$62,MATCH((INDEX(PMtbl[[WKst]:[Unit of measure*]],MATCH($A34&amp;$E34&amp;$I34,INDEX(PMtbl[Category]&amp;PMtbl[INN]&amp;PMtbl[Specification],0,),0),3)),SETUP!$D$19:$D$62,0),5),"")</f>
        <v/>
      </c>
      <c r="AN34" s="1501"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40">
      <c r="A35" s="2330"/>
      <c r="B35" s="2331"/>
      <c r="C35" s="2331"/>
      <c r="D35" s="2331"/>
      <c r="E35" s="2303"/>
      <c r="F35" s="2304"/>
      <c r="G35" s="2304"/>
      <c r="H35" s="2304"/>
      <c r="I35" s="2303"/>
      <c r="J35" s="2304"/>
      <c r="K35" s="2304"/>
      <c r="L35" s="1166" t="str">
        <f>IF($A35&lt;&gt;"",IFERROR(INDEX(PMtbl[[WKst]:[Unit of measure*]],MATCH($A$8&amp;$A35&amp;$E35&amp;$I35,INDEX(PMtbl[Sec]&amp;PMtbl[Category]&amp;PMtbl[INN]&amp;PMtbl[Specification],0,),0),8),""),"")</f>
        <v/>
      </c>
      <c r="M35" s="269" t="str">
        <f>IF(L35="", "",SETUP!$E$5)</f>
        <v/>
      </c>
      <c r="N35" s="772"/>
      <c r="O35" s="370"/>
      <c r="P35" s="370"/>
      <c r="Q35" s="370"/>
      <c r="R35" s="370"/>
      <c r="S35" s="11">
        <f>SUM('HIV-Pharmaceuticals'!$O35:$R35)</f>
        <v>0</v>
      </c>
      <c r="T35" s="781">
        <f>'HIV-Pharmaceuticals'!$N35*'HIV-Pharmaceuticals'!$S35</f>
        <v>0</v>
      </c>
      <c r="U35" s="772"/>
      <c r="V35" s="374"/>
      <c r="W35" s="374"/>
      <c r="X35" s="374"/>
      <c r="Y35" s="374"/>
      <c r="Z35" s="348">
        <f>SUM('HIV-Pharmaceuticals'!$V35:$Y35)</f>
        <v>0</v>
      </c>
      <c r="AA35" s="771">
        <f>'HIV-Pharmaceuticals'!$U35*'HIV-Pharmaceuticals'!$Z35</f>
        <v>0</v>
      </c>
      <c r="AB35" s="772"/>
      <c r="AC35" s="370"/>
      <c r="AD35" s="370"/>
      <c r="AE35" s="370"/>
      <c r="AF35" s="370"/>
      <c r="AG35" s="349">
        <f>SUM('HIV-Pharmaceuticals'!$AC35:$AF35)</f>
        <v>0</v>
      </c>
      <c r="AH35" s="761">
        <f>'HIV-Pharmaceuticals'!$AB35*'HIV-Pharmaceuticals'!$AG35</f>
        <v>0</v>
      </c>
      <c r="AI35" s="350">
        <f>'HIV-Pharmaceuticals'!$S35+'HIV-Pharmaceuticals'!$Z35+'HIV-Pharmaceuticals'!$AG35</f>
        <v>0</v>
      </c>
      <c r="AJ35" s="761">
        <f>'HIV-Pharmaceuticals'!$T35+'HIV-Pharmaceuticals'!$AA35+'HIV-Pharmaceuticals'!$AH35</f>
        <v>0</v>
      </c>
      <c r="AK35" s="351" t="str">
        <f>IF(A35&lt;&gt;"",IFERROR(INDEX(PMtbl[[WKst]:[Unit of measure*]],MATCH($A$8&amp;$A35&amp;$E35&amp;$I35,INDEX(PMtbl[Sec]&amp;PMtbl[Category]&amp;PMtbl[INN]&amp;PMtbl[Specification],0,),0),7),""),"")</f>
        <v/>
      </c>
      <c r="AL35" s="2049"/>
      <c r="AM35" s="1500" t="str">
        <f>IFERROR(INDEX(SETUP!$C$19:$G$62,MATCH((INDEX(PMtbl[[WKst]:[Unit of measure*]],MATCH($A35&amp;$E35&amp;$I35,INDEX(PMtbl[Category]&amp;PMtbl[INN]&amp;PMtbl[Specification],0,),0),3)),SETUP!$D$19:$D$62,0),5),"")</f>
        <v/>
      </c>
      <c r="AN35" s="1500"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40">
      <c r="A36" s="2336"/>
      <c r="B36" s="2337"/>
      <c r="C36" s="2337"/>
      <c r="D36" s="2337"/>
      <c r="E36" s="2301"/>
      <c r="F36" s="2302"/>
      <c r="G36" s="2302"/>
      <c r="H36" s="2302"/>
      <c r="I36" s="2301"/>
      <c r="J36" s="2302"/>
      <c r="K36" s="2302"/>
      <c r="L36" s="1165" t="str">
        <f>IF($A36&lt;&gt;"",IFERROR(INDEX(PMtbl[[WKst]:[Unit of measure*]],MATCH($A$8&amp;$A36&amp;$E36&amp;$I36,INDEX(PMtbl[Sec]&amp;PMtbl[Category]&amp;PMtbl[INN]&amp;PMtbl[Specification],0,),0),8),""),"")</f>
        <v/>
      </c>
      <c r="M36" s="270" t="str">
        <f>IF(L36="", "",SETUP!$E$5)</f>
        <v/>
      </c>
      <c r="N36" s="774"/>
      <c r="O36" s="371"/>
      <c r="P36" s="371"/>
      <c r="Q36" s="371"/>
      <c r="R36" s="371"/>
      <c r="S36" s="10">
        <f>SUM('HIV-Pharmaceuticals'!$O36:$R36)</f>
        <v>0</v>
      </c>
      <c r="T36" s="782">
        <f>'HIV-Pharmaceuticals'!$N36*'HIV-Pharmaceuticals'!$S36</f>
        <v>0</v>
      </c>
      <c r="U36" s="774"/>
      <c r="V36" s="375"/>
      <c r="W36" s="375"/>
      <c r="X36" s="375"/>
      <c r="Y36" s="375"/>
      <c r="Z36" s="352">
        <f>SUM('HIV-Pharmaceuticals'!$V36:$Y36)</f>
        <v>0</v>
      </c>
      <c r="AA36" s="773">
        <f>'HIV-Pharmaceuticals'!$U36*'HIV-Pharmaceuticals'!$Z36</f>
        <v>0</v>
      </c>
      <c r="AB36" s="774"/>
      <c r="AC36" s="371"/>
      <c r="AD36" s="371"/>
      <c r="AE36" s="371"/>
      <c r="AF36" s="371"/>
      <c r="AG36" s="353">
        <f>SUM('HIV-Pharmaceuticals'!$AC36:$AF36)</f>
        <v>0</v>
      </c>
      <c r="AH36" s="762">
        <f>'HIV-Pharmaceuticals'!$AB36*'HIV-Pharmaceuticals'!$AG36</f>
        <v>0</v>
      </c>
      <c r="AI36" s="354">
        <f>'HIV-Pharmaceuticals'!$S36+'HIV-Pharmaceuticals'!$Z36+'HIV-Pharmaceuticals'!$AG36</f>
        <v>0</v>
      </c>
      <c r="AJ36" s="762">
        <f>'HIV-Pharmaceuticals'!$T36+'HIV-Pharmaceuticals'!$AA36+'HIV-Pharmaceuticals'!$AH36</f>
        <v>0</v>
      </c>
      <c r="AK36" s="355" t="str">
        <f>IF(A36&lt;&gt;"",IFERROR(INDEX(PMtbl[[WKst]:[Unit of measure*]],MATCH($A$8&amp;$A36&amp;$E36&amp;$I36,INDEX(PMtbl[Sec]&amp;PMtbl[Category]&amp;PMtbl[INN]&amp;PMtbl[Specification],0,),0),7),""),"")</f>
        <v/>
      </c>
      <c r="AL36" s="2050"/>
      <c r="AM36" s="1501" t="str">
        <f>IFERROR(INDEX(SETUP!$C$19:$G$62,MATCH((INDEX(PMtbl[[WKst]:[Unit of measure*]],MATCH($A36&amp;$E36&amp;$I36,INDEX(PMtbl[Category]&amp;PMtbl[INN]&amp;PMtbl[Specification],0,),0),3)),SETUP!$D$19:$D$62,0),5),"")</f>
        <v/>
      </c>
      <c r="AN36" s="1501"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40">
      <c r="A37" s="2330"/>
      <c r="B37" s="2331"/>
      <c r="C37" s="2331"/>
      <c r="D37" s="2363"/>
      <c r="E37" s="2303"/>
      <c r="F37" s="2304"/>
      <c r="G37" s="2304"/>
      <c r="H37" s="2304"/>
      <c r="I37" s="2303"/>
      <c r="J37" s="2304"/>
      <c r="K37" s="2304"/>
      <c r="L37" s="1166" t="str">
        <f>IF($A37&lt;&gt;"",IFERROR(INDEX(PMtbl[[WKst]:[Unit of measure*]],MATCH($A$8&amp;$A37&amp;$E37&amp;$I37,INDEX(PMtbl[Sec]&amp;PMtbl[Category]&amp;PMtbl[INN]&amp;PMtbl[Specification],0,),0),8),""),"")</f>
        <v/>
      </c>
      <c r="M37" s="269" t="str">
        <f>IF(L37="", "",SETUP!$E$5)</f>
        <v/>
      </c>
      <c r="N37" s="772"/>
      <c r="O37" s="370"/>
      <c r="P37" s="370"/>
      <c r="Q37" s="370"/>
      <c r="R37" s="370"/>
      <c r="S37" s="11">
        <f>SUM('HIV-Pharmaceuticals'!$O37:$R37)</f>
        <v>0</v>
      </c>
      <c r="T37" s="781">
        <f>'HIV-Pharmaceuticals'!$N37*'HIV-Pharmaceuticals'!$S37</f>
        <v>0</v>
      </c>
      <c r="U37" s="772"/>
      <c r="V37" s="374"/>
      <c r="W37" s="374"/>
      <c r="X37" s="374"/>
      <c r="Y37" s="374"/>
      <c r="Z37" s="348">
        <f>SUM('HIV-Pharmaceuticals'!$V37:$Y37)</f>
        <v>0</v>
      </c>
      <c r="AA37" s="771">
        <f>'HIV-Pharmaceuticals'!$U37*'HIV-Pharmaceuticals'!$Z37</f>
        <v>0</v>
      </c>
      <c r="AB37" s="772"/>
      <c r="AC37" s="370"/>
      <c r="AD37" s="370"/>
      <c r="AE37" s="370"/>
      <c r="AF37" s="370"/>
      <c r="AG37" s="349">
        <f>SUM('HIV-Pharmaceuticals'!$AC37:$AF37)</f>
        <v>0</v>
      </c>
      <c r="AH37" s="761">
        <f>'HIV-Pharmaceuticals'!$AB37*'HIV-Pharmaceuticals'!$AG37</f>
        <v>0</v>
      </c>
      <c r="AI37" s="350">
        <f>'HIV-Pharmaceuticals'!$S37+'HIV-Pharmaceuticals'!$Z37+'HIV-Pharmaceuticals'!$AG37</f>
        <v>0</v>
      </c>
      <c r="AJ37" s="761">
        <f>'HIV-Pharmaceuticals'!$T37+'HIV-Pharmaceuticals'!$AA37+'HIV-Pharmaceuticals'!$AH37</f>
        <v>0</v>
      </c>
      <c r="AK37" s="351" t="str">
        <f>IF(A37&lt;&gt;"",IFERROR(INDEX(PMtbl[[WKst]:[Unit of measure*]],MATCH($A$8&amp;$A37&amp;$E37&amp;$I37,INDEX(PMtbl[Sec]&amp;PMtbl[Category]&amp;PMtbl[INN]&amp;PMtbl[Specification],0,),0),7),""),"")</f>
        <v/>
      </c>
      <c r="AL37" s="2049"/>
      <c r="AM37" s="1500" t="str">
        <f>IFERROR(INDEX(SETUP!$C$19:$G$62,MATCH((INDEX(PMtbl[[WKst]:[Unit of measure*]],MATCH($A37&amp;$E37&amp;$I37,INDEX(PMtbl[Category]&amp;PMtbl[INN]&amp;PMtbl[Specification],0,),0),3)),SETUP!$D$19:$D$62,0),5),"")</f>
        <v/>
      </c>
      <c r="AN37" s="1500"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40">
      <c r="A38" s="2336"/>
      <c r="B38" s="2337"/>
      <c r="C38" s="2337"/>
      <c r="D38" s="2337"/>
      <c r="E38" s="2301"/>
      <c r="F38" s="2302"/>
      <c r="G38" s="2302"/>
      <c r="H38" s="2302"/>
      <c r="I38" s="2301"/>
      <c r="J38" s="2302"/>
      <c r="K38" s="2302"/>
      <c r="L38" s="1165" t="str">
        <f>IF($A38&lt;&gt;"",IFERROR(INDEX(PMtbl[[WKst]:[Unit of measure*]],MATCH($A$8&amp;$A38&amp;$E38&amp;$I38,INDEX(PMtbl[Sec]&amp;PMtbl[Category]&amp;PMtbl[INN]&amp;PMtbl[Specification],0,),0),8),""),"")</f>
        <v/>
      </c>
      <c r="M38" s="270" t="str">
        <f>IF(L38="", "",SETUP!$E$5)</f>
        <v/>
      </c>
      <c r="N38" s="774"/>
      <c r="O38" s="371"/>
      <c r="P38" s="371"/>
      <c r="Q38" s="371"/>
      <c r="R38" s="371"/>
      <c r="S38" s="10">
        <f>SUM('HIV-Pharmaceuticals'!$O38:$R38)</f>
        <v>0</v>
      </c>
      <c r="T38" s="782">
        <f>'HIV-Pharmaceuticals'!$N38*'HIV-Pharmaceuticals'!$S38</f>
        <v>0</v>
      </c>
      <c r="U38" s="774"/>
      <c r="V38" s="375"/>
      <c r="W38" s="375"/>
      <c r="X38" s="375"/>
      <c r="Y38" s="375"/>
      <c r="Z38" s="352">
        <f>SUM('HIV-Pharmaceuticals'!$V38:$Y38)</f>
        <v>0</v>
      </c>
      <c r="AA38" s="773">
        <f>'HIV-Pharmaceuticals'!$U38*'HIV-Pharmaceuticals'!$Z38</f>
        <v>0</v>
      </c>
      <c r="AB38" s="774"/>
      <c r="AC38" s="371"/>
      <c r="AD38" s="371"/>
      <c r="AE38" s="371"/>
      <c r="AF38" s="371"/>
      <c r="AG38" s="353">
        <f>SUM('HIV-Pharmaceuticals'!$AC38:$AF38)</f>
        <v>0</v>
      </c>
      <c r="AH38" s="762">
        <f>'HIV-Pharmaceuticals'!$AB38*'HIV-Pharmaceuticals'!$AG38</f>
        <v>0</v>
      </c>
      <c r="AI38" s="354">
        <f>'HIV-Pharmaceuticals'!$S38+'HIV-Pharmaceuticals'!$Z38+'HIV-Pharmaceuticals'!$AG38</f>
        <v>0</v>
      </c>
      <c r="AJ38" s="762">
        <f>'HIV-Pharmaceuticals'!$T38+'HIV-Pharmaceuticals'!$AA38+'HIV-Pharmaceuticals'!$AH38</f>
        <v>0</v>
      </c>
      <c r="AK38" s="355" t="str">
        <f>IF(A38&lt;&gt;"",IFERROR(INDEX(PMtbl[[WKst]:[Unit of measure*]],MATCH($A$8&amp;$A38&amp;$E38&amp;$I38,INDEX(PMtbl[Sec]&amp;PMtbl[Category]&amp;PMtbl[INN]&amp;PMtbl[Specification],0,),0),7),""),"")</f>
        <v/>
      </c>
      <c r="AL38" s="2050"/>
      <c r="AM38" s="1501" t="str">
        <f>IFERROR(INDEX(SETUP!$C$19:$G$62,MATCH((INDEX(PMtbl[[WKst]:[Unit of measure*]],MATCH($A38&amp;$E38&amp;$I38,INDEX(PMtbl[Category]&amp;PMtbl[INN]&amp;PMtbl[Specification],0,),0),3)),SETUP!$D$19:$D$62,0),5),"")</f>
        <v/>
      </c>
      <c r="AN38" s="1501"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row>
    <row r="39" spans="1:40">
      <c r="A39" s="2330"/>
      <c r="B39" s="2331"/>
      <c r="C39" s="2331"/>
      <c r="D39" s="2331"/>
      <c r="E39" s="2303"/>
      <c r="F39" s="2304"/>
      <c r="G39" s="2304"/>
      <c r="H39" s="2304"/>
      <c r="I39" s="2303"/>
      <c r="J39" s="2304"/>
      <c r="K39" s="2304"/>
      <c r="L39" s="1166" t="str">
        <f>IF($A39&lt;&gt;"",IFERROR(INDEX(PMtbl[[WKst]:[Unit of measure*]],MATCH($A$8&amp;$A39&amp;$E39&amp;$I39,INDEX(PMtbl[Sec]&amp;PMtbl[Category]&amp;PMtbl[INN]&amp;PMtbl[Specification],0,),0),8),""),"")</f>
        <v/>
      </c>
      <c r="M39" s="269" t="str">
        <f>IF(L39="", "",SETUP!$E$5)</f>
        <v/>
      </c>
      <c r="N39" s="772"/>
      <c r="O39" s="370"/>
      <c r="P39" s="370"/>
      <c r="Q39" s="370"/>
      <c r="R39" s="370"/>
      <c r="S39" s="11">
        <f>SUM('HIV-Pharmaceuticals'!$O39:$R39)</f>
        <v>0</v>
      </c>
      <c r="T39" s="781">
        <f>'HIV-Pharmaceuticals'!$N39*'HIV-Pharmaceuticals'!$S39</f>
        <v>0</v>
      </c>
      <c r="U39" s="772"/>
      <c r="V39" s="374"/>
      <c r="W39" s="374"/>
      <c r="X39" s="374"/>
      <c r="Y39" s="374"/>
      <c r="Z39" s="348">
        <f>SUM('HIV-Pharmaceuticals'!$V39:$Y39)</f>
        <v>0</v>
      </c>
      <c r="AA39" s="771">
        <f>'HIV-Pharmaceuticals'!$U39*'HIV-Pharmaceuticals'!$Z39</f>
        <v>0</v>
      </c>
      <c r="AB39" s="772"/>
      <c r="AC39" s="370"/>
      <c r="AD39" s="370"/>
      <c r="AE39" s="370"/>
      <c r="AF39" s="370"/>
      <c r="AG39" s="349">
        <f>SUM('HIV-Pharmaceuticals'!$AC39:$AF39)</f>
        <v>0</v>
      </c>
      <c r="AH39" s="761">
        <f>'HIV-Pharmaceuticals'!$AB39*'HIV-Pharmaceuticals'!$AG39</f>
        <v>0</v>
      </c>
      <c r="AI39" s="350">
        <f>'HIV-Pharmaceuticals'!$S39+'HIV-Pharmaceuticals'!$Z39+'HIV-Pharmaceuticals'!$AG39</f>
        <v>0</v>
      </c>
      <c r="AJ39" s="761">
        <f>'HIV-Pharmaceuticals'!$T39+'HIV-Pharmaceuticals'!$AA39+'HIV-Pharmaceuticals'!$AH39</f>
        <v>0</v>
      </c>
      <c r="AK39" s="351" t="str">
        <f>IF(A39&lt;&gt;"",IFERROR(INDEX(PMtbl[[WKst]:[Unit of measure*]],MATCH($A$8&amp;$A39&amp;$E39&amp;$I39,INDEX(PMtbl[Sec]&amp;PMtbl[Category]&amp;PMtbl[INN]&amp;PMtbl[Specification],0,),0),7),""),"")</f>
        <v/>
      </c>
      <c r="AL39" s="2049"/>
      <c r="AM39" s="1500" t="str">
        <f>IFERROR(INDEX(SETUP!$C$19:$G$62,MATCH((INDEX(PMtbl[[WKst]:[Unit of measure*]],MATCH($A39&amp;$E39&amp;$I39,INDEX(PMtbl[Category]&amp;PMtbl[INN]&amp;PMtbl[Specification],0,),0),3)),SETUP!$D$19:$D$62,0),5),"")</f>
        <v/>
      </c>
      <c r="AN39" s="1500"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row>
    <row r="40" spans="1:40">
      <c r="A40" s="2336"/>
      <c r="B40" s="2337"/>
      <c r="C40" s="2337"/>
      <c r="D40" s="2337"/>
      <c r="E40" s="2301"/>
      <c r="F40" s="2302"/>
      <c r="G40" s="2302"/>
      <c r="H40" s="2302"/>
      <c r="I40" s="2301"/>
      <c r="J40" s="2302"/>
      <c r="K40" s="2302"/>
      <c r="L40" s="1165" t="str">
        <f>IF($A40&lt;&gt;"",IFERROR(INDEX(PMtbl[[WKst]:[Unit of measure*]],MATCH($A$8&amp;$A40&amp;$E40&amp;$I40,INDEX(PMtbl[Sec]&amp;PMtbl[Category]&amp;PMtbl[INN]&amp;PMtbl[Specification],0,),0),8),""),"")</f>
        <v/>
      </c>
      <c r="M40" s="270" t="str">
        <f>IF(L40="", "",SETUP!$E$5)</f>
        <v/>
      </c>
      <c r="N40" s="774"/>
      <c r="O40" s="371"/>
      <c r="P40" s="371"/>
      <c r="Q40" s="371"/>
      <c r="R40" s="371"/>
      <c r="S40" s="10">
        <f>SUM('HIV-Pharmaceuticals'!$O40:$R40)</f>
        <v>0</v>
      </c>
      <c r="T40" s="782">
        <f>'HIV-Pharmaceuticals'!$N40*'HIV-Pharmaceuticals'!$S40</f>
        <v>0</v>
      </c>
      <c r="U40" s="774"/>
      <c r="V40" s="375"/>
      <c r="W40" s="375"/>
      <c r="X40" s="375"/>
      <c r="Y40" s="375"/>
      <c r="Z40" s="352">
        <f>SUM('HIV-Pharmaceuticals'!$V40:$Y40)</f>
        <v>0</v>
      </c>
      <c r="AA40" s="773">
        <f>'HIV-Pharmaceuticals'!$U40*'HIV-Pharmaceuticals'!$Z40</f>
        <v>0</v>
      </c>
      <c r="AB40" s="774"/>
      <c r="AC40" s="371"/>
      <c r="AD40" s="371"/>
      <c r="AE40" s="371"/>
      <c r="AF40" s="371"/>
      <c r="AG40" s="353">
        <f>SUM('HIV-Pharmaceuticals'!$AC40:$AF40)</f>
        <v>0</v>
      </c>
      <c r="AH40" s="762">
        <f>'HIV-Pharmaceuticals'!$AB40*'HIV-Pharmaceuticals'!$AG40</f>
        <v>0</v>
      </c>
      <c r="AI40" s="354">
        <f>'HIV-Pharmaceuticals'!$S40+'HIV-Pharmaceuticals'!$Z40+'HIV-Pharmaceuticals'!$AG40</f>
        <v>0</v>
      </c>
      <c r="AJ40" s="762">
        <f>'HIV-Pharmaceuticals'!$T40+'HIV-Pharmaceuticals'!$AA40+'HIV-Pharmaceuticals'!$AH40</f>
        <v>0</v>
      </c>
      <c r="AK40" s="355" t="str">
        <f>IF(A40&lt;&gt;"",IFERROR(INDEX(PMtbl[[WKst]:[Unit of measure*]],MATCH($A$8&amp;$A40&amp;$E40&amp;$I40,INDEX(PMtbl[Sec]&amp;PMtbl[Category]&amp;PMtbl[INN]&amp;PMtbl[Specification],0,),0),7),""),"")</f>
        <v/>
      </c>
      <c r="AL40" s="2050"/>
      <c r="AM40" s="1501" t="str">
        <f>IFERROR(INDEX(SETUP!$C$19:$G$62,MATCH((INDEX(PMtbl[[WKst]:[Unit of measure*]],MATCH($A40&amp;$E40&amp;$I40,INDEX(PMtbl[Category]&amp;PMtbl[INN]&amp;PMtbl[Specification],0,),0),3)),SETUP!$D$19:$D$62,0),5),"")</f>
        <v/>
      </c>
      <c r="AN40" s="1501"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row>
    <row r="41" spans="1:40">
      <c r="A41" s="2330"/>
      <c r="B41" s="2331"/>
      <c r="C41" s="2331"/>
      <c r="D41" s="2331"/>
      <c r="E41" s="2303"/>
      <c r="F41" s="2304"/>
      <c r="G41" s="2304"/>
      <c r="H41" s="2304"/>
      <c r="I41" s="2303"/>
      <c r="J41" s="2304"/>
      <c r="K41" s="2304"/>
      <c r="L41" s="1166" t="str">
        <f>IF($A41&lt;&gt;"",IFERROR(INDEX(PMtbl[[WKst]:[Unit of measure*]],MATCH($A$8&amp;$A41&amp;$E41&amp;$I41,INDEX(PMtbl[Sec]&amp;PMtbl[Category]&amp;PMtbl[INN]&amp;PMtbl[Specification],0,),0),8),""),"")</f>
        <v/>
      </c>
      <c r="M41" s="269" t="str">
        <f>IF(L41="", "",SETUP!$E$5)</f>
        <v/>
      </c>
      <c r="N41" s="772"/>
      <c r="O41" s="370"/>
      <c r="P41" s="370"/>
      <c r="Q41" s="370"/>
      <c r="R41" s="370"/>
      <c r="S41" s="11">
        <f>SUM('HIV-Pharmaceuticals'!$O41:$R41)</f>
        <v>0</v>
      </c>
      <c r="T41" s="781">
        <f>'HIV-Pharmaceuticals'!$N41*'HIV-Pharmaceuticals'!$S41</f>
        <v>0</v>
      </c>
      <c r="U41" s="772"/>
      <c r="V41" s="374"/>
      <c r="W41" s="374"/>
      <c r="X41" s="374"/>
      <c r="Y41" s="374"/>
      <c r="Z41" s="348">
        <f>SUM('HIV-Pharmaceuticals'!$V41:$Y41)</f>
        <v>0</v>
      </c>
      <c r="AA41" s="771">
        <f>'HIV-Pharmaceuticals'!$U41*'HIV-Pharmaceuticals'!$Z41</f>
        <v>0</v>
      </c>
      <c r="AB41" s="772"/>
      <c r="AC41" s="370"/>
      <c r="AD41" s="370"/>
      <c r="AE41" s="370"/>
      <c r="AF41" s="370"/>
      <c r="AG41" s="349">
        <f>SUM('HIV-Pharmaceuticals'!$AC41:$AF41)</f>
        <v>0</v>
      </c>
      <c r="AH41" s="761">
        <f>'HIV-Pharmaceuticals'!$AB41*'HIV-Pharmaceuticals'!$AG41</f>
        <v>0</v>
      </c>
      <c r="AI41" s="350">
        <f>'HIV-Pharmaceuticals'!$S41+'HIV-Pharmaceuticals'!$Z41+'HIV-Pharmaceuticals'!$AG41</f>
        <v>0</v>
      </c>
      <c r="AJ41" s="761">
        <f>'HIV-Pharmaceuticals'!$T41+'HIV-Pharmaceuticals'!$AA41+'HIV-Pharmaceuticals'!$AH41</f>
        <v>0</v>
      </c>
      <c r="AK41" s="351" t="str">
        <f>IF(A41&lt;&gt;"",IFERROR(INDEX(PMtbl[[WKst]:[Unit of measure*]],MATCH($A$8&amp;$A41&amp;$E41&amp;$I41,INDEX(PMtbl[Sec]&amp;PMtbl[Category]&amp;PMtbl[INN]&amp;PMtbl[Specification],0,),0),7),""),"")</f>
        <v/>
      </c>
      <c r="AL41" s="2049"/>
      <c r="AM41" s="1500" t="str">
        <f>IFERROR(INDEX(SETUP!$C$19:$G$62,MATCH((INDEX(PMtbl[[WKst]:[Unit of measure*]],MATCH($A41&amp;$E41&amp;$I41,INDEX(PMtbl[Category]&amp;PMtbl[INN]&amp;PMtbl[Specification],0,),0),3)),SETUP!$D$19:$D$62,0),5),"")</f>
        <v/>
      </c>
      <c r="AN41" s="1500"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row>
    <row r="42" spans="1:40">
      <c r="A42" s="2336"/>
      <c r="B42" s="2337"/>
      <c r="C42" s="2337"/>
      <c r="D42" s="2337"/>
      <c r="E42" s="2301"/>
      <c r="F42" s="2302"/>
      <c r="G42" s="2302"/>
      <c r="H42" s="2302"/>
      <c r="I42" s="2301"/>
      <c r="J42" s="2302"/>
      <c r="K42" s="2302"/>
      <c r="L42" s="1165" t="str">
        <f>IF($A42&lt;&gt;"",IFERROR(INDEX(PMtbl[[WKst]:[Unit of measure*]],MATCH($A$8&amp;$A42&amp;$E42&amp;$I42,INDEX(PMtbl[Sec]&amp;PMtbl[Category]&amp;PMtbl[INN]&amp;PMtbl[Specification],0,),0),8),""),"")</f>
        <v/>
      </c>
      <c r="M42" s="270" t="str">
        <f>IF(L42="", "",SETUP!$E$5)</f>
        <v/>
      </c>
      <c r="N42" s="774"/>
      <c r="O42" s="371"/>
      <c r="P42" s="371"/>
      <c r="Q42" s="371"/>
      <c r="R42" s="371"/>
      <c r="S42" s="10">
        <f>SUM('HIV-Pharmaceuticals'!$O42:$R42)</f>
        <v>0</v>
      </c>
      <c r="T42" s="782">
        <f>'HIV-Pharmaceuticals'!$N42*'HIV-Pharmaceuticals'!$S42</f>
        <v>0</v>
      </c>
      <c r="U42" s="774"/>
      <c r="V42" s="375"/>
      <c r="W42" s="375"/>
      <c r="X42" s="375"/>
      <c r="Y42" s="375"/>
      <c r="Z42" s="352">
        <f>SUM('HIV-Pharmaceuticals'!$V42:$Y42)</f>
        <v>0</v>
      </c>
      <c r="AA42" s="773">
        <f>'HIV-Pharmaceuticals'!$U42*'HIV-Pharmaceuticals'!$Z42</f>
        <v>0</v>
      </c>
      <c r="AB42" s="774"/>
      <c r="AC42" s="371"/>
      <c r="AD42" s="371"/>
      <c r="AE42" s="371"/>
      <c r="AF42" s="371"/>
      <c r="AG42" s="353">
        <f>SUM('HIV-Pharmaceuticals'!$AC42:$AF42)</f>
        <v>0</v>
      </c>
      <c r="AH42" s="762">
        <f>'HIV-Pharmaceuticals'!$AB42*'HIV-Pharmaceuticals'!$AG42</f>
        <v>0</v>
      </c>
      <c r="AI42" s="354">
        <f>'HIV-Pharmaceuticals'!$S42+'HIV-Pharmaceuticals'!$Z42+'HIV-Pharmaceuticals'!$AG42</f>
        <v>0</v>
      </c>
      <c r="AJ42" s="762">
        <f>'HIV-Pharmaceuticals'!$T42+'HIV-Pharmaceuticals'!$AA42+'HIV-Pharmaceuticals'!$AH42</f>
        <v>0</v>
      </c>
      <c r="AK42" s="355" t="str">
        <f>IF(A42&lt;&gt;"",IFERROR(INDEX(PMtbl[[WKst]:[Unit of measure*]],MATCH($A$8&amp;$A42&amp;$E42&amp;$I42,INDEX(PMtbl[Sec]&amp;PMtbl[Category]&amp;PMtbl[INN]&amp;PMtbl[Specification],0,),0),7),""),"")</f>
        <v/>
      </c>
      <c r="AL42" s="2050"/>
      <c r="AM42" s="1501" t="str">
        <f>IFERROR(INDEX(SETUP!$C$19:$G$62,MATCH((INDEX(PMtbl[[WKst]:[Unit of measure*]],MATCH($A42&amp;$E42&amp;$I42,INDEX(PMtbl[Category]&amp;PMtbl[INN]&amp;PMtbl[Specification],0,),0),3)),SETUP!$D$19:$D$62,0),5),"")</f>
        <v/>
      </c>
      <c r="AN42" s="1501"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row>
    <row r="43" spans="1:40">
      <c r="A43" s="2330"/>
      <c r="B43" s="2331"/>
      <c r="C43" s="2331"/>
      <c r="D43" s="2331"/>
      <c r="E43" s="2303"/>
      <c r="F43" s="2304"/>
      <c r="G43" s="2304"/>
      <c r="H43" s="2304"/>
      <c r="I43" s="2303"/>
      <c r="J43" s="2304"/>
      <c r="K43" s="2304"/>
      <c r="L43" s="1166" t="str">
        <f>IF($A43&lt;&gt;"",IFERROR(INDEX(PMtbl[[WKst]:[Unit of measure*]],MATCH($A$8&amp;$A43&amp;$E43&amp;$I43,INDEX(PMtbl[Sec]&amp;PMtbl[Category]&amp;PMtbl[INN]&amp;PMtbl[Specification],0,),0),8),""),"")</f>
        <v/>
      </c>
      <c r="M43" s="269" t="str">
        <f>IF(L43="", "",SETUP!$E$5)</f>
        <v/>
      </c>
      <c r="N43" s="772"/>
      <c r="O43" s="370"/>
      <c r="P43" s="370"/>
      <c r="Q43" s="370"/>
      <c r="R43" s="370"/>
      <c r="S43" s="11">
        <f>SUM('HIV-Pharmaceuticals'!$O43:$R43)</f>
        <v>0</v>
      </c>
      <c r="T43" s="781">
        <f>'HIV-Pharmaceuticals'!$N43*'HIV-Pharmaceuticals'!$S43</f>
        <v>0</v>
      </c>
      <c r="U43" s="772"/>
      <c r="V43" s="374"/>
      <c r="W43" s="374"/>
      <c r="X43" s="374"/>
      <c r="Y43" s="374"/>
      <c r="Z43" s="348">
        <f>SUM('HIV-Pharmaceuticals'!$V43:$Y43)</f>
        <v>0</v>
      </c>
      <c r="AA43" s="771">
        <f>'HIV-Pharmaceuticals'!$U43*'HIV-Pharmaceuticals'!$Z43</f>
        <v>0</v>
      </c>
      <c r="AB43" s="772"/>
      <c r="AC43" s="370"/>
      <c r="AD43" s="370"/>
      <c r="AE43" s="370"/>
      <c r="AF43" s="370"/>
      <c r="AG43" s="349">
        <f>SUM('HIV-Pharmaceuticals'!$AC43:$AF43)</f>
        <v>0</v>
      </c>
      <c r="AH43" s="761">
        <f>'HIV-Pharmaceuticals'!$AB43*'HIV-Pharmaceuticals'!$AG43</f>
        <v>0</v>
      </c>
      <c r="AI43" s="350">
        <f>'HIV-Pharmaceuticals'!$S43+'HIV-Pharmaceuticals'!$Z43+'HIV-Pharmaceuticals'!$AG43</f>
        <v>0</v>
      </c>
      <c r="AJ43" s="761">
        <f>'HIV-Pharmaceuticals'!$T43+'HIV-Pharmaceuticals'!$AA43+'HIV-Pharmaceuticals'!$AH43</f>
        <v>0</v>
      </c>
      <c r="AK43" s="351" t="str">
        <f>IF(A43&lt;&gt;"",IFERROR(INDEX(PMtbl[[WKst]:[Unit of measure*]],MATCH($A$8&amp;$A43&amp;$E43&amp;$I43,INDEX(PMtbl[Sec]&amp;PMtbl[Category]&amp;PMtbl[INN]&amp;PMtbl[Specification],0,),0),7),""),"")</f>
        <v/>
      </c>
      <c r="AL43" s="2049"/>
      <c r="AM43" s="1500" t="str">
        <f>IFERROR(INDEX(SETUP!$C$19:$G$62,MATCH((INDEX(PMtbl[[WKst]:[Unit of measure*]],MATCH($A43&amp;$E43&amp;$I43,INDEX(PMtbl[Category]&amp;PMtbl[INN]&amp;PMtbl[Specification],0,),0),3)),SETUP!$D$19:$D$62,0),5),"")</f>
        <v/>
      </c>
      <c r="AN43" s="1500"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row>
    <row r="44" spans="1:40">
      <c r="A44" s="2336"/>
      <c r="B44" s="2337"/>
      <c r="C44" s="2337"/>
      <c r="D44" s="2337"/>
      <c r="E44" s="2301"/>
      <c r="F44" s="2302"/>
      <c r="G44" s="2302"/>
      <c r="H44" s="2302"/>
      <c r="I44" s="2301"/>
      <c r="J44" s="2302"/>
      <c r="K44" s="2302"/>
      <c r="L44" s="1165" t="str">
        <f>IF($A44&lt;&gt;"",IFERROR(INDEX(PMtbl[[WKst]:[Unit of measure*]],MATCH($A$8&amp;$A44&amp;$E44&amp;$I44,INDEX(PMtbl[Sec]&amp;PMtbl[Category]&amp;PMtbl[INN]&amp;PMtbl[Specification],0,),0),8),""),"")</f>
        <v/>
      </c>
      <c r="M44" s="270" t="str">
        <f>IF(L44="", "",SETUP!$E$5)</f>
        <v/>
      </c>
      <c r="N44" s="774"/>
      <c r="O44" s="371"/>
      <c r="P44" s="371"/>
      <c r="Q44" s="371"/>
      <c r="R44" s="371"/>
      <c r="S44" s="10">
        <f>SUM('HIV-Pharmaceuticals'!$O44:$R44)</f>
        <v>0</v>
      </c>
      <c r="T44" s="782">
        <f>'HIV-Pharmaceuticals'!$N44*'HIV-Pharmaceuticals'!$S44</f>
        <v>0</v>
      </c>
      <c r="U44" s="774"/>
      <c r="V44" s="375"/>
      <c r="W44" s="375"/>
      <c r="X44" s="375"/>
      <c r="Y44" s="375"/>
      <c r="Z44" s="352">
        <f>SUM('HIV-Pharmaceuticals'!$V44:$Y44)</f>
        <v>0</v>
      </c>
      <c r="AA44" s="773">
        <f>'HIV-Pharmaceuticals'!$U44*'HIV-Pharmaceuticals'!$Z44</f>
        <v>0</v>
      </c>
      <c r="AB44" s="774"/>
      <c r="AC44" s="371"/>
      <c r="AD44" s="371"/>
      <c r="AE44" s="371"/>
      <c r="AF44" s="371"/>
      <c r="AG44" s="353">
        <f>SUM('HIV-Pharmaceuticals'!$AC44:$AF44)</f>
        <v>0</v>
      </c>
      <c r="AH44" s="762">
        <f>'HIV-Pharmaceuticals'!$AB44*'HIV-Pharmaceuticals'!$AG44</f>
        <v>0</v>
      </c>
      <c r="AI44" s="354">
        <f>'HIV-Pharmaceuticals'!$S44+'HIV-Pharmaceuticals'!$Z44+'HIV-Pharmaceuticals'!$AG44</f>
        <v>0</v>
      </c>
      <c r="AJ44" s="762">
        <f>'HIV-Pharmaceuticals'!$T44+'HIV-Pharmaceuticals'!$AA44+'HIV-Pharmaceuticals'!$AH44</f>
        <v>0</v>
      </c>
      <c r="AK44" s="355" t="str">
        <f>IF(A44&lt;&gt;"",IFERROR(INDEX(PMtbl[[WKst]:[Unit of measure*]],MATCH($A$8&amp;$A44&amp;$E44&amp;$I44,INDEX(PMtbl[Sec]&amp;PMtbl[Category]&amp;PMtbl[INN]&amp;PMtbl[Specification],0,),0),7),""),"")</f>
        <v/>
      </c>
      <c r="AL44" s="2050"/>
      <c r="AM44" s="1501" t="str">
        <f>IFERROR(INDEX(SETUP!$C$19:$G$62,MATCH((INDEX(PMtbl[[WKst]:[Unit of measure*]],MATCH($A44&amp;$E44&amp;$I44,INDEX(PMtbl[Category]&amp;PMtbl[INN]&amp;PMtbl[Specification],0,),0),3)),SETUP!$D$19:$D$62,0),5),"")</f>
        <v/>
      </c>
      <c r="AN44" s="1501"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row>
    <row r="45" spans="1:40">
      <c r="A45" s="2330"/>
      <c r="B45" s="2331"/>
      <c r="C45" s="2331"/>
      <c r="D45" s="2331"/>
      <c r="E45" s="2303"/>
      <c r="F45" s="2304"/>
      <c r="G45" s="2304"/>
      <c r="H45" s="2304"/>
      <c r="I45" s="2303"/>
      <c r="J45" s="2304"/>
      <c r="K45" s="2304"/>
      <c r="L45" s="1166" t="str">
        <f>IF($A45&lt;&gt;"",IFERROR(INDEX(PMtbl[[WKst]:[Unit of measure*]],MATCH($A$8&amp;$A45&amp;$E45&amp;$I45,INDEX(PMtbl[Sec]&amp;PMtbl[Category]&amp;PMtbl[INN]&amp;PMtbl[Specification],0,),0),8),""),"")</f>
        <v/>
      </c>
      <c r="M45" s="269" t="str">
        <f>IF(L45="", "",SETUP!$E$5)</f>
        <v/>
      </c>
      <c r="N45" s="772"/>
      <c r="O45" s="370"/>
      <c r="P45" s="370"/>
      <c r="Q45" s="370"/>
      <c r="R45" s="370"/>
      <c r="S45" s="11">
        <f>SUM('HIV-Pharmaceuticals'!$O45:$R45)</f>
        <v>0</v>
      </c>
      <c r="T45" s="781">
        <f>'HIV-Pharmaceuticals'!$N45*'HIV-Pharmaceuticals'!$S45</f>
        <v>0</v>
      </c>
      <c r="U45" s="772"/>
      <c r="V45" s="374"/>
      <c r="W45" s="374"/>
      <c r="X45" s="374"/>
      <c r="Y45" s="374"/>
      <c r="Z45" s="348">
        <f>SUM('HIV-Pharmaceuticals'!$V45:$Y45)</f>
        <v>0</v>
      </c>
      <c r="AA45" s="771">
        <f>'HIV-Pharmaceuticals'!$U45*'HIV-Pharmaceuticals'!$Z45</f>
        <v>0</v>
      </c>
      <c r="AB45" s="772"/>
      <c r="AC45" s="370"/>
      <c r="AD45" s="370"/>
      <c r="AE45" s="370"/>
      <c r="AF45" s="370"/>
      <c r="AG45" s="349">
        <f>SUM('HIV-Pharmaceuticals'!$AC45:$AF45)</f>
        <v>0</v>
      </c>
      <c r="AH45" s="761">
        <f>'HIV-Pharmaceuticals'!$AB45*'HIV-Pharmaceuticals'!$AG45</f>
        <v>0</v>
      </c>
      <c r="AI45" s="350">
        <f>'HIV-Pharmaceuticals'!$S45+'HIV-Pharmaceuticals'!$Z45+'HIV-Pharmaceuticals'!$AG45</f>
        <v>0</v>
      </c>
      <c r="AJ45" s="761">
        <f>'HIV-Pharmaceuticals'!$T45+'HIV-Pharmaceuticals'!$AA45+'HIV-Pharmaceuticals'!$AH45</f>
        <v>0</v>
      </c>
      <c r="AK45" s="351" t="str">
        <f>IF(A45&lt;&gt;"",IFERROR(INDEX(PMtbl[[WKst]:[Unit of measure*]],MATCH($A$8&amp;$A45&amp;$E45&amp;$I45,INDEX(PMtbl[Sec]&amp;PMtbl[Category]&amp;PMtbl[INN]&amp;PMtbl[Specification],0,),0),7),""),"")</f>
        <v/>
      </c>
      <c r="AL45" s="2049"/>
      <c r="AM45" s="1500" t="str">
        <f>IFERROR(INDEX(SETUP!$C$19:$G$62,MATCH((INDEX(PMtbl[[WKst]:[Unit of measure*]],MATCH($A45&amp;$E45&amp;$I45,INDEX(PMtbl[Category]&amp;PMtbl[INN]&amp;PMtbl[Specification],0,),0),3)),SETUP!$D$19:$D$62,0),5),"")</f>
        <v/>
      </c>
      <c r="AN45" s="1500"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40">
      <c r="A46" s="2336"/>
      <c r="B46" s="2337"/>
      <c r="C46" s="2337"/>
      <c r="D46" s="2337"/>
      <c r="E46" s="2301"/>
      <c r="F46" s="2302"/>
      <c r="G46" s="2302"/>
      <c r="H46" s="2302"/>
      <c r="I46" s="2301"/>
      <c r="J46" s="2302"/>
      <c r="K46" s="2307"/>
      <c r="L46" s="1165" t="str">
        <f>IF($A46&lt;&gt;"",IFERROR(INDEX(PMtbl[[WKst]:[Unit of measure*]],MATCH($A$8&amp;$A46&amp;$E46&amp;$I46,INDEX(PMtbl[Sec]&amp;PMtbl[Category]&amp;PMtbl[INN]&amp;PMtbl[Specification],0,),0),8),""),"")</f>
        <v/>
      </c>
      <c r="M46" s="270" t="str">
        <f>IF(L46="", "",SETUP!$E$5)</f>
        <v/>
      </c>
      <c r="N46" s="774"/>
      <c r="O46" s="371"/>
      <c r="P46" s="371"/>
      <c r="Q46" s="371"/>
      <c r="R46" s="371"/>
      <c r="S46" s="10">
        <f>SUM('HIV-Pharmaceuticals'!$O46:$R46)</f>
        <v>0</v>
      </c>
      <c r="T46" s="782">
        <f>'HIV-Pharmaceuticals'!$N46*'HIV-Pharmaceuticals'!$S46</f>
        <v>0</v>
      </c>
      <c r="U46" s="774"/>
      <c r="V46" s="375"/>
      <c r="W46" s="375"/>
      <c r="X46" s="375"/>
      <c r="Y46" s="375"/>
      <c r="Z46" s="352">
        <f>SUM('HIV-Pharmaceuticals'!$V46:$Y46)</f>
        <v>0</v>
      </c>
      <c r="AA46" s="773">
        <f>'HIV-Pharmaceuticals'!$U46*'HIV-Pharmaceuticals'!$Z46</f>
        <v>0</v>
      </c>
      <c r="AB46" s="774"/>
      <c r="AC46" s="371"/>
      <c r="AD46" s="371"/>
      <c r="AE46" s="371"/>
      <c r="AF46" s="371"/>
      <c r="AG46" s="353">
        <f>SUM('HIV-Pharmaceuticals'!$AC46:$AF46)</f>
        <v>0</v>
      </c>
      <c r="AH46" s="762">
        <f>'HIV-Pharmaceuticals'!$AB46*'HIV-Pharmaceuticals'!$AG46</f>
        <v>0</v>
      </c>
      <c r="AI46" s="354">
        <f>'HIV-Pharmaceuticals'!$S46+'HIV-Pharmaceuticals'!$Z46+'HIV-Pharmaceuticals'!$AG46</f>
        <v>0</v>
      </c>
      <c r="AJ46" s="762">
        <f>'HIV-Pharmaceuticals'!$T46+'HIV-Pharmaceuticals'!$AA46+'HIV-Pharmaceuticals'!$AH46</f>
        <v>0</v>
      </c>
      <c r="AK46" s="355" t="str">
        <f>IF(A46&lt;&gt;"",IFERROR(INDEX(PMtbl[[WKst]:[Unit of measure*]],MATCH($A$8&amp;$A46&amp;$E46&amp;$I46,INDEX(PMtbl[Sec]&amp;PMtbl[Category]&amp;PMtbl[INN]&amp;PMtbl[Specification],0,),0),7),""),"")</f>
        <v/>
      </c>
      <c r="AL46" s="2050"/>
      <c r="AM46" s="1501" t="str">
        <f>IFERROR(INDEX(SETUP!$C$19:$G$62,MATCH((INDEX(PMtbl[[WKst]:[Unit of measure*]],MATCH($A46&amp;$E46&amp;$I46,INDEX(PMtbl[Category]&amp;PMtbl[INN]&amp;PMtbl[Specification],0,),0),3)),SETUP!$D$19:$D$62,0),5),"")</f>
        <v/>
      </c>
      <c r="AN46" s="1501"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40">
      <c r="A47" s="2330"/>
      <c r="B47" s="2331"/>
      <c r="C47" s="2331"/>
      <c r="D47" s="2331"/>
      <c r="E47" s="2303"/>
      <c r="F47" s="2304"/>
      <c r="G47" s="2304"/>
      <c r="H47" s="2304"/>
      <c r="I47" s="2303"/>
      <c r="J47" s="2304"/>
      <c r="K47" s="2304"/>
      <c r="L47" s="1166" t="str">
        <f>IF($A47&lt;&gt;"",IFERROR(INDEX(PMtbl[[WKst]:[Unit of measure*]],MATCH($A$8&amp;$A47&amp;$E47&amp;$I47,INDEX(PMtbl[Sec]&amp;PMtbl[Category]&amp;PMtbl[INN]&amp;PMtbl[Specification],0,),0),8),""),"")</f>
        <v/>
      </c>
      <c r="M47" s="269" t="str">
        <f>IF(L47="", "",SETUP!$E$5)</f>
        <v/>
      </c>
      <c r="N47" s="772"/>
      <c r="O47" s="370"/>
      <c r="P47" s="370"/>
      <c r="Q47" s="370"/>
      <c r="R47" s="370"/>
      <c r="S47" s="11">
        <f>SUM('HIV-Pharmaceuticals'!$O47:$R47)</f>
        <v>0</v>
      </c>
      <c r="T47" s="781">
        <f>'HIV-Pharmaceuticals'!$N47*'HIV-Pharmaceuticals'!$S47</f>
        <v>0</v>
      </c>
      <c r="U47" s="772"/>
      <c r="V47" s="374"/>
      <c r="W47" s="374"/>
      <c r="X47" s="374"/>
      <c r="Y47" s="374"/>
      <c r="Z47" s="348">
        <f>SUM('HIV-Pharmaceuticals'!$V47:$Y47)</f>
        <v>0</v>
      </c>
      <c r="AA47" s="771">
        <f>'HIV-Pharmaceuticals'!$U47*'HIV-Pharmaceuticals'!$Z47</f>
        <v>0</v>
      </c>
      <c r="AB47" s="772"/>
      <c r="AC47" s="370"/>
      <c r="AD47" s="370"/>
      <c r="AE47" s="370"/>
      <c r="AF47" s="370"/>
      <c r="AG47" s="349">
        <f>SUM('HIV-Pharmaceuticals'!$AC47:$AF47)</f>
        <v>0</v>
      </c>
      <c r="AH47" s="761">
        <f>'HIV-Pharmaceuticals'!$AB47*'HIV-Pharmaceuticals'!$AG47</f>
        <v>0</v>
      </c>
      <c r="AI47" s="350">
        <f>'HIV-Pharmaceuticals'!$S47+'HIV-Pharmaceuticals'!$Z47+'HIV-Pharmaceuticals'!$AG47</f>
        <v>0</v>
      </c>
      <c r="AJ47" s="761">
        <f>'HIV-Pharmaceuticals'!$T47+'HIV-Pharmaceuticals'!$AA47+'HIV-Pharmaceuticals'!$AH47</f>
        <v>0</v>
      </c>
      <c r="AK47" s="351" t="str">
        <f>IF(A47&lt;&gt;"",IFERROR(INDEX(PMtbl[[WKst]:[Unit of measure*]],MATCH($A$8&amp;$A47&amp;$E47&amp;$I47,INDEX(PMtbl[Sec]&amp;PMtbl[Category]&amp;PMtbl[INN]&amp;PMtbl[Specification],0,),0),7),""),"")</f>
        <v/>
      </c>
      <c r="AL47" s="2049"/>
      <c r="AM47" s="1500" t="str">
        <f>IFERROR(INDEX(SETUP!$C$19:$G$62,MATCH((INDEX(PMtbl[[WKst]:[Unit of measure*]],MATCH($A47&amp;$E47&amp;$I47,INDEX(PMtbl[Category]&amp;PMtbl[INN]&amp;PMtbl[Specification],0,),0),3)),SETUP!$D$19:$D$62,0),5),"")</f>
        <v/>
      </c>
      <c r="AN47" s="1500"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40">
      <c r="A48" s="2336"/>
      <c r="B48" s="2337"/>
      <c r="C48" s="2337"/>
      <c r="D48" s="2337"/>
      <c r="E48" s="2301"/>
      <c r="F48" s="2302"/>
      <c r="G48" s="2302"/>
      <c r="H48" s="2302"/>
      <c r="I48" s="2301"/>
      <c r="J48" s="2302"/>
      <c r="K48" s="2302"/>
      <c r="L48" s="1165" t="str">
        <f>IF($A48&lt;&gt;"",IFERROR(INDEX(PMtbl[[WKst]:[Unit of measure*]],MATCH($A$8&amp;$A48&amp;$E48&amp;$I48,INDEX(PMtbl[Sec]&amp;PMtbl[Category]&amp;PMtbl[INN]&amp;PMtbl[Specification],0,),0),8),""),"")</f>
        <v/>
      </c>
      <c r="M48" s="270" t="str">
        <f>IF(L48="", "",SETUP!$E$5)</f>
        <v/>
      </c>
      <c r="N48" s="774"/>
      <c r="O48" s="371"/>
      <c r="P48" s="371"/>
      <c r="Q48" s="371"/>
      <c r="R48" s="371"/>
      <c r="S48" s="10">
        <f>SUM('HIV-Pharmaceuticals'!$O48:$R48)</f>
        <v>0</v>
      </c>
      <c r="T48" s="782">
        <f>'HIV-Pharmaceuticals'!$N48*'HIV-Pharmaceuticals'!$S48</f>
        <v>0</v>
      </c>
      <c r="U48" s="774"/>
      <c r="V48" s="375"/>
      <c r="W48" s="375"/>
      <c r="X48" s="375"/>
      <c r="Y48" s="375"/>
      <c r="Z48" s="352">
        <f>SUM('HIV-Pharmaceuticals'!$V48:$Y48)</f>
        <v>0</v>
      </c>
      <c r="AA48" s="773">
        <f>'HIV-Pharmaceuticals'!$U48*'HIV-Pharmaceuticals'!$Z48</f>
        <v>0</v>
      </c>
      <c r="AB48" s="774"/>
      <c r="AC48" s="371"/>
      <c r="AD48" s="371"/>
      <c r="AE48" s="371"/>
      <c r="AF48" s="371"/>
      <c r="AG48" s="353">
        <f>SUM('HIV-Pharmaceuticals'!$AC48:$AF48)</f>
        <v>0</v>
      </c>
      <c r="AH48" s="762">
        <f>'HIV-Pharmaceuticals'!$AB48*'HIV-Pharmaceuticals'!$AG48</f>
        <v>0</v>
      </c>
      <c r="AI48" s="354">
        <f>'HIV-Pharmaceuticals'!$S48+'HIV-Pharmaceuticals'!$Z48+'HIV-Pharmaceuticals'!$AG48</f>
        <v>0</v>
      </c>
      <c r="AJ48" s="762">
        <f>'HIV-Pharmaceuticals'!$T48+'HIV-Pharmaceuticals'!$AA48+'HIV-Pharmaceuticals'!$AH48</f>
        <v>0</v>
      </c>
      <c r="AK48" s="355" t="str">
        <f>IF(A48&lt;&gt;"",IFERROR(INDEX(PMtbl[[WKst]:[Unit of measure*]],MATCH($A$8&amp;$A48&amp;$E48&amp;$I48,INDEX(PMtbl[Sec]&amp;PMtbl[Category]&amp;PMtbl[INN]&amp;PMtbl[Specification],0,),0),7),""),"")</f>
        <v/>
      </c>
      <c r="AL48" s="2050"/>
      <c r="AM48" s="1501" t="str">
        <f>IFERROR(INDEX(SETUP!$C$19:$G$62,MATCH((INDEX(PMtbl[[WKst]:[Unit of measure*]],MATCH($A48&amp;$E48&amp;$I48,INDEX(PMtbl[Category]&amp;PMtbl[INN]&amp;PMtbl[Specification],0,),0),3)),SETUP!$D$19:$D$62,0),5),"")</f>
        <v/>
      </c>
      <c r="AN48" s="1501"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40">
      <c r="A49" s="2330"/>
      <c r="B49" s="2331"/>
      <c r="C49" s="2331"/>
      <c r="D49" s="2331"/>
      <c r="E49" s="2303"/>
      <c r="F49" s="2304"/>
      <c r="G49" s="2304"/>
      <c r="H49" s="2304"/>
      <c r="I49" s="2303"/>
      <c r="J49" s="2304"/>
      <c r="K49" s="2304"/>
      <c r="L49" s="1166" t="str">
        <f>IF($A49&lt;&gt;"",IFERROR(INDEX(PMtbl[[WKst]:[Unit of measure*]],MATCH($A$8&amp;$A49&amp;$E49&amp;$I49,INDEX(PMtbl[Sec]&amp;PMtbl[Category]&amp;PMtbl[INN]&amp;PMtbl[Specification],0,),0),8),""),"")</f>
        <v/>
      </c>
      <c r="M49" s="269" t="str">
        <f>IF(L49="", "",SETUP!$E$5)</f>
        <v/>
      </c>
      <c r="N49" s="772"/>
      <c r="O49" s="370"/>
      <c r="P49" s="370"/>
      <c r="Q49" s="370"/>
      <c r="R49" s="370"/>
      <c r="S49" s="11">
        <f>SUM('HIV-Pharmaceuticals'!$O49:$R49)</f>
        <v>0</v>
      </c>
      <c r="T49" s="781">
        <f>'HIV-Pharmaceuticals'!$N49*'HIV-Pharmaceuticals'!$S49</f>
        <v>0</v>
      </c>
      <c r="U49" s="772"/>
      <c r="V49" s="374"/>
      <c r="W49" s="374"/>
      <c r="X49" s="374"/>
      <c r="Y49" s="374"/>
      <c r="Z49" s="348">
        <f>SUM('HIV-Pharmaceuticals'!$V49:$Y49)</f>
        <v>0</v>
      </c>
      <c r="AA49" s="771">
        <f>'HIV-Pharmaceuticals'!$U49*'HIV-Pharmaceuticals'!$Z49</f>
        <v>0</v>
      </c>
      <c r="AB49" s="772"/>
      <c r="AC49" s="370"/>
      <c r="AD49" s="370"/>
      <c r="AE49" s="370"/>
      <c r="AF49" s="370"/>
      <c r="AG49" s="349">
        <f>SUM('HIV-Pharmaceuticals'!$AC49:$AF49)</f>
        <v>0</v>
      </c>
      <c r="AH49" s="761">
        <f>'HIV-Pharmaceuticals'!$AB49*'HIV-Pharmaceuticals'!$AG49</f>
        <v>0</v>
      </c>
      <c r="AI49" s="350">
        <f>'HIV-Pharmaceuticals'!$S49+'HIV-Pharmaceuticals'!$Z49+'HIV-Pharmaceuticals'!$AG49</f>
        <v>0</v>
      </c>
      <c r="AJ49" s="761">
        <f>'HIV-Pharmaceuticals'!$T49+'HIV-Pharmaceuticals'!$AA49+'HIV-Pharmaceuticals'!$AH49</f>
        <v>0</v>
      </c>
      <c r="AK49" s="351" t="str">
        <f>IF(A49&lt;&gt;"",IFERROR(INDEX(PMtbl[[WKst]:[Unit of measure*]],MATCH($A$8&amp;$A49&amp;$E49&amp;$I49,INDEX(PMtbl[Sec]&amp;PMtbl[Category]&amp;PMtbl[INN]&amp;PMtbl[Specification],0,),0),7),""),"")</f>
        <v/>
      </c>
      <c r="AL49" s="2049"/>
      <c r="AM49" s="1500" t="str">
        <f>IFERROR(INDEX(SETUP!$C$19:$G$62,MATCH((INDEX(PMtbl[[WKst]:[Unit of measure*]],MATCH($A49&amp;$E49&amp;$I49,INDEX(PMtbl[Category]&amp;PMtbl[INN]&amp;PMtbl[Specification],0,),0),3)),SETUP!$D$19:$D$62,0),5),"")</f>
        <v/>
      </c>
      <c r="AN49" s="1500"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40">
      <c r="A50" s="2336"/>
      <c r="B50" s="2337"/>
      <c r="C50" s="2337"/>
      <c r="D50" s="2338"/>
      <c r="E50" s="2301"/>
      <c r="F50" s="2302"/>
      <c r="G50" s="2302"/>
      <c r="H50" s="2302"/>
      <c r="I50" s="2301"/>
      <c r="J50" s="2302"/>
      <c r="K50" s="2302"/>
      <c r="L50" s="1165" t="str">
        <f>IF($A50&lt;&gt;"",IFERROR(INDEX(PMtbl[[WKst]:[Unit of measure*]],MATCH($A$8&amp;$A50&amp;$E50&amp;$I50,INDEX(PMtbl[Sec]&amp;PMtbl[Category]&amp;PMtbl[INN]&amp;PMtbl[Specification],0,),0),8),""),"")</f>
        <v/>
      </c>
      <c r="M50" s="270" t="str">
        <f>IF(L50="", "",SETUP!$E$5)</f>
        <v/>
      </c>
      <c r="N50" s="774"/>
      <c r="O50" s="371"/>
      <c r="P50" s="371"/>
      <c r="Q50" s="371"/>
      <c r="R50" s="371"/>
      <c r="S50" s="10">
        <f>SUM('HIV-Pharmaceuticals'!$O50:$R50)</f>
        <v>0</v>
      </c>
      <c r="T50" s="782">
        <f>'HIV-Pharmaceuticals'!$N50*'HIV-Pharmaceuticals'!$S50</f>
        <v>0</v>
      </c>
      <c r="U50" s="774"/>
      <c r="V50" s="375"/>
      <c r="W50" s="375"/>
      <c r="X50" s="375"/>
      <c r="Y50" s="375"/>
      <c r="Z50" s="352">
        <f>SUM('HIV-Pharmaceuticals'!$V50:$Y50)</f>
        <v>0</v>
      </c>
      <c r="AA50" s="773">
        <f>'HIV-Pharmaceuticals'!$U50*'HIV-Pharmaceuticals'!$Z50</f>
        <v>0</v>
      </c>
      <c r="AB50" s="774"/>
      <c r="AC50" s="371"/>
      <c r="AD50" s="371"/>
      <c r="AE50" s="371"/>
      <c r="AF50" s="371"/>
      <c r="AG50" s="353">
        <f>SUM('HIV-Pharmaceuticals'!$AC50:$AF50)</f>
        <v>0</v>
      </c>
      <c r="AH50" s="762">
        <f>'HIV-Pharmaceuticals'!$AB50*'HIV-Pharmaceuticals'!$AG50</f>
        <v>0</v>
      </c>
      <c r="AI50" s="354">
        <f>'HIV-Pharmaceuticals'!$S50+'HIV-Pharmaceuticals'!$Z50+'HIV-Pharmaceuticals'!$AG50</f>
        <v>0</v>
      </c>
      <c r="AJ50" s="762">
        <f>'HIV-Pharmaceuticals'!$T50+'HIV-Pharmaceuticals'!$AA50+'HIV-Pharmaceuticals'!$AH50</f>
        <v>0</v>
      </c>
      <c r="AK50" s="355" t="str">
        <f>IF(A50&lt;&gt;"",IFERROR(INDEX(PMtbl[[WKst]:[Unit of measure*]],MATCH($A$8&amp;$A50&amp;$E50&amp;$I50,INDEX(PMtbl[Sec]&amp;PMtbl[Category]&amp;PMtbl[INN]&amp;PMtbl[Specification],0,),0),7),""),"")</f>
        <v/>
      </c>
      <c r="AL50" s="2050"/>
      <c r="AM50" s="1501" t="str">
        <f>IFERROR(INDEX(SETUP!$C$19:$G$62,MATCH((INDEX(PMtbl[[WKst]:[Unit of measure*]],MATCH($A50&amp;$E50&amp;$I50,INDEX(PMtbl[Category]&amp;PMtbl[INN]&amp;PMtbl[Specification],0,),0),3)),SETUP!$D$19:$D$62,0),5),"")</f>
        <v/>
      </c>
      <c r="AN50" s="1501"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40">
      <c r="A51" s="2330"/>
      <c r="B51" s="2331"/>
      <c r="C51" s="2331"/>
      <c r="D51" s="2331"/>
      <c r="E51" s="2303"/>
      <c r="F51" s="2304"/>
      <c r="G51" s="2304"/>
      <c r="H51" s="2304"/>
      <c r="I51" s="2303"/>
      <c r="J51" s="2304"/>
      <c r="K51" s="2304"/>
      <c r="L51" s="1166" t="str">
        <f>IF($A51&lt;&gt;"",IFERROR(INDEX(PMtbl[[WKst]:[Unit of measure*]],MATCH($A$8&amp;$A51&amp;$E51&amp;$I51,INDEX(PMtbl[Sec]&amp;PMtbl[Category]&amp;PMtbl[INN]&amp;PMtbl[Specification],0,),0),8),""),"")</f>
        <v/>
      </c>
      <c r="M51" s="269" t="str">
        <f>IF(L51="", "",SETUP!$E$5)</f>
        <v/>
      </c>
      <c r="N51" s="772"/>
      <c r="O51" s="370"/>
      <c r="P51" s="370"/>
      <c r="Q51" s="370"/>
      <c r="R51" s="370"/>
      <c r="S51" s="11">
        <f>SUM('HIV-Pharmaceuticals'!$O51:$R51)</f>
        <v>0</v>
      </c>
      <c r="T51" s="781">
        <f>'HIV-Pharmaceuticals'!$N51*'HIV-Pharmaceuticals'!$S51</f>
        <v>0</v>
      </c>
      <c r="U51" s="772"/>
      <c r="V51" s="374"/>
      <c r="W51" s="374"/>
      <c r="X51" s="374"/>
      <c r="Y51" s="374"/>
      <c r="Z51" s="348">
        <f>SUM('HIV-Pharmaceuticals'!$V51:$Y51)</f>
        <v>0</v>
      </c>
      <c r="AA51" s="771">
        <f>'HIV-Pharmaceuticals'!$U51*'HIV-Pharmaceuticals'!$Z51</f>
        <v>0</v>
      </c>
      <c r="AB51" s="772"/>
      <c r="AC51" s="370"/>
      <c r="AD51" s="370"/>
      <c r="AE51" s="370"/>
      <c r="AF51" s="370"/>
      <c r="AG51" s="349">
        <f>SUM('HIV-Pharmaceuticals'!$AC51:$AF51)</f>
        <v>0</v>
      </c>
      <c r="AH51" s="761">
        <f>'HIV-Pharmaceuticals'!$AB51*'HIV-Pharmaceuticals'!$AG51</f>
        <v>0</v>
      </c>
      <c r="AI51" s="350">
        <f>'HIV-Pharmaceuticals'!$S51+'HIV-Pharmaceuticals'!$Z51+'HIV-Pharmaceuticals'!$AG51</f>
        <v>0</v>
      </c>
      <c r="AJ51" s="761">
        <f>'HIV-Pharmaceuticals'!$T51+'HIV-Pharmaceuticals'!$AA51+'HIV-Pharmaceuticals'!$AH51</f>
        <v>0</v>
      </c>
      <c r="AK51" s="351" t="str">
        <f>IF(A51&lt;&gt;"",IFERROR(INDEX(PMtbl[[WKst]:[Unit of measure*]],MATCH($A$8&amp;$A51&amp;$E51&amp;$I51,INDEX(PMtbl[Sec]&amp;PMtbl[Category]&amp;PMtbl[INN]&amp;PMtbl[Specification],0,),0),7),""),"")</f>
        <v/>
      </c>
      <c r="AL51" s="2049"/>
      <c r="AM51" s="1500" t="str">
        <f>IFERROR(INDEX(SETUP!$C$19:$G$62,MATCH((INDEX(PMtbl[[WKst]:[Unit of measure*]],MATCH($A51&amp;$E51&amp;$I51,INDEX(PMtbl[Category]&amp;PMtbl[INN]&amp;PMtbl[Specification],0,),0),3)),SETUP!$D$19:$D$62,0),5),"")</f>
        <v/>
      </c>
      <c r="AN51" s="1500"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40">
      <c r="A52" s="2336"/>
      <c r="B52" s="2337"/>
      <c r="C52" s="2337"/>
      <c r="D52" s="2337"/>
      <c r="E52" s="2301"/>
      <c r="F52" s="2302"/>
      <c r="G52" s="2302"/>
      <c r="H52" s="2302"/>
      <c r="I52" s="2301"/>
      <c r="J52" s="2302"/>
      <c r="K52" s="2302"/>
      <c r="L52" s="1165" t="str">
        <f>IF($A52&lt;&gt;"",IFERROR(INDEX(PMtbl[[WKst]:[Unit of measure*]],MATCH($A$8&amp;$A52&amp;$E52&amp;$I52,INDEX(PMtbl[Sec]&amp;PMtbl[Category]&amp;PMtbl[INN]&amp;PMtbl[Specification],0,),0),8),""),"")</f>
        <v/>
      </c>
      <c r="M52" s="270" t="str">
        <f>IF(L52="", "",SETUP!$E$5)</f>
        <v/>
      </c>
      <c r="N52" s="776"/>
      <c r="O52" s="372"/>
      <c r="P52" s="372"/>
      <c r="Q52" s="372"/>
      <c r="R52" s="372"/>
      <c r="S52" s="356">
        <f>SUM('HIV-Pharmaceuticals'!$O52:$R52)</f>
        <v>0</v>
      </c>
      <c r="T52" s="783">
        <f>'HIV-Pharmaceuticals'!$N52*'HIV-Pharmaceuticals'!$S52</f>
        <v>0</v>
      </c>
      <c r="U52" s="776"/>
      <c r="V52" s="376"/>
      <c r="W52" s="376"/>
      <c r="X52" s="376"/>
      <c r="Y52" s="376"/>
      <c r="Z52" s="357">
        <f>SUM('HIV-Pharmaceuticals'!$V52:$Y52)</f>
        <v>0</v>
      </c>
      <c r="AA52" s="775">
        <f>'HIV-Pharmaceuticals'!$U52*'HIV-Pharmaceuticals'!$Z52</f>
        <v>0</v>
      </c>
      <c r="AB52" s="776"/>
      <c r="AC52" s="372"/>
      <c r="AD52" s="372"/>
      <c r="AE52" s="372"/>
      <c r="AF52" s="372"/>
      <c r="AG52" s="358">
        <f>SUM('HIV-Pharmaceuticals'!$AC52:$AF52)</f>
        <v>0</v>
      </c>
      <c r="AH52" s="763">
        <f>'HIV-Pharmaceuticals'!$AB52*'HIV-Pharmaceuticals'!$AG52</f>
        <v>0</v>
      </c>
      <c r="AI52" s="359">
        <f>'HIV-Pharmaceuticals'!$S52+'HIV-Pharmaceuticals'!$Z52+'HIV-Pharmaceuticals'!$AG52</f>
        <v>0</v>
      </c>
      <c r="AJ52" s="763">
        <f>'HIV-Pharmaceuticals'!$T52+'HIV-Pharmaceuticals'!$AA52+'HIV-Pharmaceuticals'!$AH52</f>
        <v>0</v>
      </c>
      <c r="AK52" s="360" t="str">
        <f>IF(A52&lt;&gt;"",IFERROR(INDEX(PMtbl[[WKst]:[Unit of measure*]],MATCH($A$8&amp;$A52&amp;$E52&amp;$I52,INDEX(PMtbl[Sec]&amp;PMtbl[Category]&amp;PMtbl[INN]&amp;PMtbl[Specification],0,),0),7),""),"")</f>
        <v/>
      </c>
      <c r="AL52" s="2051"/>
      <c r="AM52" s="1502" t="str">
        <f>IFERROR(INDEX(SETUP!$C$19:$G$62,MATCH((INDEX(PMtbl[[WKst]:[Unit of measure*]],MATCH($A52&amp;$E52&amp;$I52,INDEX(PMtbl[Category]&amp;PMtbl[INN]&amp;PMtbl[Specification],0,),0),3)),SETUP!$D$19:$D$62,0),5),"")</f>
        <v/>
      </c>
      <c r="AN52" s="1502"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40">
      <c r="A53" s="2330"/>
      <c r="B53" s="2331"/>
      <c r="C53" s="2331"/>
      <c r="D53" s="2331"/>
      <c r="E53" s="2303"/>
      <c r="F53" s="2304"/>
      <c r="G53" s="2304"/>
      <c r="H53" s="2304"/>
      <c r="I53" s="2303"/>
      <c r="J53" s="2304"/>
      <c r="K53" s="2304"/>
      <c r="L53" s="1166" t="str">
        <f>IF($A53&lt;&gt;"",IFERROR(INDEX(PMtbl[[WKst]:[Unit of measure*]],MATCH($A$8&amp;$A53&amp;$E53&amp;$I53,INDEX(PMtbl[Sec]&amp;PMtbl[Category]&amp;PMtbl[INN]&amp;PMtbl[Specification],0,),0),8),""),"")</f>
        <v/>
      </c>
      <c r="M53" s="269" t="str">
        <f>IF(L53="", "",SETUP!$E$5)</f>
        <v/>
      </c>
      <c r="N53" s="772"/>
      <c r="O53" s="370"/>
      <c r="P53" s="370"/>
      <c r="Q53" s="370"/>
      <c r="R53" s="370"/>
      <c r="S53" s="11">
        <f>SUM('HIV-Pharmaceuticals'!$O53:$R53)</f>
        <v>0</v>
      </c>
      <c r="T53" s="781">
        <f>'HIV-Pharmaceuticals'!$N53*'HIV-Pharmaceuticals'!$S53</f>
        <v>0</v>
      </c>
      <c r="U53" s="772"/>
      <c r="V53" s="374"/>
      <c r="W53" s="374"/>
      <c r="X53" s="374"/>
      <c r="Y53" s="374"/>
      <c r="Z53" s="348">
        <f>SUM('HIV-Pharmaceuticals'!$V53:$Y53)</f>
        <v>0</v>
      </c>
      <c r="AA53" s="771">
        <f>'HIV-Pharmaceuticals'!$U53*'HIV-Pharmaceuticals'!$Z53</f>
        <v>0</v>
      </c>
      <c r="AB53" s="772"/>
      <c r="AC53" s="370"/>
      <c r="AD53" s="370"/>
      <c r="AE53" s="370"/>
      <c r="AF53" s="370"/>
      <c r="AG53" s="349">
        <f>SUM('HIV-Pharmaceuticals'!$AC53:$AF53)</f>
        <v>0</v>
      </c>
      <c r="AH53" s="761">
        <f>'HIV-Pharmaceuticals'!$AB53*'HIV-Pharmaceuticals'!$AG53</f>
        <v>0</v>
      </c>
      <c r="AI53" s="350">
        <f>'HIV-Pharmaceuticals'!$S53+'HIV-Pharmaceuticals'!$Z53+'HIV-Pharmaceuticals'!$AG53</f>
        <v>0</v>
      </c>
      <c r="AJ53" s="761">
        <f>'HIV-Pharmaceuticals'!$T53+'HIV-Pharmaceuticals'!$AA53+'HIV-Pharmaceuticals'!$AH53</f>
        <v>0</v>
      </c>
      <c r="AK53" s="361" t="str">
        <f>IF(A53&lt;&gt;"",IFERROR(INDEX(PMtbl[[WKst]:[Unit of measure*]],MATCH($A$8&amp;$A53&amp;$E53&amp;$I53,INDEX(PMtbl[Sec]&amp;PMtbl[Category]&amp;PMtbl[INN]&amp;PMtbl[Specification],0,),0),7),""),"")</f>
        <v/>
      </c>
      <c r="AL53" s="2052"/>
      <c r="AM53" s="1500" t="str">
        <f>IFERROR(INDEX(SETUP!$C$19:$G$62,MATCH((INDEX(PMtbl[[WKst]:[Unit of measure*]],MATCH($A53&amp;$E53&amp;$I53,INDEX(PMtbl[Category]&amp;PMtbl[INN]&amp;PMtbl[Specification],0,),0),3)),SETUP!$D$19:$D$62,0),5),"")</f>
        <v/>
      </c>
      <c r="AN53" s="1500"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40">
      <c r="A54" s="2336"/>
      <c r="B54" s="2337"/>
      <c r="C54" s="2337"/>
      <c r="D54" s="2337"/>
      <c r="E54" s="2301"/>
      <c r="F54" s="2302"/>
      <c r="G54" s="2302"/>
      <c r="H54" s="2302"/>
      <c r="I54" s="2301"/>
      <c r="J54" s="2302"/>
      <c r="K54" s="2302"/>
      <c r="L54" s="1165" t="str">
        <f>IF($A54&lt;&gt;"",IFERROR(INDEX(PMtbl[[WKst]:[Unit of measure*]],MATCH($A$8&amp;$A54&amp;$E54&amp;$I54,INDEX(PMtbl[Sec]&amp;PMtbl[Category]&amp;PMtbl[INN]&amp;PMtbl[Specification],0,),0),8),""),"")</f>
        <v/>
      </c>
      <c r="M54" s="270" t="str">
        <f>IF(L54="", "",SETUP!$E$5)</f>
        <v/>
      </c>
      <c r="N54" s="776"/>
      <c r="O54" s="372"/>
      <c r="P54" s="372"/>
      <c r="Q54" s="372"/>
      <c r="R54" s="372"/>
      <c r="S54" s="356">
        <f>SUM('HIV-Pharmaceuticals'!$O54:$R54)</f>
        <v>0</v>
      </c>
      <c r="T54" s="783">
        <f>'HIV-Pharmaceuticals'!$N54*'HIV-Pharmaceuticals'!$S54</f>
        <v>0</v>
      </c>
      <c r="U54" s="776"/>
      <c r="V54" s="376"/>
      <c r="W54" s="376"/>
      <c r="X54" s="376"/>
      <c r="Y54" s="376"/>
      <c r="Z54" s="357">
        <f>SUM('HIV-Pharmaceuticals'!$V54:$Y54)</f>
        <v>0</v>
      </c>
      <c r="AA54" s="775">
        <f>'HIV-Pharmaceuticals'!$U54*'HIV-Pharmaceuticals'!$Z54</f>
        <v>0</v>
      </c>
      <c r="AB54" s="776"/>
      <c r="AC54" s="372"/>
      <c r="AD54" s="372"/>
      <c r="AE54" s="372"/>
      <c r="AF54" s="372"/>
      <c r="AG54" s="358">
        <f>SUM('HIV-Pharmaceuticals'!$AC54:$AF54)</f>
        <v>0</v>
      </c>
      <c r="AH54" s="763">
        <f>'HIV-Pharmaceuticals'!$AB54*'HIV-Pharmaceuticals'!$AG54</f>
        <v>0</v>
      </c>
      <c r="AI54" s="359">
        <f>'HIV-Pharmaceuticals'!$S54+'HIV-Pharmaceuticals'!$Z54+'HIV-Pharmaceuticals'!$AG54</f>
        <v>0</v>
      </c>
      <c r="AJ54" s="763">
        <f>'HIV-Pharmaceuticals'!$T54+'HIV-Pharmaceuticals'!$AA54+'HIV-Pharmaceuticals'!$AH54</f>
        <v>0</v>
      </c>
      <c r="AK54" s="360" t="str">
        <f>IF(A54&lt;&gt;"",IFERROR(INDEX(PMtbl[[WKst]:[Unit of measure*]],MATCH($A$8&amp;$A54&amp;$E54&amp;$I54,INDEX(PMtbl[Sec]&amp;PMtbl[Category]&amp;PMtbl[INN]&amp;PMtbl[Specification],0,),0),7),""),"")</f>
        <v/>
      </c>
      <c r="AL54" s="2051"/>
      <c r="AM54" s="1502" t="str">
        <f>IFERROR(INDEX(SETUP!$C$19:$G$62,MATCH((INDEX(PMtbl[[WKst]:[Unit of measure*]],MATCH($A54&amp;$E54&amp;$I54,INDEX(PMtbl[Category]&amp;PMtbl[INN]&amp;PMtbl[Specification],0,),0),3)),SETUP!$D$19:$D$62,0),5),"")</f>
        <v/>
      </c>
      <c r="AN54" s="1502"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40">
      <c r="A55" s="2330"/>
      <c r="B55" s="2331"/>
      <c r="C55" s="2331"/>
      <c r="D55" s="2331"/>
      <c r="E55" s="2303"/>
      <c r="F55" s="2304"/>
      <c r="G55" s="2304"/>
      <c r="H55" s="2304"/>
      <c r="I55" s="2303"/>
      <c r="J55" s="2304"/>
      <c r="K55" s="2304"/>
      <c r="L55" s="1166" t="str">
        <f>IF($A55&lt;&gt;"",IFERROR(INDEX(PMtbl[[WKst]:[Unit of measure*]],MATCH($A$8&amp;$A55&amp;$E55&amp;$I55,INDEX(PMtbl[Sec]&amp;PMtbl[Category]&amp;PMtbl[INN]&amp;PMtbl[Specification],0,),0),8),""),"")</f>
        <v/>
      </c>
      <c r="M55" s="269" t="str">
        <f>IF(L55="", "",SETUP!$E$5)</f>
        <v/>
      </c>
      <c r="N55" s="772"/>
      <c r="O55" s="370"/>
      <c r="P55" s="370"/>
      <c r="Q55" s="370"/>
      <c r="R55" s="370"/>
      <c r="S55" s="11">
        <f>SUM('HIV-Pharmaceuticals'!$O55:$R55)</f>
        <v>0</v>
      </c>
      <c r="T55" s="781">
        <f>'HIV-Pharmaceuticals'!$N55*'HIV-Pharmaceuticals'!$S55</f>
        <v>0</v>
      </c>
      <c r="U55" s="772"/>
      <c r="V55" s="374"/>
      <c r="W55" s="374"/>
      <c r="X55" s="374"/>
      <c r="Y55" s="374"/>
      <c r="Z55" s="348">
        <f>SUM('HIV-Pharmaceuticals'!$V55:$Y55)</f>
        <v>0</v>
      </c>
      <c r="AA55" s="771">
        <f>'HIV-Pharmaceuticals'!$U55*'HIV-Pharmaceuticals'!$Z55</f>
        <v>0</v>
      </c>
      <c r="AB55" s="772"/>
      <c r="AC55" s="370"/>
      <c r="AD55" s="370"/>
      <c r="AE55" s="370"/>
      <c r="AF55" s="370"/>
      <c r="AG55" s="349">
        <f>SUM('HIV-Pharmaceuticals'!$AC55:$AF55)</f>
        <v>0</v>
      </c>
      <c r="AH55" s="761">
        <f>'HIV-Pharmaceuticals'!$AB55*'HIV-Pharmaceuticals'!$AG55</f>
        <v>0</v>
      </c>
      <c r="AI55" s="350">
        <f>'HIV-Pharmaceuticals'!$S55+'HIV-Pharmaceuticals'!$Z55+'HIV-Pharmaceuticals'!$AG55</f>
        <v>0</v>
      </c>
      <c r="AJ55" s="761">
        <f>'HIV-Pharmaceuticals'!$T55+'HIV-Pharmaceuticals'!$AA55+'HIV-Pharmaceuticals'!$AH55</f>
        <v>0</v>
      </c>
      <c r="AK55" s="361" t="str">
        <f>IF(A55&lt;&gt;"",IFERROR(INDEX(PMtbl[[WKst]:[Unit of measure*]],MATCH($A$8&amp;$A55&amp;$E55&amp;$I55,INDEX(PMtbl[Sec]&amp;PMtbl[Category]&amp;PMtbl[INN]&amp;PMtbl[Specification],0,),0),7),""),"")</f>
        <v/>
      </c>
      <c r="AL55" s="2052"/>
      <c r="AM55" s="1500" t="str">
        <f>IFERROR(INDEX(SETUP!$C$19:$G$62,MATCH((INDEX(PMtbl[[WKst]:[Unit of measure*]],MATCH($A55&amp;$E55&amp;$I55,INDEX(PMtbl[Category]&amp;PMtbl[INN]&amp;PMtbl[Specification],0,),0),3)),SETUP!$D$19:$D$62,0),5),"")</f>
        <v/>
      </c>
      <c r="AN55" s="1500"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40">
      <c r="A56" s="2336"/>
      <c r="B56" s="2337"/>
      <c r="C56" s="2337"/>
      <c r="D56" s="2337"/>
      <c r="E56" s="2301"/>
      <c r="F56" s="2302"/>
      <c r="G56" s="2302"/>
      <c r="H56" s="2302"/>
      <c r="I56" s="2301"/>
      <c r="J56" s="2302"/>
      <c r="K56" s="2302"/>
      <c r="L56" s="1165" t="str">
        <f>IF($A56&lt;&gt;"",IFERROR(INDEX(PMtbl[[WKst]:[Unit of measure*]],MATCH($A$8&amp;$A56&amp;$E56&amp;$I56,INDEX(PMtbl[Sec]&amp;PMtbl[Category]&amp;PMtbl[INN]&amp;PMtbl[Specification],0,),0),8),""),"")</f>
        <v/>
      </c>
      <c r="M56" s="270" t="str">
        <f>IF(L56="", "",SETUP!$E$5)</f>
        <v/>
      </c>
      <c r="N56" s="776"/>
      <c r="O56" s="372"/>
      <c r="P56" s="372"/>
      <c r="Q56" s="372"/>
      <c r="R56" s="372"/>
      <c r="S56" s="356">
        <f>SUM('HIV-Pharmaceuticals'!$O56:$R56)</f>
        <v>0</v>
      </c>
      <c r="T56" s="783">
        <f>'HIV-Pharmaceuticals'!$N56*'HIV-Pharmaceuticals'!$S56</f>
        <v>0</v>
      </c>
      <c r="U56" s="776"/>
      <c r="V56" s="376"/>
      <c r="W56" s="376"/>
      <c r="X56" s="376"/>
      <c r="Y56" s="376"/>
      <c r="Z56" s="357">
        <f>SUM('HIV-Pharmaceuticals'!$V56:$Y56)</f>
        <v>0</v>
      </c>
      <c r="AA56" s="775">
        <f>'HIV-Pharmaceuticals'!$U56*'HIV-Pharmaceuticals'!$Z56</f>
        <v>0</v>
      </c>
      <c r="AB56" s="776"/>
      <c r="AC56" s="372"/>
      <c r="AD56" s="372"/>
      <c r="AE56" s="372"/>
      <c r="AF56" s="372"/>
      <c r="AG56" s="358">
        <f>SUM('HIV-Pharmaceuticals'!$AC56:$AF56)</f>
        <v>0</v>
      </c>
      <c r="AH56" s="763">
        <f>'HIV-Pharmaceuticals'!$AB56*'HIV-Pharmaceuticals'!$AG56</f>
        <v>0</v>
      </c>
      <c r="AI56" s="359">
        <f>'HIV-Pharmaceuticals'!$S56+'HIV-Pharmaceuticals'!$Z56+'HIV-Pharmaceuticals'!$AG56</f>
        <v>0</v>
      </c>
      <c r="AJ56" s="763">
        <f>'HIV-Pharmaceuticals'!$T56+'HIV-Pharmaceuticals'!$AA56+'HIV-Pharmaceuticals'!$AH56</f>
        <v>0</v>
      </c>
      <c r="AK56" s="360" t="str">
        <f>IF(A56&lt;&gt;"",IFERROR(INDEX(PMtbl[[WKst]:[Unit of measure*]],MATCH($A$8&amp;$A56&amp;$E56&amp;$I56,INDEX(PMtbl[Sec]&amp;PMtbl[Category]&amp;PMtbl[INN]&amp;PMtbl[Specification],0,),0),7),""),"")</f>
        <v/>
      </c>
      <c r="AL56" s="2051"/>
      <c r="AM56" s="1502" t="str">
        <f>IFERROR(INDEX(SETUP!$C$19:$G$62,MATCH((INDEX(PMtbl[[WKst]:[Unit of measure*]],MATCH($A56&amp;$E56&amp;$I56,INDEX(PMtbl[Category]&amp;PMtbl[INN]&amp;PMtbl[Specification],0,),0),3)),SETUP!$D$19:$D$62,0),5),"")</f>
        <v/>
      </c>
      <c r="AN56" s="1502"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40">
      <c r="A57" s="2330"/>
      <c r="B57" s="2331"/>
      <c r="C57" s="2331"/>
      <c r="D57" s="2331"/>
      <c r="E57" s="2303"/>
      <c r="F57" s="2304"/>
      <c r="G57" s="2304"/>
      <c r="H57" s="2304"/>
      <c r="I57" s="2303"/>
      <c r="J57" s="2304"/>
      <c r="K57" s="2304"/>
      <c r="L57" s="1166" t="str">
        <f>IF($A57&lt;&gt;"",IFERROR(INDEX(PMtbl[[WKst]:[Unit of measure*]],MATCH($A$8&amp;$A57&amp;$E57&amp;$I57,INDEX(PMtbl[Sec]&amp;PMtbl[Category]&amp;PMtbl[INN]&amp;PMtbl[Specification],0,),0),8),""),"")</f>
        <v/>
      </c>
      <c r="M57" s="269" t="str">
        <f>IF(L57="", "",SETUP!$E$5)</f>
        <v/>
      </c>
      <c r="N57" s="772"/>
      <c r="O57" s="370"/>
      <c r="P57" s="370"/>
      <c r="Q57" s="370"/>
      <c r="R57" s="370"/>
      <c r="S57" s="11">
        <f>SUM('HIV-Pharmaceuticals'!$O57:$R57)</f>
        <v>0</v>
      </c>
      <c r="T57" s="781">
        <f>'HIV-Pharmaceuticals'!$N57*'HIV-Pharmaceuticals'!$S57</f>
        <v>0</v>
      </c>
      <c r="U57" s="772"/>
      <c r="V57" s="374"/>
      <c r="W57" s="374"/>
      <c r="X57" s="374"/>
      <c r="Y57" s="374"/>
      <c r="Z57" s="348">
        <f>SUM('HIV-Pharmaceuticals'!$V57:$Y57)</f>
        <v>0</v>
      </c>
      <c r="AA57" s="771">
        <f>'HIV-Pharmaceuticals'!$U57*'HIV-Pharmaceuticals'!$Z57</f>
        <v>0</v>
      </c>
      <c r="AB57" s="772"/>
      <c r="AC57" s="370"/>
      <c r="AD57" s="370"/>
      <c r="AE57" s="370"/>
      <c r="AF57" s="370"/>
      <c r="AG57" s="349">
        <f>SUM('HIV-Pharmaceuticals'!$AC57:$AF57)</f>
        <v>0</v>
      </c>
      <c r="AH57" s="761">
        <f>'HIV-Pharmaceuticals'!$AB57*'HIV-Pharmaceuticals'!$AG57</f>
        <v>0</v>
      </c>
      <c r="AI57" s="350">
        <f>'HIV-Pharmaceuticals'!$S57+'HIV-Pharmaceuticals'!$Z57+'HIV-Pharmaceuticals'!$AG57</f>
        <v>0</v>
      </c>
      <c r="AJ57" s="761">
        <f>'HIV-Pharmaceuticals'!$T57+'HIV-Pharmaceuticals'!$AA57+'HIV-Pharmaceuticals'!$AH57</f>
        <v>0</v>
      </c>
      <c r="AK57" s="361" t="str">
        <f>IF(A57&lt;&gt;"",IFERROR(INDEX(PMtbl[[WKst]:[Unit of measure*]],MATCH($A$8&amp;$A57&amp;$E57&amp;$I57,INDEX(PMtbl[Sec]&amp;PMtbl[Category]&amp;PMtbl[INN]&amp;PMtbl[Specification],0,),0),7),""),"")</f>
        <v/>
      </c>
      <c r="AL57" s="2052"/>
      <c r="AM57" s="1500" t="str">
        <f>IFERROR(INDEX(SETUP!$C$19:$G$62,MATCH((INDEX(PMtbl[[WKst]:[Unit of measure*]],MATCH($A57&amp;$E57&amp;$I57,INDEX(PMtbl[Category]&amp;PMtbl[INN]&amp;PMtbl[Specification],0,),0),3)),SETUP!$D$19:$D$62,0),5),"")</f>
        <v/>
      </c>
      <c r="AN57" s="1500"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40">
      <c r="A58" s="2336"/>
      <c r="B58" s="2337"/>
      <c r="C58" s="2337"/>
      <c r="D58" s="2337"/>
      <c r="E58" s="2301"/>
      <c r="F58" s="2302"/>
      <c r="G58" s="2302"/>
      <c r="H58" s="2302"/>
      <c r="I58" s="2301"/>
      <c r="J58" s="2302"/>
      <c r="K58" s="2302"/>
      <c r="L58" s="1165" t="str">
        <f>IF($A58&lt;&gt;"",IFERROR(INDEX(PMtbl[[WKst]:[Unit of measure*]],MATCH($A$8&amp;$A58&amp;$E58&amp;$I58,INDEX(PMtbl[Sec]&amp;PMtbl[Category]&amp;PMtbl[INN]&amp;PMtbl[Specification],0,),0),8),""),"")</f>
        <v/>
      </c>
      <c r="M58" s="270" t="str">
        <f>IF(L58="", "",SETUP!$E$5)</f>
        <v/>
      </c>
      <c r="N58" s="776"/>
      <c r="O58" s="372"/>
      <c r="P58" s="372"/>
      <c r="Q58" s="372"/>
      <c r="R58" s="372"/>
      <c r="S58" s="356">
        <f>SUM('HIV-Pharmaceuticals'!$O58:$R58)</f>
        <v>0</v>
      </c>
      <c r="T58" s="783">
        <f>'HIV-Pharmaceuticals'!$N58*'HIV-Pharmaceuticals'!$S58</f>
        <v>0</v>
      </c>
      <c r="U58" s="776"/>
      <c r="V58" s="376"/>
      <c r="W58" s="376"/>
      <c r="X58" s="376"/>
      <c r="Y58" s="376"/>
      <c r="Z58" s="357">
        <f>SUM('HIV-Pharmaceuticals'!$V58:$Y58)</f>
        <v>0</v>
      </c>
      <c r="AA58" s="775">
        <f>'HIV-Pharmaceuticals'!$U58*'HIV-Pharmaceuticals'!$Z58</f>
        <v>0</v>
      </c>
      <c r="AB58" s="776"/>
      <c r="AC58" s="372"/>
      <c r="AD58" s="372"/>
      <c r="AE58" s="372"/>
      <c r="AF58" s="372"/>
      <c r="AG58" s="358">
        <f>SUM('HIV-Pharmaceuticals'!$AC58:$AF58)</f>
        <v>0</v>
      </c>
      <c r="AH58" s="763">
        <f>'HIV-Pharmaceuticals'!$AB58*'HIV-Pharmaceuticals'!$AG58</f>
        <v>0</v>
      </c>
      <c r="AI58" s="359">
        <f>'HIV-Pharmaceuticals'!$S58+'HIV-Pharmaceuticals'!$Z58+'HIV-Pharmaceuticals'!$AG58</f>
        <v>0</v>
      </c>
      <c r="AJ58" s="763">
        <f>'HIV-Pharmaceuticals'!$T58+'HIV-Pharmaceuticals'!$AA58+'HIV-Pharmaceuticals'!$AH58</f>
        <v>0</v>
      </c>
      <c r="AK58" s="360" t="str">
        <f>IF(A58&lt;&gt;"",IFERROR(INDEX(PMtbl[[WKst]:[Unit of measure*]],MATCH($A$8&amp;$A58&amp;$E58&amp;$I58,INDEX(PMtbl[Sec]&amp;PMtbl[Category]&amp;PMtbl[INN]&amp;PMtbl[Specification],0,),0),7),""),"")</f>
        <v/>
      </c>
      <c r="AL58" s="2051"/>
      <c r="AM58" s="1502" t="str">
        <f>IFERROR(INDEX(SETUP!$C$19:$G$62,MATCH((INDEX(PMtbl[[WKst]:[Unit of measure*]],MATCH($A58&amp;$E58&amp;$I58,INDEX(PMtbl[Category]&amp;PMtbl[INN]&amp;PMtbl[Specification],0,),0),3)),SETUP!$D$19:$D$62,0),5),"")</f>
        <v/>
      </c>
      <c r="AN58" s="1502"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40">
      <c r="A59" s="2330"/>
      <c r="B59" s="2331"/>
      <c r="C59" s="2331"/>
      <c r="D59" s="2331"/>
      <c r="E59" s="2303"/>
      <c r="F59" s="2304"/>
      <c r="G59" s="2304"/>
      <c r="H59" s="2304"/>
      <c r="I59" s="2303"/>
      <c r="J59" s="2304"/>
      <c r="K59" s="2304"/>
      <c r="L59" s="1166" t="str">
        <f>IF($A59&lt;&gt;"",IFERROR(INDEX(PMtbl[[WKst]:[Unit of measure*]],MATCH($A$8&amp;$A59&amp;$E59&amp;$I59,INDEX(PMtbl[Sec]&amp;PMtbl[Category]&amp;PMtbl[INN]&amp;PMtbl[Specification],0,),0),8),""),"")</f>
        <v/>
      </c>
      <c r="M59" s="269" t="str">
        <f>IF(L59="", "",SETUP!$E$5)</f>
        <v/>
      </c>
      <c r="N59" s="772"/>
      <c r="O59" s="370"/>
      <c r="P59" s="370"/>
      <c r="Q59" s="370"/>
      <c r="R59" s="370"/>
      <c r="S59" s="11">
        <f>SUM('HIV-Pharmaceuticals'!$O59:$R59)</f>
        <v>0</v>
      </c>
      <c r="T59" s="781">
        <f>'HIV-Pharmaceuticals'!$N59*'HIV-Pharmaceuticals'!$S59</f>
        <v>0</v>
      </c>
      <c r="U59" s="772"/>
      <c r="V59" s="374"/>
      <c r="W59" s="374"/>
      <c r="X59" s="374"/>
      <c r="Y59" s="374"/>
      <c r="Z59" s="348">
        <f>SUM('HIV-Pharmaceuticals'!$V59:$Y59)</f>
        <v>0</v>
      </c>
      <c r="AA59" s="771">
        <f>'HIV-Pharmaceuticals'!$U59*'HIV-Pharmaceuticals'!$Z59</f>
        <v>0</v>
      </c>
      <c r="AB59" s="772"/>
      <c r="AC59" s="370"/>
      <c r="AD59" s="370"/>
      <c r="AE59" s="370"/>
      <c r="AF59" s="370"/>
      <c r="AG59" s="349">
        <f>SUM('HIV-Pharmaceuticals'!$AC59:$AF59)</f>
        <v>0</v>
      </c>
      <c r="AH59" s="761">
        <f>'HIV-Pharmaceuticals'!$AB59*'HIV-Pharmaceuticals'!$AG59</f>
        <v>0</v>
      </c>
      <c r="AI59" s="350">
        <f>'HIV-Pharmaceuticals'!$S59+'HIV-Pharmaceuticals'!$Z59+'HIV-Pharmaceuticals'!$AG59</f>
        <v>0</v>
      </c>
      <c r="AJ59" s="761">
        <f>'HIV-Pharmaceuticals'!$T59+'HIV-Pharmaceuticals'!$AA59+'HIV-Pharmaceuticals'!$AH59</f>
        <v>0</v>
      </c>
      <c r="AK59" s="361" t="str">
        <f>IF(A59&lt;&gt;"",IFERROR(INDEX(PMtbl[[WKst]:[Unit of measure*]],MATCH($A$8&amp;$A59&amp;$E59&amp;$I59,INDEX(PMtbl[Sec]&amp;PMtbl[Category]&amp;PMtbl[INN]&amp;PMtbl[Specification],0,),0),7),""),"")</f>
        <v/>
      </c>
      <c r="AL59" s="2052"/>
      <c r="AM59" s="1500" t="str">
        <f>IFERROR(INDEX(SETUP!$C$19:$G$62,MATCH((INDEX(PMtbl[[WKst]:[Unit of measure*]],MATCH($A59&amp;$E59&amp;$I59,INDEX(PMtbl[Category]&amp;PMtbl[INN]&amp;PMtbl[Specification],0,),0),3)),SETUP!$D$19:$D$62,0),5),"")</f>
        <v/>
      </c>
      <c r="AN59" s="1500"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40">
      <c r="A60" s="2336"/>
      <c r="B60" s="2337"/>
      <c r="C60" s="2337"/>
      <c r="D60" s="2337"/>
      <c r="E60" s="2301"/>
      <c r="F60" s="2302"/>
      <c r="G60" s="2302"/>
      <c r="H60" s="2302"/>
      <c r="I60" s="2301"/>
      <c r="J60" s="2302"/>
      <c r="K60" s="2302"/>
      <c r="L60" s="1165" t="str">
        <f>IF($A60&lt;&gt;"",IFERROR(INDEX(PMtbl[[WKst]:[Unit of measure*]],MATCH($A$8&amp;$A60&amp;$E60&amp;$I60,INDEX(PMtbl[Sec]&amp;PMtbl[Category]&amp;PMtbl[INN]&amp;PMtbl[Specification],0,),0),8),""),"")</f>
        <v/>
      </c>
      <c r="M60" s="270" t="str">
        <f>IF(L60="", "",SETUP!$E$5)</f>
        <v/>
      </c>
      <c r="N60" s="776"/>
      <c r="O60" s="372"/>
      <c r="P60" s="372"/>
      <c r="Q60" s="372"/>
      <c r="R60" s="372"/>
      <c r="S60" s="356">
        <f>SUM('HIV-Pharmaceuticals'!$O60:$R60)</f>
        <v>0</v>
      </c>
      <c r="T60" s="783">
        <f>'HIV-Pharmaceuticals'!$N60*'HIV-Pharmaceuticals'!$S60</f>
        <v>0</v>
      </c>
      <c r="U60" s="776"/>
      <c r="V60" s="376"/>
      <c r="W60" s="376"/>
      <c r="X60" s="376"/>
      <c r="Y60" s="376"/>
      <c r="Z60" s="357">
        <f>SUM('HIV-Pharmaceuticals'!$V60:$Y60)</f>
        <v>0</v>
      </c>
      <c r="AA60" s="775">
        <f>'HIV-Pharmaceuticals'!$U60*'HIV-Pharmaceuticals'!$Z60</f>
        <v>0</v>
      </c>
      <c r="AB60" s="776"/>
      <c r="AC60" s="372"/>
      <c r="AD60" s="372"/>
      <c r="AE60" s="372"/>
      <c r="AF60" s="372"/>
      <c r="AG60" s="358">
        <f>SUM('HIV-Pharmaceuticals'!$AC60:$AF60)</f>
        <v>0</v>
      </c>
      <c r="AH60" s="763">
        <f>'HIV-Pharmaceuticals'!$AB60*'HIV-Pharmaceuticals'!$AG60</f>
        <v>0</v>
      </c>
      <c r="AI60" s="359">
        <f>'HIV-Pharmaceuticals'!$S60+'HIV-Pharmaceuticals'!$Z60+'HIV-Pharmaceuticals'!$AG60</f>
        <v>0</v>
      </c>
      <c r="AJ60" s="763">
        <f>'HIV-Pharmaceuticals'!$T60+'HIV-Pharmaceuticals'!$AA60+'HIV-Pharmaceuticals'!$AH60</f>
        <v>0</v>
      </c>
      <c r="AK60" s="360" t="str">
        <f>IF(A60&lt;&gt;"",IFERROR(INDEX(PMtbl[[WKst]:[Unit of measure*]],MATCH($A$8&amp;$A60&amp;$E60&amp;$I60,INDEX(PMtbl[Sec]&amp;PMtbl[Category]&amp;PMtbl[INN]&amp;PMtbl[Specification],0,),0),7),""),"")</f>
        <v/>
      </c>
      <c r="AL60" s="2051"/>
      <c r="AM60" s="1502" t="str">
        <f>IFERROR(INDEX(SETUP!$C$19:$G$62,MATCH((INDEX(PMtbl[[WKst]:[Unit of measure*]],MATCH($A60&amp;$E60&amp;$I60,INDEX(PMtbl[Category]&amp;PMtbl[INN]&amp;PMtbl[Specification],0,),0),3)),SETUP!$D$19:$D$62,0),5),"")</f>
        <v/>
      </c>
      <c r="AN60" s="1502"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40">
      <c r="A61" s="2330"/>
      <c r="B61" s="2331"/>
      <c r="C61" s="2331"/>
      <c r="D61" s="2331"/>
      <c r="E61" s="2303"/>
      <c r="F61" s="2304"/>
      <c r="G61" s="2304"/>
      <c r="H61" s="2304"/>
      <c r="I61" s="2303"/>
      <c r="J61" s="2304"/>
      <c r="K61" s="2304"/>
      <c r="L61" s="1166" t="str">
        <f>IF($A61&lt;&gt;"",IFERROR(INDEX(PMtbl[[WKst]:[Unit of measure*]],MATCH($A$8&amp;$A61&amp;$E61&amp;$I61,INDEX(PMtbl[Sec]&amp;PMtbl[Category]&amp;PMtbl[INN]&amp;PMtbl[Specification],0,),0),8),""),"")</f>
        <v/>
      </c>
      <c r="M61" s="269" t="str">
        <f>IF(L61="", "",SETUP!$E$5)</f>
        <v/>
      </c>
      <c r="N61" s="772"/>
      <c r="O61" s="370"/>
      <c r="P61" s="370"/>
      <c r="Q61" s="370"/>
      <c r="R61" s="370"/>
      <c r="S61" s="11">
        <f>SUM('HIV-Pharmaceuticals'!$O61:$R61)</f>
        <v>0</v>
      </c>
      <c r="T61" s="781">
        <f>'HIV-Pharmaceuticals'!$N61*'HIV-Pharmaceuticals'!$S61</f>
        <v>0</v>
      </c>
      <c r="U61" s="772"/>
      <c r="V61" s="374"/>
      <c r="W61" s="374"/>
      <c r="X61" s="374"/>
      <c r="Y61" s="374"/>
      <c r="Z61" s="348">
        <f>SUM('HIV-Pharmaceuticals'!$V61:$Y61)</f>
        <v>0</v>
      </c>
      <c r="AA61" s="771">
        <f>'HIV-Pharmaceuticals'!$U61*'HIV-Pharmaceuticals'!$Z61</f>
        <v>0</v>
      </c>
      <c r="AB61" s="772"/>
      <c r="AC61" s="370"/>
      <c r="AD61" s="370"/>
      <c r="AE61" s="370"/>
      <c r="AF61" s="370"/>
      <c r="AG61" s="349">
        <f>SUM('HIV-Pharmaceuticals'!$AC61:$AF61)</f>
        <v>0</v>
      </c>
      <c r="AH61" s="761">
        <f>'HIV-Pharmaceuticals'!$AB61*'HIV-Pharmaceuticals'!$AG61</f>
        <v>0</v>
      </c>
      <c r="AI61" s="350">
        <f>'HIV-Pharmaceuticals'!$S61+'HIV-Pharmaceuticals'!$Z61+'HIV-Pharmaceuticals'!$AG61</f>
        <v>0</v>
      </c>
      <c r="AJ61" s="761">
        <f>'HIV-Pharmaceuticals'!$T61+'HIV-Pharmaceuticals'!$AA61+'HIV-Pharmaceuticals'!$AH61</f>
        <v>0</v>
      </c>
      <c r="AK61" s="361" t="str">
        <f>IF(A61&lt;&gt;"",IFERROR(INDEX(PMtbl[[WKst]:[Unit of measure*]],MATCH($A$8&amp;$A61&amp;$E61&amp;$I61,INDEX(PMtbl[Sec]&amp;PMtbl[Category]&amp;PMtbl[INN]&amp;PMtbl[Specification],0,),0),7),""),"")</f>
        <v/>
      </c>
      <c r="AL61" s="2052"/>
      <c r="AM61" s="1500" t="str">
        <f>IFERROR(INDEX(SETUP!$C$19:$G$62,MATCH((INDEX(PMtbl[[WKst]:[Unit of measure*]],MATCH($A61&amp;$E61&amp;$I61,INDEX(PMtbl[Category]&amp;PMtbl[INN]&amp;PMtbl[Specification],0,),0),3)),SETUP!$D$19:$D$62,0),5),"")</f>
        <v/>
      </c>
      <c r="AN61" s="1500"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40">
      <c r="A62" s="2336"/>
      <c r="B62" s="2337"/>
      <c r="C62" s="2337"/>
      <c r="D62" s="2337"/>
      <c r="E62" s="2301"/>
      <c r="F62" s="2302"/>
      <c r="G62" s="2302"/>
      <c r="H62" s="2302"/>
      <c r="I62" s="2301"/>
      <c r="J62" s="2302"/>
      <c r="K62" s="2302"/>
      <c r="L62" s="1165" t="str">
        <f>IF($A62&lt;&gt;"",IFERROR(INDEX(PMtbl[[WKst]:[Unit of measure*]],MATCH($A$8&amp;$A62&amp;$E62&amp;$I62,INDEX(PMtbl[Sec]&amp;PMtbl[Category]&amp;PMtbl[INN]&amp;PMtbl[Specification],0,),0),8),""),"")</f>
        <v/>
      </c>
      <c r="M62" s="270" t="str">
        <f>IF(L62="", "",SETUP!$E$5)</f>
        <v/>
      </c>
      <c r="N62" s="776"/>
      <c r="O62" s="372"/>
      <c r="P62" s="372"/>
      <c r="Q62" s="372"/>
      <c r="R62" s="372"/>
      <c r="S62" s="356">
        <f>SUM('HIV-Pharmaceuticals'!$O62:$R62)</f>
        <v>0</v>
      </c>
      <c r="T62" s="783">
        <f>'HIV-Pharmaceuticals'!$N62*'HIV-Pharmaceuticals'!$S62</f>
        <v>0</v>
      </c>
      <c r="U62" s="776"/>
      <c r="V62" s="376"/>
      <c r="W62" s="376"/>
      <c r="X62" s="376"/>
      <c r="Y62" s="376"/>
      <c r="Z62" s="357">
        <f>SUM('HIV-Pharmaceuticals'!$V62:$Y62)</f>
        <v>0</v>
      </c>
      <c r="AA62" s="775">
        <f>'HIV-Pharmaceuticals'!$U62*'HIV-Pharmaceuticals'!$Z62</f>
        <v>0</v>
      </c>
      <c r="AB62" s="776"/>
      <c r="AC62" s="372"/>
      <c r="AD62" s="372"/>
      <c r="AE62" s="372"/>
      <c r="AF62" s="372"/>
      <c r="AG62" s="358">
        <f>SUM('HIV-Pharmaceuticals'!$AC62:$AF62)</f>
        <v>0</v>
      </c>
      <c r="AH62" s="763">
        <f>'HIV-Pharmaceuticals'!$AB62*'HIV-Pharmaceuticals'!$AG62</f>
        <v>0</v>
      </c>
      <c r="AI62" s="359">
        <f>'HIV-Pharmaceuticals'!$S62+'HIV-Pharmaceuticals'!$Z62+'HIV-Pharmaceuticals'!$AG62</f>
        <v>0</v>
      </c>
      <c r="AJ62" s="763">
        <f>'HIV-Pharmaceuticals'!$T62+'HIV-Pharmaceuticals'!$AA62+'HIV-Pharmaceuticals'!$AH62</f>
        <v>0</v>
      </c>
      <c r="AK62" s="360" t="str">
        <f>IF(A62&lt;&gt;"",IFERROR(INDEX(PMtbl[[WKst]:[Unit of measure*]],MATCH($A$8&amp;$A62&amp;$E62&amp;$I62,INDEX(PMtbl[Sec]&amp;PMtbl[Category]&amp;PMtbl[INN]&amp;PMtbl[Specification],0,),0),7),""),"")</f>
        <v/>
      </c>
      <c r="AL62" s="2051"/>
      <c r="AM62" s="1502" t="str">
        <f>IFERROR(INDEX(SETUP!$C$19:$G$62,MATCH((INDEX(PMtbl[[WKst]:[Unit of measure*]],MATCH($A62&amp;$E62&amp;$I62,INDEX(PMtbl[Category]&amp;PMtbl[INN]&amp;PMtbl[Specification],0,),0),3)),SETUP!$D$19:$D$62,0),5),"")</f>
        <v/>
      </c>
      <c r="AN62" s="1502" t="str">
        <f>IFERROR(IF((INDEX(SETUP!$C$19:$G$62,MATCH((INDEX(PMtbl[[WKst]:[Unit of measure*]],MATCH($A62&amp;$E62&amp;$I62,INDEX(PMtbl[Category]&amp;PMtbl[INN]&amp;PMtbl[Specification],0,),0),3)),SETUP!$D$19:$D$62,0),4))="Upfront",0,INDEX(SETUP!$C$19:$G$62,MATCH((INDEX(PMtbl[[WKst]:[Unit of measure*]],MATCH($A62&amp;$E62&amp;$I62,INDEX(PMtbl[Category]&amp;PMtbl[INN]&amp;PMtbl[Specification],0,),0),3)),SETUP!$D$19:$D$62,0),5)),"")</f>
        <v/>
      </c>
    </row>
    <row r="63" spans="1:40" ht="15" hidden="1" customHeight="1">
      <c r="A63" s="2330"/>
      <c r="B63" s="2331"/>
      <c r="C63" s="2331"/>
      <c r="D63" s="2331"/>
      <c r="E63" s="2303"/>
      <c r="F63" s="2304"/>
      <c r="G63" s="2304"/>
      <c r="H63" s="2304"/>
      <c r="I63" s="2303"/>
      <c r="J63" s="2304"/>
      <c r="K63" s="2304"/>
      <c r="L63" s="1166" t="str">
        <f>IF($A63&lt;&gt;"",IFERROR(INDEX(PMtbl[[WKst]:[Unit of measure*]],MATCH($A$8&amp;$A63&amp;$E63&amp;$I63,INDEX(PMtbl[Sec]&amp;PMtbl[Category]&amp;PMtbl[INN]&amp;PMtbl[Specification],0,),0),8),""),"")</f>
        <v/>
      </c>
      <c r="M63" s="269" t="str">
        <f>IF(L63="", "",SETUP!$E$5)</f>
        <v/>
      </c>
      <c r="N63" s="772"/>
      <c r="O63" s="370"/>
      <c r="P63" s="370"/>
      <c r="Q63" s="370"/>
      <c r="R63" s="370"/>
      <c r="S63" s="11">
        <f>SUM('HIV-Pharmaceuticals'!$O63:$R63)</f>
        <v>0</v>
      </c>
      <c r="T63" s="781">
        <f>'HIV-Pharmaceuticals'!$N63*'HIV-Pharmaceuticals'!$S63</f>
        <v>0</v>
      </c>
      <c r="U63" s="772"/>
      <c r="V63" s="374"/>
      <c r="W63" s="374"/>
      <c r="X63" s="374"/>
      <c r="Y63" s="374"/>
      <c r="Z63" s="348">
        <f>SUM('HIV-Pharmaceuticals'!$V63:$Y63)</f>
        <v>0</v>
      </c>
      <c r="AA63" s="771">
        <f>'HIV-Pharmaceuticals'!$U63*'HIV-Pharmaceuticals'!$Z63</f>
        <v>0</v>
      </c>
      <c r="AB63" s="772"/>
      <c r="AC63" s="370"/>
      <c r="AD63" s="370"/>
      <c r="AE63" s="370"/>
      <c r="AF63" s="370"/>
      <c r="AG63" s="349">
        <f>SUM('HIV-Pharmaceuticals'!$AC63:$AF63)</f>
        <v>0</v>
      </c>
      <c r="AH63" s="761">
        <f>'HIV-Pharmaceuticals'!$AB63*'HIV-Pharmaceuticals'!$AG63</f>
        <v>0</v>
      </c>
      <c r="AI63" s="350">
        <f>'HIV-Pharmaceuticals'!$S63+'HIV-Pharmaceuticals'!$Z63+'HIV-Pharmaceuticals'!$AG63</f>
        <v>0</v>
      </c>
      <c r="AJ63" s="761">
        <f>'HIV-Pharmaceuticals'!$T63+'HIV-Pharmaceuticals'!$AA63+'HIV-Pharmaceuticals'!$AH63</f>
        <v>0</v>
      </c>
      <c r="AK63" s="361" t="str">
        <f>IF(A63&lt;&gt;"",IFERROR(INDEX(PMtbl[[WKst]:[Unit of measure*]],MATCH($A$8&amp;$A63&amp;$E63&amp;$I63,INDEX(PMtbl[Sec]&amp;PMtbl[Category]&amp;PMtbl[INN]&amp;PMtbl[Specification],0,),0),7),""),"")</f>
        <v/>
      </c>
      <c r="AL63" s="2052"/>
      <c r="AM63" s="1500" t="str">
        <f>IFERROR(INDEX(SETUP!$C$19:$G$62,MATCH((INDEX(PMtbl[[WKst]:[Unit of measure*]],MATCH($A63&amp;$E63&amp;$I63,INDEX(PMtbl[Category]&amp;PMtbl[INN]&amp;PMtbl[Specification],0,),0),3)),SETUP!$D$19:$D$62,0),5),"")</f>
        <v/>
      </c>
      <c r="AN63" s="1500" t="str">
        <f>IFERROR(IF((INDEX(SETUP!$C$19:$G$62,MATCH((INDEX(PMtbl[[WKst]:[Unit of measure*]],MATCH($A63&amp;$E63&amp;$I63,INDEX(PMtbl[Category]&amp;PMtbl[INN]&amp;PMtbl[Specification],0,),0),3)),SETUP!$D$19:$D$62,0),4))="Upfront",0,INDEX(SETUP!$C$19:$G$62,MATCH((INDEX(PMtbl[[WKst]:[Unit of measure*]],MATCH($A63&amp;$E63&amp;$I63,INDEX(PMtbl[Category]&amp;PMtbl[INN]&amp;PMtbl[Specification],0,),0),3)),SETUP!$D$19:$D$62,0),5)),"")</f>
        <v/>
      </c>
    </row>
    <row r="64" spans="1:40" ht="15" hidden="1" customHeight="1">
      <c r="A64" s="2336"/>
      <c r="B64" s="2337"/>
      <c r="C64" s="2337"/>
      <c r="D64" s="2337"/>
      <c r="E64" s="2301"/>
      <c r="F64" s="2302"/>
      <c r="G64" s="2302"/>
      <c r="H64" s="2302"/>
      <c r="I64" s="2301"/>
      <c r="J64" s="2302"/>
      <c r="K64" s="2302"/>
      <c r="L64" s="1165" t="str">
        <f>IF($A64&lt;&gt;"",IFERROR(INDEX(PMtbl[[WKst]:[Unit of measure*]],MATCH($A$8&amp;$A64&amp;$E64&amp;$I64,INDEX(PMtbl[Sec]&amp;PMtbl[Category]&amp;PMtbl[INN]&amp;PMtbl[Specification],0,),0),8),""),"")</f>
        <v/>
      </c>
      <c r="M64" s="270" t="str">
        <f>IF(L64="", "",SETUP!$E$5)</f>
        <v/>
      </c>
      <c r="N64" s="776"/>
      <c r="O64" s="372"/>
      <c r="P64" s="372"/>
      <c r="Q64" s="372"/>
      <c r="R64" s="372"/>
      <c r="S64" s="356">
        <f>SUM('HIV-Pharmaceuticals'!$O64:$R64)</f>
        <v>0</v>
      </c>
      <c r="T64" s="783">
        <f>'HIV-Pharmaceuticals'!$N64*'HIV-Pharmaceuticals'!$S64</f>
        <v>0</v>
      </c>
      <c r="U64" s="776"/>
      <c r="V64" s="376"/>
      <c r="W64" s="376"/>
      <c r="X64" s="376"/>
      <c r="Y64" s="376"/>
      <c r="Z64" s="357">
        <f>SUM('HIV-Pharmaceuticals'!$V64:$Y64)</f>
        <v>0</v>
      </c>
      <c r="AA64" s="775">
        <f>'HIV-Pharmaceuticals'!$U64*'HIV-Pharmaceuticals'!$Z64</f>
        <v>0</v>
      </c>
      <c r="AB64" s="776"/>
      <c r="AC64" s="372"/>
      <c r="AD64" s="372"/>
      <c r="AE64" s="372"/>
      <c r="AF64" s="372"/>
      <c r="AG64" s="358">
        <f>SUM('HIV-Pharmaceuticals'!$AC64:$AF64)</f>
        <v>0</v>
      </c>
      <c r="AH64" s="763">
        <f>'HIV-Pharmaceuticals'!$AB64*'HIV-Pharmaceuticals'!$AG64</f>
        <v>0</v>
      </c>
      <c r="AI64" s="359">
        <f>'HIV-Pharmaceuticals'!$S64+'HIV-Pharmaceuticals'!$Z64+'HIV-Pharmaceuticals'!$AG64</f>
        <v>0</v>
      </c>
      <c r="AJ64" s="763">
        <f>'HIV-Pharmaceuticals'!$T64+'HIV-Pharmaceuticals'!$AA64+'HIV-Pharmaceuticals'!$AH64</f>
        <v>0</v>
      </c>
      <c r="AK64" s="360" t="str">
        <f>IF(A64&lt;&gt;"",IFERROR(INDEX(PMtbl[[WKst]:[Unit of measure*]],MATCH($A$8&amp;$A64&amp;$E64&amp;$I64,INDEX(PMtbl[Sec]&amp;PMtbl[Category]&amp;PMtbl[INN]&amp;PMtbl[Specification],0,),0),7),""),"")</f>
        <v/>
      </c>
      <c r="AL64" s="2051"/>
      <c r="AM64" s="1502" t="str">
        <f>IFERROR(INDEX(SETUP!$C$19:$G$62,MATCH((INDEX(PMtbl[[WKst]:[Unit of measure*]],MATCH($A64&amp;$E64&amp;$I64,INDEX(PMtbl[Category]&amp;PMtbl[INN]&amp;PMtbl[Specification],0,),0),3)),SETUP!$D$19:$D$62,0),5),"")</f>
        <v/>
      </c>
      <c r="AN64" s="1502"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row>
    <row r="65" spans="1:40" ht="15" hidden="1" customHeight="1">
      <c r="A65" s="2330"/>
      <c r="B65" s="2331"/>
      <c r="C65" s="2331"/>
      <c r="D65" s="2331"/>
      <c r="E65" s="2303"/>
      <c r="F65" s="2304"/>
      <c r="G65" s="2304"/>
      <c r="H65" s="2304"/>
      <c r="I65" s="2303"/>
      <c r="J65" s="2304"/>
      <c r="K65" s="2304"/>
      <c r="L65" s="1166" t="str">
        <f>IF($A65&lt;&gt;"",IFERROR(INDEX(PMtbl[[WKst]:[Unit of measure*]],MATCH($A$8&amp;$A65&amp;$E65&amp;$I65,INDEX(PMtbl[Sec]&amp;PMtbl[Category]&amp;PMtbl[INN]&amp;PMtbl[Specification],0,),0),8),""),"")</f>
        <v/>
      </c>
      <c r="M65" s="269" t="str">
        <f>IF(L65="", "",SETUP!$E$5)</f>
        <v/>
      </c>
      <c r="N65" s="772"/>
      <c r="O65" s="370"/>
      <c r="P65" s="370"/>
      <c r="Q65" s="370"/>
      <c r="R65" s="370"/>
      <c r="S65" s="11">
        <f>SUM('HIV-Pharmaceuticals'!$O65:$R65)</f>
        <v>0</v>
      </c>
      <c r="T65" s="781">
        <f>'HIV-Pharmaceuticals'!$N65*'HIV-Pharmaceuticals'!$S65</f>
        <v>0</v>
      </c>
      <c r="U65" s="772"/>
      <c r="V65" s="374"/>
      <c r="W65" s="374"/>
      <c r="X65" s="374"/>
      <c r="Y65" s="374"/>
      <c r="Z65" s="348">
        <f>SUM('HIV-Pharmaceuticals'!$V65:$Y65)</f>
        <v>0</v>
      </c>
      <c r="AA65" s="771">
        <f>'HIV-Pharmaceuticals'!$U65*'HIV-Pharmaceuticals'!$Z65</f>
        <v>0</v>
      </c>
      <c r="AB65" s="772"/>
      <c r="AC65" s="370"/>
      <c r="AD65" s="370"/>
      <c r="AE65" s="370"/>
      <c r="AF65" s="370"/>
      <c r="AG65" s="349">
        <f>SUM('HIV-Pharmaceuticals'!$AC65:$AF65)</f>
        <v>0</v>
      </c>
      <c r="AH65" s="761">
        <f>'HIV-Pharmaceuticals'!$AB65*'HIV-Pharmaceuticals'!$AG65</f>
        <v>0</v>
      </c>
      <c r="AI65" s="350">
        <f>'HIV-Pharmaceuticals'!$S65+'HIV-Pharmaceuticals'!$Z65+'HIV-Pharmaceuticals'!$AG65</f>
        <v>0</v>
      </c>
      <c r="AJ65" s="761">
        <f>'HIV-Pharmaceuticals'!$T65+'HIV-Pharmaceuticals'!$AA65+'HIV-Pharmaceuticals'!$AH65</f>
        <v>0</v>
      </c>
      <c r="AK65" s="361" t="str">
        <f>IF(A65&lt;&gt;"",IFERROR(INDEX(PMtbl[[WKst]:[Unit of measure*]],MATCH($A$8&amp;$A65&amp;$E65&amp;$I65,INDEX(PMtbl[Sec]&amp;PMtbl[Category]&amp;PMtbl[INN]&amp;PMtbl[Specification],0,),0),7),""),"")</f>
        <v/>
      </c>
      <c r="AL65" s="2052"/>
      <c r="AM65" s="1500" t="str">
        <f>IFERROR(INDEX(SETUP!$C$19:$G$62,MATCH((INDEX(PMtbl[[WKst]:[Unit of measure*]],MATCH($A65&amp;$E65&amp;$I65,INDEX(PMtbl[Category]&amp;PMtbl[INN]&amp;PMtbl[Specification],0,),0),3)),SETUP!$D$19:$D$62,0),5),"")</f>
        <v/>
      </c>
      <c r="AN65" s="150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row>
    <row r="66" spans="1:40" ht="15" hidden="1" customHeight="1">
      <c r="A66" s="2336"/>
      <c r="B66" s="2337"/>
      <c r="C66" s="2337"/>
      <c r="D66" s="2337"/>
      <c r="E66" s="2301"/>
      <c r="F66" s="2302"/>
      <c r="G66" s="2302"/>
      <c r="H66" s="2302"/>
      <c r="I66" s="2301"/>
      <c r="J66" s="2302"/>
      <c r="K66" s="2302"/>
      <c r="L66" s="1165" t="str">
        <f>IF($A66&lt;&gt;"",IFERROR(INDEX(PMtbl[[WKst]:[Unit of measure*]],MATCH($A$8&amp;$A66&amp;$E66&amp;$I66,INDEX(PMtbl[Sec]&amp;PMtbl[Category]&amp;PMtbl[INN]&amp;PMtbl[Specification],0,),0),8),""),"")</f>
        <v/>
      </c>
      <c r="M66" s="270" t="str">
        <f>IF(L66="", "",SETUP!$E$5)</f>
        <v/>
      </c>
      <c r="N66" s="776"/>
      <c r="O66" s="372"/>
      <c r="P66" s="372"/>
      <c r="Q66" s="372"/>
      <c r="R66" s="372"/>
      <c r="S66" s="356">
        <f>SUM('HIV-Pharmaceuticals'!$O66:$R66)</f>
        <v>0</v>
      </c>
      <c r="T66" s="783">
        <f>'HIV-Pharmaceuticals'!$N66*'HIV-Pharmaceuticals'!$S66</f>
        <v>0</v>
      </c>
      <c r="U66" s="776"/>
      <c r="V66" s="376"/>
      <c r="W66" s="376"/>
      <c r="X66" s="376"/>
      <c r="Y66" s="376"/>
      <c r="Z66" s="357">
        <f>SUM('HIV-Pharmaceuticals'!$V66:$Y66)</f>
        <v>0</v>
      </c>
      <c r="AA66" s="775">
        <f>'HIV-Pharmaceuticals'!$U66*'HIV-Pharmaceuticals'!$Z66</f>
        <v>0</v>
      </c>
      <c r="AB66" s="776"/>
      <c r="AC66" s="372"/>
      <c r="AD66" s="372"/>
      <c r="AE66" s="372"/>
      <c r="AF66" s="372"/>
      <c r="AG66" s="358">
        <f>SUM('HIV-Pharmaceuticals'!$AC66:$AF66)</f>
        <v>0</v>
      </c>
      <c r="AH66" s="763">
        <f>'HIV-Pharmaceuticals'!$AB66*'HIV-Pharmaceuticals'!$AG66</f>
        <v>0</v>
      </c>
      <c r="AI66" s="359">
        <f>'HIV-Pharmaceuticals'!$S66+'HIV-Pharmaceuticals'!$Z66+'HIV-Pharmaceuticals'!$AG66</f>
        <v>0</v>
      </c>
      <c r="AJ66" s="763">
        <f>'HIV-Pharmaceuticals'!$T66+'HIV-Pharmaceuticals'!$AA66+'HIV-Pharmaceuticals'!$AH66</f>
        <v>0</v>
      </c>
      <c r="AK66" s="360" t="str">
        <f>IF(A66&lt;&gt;"",IFERROR(INDEX(PMtbl[[WKst]:[Unit of measure*]],MATCH($A$8&amp;$A66&amp;$E66&amp;$I66,INDEX(PMtbl[Sec]&amp;PMtbl[Category]&amp;PMtbl[INN]&amp;PMtbl[Specification],0,),0),7),""),"")</f>
        <v/>
      </c>
      <c r="AL66" s="2051"/>
      <c r="AM66" s="1502" t="str">
        <f>IFERROR(INDEX(SETUP!$C$19:$G$62,MATCH((INDEX(PMtbl[[WKst]:[Unit of measure*]],MATCH($A66&amp;$E66&amp;$I66,INDEX(PMtbl[Category]&amp;PMtbl[INN]&amp;PMtbl[Specification],0,),0),3)),SETUP!$D$19:$D$62,0),5),"")</f>
        <v/>
      </c>
      <c r="AN66" s="1502"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row>
    <row r="67" spans="1:40" ht="15" hidden="1" customHeight="1">
      <c r="A67" s="2330"/>
      <c r="B67" s="2331"/>
      <c r="C67" s="2331"/>
      <c r="D67" s="2331"/>
      <c r="E67" s="2303"/>
      <c r="F67" s="2304"/>
      <c r="G67" s="2304"/>
      <c r="H67" s="2304"/>
      <c r="I67" s="2303"/>
      <c r="J67" s="2304"/>
      <c r="K67" s="2304"/>
      <c r="L67" s="1166" t="str">
        <f>IF($A67&lt;&gt;"",IFERROR(INDEX(PMtbl[[WKst]:[Unit of measure*]],MATCH($A$8&amp;$A67&amp;$E67&amp;$I67,INDEX(PMtbl[Sec]&amp;PMtbl[Category]&amp;PMtbl[INN]&amp;PMtbl[Specification],0,),0),8),""),"")</f>
        <v/>
      </c>
      <c r="M67" s="269" t="str">
        <f>IF(L67="", "",SETUP!$E$5)</f>
        <v/>
      </c>
      <c r="N67" s="772"/>
      <c r="O67" s="370"/>
      <c r="P67" s="370"/>
      <c r="Q67" s="370"/>
      <c r="R67" s="370"/>
      <c r="S67" s="11">
        <f>SUM('HIV-Pharmaceuticals'!$O67:$R67)</f>
        <v>0</v>
      </c>
      <c r="T67" s="781">
        <f>'HIV-Pharmaceuticals'!$N67*'HIV-Pharmaceuticals'!$S67</f>
        <v>0</v>
      </c>
      <c r="U67" s="772"/>
      <c r="V67" s="374"/>
      <c r="W67" s="374"/>
      <c r="X67" s="374"/>
      <c r="Y67" s="374"/>
      <c r="Z67" s="348">
        <f>SUM('HIV-Pharmaceuticals'!$V67:$Y67)</f>
        <v>0</v>
      </c>
      <c r="AA67" s="771">
        <f>'HIV-Pharmaceuticals'!$U67*'HIV-Pharmaceuticals'!$Z67</f>
        <v>0</v>
      </c>
      <c r="AB67" s="772"/>
      <c r="AC67" s="370"/>
      <c r="AD67" s="370"/>
      <c r="AE67" s="370"/>
      <c r="AF67" s="370"/>
      <c r="AG67" s="349">
        <f>SUM('HIV-Pharmaceuticals'!$AC67:$AF67)</f>
        <v>0</v>
      </c>
      <c r="AH67" s="761">
        <f>'HIV-Pharmaceuticals'!$AB67*'HIV-Pharmaceuticals'!$AG67</f>
        <v>0</v>
      </c>
      <c r="AI67" s="350">
        <f>'HIV-Pharmaceuticals'!$S67+'HIV-Pharmaceuticals'!$Z67+'HIV-Pharmaceuticals'!$AG67</f>
        <v>0</v>
      </c>
      <c r="AJ67" s="761">
        <f>'HIV-Pharmaceuticals'!$T67+'HIV-Pharmaceuticals'!$AA67+'HIV-Pharmaceuticals'!$AH67</f>
        <v>0</v>
      </c>
      <c r="AK67" s="361" t="str">
        <f>IF(A67&lt;&gt;"",IFERROR(INDEX(PMtbl[[WKst]:[Unit of measure*]],MATCH($A$8&amp;$A67&amp;$E67&amp;$I67,INDEX(PMtbl[Sec]&amp;PMtbl[Category]&amp;PMtbl[INN]&amp;PMtbl[Specification],0,),0),7),""),"")</f>
        <v/>
      </c>
      <c r="AL67" s="2052"/>
      <c r="AM67" s="1500" t="str">
        <f>IFERROR(INDEX(SETUP!$C$19:$G$62,MATCH((INDEX(PMtbl[[WKst]:[Unit of measure*]],MATCH($A67&amp;$E67&amp;$I67,INDEX(PMtbl[Category]&amp;PMtbl[INN]&amp;PMtbl[Specification],0,),0),3)),SETUP!$D$19:$D$62,0),5),"")</f>
        <v/>
      </c>
      <c r="AN67" s="150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row>
    <row r="68" spans="1:40" ht="15" hidden="1" customHeight="1">
      <c r="A68" s="2336"/>
      <c r="B68" s="2337"/>
      <c r="C68" s="2337"/>
      <c r="D68" s="2337"/>
      <c r="E68" s="2301"/>
      <c r="F68" s="2302"/>
      <c r="G68" s="2302"/>
      <c r="H68" s="2302"/>
      <c r="I68" s="2301"/>
      <c r="J68" s="2302"/>
      <c r="K68" s="2302"/>
      <c r="L68" s="1165" t="str">
        <f>IF($A68&lt;&gt;"",IFERROR(INDEX(PMtbl[[WKst]:[Unit of measure*]],MATCH($A$8&amp;$A68&amp;$E68&amp;$I68,INDEX(PMtbl[Sec]&amp;PMtbl[Category]&amp;PMtbl[INN]&amp;PMtbl[Specification],0,),0),8),""),"")</f>
        <v/>
      </c>
      <c r="M68" s="270" t="str">
        <f>IF(L68="", "",SETUP!$E$5)</f>
        <v/>
      </c>
      <c r="N68" s="776"/>
      <c r="O68" s="372"/>
      <c r="P68" s="372"/>
      <c r="Q68" s="372"/>
      <c r="R68" s="372"/>
      <c r="S68" s="356">
        <f>SUM('HIV-Pharmaceuticals'!$O68:$R68)</f>
        <v>0</v>
      </c>
      <c r="T68" s="783">
        <f>'HIV-Pharmaceuticals'!$N68*'HIV-Pharmaceuticals'!$S68</f>
        <v>0</v>
      </c>
      <c r="U68" s="776"/>
      <c r="V68" s="376"/>
      <c r="W68" s="376"/>
      <c r="X68" s="376"/>
      <c r="Y68" s="376"/>
      <c r="Z68" s="357">
        <f>SUM('HIV-Pharmaceuticals'!$V68:$Y68)</f>
        <v>0</v>
      </c>
      <c r="AA68" s="775">
        <f>'HIV-Pharmaceuticals'!$U68*'HIV-Pharmaceuticals'!$Z68</f>
        <v>0</v>
      </c>
      <c r="AB68" s="776"/>
      <c r="AC68" s="372"/>
      <c r="AD68" s="372"/>
      <c r="AE68" s="372"/>
      <c r="AF68" s="372"/>
      <c r="AG68" s="358">
        <f>SUM('HIV-Pharmaceuticals'!$AC68:$AF68)</f>
        <v>0</v>
      </c>
      <c r="AH68" s="763">
        <f>'HIV-Pharmaceuticals'!$AB68*'HIV-Pharmaceuticals'!$AG68</f>
        <v>0</v>
      </c>
      <c r="AI68" s="359">
        <f>'HIV-Pharmaceuticals'!$S68+'HIV-Pharmaceuticals'!$Z68+'HIV-Pharmaceuticals'!$AG68</f>
        <v>0</v>
      </c>
      <c r="AJ68" s="763">
        <f>'HIV-Pharmaceuticals'!$T68+'HIV-Pharmaceuticals'!$AA68+'HIV-Pharmaceuticals'!$AH68</f>
        <v>0</v>
      </c>
      <c r="AK68" s="360" t="str">
        <f>IF(A68&lt;&gt;"",IFERROR(INDEX(PMtbl[[WKst]:[Unit of measure*]],MATCH($A$8&amp;$A68&amp;$E68&amp;$I68,INDEX(PMtbl[Sec]&amp;PMtbl[Category]&amp;PMtbl[INN]&amp;PMtbl[Specification],0,),0),7),""),"")</f>
        <v/>
      </c>
      <c r="AL68" s="2051"/>
      <c r="AM68" s="1502" t="str">
        <f>IFERROR(INDEX(SETUP!$C$19:$G$62,MATCH((INDEX(PMtbl[[WKst]:[Unit of measure*]],MATCH($A68&amp;$E68&amp;$I68,INDEX(PMtbl[Category]&amp;PMtbl[INN]&amp;PMtbl[Specification],0,),0),3)),SETUP!$D$19:$D$62,0),5),"")</f>
        <v/>
      </c>
      <c r="AN68" s="1502"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40" ht="15" hidden="1" customHeight="1">
      <c r="A69" s="2330"/>
      <c r="B69" s="2331"/>
      <c r="C69" s="2331"/>
      <c r="D69" s="2331"/>
      <c r="E69" s="2303"/>
      <c r="F69" s="2304"/>
      <c r="G69" s="2304"/>
      <c r="H69" s="2304"/>
      <c r="I69" s="2303"/>
      <c r="J69" s="2304"/>
      <c r="K69" s="2304"/>
      <c r="L69" s="1166" t="str">
        <f>IF($A69&lt;&gt;"",IFERROR(INDEX(PMtbl[[WKst]:[Unit of measure*]],MATCH($A$8&amp;$A69&amp;$E69&amp;$I69,INDEX(PMtbl[Sec]&amp;PMtbl[Category]&amp;PMtbl[INN]&amp;PMtbl[Specification],0,),0),8),""),"")</f>
        <v/>
      </c>
      <c r="M69" s="269" t="str">
        <f>IF(L69="", "",SETUP!$E$5)</f>
        <v/>
      </c>
      <c r="N69" s="772"/>
      <c r="O69" s="370"/>
      <c r="P69" s="370"/>
      <c r="Q69" s="370"/>
      <c r="R69" s="370"/>
      <c r="S69" s="11">
        <f>SUM('HIV-Pharmaceuticals'!$O69:$R69)</f>
        <v>0</v>
      </c>
      <c r="T69" s="781">
        <f>'HIV-Pharmaceuticals'!$N69*'HIV-Pharmaceuticals'!$S69</f>
        <v>0</v>
      </c>
      <c r="U69" s="772"/>
      <c r="V69" s="374"/>
      <c r="W69" s="374"/>
      <c r="X69" s="374"/>
      <c r="Y69" s="374"/>
      <c r="Z69" s="348">
        <f>SUM('HIV-Pharmaceuticals'!$V69:$Y69)</f>
        <v>0</v>
      </c>
      <c r="AA69" s="771">
        <f>'HIV-Pharmaceuticals'!$U69*'HIV-Pharmaceuticals'!$Z69</f>
        <v>0</v>
      </c>
      <c r="AB69" s="772"/>
      <c r="AC69" s="370"/>
      <c r="AD69" s="370"/>
      <c r="AE69" s="370"/>
      <c r="AF69" s="370"/>
      <c r="AG69" s="349">
        <f>SUM('HIV-Pharmaceuticals'!$AC69:$AF69)</f>
        <v>0</v>
      </c>
      <c r="AH69" s="761">
        <f>'HIV-Pharmaceuticals'!$AB69*'HIV-Pharmaceuticals'!$AG69</f>
        <v>0</v>
      </c>
      <c r="AI69" s="350">
        <f>'HIV-Pharmaceuticals'!$S69+'HIV-Pharmaceuticals'!$Z69+'HIV-Pharmaceuticals'!$AG69</f>
        <v>0</v>
      </c>
      <c r="AJ69" s="761">
        <f>'HIV-Pharmaceuticals'!$T69+'HIV-Pharmaceuticals'!$AA69+'HIV-Pharmaceuticals'!$AH69</f>
        <v>0</v>
      </c>
      <c r="AK69" s="361" t="str">
        <f>IF(A69&lt;&gt;"",IFERROR(INDEX(PMtbl[[WKst]:[Unit of measure*]],MATCH($A$8&amp;$A69&amp;$E69&amp;$I69,INDEX(PMtbl[Sec]&amp;PMtbl[Category]&amp;PMtbl[INN]&amp;PMtbl[Specification],0,),0),7),""),"")</f>
        <v/>
      </c>
      <c r="AL69" s="2052"/>
      <c r="AM69" s="1500" t="str">
        <f>IFERROR(INDEX(SETUP!$C$19:$G$62,MATCH((INDEX(PMtbl[[WKst]:[Unit of measure*]],MATCH($A69&amp;$E69&amp;$I69,INDEX(PMtbl[Category]&amp;PMtbl[INN]&amp;PMtbl[Specification],0,),0),3)),SETUP!$D$19:$D$62,0),5),"")</f>
        <v/>
      </c>
      <c r="AN69" s="150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40" ht="15" hidden="1" customHeight="1">
      <c r="A70" s="2336"/>
      <c r="B70" s="2337"/>
      <c r="C70" s="2337"/>
      <c r="D70" s="2337"/>
      <c r="E70" s="2301"/>
      <c r="F70" s="2302"/>
      <c r="G70" s="2302"/>
      <c r="H70" s="2302"/>
      <c r="I70" s="2301"/>
      <c r="J70" s="2302"/>
      <c r="K70" s="2302"/>
      <c r="L70" s="1165" t="str">
        <f>IF($A70&lt;&gt;"",IFERROR(INDEX(PMtbl[[WKst]:[Unit of measure*]],MATCH($A$8&amp;$A70&amp;$E70&amp;$I70,INDEX(PMtbl[Sec]&amp;PMtbl[Category]&amp;PMtbl[INN]&amp;PMtbl[Specification],0,),0),8),""),"")</f>
        <v/>
      </c>
      <c r="M70" s="270" t="str">
        <f>IF(L70="", "",SETUP!$E$5)</f>
        <v/>
      </c>
      <c r="N70" s="776"/>
      <c r="O70" s="372"/>
      <c r="P70" s="372"/>
      <c r="Q70" s="372"/>
      <c r="R70" s="372"/>
      <c r="S70" s="356">
        <f>SUM('HIV-Pharmaceuticals'!$O70:$R70)</f>
        <v>0</v>
      </c>
      <c r="T70" s="783">
        <f>'HIV-Pharmaceuticals'!$N70*'HIV-Pharmaceuticals'!$S70</f>
        <v>0</v>
      </c>
      <c r="U70" s="776"/>
      <c r="V70" s="376"/>
      <c r="W70" s="376"/>
      <c r="X70" s="376"/>
      <c r="Y70" s="376"/>
      <c r="Z70" s="357">
        <f>SUM('HIV-Pharmaceuticals'!$V70:$Y70)</f>
        <v>0</v>
      </c>
      <c r="AA70" s="775">
        <f>'HIV-Pharmaceuticals'!$U70*'HIV-Pharmaceuticals'!$Z70</f>
        <v>0</v>
      </c>
      <c r="AB70" s="776"/>
      <c r="AC70" s="372"/>
      <c r="AD70" s="372"/>
      <c r="AE70" s="372"/>
      <c r="AF70" s="372"/>
      <c r="AG70" s="358">
        <f>SUM('HIV-Pharmaceuticals'!$AC70:$AF70)</f>
        <v>0</v>
      </c>
      <c r="AH70" s="763">
        <f>'HIV-Pharmaceuticals'!$AB70*'HIV-Pharmaceuticals'!$AG70</f>
        <v>0</v>
      </c>
      <c r="AI70" s="359">
        <f>'HIV-Pharmaceuticals'!$S70+'HIV-Pharmaceuticals'!$Z70+'HIV-Pharmaceuticals'!$AG70</f>
        <v>0</v>
      </c>
      <c r="AJ70" s="763">
        <f>'HIV-Pharmaceuticals'!$T70+'HIV-Pharmaceuticals'!$AA70+'HIV-Pharmaceuticals'!$AH70</f>
        <v>0</v>
      </c>
      <c r="AK70" s="360" t="str">
        <f>IF(A70&lt;&gt;"",IFERROR(INDEX(PMtbl[[WKst]:[Unit of measure*]],MATCH($A$8&amp;$A70&amp;$E70&amp;$I70,INDEX(PMtbl[Sec]&amp;PMtbl[Category]&amp;PMtbl[INN]&amp;PMtbl[Specification],0,),0),7),""),"")</f>
        <v/>
      </c>
      <c r="AL70" s="2051"/>
      <c r="AM70" s="1502" t="str">
        <f>IFERROR(INDEX(SETUP!$C$19:$G$62,MATCH((INDEX(PMtbl[[WKst]:[Unit of measure*]],MATCH($A70&amp;$E70&amp;$I70,INDEX(PMtbl[Category]&amp;PMtbl[INN]&amp;PMtbl[Specification],0,),0),3)),SETUP!$D$19:$D$62,0),5),"")</f>
        <v/>
      </c>
      <c r="AN70" s="1502"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40" ht="15" hidden="1" customHeight="1">
      <c r="A71" s="2330"/>
      <c r="B71" s="2331"/>
      <c r="C71" s="2331"/>
      <c r="D71" s="2331"/>
      <c r="E71" s="2303"/>
      <c r="F71" s="2304"/>
      <c r="G71" s="2304"/>
      <c r="H71" s="2304"/>
      <c r="I71" s="2303"/>
      <c r="J71" s="2304"/>
      <c r="K71" s="2304"/>
      <c r="L71" s="1166" t="str">
        <f>IF($A71&lt;&gt;"",IFERROR(INDEX(PMtbl[[WKst]:[Unit of measure*]],MATCH($A$8&amp;$A71&amp;$E71&amp;$I71,INDEX(PMtbl[Sec]&amp;PMtbl[Category]&amp;PMtbl[INN]&amp;PMtbl[Specification],0,),0),8),""),"")</f>
        <v/>
      </c>
      <c r="M71" s="269" t="str">
        <f>IF(L71="", "",SETUP!$E$5)</f>
        <v/>
      </c>
      <c r="N71" s="772"/>
      <c r="O71" s="370"/>
      <c r="P71" s="370"/>
      <c r="Q71" s="370"/>
      <c r="R71" s="370"/>
      <c r="S71" s="11">
        <f>SUM('HIV-Pharmaceuticals'!$O71:$R71)</f>
        <v>0</v>
      </c>
      <c r="T71" s="781">
        <f>'HIV-Pharmaceuticals'!$N71*'HIV-Pharmaceuticals'!$S71</f>
        <v>0</v>
      </c>
      <c r="U71" s="772"/>
      <c r="V71" s="374"/>
      <c r="W71" s="374"/>
      <c r="X71" s="374"/>
      <c r="Y71" s="374"/>
      <c r="Z71" s="348">
        <f>SUM('HIV-Pharmaceuticals'!$V71:$Y71)</f>
        <v>0</v>
      </c>
      <c r="AA71" s="771">
        <f>'HIV-Pharmaceuticals'!$U71*'HIV-Pharmaceuticals'!$Z71</f>
        <v>0</v>
      </c>
      <c r="AB71" s="772"/>
      <c r="AC71" s="370"/>
      <c r="AD71" s="370"/>
      <c r="AE71" s="370"/>
      <c r="AF71" s="370"/>
      <c r="AG71" s="349">
        <f>SUM('HIV-Pharmaceuticals'!$AC71:$AF71)</f>
        <v>0</v>
      </c>
      <c r="AH71" s="761">
        <f>'HIV-Pharmaceuticals'!$AB71*'HIV-Pharmaceuticals'!$AG71</f>
        <v>0</v>
      </c>
      <c r="AI71" s="350">
        <f>'HIV-Pharmaceuticals'!$S71+'HIV-Pharmaceuticals'!$Z71+'HIV-Pharmaceuticals'!$AG71</f>
        <v>0</v>
      </c>
      <c r="AJ71" s="761">
        <f>'HIV-Pharmaceuticals'!$T71+'HIV-Pharmaceuticals'!$AA71+'HIV-Pharmaceuticals'!$AH71</f>
        <v>0</v>
      </c>
      <c r="AK71" s="361" t="str">
        <f>IF(A71&lt;&gt;"",IFERROR(INDEX(PMtbl[[WKst]:[Unit of measure*]],MATCH($A$8&amp;$A71&amp;$E71&amp;$I71,INDEX(PMtbl[Sec]&amp;PMtbl[Category]&amp;PMtbl[INN]&amp;PMtbl[Specification],0,),0),7),""),"")</f>
        <v/>
      </c>
      <c r="AL71" s="2052"/>
      <c r="AM71" s="1500" t="str">
        <f>IFERROR(INDEX(SETUP!$C$19:$G$62,MATCH((INDEX(PMtbl[[WKst]:[Unit of measure*]],MATCH($A71&amp;$E71&amp;$I71,INDEX(PMtbl[Category]&amp;PMtbl[INN]&amp;PMtbl[Specification],0,),0),3)),SETUP!$D$19:$D$62,0),5),"")</f>
        <v/>
      </c>
      <c r="AN71" s="150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40" ht="15" hidden="1" customHeight="1">
      <c r="A72" s="2336"/>
      <c r="B72" s="2337"/>
      <c r="C72" s="2337"/>
      <c r="D72" s="2337"/>
      <c r="E72" s="2301"/>
      <c r="F72" s="2302"/>
      <c r="G72" s="2302"/>
      <c r="H72" s="2302"/>
      <c r="I72" s="2301"/>
      <c r="J72" s="2302"/>
      <c r="K72" s="2302"/>
      <c r="L72" s="1165" t="str">
        <f>IF($A72&lt;&gt;"",IFERROR(INDEX(PMtbl[[WKst]:[Unit of measure*]],MATCH($A$8&amp;$A72&amp;$E72&amp;$I72,INDEX(PMtbl[Sec]&amp;PMtbl[Category]&amp;PMtbl[INN]&amp;PMtbl[Specification],0,),0),8),""),"")</f>
        <v/>
      </c>
      <c r="M72" s="270" t="str">
        <f>IF(L72="", "",SETUP!$E$5)</f>
        <v/>
      </c>
      <c r="N72" s="776"/>
      <c r="O72" s="372"/>
      <c r="P72" s="372"/>
      <c r="Q72" s="372"/>
      <c r="R72" s="372"/>
      <c r="S72" s="356">
        <f>SUM('HIV-Pharmaceuticals'!$O72:$R72)</f>
        <v>0</v>
      </c>
      <c r="T72" s="783">
        <f>'HIV-Pharmaceuticals'!$N72*'HIV-Pharmaceuticals'!$S72</f>
        <v>0</v>
      </c>
      <c r="U72" s="776"/>
      <c r="V72" s="376"/>
      <c r="W72" s="376"/>
      <c r="X72" s="376"/>
      <c r="Y72" s="376"/>
      <c r="Z72" s="357">
        <f>SUM('HIV-Pharmaceuticals'!$V72:$Y72)</f>
        <v>0</v>
      </c>
      <c r="AA72" s="775">
        <f>'HIV-Pharmaceuticals'!$U72*'HIV-Pharmaceuticals'!$Z72</f>
        <v>0</v>
      </c>
      <c r="AB72" s="776"/>
      <c r="AC72" s="372"/>
      <c r="AD72" s="372"/>
      <c r="AE72" s="372"/>
      <c r="AF72" s="372"/>
      <c r="AG72" s="358">
        <f>SUM('HIV-Pharmaceuticals'!$AC72:$AF72)</f>
        <v>0</v>
      </c>
      <c r="AH72" s="763">
        <f>'HIV-Pharmaceuticals'!$AB72*'HIV-Pharmaceuticals'!$AG72</f>
        <v>0</v>
      </c>
      <c r="AI72" s="359">
        <f>'HIV-Pharmaceuticals'!$S72+'HIV-Pharmaceuticals'!$Z72+'HIV-Pharmaceuticals'!$AG72</f>
        <v>0</v>
      </c>
      <c r="AJ72" s="763">
        <f>'HIV-Pharmaceuticals'!$T72+'HIV-Pharmaceuticals'!$AA72+'HIV-Pharmaceuticals'!$AH72</f>
        <v>0</v>
      </c>
      <c r="AK72" s="360" t="str">
        <f>IF(A72&lt;&gt;"",IFERROR(INDEX(PMtbl[[WKst]:[Unit of measure*]],MATCH($A$8&amp;$A72&amp;$E72&amp;$I72,INDEX(PMtbl[Sec]&amp;PMtbl[Category]&amp;PMtbl[INN]&amp;PMtbl[Specification],0,),0),7),""),"")</f>
        <v/>
      </c>
      <c r="AL72" s="2051"/>
      <c r="AM72" s="1502" t="str">
        <f>IFERROR(INDEX(SETUP!$C$19:$G$62,MATCH((INDEX(PMtbl[[WKst]:[Unit of measure*]],MATCH($A72&amp;$E72&amp;$I72,INDEX(PMtbl[Category]&amp;PMtbl[INN]&amp;PMtbl[Specification],0,),0),3)),SETUP!$D$19:$D$62,0),5),"")</f>
        <v/>
      </c>
      <c r="AN72" s="1502"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40" ht="15" hidden="1" customHeight="1">
      <c r="A73" s="2330"/>
      <c r="B73" s="2331"/>
      <c r="C73" s="2331"/>
      <c r="D73" s="2331"/>
      <c r="E73" s="2303"/>
      <c r="F73" s="2304"/>
      <c r="G73" s="2304"/>
      <c r="H73" s="2304"/>
      <c r="I73" s="2303"/>
      <c r="J73" s="2304"/>
      <c r="K73" s="2304"/>
      <c r="L73" s="1166" t="str">
        <f>IF($A73&lt;&gt;"",IFERROR(INDEX(PMtbl[[WKst]:[Unit of measure*]],MATCH($A$8&amp;$A73&amp;$E73&amp;$I73,INDEX(PMtbl[Sec]&amp;PMtbl[Category]&amp;PMtbl[INN]&amp;PMtbl[Specification],0,),0),8),""),"")</f>
        <v/>
      </c>
      <c r="M73" s="269" t="str">
        <f>IF(L73="", "",SETUP!$E$5)</f>
        <v/>
      </c>
      <c r="N73" s="772"/>
      <c r="O73" s="370"/>
      <c r="P73" s="370"/>
      <c r="Q73" s="370"/>
      <c r="R73" s="370"/>
      <c r="S73" s="11">
        <f>SUM('HIV-Pharmaceuticals'!$O73:$R73)</f>
        <v>0</v>
      </c>
      <c r="T73" s="781">
        <f>'HIV-Pharmaceuticals'!$N73*'HIV-Pharmaceuticals'!$S73</f>
        <v>0</v>
      </c>
      <c r="U73" s="772"/>
      <c r="V73" s="374"/>
      <c r="W73" s="374"/>
      <c r="X73" s="374"/>
      <c r="Y73" s="374"/>
      <c r="Z73" s="348">
        <f>SUM('HIV-Pharmaceuticals'!$V73:$Y73)</f>
        <v>0</v>
      </c>
      <c r="AA73" s="771">
        <f>'HIV-Pharmaceuticals'!$U73*'HIV-Pharmaceuticals'!$Z73</f>
        <v>0</v>
      </c>
      <c r="AB73" s="772"/>
      <c r="AC73" s="370"/>
      <c r="AD73" s="370"/>
      <c r="AE73" s="370"/>
      <c r="AF73" s="370"/>
      <c r="AG73" s="349">
        <f>SUM('HIV-Pharmaceuticals'!$AC73:$AF73)</f>
        <v>0</v>
      </c>
      <c r="AH73" s="761">
        <f>'HIV-Pharmaceuticals'!$AB73*'HIV-Pharmaceuticals'!$AG73</f>
        <v>0</v>
      </c>
      <c r="AI73" s="350">
        <f>'HIV-Pharmaceuticals'!$S73+'HIV-Pharmaceuticals'!$Z73+'HIV-Pharmaceuticals'!$AG73</f>
        <v>0</v>
      </c>
      <c r="AJ73" s="761">
        <f>'HIV-Pharmaceuticals'!$T73+'HIV-Pharmaceuticals'!$AA73+'HIV-Pharmaceuticals'!$AH73</f>
        <v>0</v>
      </c>
      <c r="AK73" s="361" t="str">
        <f>IF(A73&lt;&gt;"",IFERROR(INDEX(PMtbl[[WKst]:[Unit of measure*]],MATCH($A$8&amp;$A73&amp;$E73&amp;$I73,INDEX(PMtbl[Sec]&amp;PMtbl[Category]&amp;PMtbl[INN]&amp;PMtbl[Specification],0,),0),7),""),"")</f>
        <v/>
      </c>
      <c r="AL73" s="2052"/>
      <c r="AM73" s="1500" t="str">
        <f>IFERROR(INDEX(SETUP!$C$19:$G$62,MATCH((INDEX(PMtbl[[WKst]:[Unit of measure*]],MATCH($A73&amp;$E73&amp;$I73,INDEX(PMtbl[Category]&amp;PMtbl[INN]&amp;PMtbl[Specification],0,),0),3)),SETUP!$D$19:$D$62,0),5),"")</f>
        <v/>
      </c>
      <c r="AN73" s="150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40" ht="15" hidden="1" customHeight="1">
      <c r="A74" s="2336"/>
      <c r="B74" s="2337"/>
      <c r="C74" s="2337"/>
      <c r="D74" s="2337"/>
      <c r="E74" s="2301"/>
      <c r="F74" s="2302"/>
      <c r="G74" s="2302"/>
      <c r="H74" s="2302"/>
      <c r="I74" s="2301"/>
      <c r="J74" s="2302"/>
      <c r="K74" s="2302"/>
      <c r="L74" s="1165" t="str">
        <f>IF($A74&lt;&gt;"",IFERROR(INDEX(PMtbl[[WKst]:[Unit of measure*]],MATCH($A$8&amp;$A74&amp;$E74&amp;$I74,INDEX(PMtbl[Sec]&amp;PMtbl[Category]&amp;PMtbl[INN]&amp;PMtbl[Specification],0,),0),8),""),"")</f>
        <v/>
      </c>
      <c r="M74" s="270" t="str">
        <f>IF(L74="", "",SETUP!$E$5)</f>
        <v/>
      </c>
      <c r="N74" s="776"/>
      <c r="O74" s="372"/>
      <c r="P74" s="372"/>
      <c r="Q74" s="372"/>
      <c r="R74" s="372"/>
      <c r="S74" s="356">
        <f>SUM('HIV-Pharmaceuticals'!$O74:$R74)</f>
        <v>0</v>
      </c>
      <c r="T74" s="783">
        <f>'HIV-Pharmaceuticals'!$N74*'HIV-Pharmaceuticals'!$S74</f>
        <v>0</v>
      </c>
      <c r="U74" s="776"/>
      <c r="V74" s="376"/>
      <c r="W74" s="376"/>
      <c r="X74" s="376"/>
      <c r="Y74" s="376"/>
      <c r="Z74" s="357">
        <f>SUM('HIV-Pharmaceuticals'!$V74:$Y74)</f>
        <v>0</v>
      </c>
      <c r="AA74" s="775">
        <f>'HIV-Pharmaceuticals'!$U74*'HIV-Pharmaceuticals'!$Z74</f>
        <v>0</v>
      </c>
      <c r="AB74" s="776"/>
      <c r="AC74" s="372"/>
      <c r="AD74" s="372"/>
      <c r="AE74" s="372"/>
      <c r="AF74" s="372"/>
      <c r="AG74" s="358">
        <f>SUM('HIV-Pharmaceuticals'!$AC74:$AF74)</f>
        <v>0</v>
      </c>
      <c r="AH74" s="763">
        <f>'HIV-Pharmaceuticals'!$AB74*'HIV-Pharmaceuticals'!$AG74</f>
        <v>0</v>
      </c>
      <c r="AI74" s="359">
        <f>'HIV-Pharmaceuticals'!$S74+'HIV-Pharmaceuticals'!$Z74+'HIV-Pharmaceuticals'!$AG74</f>
        <v>0</v>
      </c>
      <c r="AJ74" s="763">
        <f>'HIV-Pharmaceuticals'!$T74+'HIV-Pharmaceuticals'!$AA74+'HIV-Pharmaceuticals'!$AH74</f>
        <v>0</v>
      </c>
      <c r="AK74" s="360" t="str">
        <f>IF(A74&lt;&gt;"",IFERROR(INDEX(PMtbl[[WKst]:[Unit of measure*]],MATCH($A$8&amp;$A74&amp;$E74&amp;$I74,INDEX(PMtbl[Sec]&amp;PMtbl[Category]&amp;PMtbl[INN]&amp;PMtbl[Specification],0,),0),7),""),"")</f>
        <v/>
      </c>
      <c r="AL74" s="2051"/>
      <c r="AM74" s="1502" t="str">
        <f>IFERROR(INDEX(SETUP!$C$19:$G$62,MATCH((INDEX(PMtbl[[WKst]:[Unit of measure*]],MATCH($A74&amp;$E74&amp;$I74,INDEX(PMtbl[Category]&amp;PMtbl[INN]&amp;PMtbl[Specification],0,),0),3)),SETUP!$D$19:$D$62,0),5),"")</f>
        <v/>
      </c>
      <c r="AN74" s="1502"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40" ht="15" hidden="1" customHeight="1">
      <c r="A75" s="2330"/>
      <c r="B75" s="2331"/>
      <c r="C75" s="2331"/>
      <c r="D75" s="2331"/>
      <c r="E75" s="2303"/>
      <c r="F75" s="2304"/>
      <c r="G75" s="2304"/>
      <c r="H75" s="2304"/>
      <c r="I75" s="2303"/>
      <c r="J75" s="2304"/>
      <c r="K75" s="2304"/>
      <c r="L75" s="1166" t="str">
        <f>IF($A75&lt;&gt;"",IFERROR(INDEX(PMtbl[[WKst]:[Unit of measure*]],MATCH($A$8&amp;$A75&amp;$E75&amp;$I75,INDEX(PMtbl[Sec]&amp;PMtbl[Category]&amp;PMtbl[INN]&amp;PMtbl[Specification],0,),0),8),""),"")</f>
        <v/>
      </c>
      <c r="M75" s="269" t="str">
        <f>IF(L75="", "",SETUP!$E$5)</f>
        <v/>
      </c>
      <c r="N75" s="772"/>
      <c r="O75" s="370"/>
      <c r="P75" s="370"/>
      <c r="Q75" s="370"/>
      <c r="R75" s="370"/>
      <c r="S75" s="11">
        <f>SUM('HIV-Pharmaceuticals'!$O75:$R75)</f>
        <v>0</v>
      </c>
      <c r="T75" s="781">
        <f>'HIV-Pharmaceuticals'!$N75*'HIV-Pharmaceuticals'!$S75</f>
        <v>0</v>
      </c>
      <c r="U75" s="772"/>
      <c r="V75" s="374"/>
      <c r="W75" s="374"/>
      <c r="X75" s="374"/>
      <c r="Y75" s="374"/>
      <c r="Z75" s="348">
        <f>SUM('HIV-Pharmaceuticals'!$V75:$Y75)</f>
        <v>0</v>
      </c>
      <c r="AA75" s="771">
        <f>'HIV-Pharmaceuticals'!$U75*'HIV-Pharmaceuticals'!$Z75</f>
        <v>0</v>
      </c>
      <c r="AB75" s="772"/>
      <c r="AC75" s="370"/>
      <c r="AD75" s="370"/>
      <c r="AE75" s="370"/>
      <c r="AF75" s="370"/>
      <c r="AG75" s="349">
        <f>SUM('HIV-Pharmaceuticals'!$AC75:$AF75)</f>
        <v>0</v>
      </c>
      <c r="AH75" s="761">
        <f>'HIV-Pharmaceuticals'!$AB75*'HIV-Pharmaceuticals'!$AG75</f>
        <v>0</v>
      </c>
      <c r="AI75" s="350">
        <f>'HIV-Pharmaceuticals'!$S75+'HIV-Pharmaceuticals'!$Z75+'HIV-Pharmaceuticals'!$AG75</f>
        <v>0</v>
      </c>
      <c r="AJ75" s="761">
        <f>'HIV-Pharmaceuticals'!$T75+'HIV-Pharmaceuticals'!$AA75+'HIV-Pharmaceuticals'!$AH75</f>
        <v>0</v>
      </c>
      <c r="AK75" s="361" t="str">
        <f>IF(A75&lt;&gt;"",IFERROR(INDEX(PMtbl[[WKst]:[Unit of measure*]],MATCH($A$8&amp;$A75&amp;$E75&amp;$I75,INDEX(PMtbl[Sec]&amp;PMtbl[Category]&amp;PMtbl[INN]&amp;PMtbl[Specification],0,),0),7),""),"")</f>
        <v/>
      </c>
      <c r="AL75" s="2052"/>
      <c r="AM75" s="1500" t="str">
        <f>IFERROR(INDEX(SETUP!$C$19:$G$62,MATCH((INDEX(PMtbl[[WKst]:[Unit of measure*]],MATCH($A75&amp;$E75&amp;$I75,INDEX(PMtbl[Category]&amp;PMtbl[INN]&amp;PMtbl[Specification],0,),0),3)),SETUP!$D$19:$D$62,0),5),"")</f>
        <v/>
      </c>
      <c r="AN75" s="150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40" ht="15" hidden="1" customHeight="1">
      <c r="A76" s="2336"/>
      <c r="B76" s="2337"/>
      <c r="C76" s="2337"/>
      <c r="D76" s="2337"/>
      <c r="E76" s="2301"/>
      <c r="F76" s="2302"/>
      <c r="G76" s="2302"/>
      <c r="H76" s="2302"/>
      <c r="I76" s="2301"/>
      <c r="J76" s="2302"/>
      <c r="K76" s="2302"/>
      <c r="L76" s="1165" t="str">
        <f>IF($A76&lt;&gt;"",IFERROR(INDEX(PMtbl[[WKst]:[Unit of measure*]],MATCH($A$8&amp;$A76&amp;$E76&amp;$I76,INDEX(PMtbl[Sec]&amp;PMtbl[Category]&amp;PMtbl[INN]&amp;PMtbl[Specification],0,),0),8),""),"")</f>
        <v/>
      </c>
      <c r="M76" s="270" t="str">
        <f>IF(L76="", "",SETUP!$E$5)</f>
        <v/>
      </c>
      <c r="N76" s="776"/>
      <c r="O76" s="372"/>
      <c r="P76" s="372"/>
      <c r="Q76" s="372"/>
      <c r="R76" s="372"/>
      <c r="S76" s="356">
        <f>SUM('HIV-Pharmaceuticals'!$O76:$R76)</f>
        <v>0</v>
      </c>
      <c r="T76" s="783">
        <f>'HIV-Pharmaceuticals'!$N76*'HIV-Pharmaceuticals'!$S76</f>
        <v>0</v>
      </c>
      <c r="U76" s="776"/>
      <c r="V76" s="376"/>
      <c r="W76" s="376"/>
      <c r="X76" s="376"/>
      <c r="Y76" s="376"/>
      <c r="Z76" s="357">
        <f>SUM('HIV-Pharmaceuticals'!$V76:$Y76)</f>
        <v>0</v>
      </c>
      <c r="AA76" s="775">
        <f>'HIV-Pharmaceuticals'!$U76*'HIV-Pharmaceuticals'!$Z76</f>
        <v>0</v>
      </c>
      <c r="AB76" s="776"/>
      <c r="AC76" s="372"/>
      <c r="AD76" s="372"/>
      <c r="AE76" s="372"/>
      <c r="AF76" s="372"/>
      <c r="AG76" s="358">
        <f>SUM('HIV-Pharmaceuticals'!$AC76:$AF76)</f>
        <v>0</v>
      </c>
      <c r="AH76" s="763">
        <f>'HIV-Pharmaceuticals'!$AB76*'HIV-Pharmaceuticals'!$AG76</f>
        <v>0</v>
      </c>
      <c r="AI76" s="359">
        <f>'HIV-Pharmaceuticals'!$S76+'HIV-Pharmaceuticals'!$Z76+'HIV-Pharmaceuticals'!$AG76</f>
        <v>0</v>
      </c>
      <c r="AJ76" s="763">
        <f>'HIV-Pharmaceuticals'!$T76+'HIV-Pharmaceuticals'!$AA76+'HIV-Pharmaceuticals'!$AH76</f>
        <v>0</v>
      </c>
      <c r="AK76" s="360" t="str">
        <f>IF(A76&lt;&gt;"",IFERROR(INDEX(PMtbl[[WKst]:[Unit of measure*]],MATCH($A$8&amp;$A76&amp;$E76&amp;$I76,INDEX(PMtbl[Sec]&amp;PMtbl[Category]&amp;PMtbl[INN]&amp;PMtbl[Specification],0,),0),7),""),"")</f>
        <v/>
      </c>
      <c r="AL76" s="2051"/>
      <c r="AM76" s="1502" t="str">
        <f>IFERROR(INDEX(SETUP!$C$19:$G$62,MATCH((INDEX(PMtbl[[WKst]:[Unit of measure*]],MATCH($A76&amp;$E76&amp;$I76,INDEX(PMtbl[Category]&amp;PMtbl[INN]&amp;PMtbl[Specification],0,),0),3)),SETUP!$D$19:$D$62,0),5),"")</f>
        <v/>
      </c>
      <c r="AN76" s="1502"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40" ht="15" hidden="1" customHeight="1">
      <c r="A77" s="2330"/>
      <c r="B77" s="2331"/>
      <c r="C77" s="2331"/>
      <c r="D77" s="2331"/>
      <c r="E77" s="2303"/>
      <c r="F77" s="2304"/>
      <c r="G77" s="2304"/>
      <c r="H77" s="2304"/>
      <c r="I77" s="2303"/>
      <c r="J77" s="2304"/>
      <c r="K77" s="2304"/>
      <c r="L77" s="1166" t="str">
        <f>IF($A77&lt;&gt;"",IFERROR(INDEX(PMtbl[[WKst]:[Unit of measure*]],MATCH($A$8&amp;$A77&amp;$E77&amp;$I77,INDEX(PMtbl[Sec]&amp;PMtbl[Category]&amp;PMtbl[INN]&amp;PMtbl[Specification],0,),0),8),""),"")</f>
        <v/>
      </c>
      <c r="M77" s="269" t="str">
        <f>IF(L77="", "",SETUP!$E$5)</f>
        <v/>
      </c>
      <c r="N77" s="772"/>
      <c r="O77" s="370"/>
      <c r="P77" s="370"/>
      <c r="Q77" s="370"/>
      <c r="R77" s="370"/>
      <c r="S77" s="11">
        <f>SUM('HIV-Pharmaceuticals'!$O77:$R77)</f>
        <v>0</v>
      </c>
      <c r="T77" s="781">
        <f>'HIV-Pharmaceuticals'!$N77*'HIV-Pharmaceuticals'!$S77</f>
        <v>0</v>
      </c>
      <c r="U77" s="772"/>
      <c r="V77" s="374"/>
      <c r="W77" s="374"/>
      <c r="X77" s="374"/>
      <c r="Y77" s="374"/>
      <c r="Z77" s="348">
        <f>SUM('HIV-Pharmaceuticals'!$V77:$Y77)</f>
        <v>0</v>
      </c>
      <c r="AA77" s="771">
        <f>'HIV-Pharmaceuticals'!$U77*'HIV-Pharmaceuticals'!$Z77</f>
        <v>0</v>
      </c>
      <c r="AB77" s="772"/>
      <c r="AC77" s="370"/>
      <c r="AD77" s="370"/>
      <c r="AE77" s="370"/>
      <c r="AF77" s="370"/>
      <c r="AG77" s="349">
        <f>SUM('HIV-Pharmaceuticals'!$AC77:$AF77)</f>
        <v>0</v>
      </c>
      <c r="AH77" s="761">
        <f>'HIV-Pharmaceuticals'!$AB77*'HIV-Pharmaceuticals'!$AG77</f>
        <v>0</v>
      </c>
      <c r="AI77" s="350">
        <f>'HIV-Pharmaceuticals'!$S77+'HIV-Pharmaceuticals'!$Z77+'HIV-Pharmaceuticals'!$AG77</f>
        <v>0</v>
      </c>
      <c r="AJ77" s="761">
        <f>'HIV-Pharmaceuticals'!$T77+'HIV-Pharmaceuticals'!$AA77+'HIV-Pharmaceuticals'!$AH77</f>
        <v>0</v>
      </c>
      <c r="AK77" s="361" t="str">
        <f>IF(A77&lt;&gt;"",IFERROR(INDEX(PMtbl[[WKst]:[Unit of measure*]],MATCH($A$8&amp;$A77&amp;$E77&amp;$I77,INDEX(PMtbl[Sec]&amp;PMtbl[Category]&amp;PMtbl[INN]&amp;PMtbl[Specification],0,),0),7),""),"")</f>
        <v/>
      </c>
      <c r="AL77" s="2052"/>
      <c r="AM77" s="1500" t="str">
        <f>IFERROR(INDEX(SETUP!$C$19:$G$62,MATCH((INDEX(PMtbl[[WKst]:[Unit of measure*]],MATCH($A77&amp;$E77&amp;$I77,INDEX(PMtbl[Category]&amp;PMtbl[INN]&amp;PMtbl[Specification],0,),0),3)),SETUP!$D$19:$D$62,0),5),"")</f>
        <v/>
      </c>
      <c r="AN77" s="150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40" ht="15" hidden="1" customHeight="1">
      <c r="A78" s="2336"/>
      <c r="B78" s="2337"/>
      <c r="C78" s="2337"/>
      <c r="D78" s="2337"/>
      <c r="E78" s="2301"/>
      <c r="F78" s="2302"/>
      <c r="G78" s="2302"/>
      <c r="H78" s="2302"/>
      <c r="I78" s="2301"/>
      <c r="J78" s="2302"/>
      <c r="K78" s="2302"/>
      <c r="L78" s="1165" t="str">
        <f>IF($A78&lt;&gt;"",IFERROR(INDEX(PMtbl[[WKst]:[Unit of measure*]],MATCH($A$8&amp;$A78&amp;$E78&amp;$I78,INDEX(PMtbl[Sec]&amp;PMtbl[Category]&amp;PMtbl[INN]&amp;PMtbl[Specification],0,),0),8),""),"")</f>
        <v/>
      </c>
      <c r="M78" s="270" t="str">
        <f>IF(L78="", "",SETUP!$E$5)</f>
        <v/>
      </c>
      <c r="N78" s="776"/>
      <c r="O78" s="372"/>
      <c r="P78" s="372"/>
      <c r="Q78" s="372"/>
      <c r="R78" s="372"/>
      <c r="S78" s="356">
        <f>SUM('HIV-Pharmaceuticals'!$O78:$R78)</f>
        <v>0</v>
      </c>
      <c r="T78" s="783">
        <f>'HIV-Pharmaceuticals'!$N78*'HIV-Pharmaceuticals'!$S78</f>
        <v>0</v>
      </c>
      <c r="U78" s="776"/>
      <c r="V78" s="376"/>
      <c r="W78" s="376"/>
      <c r="X78" s="376"/>
      <c r="Y78" s="376"/>
      <c r="Z78" s="357">
        <f>SUM('HIV-Pharmaceuticals'!$V78:$Y78)</f>
        <v>0</v>
      </c>
      <c r="AA78" s="775">
        <f>'HIV-Pharmaceuticals'!$U78*'HIV-Pharmaceuticals'!$Z78</f>
        <v>0</v>
      </c>
      <c r="AB78" s="776"/>
      <c r="AC78" s="372"/>
      <c r="AD78" s="372"/>
      <c r="AE78" s="372"/>
      <c r="AF78" s="372"/>
      <c r="AG78" s="358">
        <f>SUM('HIV-Pharmaceuticals'!$AC78:$AF78)</f>
        <v>0</v>
      </c>
      <c r="AH78" s="763">
        <f>'HIV-Pharmaceuticals'!$AB78*'HIV-Pharmaceuticals'!$AG78</f>
        <v>0</v>
      </c>
      <c r="AI78" s="359">
        <f>'HIV-Pharmaceuticals'!$S78+'HIV-Pharmaceuticals'!$Z78+'HIV-Pharmaceuticals'!$AG78</f>
        <v>0</v>
      </c>
      <c r="AJ78" s="763">
        <f>'HIV-Pharmaceuticals'!$T78+'HIV-Pharmaceuticals'!$AA78+'HIV-Pharmaceuticals'!$AH78</f>
        <v>0</v>
      </c>
      <c r="AK78" s="360" t="str">
        <f>IF(A78&lt;&gt;"",IFERROR(INDEX(PMtbl[[WKst]:[Unit of measure*]],MATCH($A$8&amp;$A78&amp;$E78&amp;$I78,INDEX(PMtbl[Sec]&amp;PMtbl[Category]&amp;PMtbl[INN]&amp;PMtbl[Specification],0,),0),7),""),"")</f>
        <v/>
      </c>
      <c r="AL78" s="2051"/>
      <c r="AM78" s="1502" t="str">
        <f>IFERROR(INDEX(SETUP!$C$19:$G$62,MATCH((INDEX(PMtbl[[WKst]:[Unit of measure*]],MATCH($A78&amp;$E78&amp;$I78,INDEX(PMtbl[Category]&amp;PMtbl[INN]&amp;PMtbl[Specification],0,),0),3)),SETUP!$D$19:$D$62,0),5),"")</f>
        <v/>
      </c>
      <c r="AN78" s="1502"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40" ht="15" hidden="1" customHeight="1">
      <c r="A79" s="2330"/>
      <c r="B79" s="2331"/>
      <c r="C79" s="2331"/>
      <c r="D79" s="2331"/>
      <c r="E79" s="2303"/>
      <c r="F79" s="2304"/>
      <c r="G79" s="2304"/>
      <c r="H79" s="2304"/>
      <c r="I79" s="2303"/>
      <c r="J79" s="2304"/>
      <c r="K79" s="2304"/>
      <c r="L79" s="1166" t="str">
        <f>IF($A79&lt;&gt;"",IFERROR(INDEX(PMtbl[[WKst]:[Unit of measure*]],MATCH($A$8&amp;$A79&amp;$E79&amp;$I79,INDEX(PMtbl[Sec]&amp;PMtbl[Category]&amp;PMtbl[INN]&amp;PMtbl[Specification],0,),0),8),""),"")</f>
        <v/>
      </c>
      <c r="M79" s="269" t="str">
        <f>IF(L79="", "",SETUP!$E$5)</f>
        <v/>
      </c>
      <c r="N79" s="772"/>
      <c r="O79" s="370"/>
      <c r="P79" s="370"/>
      <c r="Q79" s="370"/>
      <c r="R79" s="370"/>
      <c r="S79" s="11">
        <f>SUM('HIV-Pharmaceuticals'!$O79:$R79)</f>
        <v>0</v>
      </c>
      <c r="T79" s="781">
        <f>'HIV-Pharmaceuticals'!$N79*'HIV-Pharmaceuticals'!$S79</f>
        <v>0</v>
      </c>
      <c r="U79" s="772"/>
      <c r="V79" s="374"/>
      <c r="W79" s="374"/>
      <c r="X79" s="374"/>
      <c r="Y79" s="374"/>
      <c r="Z79" s="348">
        <f>SUM('HIV-Pharmaceuticals'!$V79:$Y79)</f>
        <v>0</v>
      </c>
      <c r="AA79" s="771">
        <f>'HIV-Pharmaceuticals'!$U79*'HIV-Pharmaceuticals'!$Z79</f>
        <v>0</v>
      </c>
      <c r="AB79" s="772"/>
      <c r="AC79" s="370"/>
      <c r="AD79" s="370"/>
      <c r="AE79" s="370"/>
      <c r="AF79" s="370"/>
      <c r="AG79" s="349">
        <f>SUM('HIV-Pharmaceuticals'!$AC79:$AF79)</f>
        <v>0</v>
      </c>
      <c r="AH79" s="761">
        <f>'HIV-Pharmaceuticals'!$AB79*'HIV-Pharmaceuticals'!$AG79</f>
        <v>0</v>
      </c>
      <c r="AI79" s="350">
        <f>'HIV-Pharmaceuticals'!$S79+'HIV-Pharmaceuticals'!$Z79+'HIV-Pharmaceuticals'!$AG79</f>
        <v>0</v>
      </c>
      <c r="AJ79" s="761">
        <f>'HIV-Pharmaceuticals'!$T79+'HIV-Pharmaceuticals'!$AA79+'HIV-Pharmaceuticals'!$AH79</f>
        <v>0</v>
      </c>
      <c r="AK79" s="361" t="str">
        <f>IF(A79&lt;&gt;"",IFERROR(INDEX(PMtbl[[WKst]:[Unit of measure*]],MATCH($A$8&amp;$A79&amp;$E79&amp;$I79,INDEX(PMtbl[Sec]&amp;PMtbl[Category]&amp;PMtbl[INN]&amp;PMtbl[Specification],0,),0),7),""),"")</f>
        <v/>
      </c>
      <c r="AL79" s="2052"/>
      <c r="AM79" s="1500" t="str">
        <f>IFERROR(INDEX(SETUP!$C$19:$G$62,MATCH((INDEX(PMtbl[[WKst]:[Unit of measure*]],MATCH($A79&amp;$E79&amp;$I79,INDEX(PMtbl[Category]&amp;PMtbl[INN]&amp;PMtbl[Specification],0,),0),3)),SETUP!$D$19:$D$62,0),5),"")</f>
        <v/>
      </c>
      <c r="AN79" s="150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40" ht="15" hidden="1" customHeight="1">
      <c r="A80" s="2336"/>
      <c r="B80" s="2337"/>
      <c r="C80" s="2337"/>
      <c r="D80" s="2337"/>
      <c r="E80" s="2301"/>
      <c r="F80" s="2302"/>
      <c r="G80" s="2302"/>
      <c r="H80" s="2302"/>
      <c r="I80" s="2301"/>
      <c r="J80" s="2302"/>
      <c r="K80" s="2302"/>
      <c r="L80" s="1165" t="str">
        <f>IF($A80&lt;&gt;"",IFERROR(INDEX(PMtbl[[WKst]:[Unit of measure*]],MATCH($A$8&amp;$A80&amp;$E80&amp;$I80,INDEX(PMtbl[Sec]&amp;PMtbl[Category]&amp;PMtbl[INN]&amp;PMtbl[Specification],0,),0),8),""),"")</f>
        <v/>
      </c>
      <c r="M80" s="270" t="str">
        <f>IF(L80="", "",SETUP!$E$5)</f>
        <v/>
      </c>
      <c r="N80" s="776"/>
      <c r="O80" s="372"/>
      <c r="P80" s="372"/>
      <c r="Q80" s="372"/>
      <c r="R80" s="372"/>
      <c r="S80" s="356">
        <f>SUM('HIV-Pharmaceuticals'!$O80:$R80)</f>
        <v>0</v>
      </c>
      <c r="T80" s="783">
        <f>'HIV-Pharmaceuticals'!$N80*'HIV-Pharmaceuticals'!$S80</f>
        <v>0</v>
      </c>
      <c r="U80" s="776"/>
      <c r="V80" s="376"/>
      <c r="W80" s="376"/>
      <c r="X80" s="376"/>
      <c r="Y80" s="376"/>
      <c r="Z80" s="357">
        <f>SUM('HIV-Pharmaceuticals'!$V80:$Y80)</f>
        <v>0</v>
      </c>
      <c r="AA80" s="775">
        <f>'HIV-Pharmaceuticals'!$U80*'HIV-Pharmaceuticals'!$Z80</f>
        <v>0</v>
      </c>
      <c r="AB80" s="776"/>
      <c r="AC80" s="372"/>
      <c r="AD80" s="372"/>
      <c r="AE80" s="372"/>
      <c r="AF80" s="372"/>
      <c r="AG80" s="358">
        <f>SUM('HIV-Pharmaceuticals'!$AC80:$AF80)</f>
        <v>0</v>
      </c>
      <c r="AH80" s="763">
        <f>'HIV-Pharmaceuticals'!$AB80*'HIV-Pharmaceuticals'!$AG80</f>
        <v>0</v>
      </c>
      <c r="AI80" s="359">
        <f>'HIV-Pharmaceuticals'!$S80+'HIV-Pharmaceuticals'!$Z80+'HIV-Pharmaceuticals'!$AG80</f>
        <v>0</v>
      </c>
      <c r="AJ80" s="763">
        <f>'HIV-Pharmaceuticals'!$T80+'HIV-Pharmaceuticals'!$AA80+'HIV-Pharmaceuticals'!$AH80</f>
        <v>0</v>
      </c>
      <c r="AK80" s="360" t="str">
        <f>IF(A80&lt;&gt;"",IFERROR(INDEX(PMtbl[[WKst]:[Unit of measure*]],MATCH($A$8&amp;$A80&amp;$E80&amp;$I80,INDEX(PMtbl[Sec]&amp;PMtbl[Category]&amp;PMtbl[INN]&amp;PMtbl[Specification],0,),0),7),""),"")</f>
        <v/>
      </c>
      <c r="AL80" s="2051"/>
      <c r="AM80" s="1502" t="str">
        <f>IFERROR(INDEX(SETUP!$C$19:$G$62,MATCH((INDEX(PMtbl[[WKst]:[Unit of measure*]],MATCH($A80&amp;$E80&amp;$I80,INDEX(PMtbl[Category]&amp;PMtbl[INN]&amp;PMtbl[Specification],0,),0),3)),SETUP!$D$19:$D$62,0),5),"")</f>
        <v/>
      </c>
      <c r="AN80" s="1502"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40" ht="15" hidden="1" customHeight="1">
      <c r="A81" s="2330"/>
      <c r="B81" s="2331"/>
      <c r="C81" s="2331"/>
      <c r="D81" s="2331"/>
      <c r="E81" s="2303"/>
      <c r="F81" s="2304"/>
      <c r="G81" s="2304"/>
      <c r="H81" s="2304"/>
      <c r="I81" s="2303"/>
      <c r="J81" s="2304"/>
      <c r="K81" s="2304"/>
      <c r="L81" s="1166" t="str">
        <f>IF($A81&lt;&gt;"",IFERROR(INDEX(PMtbl[[WKst]:[Unit of measure*]],MATCH($A$8&amp;$A81&amp;$E81&amp;$I81,INDEX(PMtbl[Sec]&amp;PMtbl[Category]&amp;PMtbl[INN]&amp;PMtbl[Specification],0,),0),8),""),"")</f>
        <v/>
      </c>
      <c r="M81" s="269" t="str">
        <f>IF(L81="", "",SETUP!$E$5)</f>
        <v/>
      </c>
      <c r="N81" s="772"/>
      <c r="O81" s="370"/>
      <c r="P81" s="370"/>
      <c r="Q81" s="370"/>
      <c r="R81" s="370"/>
      <c r="S81" s="11">
        <f>SUM('HIV-Pharmaceuticals'!$O81:$R81)</f>
        <v>0</v>
      </c>
      <c r="T81" s="781">
        <f>'HIV-Pharmaceuticals'!$N81*'HIV-Pharmaceuticals'!$S81</f>
        <v>0</v>
      </c>
      <c r="U81" s="772"/>
      <c r="V81" s="374"/>
      <c r="W81" s="374"/>
      <c r="X81" s="374"/>
      <c r="Y81" s="374"/>
      <c r="Z81" s="348">
        <f>SUM('HIV-Pharmaceuticals'!$V81:$Y81)</f>
        <v>0</v>
      </c>
      <c r="AA81" s="771">
        <f>'HIV-Pharmaceuticals'!$U81*'HIV-Pharmaceuticals'!$Z81</f>
        <v>0</v>
      </c>
      <c r="AB81" s="772"/>
      <c r="AC81" s="370"/>
      <c r="AD81" s="370"/>
      <c r="AE81" s="370"/>
      <c r="AF81" s="370"/>
      <c r="AG81" s="349">
        <f>SUM('HIV-Pharmaceuticals'!$AC81:$AF81)</f>
        <v>0</v>
      </c>
      <c r="AH81" s="761">
        <f>'HIV-Pharmaceuticals'!$AB81*'HIV-Pharmaceuticals'!$AG81</f>
        <v>0</v>
      </c>
      <c r="AI81" s="350">
        <f>'HIV-Pharmaceuticals'!$S81+'HIV-Pharmaceuticals'!$Z81+'HIV-Pharmaceuticals'!$AG81</f>
        <v>0</v>
      </c>
      <c r="AJ81" s="761">
        <f>'HIV-Pharmaceuticals'!$T81+'HIV-Pharmaceuticals'!$AA81+'HIV-Pharmaceuticals'!$AH81</f>
        <v>0</v>
      </c>
      <c r="AK81" s="361" t="str">
        <f>IF(A81&lt;&gt;"",IFERROR(INDEX(PMtbl[[WKst]:[Unit of measure*]],MATCH($A$8&amp;$A81&amp;$E81&amp;$I81,INDEX(PMtbl[Sec]&amp;PMtbl[Category]&amp;PMtbl[INN]&amp;PMtbl[Specification],0,),0),7),""),"")</f>
        <v/>
      </c>
      <c r="AL81" s="2052"/>
      <c r="AM81" s="1500" t="str">
        <f>IFERROR(INDEX(SETUP!$C$19:$G$62,MATCH((INDEX(PMtbl[[WKst]:[Unit of measure*]],MATCH($A81&amp;$E81&amp;$I81,INDEX(PMtbl[Category]&amp;PMtbl[INN]&amp;PMtbl[Specification],0,),0),3)),SETUP!$D$19:$D$62,0),5),"")</f>
        <v/>
      </c>
      <c r="AN81" s="150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40" ht="15" hidden="1" customHeight="1">
      <c r="A82" s="2336"/>
      <c r="B82" s="2337"/>
      <c r="C82" s="2337"/>
      <c r="D82" s="2337"/>
      <c r="E82" s="2301"/>
      <c r="F82" s="2302"/>
      <c r="G82" s="2302"/>
      <c r="H82" s="2302"/>
      <c r="I82" s="2301"/>
      <c r="J82" s="2302"/>
      <c r="K82" s="2302"/>
      <c r="L82" s="1165" t="str">
        <f>IF($A82&lt;&gt;"",IFERROR(INDEX(PMtbl[[WKst]:[Unit of measure*]],MATCH($A$8&amp;$A82&amp;$E82&amp;$I82,INDEX(PMtbl[Sec]&amp;PMtbl[Category]&amp;PMtbl[INN]&amp;PMtbl[Specification],0,),0),8),""),"")</f>
        <v/>
      </c>
      <c r="M82" s="270" t="str">
        <f>IF(L82="", "",SETUP!$E$5)</f>
        <v/>
      </c>
      <c r="N82" s="776"/>
      <c r="O82" s="372"/>
      <c r="P82" s="372"/>
      <c r="Q82" s="372"/>
      <c r="R82" s="372"/>
      <c r="S82" s="356">
        <f>SUM('HIV-Pharmaceuticals'!$O82:$R82)</f>
        <v>0</v>
      </c>
      <c r="T82" s="783">
        <f>'HIV-Pharmaceuticals'!$N82*'HIV-Pharmaceuticals'!$S82</f>
        <v>0</v>
      </c>
      <c r="U82" s="776"/>
      <c r="V82" s="376"/>
      <c r="W82" s="376"/>
      <c r="X82" s="376"/>
      <c r="Y82" s="376"/>
      <c r="Z82" s="357">
        <f>SUM('HIV-Pharmaceuticals'!$V82:$Y82)</f>
        <v>0</v>
      </c>
      <c r="AA82" s="775">
        <f>'HIV-Pharmaceuticals'!$U82*'HIV-Pharmaceuticals'!$Z82</f>
        <v>0</v>
      </c>
      <c r="AB82" s="776"/>
      <c r="AC82" s="372"/>
      <c r="AD82" s="372"/>
      <c r="AE82" s="372"/>
      <c r="AF82" s="372"/>
      <c r="AG82" s="358">
        <f>SUM('HIV-Pharmaceuticals'!$AC82:$AF82)</f>
        <v>0</v>
      </c>
      <c r="AH82" s="763">
        <f>'HIV-Pharmaceuticals'!$AB82*'HIV-Pharmaceuticals'!$AG82</f>
        <v>0</v>
      </c>
      <c r="AI82" s="359">
        <f>'HIV-Pharmaceuticals'!$S82+'HIV-Pharmaceuticals'!$Z82+'HIV-Pharmaceuticals'!$AG82</f>
        <v>0</v>
      </c>
      <c r="AJ82" s="763">
        <f>'HIV-Pharmaceuticals'!$T82+'HIV-Pharmaceuticals'!$AA82+'HIV-Pharmaceuticals'!$AH82</f>
        <v>0</v>
      </c>
      <c r="AK82" s="360" t="str">
        <f>IF(A82&lt;&gt;"",IFERROR(INDEX(PMtbl[[WKst]:[Unit of measure*]],MATCH($A$8&amp;$A82&amp;$E82&amp;$I82,INDEX(PMtbl[Sec]&amp;PMtbl[Category]&amp;PMtbl[INN]&amp;PMtbl[Specification],0,),0),7),""),"")</f>
        <v/>
      </c>
      <c r="AL82" s="2051"/>
      <c r="AM82" s="1502" t="str">
        <f>IFERROR(INDEX(SETUP!$C$19:$G$62,MATCH((INDEX(PMtbl[[WKst]:[Unit of measure*]],MATCH($A82&amp;$E82&amp;$I82,INDEX(PMtbl[Category]&amp;PMtbl[INN]&amp;PMtbl[Specification],0,),0),3)),SETUP!$D$19:$D$62,0),5),"")</f>
        <v/>
      </c>
      <c r="AN82" s="1502"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40" ht="15" hidden="1" customHeight="1">
      <c r="A83" s="2330"/>
      <c r="B83" s="2331"/>
      <c r="C83" s="2331"/>
      <c r="D83" s="2331"/>
      <c r="E83" s="2303"/>
      <c r="F83" s="2304"/>
      <c r="G83" s="2304"/>
      <c r="H83" s="2304"/>
      <c r="I83" s="2303"/>
      <c r="J83" s="2304"/>
      <c r="K83" s="2304"/>
      <c r="L83" s="1166" t="str">
        <f>IF($A83&lt;&gt;"",IFERROR(INDEX(PMtbl[[WKst]:[Unit of measure*]],MATCH($A$8&amp;$A83&amp;$E83&amp;$I83,INDEX(PMtbl[Sec]&amp;PMtbl[Category]&amp;PMtbl[INN]&amp;PMtbl[Specification],0,),0),8),""),"")</f>
        <v/>
      </c>
      <c r="M83" s="269" t="str">
        <f>IF(L83="", "",SETUP!$E$5)</f>
        <v/>
      </c>
      <c r="N83" s="772"/>
      <c r="O83" s="370"/>
      <c r="P83" s="370"/>
      <c r="Q83" s="370"/>
      <c r="R83" s="370"/>
      <c r="S83" s="11">
        <f>SUM('HIV-Pharmaceuticals'!$O83:$R83)</f>
        <v>0</v>
      </c>
      <c r="T83" s="781">
        <f>'HIV-Pharmaceuticals'!$N83*'HIV-Pharmaceuticals'!$S83</f>
        <v>0</v>
      </c>
      <c r="U83" s="772"/>
      <c r="V83" s="374"/>
      <c r="W83" s="374"/>
      <c r="X83" s="374"/>
      <c r="Y83" s="374"/>
      <c r="Z83" s="348">
        <f>SUM('HIV-Pharmaceuticals'!$V83:$Y83)</f>
        <v>0</v>
      </c>
      <c r="AA83" s="771">
        <f>'HIV-Pharmaceuticals'!$U83*'HIV-Pharmaceuticals'!$Z83</f>
        <v>0</v>
      </c>
      <c r="AB83" s="772"/>
      <c r="AC83" s="370"/>
      <c r="AD83" s="370"/>
      <c r="AE83" s="370"/>
      <c r="AF83" s="370"/>
      <c r="AG83" s="349">
        <f>SUM('HIV-Pharmaceuticals'!$AC83:$AF83)</f>
        <v>0</v>
      </c>
      <c r="AH83" s="761">
        <f>'HIV-Pharmaceuticals'!$AB83*'HIV-Pharmaceuticals'!$AG83</f>
        <v>0</v>
      </c>
      <c r="AI83" s="350">
        <f>'HIV-Pharmaceuticals'!$S83+'HIV-Pharmaceuticals'!$Z83+'HIV-Pharmaceuticals'!$AG83</f>
        <v>0</v>
      </c>
      <c r="AJ83" s="761">
        <f>'HIV-Pharmaceuticals'!$T83+'HIV-Pharmaceuticals'!$AA83+'HIV-Pharmaceuticals'!$AH83</f>
        <v>0</v>
      </c>
      <c r="AK83" s="361" t="str">
        <f>IF(A83&lt;&gt;"",IFERROR(INDEX(PMtbl[[WKst]:[Unit of measure*]],MATCH($A$8&amp;$A83&amp;$E83&amp;$I83,INDEX(PMtbl[Sec]&amp;PMtbl[Category]&amp;PMtbl[INN]&amp;PMtbl[Specification],0,),0),7),""),"")</f>
        <v/>
      </c>
      <c r="AL83" s="2052"/>
      <c r="AM83" s="1500" t="str">
        <f>IFERROR(INDEX(SETUP!$C$19:$G$62,MATCH((INDEX(PMtbl[[WKst]:[Unit of measure*]],MATCH($A83&amp;$E83&amp;$I83,INDEX(PMtbl[Category]&amp;PMtbl[INN]&amp;PMtbl[Specification],0,),0),3)),SETUP!$D$19:$D$62,0),5),"")</f>
        <v/>
      </c>
      <c r="AN83" s="1500"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40" ht="15" hidden="1" customHeight="1">
      <c r="A84" s="2336"/>
      <c r="B84" s="2337"/>
      <c r="C84" s="2337"/>
      <c r="D84" s="2337"/>
      <c r="E84" s="2301"/>
      <c r="F84" s="2302"/>
      <c r="G84" s="2302"/>
      <c r="H84" s="2302"/>
      <c r="I84" s="2301"/>
      <c r="J84" s="2302"/>
      <c r="K84" s="2302"/>
      <c r="L84" s="1165" t="str">
        <f>IF($A84&lt;&gt;"",IFERROR(INDEX(PMtbl[[WKst]:[Unit of measure*]],MATCH($A$8&amp;$A84&amp;$E84&amp;$I84,INDEX(PMtbl[Sec]&amp;PMtbl[Category]&amp;PMtbl[INN]&amp;PMtbl[Specification],0,),0),8),""),"")</f>
        <v/>
      </c>
      <c r="M84" s="270" t="str">
        <f>IF(L84="", "",SETUP!$E$5)</f>
        <v/>
      </c>
      <c r="N84" s="776"/>
      <c r="O84" s="372"/>
      <c r="P84" s="372"/>
      <c r="Q84" s="372"/>
      <c r="R84" s="372"/>
      <c r="S84" s="356">
        <f>SUM('HIV-Pharmaceuticals'!$O84:$R84)</f>
        <v>0</v>
      </c>
      <c r="T84" s="783">
        <f>'HIV-Pharmaceuticals'!$N84*'HIV-Pharmaceuticals'!$S84</f>
        <v>0</v>
      </c>
      <c r="U84" s="776"/>
      <c r="V84" s="376"/>
      <c r="W84" s="376"/>
      <c r="X84" s="376"/>
      <c r="Y84" s="376"/>
      <c r="Z84" s="357">
        <f>SUM('HIV-Pharmaceuticals'!$V84:$Y84)</f>
        <v>0</v>
      </c>
      <c r="AA84" s="775">
        <f>'HIV-Pharmaceuticals'!$U84*'HIV-Pharmaceuticals'!$Z84</f>
        <v>0</v>
      </c>
      <c r="AB84" s="776"/>
      <c r="AC84" s="372"/>
      <c r="AD84" s="372"/>
      <c r="AE84" s="372"/>
      <c r="AF84" s="372"/>
      <c r="AG84" s="358">
        <f>SUM('HIV-Pharmaceuticals'!$AC84:$AF84)</f>
        <v>0</v>
      </c>
      <c r="AH84" s="763">
        <f>'HIV-Pharmaceuticals'!$AB84*'HIV-Pharmaceuticals'!$AG84</f>
        <v>0</v>
      </c>
      <c r="AI84" s="359">
        <f>'HIV-Pharmaceuticals'!$S84+'HIV-Pharmaceuticals'!$Z84+'HIV-Pharmaceuticals'!$AG84</f>
        <v>0</v>
      </c>
      <c r="AJ84" s="763">
        <f>'HIV-Pharmaceuticals'!$T84+'HIV-Pharmaceuticals'!$AA84+'HIV-Pharmaceuticals'!$AH84</f>
        <v>0</v>
      </c>
      <c r="AK84" s="360" t="str">
        <f>IF(A84&lt;&gt;"",IFERROR(INDEX(PMtbl[[WKst]:[Unit of measure*]],MATCH($A$8&amp;$A84&amp;$E84&amp;$I84,INDEX(PMtbl[Sec]&amp;PMtbl[Category]&amp;PMtbl[INN]&amp;PMtbl[Specification],0,),0),7),""),"")</f>
        <v/>
      </c>
      <c r="AL84" s="2051"/>
      <c r="AM84" s="1502" t="str">
        <f>IFERROR(INDEX(SETUP!$C$19:$G$62,MATCH((INDEX(PMtbl[[WKst]:[Unit of measure*]],MATCH($A84&amp;$E84&amp;$I84,INDEX(PMtbl[Category]&amp;PMtbl[INN]&amp;PMtbl[Specification],0,),0),3)),SETUP!$D$19:$D$62,0),5),"")</f>
        <v/>
      </c>
      <c r="AN84" s="1502"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40" ht="15" hidden="1" customHeight="1">
      <c r="A85" s="2330"/>
      <c r="B85" s="2331"/>
      <c r="C85" s="2331"/>
      <c r="D85" s="2331"/>
      <c r="E85" s="2303"/>
      <c r="F85" s="2304"/>
      <c r="G85" s="2304"/>
      <c r="H85" s="2304"/>
      <c r="I85" s="2303"/>
      <c r="J85" s="2304"/>
      <c r="K85" s="2304"/>
      <c r="L85" s="1166" t="str">
        <f>IF($A85&lt;&gt;"",IFERROR(INDEX(PMtbl[[WKst]:[Unit of measure*]],MATCH($A$8&amp;$A85&amp;$E85&amp;$I85,INDEX(PMtbl[Sec]&amp;PMtbl[Category]&amp;PMtbl[INN]&amp;PMtbl[Specification],0,),0),8),""),"")</f>
        <v/>
      </c>
      <c r="M85" s="269" t="str">
        <f>IF(L85="", "",SETUP!$E$5)</f>
        <v/>
      </c>
      <c r="N85" s="772"/>
      <c r="O85" s="370"/>
      <c r="P85" s="370"/>
      <c r="Q85" s="370"/>
      <c r="R85" s="370"/>
      <c r="S85" s="11">
        <f>SUM('HIV-Pharmaceuticals'!$O85:$R85)</f>
        <v>0</v>
      </c>
      <c r="T85" s="781">
        <f>'HIV-Pharmaceuticals'!$N85*'HIV-Pharmaceuticals'!$S85</f>
        <v>0</v>
      </c>
      <c r="U85" s="772"/>
      <c r="V85" s="374"/>
      <c r="W85" s="374"/>
      <c r="X85" s="374"/>
      <c r="Y85" s="374"/>
      <c r="Z85" s="348">
        <f>SUM('HIV-Pharmaceuticals'!$V85:$Y85)</f>
        <v>0</v>
      </c>
      <c r="AA85" s="771">
        <f>'HIV-Pharmaceuticals'!$U85*'HIV-Pharmaceuticals'!$Z85</f>
        <v>0</v>
      </c>
      <c r="AB85" s="772"/>
      <c r="AC85" s="370"/>
      <c r="AD85" s="370"/>
      <c r="AE85" s="370"/>
      <c r="AF85" s="370"/>
      <c r="AG85" s="349">
        <f>SUM('HIV-Pharmaceuticals'!$AC85:$AF85)</f>
        <v>0</v>
      </c>
      <c r="AH85" s="761">
        <f>'HIV-Pharmaceuticals'!$AB85*'HIV-Pharmaceuticals'!$AG85</f>
        <v>0</v>
      </c>
      <c r="AI85" s="350">
        <f>'HIV-Pharmaceuticals'!$S85+'HIV-Pharmaceuticals'!$Z85+'HIV-Pharmaceuticals'!$AG85</f>
        <v>0</v>
      </c>
      <c r="AJ85" s="761">
        <f>'HIV-Pharmaceuticals'!$T85+'HIV-Pharmaceuticals'!$AA85+'HIV-Pharmaceuticals'!$AH85</f>
        <v>0</v>
      </c>
      <c r="AK85" s="361" t="str">
        <f>IF(A85&lt;&gt;"",IFERROR(INDEX(PMtbl[[WKst]:[Unit of measure*]],MATCH($A$8&amp;$A85&amp;$E85&amp;$I85,INDEX(PMtbl[Sec]&amp;PMtbl[Category]&amp;PMtbl[INN]&amp;PMtbl[Specification],0,),0),7),""),"")</f>
        <v/>
      </c>
      <c r="AL85" s="2052"/>
      <c r="AM85" s="1500" t="str">
        <f>IFERROR(INDEX(SETUP!$C$19:$G$62,MATCH((INDEX(PMtbl[[WKst]:[Unit of measure*]],MATCH($A85&amp;$E85&amp;$I85,INDEX(PMtbl[Category]&amp;PMtbl[INN]&amp;PMtbl[Specification],0,),0),3)),SETUP!$D$19:$D$62,0),5),"")</f>
        <v/>
      </c>
      <c r="AN85" s="1500"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40" ht="15" hidden="1" customHeight="1">
      <c r="A86" s="2336"/>
      <c r="B86" s="2337"/>
      <c r="C86" s="2337"/>
      <c r="D86" s="2337"/>
      <c r="E86" s="2301"/>
      <c r="F86" s="2302"/>
      <c r="G86" s="2302"/>
      <c r="H86" s="2302"/>
      <c r="I86" s="2301"/>
      <c r="J86" s="2302"/>
      <c r="K86" s="2302"/>
      <c r="L86" s="1165" t="str">
        <f>IF($A86&lt;&gt;"",IFERROR(INDEX(PMtbl[[WKst]:[Unit of measure*]],MATCH($A$8&amp;$A86&amp;$E86&amp;$I86,INDEX(PMtbl[Sec]&amp;PMtbl[Category]&amp;PMtbl[INN]&amp;PMtbl[Specification],0,),0),8),""),"")</f>
        <v/>
      </c>
      <c r="M86" s="270" t="str">
        <f>IF(L86="", "",SETUP!$E$5)</f>
        <v/>
      </c>
      <c r="N86" s="776"/>
      <c r="O86" s="372"/>
      <c r="P86" s="372"/>
      <c r="Q86" s="372"/>
      <c r="R86" s="372"/>
      <c r="S86" s="356">
        <f>SUM('HIV-Pharmaceuticals'!$O86:$R86)</f>
        <v>0</v>
      </c>
      <c r="T86" s="783">
        <f>'HIV-Pharmaceuticals'!$N86*'HIV-Pharmaceuticals'!$S86</f>
        <v>0</v>
      </c>
      <c r="U86" s="776"/>
      <c r="V86" s="376"/>
      <c r="W86" s="376"/>
      <c r="X86" s="376"/>
      <c r="Y86" s="376"/>
      <c r="Z86" s="357">
        <f>SUM('HIV-Pharmaceuticals'!$V86:$Y86)</f>
        <v>0</v>
      </c>
      <c r="AA86" s="775">
        <f>'HIV-Pharmaceuticals'!$U86*'HIV-Pharmaceuticals'!$Z86</f>
        <v>0</v>
      </c>
      <c r="AB86" s="776"/>
      <c r="AC86" s="372"/>
      <c r="AD86" s="372"/>
      <c r="AE86" s="372"/>
      <c r="AF86" s="372"/>
      <c r="AG86" s="358">
        <f>SUM('HIV-Pharmaceuticals'!$AC86:$AF86)</f>
        <v>0</v>
      </c>
      <c r="AH86" s="763">
        <f>'HIV-Pharmaceuticals'!$AB86*'HIV-Pharmaceuticals'!$AG86</f>
        <v>0</v>
      </c>
      <c r="AI86" s="359">
        <f>'HIV-Pharmaceuticals'!$S86+'HIV-Pharmaceuticals'!$Z86+'HIV-Pharmaceuticals'!$AG86</f>
        <v>0</v>
      </c>
      <c r="AJ86" s="763">
        <f>'HIV-Pharmaceuticals'!$T86+'HIV-Pharmaceuticals'!$AA86+'HIV-Pharmaceuticals'!$AH86</f>
        <v>0</v>
      </c>
      <c r="AK86" s="360" t="str">
        <f>IF(A86&lt;&gt;"",IFERROR(INDEX(PMtbl[[WKst]:[Unit of measure*]],MATCH($A$8&amp;$A86&amp;$E86&amp;$I86,INDEX(PMtbl[Sec]&amp;PMtbl[Category]&amp;PMtbl[INN]&amp;PMtbl[Specification],0,),0),7),""),"")</f>
        <v/>
      </c>
      <c r="AL86" s="2051"/>
      <c r="AM86" s="1502" t="str">
        <f>IFERROR(INDEX(SETUP!$C$19:$G$62,MATCH((INDEX(PMtbl[[WKst]:[Unit of measure*]],MATCH($A86&amp;$E86&amp;$I86,INDEX(PMtbl[Category]&amp;PMtbl[INN]&amp;PMtbl[Specification],0,),0),3)),SETUP!$D$19:$D$62,0),5),"")</f>
        <v/>
      </c>
      <c r="AN86" s="1502"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row>
    <row r="87" spans="1:40" ht="15" hidden="1" customHeight="1">
      <c r="A87" s="2330"/>
      <c r="B87" s="2331"/>
      <c r="C87" s="2331"/>
      <c r="D87" s="2331"/>
      <c r="E87" s="2303"/>
      <c r="F87" s="2304"/>
      <c r="G87" s="2304"/>
      <c r="H87" s="2304"/>
      <c r="I87" s="2303"/>
      <c r="J87" s="2304"/>
      <c r="K87" s="2304"/>
      <c r="L87" s="1166" t="str">
        <f>IF($A87&lt;&gt;"",IFERROR(INDEX(PMtbl[[WKst]:[Unit of measure*]],MATCH($A$8&amp;$A87&amp;$E87&amp;$I87,INDEX(PMtbl[Sec]&amp;PMtbl[Category]&amp;PMtbl[INN]&amp;PMtbl[Specification],0,),0),8),""),"")</f>
        <v/>
      </c>
      <c r="M87" s="269" t="str">
        <f>IF(L87="", "",SETUP!$E$5)</f>
        <v/>
      </c>
      <c r="N87" s="772"/>
      <c r="O87" s="370"/>
      <c r="P87" s="370"/>
      <c r="Q87" s="370"/>
      <c r="R87" s="370"/>
      <c r="S87" s="11">
        <f>SUM('HIV-Pharmaceuticals'!$O87:$R87)</f>
        <v>0</v>
      </c>
      <c r="T87" s="781">
        <f>'HIV-Pharmaceuticals'!$N87*'HIV-Pharmaceuticals'!$S87</f>
        <v>0</v>
      </c>
      <c r="U87" s="772"/>
      <c r="V87" s="374"/>
      <c r="W87" s="374"/>
      <c r="X87" s="374"/>
      <c r="Y87" s="374"/>
      <c r="Z87" s="348">
        <f>SUM('HIV-Pharmaceuticals'!$V87:$Y87)</f>
        <v>0</v>
      </c>
      <c r="AA87" s="771">
        <f>'HIV-Pharmaceuticals'!$U87*'HIV-Pharmaceuticals'!$Z87</f>
        <v>0</v>
      </c>
      <c r="AB87" s="772"/>
      <c r="AC87" s="370"/>
      <c r="AD87" s="370"/>
      <c r="AE87" s="370"/>
      <c r="AF87" s="370"/>
      <c r="AG87" s="349">
        <f>SUM('HIV-Pharmaceuticals'!$AC87:$AF87)</f>
        <v>0</v>
      </c>
      <c r="AH87" s="761">
        <f>'HIV-Pharmaceuticals'!$AB87*'HIV-Pharmaceuticals'!$AG87</f>
        <v>0</v>
      </c>
      <c r="AI87" s="350">
        <f>'HIV-Pharmaceuticals'!$S87+'HIV-Pharmaceuticals'!$Z87+'HIV-Pharmaceuticals'!$AG87</f>
        <v>0</v>
      </c>
      <c r="AJ87" s="761">
        <f>'HIV-Pharmaceuticals'!$T87+'HIV-Pharmaceuticals'!$AA87+'HIV-Pharmaceuticals'!$AH87</f>
        <v>0</v>
      </c>
      <c r="AK87" s="361" t="str">
        <f>IF(A87&lt;&gt;"",IFERROR(INDEX(PMtbl[[WKst]:[Unit of measure*]],MATCH($A$8&amp;$A87&amp;$E87&amp;$I87,INDEX(PMtbl[Sec]&amp;PMtbl[Category]&amp;PMtbl[INN]&amp;PMtbl[Specification],0,),0),7),""),"")</f>
        <v/>
      </c>
      <c r="AL87" s="2052"/>
      <c r="AM87" s="1500" t="str">
        <f>IFERROR(INDEX(SETUP!$C$19:$G$62,MATCH((INDEX(PMtbl[[WKst]:[Unit of measure*]],MATCH($A87&amp;$E87&amp;$I87,INDEX(PMtbl[Category]&amp;PMtbl[INN]&amp;PMtbl[Specification],0,),0),3)),SETUP!$D$19:$D$62,0),5),"")</f>
        <v/>
      </c>
      <c r="AN87" s="1500"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row r="88" spans="1:40" ht="15" hidden="1" customHeight="1">
      <c r="A88" s="2336"/>
      <c r="B88" s="2337"/>
      <c r="C88" s="2337"/>
      <c r="D88" s="2337"/>
      <c r="E88" s="2301"/>
      <c r="F88" s="2302"/>
      <c r="G88" s="2302"/>
      <c r="H88" s="2302"/>
      <c r="I88" s="2301"/>
      <c r="J88" s="2302"/>
      <c r="K88" s="2302"/>
      <c r="L88" s="1165" t="str">
        <f>IF($A88&lt;&gt;"",IFERROR(INDEX(PMtbl[[WKst]:[Unit of measure*]],MATCH($A$8&amp;$A88&amp;$E88&amp;$I88,INDEX(PMtbl[Sec]&amp;PMtbl[Category]&amp;PMtbl[INN]&amp;PMtbl[Specification],0,),0),8),""),"")</f>
        <v/>
      </c>
      <c r="M88" s="270" t="str">
        <f>IF(L88="", "",SETUP!$E$5)</f>
        <v/>
      </c>
      <c r="N88" s="776"/>
      <c r="O88" s="372"/>
      <c r="P88" s="372"/>
      <c r="Q88" s="372"/>
      <c r="R88" s="372"/>
      <c r="S88" s="356">
        <f>SUM('HIV-Pharmaceuticals'!$O88:$R88)</f>
        <v>0</v>
      </c>
      <c r="T88" s="783">
        <f>'HIV-Pharmaceuticals'!$N88*'HIV-Pharmaceuticals'!$S88</f>
        <v>0</v>
      </c>
      <c r="U88" s="776"/>
      <c r="V88" s="376"/>
      <c r="W88" s="376"/>
      <c r="X88" s="376"/>
      <c r="Y88" s="376"/>
      <c r="Z88" s="357">
        <f>SUM('HIV-Pharmaceuticals'!$V88:$Y88)</f>
        <v>0</v>
      </c>
      <c r="AA88" s="775">
        <f>'HIV-Pharmaceuticals'!$U88*'HIV-Pharmaceuticals'!$Z88</f>
        <v>0</v>
      </c>
      <c r="AB88" s="776"/>
      <c r="AC88" s="372"/>
      <c r="AD88" s="372"/>
      <c r="AE88" s="372"/>
      <c r="AF88" s="372"/>
      <c r="AG88" s="358">
        <f>SUM('HIV-Pharmaceuticals'!$AC88:$AF88)</f>
        <v>0</v>
      </c>
      <c r="AH88" s="763">
        <f>'HIV-Pharmaceuticals'!$AB88*'HIV-Pharmaceuticals'!$AG88</f>
        <v>0</v>
      </c>
      <c r="AI88" s="359">
        <f>'HIV-Pharmaceuticals'!$S88+'HIV-Pharmaceuticals'!$Z88+'HIV-Pharmaceuticals'!$AG88</f>
        <v>0</v>
      </c>
      <c r="AJ88" s="763">
        <f>'HIV-Pharmaceuticals'!$T88+'HIV-Pharmaceuticals'!$AA88+'HIV-Pharmaceuticals'!$AH88</f>
        <v>0</v>
      </c>
      <c r="AK88" s="360" t="str">
        <f>IF(A88&lt;&gt;"",IFERROR(INDEX(PMtbl[[WKst]:[Unit of measure*]],MATCH($A$8&amp;$A88&amp;$E88&amp;$I88,INDEX(PMtbl[Sec]&amp;PMtbl[Category]&amp;PMtbl[INN]&amp;PMtbl[Specification],0,),0),7),""),"")</f>
        <v/>
      </c>
      <c r="AL88" s="2051"/>
      <c r="AM88" s="1502" t="str">
        <f>IFERROR(INDEX(SETUP!$C$19:$G$62,MATCH((INDEX(PMtbl[[WKst]:[Unit of measure*]],MATCH($A88&amp;$E88&amp;$I88,INDEX(PMtbl[Category]&amp;PMtbl[INN]&amp;PMtbl[Specification],0,),0),3)),SETUP!$D$19:$D$62,0),5),"")</f>
        <v/>
      </c>
      <c r="AN88" s="1502" t="str">
        <f>IFERROR(IF((INDEX(SETUP!$C$19:$G$62,MATCH((INDEX(PMtbl[[WKst]:[Unit of measure*]],MATCH($A88&amp;$E88&amp;$I88,INDEX(PMtbl[Category]&amp;PMtbl[INN]&amp;PMtbl[Specification],0,),0),3)),SETUP!$D$19:$D$62,0),4))="Upfront",0,INDEX(SETUP!$C$19:$G$62,MATCH((INDEX(PMtbl[[WKst]:[Unit of measure*]],MATCH($A88&amp;$E88&amp;$I88,INDEX(PMtbl[Category]&amp;PMtbl[INN]&amp;PMtbl[Specification],0,),0),3)),SETUP!$D$19:$D$62,0),5)),"")</f>
        <v/>
      </c>
    </row>
    <row r="89" spans="1:40" ht="15" hidden="1" customHeight="1">
      <c r="A89" s="2330"/>
      <c r="B89" s="2331"/>
      <c r="C89" s="2331"/>
      <c r="D89" s="2331"/>
      <c r="E89" s="2303"/>
      <c r="F89" s="2304"/>
      <c r="G89" s="2304"/>
      <c r="H89" s="2304"/>
      <c r="I89" s="2303"/>
      <c r="J89" s="2304"/>
      <c r="K89" s="2304"/>
      <c r="L89" s="1166" t="str">
        <f>IF($A89&lt;&gt;"",IFERROR(INDEX(PMtbl[[WKst]:[Unit of measure*]],MATCH($A$8&amp;$A89&amp;$E89&amp;$I89,INDEX(PMtbl[Sec]&amp;PMtbl[Category]&amp;PMtbl[INN]&amp;PMtbl[Specification],0,),0),8),""),"")</f>
        <v/>
      </c>
      <c r="M89" s="269" t="str">
        <f>IF(L89="", "",SETUP!$E$5)</f>
        <v/>
      </c>
      <c r="N89" s="772"/>
      <c r="O89" s="370"/>
      <c r="P89" s="370"/>
      <c r="Q89" s="370"/>
      <c r="R89" s="370"/>
      <c r="S89" s="11">
        <f>SUM('HIV-Pharmaceuticals'!$O89:$R89)</f>
        <v>0</v>
      </c>
      <c r="T89" s="781">
        <f>'HIV-Pharmaceuticals'!$N89*'HIV-Pharmaceuticals'!$S89</f>
        <v>0</v>
      </c>
      <c r="U89" s="772"/>
      <c r="V89" s="374"/>
      <c r="W89" s="374"/>
      <c r="X89" s="374"/>
      <c r="Y89" s="374"/>
      <c r="Z89" s="348">
        <f>SUM('HIV-Pharmaceuticals'!$V89:$Y89)</f>
        <v>0</v>
      </c>
      <c r="AA89" s="771">
        <f>'HIV-Pharmaceuticals'!$U89*'HIV-Pharmaceuticals'!$Z89</f>
        <v>0</v>
      </c>
      <c r="AB89" s="772"/>
      <c r="AC89" s="370"/>
      <c r="AD89" s="370"/>
      <c r="AE89" s="370"/>
      <c r="AF89" s="370"/>
      <c r="AG89" s="349">
        <f>SUM('HIV-Pharmaceuticals'!$AC89:$AF89)</f>
        <v>0</v>
      </c>
      <c r="AH89" s="761">
        <f>'HIV-Pharmaceuticals'!$AB89*'HIV-Pharmaceuticals'!$AG89</f>
        <v>0</v>
      </c>
      <c r="AI89" s="350">
        <f>'HIV-Pharmaceuticals'!$S89+'HIV-Pharmaceuticals'!$Z89+'HIV-Pharmaceuticals'!$AG89</f>
        <v>0</v>
      </c>
      <c r="AJ89" s="761">
        <f>'HIV-Pharmaceuticals'!$T89+'HIV-Pharmaceuticals'!$AA89+'HIV-Pharmaceuticals'!$AH89</f>
        <v>0</v>
      </c>
      <c r="AK89" s="361" t="str">
        <f>IF(A89&lt;&gt;"",IFERROR(INDEX(PMtbl[[WKst]:[Unit of measure*]],MATCH($A$8&amp;$A89&amp;$E89&amp;$I89,INDEX(PMtbl[Sec]&amp;PMtbl[Category]&amp;PMtbl[INN]&amp;PMtbl[Specification],0,),0),7),""),"")</f>
        <v/>
      </c>
      <c r="AL89" s="2052"/>
      <c r="AM89" s="1500" t="str">
        <f>IFERROR(INDEX(SETUP!$C$19:$G$62,MATCH((INDEX(PMtbl[[WKst]:[Unit of measure*]],MATCH($A89&amp;$E89&amp;$I89,INDEX(PMtbl[Category]&amp;PMtbl[INN]&amp;PMtbl[Specification],0,),0),3)),SETUP!$D$19:$D$62,0),5),"")</f>
        <v/>
      </c>
      <c r="AN89" s="1500" t="str">
        <f>IFERROR(IF((INDEX(SETUP!$C$19:$G$62,MATCH((INDEX(PMtbl[[WKst]:[Unit of measure*]],MATCH($A89&amp;$E89&amp;$I89,INDEX(PMtbl[Category]&amp;PMtbl[INN]&amp;PMtbl[Specification],0,),0),3)),SETUP!$D$19:$D$62,0),4))="Upfront",0,INDEX(SETUP!$C$19:$G$62,MATCH((INDEX(PMtbl[[WKst]:[Unit of measure*]],MATCH($A89&amp;$E89&amp;$I89,INDEX(PMtbl[Category]&amp;PMtbl[INN]&amp;PMtbl[Specification],0,),0),3)),SETUP!$D$19:$D$62,0),5)),"")</f>
        <v/>
      </c>
    </row>
    <row r="90" spans="1:40" ht="15" hidden="1" customHeight="1">
      <c r="A90" s="2336"/>
      <c r="B90" s="2337"/>
      <c r="C90" s="2337"/>
      <c r="D90" s="2337"/>
      <c r="E90" s="2301"/>
      <c r="F90" s="2302"/>
      <c r="G90" s="2302"/>
      <c r="H90" s="2302"/>
      <c r="I90" s="2301"/>
      <c r="J90" s="2302"/>
      <c r="K90" s="2302"/>
      <c r="L90" s="1165" t="str">
        <f>IF($A90&lt;&gt;"",IFERROR(INDEX(PMtbl[[WKst]:[Unit of measure*]],MATCH($A$8&amp;$A90&amp;$E90&amp;$I90,INDEX(PMtbl[Sec]&amp;PMtbl[Category]&amp;PMtbl[INN]&amp;PMtbl[Specification],0,),0),8),""),"")</f>
        <v/>
      </c>
      <c r="M90" s="270" t="str">
        <f>IF(L90="", "",SETUP!$E$5)</f>
        <v/>
      </c>
      <c r="N90" s="776"/>
      <c r="O90" s="372"/>
      <c r="P90" s="372"/>
      <c r="Q90" s="372"/>
      <c r="R90" s="372"/>
      <c r="S90" s="356">
        <f>SUM('HIV-Pharmaceuticals'!$O90:$R90)</f>
        <v>0</v>
      </c>
      <c r="T90" s="783">
        <f>'HIV-Pharmaceuticals'!$N90*'HIV-Pharmaceuticals'!$S90</f>
        <v>0</v>
      </c>
      <c r="U90" s="776"/>
      <c r="V90" s="376"/>
      <c r="W90" s="376"/>
      <c r="X90" s="376"/>
      <c r="Y90" s="376"/>
      <c r="Z90" s="357">
        <f>SUM('HIV-Pharmaceuticals'!$V90:$Y90)</f>
        <v>0</v>
      </c>
      <c r="AA90" s="775">
        <f>'HIV-Pharmaceuticals'!$U90*'HIV-Pharmaceuticals'!$Z90</f>
        <v>0</v>
      </c>
      <c r="AB90" s="776"/>
      <c r="AC90" s="372"/>
      <c r="AD90" s="372"/>
      <c r="AE90" s="372"/>
      <c r="AF90" s="372"/>
      <c r="AG90" s="358">
        <f>SUM('HIV-Pharmaceuticals'!$AC90:$AF90)</f>
        <v>0</v>
      </c>
      <c r="AH90" s="763">
        <f>'HIV-Pharmaceuticals'!$AB90*'HIV-Pharmaceuticals'!$AG90</f>
        <v>0</v>
      </c>
      <c r="AI90" s="359">
        <f>'HIV-Pharmaceuticals'!$S90+'HIV-Pharmaceuticals'!$Z90+'HIV-Pharmaceuticals'!$AG90</f>
        <v>0</v>
      </c>
      <c r="AJ90" s="763">
        <f>'HIV-Pharmaceuticals'!$T90+'HIV-Pharmaceuticals'!$AA90+'HIV-Pharmaceuticals'!$AH90</f>
        <v>0</v>
      </c>
      <c r="AK90" s="360" t="str">
        <f>IF(A90&lt;&gt;"",IFERROR(INDEX(PMtbl[[WKst]:[Unit of measure*]],MATCH($A$8&amp;$A90&amp;$E90&amp;$I90,INDEX(PMtbl[Sec]&amp;PMtbl[Category]&amp;PMtbl[INN]&amp;PMtbl[Specification],0,),0),7),""),"")</f>
        <v/>
      </c>
      <c r="AL90" s="2051"/>
      <c r="AM90" s="1502" t="str">
        <f>IFERROR(INDEX(SETUP!$C$19:$G$62,MATCH((INDEX(PMtbl[[WKst]:[Unit of measure*]],MATCH($A90&amp;$E90&amp;$I90,INDEX(PMtbl[Category]&amp;PMtbl[INN]&amp;PMtbl[Specification],0,),0),3)),SETUP!$D$19:$D$62,0),5),"")</f>
        <v/>
      </c>
      <c r="AN90" s="1502" t="str">
        <f>IFERROR(IF((INDEX(SETUP!$C$19:$G$62,MATCH((INDEX(PMtbl[[WKst]:[Unit of measure*]],MATCH($A90&amp;$E90&amp;$I90,INDEX(PMtbl[Category]&amp;PMtbl[INN]&amp;PMtbl[Specification],0,),0),3)),SETUP!$D$19:$D$62,0),4))="Upfront",0,INDEX(SETUP!$C$19:$G$62,MATCH((INDEX(PMtbl[[WKst]:[Unit of measure*]],MATCH($A90&amp;$E90&amp;$I90,INDEX(PMtbl[Category]&amp;PMtbl[INN]&amp;PMtbl[Specification],0,),0),3)),SETUP!$D$19:$D$62,0),5)),"")</f>
        <v/>
      </c>
    </row>
    <row r="91" spans="1:40" ht="15" hidden="1" customHeight="1">
      <c r="A91" s="2330"/>
      <c r="B91" s="2331"/>
      <c r="C91" s="2331"/>
      <c r="D91" s="2331"/>
      <c r="E91" s="2303"/>
      <c r="F91" s="2304"/>
      <c r="G91" s="2304"/>
      <c r="H91" s="2304"/>
      <c r="I91" s="2303"/>
      <c r="J91" s="2304"/>
      <c r="K91" s="2304"/>
      <c r="L91" s="1166" t="str">
        <f>IF($A91&lt;&gt;"",IFERROR(INDEX(PMtbl[[WKst]:[Unit of measure*]],MATCH($A$8&amp;$A91&amp;$E91&amp;$I91,INDEX(PMtbl[Sec]&amp;PMtbl[Category]&amp;PMtbl[INN]&amp;PMtbl[Specification],0,),0),8),""),"")</f>
        <v/>
      </c>
      <c r="M91" s="269" t="str">
        <f>IF(L91="", "",SETUP!$E$5)</f>
        <v/>
      </c>
      <c r="N91" s="772"/>
      <c r="O91" s="370"/>
      <c r="P91" s="370"/>
      <c r="Q91" s="370"/>
      <c r="R91" s="370"/>
      <c r="S91" s="11">
        <f>SUM('HIV-Pharmaceuticals'!$O91:$R91)</f>
        <v>0</v>
      </c>
      <c r="T91" s="781">
        <f>'HIV-Pharmaceuticals'!$N91*'HIV-Pharmaceuticals'!$S91</f>
        <v>0</v>
      </c>
      <c r="U91" s="772"/>
      <c r="V91" s="374"/>
      <c r="W91" s="374"/>
      <c r="X91" s="374"/>
      <c r="Y91" s="374"/>
      <c r="Z91" s="348">
        <f>SUM('HIV-Pharmaceuticals'!$V91:$Y91)</f>
        <v>0</v>
      </c>
      <c r="AA91" s="771">
        <f>'HIV-Pharmaceuticals'!$U91*'HIV-Pharmaceuticals'!$Z91</f>
        <v>0</v>
      </c>
      <c r="AB91" s="772"/>
      <c r="AC91" s="370"/>
      <c r="AD91" s="370"/>
      <c r="AE91" s="370"/>
      <c r="AF91" s="370"/>
      <c r="AG91" s="349">
        <f>SUM('HIV-Pharmaceuticals'!$AC91:$AF91)</f>
        <v>0</v>
      </c>
      <c r="AH91" s="761">
        <f>'HIV-Pharmaceuticals'!$AB91*'HIV-Pharmaceuticals'!$AG91</f>
        <v>0</v>
      </c>
      <c r="AI91" s="350">
        <f>'HIV-Pharmaceuticals'!$S91+'HIV-Pharmaceuticals'!$Z91+'HIV-Pharmaceuticals'!$AG91</f>
        <v>0</v>
      </c>
      <c r="AJ91" s="761">
        <f>'HIV-Pharmaceuticals'!$T91+'HIV-Pharmaceuticals'!$AA91+'HIV-Pharmaceuticals'!$AH91</f>
        <v>0</v>
      </c>
      <c r="AK91" s="361" t="str">
        <f>IF(A91&lt;&gt;"",IFERROR(INDEX(PMtbl[[WKst]:[Unit of measure*]],MATCH($A$8&amp;$A91&amp;$E91&amp;$I91,INDEX(PMtbl[Sec]&amp;PMtbl[Category]&amp;PMtbl[INN]&amp;PMtbl[Specification],0,),0),7),""),"")</f>
        <v/>
      </c>
      <c r="AL91" s="2052"/>
      <c r="AM91" s="1500" t="str">
        <f>IFERROR(INDEX(SETUP!$C$19:$G$62,MATCH((INDEX(PMtbl[[WKst]:[Unit of measure*]],MATCH($A91&amp;$E91&amp;$I91,INDEX(PMtbl[Category]&amp;PMtbl[INN]&amp;PMtbl[Specification],0,),0),3)),SETUP!$D$19:$D$62,0),5),"")</f>
        <v/>
      </c>
      <c r="AN91" s="1500"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row>
    <row r="92" spans="1:40" ht="15" hidden="1" customHeight="1">
      <c r="A92" s="2336"/>
      <c r="B92" s="2337"/>
      <c r="C92" s="2337"/>
      <c r="D92" s="2337"/>
      <c r="E92" s="2301"/>
      <c r="F92" s="2302"/>
      <c r="G92" s="2302"/>
      <c r="H92" s="2302"/>
      <c r="I92" s="2301"/>
      <c r="J92" s="2302"/>
      <c r="K92" s="2302"/>
      <c r="L92" s="1165" t="str">
        <f>IF($A92&lt;&gt;"",IFERROR(INDEX(PMtbl[[WKst]:[Unit of measure*]],MATCH($A$8&amp;$A92&amp;$E92&amp;$I92,INDEX(PMtbl[Sec]&amp;PMtbl[Category]&amp;PMtbl[INN]&amp;PMtbl[Specification],0,),0),8),""),"")</f>
        <v/>
      </c>
      <c r="M92" s="270" t="str">
        <f>IF(L92="", "",SETUP!$E$5)</f>
        <v/>
      </c>
      <c r="N92" s="776"/>
      <c r="O92" s="372"/>
      <c r="P92" s="372"/>
      <c r="Q92" s="372"/>
      <c r="R92" s="372"/>
      <c r="S92" s="356">
        <f>SUM('HIV-Pharmaceuticals'!$O92:$R92)</f>
        <v>0</v>
      </c>
      <c r="T92" s="783">
        <f>'HIV-Pharmaceuticals'!$N92*'HIV-Pharmaceuticals'!$S92</f>
        <v>0</v>
      </c>
      <c r="U92" s="776"/>
      <c r="V92" s="376"/>
      <c r="W92" s="376"/>
      <c r="X92" s="376"/>
      <c r="Y92" s="376"/>
      <c r="Z92" s="357">
        <f>SUM('HIV-Pharmaceuticals'!$V92:$Y92)</f>
        <v>0</v>
      </c>
      <c r="AA92" s="775">
        <f>'HIV-Pharmaceuticals'!$U92*'HIV-Pharmaceuticals'!$Z92</f>
        <v>0</v>
      </c>
      <c r="AB92" s="776"/>
      <c r="AC92" s="372"/>
      <c r="AD92" s="372"/>
      <c r="AE92" s="372"/>
      <c r="AF92" s="372"/>
      <c r="AG92" s="358">
        <f>SUM('HIV-Pharmaceuticals'!$AC92:$AF92)</f>
        <v>0</v>
      </c>
      <c r="AH92" s="763">
        <f>'HIV-Pharmaceuticals'!$AB92*'HIV-Pharmaceuticals'!$AG92</f>
        <v>0</v>
      </c>
      <c r="AI92" s="359">
        <f>'HIV-Pharmaceuticals'!$S92+'HIV-Pharmaceuticals'!$Z92+'HIV-Pharmaceuticals'!$AG92</f>
        <v>0</v>
      </c>
      <c r="AJ92" s="763">
        <f>'HIV-Pharmaceuticals'!$T92+'HIV-Pharmaceuticals'!$AA92+'HIV-Pharmaceuticals'!$AH92</f>
        <v>0</v>
      </c>
      <c r="AK92" s="360" t="str">
        <f>IF(A92&lt;&gt;"",IFERROR(INDEX(PMtbl[[WKst]:[Unit of measure*]],MATCH($A$8&amp;$A92&amp;$E92&amp;$I92,INDEX(PMtbl[Sec]&amp;PMtbl[Category]&amp;PMtbl[INN]&amp;PMtbl[Specification],0,),0),7),""),"")</f>
        <v/>
      </c>
      <c r="AL92" s="2051"/>
      <c r="AM92" s="1502" t="str">
        <f>IFERROR(INDEX(SETUP!$C$19:$G$62,MATCH((INDEX(PMtbl[[WKst]:[Unit of measure*]],MATCH($A92&amp;$E92&amp;$I92,INDEX(PMtbl[Category]&amp;PMtbl[INN]&amp;PMtbl[Specification],0,),0),3)),SETUP!$D$19:$D$62,0),5),"")</f>
        <v/>
      </c>
      <c r="AN92" s="1502"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row>
    <row r="93" spans="1:40" ht="15" hidden="1" customHeight="1">
      <c r="A93" s="2330"/>
      <c r="B93" s="2331"/>
      <c r="C93" s="2331"/>
      <c r="D93" s="2331"/>
      <c r="E93" s="2303"/>
      <c r="F93" s="2304"/>
      <c r="G93" s="2304"/>
      <c r="H93" s="2304"/>
      <c r="I93" s="2303"/>
      <c r="J93" s="2304"/>
      <c r="K93" s="2304"/>
      <c r="L93" s="1166" t="str">
        <f>IF($A93&lt;&gt;"",IFERROR(INDEX(PMtbl[[WKst]:[Unit of measure*]],MATCH($A$8&amp;$A93&amp;$E93&amp;$I93,INDEX(PMtbl[Sec]&amp;PMtbl[Category]&amp;PMtbl[INN]&amp;PMtbl[Specification],0,),0),8),""),"")</f>
        <v/>
      </c>
      <c r="M93" s="269" t="str">
        <f>IF(L93="", "",SETUP!$E$5)</f>
        <v/>
      </c>
      <c r="N93" s="772"/>
      <c r="O93" s="370"/>
      <c r="P93" s="370"/>
      <c r="Q93" s="370"/>
      <c r="R93" s="370"/>
      <c r="S93" s="11">
        <f>SUM('HIV-Pharmaceuticals'!$O93:$R93)</f>
        <v>0</v>
      </c>
      <c r="T93" s="781">
        <f>'HIV-Pharmaceuticals'!$N93*'HIV-Pharmaceuticals'!$S93</f>
        <v>0</v>
      </c>
      <c r="U93" s="772"/>
      <c r="V93" s="374"/>
      <c r="W93" s="374"/>
      <c r="X93" s="374"/>
      <c r="Y93" s="374"/>
      <c r="Z93" s="348">
        <f>SUM('HIV-Pharmaceuticals'!$V93:$Y93)</f>
        <v>0</v>
      </c>
      <c r="AA93" s="771">
        <f>'HIV-Pharmaceuticals'!$U93*'HIV-Pharmaceuticals'!$Z93</f>
        <v>0</v>
      </c>
      <c r="AB93" s="772"/>
      <c r="AC93" s="370"/>
      <c r="AD93" s="370"/>
      <c r="AE93" s="370"/>
      <c r="AF93" s="370"/>
      <c r="AG93" s="349">
        <f>SUM('HIV-Pharmaceuticals'!$AC93:$AF93)</f>
        <v>0</v>
      </c>
      <c r="AH93" s="761">
        <f>'HIV-Pharmaceuticals'!$AB93*'HIV-Pharmaceuticals'!$AG93</f>
        <v>0</v>
      </c>
      <c r="AI93" s="350">
        <f>'HIV-Pharmaceuticals'!$S93+'HIV-Pharmaceuticals'!$Z93+'HIV-Pharmaceuticals'!$AG93</f>
        <v>0</v>
      </c>
      <c r="AJ93" s="761">
        <f>'HIV-Pharmaceuticals'!$T93+'HIV-Pharmaceuticals'!$AA93+'HIV-Pharmaceuticals'!$AH93</f>
        <v>0</v>
      </c>
      <c r="AK93" s="361" t="str">
        <f>IF(A93&lt;&gt;"",IFERROR(INDEX(PMtbl[[WKst]:[Unit of measure*]],MATCH($A$8&amp;$A93&amp;$E93&amp;$I93,INDEX(PMtbl[Sec]&amp;PMtbl[Category]&amp;PMtbl[INN]&amp;PMtbl[Specification],0,),0),7),""),"")</f>
        <v/>
      </c>
      <c r="AL93" s="2052"/>
      <c r="AM93" s="1500" t="str">
        <f>IFERROR(INDEX(SETUP!$C$19:$G$62,MATCH((INDEX(PMtbl[[WKst]:[Unit of measure*]],MATCH($A93&amp;$E93&amp;$I93,INDEX(PMtbl[Category]&amp;PMtbl[INN]&amp;PMtbl[Specification],0,),0),3)),SETUP!$D$19:$D$62,0),5),"")</f>
        <v/>
      </c>
      <c r="AN93" s="1500"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row>
    <row r="94" spans="1:40" ht="15" hidden="1" customHeight="1">
      <c r="A94" s="2336"/>
      <c r="B94" s="2337"/>
      <c r="C94" s="2337"/>
      <c r="D94" s="2337"/>
      <c r="E94" s="2301"/>
      <c r="F94" s="2302"/>
      <c r="G94" s="2302"/>
      <c r="H94" s="2302"/>
      <c r="I94" s="2301"/>
      <c r="J94" s="2302"/>
      <c r="K94" s="2302"/>
      <c r="L94" s="1165" t="str">
        <f>IF($A94&lt;&gt;"",IFERROR(INDEX(PMtbl[[WKst]:[Unit of measure*]],MATCH($A$8&amp;$A94&amp;$E94&amp;$I94,INDEX(PMtbl[Sec]&amp;PMtbl[Category]&amp;PMtbl[INN]&amp;PMtbl[Specification],0,),0),8),""),"")</f>
        <v/>
      </c>
      <c r="M94" s="270" t="str">
        <f>IF(L94="", "",SETUP!$E$5)</f>
        <v/>
      </c>
      <c r="N94" s="776"/>
      <c r="O94" s="372"/>
      <c r="P94" s="372"/>
      <c r="Q94" s="372"/>
      <c r="R94" s="372"/>
      <c r="S94" s="356">
        <f>SUM('HIV-Pharmaceuticals'!$O94:$R94)</f>
        <v>0</v>
      </c>
      <c r="T94" s="783">
        <f>'HIV-Pharmaceuticals'!$N94*'HIV-Pharmaceuticals'!$S94</f>
        <v>0</v>
      </c>
      <c r="U94" s="776"/>
      <c r="V94" s="376"/>
      <c r="W94" s="376"/>
      <c r="X94" s="376"/>
      <c r="Y94" s="376"/>
      <c r="Z94" s="357">
        <f>SUM('HIV-Pharmaceuticals'!$V94:$Y94)</f>
        <v>0</v>
      </c>
      <c r="AA94" s="775">
        <f>'HIV-Pharmaceuticals'!$U94*'HIV-Pharmaceuticals'!$Z94</f>
        <v>0</v>
      </c>
      <c r="AB94" s="776"/>
      <c r="AC94" s="372"/>
      <c r="AD94" s="372"/>
      <c r="AE94" s="372"/>
      <c r="AF94" s="372"/>
      <c r="AG94" s="358">
        <f>SUM('HIV-Pharmaceuticals'!$AC94:$AF94)</f>
        <v>0</v>
      </c>
      <c r="AH94" s="763">
        <f>'HIV-Pharmaceuticals'!$AB94*'HIV-Pharmaceuticals'!$AG94</f>
        <v>0</v>
      </c>
      <c r="AI94" s="359">
        <f>'HIV-Pharmaceuticals'!$S94+'HIV-Pharmaceuticals'!$Z94+'HIV-Pharmaceuticals'!$AG94</f>
        <v>0</v>
      </c>
      <c r="AJ94" s="763">
        <f>'HIV-Pharmaceuticals'!$T94+'HIV-Pharmaceuticals'!$AA94+'HIV-Pharmaceuticals'!$AH94</f>
        <v>0</v>
      </c>
      <c r="AK94" s="360" t="str">
        <f>IF(A94&lt;&gt;"",IFERROR(INDEX(PMtbl[[WKst]:[Unit of measure*]],MATCH($A$8&amp;$A94&amp;$E94&amp;$I94,INDEX(PMtbl[Sec]&amp;PMtbl[Category]&amp;PMtbl[INN]&amp;PMtbl[Specification],0,),0),7),""),"")</f>
        <v/>
      </c>
      <c r="AL94" s="2051"/>
      <c r="AM94" s="1502" t="str">
        <f>IFERROR(INDEX(SETUP!$C$19:$G$62,MATCH((INDEX(PMtbl[[WKst]:[Unit of measure*]],MATCH($A94&amp;$E94&amp;$I94,INDEX(PMtbl[Category]&amp;PMtbl[INN]&amp;PMtbl[Specification],0,),0),3)),SETUP!$D$19:$D$62,0),5),"")</f>
        <v/>
      </c>
      <c r="AN94" s="1502"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row>
    <row r="95" spans="1:40" ht="15" hidden="1" customHeight="1">
      <c r="A95" s="2330"/>
      <c r="B95" s="2331"/>
      <c r="C95" s="2331"/>
      <c r="D95" s="2331"/>
      <c r="E95" s="2303"/>
      <c r="F95" s="2304"/>
      <c r="G95" s="2304"/>
      <c r="H95" s="2304"/>
      <c r="I95" s="2303"/>
      <c r="J95" s="2304"/>
      <c r="K95" s="2304"/>
      <c r="L95" s="1166" t="str">
        <f>IF($A95&lt;&gt;"",IFERROR(INDEX(PMtbl[[WKst]:[Unit of measure*]],MATCH($A$8&amp;$A95&amp;$E95&amp;$I95,INDEX(PMtbl[Sec]&amp;PMtbl[Category]&amp;PMtbl[INN]&amp;PMtbl[Specification],0,),0),8),""),"")</f>
        <v/>
      </c>
      <c r="M95" s="269" t="str">
        <f>IF(L95="", "",SETUP!$E$5)</f>
        <v/>
      </c>
      <c r="N95" s="772"/>
      <c r="O95" s="370"/>
      <c r="P95" s="370"/>
      <c r="Q95" s="370"/>
      <c r="R95" s="370"/>
      <c r="S95" s="11">
        <f>SUM('HIV-Pharmaceuticals'!$O95:$R95)</f>
        <v>0</v>
      </c>
      <c r="T95" s="781">
        <f>'HIV-Pharmaceuticals'!$N95*'HIV-Pharmaceuticals'!$S95</f>
        <v>0</v>
      </c>
      <c r="U95" s="772"/>
      <c r="V95" s="374"/>
      <c r="W95" s="374"/>
      <c r="X95" s="374"/>
      <c r="Y95" s="374"/>
      <c r="Z95" s="348">
        <f>SUM('HIV-Pharmaceuticals'!$V95:$Y95)</f>
        <v>0</v>
      </c>
      <c r="AA95" s="771">
        <f>'HIV-Pharmaceuticals'!$U95*'HIV-Pharmaceuticals'!$Z95</f>
        <v>0</v>
      </c>
      <c r="AB95" s="772"/>
      <c r="AC95" s="370"/>
      <c r="AD95" s="370"/>
      <c r="AE95" s="370"/>
      <c r="AF95" s="370"/>
      <c r="AG95" s="349">
        <f>SUM('HIV-Pharmaceuticals'!$AC95:$AF95)</f>
        <v>0</v>
      </c>
      <c r="AH95" s="761">
        <f>'HIV-Pharmaceuticals'!$AB95*'HIV-Pharmaceuticals'!$AG95</f>
        <v>0</v>
      </c>
      <c r="AI95" s="350">
        <f>'HIV-Pharmaceuticals'!$S95+'HIV-Pharmaceuticals'!$Z95+'HIV-Pharmaceuticals'!$AG95</f>
        <v>0</v>
      </c>
      <c r="AJ95" s="761">
        <f>'HIV-Pharmaceuticals'!$T95+'HIV-Pharmaceuticals'!$AA95+'HIV-Pharmaceuticals'!$AH95</f>
        <v>0</v>
      </c>
      <c r="AK95" s="361" t="str">
        <f>IF(A95&lt;&gt;"",IFERROR(INDEX(PMtbl[[WKst]:[Unit of measure*]],MATCH($A$8&amp;$A95&amp;$E95&amp;$I95,INDEX(PMtbl[Sec]&amp;PMtbl[Category]&amp;PMtbl[INN]&amp;PMtbl[Specification],0,),0),7),""),"")</f>
        <v/>
      </c>
      <c r="AL95" s="2052"/>
      <c r="AM95" s="1500" t="str">
        <f>IFERROR(INDEX(SETUP!$C$19:$G$62,MATCH((INDEX(PMtbl[[WKst]:[Unit of measure*]],MATCH($A95&amp;$E95&amp;$I95,INDEX(PMtbl[Category]&amp;PMtbl[INN]&amp;PMtbl[Specification],0,),0),3)),SETUP!$D$19:$D$62,0),5),"")</f>
        <v/>
      </c>
      <c r="AN95" s="150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row>
    <row r="96" spans="1:40" ht="15" hidden="1" customHeight="1">
      <c r="A96" s="2336"/>
      <c r="B96" s="2337"/>
      <c r="C96" s="2337"/>
      <c r="D96" s="2337"/>
      <c r="E96" s="2301"/>
      <c r="F96" s="2302"/>
      <c r="G96" s="2302"/>
      <c r="H96" s="2302"/>
      <c r="I96" s="2301"/>
      <c r="J96" s="2302"/>
      <c r="K96" s="2302"/>
      <c r="L96" s="1165" t="str">
        <f>IF($A96&lt;&gt;"",IFERROR(INDEX(PMtbl[[WKst]:[Unit of measure*]],MATCH($A$8&amp;$A96&amp;$E96&amp;$I96,INDEX(PMtbl[Sec]&amp;PMtbl[Category]&amp;PMtbl[INN]&amp;PMtbl[Specification],0,),0),8),""),"")</f>
        <v/>
      </c>
      <c r="M96" s="270" t="str">
        <f>IF(L96="", "",SETUP!$E$5)</f>
        <v/>
      </c>
      <c r="N96" s="774"/>
      <c r="O96" s="372"/>
      <c r="P96" s="372"/>
      <c r="Q96" s="372"/>
      <c r="R96" s="372"/>
      <c r="S96" s="356">
        <f>SUM('HIV-Pharmaceuticals'!$O96:$R96)</f>
        <v>0</v>
      </c>
      <c r="T96" s="783">
        <f>'HIV-Pharmaceuticals'!$N96*'HIV-Pharmaceuticals'!$S96</f>
        <v>0</v>
      </c>
      <c r="U96" s="776"/>
      <c r="V96" s="376"/>
      <c r="W96" s="376"/>
      <c r="X96" s="376"/>
      <c r="Y96" s="376"/>
      <c r="Z96" s="357">
        <f>SUM('HIV-Pharmaceuticals'!$V96:$Y96)</f>
        <v>0</v>
      </c>
      <c r="AA96" s="775">
        <f>'HIV-Pharmaceuticals'!$U96*'HIV-Pharmaceuticals'!$Z96</f>
        <v>0</v>
      </c>
      <c r="AB96" s="776"/>
      <c r="AC96" s="372"/>
      <c r="AD96" s="372"/>
      <c r="AE96" s="372"/>
      <c r="AF96" s="372"/>
      <c r="AG96" s="358">
        <f>SUM('HIV-Pharmaceuticals'!$AC96:$AF96)</f>
        <v>0</v>
      </c>
      <c r="AH96" s="763">
        <f>'HIV-Pharmaceuticals'!$AB96*'HIV-Pharmaceuticals'!$AG96</f>
        <v>0</v>
      </c>
      <c r="AI96" s="359">
        <f>'HIV-Pharmaceuticals'!$S96+'HIV-Pharmaceuticals'!$Z96+'HIV-Pharmaceuticals'!$AG96</f>
        <v>0</v>
      </c>
      <c r="AJ96" s="763">
        <f>'HIV-Pharmaceuticals'!$T96+'HIV-Pharmaceuticals'!$AA96+'HIV-Pharmaceuticals'!$AH96</f>
        <v>0</v>
      </c>
      <c r="AK96" s="360" t="str">
        <f>IF(A96&lt;&gt;"",IFERROR(INDEX(PMtbl[[WKst]:[Unit of measure*]],MATCH($A$8&amp;$A96&amp;$E96&amp;$I96,INDEX(PMtbl[Sec]&amp;PMtbl[Category]&amp;PMtbl[INN]&amp;PMtbl[Specification],0,),0),7),""),"")</f>
        <v/>
      </c>
      <c r="AL96" s="2051"/>
      <c r="AM96" s="1502" t="str">
        <f>IFERROR(INDEX(SETUP!$C$19:$G$62,MATCH((INDEX(PMtbl[[WKst]:[Unit of measure*]],MATCH($A96&amp;$E96&amp;$I96,INDEX(PMtbl[Category]&amp;PMtbl[INN]&amp;PMtbl[Specification],0,),0),3)),SETUP!$D$19:$D$62,0),5),"")</f>
        <v/>
      </c>
      <c r="AN96" s="1502"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row>
    <row r="97" spans="1:40" ht="15" hidden="1" customHeight="1">
      <c r="A97" s="2330"/>
      <c r="B97" s="2331"/>
      <c r="C97" s="2331"/>
      <c r="D97" s="2331"/>
      <c r="E97" s="2303"/>
      <c r="F97" s="2304"/>
      <c r="G97" s="2304"/>
      <c r="H97" s="2304"/>
      <c r="I97" s="2303"/>
      <c r="J97" s="2304"/>
      <c r="K97" s="2304"/>
      <c r="L97" s="1166" t="str">
        <f>IF($A97&lt;&gt;"",IFERROR(INDEX(PMtbl[[WKst]:[Unit of measure*]],MATCH($A$8&amp;$A97&amp;$E97&amp;$I97,INDEX(PMtbl[Sec]&amp;PMtbl[Category]&amp;PMtbl[INN]&amp;PMtbl[Specification],0,),0),8),""),"")</f>
        <v/>
      </c>
      <c r="M97" s="269" t="str">
        <f>IF(L97="", "",SETUP!$E$5)</f>
        <v/>
      </c>
      <c r="N97" s="772"/>
      <c r="O97" s="370"/>
      <c r="P97" s="370"/>
      <c r="Q97" s="370"/>
      <c r="R97" s="370"/>
      <c r="S97" s="11">
        <f>SUM('HIV-Pharmaceuticals'!$O97:$R97)</f>
        <v>0</v>
      </c>
      <c r="T97" s="781">
        <f>'HIV-Pharmaceuticals'!$N97*'HIV-Pharmaceuticals'!$S97</f>
        <v>0</v>
      </c>
      <c r="U97" s="772"/>
      <c r="V97" s="374"/>
      <c r="W97" s="374"/>
      <c r="X97" s="374"/>
      <c r="Y97" s="374"/>
      <c r="Z97" s="348">
        <f>SUM('HIV-Pharmaceuticals'!$V97:$Y97)</f>
        <v>0</v>
      </c>
      <c r="AA97" s="771">
        <f>'HIV-Pharmaceuticals'!$U97*'HIV-Pharmaceuticals'!$Z97</f>
        <v>0</v>
      </c>
      <c r="AB97" s="772"/>
      <c r="AC97" s="370"/>
      <c r="AD97" s="370"/>
      <c r="AE97" s="370"/>
      <c r="AF97" s="370"/>
      <c r="AG97" s="349">
        <f>SUM('HIV-Pharmaceuticals'!$AC97:$AF97)</f>
        <v>0</v>
      </c>
      <c r="AH97" s="761">
        <f>'HIV-Pharmaceuticals'!$AB97*'HIV-Pharmaceuticals'!$AG97</f>
        <v>0</v>
      </c>
      <c r="AI97" s="350">
        <f>'HIV-Pharmaceuticals'!$S97+'HIV-Pharmaceuticals'!$Z97+'HIV-Pharmaceuticals'!$AG97</f>
        <v>0</v>
      </c>
      <c r="AJ97" s="761">
        <f>'HIV-Pharmaceuticals'!$T97+'HIV-Pharmaceuticals'!$AA97+'HIV-Pharmaceuticals'!$AH97</f>
        <v>0</v>
      </c>
      <c r="AK97" s="361" t="str">
        <f>IF(A97&lt;&gt;"",IFERROR(INDEX(PMtbl[[WKst]:[Unit of measure*]],MATCH($A$8&amp;$A97&amp;$E97&amp;$I97,INDEX(PMtbl[Sec]&amp;PMtbl[Category]&amp;PMtbl[INN]&amp;PMtbl[Specification],0,),0),7),""),"")</f>
        <v/>
      </c>
      <c r="AL97" s="2052"/>
      <c r="AM97" s="1500" t="str">
        <f>IFERROR(INDEX(SETUP!$C$19:$G$62,MATCH((INDEX(PMtbl[[WKst]:[Unit of measure*]],MATCH($A97&amp;$E97&amp;$I97,INDEX(PMtbl[Category]&amp;PMtbl[INN]&amp;PMtbl[Specification],0,),0),3)),SETUP!$D$19:$D$62,0),5),"")</f>
        <v/>
      </c>
      <c r="AN97" s="150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ht="15" hidden="1" customHeight="1">
      <c r="A98" s="2336"/>
      <c r="B98" s="2337"/>
      <c r="C98" s="2337"/>
      <c r="D98" s="2337"/>
      <c r="E98" s="2301"/>
      <c r="F98" s="2302"/>
      <c r="G98" s="2302"/>
      <c r="H98" s="2302"/>
      <c r="I98" s="2301"/>
      <c r="J98" s="2302"/>
      <c r="K98" s="2302"/>
      <c r="L98" s="1165" t="str">
        <f>IF($A98&lt;&gt;"",IFERROR(INDEX(PMtbl[[WKst]:[Unit of measure*]],MATCH($A$8&amp;$A98&amp;$E98&amp;$I98,INDEX(PMtbl[Sec]&amp;PMtbl[Category]&amp;PMtbl[INN]&amp;PMtbl[Specification],0,),0),8),""),"")</f>
        <v/>
      </c>
      <c r="M98" s="270" t="str">
        <f>IF(L98="", "",SETUP!$E$5)</f>
        <v/>
      </c>
      <c r="N98" s="774"/>
      <c r="O98" s="372"/>
      <c r="P98" s="372"/>
      <c r="Q98" s="372"/>
      <c r="R98" s="372"/>
      <c r="S98" s="356">
        <f>SUM('HIV-Pharmaceuticals'!$O98:$R98)</f>
        <v>0</v>
      </c>
      <c r="T98" s="783">
        <f>'HIV-Pharmaceuticals'!$N98*'HIV-Pharmaceuticals'!$S98</f>
        <v>0</v>
      </c>
      <c r="U98" s="776"/>
      <c r="V98" s="376"/>
      <c r="W98" s="376"/>
      <c r="X98" s="376"/>
      <c r="Y98" s="376"/>
      <c r="Z98" s="357">
        <f>SUM('HIV-Pharmaceuticals'!$V98:$Y98)</f>
        <v>0</v>
      </c>
      <c r="AA98" s="775">
        <f>'HIV-Pharmaceuticals'!$U98*'HIV-Pharmaceuticals'!$Z98</f>
        <v>0</v>
      </c>
      <c r="AB98" s="776"/>
      <c r="AC98" s="372"/>
      <c r="AD98" s="372"/>
      <c r="AE98" s="372"/>
      <c r="AF98" s="372"/>
      <c r="AG98" s="358">
        <f>SUM('HIV-Pharmaceuticals'!$AC98:$AF98)</f>
        <v>0</v>
      </c>
      <c r="AH98" s="763">
        <f>'HIV-Pharmaceuticals'!$AB98*'HIV-Pharmaceuticals'!$AG98</f>
        <v>0</v>
      </c>
      <c r="AI98" s="359">
        <f>'HIV-Pharmaceuticals'!$S98+'HIV-Pharmaceuticals'!$Z98+'HIV-Pharmaceuticals'!$AG98</f>
        <v>0</v>
      </c>
      <c r="AJ98" s="763">
        <f>'HIV-Pharmaceuticals'!$T98+'HIV-Pharmaceuticals'!$AA98+'HIV-Pharmaceuticals'!$AH98</f>
        <v>0</v>
      </c>
      <c r="AK98" s="360" t="str">
        <f>IF(A98&lt;&gt;"",IFERROR(INDEX(PMtbl[[WKst]:[Unit of measure*]],MATCH($A$8&amp;$A98&amp;$E98&amp;$I98,INDEX(PMtbl[Sec]&amp;PMtbl[Category]&amp;PMtbl[INN]&amp;PMtbl[Specification],0,),0),7),""),"")</f>
        <v/>
      </c>
      <c r="AL98" s="2051"/>
      <c r="AM98" s="1502" t="str">
        <f>IFERROR(INDEX(SETUP!$C$19:$G$62,MATCH((INDEX(PMtbl[[WKst]:[Unit of measure*]],MATCH($A98&amp;$E98&amp;$I98,INDEX(PMtbl[Category]&amp;PMtbl[INN]&amp;PMtbl[Specification],0,),0),3)),SETUP!$D$19:$D$62,0),5),"")</f>
        <v/>
      </c>
      <c r="AN98" s="1502"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ht="15" thickBot="1">
      <c r="A99" s="2364"/>
      <c r="B99" s="2365"/>
      <c r="C99" s="2365"/>
      <c r="D99" s="2365"/>
      <c r="E99" s="2305"/>
      <c r="F99" s="2306"/>
      <c r="G99" s="2306"/>
      <c r="H99" s="2306"/>
      <c r="I99" s="2305"/>
      <c r="J99" s="2306"/>
      <c r="K99" s="2306"/>
      <c r="L99" s="1167" t="str">
        <f>IF($A99&lt;&gt;"",IFERROR(INDEX(PMtbl[[WKst]:[Unit of measure*]],MATCH($A$8&amp;$A99&amp;$E99&amp;$I99,INDEX(PMtbl[Sec]&amp;PMtbl[Category]&amp;PMtbl[INN]&amp;PMtbl[Specification],0,),0),8),""),"")</f>
        <v/>
      </c>
      <c r="M99" s="1168" t="str">
        <f>IF(L99="", "",SETUP!$E$5)</f>
        <v/>
      </c>
      <c r="N99" s="777"/>
      <c r="O99" s="373"/>
      <c r="P99" s="373"/>
      <c r="Q99" s="373"/>
      <c r="R99" s="373"/>
      <c r="S99" s="362">
        <f>SUM('HIV-Pharmaceuticals'!$O99:$R99)</f>
        <v>0</v>
      </c>
      <c r="T99" s="784">
        <f>'HIV-Pharmaceuticals'!$N99*'HIV-Pharmaceuticals'!$S99</f>
        <v>0</v>
      </c>
      <c r="U99" s="777"/>
      <c r="V99" s="373"/>
      <c r="W99" s="373"/>
      <c r="X99" s="373"/>
      <c r="Y99" s="373"/>
      <c r="Z99" s="363">
        <f>SUM('HIV-Pharmaceuticals'!$V99:$Y99)</f>
        <v>0</v>
      </c>
      <c r="AA99" s="764">
        <f>'HIV-Pharmaceuticals'!$U99*'HIV-Pharmaceuticals'!$Z99</f>
        <v>0</v>
      </c>
      <c r="AB99" s="777"/>
      <c r="AC99" s="373"/>
      <c r="AD99" s="373"/>
      <c r="AE99" s="373"/>
      <c r="AF99" s="373"/>
      <c r="AG99" s="363">
        <f>SUM('HIV-Pharmaceuticals'!$AC99:$AF99)</f>
        <v>0</v>
      </c>
      <c r="AH99" s="764">
        <f>'HIV-Pharmaceuticals'!$AB99*'HIV-Pharmaceuticals'!$AG99</f>
        <v>0</v>
      </c>
      <c r="AI99" s="364">
        <f>'HIV-Pharmaceuticals'!$S99+'HIV-Pharmaceuticals'!$Z99+'HIV-Pharmaceuticals'!$AG99</f>
        <v>0</v>
      </c>
      <c r="AJ99" s="764">
        <f>'HIV-Pharmaceuticals'!$T99+'HIV-Pharmaceuticals'!$AA99+'HIV-Pharmaceuticals'!$AH99</f>
        <v>0</v>
      </c>
      <c r="AK99" s="365" t="str">
        <f>IF(A99&lt;&gt;"",IFERROR(INDEX(PMtbl[[WKst]:[Unit of measure*]],MATCH($A$8&amp;$A99&amp;$E99&amp;$I99,INDEX(PMtbl[Sec]&amp;PMtbl[Category]&amp;PMtbl[INN]&amp;PMtbl[Specification],0,),0),7),""),"")</f>
        <v/>
      </c>
      <c r="AL99" s="2053"/>
      <c r="AM99" s="1503" t="str">
        <f>IFERROR(INDEX(SETUP!$C$19:$G$62,MATCH((INDEX(PMtbl[[WKst]:[Unit of measure*]],MATCH($A99&amp;$E99&amp;$I99,INDEX(PMtbl[Category]&amp;PMtbl[INN]&amp;PMtbl[Specification],0,),0),3)),SETUP!$D$19:$D$62,0),5),"")</f>
        <v/>
      </c>
      <c r="AN99" s="1503"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ht="15" thickBot="1">
      <c r="A100" s="154"/>
      <c r="B100" s="154"/>
      <c r="C100" s="154"/>
      <c r="D100" s="154"/>
      <c r="E100" s="154"/>
      <c r="F100" s="154"/>
      <c r="G100" s="154"/>
      <c r="H100" s="154"/>
      <c r="I100" s="154"/>
      <c r="J100" s="154"/>
      <c r="K100" s="154"/>
      <c r="L100" s="154"/>
      <c r="M100" s="154"/>
      <c r="N100" s="778"/>
      <c r="O100" s="154"/>
      <c r="P100" s="154"/>
      <c r="Q100" s="154"/>
      <c r="R100" s="154"/>
      <c r="S100" s="154"/>
      <c r="T100" s="778"/>
      <c r="U100" s="778"/>
      <c r="V100" s="154"/>
      <c r="W100" s="154"/>
      <c r="X100" s="154"/>
      <c r="Y100" s="154"/>
      <c r="Z100" s="154"/>
      <c r="AA100" s="778"/>
      <c r="AB100" s="778"/>
      <c r="AC100" s="154"/>
      <c r="AD100" s="366"/>
    </row>
    <row r="101" spans="1:40" ht="15" customHeight="1" thickBot="1">
      <c r="A101" s="2327">
        <v>2</v>
      </c>
      <c r="B101" s="2332" t="s">
        <v>169</v>
      </c>
      <c r="C101" s="2332"/>
      <c r="D101" s="2332"/>
      <c r="E101" s="296" t="s">
        <v>170</v>
      </c>
      <c r="F101" s="296"/>
      <c r="G101" s="297"/>
      <c r="H101" s="2334" t="s">
        <v>171</v>
      </c>
      <c r="I101" s="143"/>
      <c r="J101" s="78"/>
      <c r="K101" s="78"/>
      <c r="L101" s="78"/>
      <c r="M101" s="78"/>
      <c r="N101" s="767"/>
      <c r="O101" s="78"/>
      <c r="P101" s="78"/>
      <c r="Q101" s="78"/>
      <c r="R101" s="78"/>
      <c r="S101" s="78"/>
      <c r="T101" s="767"/>
      <c r="U101" s="767"/>
      <c r="V101" s="78"/>
      <c r="W101" s="78"/>
      <c r="X101" s="78"/>
      <c r="Y101" s="78"/>
      <c r="Z101" s="78"/>
      <c r="AA101" s="767"/>
      <c r="AB101" s="767"/>
      <c r="AC101" s="78"/>
      <c r="AD101" s="82"/>
    </row>
    <row r="102" spans="1:40" ht="15" customHeight="1" thickBot="1">
      <c r="A102" s="2328"/>
      <c r="B102" s="2333"/>
      <c r="C102" s="2333"/>
      <c r="D102" s="2333"/>
      <c r="E102" s="298" t="s">
        <v>172</v>
      </c>
      <c r="F102" s="298"/>
      <c r="G102" s="299"/>
      <c r="H102" s="2335"/>
      <c r="I102" s="92"/>
      <c r="J102" s="78"/>
      <c r="K102" s="78"/>
      <c r="L102" s="78"/>
      <c r="M102" s="78"/>
      <c r="N102" s="767"/>
      <c r="O102" s="78"/>
      <c r="P102" s="78"/>
      <c r="Q102" s="78"/>
      <c r="R102" s="78"/>
      <c r="S102" s="78"/>
      <c r="T102" s="767"/>
      <c r="U102" s="767"/>
      <c r="V102" s="78"/>
      <c r="W102" s="78"/>
      <c r="X102" s="78"/>
      <c r="Y102" s="78"/>
      <c r="Z102" s="78"/>
      <c r="AA102" s="767"/>
      <c r="AB102" s="767"/>
      <c r="AC102" s="78"/>
      <c r="AD102" s="82"/>
    </row>
    <row r="103" spans="1:40" ht="104.25" customHeight="1">
      <c r="A103" s="2348" t="s">
        <v>2537</v>
      </c>
      <c r="B103" s="2349"/>
      <c r="C103" s="2349"/>
      <c r="D103" s="2349"/>
      <c r="E103" s="2349"/>
      <c r="F103" s="2349"/>
      <c r="G103" s="2349"/>
      <c r="H103" s="2349"/>
      <c r="I103" s="2349"/>
      <c r="J103" s="2349"/>
      <c r="K103" s="2349"/>
      <c r="L103" s="2349"/>
      <c r="M103" s="2350"/>
      <c r="N103" s="767"/>
      <c r="O103" s="78"/>
      <c r="P103" s="78"/>
      <c r="Q103" s="78"/>
      <c r="R103" s="78"/>
      <c r="S103" s="78"/>
      <c r="T103" s="767"/>
      <c r="U103" s="767"/>
      <c r="V103" s="78"/>
      <c r="W103" s="78"/>
      <c r="X103" s="78"/>
      <c r="Y103" s="78"/>
      <c r="Z103" s="78"/>
      <c r="AA103" s="767"/>
      <c r="AB103" s="767"/>
      <c r="AC103" s="78"/>
      <c r="AD103" s="82"/>
    </row>
    <row r="104" spans="1:40" ht="15" thickBot="1">
      <c r="A104" s="98"/>
      <c r="B104" s="98"/>
      <c r="C104" s="98"/>
      <c r="D104" s="98"/>
      <c r="E104" s="92"/>
      <c r="F104" s="78"/>
      <c r="G104" s="78"/>
      <c r="H104" s="78"/>
      <c r="I104" s="78"/>
      <c r="J104" s="78"/>
      <c r="K104" s="78"/>
      <c r="L104" s="78"/>
      <c r="M104" s="78"/>
      <c r="N104" s="767"/>
      <c r="O104" s="78"/>
      <c r="P104" s="78"/>
      <c r="Q104" s="78"/>
      <c r="R104" s="78"/>
      <c r="S104" s="78"/>
      <c r="T104" s="767"/>
      <c r="U104" s="767"/>
      <c r="V104" s="78"/>
      <c r="W104" s="78"/>
      <c r="X104" s="78"/>
      <c r="Y104" s="78"/>
      <c r="Z104" s="78"/>
      <c r="AA104" s="767"/>
      <c r="AB104" s="767"/>
      <c r="AC104" s="78"/>
      <c r="AD104" s="82"/>
    </row>
    <row r="105" spans="1:40" s="790" customFormat="1" ht="15" thickBot="1">
      <c r="A105" s="2310" t="str">
        <f>A12</f>
        <v>Categoría de productos</v>
      </c>
      <c r="B105" s="2312"/>
      <c r="C105" s="2312"/>
      <c r="D105" s="2312"/>
      <c r="E105" s="2310" t="str">
        <f>E12</f>
        <v>DCI del producto</v>
      </c>
      <c r="F105" s="2312"/>
      <c r="G105" s="2312"/>
      <c r="H105" s="2312"/>
      <c r="I105" s="2315" t="str">
        <f>I12</f>
        <v>Especificaciones (dosificación, forma farmacéutica, empaque, tamaño del empaque)</v>
      </c>
      <c r="J105" s="2316"/>
      <c r="K105" s="2316"/>
      <c r="L105" s="2310" t="str">
        <f>L12</f>
        <v>Unidad de medida</v>
      </c>
      <c r="M105" s="2316" t="str">
        <f>M12</f>
        <v>Moneda de pago</v>
      </c>
      <c r="N105" s="2321">
        <f>N12</f>
        <v>2022</v>
      </c>
      <c r="O105" s="2322"/>
      <c r="P105" s="2322"/>
      <c r="Q105" s="2322"/>
      <c r="R105" s="2322"/>
      <c r="S105" s="2322"/>
      <c r="T105" s="2324"/>
      <c r="U105" s="2324">
        <f>U12</f>
        <v>2023</v>
      </c>
      <c r="V105" s="2322"/>
      <c r="W105" s="2322"/>
      <c r="X105" s="2322"/>
      <c r="Y105" s="2322"/>
      <c r="Z105" s="2322"/>
      <c r="AA105" s="2323"/>
      <c r="AB105" s="2321">
        <f>AB12</f>
        <v>2024</v>
      </c>
      <c r="AC105" s="2322"/>
      <c r="AD105" s="2322"/>
      <c r="AE105" s="2322"/>
      <c r="AF105" s="2322"/>
      <c r="AG105" s="2322"/>
      <c r="AH105" s="2323"/>
      <c r="AI105" s="2308" t="str">
        <f t="shared" ref="V105:AJ106" si="16">AI12</f>
        <v>Total del período de subvención</v>
      </c>
      <c r="AJ105" s="2309">
        <f t="shared" si="16"/>
        <v>0</v>
      </c>
      <c r="AK105" s="789" t="str">
        <f>AK12</f>
        <v>Finanzas</v>
      </c>
      <c r="AL105" s="2367" t="str">
        <f>AL12</f>
        <v>Comentarios</v>
      </c>
      <c r="AM105" s="2295" t="str">
        <f>AM12</f>
        <v>Plazo de entrega</v>
      </c>
      <c r="AN105" s="2295" t="s">
        <v>3055</v>
      </c>
    </row>
    <row r="106" spans="1:40" ht="26.5" thickBot="1">
      <c r="A106" s="2313"/>
      <c r="B106" s="2314"/>
      <c r="C106" s="2314"/>
      <c r="D106" s="2314"/>
      <c r="E106" s="2313"/>
      <c r="F106" s="2314"/>
      <c r="G106" s="2314"/>
      <c r="H106" s="2314"/>
      <c r="I106" s="2317"/>
      <c r="J106" s="2318"/>
      <c r="K106" s="2318"/>
      <c r="L106" s="2311"/>
      <c r="M106" s="2318"/>
      <c r="N106" s="769" t="str">
        <f t="shared" ref="N106:T106" si="17">N13</f>
        <v>Costo unitario del A1</v>
      </c>
      <c r="O106" s="340" t="str">
        <f t="shared" si="17"/>
        <v>Cantidad del A1, T1</v>
      </c>
      <c r="P106" s="340" t="str">
        <f t="shared" si="17"/>
        <v>Cantidad del A1, T2</v>
      </c>
      <c r="Q106" s="340" t="str">
        <f t="shared" si="17"/>
        <v>Cantidad del A1, T3</v>
      </c>
      <c r="R106" s="340" t="str">
        <f t="shared" si="17"/>
        <v>Cantidad del A1, T4</v>
      </c>
      <c r="S106" s="340" t="str">
        <f t="shared" si="17"/>
        <v>Cantidad total del A1</v>
      </c>
      <c r="T106" s="759" t="str">
        <f t="shared" si="17"/>
        <v>Costo total del A1</v>
      </c>
      <c r="U106" s="769" t="str">
        <f>U13</f>
        <v>Costo unitario del A2</v>
      </c>
      <c r="V106" s="340" t="str">
        <f t="shared" si="16"/>
        <v>Cantidad del A2, T1</v>
      </c>
      <c r="W106" s="340" t="str">
        <f t="shared" si="16"/>
        <v>Cantidad del A2, T2</v>
      </c>
      <c r="X106" s="340" t="str">
        <f t="shared" si="16"/>
        <v>Cantidad del A2, T3</v>
      </c>
      <c r="Y106" s="340" t="str">
        <f t="shared" si="16"/>
        <v>Cantidad del A2, T4</v>
      </c>
      <c r="Z106" s="340" t="str">
        <f t="shared" si="16"/>
        <v>Cantidad total del A2</v>
      </c>
      <c r="AA106" s="759" t="str">
        <f t="shared" si="16"/>
        <v>Costo total del A2</v>
      </c>
      <c r="AB106" s="769" t="str">
        <f t="shared" si="16"/>
        <v>Costo unitario del A3</v>
      </c>
      <c r="AC106" s="340" t="str">
        <f t="shared" si="16"/>
        <v>Cantidad del A3, T1</v>
      </c>
      <c r="AD106" s="340" t="str">
        <f t="shared" si="16"/>
        <v>Cantidad del A3, T2</v>
      </c>
      <c r="AE106" s="340" t="str">
        <f t="shared" si="16"/>
        <v>Cantidad del A3, T3</v>
      </c>
      <c r="AF106" s="340" t="str">
        <f t="shared" si="16"/>
        <v>Cantidad del A3, T4</v>
      </c>
      <c r="AG106" s="340" t="str">
        <f t="shared" si="16"/>
        <v>Cantidad total del A3</v>
      </c>
      <c r="AH106" s="759" t="str">
        <f t="shared" si="16"/>
        <v>Costo total del A3</v>
      </c>
      <c r="AI106" s="339" t="str">
        <f t="shared" si="16"/>
        <v>Cantidad total</v>
      </c>
      <c r="AJ106" s="759" t="str">
        <f t="shared" si="16"/>
        <v xml:space="preserve">Costo total </v>
      </c>
      <c r="AK106" s="341" t="str">
        <f>AK13</f>
        <v>Categoría de costos</v>
      </c>
      <c r="AL106" s="2368"/>
      <c r="AM106" s="2296"/>
      <c r="AN106" s="2296"/>
    </row>
    <row r="107" spans="1:40" s="8" customFormat="1">
      <c r="A107" s="2351" t="s">
        <v>2834</v>
      </c>
      <c r="B107" s="2352"/>
      <c r="C107" s="2352"/>
      <c r="D107" s="2352"/>
      <c r="E107" s="2319" t="s">
        <v>2835</v>
      </c>
      <c r="F107" s="2320"/>
      <c r="G107" s="2320"/>
      <c r="H107" s="2320"/>
      <c r="I107" s="2319" t="s">
        <v>1057</v>
      </c>
      <c r="J107" s="2320"/>
      <c r="K107" s="2366"/>
      <c r="L107" s="1163" t="str">
        <f>IF($A107&lt;&gt;"",IFERROR(INDEX(PMtbl[[WKst]:[Unit of measure*]],MATCH($A$101&amp;$A107&amp;$E107&amp;$I107,INDEX(PMtbl[Sec]&amp;PMtbl[Category]&amp;PMtbl[INN]&amp;PMtbl[Specification],0,),0),8),""),"")</f>
        <v>Pack</v>
      </c>
      <c r="M107" s="1145" t="str">
        <f>IF(L107="", "",SETUP!$E$5)</f>
        <v>USD</v>
      </c>
      <c r="N107" s="770">
        <v>4.82</v>
      </c>
      <c r="O107" s="369"/>
      <c r="P107" s="369">
        <v>6000</v>
      </c>
      <c r="Q107" s="369"/>
      <c r="R107" s="369"/>
      <c r="S107" s="344">
        <f>SUM(O107:R107)</f>
        <v>6000</v>
      </c>
      <c r="T107" s="780">
        <f>S107*N107</f>
        <v>28920</v>
      </c>
      <c r="U107" s="770">
        <v>4.82</v>
      </c>
      <c r="V107" s="369"/>
      <c r="W107" s="369">
        <v>6000</v>
      </c>
      <c r="X107" s="369"/>
      <c r="Y107" s="369"/>
      <c r="Z107" s="345">
        <f>SUM(V107:Y107)</f>
        <v>6000</v>
      </c>
      <c r="AA107" s="760">
        <f>Z107*U107</f>
        <v>28920</v>
      </c>
      <c r="AB107" s="770">
        <v>4.82</v>
      </c>
      <c r="AC107" s="369"/>
      <c r="AD107" s="369">
        <v>6000</v>
      </c>
      <c r="AE107" s="369"/>
      <c r="AF107" s="369"/>
      <c r="AG107" s="345">
        <f>SUM(AC107:AF107)</f>
        <v>6000</v>
      </c>
      <c r="AH107" s="760">
        <f>AG107*AB107</f>
        <v>28920</v>
      </c>
      <c r="AI107" s="346">
        <f>S107+Z107+AG107</f>
        <v>18000</v>
      </c>
      <c r="AJ107" s="760">
        <f>T107+AA107+AH107</f>
        <v>86760</v>
      </c>
      <c r="AK107" s="1150">
        <f>IF(A107&lt;&gt;"",IFERROR(INDEX(PMtbl[[WKst]:[Unit of measure*]],MATCH($A$101&amp;$A107&amp;$E107&amp;$I107,INDEX(PMtbl[Sec]&amp;PMtbl[Category]&amp;PMtbl[INN]&amp;PMtbl[Specification],0,),0),7),""),"")</f>
        <v>4.5</v>
      </c>
      <c r="AL107" s="2048"/>
      <c r="AM107" s="1380">
        <f>IFERROR(INDEX(SETUP!$C$19:$G$62,MATCH((INDEX(PMtbl[[WKst]:[Unit of measure*]],MATCH($A107&amp;$E107&amp;$I107,INDEX(PMtbl[Category]&amp;PMtbl[INN]&amp;PMtbl[Specification],0,),0),3)),SETUP!$D$19:$D$62,0),5),"")</f>
        <v>3</v>
      </c>
      <c r="AN107" s="1380">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0</v>
      </c>
    </row>
    <row r="108" spans="1:40" s="8" customFormat="1">
      <c r="A108" s="2330" t="s">
        <v>2834</v>
      </c>
      <c r="B108" s="2331"/>
      <c r="C108" s="2331"/>
      <c r="D108" s="2331"/>
      <c r="E108" s="2303" t="s">
        <v>1092</v>
      </c>
      <c r="F108" s="2304"/>
      <c r="G108" s="2304"/>
      <c r="H108" s="2304"/>
      <c r="I108" s="2303" t="s">
        <v>1093</v>
      </c>
      <c r="J108" s="2304"/>
      <c r="K108" s="2329"/>
      <c r="L108" s="1164" t="str">
        <f>IF($A108&lt;&gt;"",IFERROR(INDEX(PMtbl[[WKst]:[Unit of measure*]],MATCH($A$101&amp;$A108&amp;$E108&amp;$I108,INDEX(PMtbl[Sec]&amp;PMtbl[Category]&amp;PMtbl[INN]&amp;PMtbl[Specification],0,),0),8),""),"")</f>
        <v>Pack</v>
      </c>
      <c r="M108" s="1148" t="str">
        <f>IF(L108="", "",SETUP!$E$5)</f>
        <v>USD</v>
      </c>
      <c r="N108" s="772">
        <v>52.1</v>
      </c>
      <c r="O108" s="370"/>
      <c r="P108" s="370">
        <v>250</v>
      </c>
      <c r="Q108" s="370"/>
      <c r="R108" s="370"/>
      <c r="S108" s="11">
        <f t="shared" ref="S108:S171" si="18">SUM(O108:R108)</f>
        <v>250</v>
      </c>
      <c r="T108" s="781">
        <f t="shared" ref="T108:T171" si="19">S108*N108</f>
        <v>13025</v>
      </c>
      <c r="U108" s="772">
        <v>52.1</v>
      </c>
      <c r="V108" s="370"/>
      <c r="W108" s="370">
        <v>250</v>
      </c>
      <c r="X108" s="370"/>
      <c r="Y108" s="370"/>
      <c r="Z108" s="348">
        <f t="shared" ref="Z108:Z171" si="20">SUM(V108:Y108)</f>
        <v>250</v>
      </c>
      <c r="AA108" s="771">
        <f t="shared" ref="AA108:AA171" si="21">Z108*U108</f>
        <v>13025</v>
      </c>
      <c r="AB108" s="772">
        <v>52.1</v>
      </c>
      <c r="AC108" s="370"/>
      <c r="AD108" s="370">
        <v>250</v>
      </c>
      <c r="AE108" s="370"/>
      <c r="AF108" s="370"/>
      <c r="AG108" s="349">
        <f t="shared" ref="AG108:AG171" si="22">SUM(AC108:AF108)</f>
        <v>250</v>
      </c>
      <c r="AH108" s="761">
        <f t="shared" ref="AH108:AH171" si="23">AG108*AB108</f>
        <v>13025</v>
      </c>
      <c r="AI108" s="350">
        <f t="shared" ref="AI108:AI171" si="24">S108+Z108+AG108</f>
        <v>750</v>
      </c>
      <c r="AJ108" s="761">
        <f t="shared" ref="AJ108:AJ171" si="25">T108+AA108+AH108</f>
        <v>39075</v>
      </c>
      <c r="AK108" s="1151">
        <f>IF(A108&lt;&gt;"",IFERROR(INDEX(PMtbl[[WKst]:[Unit of measure*]],MATCH($A$101&amp;$A108&amp;$E108&amp;$I108,INDEX(PMtbl[Sec]&amp;PMtbl[Category]&amp;PMtbl[INN]&amp;PMtbl[Specification],0,),0),7),""),"")</f>
        <v>4.7</v>
      </c>
      <c r="AL108" s="2049"/>
      <c r="AM108" s="351">
        <f>IFERROR(INDEX(SETUP!$C$19:$G$62,MATCH((INDEX(PMtbl[[WKst]:[Unit of measure*]],MATCH($A108&amp;$E108&amp;$I108,INDEX(PMtbl[Category]&amp;PMtbl[INN]&amp;PMtbl[Specification],0,),0),3)),SETUP!$D$19:$D$62,0),5),"")</f>
        <v>3</v>
      </c>
      <c r="AN108" s="351">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0</v>
      </c>
    </row>
    <row r="109" spans="1:40" s="8" customFormat="1">
      <c r="A109" s="2336" t="s">
        <v>2834</v>
      </c>
      <c r="B109" s="2337"/>
      <c r="C109" s="2337"/>
      <c r="D109" s="2337"/>
      <c r="E109" s="2301" t="s">
        <v>1084</v>
      </c>
      <c r="F109" s="2302"/>
      <c r="G109" s="2302"/>
      <c r="H109" s="2302"/>
      <c r="I109" s="2301" t="s">
        <v>1085</v>
      </c>
      <c r="J109" s="2302"/>
      <c r="K109" s="2307"/>
      <c r="L109" s="1169" t="str">
        <f>IF($A109&lt;&gt;"",IFERROR(INDEX(PMtbl[[WKst]:[Unit of measure*]],MATCH($A$101&amp;$A109&amp;$E109&amp;$I109,INDEX(PMtbl[Sec]&amp;PMtbl[Category]&amp;PMtbl[INN]&amp;PMtbl[Specification],0,),0),8),""),"")</f>
        <v>Pack</v>
      </c>
      <c r="M109" s="1152" t="str">
        <f>IF(L109="", "",SETUP!$E$5)</f>
        <v>USD</v>
      </c>
      <c r="N109" s="774">
        <v>12.04</v>
      </c>
      <c r="O109" s="371"/>
      <c r="P109" s="371">
        <v>1500</v>
      </c>
      <c r="Q109" s="371"/>
      <c r="R109" s="371"/>
      <c r="S109" s="10">
        <f t="shared" si="18"/>
        <v>1500</v>
      </c>
      <c r="T109" s="782">
        <f t="shared" si="19"/>
        <v>18060</v>
      </c>
      <c r="U109" s="774">
        <v>12.04</v>
      </c>
      <c r="V109" s="371"/>
      <c r="W109" s="371">
        <v>1500</v>
      </c>
      <c r="X109" s="371"/>
      <c r="Y109" s="371"/>
      <c r="Z109" s="352">
        <f t="shared" si="20"/>
        <v>1500</v>
      </c>
      <c r="AA109" s="773">
        <f t="shared" si="21"/>
        <v>18060</v>
      </c>
      <c r="AB109" s="774">
        <v>12.04</v>
      </c>
      <c r="AC109" s="371"/>
      <c r="AD109" s="371">
        <v>1500</v>
      </c>
      <c r="AE109" s="371"/>
      <c r="AF109" s="371"/>
      <c r="AG109" s="353">
        <f t="shared" si="22"/>
        <v>1500</v>
      </c>
      <c r="AH109" s="762">
        <f t="shared" si="23"/>
        <v>18060</v>
      </c>
      <c r="AI109" s="354">
        <f t="shared" si="24"/>
        <v>4500</v>
      </c>
      <c r="AJ109" s="762">
        <f t="shared" si="25"/>
        <v>54180</v>
      </c>
      <c r="AK109" s="1153">
        <f>IF(A109&lt;&gt;"",IFERROR(INDEX(PMtbl[[WKst]:[Unit of measure*]],MATCH($A$101&amp;$A109&amp;$E109&amp;$I109,INDEX(PMtbl[Sec]&amp;PMtbl[Category]&amp;PMtbl[INN]&amp;PMtbl[Specification],0,),0),7),""),"")</f>
        <v>4.5</v>
      </c>
      <c r="AL109" s="2050"/>
      <c r="AM109" s="355">
        <f>IFERROR(INDEX(SETUP!$C$19:$G$62,MATCH((INDEX(PMtbl[[WKst]:[Unit of measure*]],MATCH($A109&amp;$E109&amp;$I109,INDEX(PMtbl[Category]&amp;PMtbl[INN]&amp;PMtbl[Specification],0,),0),3)),SETUP!$D$19:$D$62,0),5),"")</f>
        <v>3</v>
      </c>
      <c r="AN109" s="355">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0</v>
      </c>
    </row>
    <row r="110" spans="1:40">
      <c r="A110" s="2330" t="s">
        <v>2834</v>
      </c>
      <c r="B110" s="2331"/>
      <c r="C110" s="2331"/>
      <c r="D110" s="2331"/>
      <c r="E110" s="2303" t="s">
        <v>1084</v>
      </c>
      <c r="F110" s="2304"/>
      <c r="G110" s="2304"/>
      <c r="H110" s="2304"/>
      <c r="I110" s="2303" t="s">
        <v>1086</v>
      </c>
      <c r="J110" s="2304"/>
      <c r="K110" s="2329"/>
      <c r="L110" s="1166" t="str">
        <f>IF($A110&lt;&gt;"",IFERROR(INDEX(PMtbl[[WKst]:[Unit of measure*]],MATCH($A$101&amp;$A110&amp;$E110&amp;$I110,INDEX(PMtbl[Sec]&amp;PMtbl[Category]&amp;PMtbl[INN]&amp;PMtbl[Specification],0,),0),8),""),"")</f>
        <v>Pack</v>
      </c>
      <c r="M110" s="269" t="str">
        <f>IF(L110="", "",SETUP!$E$5)</f>
        <v>USD</v>
      </c>
      <c r="N110" s="772">
        <v>8.34</v>
      </c>
      <c r="O110" s="370"/>
      <c r="P110" s="370">
        <v>5000</v>
      </c>
      <c r="Q110" s="370"/>
      <c r="R110" s="370"/>
      <c r="S110" s="11">
        <f t="shared" si="18"/>
        <v>5000</v>
      </c>
      <c r="T110" s="781">
        <f t="shared" si="19"/>
        <v>41700</v>
      </c>
      <c r="U110" s="772">
        <v>8.34</v>
      </c>
      <c r="V110" s="370"/>
      <c r="W110" s="370">
        <v>5000</v>
      </c>
      <c r="X110" s="370"/>
      <c r="Y110" s="370"/>
      <c r="Z110" s="348">
        <f t="shared" si="20"/>
        <v>5000</v>
      </c>
      <c r="AA110" s="771">
        <f t="shared" si="21"/>
        <v>41700</v>
      </c>
      <c r="AB110" s="772">
        <v>8.34</v>
      </c>
      <c r="AC110" s="370"/>
      <c r="AD110" s="370">
        <v>5000</v>
      </c>
      <c r="AE110" s="370"/>
      <c r="AF110" s="370"/>
      <c r="AG110" s="349">
        <f t="shared" si="22"/>
        <v>5000</v>
      </c>
      <c r="AH110" s="761">
        <f t="shared" si="23"/>
        <v>41700</v>
      </c>
      <c r="AI110" s="350">
        <f t="shared" si="24"/>
        <v>15000</v>
      </c>
      <c r="AJ110" s="761">
        <f t="shared" si="25"/>
        <v>125100</v>
      </c>
      <c r="AK110" s="14">
        <f>IF(A110&lt;&gt;"",IFERROR(INDEX(PMtbl[[WKst]:[Unit of measure*]],MATCH($A$101&amp;$A110&amp;$E110&amp;$I110,INDEX(PMtbl[Sec]&amp;PMtbl[Category]&amp;PMtbl[INN]&amp;PMtbl[Specification],0,),0),7),""),"")</f>
        <v>4.5</v>
      </c>
      <c r="AL110" s="2049"/>
      <c r="AM110" s="351">
        <f>IFERROR(INDEX(SETUP!$C$19:$G$62,MATCH((INDEX(PMtbl[[WKst]:[Unit of measure*]],MATCH($A110&amp;$E110&amp;$I110,INDEX(PMtbl[Category]&amp;PMtbl[INN]&amp;PMtbl[Specification],0,),0),3)),SETUP!$D$19:$D$62,0),5),"")</f>
        <v>3</v>
      </c>
      <c r="AN110" s="351">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0</v>
      </c>
    </row>
    <row r="111" spans="1:40">
      <c r="A111" s="2336" t="s">
        <v>2834</v>
      </c>
      <c r="B111" s="2337"/>
      <c r="C111" s="2337"/>
      <c r="D111" s="2337"/>
      <c r="E111" s="2301" t="s">
        <v>1152</v>
      </c>
      <c r="F111" s="2302"/>
      <c r="G111" s="2302"/>
      <c r="H111" s="2302"/>
      <c r="I111" s="2301" t="s">
        <v>1153</v>
      </c>
      <c r="J111" s="2302"/>
      <c r="K111" s="2307"/>
      <c r="L111" s="1165" t="str">
        <f>IF($A111&lt;&gt;"",IFERROR(INDEX(PMtbl[[WKst]:[Unit of measure*]],MATCH($A$101&amp;$A111&amp;$E111&amp;$I111,INDEX(PMtbl[Sec]&amp;PMtbl[Category]&amp;PMtbl[INN]&amp;PMtbl[Specification],0,),0),8),""),"")</f>
        <v>Pack</v>
      </c>
      <c r="M111" s="270" t="str">
        <f>IF(L111="", "",SETUP!$E$5)</f>
        <v>USD</v>
      </c>
      <c r="N111" s="774">
        <v>12.14</v>
      </c>
      <c r="O111" s="371"/>
      <c r="P111" s="371">
        <v>600</v>
      </c>
      <c r="Q111" s="371"/>
      <c r="R111" s="371"/>
      <c r="S111" s="10">
        <f t="shared" si="18"/>
        <v>600</v>
      </c>
      <c r="T111" s="782">
        <f t="shared" si="19"/>
        <v>7284</v>
      </c>
      <c r="U111" s="774">
        <v>12.14</v>
      </c>
      <c r="V111" s="371"/>
      <c r="W111" s="371">
        <v>600</v>
      </c>
      <c r="X111" s="371"/>
      <c r="Y111" s="371"/>
      <c r="Z111" s="352">
        <f t="shared" si="20"/>
        <v>600</v>
      </c>
      <c r="AA111" s="773">
        <f t="shared" si="21"/>
        <v>7284</v>
      </c>
      <c r="AB111" s="774">
        <v>12.14</v>
      </c>
      <c r="AC111" s="371"/>
      <c r="AD111" s="371">
        <v>600</v>
      </c>
      <c r="AE111" s="371"/>
      <c r="AF111" s="371"/>
      <c r="AG111" s="353">
        <f t="shared" si="22"/>
        <v>600</v>
      </c>
      <c r="AH111" s="762">
        <f t="shared" si="23"/>
        <v>7284</v>
      </c>
      <c r="AI111" s="354">
        <f t="shared" si="24"/>
        <v>1800</v>
      </c>
      <c r="AJ111" s="762">
        <f t="shared" si="25"/>
        <v>21852</v>
      </c>
      <c r="AK111" s="13">
        <f>IF(A111&lt;&gt;"",IFERROR(INDEX(PMtbl[[WKst]:[Unit of measure*]],MATCH($A$101&amp;$A111&amp;$E111&amp;$I111,INDEX(PMtbl[Sec]&amp;PMtbl[Category]&amp;PMtbl[INN]&amp;PMtbl[Specification],0,),0),7),""),"")</f>
        <v>4.7</v>
      </c>
      <c r="AL111" s="2050"/>
      <c r="AM111" s="355">
        <f>IFERROR(INDEX(SETUP!$C$19:$G$62,MATCH((INDEX(PMtbl[[WKst]:[Unit of measure*]],MATCH($A111&amp;$E111&amp;$I111,INDEX(PMtbl[Category]&amp;PMtbl[INN]&amp;PMtbl[Specification],0,),0),3)),SETUP!$D$19:$D$62,0),5),"")</f>
        <v>3</v>
      </c>
      <c r="AN111" s="355">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0</v>
      </c>
    </row>
    <row r="112" spans="1:40">
      <c r="A112" s="2330" t="s">
        <v>2834</v>
      </c>
      <c r="B112" s="2331"/>
      <c r="C112" s="2331"/>
      <c r="D112" s="2331"/>
      <c r="E112" s="2303" t="s">
        <v>1104</v>
      </c>
      <c r="F112" s="2304"/>
      <c r="G112" s="2304"/>
      <c r="H112" s="2304"/>
      <c r="I112" s="2303" t="s">
        <v>1105</v>
      </c>
      <c r="J112" s="2304"/>
      <c r="K112" s="2329"/>
      <c r="L112" s="1166" t="str">
        <f>IF($A112&lt;&gt;"",IFERROR(INDEX(PMtbl[[WKst]:[Unit of measure*]],MATCH($A$101&amp;$A112&amp;$E112&amp;$I112,INDEX(PMtbl[Sec]&amp;PMtbl[Category]&amp;PMtbl[INN]&amp;PMtbl[Specification],0,),0),8),""),"")</f>
        <v>Pack</v>
      </c>
      <c r="M112" s="269" t="str">
        <f>IF(L112="", "",SETUP!$E$5)</f>
        <v>USD</v>
      </c>
      <c r="N112" s="772">
        <v>95.83</v>
      </c>
      <c r="O112" s="370"/>
      <c r="P112" s="370">
        <v>450</v>
      </c>
      <c r="Q112" s="370"/>
      <c r="R112" s="370"/>
      <c r="S112" s="11">
        <f t="shared" si="18"/>
        <v>450</v>
      </c>
      <c r="T112" s="781">
        <f t="shared" si="19"/>
        <v>43123.5</v>
      </c>
      <c r="U112" s="772">
        <v>95.83</v>
      </c>
      <c r="V112" s="370"/>
      <c r="W112" s="370">
        <v>450</v>
      </c>
      <c r="X112" s="370"/>
      <c r="Y112" s="370"/>
      <c r="Z112" s="348">
        <f t="shared" si="20"/>
        <v>450</v>
      </c>
      <c r="AA112" s="771">
        <f t="shared" si="21"/>
        <v>43123.5</v>
      </c>
      <c r="AB112" s="772">
        <v>95.83</v>
      </c>
      <c r="AC112" s="370"/>
      <c r="AD112" s="370">
        <v>450</v>
      </c>
      <c r="AE112" s="370"/>
      <c r="AF112" s="370"/>
      <c r="AG112" s="349">
        <f t="shared" si="22"/>
        <v>450</v>
      </c>
      <c r="AH112" s="761">
        <f t="shared" si="23"/>
        <v>43123.5</v>
      </c>
      <c r="AI112" s="350">
        <f t="shared" si="24"/>
        <v>1350</v>
      </c>
      <c r="AJ112" s="761">
        <f t="shared" si="25"/>
        <v>129370.5</v>
      </c>
      <c r="AK112" s="14">
        <f>IF(A112&lt;&gt;"",IFERROR(INDEX(PMtbl[[WKst]:[Unit of measure*]],MATCH($A$101&amp;$A112&amp;$E112&amp;$I112,INDEX(PMtbl[Sec]&amp;PMtbl[Category]&amp;PMtbl[INN]&amp;PMtbl[Specification],0,),0),7),""),"")</f>
        <v>4.7</v>
      </c>
      <c r="AL112" s="2049"/>
      <c r="AM112" s="351">
        <f>IFERROR(INDEX(SETUP!$C$19:$G$62,MATCH((INDEX(PMtbl[[WKst]:[Unit of measure*]],MATCH($A112&amp;$E112&amp;$I112,INDEX(PMtbl[Category]&amp;PMtbl[INN]&amp;PMtbl[Specification],0,),0),3)),SETUP!$D$19:$D$62,0),5),"")</f>
        <v>3</v>
      </c>
      <c r="AN112" s="351">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0</v>
      </c>
    </row>
    <row r="113" spans="1:40">
      <c r="A113" s="2336"/>
      <c r="B113" s="2337"/>
      <c r="C113" s="2337"/>
      <c r="D113" s="2337"/>
      <c r="E113" s="2301"/>
      <c r="F113" s="2302"/>
      <c r="G113" s="2302"/>
      <c r="H113" s="2302"/>
      <c r="I113" s="2301"/>
      <c r="J113" s="2302"/>
      <c r="K113" s="2307"/>
      <c r="L113" s="1165" t="str">
        <f>IF($A113&lt;&gt;"",IFERROR(INDEX(PMtbl[[WKst]:[Unit of measure*]],MATCH($A$101&amp;$A113&amp;$E113&amp;$I113,INDEX(PMtbl[Sec]&amp;PMtbl[Category]&amp;PMtbl[INN]&amp;PMtbl[Specification],0,),0),8),""),"")</f>
        <v/>
      </c>
      <c r="M113" s="270" t="str">
        <f>IF(L113="", "",SETUP!$E$5)</f>
        <v/>
      </c>
      <c r="N113" s="774"/>
      <c r="O113" s="371"/>
      <c r="P113" s="371"/>
      <c r="Q113" s="371"/>
      <c r="R113" s="371"/>
      <c r="S113" s="10">
        <f t="shared" si="18"/>
        <v>0</v>
      </c>
      <c r="T113" s="782">
        <f t="shared" si="19"/>
        <v>0</v>
      </c>
      <c r="U113" s="774"/>
      <c r="V113" s="371"/>
      <c r="W113" s="371"/>
      <c r="X113" s="371"/>
      <c r="Y113" s="371"/>
      <c r="Z113" s="352">
        <f t="shared" si="20"/>
        <v>0</v>
      </c>
      <c r="AA113" s="773">
        <f t="shared" si="21"/>
        <v>0</v>
      </c>
      <c r="AB113" s="774"/>
      <c r="AC113" s="371"/>
      <c r="AD113" s="371"/>
      <c r="AE113" s="371"/>
      <c r="AF113" s="371"/>
      <c r="AG113" s="353">
        <f t="shared" si="22"/>
        <v>0</v>
      </c>
      <c r="AH113" s="762">
        <f t="shared" si="23"/>
        <v>0</v>
      </c>
      <c r="AI113" s="354">
        <f t="shared" si="24"/>
        <v>0</v>
      </c>
      <c r="AJ113" s="762">
        <f t="shared" si="25"/>
        <v>0</v>
      </c>
      <c r="AK113" s="13" t="str">
        <f>IF(A113&lt;&gt;"",IFERROR(INDEX(PMtbl[[WKst]:[Unit of measure*]],MATCH($A$101&amp;$A113&amp;$E113&amp;$I113,INDEX(PMtbl[Sec]&amp;PMtbl[Category]&amp;PMtbl[INN]&amp;PMtbl[Specification],0,),0),7),""),"")</f>
        <v/>
      </c>
      <c r="AL113" s="2050"/>
      <c r="AM113" s="355" t="str">
        <f>IFERROR(INDEX(SETUP!$C$19:$G$62,MATCH((INDEX(PMtbl[[WKst]:[Unit of measure*]],MATCH($A113&amp;$E113&amp;$I113,INDEX(PMtbl[Category]&amp;PMtbl[INN]&amp;PMtbl[Specification],0,),0),3)),SETUP!$D$19:$D$62,0),5),"")</f>
        <v/>
      </c>
      <c r="AN113" s="355"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c r="A114" s="2330"/>
      <c r="B114" s="2331"/>
      <c r="C114" s="2331"/>
      <c r="D114" s="2331"/>
      <c r="E114" s="2303"/>
      <c r="F114" s="2304"/>
      <c r="G114" s="2304"/>
      <c r="H114" s="2304"/>
      <c r="I114" s="2303"/>
      <c r="J114" s="2304"/>
      <c r="K114" s="2329"/>
      <c r="L114" s="1166" t="str">
        <f>IF($A114&lt;&gt;"",IFERROR(INDEX(PMtbl[[WKst]:[Unit of measure*]],MATCH($A$101&amp;$A114&amp;$E114&amp;$I114,INDEX(PMtbl[Sec]&amp;PMtbl[Category]&amp;PMtbl[INN]&amp;PMtbl[Specification],0,),0),8),""),"")</f>
        <v/>
      </c>
      <c r="M114" s="269" t="str">
        <f>IF(L114="", "",SETUP!$E$5)</f>
        <v/>
      </c>
      <c r="N114" s="772"/>
      <c r="O114" s="370"/>
      <c r="P114" s="370"/>
      <c r="Q114" s="370"/>
      <c r="R114" s="370"/>
      <c r="S114" s="11">
        <f t="shared" si="18"/>
        <v>0</v>
      </c>
      <c r="T114" s="781">
        <f t="shared" si="19"/>
        <v>0</v>
      </c>
      <c r="U114" s="772"/>
      <c r="V114" s="370"/>
      <c r="W114" s="370"/>
      <c r="X114" s="370"/>
      <c r="Y114" s="370"/>
      <c r="Z114" s="348">
        <f t="shared" si="20"/>
        <v>0</v>
      </c>
      <c r="AA114" s="771">
        <f t="shared" si="21"/>
        <v>0</v>
      </c>
      <c r="AB114" s="772"/>
      <c r="AC114" s="370"/>
      <c r="AD114" s="370"/>
      <c r="AE114" s="370"/>
      <c r="AF114" s="370"/>
      <c r="AG114" s="349">
        <f t="shared" si="22"/>
        <v>0</v>
      </c>
      <c r="AH114" s="761">
        <f t="shared" si="23"/>
        <v>0</v>
      </c>
      <c r="AI114" s="350">
        <f t="shared" si="24"/>
        <v>0</v>
      </c>
      <c r="AJ114" s="761">
        <f t="shared" si="25"/>
        <v>0</v>
      </c>
      <c r="AK114" s="14" t="str">
        <f>IF(A114&lt;&gt;"",IFERROR(INDEX(PMtbl[[WKst]:[Unit of measure*]],MATCH($A$101&amp;$A114&amp;$E114&amp;$I114,INDEX(PMtbl[Sec]&amp;PMtbl[Category]&amp;PMtbl[INN]&amp;PMtbl[Specification],0,),0),7),""),"")</f>
        <v/>
      </c>
      <c r="AL114" s="2049"/>
      <c r="AM114" s="351" t="str">
        <f>IFERROR(INDEX(SETUP!$C$19:$G$62,MATCH((INDEX(PMtbl[[WKst]:[Unit of measure*]],MATCH($A114&amp;$E114&amp;$I114,INDEX(PMtbl[Category]&amp;PMtbl[INN]&amp;PMtbl[Specification],0,),0),3)),SETUP!$D$19:$D$62,0),5),"")</f>
        <v/>
      </c>
      <c r="AN114" s="351"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c r="A115" s="2336"/>
      <c r="B115" s="2337"/>
      <c r="C115" s="2337"/>
      <c r="D115" s="2337"/>
      <c r="E115" s="2301"/>
      <c r="F115" s="2302"/>
      <c r="G115" s="2302"/>
      <c r="H115" s="2302"/>
      <c r="I115" s="2301"/>
      <c r="J115" s="2302"/>
      <c r="K115" s="2307"/>
      <c r="L115" s="1165" t="str">
        <f>IF($A115&lt;&gt;"",IFERROR(INDEX(PMtbl[[WKst]:[Unit of measure*]],MATCH($A$101&amp;$A115&amp;$E115&amp;$I115,INDEX(PMtbl[Sec]&amp;PMtbl[Category]&amp;PMtbl[INN]&amp;PMtbl[Specification],0,),0),8),""),"")</f>
        <v/>
      </c>
      <c r="M115" s="270" t="str">
        <f>IF(L115="", "",SETUP!$E$5)</f>
        <v/>
      </c>
      <c r="N115" s="774"/>
      <c r="O115" s="371"/>
      <c r="P115" s="371"/>
      <c r="Q115" s="371"/>
      <c r="R115" s="371"/>
      <c r="S115" s="10">
        <f t="shared" si="18"/>
        <v>0</v>
      </c>
      <c r="T115" s="782">
        <f t="shared" si="19"/>
        <v>0</v>
      </c>
      <c r="U115" s="774"/>
      <c r="V115" s="371"/>
      <c r="W115" s="371"/>
      <c r="X115" s="371"/>
      <c r="Y115" s="371"/>
      <c r="Z115" s="352">
        <f t="shared" si="20"/>
        <v>0</v>
      </c>
      <c r="AA115" s="773">
        <f t="shared" si="21"/>
        <v>0</v>
      </c>
      <c r="AB115" s="774"/>
      <c r="AC115" s="371"/>
      <c r="AD115" s="371"/>
      <c r="AE115" s="371"/>
      <c r="AF115" s="371"/>
      <c r="AG115" s="353">
        <f t="shared" si="22"/>
        <v>0</v>
      </c>
      <c r="AH115" s="762">
        <f t="shared" si="23"/>
        <v>0</v>
      </c>
      <c r="AI115" s="354">
        <f t="shared" si="24"/>
        <v>0</v>
      </c>
      <c r="AJ115" s="762">
        <f t="shared" si="25"/>
        <v>0</v>
      </c>
      <c r="AK115" s="13" t="str">
        <f>IF(A115&lt;&gt;"",IFERROR(INDEX(PMtbl[[WKst]:[Unit of measure*]],MATCH($A$101&amp;$A115&amp;$E115&amp;$I115,INDEX(PMtbl[Sec]&amp;PMtbl[Category]&amp;PMtbl[INN]&amp;PMtbl[Specification],0,),0),7),""),"")</f>
        <v/>
      </c>
      <c r="AL115" s="2050"/>
      <c r="AM115" s="355" t="str">
        <f>IFERROR(INDEX(SETUP!$C$19:$G$62,MATCH((INDEX(PMtbl[[WKst]:[Unit of measure*]],MATCH($A115&amp;$E115&amp;$I115,INDEX(PMtbl[Category]&amp;PMtbl[INN]&amp;PMtbl[Specification],0,),0),3)),SETUP!$D$19:$D$62,0),5),"")</f>
        <v/>
      </c>
      <c r="AN115" s="355"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c r="A116" s="2330"/>
      <c r="B116" s="2331"/>
      <c r="C116" s="2331"/>
      <c r="D116" s="2331"/>
      <c r="E116" s="2303"/>
      <c r="F116" s="2304"/>
      <c r="G116" s="2304"/>
      <c r="H116" s="2304"/>
      <c r="I116" s="2303"/>
      <c r="J116" s="2304"/>
      <c r="K116" s="2329"/>
      <c r="L116" s="1166" t="str">
        <f>IF($A116&lt;&gt;"",IFERROR(INDEX(PMtbl[[WKst]:[Unit of measure*]],MATCH($A$101&amp;$A116&amp;$E116&amp;$I116,INDEX(PMtbl[Sec]&amp;PMtbl[Category]&amp;PMtbl[INN]&amp;PMtbl[Specification],0,),0),8),""),"")</f>
        <v/>
      </c>
      <c r="M116" s="269" t="str">
        <f>IF(L116="", "",SETUP!$E$5)</f>
        <v/>
      </c>
      <c r="N116" s="772"/>
      <c r="O116" s="370"/>
      <c r="P116" s="370"/>
      <c r="Q116" s="370"/>
      <c r="R116" s="370"/>
      <c r="S116" s="11">
        <f t="shared" si="18"/>
        <v>0</v>
      </c>
      <c r="T116" s="781">
        <f t="shared" si="19"/>
        <v>0</v>
      </c>
      <c r="U116" s="772"/>
      <c r="V116" s="370"/>
      <c r="W116" s="370"/>
      <c r="X116" s="370"/>
      <c r="Y116" s="370"/>
      <c r="Z116" s="348">
        <f t="shared" si="20"/>
        <v>0</v>
      </c>
      <c r="AA116" s="771">
        <f t="shared" si="21"/>
        <v>0</v>
      </c>
      <c r="AB116" s="772"/>
      <c r="AC116" s="370"/>
      <c r="AD116" s="370"/>
      <c r="AE116" s="370"/>
      <c r="AF116" s="370"/>
      <c r="AG116" s="349">
        <f t="shared" si="22"/>
        <v>0</v>
      </c>
      <c r="AH116" s="761">
        <f t="shared" si="23"/>
        <v>0</v>
      </c>
      <c r="AI116" s="350">
        <f t="shared" si="24"/>
        <v>0</v>
      </c>
      <c r="AJ116" s="761">
        <f t="shared" si="25"/>
        <v>0</v>
      </c>
      <c r="AK116" s="14" t="str">
        <f>IF(A116&lt;&gt;"",IFERROR(INDEX(PMtbl[[WKst]:[Unit of measure*]],MATCH($A$101&amp;$A116&amp;$E116&amp;$I116,INDEX(PMtbl[Sec]&amp;PMtbl[Category]&amp;PMtbl[INN]&amp;PMtbl[Specification],0,),0),7),""),"")</f>
        <v/>
      </c>
      <c r="AL116" s="2049"/>
      <c r="AM116" s="351" t="str">
        <f>IFERROR(INDEX(SETUP!$C$19:$G$62,MATCH((INDEX(PMtbl[[WKst]:[Unit of measure*]],MATCH($A116&amp;$E116&amp;$I116,INDEX(PMtbl[Category]&amp;PMtbl[INN]&amp;PMtbl[Specification],0,),0),3)),SETUP!$D$19:$D$62,0),5),"")</f>
        <v/>
      </c>
      <c r="AN116" s="351"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c r="A117" s="2336"/>
      <c r="B117" s="2337"/>
      <c r="C117" s="2337"/>
      <c r="D117" s="2337"/>
      <c r="E117" s="2301"/>
      <c r="F117" s="2302"/>
      <c r="G117" s="2302"/>
      <c r="H117" s="2302"/>
      <c r="I117" s="2301"/>
      <c r="J117" s="2302"/>
      <c r="K117" s="2307"/>
      <c r="L117" s="1165" t="str">
        <f>IF($A117&lt;&gt;"",IFERROR(INDEX(PMtbl[[WKst]:[Unit of measure*]],MATCH($A$101&amp;$A117&amp;$E117&amp;$I117,INDEX(PMtbl[Sec]&amp;PMtbl[Category]&amp;PMtbl[INN]&amp;PMtbl[Specification],0,),0),8),""),"")</f>
        <v/>
      </c>
      <c r="M117" s="270" t="str">
        <f>IF(L117="", "",SETUP!$E$5)</f>
        <v/>
      </c>
      <c r="N117" s="774"/>
      <c r="O117" s="371"/>
      <c r="P117" s="371"/>
      <c r="Q117" s="371"/>
      <c r="R117" s="371"/>
      <c r="S117" s="10">
        <f t="shared" si="18"/>
        <v>0</v>
      </c>
      <c r="T117" s="782">
        <f t="shared" si="19"/>
        <v>0</v>
      </c>
      <c r="U117" s="774"/>
      <c r="V117" s="371"/>
      <c r="W117" s="371"/>
      <c r="X117" s="371"/>
      <c r="Y117" s="371"/>
      <c r="Z117" s="352">
        <f t="shared" si="20"/>
        <v>0</v>
      </c>
      <c r="AA117" s="773">
        <f t="shared" si="21"/>
        <v>0</v>
      </c>
      <c r="AB117" s="774"/>
      <c r="AC117" s="371"/>
      <c r="AD117" s="371"/>
      <c r="AE117" s="371"/>
      <c r="AF117" s="371"/>
      <c r="AG117" s="353">
        <f t="shared" si="22"/>
        <v>0</v>
      </c>
      <c r="AH117" s="762">
        <f t="shared" si="23"/>
        <v>0</v>
      </c>
      <c r="AI117" s="354">
        <f t="shared" si="24"/>
        <v>0</v>
      </c>
      <c r="AJ117" s="762">
        <f t="shared" si="25"/>
        <v>0</v>
      </c>
      <c r="AK117" s="13" t="str">
        <f>IF(A117&lt;&gt;"",IFERROR(INDEX(PMtbl[[WKst]:[Unit of measure*]],MATCH($A$101&amp;$A117&amp;$E117&amp;$I117,INDEX(PMtbl[Sec]&amp;PMtbl[Category]&amp;PMtbl[INN]&amp;PMtbl[Specification],0,),0),7),""),"")</f>
        <v/>
      </c>
      <c r="AL117" s="2050"/>
      <c r="AM117" s="355" t="str">
        <f>IFERROR(INDEX(SETUP!$C$19:$G$62,MATCH((INDEX(PMtbl[[WKst]:[Unit of measure*]],MATCH($A117&amp;$E117&amp;$I117,INDEX(PMtbl[Category]&amp;PMtbl[INN]&amp;PMtbl[Specification],0,),0),3)),SETUP!$D$19:$D$62,0),5),"")</f>
        <v/>
      </c>
      <c r="AN117" s="355"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c r="A118" s="2330"/>
      <c r="B118" s="2331"/>
      <c r="C118" s="2331"/>
      <c r="D118" s="2331"/>
      <c r="E118" s="2303"/>
      <c r="F118" s="2304"/>
      <c r="G118" s="2304"/>
      <c r="H118" s="2304"/>
      <c r="I118" s="2303"/>
      <c r="J118" s="2304"/>
      <c r="K118" s="2329"/>
      <c r="L118" s="1166" t="str">
        <f>IF($A118&lt;&gt;"",IFERROR(INDEX(PMtbl[[WKst]:[Unit of measure*]],MATCH($A$101&amp;$A118&amp;$E118&amp;$I118,INDEX(PMtbl[Sec]&amp;PMtbl[Category]&amp;PMtbl[INN]&amp;PMtbl[Specification],0,),0),8),""),"")</f>
        <v/>
      </c>
      <c r="M118" s="269" t="str">
        <f>IF(L118="", "",SETUP!$E$5)</f>
        <v/>
      </c>
      <c r="N118" s="772"/>
      <c r="O118" s="370"/>
      <c r="P118" s="370"/>
      <c r="Q118" s="370"/>
      <c r="R118" s="370"/>
      <c r="S118" s="11">
        <f t="shared" si="18"/>
        <v>0</v>
      </c>
      <c r="T118" s="781">
        <f t="shared" si="19"/>
        <v>0</v>
      </c>
      <c r="U118" s="772"/>
      <c r="V118" s="370"/>
      <c r="W118" s="370"/>
      <c r="X118" s="370"/>
      <c r="Y118" s="370"/>
      <c r="Z118" s="348">
        <f t="shared" si="20"/>
        <v>0</v>
      </c>
      <c r="AA118" s="771">
        <f t="shared" si="21"/>
        <v>0</v>
      </c>
      <c r="AB118" s="772"/>
      <c r="AC118" s="370"/>
      <c r="AD118" s="370"/>
      <c r="AE118" s="370"/>
      <c r="AF118" s="370"/>
      <c r="AG118" s="349">
        <f t="shared" si="22"/>
        <v>0</v>
      </c>
      <c r="AH118" s="761">
        <f t="shared" si="23"/>
        <v>0</v>
      </c>
      <c r="AI118" s="350">
        <f t="shared" si="24"/>
        <v>0</v>
      </c>
      <c r="AJ118" s="761">
        <f t="shared" si="25"/>
        <v>0</v>
      </c>
      <c r="AK118" s="14" t="str">
        <f>IF(A118&lt;&gt;"",IFERROR(INDEX(PMtbl[[WKst]:[Unit of measure*]],MATCH($A$101&amp;$A118&amp;$E118&amp;$I118,INDEX(PMtbl[Sec]&amp;PMtbl[Category]&amp;PMtbl[INN]&amp;PMtbl[Specification],0,),0),7),""),"")</f>
        <v/>
      </c>
      <c r="AL118" s="2049"/>
      <c r="AM118" s="351" t="str">
        <f>IFERROR(INDEX(SETUP!$C$19:$G$62,MATCH((INDEX(PMtbl[[WKst]:[Unit of measure*]],MATCH($A118&amp;$E118&amp;$I118,INDEX(PMtbl[Category]&amp;PMtbl[INN]&amp;PMtbl[Specification],0,),0),3)),SETUP!$D$19:$D$62,0),5),"")</f>
        <v/>
      </c>
      <c r="AN118" s="351"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c r="A119" s="2336"/>
      <c r="B119" s="2337"/>
      <c r="C119" s="2337"/>
      <c r="D119" s="2337"/>
      <c r="E119" s="2301"/>
      <c r="F119" s="2302"/>
      <c r="G119" s="2302"/>
      <c r="H119" s="2302"/>
      <c r="I119" s="2301"/>
      <c r="J119" s="2302"/>
      <c r="K119" s="2307"/>
      <c r="L119" s="1165" t="str">
        <f>IF($A119&lt;&gt;"",IFERROR(INDEX(PMtbl[[WKst]:[Unit of measure*]],MATCH($A$101&amp;$A119&amp;$E119&amp;$I119,INDEX(PMtbl[Sec]&amp;PMtbl[Category]&amp;PMtbl[INN]&amp;PMtbl[Specification],0,),0),8),""),"")</f>
        <v/>
      </c>
      <c r="M119" s="270" t="str">
        <f>IF(L119="", "",SETUP!$E$5)</f>
        <v/>
      </c>
      <c r="N119" s="774"/>
      <c r="O119" s="371"/>
      <c r="P119" s="371"/>
      <c r="Q119" s="371"/>
      <c r="R119" s="371"/>
      <c r="S119" s="10">
        <f t="shared" si="18"/>
        <v>0</v>
      </c>
      <c r="T119" s="782">
        <f t="shared" si="19"/>
        <v>0</v>
      </c>
      <c r="U119" s="774"/>
      <c r="V119" s="371"/>
      <c r="W119" s="371"/>
      <c r="X119" s="371"/>
      <c r="Y119" s="371"/>
      <c r="Z119" s="352">
        <f t="shared" si="20"/>
        <v>0</v>
      </c>
      <c r="AA119" s="773">
        <f t="shared" si="21"/>
        <v>0</v>
      </c>
      <c r="AB119" s="774"/>
      <c r="AC119" s="371"/>
      <c r="AD119" s="371"/>
      <c r="AE119" s="371"/>
      <c r="AF119" s="371"/>
      <c r="AG119" s="353">
        <f t="shared" si="22"/>
        <v>0</v>
      </c>
      <c r="AH119" s="762">
        <f t="shared" si="23"/>
        <v>0</v>
      </c>
      <c r="AI119" s="354">
        <f t="shared" si="24"/>
        <v>0</v>
      </c>
      <c r="AJ119" s="762">
        <f t="shared" si="25"/>
        <v>0</v>
      </c>
      <c r="AK119" s="13" t="str">
        <f>IF(A119&lt;&gt;"",IFERROR(INDEX(PMtbl[[WKst]:[Unit of measure*]],MATCH($A$101&amp;$A119&amp;$E119&amp;$I119,INDEX(PMtbl[Sec]&amp;PMtbl[Category]&amp;PMtbl[INN]&amp;PMtbl[Specification],0,),0),7),""),"")</f>
        <v/>
      </c>
      <c r="AL119" s="2050"/>
      <c r="AM119" s="355" t="str">
        <f>IFERROR(INDEX(SETUP!$C$19:$G$62,MATCH((INDEX(PMtbl[[WKst]:[Unit of measure*]],MATCH($A119&amp;$E119&amp;$I119,INDEX(PMtbl[Category]&amp;PMtbl[INN]&amp;PMtbl[Specification],0,),0),3)),SETUP!$D$19:$D$62,0),5),"")</f>
        <v/>
      </c>
      <c r="AN119" s="355"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c r="A120" s="2330"/>
      <c r="B120" s="2331"/>
      <c r="C120" s="2331"/>
      <c r="D120" s="2331"/>
      <c r="E120" s="2303"/>
      <c r="F120" s="2304"/>
      <c r="G120" s="2304"/>
      <c r="H120" s="2304"/>
      <c r="I120" s="2303"/>
      <c r="J120" s="2304"/>
      <c r="K120" s="2329"/>
      <c r="L120" s="1166" t="str">
        <f>IF($A120&lt;&gt;"",IFERROR(INDEX(PMtbl[[WKst]:[Unit of measure*]],MATCH($A$101&amp;$A120&amp;$E120&amp;$I120,INDEX(PMtbl[Sec]&amp;PMtbl[Category]&amp;PMtbl[INN]&amp;PMtbl[Specification],0,),0),8),""),"")</f>
        <v/>
      </c>
      <c r="M120" s="269" t="str">
        <f>IF(L120="", "",SETUP!$E$5)</f>
        <v/>
      </c>
      <c r="N120" s="772"/>
      <c r="O120" s="370"/>
      <c r="P120" s="370"/>
      <c r="Q120" s="370"/>
      <c r="R120" s="370"/>
      <c r="S120" s="11">
        <f t="shared" si="18"/>
        <v>0</v>
      </c>
      <c r="T120" s="781">
        <f t="shared" si="19"/>
        <v>0</v>
      </c>
      <c r="U120" s="772"/>
      <c r="V120" s="370"/>
      <c r="W120" s="370"/>
      <c r="X120" s="370"/>
      <c r="Y120" s="370"/>
      <c r="Z120" s="348">
        <f t="shared" si="20"/>
        <v>0</v>
      </c>
      <c r="AA120" s="771">
        <f t="shared" si="21"/>
        <v>0</v>
      </c>
      <c r="AB120" s="772"/>
      <c r="AC120" s="370"/>
      <c r="AD120" s="370"/>
      <c r="AE120" s="370"/>
      <c r="AF120" s="370"/>
      <c r="AG120" s="349">
        <f t="shared" si="22"/>
        <v>0</v>
      </c>
      <c r="AH120" s="761">
        <f t="shared" si="23"/>
        <v>0</v>
      </c>
      <c r="AI120" s="350">
        <f t="shared" si="24"/>
        <v>0</v>
      </c>
      <c r="AJ120" s="761">
        <f t="shared" si="25"/>
        <v>0</v>
      </c>
      <c r="AK120" s="14" t="str">
        <f>IF(A120&lt;&gt;"",IFERROR(INDEX(PMtbl[[WKst]:[Unit of measure*]],MATCH($A$101&amp;$A120&amp;$E120&amp;$I120,INDEX(PMtbl[Sec]&amp;PMtbl[Category]&amp;PMtbl[INN]&amp;PMtbl[Specification],0,),0),7),""),"")</f>
        <v/>
      </c>
      <c r="AL120" s="2049"/>
      <c r="AM120" s="351" t="str">
        <f>IFERROR(INDEX(SETUP!$C$19:$G$62,MATCH((INDEX(PMtbl[[WKst]:[Unit of measure*]],MATCH($A120&amp;$E120&amp;$I120,INDEX(PMtbl[Category]&amp;PMtbl[INN]&amp;PMtbl[Specification],0,),0),3)),SETUP!$D$19:$D$62,0),5),"")</f>
        <v/>
      </c>
      <c r="AN120" s="351"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c r="A121" s="2336"/>
      <c r="B121" s="2337"/>
      <c r="C121" s="2337"/>
      <c r="D121" s="2337"/>
      <c r="E121" s="2301"/>
      <c r="F121" s="2302"/>
      <c r="G121" s="2302"/>
      <c r="H121" s="2302"/>
      <c r="I121" s="2301"/>
      <c r="J121" s="2302"/>
      <c r="K121" s="2307"/>
      <c r="L121" s="1165" t="str">
        <f>IF($A121&lt;&gt;"",IFERROR(INDEX(PMtbl[[WKst]:[Unit of measure*]],MATCH($A$101&amp;$A121&amp;$E121&amp;$I121,INDEX(PMtbl[Sec]&amp;PMtbl[Category]&amp;PMtbl[INN]&amp;PMtbl[Specification],0,),0),8),""),"")</f>
        <v/>
      </c>
      <c r="M121" s="270" t="str">
        <f>IF(L121="", "",SETUP!$E$5)</f>
        <v/>
      </c>
      <c r="N121" s="774"/>
      <c r="O121" s="371"/>
      <c r="P121" s="371"/>
      <c r="Q121" s="371"/>
      <c r="R121" s="371"/>
      <c r="S121" s="10">
        <f t="shared" si="18"/>
        <v>0</v>
      </c>
      <c r="T121" s="782">
        <f t="shared" si="19"/>
        <v>0</v>
      </c>
      <c r="U121" s="774"/>
      <c r="V121" s="371"/>
      <c r="W121" s="371"/>
      <c r="X121" s="371"/>
      <c r="Y121" s="371"/>
      <c r="Z121" s="352">
        <f t="shared" si="20"/>
        <v>0</v>
      </c>
      <c r="AA121" s="773">
        <f t="shared" si="21"/>
        <v>0</v>
      </c>
      <c r="AB121" s="774"/>
      <c r="AC121" s="371"/>
      <c r="AD121" s="371"/>
      <c r="AE121" s="371"/>
      <c r="AF121" s="371"/>
      <c r="AG121" s="353">
        <f t="shared" si="22"/>
        <v>0</v>
      </c>
      <c r="AH121" s="762">
        <f t="shared" si="23"/>
        <v>0</v>
      </c>
      <c r="AI121" s="354">
        <f t="shared" si="24"/>
        <v>0</v>
      </c>
      <c r="AJ121" s="762">
        <f t="shared" si="25"/>
        <v>0</v>
      </c>
      <c r="AK121" s="13" t="str">
        <f>IF(A121&lt;&gt;"",IFERROR(INDEX(PMtbl[[WKst]:[Unit of measure*]],MATCH($A$101&amp;$A121&amp;$E121&amp;$I121,INDEX(PMtbl[Sec]&amp;PMtbl[Category]&amp;PMtbl[INN]&amp;PMtbl[Specification],0,),0),7),""),"")</f>
        <v/>
      </c>
      <c r="AL121" s="2050"/>
      <c r="AM121" s="355" t="str">
        <f>IFERROR(INDEX(SETUP!$C$19:$G$62,MATCH((INDEX(PMtbl[[WKst]:[Unit of measure*]],MATCH($A121&amp;$E121&amp;$I121,INDEX(PMtbl[Category]&amp;PMtbl[INN]&amp;PMtbl[Specification],0,),0),3)),SETUP!$D$19:$D$62,0),5),"")</f>
        <v/>
      </c>
      <c r="AN121" s="355"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c r="A122" s="2330"/>
      <c r="B122" s="2331"/>
      <c r="C122" s="2331"/>
      <c r="D122" s="2331"/>
      <c r="E122" s="2303"/>
      <c r="F122" s="2304"/>
      <c r="G122" s="2304"/>
      <c r="H122" s="2304"/>
      <c r="I122" s="2303"/>
      <c r="J122" s="2304"/>
      <c r="K122" s="2329"/>
      <c r="L122" s="1166" t="str">
        <f>IF($A122&lt;&gt;"",IFERROR(INDEX(PMtbl[[WKst]:[Unit of measure*]],MATCH($A$101&amp;$A122&amp;$E122&amp;$I122,INDEX(PMtbl[Sec]&amp;PMtbl[Category]&amp;PMtbl[INN]&amp;PMtbl[Specification],0,),0),8),""),"")</f>
        <v/>
      </c>
      <c r="M122" s="269" t="str">
        <f>IF(L122="", "",SETUP!$E$5)</f>
        <v/>
      </c>
      <c r="N122" s="772"/>
      <c r="O122" s="370"/>
      <c r="P122" s="370"/>
      <c r="Q122" s="370"/>
      <c r="R122" s="370"/>
      <c r="S122" s="11">
        <f t="shared" si="18"/>
        <v>0</v>
      </c>
      <c r="T122" s="781">
        <f t="shared" si="19"/>
        <v>0</v>
      </c>
      <c r="U122" s="772"/>
      <c r="V122" s="370"/>
      <c r="W122" s="370"/>
      <c r="X122" s="370"/>
      <c r="Y122" s="370"/>
      <c r="Z122" s="348">
        <f t="shared" si="20"/>
        <v>0</v>
      </c>
      <c r="AA122" s="771">
        <f t="shared" si="21"/>
        <v>0</v>
      </c>
      <c r="AB122" s="772"/>
      <c r="AC122" s="370"/>
      <c r="AD122" s="370"/>
      <c r="AE122" s="370"/>
      <c r="AF122" s="370"/>
      <c r="AG122" s="349">
        <f t="shared" si="22"/>
        <v>0</v>
      </c>
      <c r="AH122" s="761">
        <f t="shared" si="23"/>
        <v>0</v>
      </c>
      <c r="AI122" s="350">
        <f t="shared" si="24"/>
        <v>0</v>
      </c>
      <c r="AJ122" s="761">
        <f t="shared" si="25"/>
        <v>0</v>
      </c>
      <c r="AK122" s="14" t="str">
        <f>IF(A122&lt;&gt;"",IFERROR(INDEX(PMtbl[[WKst]:[Unit of measure*]],MATCH($A$101&amp;$A122&amp;$E122&amp;$I122,INDEX(PMtbl[Sec]&amp;PMtbl[Category]&amp;PMtbl[INN]&amp;PMtbl[Specification],0,),0),7),""),"")</f>
        <v/>
      </c>
      <c r="AL122" s="2049"/>
      <c r="AM122" s="351" t="str">
        <f>IFERROR(INDEX(SETUP!$C$19:$G$62,MATCH((INDEX(PMtbl[[WKst]:[Unit of measure*]],MATCH($A122&amp;$E122&amp;$I122,INDEX(PMtbl[Category]&amp;PMtbl[INN]&amp;PMtbl[Specification],0,),0),3)),SETUP!$D$19:$D$62,0),5),"")</f>
        <v/>
      </c>
      <c r="AN122" s="351"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c r="A123" s="2336"/>
      <c r="B123" s="2337"/>
      <c r="C123" s="2337"/>
      <c r="D123" s="2337"/>
      <c r="E123" s="2301"/>
      <c r="F123" s="2302"/>
      <c r="G123" s="2302"/>
      <c r="H123" s="2302"/>
      <c r="I123" s="2301"/>
      <c r="J123" s="2302"/>
      <c r="K123" s="2307"/>
      <c r="L123" s="1165" t="str">
        <f>IF($A123&lt;&gt;"",IFERROR(INDEX(PMtbl[[WKst]:[Unit of measure*]],MATCH($A$101&amp;$A123&amp;$E123&amp;$I123,INDEX(PMtbl[Sec]&amp;PMtbl[Category]&amp;PMtbl[INN]&amp;PMtbl[Specification],0,),0),8),""),"")</f>
        <v/>
      </c>
      <c r="M123" s="270" t="str">
        <f>IF(L123="", "",SETUP!$E$5)</f>
        <v/>
      </c>
      <c r="N123" s="774"/>
      <c r="O123" s="371"/>
      <c r="P123" s="371"/>
      <c r="Q123" s="371"/>
      <c r="R123" s="371"/>
      <c r="S123" s="10">
        <f t="shared" si="18"/>
        <v>0</v>
      </c>
      <c r="T123" s="782">
        <f t="shared" si="19"/>
        <v>0</v>
      </c>
      <c r="U123" s="774"/>
      <c r="V123" s="371"/>
      <c r="W123" s="371"/>
      <c r="X123" s="371"/>
      <c r="Y123" s="371"/>
      <c r="Z123" s="352">
        <f t="shared" si="20"/>
        <v>0</v>
      </c>
      <c r="AA123" s="773">
        <f t="shared" si="21"/>
        <v>0</v>
      </c>
      <c r="AB123" s="774"/>
      <c r="AC123" s="371"/>
      <c r="AD123" s="371"/>
      <c r="AE123" s="371"/>
      <c r="AF123" s="371"/>
      <c r="AG123" s="353">
        <f t="shared" si="22"/>
        <v>0</v>
      </c>
      <c r="AH123" s="762">
        <f t="shared" si="23"/>
        <v>0</v>
      </c>
      <c r="AI123" s="354">
        <f t="shared" si="24"/>
        <v>0</v>
      </c>
      <c r="AJ123" s="762">
        <f t="shared" si="25"/>
        <v>0</v>
      </c>
      <c r="AK123" s="13" t="str">
        <f>IF(A123&lt;&gt;"",IFERROR(INDEX(PMtbl[[WKst]:[Unit of measure*]],MATCH($A$101&amp;$A123&amp;$E123&amp;$I123,INDEX(PMtbl[Sec]&amp;PMtbl[Category]&amp;PMtbl[INN]&amp;PMtbl[Specification],0,),0),7),""),"")</f>
        <v/>
      </c>
      <c r="AL123" s="2050"/>
      <c r="AM123" s="355" t="str">
        <f>IFERROR(INDEX(SETUP!$C$19:$G$62,MATCH((INDEX(PMtbl[[WKst]:[Unit of measure*]],MATCH($A123&amp;$E123&amp;$I123,INDEX(PMtbl[Category]&amp;PMtbl[INN]&amp;PMtbl[Specification],0,),0),3)),SETUP!$D$19:$D$62,0),5),"")</f>
        <v/>
      </c>
      <c r="AN123" s="355" t="str">
        <f>IFERROR(IF((INDEX(SETUP!$C$19:$G$62,MATCH((INDEX(PMtbl[[WKst]:[Unit of measure*]],MATCH($A123&amp;$E123&amp;$I123,INDEX(PMtbl[Category]&amp;PMtbl[INN]&amp;PMtbl[Specification],0,),0),3)),SETUP!$D$19:$D$62,0),4))="Upfront",0,INDEX(SETUP!$C$19:$G$62,MATCH((INDEX(PMtbl[[WKst]:[Unit of measure*]],MATCH($A123&amp;$E123&amp;$I123,INDEX(PMtbl[Category]&amp;PMtbl[INN]&amp;PMtbl[Specification],0,),0),3)),SETUP!$D$19:$D$62,0),5)),"")</f>
        <v/>
      </c>
    </row>
    <row r="124" spans="1:40">
      <c r="A124" s="2330"/>
      <c r="B124" s="2331"/>
      <c r="C124" s="2331"/>
      <c r="D124" s="2331"/>
      <c r="E124" s="2303"/>
      <c r="F124" s="2304"/>
      <c r="G124" s="2304"/>
      <c r="H124" s="2304"/>
      <c r="I124" s="2303"/>
      <c r="J124" s="2304"/>
      <c r="K124" s="2329"/>
      <c r="L124" s="1166" t="str">
        <f>IF($A124&lt;&gt;"",IFERROR(INDEX(PMtbl[[WKst]:[Unit of measure*]],MATCH($A$101&amp;$A124&amp;$E124&amp;$I124,INDEX(PMtbl[Sec]&amp;PMtbl[Category]&amp;PMtbl[INN]&amp;PMtbl[Specification],0,),0),8),""),"")</f>
        <v/>
      </c>
      <c r="M124" s="269" t="str">
        <f>IF(L124="", "",SETUP!$E$5)</f>
        <v/>
      </c>
      <c r="N124" s="772"/>
      <c r="O124" s="370"/>
      <c r="P124" s="370"/>
      <c r="Q124" s="370"/>
      <c r="R124" s="370"/>
      <c r="S124" s="11">
        <f t="shared" si="18"/>
        <v>0</v>
      </c>
      <c r="T124" s="781">
        <f t="shared" si="19"/>
        <v>0</v>
      </c>
      <c r="U124" s="772"/>
      <c r="V124" s="370"/>
      <c r="W124" s="370"/>
      <c r="X124" s="370"/>
      <c r="Y124" s="370"/>
      <c r="Z124" s="348">
        <f t="shared" si="20"/>
        <v>0</v>
      </c>
      <c r="AA124" s="771">
        <f t="shared" si="21"/>
        <v>0</v>
      </c>
      <c r="AB124" s="772"/>
      <c r="AC124" s="370"/>
      <c r="AD124" s="370"/>
      <c r="AE124" s="370"/>
      <c r="AF124" s="370"/>
      <c r="AG124" s="349">
        <f t="shared" si="22"/>
        <v>0</v>
      </c>
      <c r="AH124" s="761">
        <f t="shared" si="23"/>
        <v>0</v>
      </c>
      <c r="AI124" s="350">
        <f t="shared" si="24"/>
        <v>0</v>
      </c>
      <c r="AJ124" s="761">
        <f t="shared" si="25"/>
        <v>0</v>
      </c>
      <c r="AK124" s="14" t="str">
        <f>IF(A124&lt;&gt;"",IFERROR(INDEX(PMtbl[[WKst]:[Unit of measure*]],MATCH($A$101&amp;$A124&amp;$E124&amp;$I124,INDEX(PMtbl[Sec]&amp;PMtbl[Category]&amp;PMtbl[INN]&amp;PMtbl[Specification],0,),0),7),""),"")</f>
        <v/>
      </c>
      <c r="AL124" s="2049"/>
      <c r="AM124" s="351" t="str">
        <f>IFERROR(INDEX(SETUP!$C$19:$G$62,MATCH((INDEX(PMtbl[[WKst]:[Unit of measure*]],MATCH($A124&amp;$E124&amp;$I124,INDEX(PMtbl[Category]&amp;PMtbl[INN]&amp;PMtbl[Specification],0,),0),3)),SETUP!$D$19:$D$62,0),5),"")</f>
        <v/>
      </c>
      <c r="AN124" s="351" t="str">
        <f>IFERROR(IF((INDEX(SETUP!$C$19:$G$62,MATCH((INDEX(PMtbl[[WKst]:[Unit of measure*]],MATCH($A124&amp;$E124&amp;$I124,INDEX(PMtbl[Category]&amp;PMtbl[INN]&amp;PMtbl[Specification],0,),0),3)),SETUP!$D$19:$D$62,0),4))="Upfront",0,INDEX(SETUP!$C$19:$G$62,MATCH((INDEX(PMtbl[[WKst]:[Unit of measure*]],MATCH($A124&amp;$E124&amp;$I124,INDEX(PMtbl[Category]&amp;PMtbl[INN]&amp;PMtbl[Specification],0,),0),3)),SETUP!$D$19:$D$62,0),5)),"")</f>
        <v/>
      </c>
    </row>
    <row r="125" spans="1:40">
      <c r="A125" s="2336"/>
      <c r="B125" s="2337"/>
      <c r="C125" s="2337"/>
      <c r="D125" s="2337"/>
      <c r="E125" s="2301"/>
      <c r="F125" s="2302"/>
      <c r="G125" s="2302"/>
      <c r="H125" s="2302"/>
      <c r="I125" s="2301"/>
      <c r="J125" s="2302"/>
      <c r="K125" s="2307"/>
      <c r="L125" s="1165" t="str">
        <f>IF($A125&lt;&gt;"",IFERROR(INDEX(PMtbl[[WKst]:[Unit of measure*]],MATCH($A$101&amp;$A125&amp;$E125&amp;$I125,INDEX(PMtbl[Sec]&amp;PMtbl[Category]&amp;PMtbl[INN]&amp;PMtbl[Specification],0,),0),8),""),"")</f>
        <v/>
      </c>
      <c r="M125" s="270" t="str">
        <f>IF(L125="", "",SETUP!$E$5)</f>
        <v/>
      </c>
      <c r="N125" s="774"/>
      <c r="O125" s="371"/>
      <c r="P125" s="371"/>
      <c r="Q125" s="371"/>
      <c r="R125" s="371"/>
      <c r="S125" s="10">
        <f t="shared" si="18"/>
        <v>0</v>
      </c>
      <c r="T125" s="782">
        <f t="shared" si="19"/>
        <v>0</v>
      </c>
      <c r="U125" s="774"/>
      <c r="V125" s="371"/>
      <c r="W125" s="371"/>
      <c r="X125" s="371"/>
      <c r="Y125" s="371"/>
      <c r="Z125" s="352">
        <f t="shared" si="20"/>
        <v>0</v>
      </c>
      <c r="AA125" s="773">
        <f t="shared" si="21"/>
        <v>0</v>
      </c>
      <c r="AB125" s="774"/>
      <c r="AC125" s="371"/>
      <c r="AD125" s="371"/>
      <c r="AE125" s="371"/>
      <c r="AF125" s="371"/>
      <c r="AG125" s="353">
        <f t="shared" si="22"/>
        <v>0</v>
      </c>
      <c r="AH125" s="762">
        <f t="shared" si="23"/>
        <v>0</v>
      </c>
      <c r="AI125" s="354">
        <f t="shared" si="24"/>
        <v>0</v>
      </c>
      <c r="AJ125" s="762">
        <f t="shared" si="25"/>
        <v>0</v>
      </c>
      <c r="AK125" s="13" t="str">
        <f>IF(A125&lt;&gt;"",IFERROR(INDEX(PMtbl[[WKst]:[Unit of measure*]],MATCH($A$101&amp;$A125&amp;$E125&amp;$I125,INDEX(PMtbl[Sec]&amp;PMtbl[Category]&amp;PMtbl[INN]&amp;PMtbl[Specification],0,),0),7),""),"")</f>
        <v/>
      </c>
      <c r="AL125" s="2050"/>
      <c r="AM125" s="355" t="str">
        <f>IFERROR(INDEX(SETUP!$C$19:$G$62,MATCH((INDEX(PMtbl[[WKst]:[Unit of measure*]],MATCH($A125&amp;$E125&amp;$I125,INDEX(PMtbl[Category]&amp;PMtbl[INN]&amp;PMtbl[Specification],0,),0),3)),SETUP!$D$19:$D$62,0),5),"")</f>
        <v/>
      </c>
      <c r="AN125" s="355" t="str">
        <f>IFERROR(IF((INDEX(SETUP!$C$19:$G$62,MATCH((INDEX(PMtbl[[WKst]:[Unit of measure*]],MATCH($A125&amp;$E125&amp;$I125,INDEX(PMtbl[Category]&amp;PMtbl[INN]&amp;PMtbl[Specification],0,),0),3)),SETUP!$D$19:$D$62,0),4))="Upfront",0,INDEX(SETUP!$C$19:$G$62,MATCH((INDEX(PMtbl[[WKst]:[Unit of measure*]],MATCH($A125&amp;$E125&amp;$I125,INDEX(PMtbl[Category]&amp;PMtbl[INN]&amp;PMtbl[Specification],0,),0),3)),SETUP!$D$19:$D$62,0),5)),"")</f>
        <v/>
      </c>
    </row>
    <row r="126" spans="1:40">
      <c r="A126" s="2330"/>
      <c r="B126" s="2331"/>
      <c r="C126" s="2331"/>
      <c r="D126" s="2331"/>
      <c r="E126" s="2303"/>
      <c r="F126" s="2304"/>
      <c r="G126" s="2304"/>
      <c r="H126" s="2304"/>
      <c r="I126" s="2303"/>
      <c r="J126" s="2304"/>
      <c r="K126" s="2329"/>
      <c r="L126" s="1166" t="str">
        <f>IF($A126&lt;&gt;"",IFERROR(INDEX(PMtbl[[WKst]:[Unit of measure*]],MATCH($A$101&amp;$A126&amp;$E126&amp;$I126,INDEX(PMtbl[Sec]&amp;PMtbl[Category]&amp;PMtbl[INN]&amp;PMtbl[Specification],0,),0),8),""),"")</f>
        <v/>
      </c>
      <c r="M126" s="269" t="str">
        <f>IF(L126="", "",SETUP!$E$5)</f>
        <v/>
      </c>
      <c r="N126" s="772"/>
      <c r="O126" s="370"/>
      <c r="P126" s="370"/>
      <c r="Q126" s="370"/>
      <c r="R126" s="370"/>
      <c r="S126" s="11">
        <f t="shared" si="18"/>
        <v>0</v>
      </c>
      <c r="T126" s="781">
        <f t="shared" si="19"/>
        <v>0</v>
      </c>
      <c r="U126" s="772"/>
      <c r="V126" s="370"/>
      <c r="W126" s="370"/>
      <c r="X126" s="370"/>
      <c r="Y126" s="370"/>
      <c r="Z126" s="348">
        <f t="shared" si="20"/>
        <v>0</v>
      </c>
      <c r="AA126" s="771">
        <f t="shared" si="21"/>
        <v>0</v>
      </c>
      <c r="AB126" s="772"/>
      <c r="AC126" s="370"/>
      <c r="AD126" s="370"/>
      <c r="AE126" s="370"/>
      <c r="AF126" s="370"/>
      <c r="AG126" s="349">
        <f t="shared" si="22"/>
        <v>0</v>
      </c>
      <c r="AH126" s="761">
        <f t="shared" si="23"/>
        <v>0</v>
      </c>
      <c r="AI126" s="350">
        <f t="shared" si="24"/>
        <v>0</v>
      </c>
      <c r="AJ126" s="761">
        <f t="shared" si="25"/>
        <v>0</v>
      </c>
      <c r="AK126" s="14" t="str">
        <f>IF(A126&lt;&gt;"",IFERROR(INDEX(PMtbl[[WKst]:[Unit of measure*]],MATCH($A$101&amp;$A126&amp;$E126&amp;$I126,INDEX(PMtbl[Sec]&amp;PMtbl[Category]&amp;PMtbl[INN]&amp;PMtbl[Specification],0,),0),7),""),"")</f>
        <v/>
      </c>
      <c r="AL126" s="2049"/>
      <c r="AM126" s="351" t="str">
        <f>IFERROR(INDEX(SETUP!$C$19:$G$62,MATCH((INDEX(PMtbl[[WKst]:[Unit of measure*]],MATCH($A126&amp;$E126&amp;$I126,INDEX(PMtbl[Category]&amp;PMtbl[INN]&amp;PMtbl[Specification],0,),0),3)),SETUP!$D$19:$D$62,0),5),"")</f>
        <v/>
      </c>
      <c r="AN126" s="351" t="str">
        <f>IFERROR(IF((INDEX(SETUP!$C$19:$G$62,MATCH((INDEX(PMtbl[[WKst]:[Unit of measure*]],MATCH($A126&amp;$E126&amp;$I126,INDEX(PMtbl[Category]&amp;PMtbl[INN]&amp;PMtbl[Specification],0,),0),3)),SETUP!$D$19:$D$62,0),4))="Upfront",0,INDEX(SETUP!$C$19:$G$62,MATCH((INDEX(PMtbl[[WKst]:[Unit of measure*]],MATCH($A126&amp;$E126&amp;$I126,INDEX(PMtbl[Category]&amp;PMtbl[INN]&amp;PMtbl[Specification],0,),0),3)),SETUP!$D$19:$D$62,0),5)),"")</f>
        <v/>
      </c>
    </row>
    <row r="127" spans="1:40">
      <c r="A127" s="2336"/>
      <c r="B127" s="2337"/>
      <c r="C127" s="2337"/>
      <c r="D127" s="2337"/>
      <c r="E127" s="2301"/>
      <c r="F127" s="2302"/>
      <c r="G127" s="2302"/>
      <c r="H127" s="2302"/>
      <c r="I127" s="2301"/>
      <c r="J127" s="2302"/>
      <c r="K127" s="2307"/>
      <c r="L127" s="1165" t="str">
        <f>IF($A127&lt;&gt;"",IFERROR(INDEX(PMtbl[[WKst]:[Unit of measure*]],MATCH($A$101&amp;$A127&amp;$E127&amp;$I127,INDEX(PMtbl[Sec]&amp;PMtbl[Category]&amp;PMtbl[INN]&amp;PMtbl[Specification],0,),0),8),""),"")</f>
        <v/>
      </c>
      <c r="M127" s="270" t="str">
        <f>IF(L127="", "",SETUP!$E$5)</f>
        <v/>
      </c>
      <c r="N127" s="774"/>
      <c r="O127" s="371"/>
      <c r="P127" s="371"/>
      <c r="Q127" s="371"/>
      <c r="R127" s="371"/>
      <c r="S127" s="10">
        <f t="shared" si="18"/>
        <v>0</v>
      </c>
      <c r="T127" s="782">
        <f t="shared" si="19"/>
        <v>0</v>
      </c>
      <c r="U127" s="774"/>
      <c r="V127" s="371"/>
      <c r="W127" s="371"/>
      <c r="X127" s="371"/>
      <c r="Y127" s="371"/>
      <c r="Z127" s="352">
        <f t="shared" si="20"/>
        <v>0</v>
      </c>
      <c r="AA127" s="773">
        <f t="shared" si="21"/>
        <v>0</v>
      </c>
      <c r="AB127" s="774"/>
      <c r="AC127" s="371"/>
      <c r="AD127" s="371"/>
      <c r="AE127" s="371"/>
      <c r="AF127" s="371"/>
      <c r="AG127" s="353">
        <f t="shared" si="22"/>
        <v>0</v>
      </c>
      <c r="AH127" s="762">
        <f t="shared" si="23"/>
        <v>0</v>
      </c>
      <c r="AI127" s="354">
        <f t="shared" si="24"/>
        <v>0</v>
      </c>
      <c r="AJ127" s="762">
        <f t="shared" si="25"/>
        <v>0</v>
      </c>
      <c r="AK127" s="13" t="str">
        <f>IF(A127&lt;&gt;"",IFERROR(INDEX(PMtbl[[WKst]:[Unit of measure*]],MATCH($A$101&amp;$A127&amp;$E127&amp;$I127,INDEX(PMtbl[Sec]&amp;PMtbl[Category]&amp;PMtbl[INN]&amp;PMtbl[Specification],0,),0),7),""),"")</f>
        <v/>
      </c>
      <c r="AL127" s="2050"/>
      <c r="AM127" s="355" t="str">
        <f>IFERROR(INDEX(SETUP!$C$19:$G$62,MATCH((INDEX(PMtbl[[WKst]:[Unit of measure*]],MATCH($A127&amp;$E127&amp;$I127,INDEX(PMtbl[Category]&amp;PMtbl[INN]&amp;PMtbl[Specification],0,),0),3)),SETUP!$D$19:$D$62,0),5),"")</f>
        <v/>
      </c>
      <c r="AN127" s="355" t="str">
        <f>IFERROR(IF((INDEX(SETUP!$C$19:$G$62,MATCH((INDEX(PMtbl[[WKst]:[Unit of measure*]],MATCH($A127&amp;$E127&amp;$I127,INDEX(PMtbl[Category]&amp;PMtbl[INN]&amp;PMtbl[Specification],0,),0),3)),SETUP!$D$19:$D$62,0),4))="Upfront",0,INDEX(SETUP!$C$19:$G$62,MATCH((INDEX(PMtbl[[WKst]:[Unit of measure*]],MATCH($A127&amp;$E127&amp;$I127,INDEX(PMtbl[Category]&amp;PMtbl[INN]&amp;PMtbl[Specification],0,),0),3)),SETUP!$D$19:$D$62,0),5)),"")</f>
        <v/>
      </c>
    </row>
    <row r="128" spans="1:40">
      <c r="A128" s="2330"/>
      <c r="B128" s="2331"/>
      <c r="C128" s="2331"/>
      <c r="D128" s="2331"/>
      <c r="E128" s="2303"/>
      <c r="F128" s="2304"/>
      <c r="G128" s="2304"/>
      <c r="H128" s="2304"/>
      <c r="I128" s="2303"/>
      <c r="J128" s="2304"/>
      <c r="K128" s="2329"/>
      <c r="L128" s="1166" t="str">
        <f>IF($A128&lt;&gt;"",IFERROR(INDEX(PMtbl[[WKst]:[Unit of measure*]],MATCH($A$101&amp;$A128&amp;$E128&amp;$I128,INDEX(PMtbl[Sec]&amp;PMtbl[Category]&amp;PMtbl[INN]&amp;PMtbl[Specification],0,),0),8),""),"")</f>
        <v/>
      </c>
      <c r="M128" s="269" t="str">
        <f>IF(L128="", "",SETUP!$E$5)</f>
        <v/>
      </c>
      <c r="N128" s="772"/>
      <c r="O128" s="370"/>
      <c r="P128" s="370"/>
      <c r="Q128" s="370"/>
      <c r="R128" s="370"/>
      <c r="S128" s="11">
        <f t="shared" si="18"/>
        <v>0</v>
      </c>
      <c r="T128" s="781">
        <f t="shared" si="19"/>
        <v>0</v>
      </c>
      <c r="U128" s="772"/>
      <c r="V128" s="370"/>
      <c r="W128" s="370"/>
      <c r="X128" s="370"/>
      <c r="Y128" s="370"/>
      <c r="Z128" s="348">
        <f t="shared" si="20"/>
        <v>0</v>
      </c>
      <c r="AA128" s="771">
        <f t="shared" si="21"/>
        <v>0</v>
      </c>
      <c r="AB128" s="772"/>
      <c r="AC128" s="370"/>
      <c r="AD128" s="370"/>
      <c r="AE128" s="370"/>
      <c r="AF128" s="370"/>
      <c r="AG128" s="349">
        <f t="shared" si="22"/>
        <v>0</v>
      </c>
      <c r="AH128" s="761">
        <f t="shared" si="23"/>
        <v>0</v>
      </c>
      <c r="AI128" s="350">
        <f t="shared" si="24"/>
        <v>0</v>
      </c>
      <c r="AJ128" s="761">
        <f t="shared" si="25"/>
        <v>0</v>
      </c>
      <c r="AK128" s="14" t="str">
        <f>IF(A128&lt;&gt;"",IFERROR(INDEX(PMtbl[[WKst]:[Unit of measure*]],MATCH($A$101&amp;$A128&amp;$E128&amp;$I128,INDEX(PMtbl[Sec]&amp;PMtbl[Category]&amp;PMtbl[INN]&amp;PMtbl[Specification],0,),0),7),""),"")</f>
        <v/>
      </c>
      <c r="AL128" s="2049"/>
      <c r="AM128" s="351" t="str">
        <f>IFERROR(INDEX(SETUP!$C$19:$G$62,MATCH((INDEX(PMtbl[[WKst]:[Unit of measure*]],MATCH($A128&amp;$E128&amp;$I128,INDEX(PMtbl[Category]&amp;PMtbl[INN]&amp;PMtbl[Specification],0,),0),3)),SETUP!$D$19:$D$62,0),5),"")</f>
        <v/>
      </c>
      <c r="AN128" s="351" t="str">
        <f>IFERROR(IF((INDEX(SETUP!$C$19:$G$62,MATCH((INDEX(PMtbl[[WKst]:[Unit of measure*]],MATCH($A128&amp;$E128&amp;$I128,INDEX(PMtbl[Category]&amp;PMtbl[INN]&amp;PMtbl[Specification],0,),0),3)),SETUP!$D$19:$D$62,0),4))="Upfront",0,INDEX(SETUP!$C$19:$G$62,MATCH((INDEX(PMtbl[[WKst]:[Unit of measure*]],MATCH($A128&amp;$E128&amp;$I128,INDEX(PMtbl[Category]&amp;PMtbl[INN]&amp;PMtbl[Specification],0,),0),3)),SETUP!$D$19:$D$62,0),5)),"")</f>
        <v/>
      </c>
    </row>
    <row r="129" spans="1:40">
      <c r="A129" s="2336"/>
      <c r="B129" s="2337"/>
      <c r="C129" s="2337"/>
      <c r="D129" s="2337"/>
      <c r="E129" s="2301"/>
      <c r="F129" s="2302"/>
      <c r="G129" s="2302"/>
      <c r="H129" s="2302"/>
      <c r="I129" s="2301"/>
      <c r="J129" s="2302"/>
      <c r="K129" s="2307"/>
      <c r="L129" s="1165" t="str">
        <f>IF($A129&lt;&gt;"",IFERROR(INDEX(PMtbl[[WKst]:[Unit of measure*]],MATCH($A$101&amp;$A129&amp;$E129&amp;$I129,INDEX(PMtbl[Sec]&amp;PMtbl[Category]&amp;PMtbl[INN]&amp;PMtbl[Specification],0,),0),8),""),"")</f>
        <v/>
      </c>
      <c r="M129" s="270" t="str">
        <f>IF(L129="", "",SETUP!$E$5)</f>
        <v/>
      </c>
      <c r="N129" s="774"/>
      <c r="O129" s="371"/>
      <c r="P129" s="371"/>
      <c r="Q129" s="371"/>
      <c r="R129" s="371"/>
      <c r="S129" s="10">
        <f t="shared" si="18"/>
        <v>0</v>
      </c>
      <c r="T129" s="782">
        <f t="shared" si="19"/>
        <v>0</v>
      </c>
      <c r="U129" s="774"/>
      <c r="V129" s="371"/>
      <c r="W129" s="371"/>
      <c r="X129" s="371"/>
      <c r="Y129" s="371"/>
      <c r="Z129" s="352">
        <f t="shared" si="20"/>
        <v>0</v>
      </c>
      <c r="AA129" s="773">
        <f t="shared" si="21"/>
        <v>0</v>
      </c>
      <c r="AB129" s="774"/>
      <c r="AC129" s="371"/>
      <c r="AD129" s="371"/>
      <c r="AE129" s="371"/>
      <c r="AF129" s="371"/>
      <c r="AG129" s="353">
        <f t="shared" si="22"/>
        <v>0</v>
      </c>
      <c r="AH129" s="762">
        <f t="shared" si="23"/>
        <v>0</v>
      </c>
      <c r="AI129" s="354">
        <f t="shared" si="24"/>
        <v>0</v>
      </c>
      <c r="AJ129" s="762">
        <f t="shared" si="25"/>
        <v>0</v>
      </c>
      <c r="AK129" s="13" t="str">
        <f>IF(A129&lt;&gt;"",IFERROR(INDEX(PMtbl[[WKst]:[Unit of measure*]],MATCH($A$101&amp;$A129&amp;$E129&amp;$I129,INDEX(PMtbl[Sec]&amp;PMtbl[Category]&amp;PMtbl[INN]&amp;PMtbl[Specification],0,),0),7),""),"")</f>
        <v/>
      </c>
      <c r="AL129" s="2050"/>
      <c r="AM129" s="355" t="str">
        <f>IFERROR(INDEX(SETUP!$C$19:$G$62,MATCH((INDEX(PMtbl[[WKst]:[Unit of measure*]],MATCH($A129&amp;$E129&amp;$I129,INDEX(PMtbl[Category]&amp;PMtbl[INN]&amp;PMtbl[Specification],0,),0),3)),SETUP!$D$19:$D$62,0),5),"")</f>
        <v/>
      </c>
      <c r="AN129" s="355" t="str">
        <f>IFERROR(IF((INDEX(SETUP!$C$19:$G$62,MATCH((INDEX(PMtbl[[WKst]:[Unit of measure*]],MATCH($A129&amp;$E129&amp;$I129,INDEX(PMtbl[Category]&amp;PMtbl[INN]&amp;PMtbl[Specification],0,),0),3)),SETUP!$D$19:$D$62,0),4))="Upfront",0,INDEX(SETUP!$C$19:$G$62,MATCH((INDEX(PMtbl[[WKst]:[Unit of measure*]],MATCH($A129&amp;$E129&amp;$I129,INDEX(PMtbl[Category]&amp;PMtbl[INN]&amp;PMtbl[Specification],0,),0),3)),SETUP!$D$19:$D$62,0),5)),"")</f>
        <v/>
      </c>
    </row>
    <row r="130" spans="1:40">
      <c r="A130" s="2330"/>
      <c r="B130" s="2331"/>
      <c r="C130" s="2331"/>
      <c r="D130" s="2331"/>
      <c r="E130" s="2303"/>
      <c r="F130" s="2304"/>
      <c r="G130" s="2304"/>
      <c r="H130" s="2304"/>
      <c r="I130" s="2303"/>
      <c r="J130" s="2304"/>
      <c r="K130" s="2329"/>
      <c r="L130" s="1166" t="str">
        <f>IF($A130&lt;&gt;"",IFERROR(INDEX(PMtbl[[WKst]:[Unit of measure*]],MATCH($A$101&amp;$A130&amp;$E130&amp;$I130,INDEX(PMtbl[Sec]&amp;PMtbl[Category]&amp;PMtbl[INN]&amp;PMtbl[Specification],0,),0),8),""),"")</f>
        <v/>
      </c>
      <c r="M130" s="269" t="str">
        <f>IF(L130="", "",SETUP!$E$5)</f>
        <v/>
      </c>
      <c r="N130" s="772"/>
      <c r="O130" s="370"/>
      <c r="P130" s="370"/>
      <c r="Q130" s="370"/>
      <c r="R130" s="370"/>
      <c r="S130" s="11">
        <f t="shared" si="18"/>
        <v>0</v>
      </c>
      <c r="T130" s="781">
        <f t="shared" si="19"/>
        <v>0</v>
      </c>
      <c r="U130" s="772"/>
      <c r="V130" s="370"/>
      <c r="W130" s="370"/>
      <c r="X130" s="370"/>
      <c r="Y130" s="370"/>
      <c r="Z130" s="348">
        <f t="shared" si="20"/>
        <v>0</v>
      </c>
      <c r="AA130" s="771">
        <f t="shared" si="21"/>
        <v>0</v>
      </c>
      <c r="AB130" s="772"/>
      <c r="AC130" s="370"/>
      <c r="AD130" s="370"/>
      <c r="AE130" s="370"/>
      <c r="AF130" s="370"/>
      <c r="AG130" s="349">
        <f t="shared" si="22"/>
        <v>0</v>
      </c>
      <c r="AH130" s="761">
        <f t="shared" si="23"/>
        <v>0</v>
      </c>
      <c r="AI130" s="350">
        <f t="shared" si="24"/>
        <v>0</v>
      </c>
      <c r="AJ130" s="761">
        <f t="shared" si="25"/>
        <v>0</v>
      </c>
      <c r="AK130" s="14" t="str">
        <f>IF(A130&lt;&gt;"",IFERROR(INDEX(PMtbl[[WKst]:[Unit of measure*]],MATCH($A$101&amp;$A130&amp;$E130&amp;$I130,INDEX(PMtbl[Sec]&amp;PMtbl[Category]&amp;PMtbl[INN]&amp;PMtbl[Specification],0,),0),7),""),"")</f>
        <v/>
      </c>
      <c r="AL130" s="2049"/>
      <c r="AM130" s="351" t="str">
        <f>IFERROR(INDEX(SETUP!$C$19:$G$62,MATCH((INDEX(PMtbl[[WKst]:[Unit of measure*]],MATCH($A130&amp;$E130&amp;$I130,INDEX(PMtbl[Category]&amp;PMtbl[INN]&amp;PMtbl[Specification],0,),0),3)),SETUP!$D$19:$D$62,0),5),"")</f>
        <v/>
      </c>
      <c r="AN130" s="351" t="str">
        <f>IFERROR(IF((INDEX(SETUP!$C$19:$G$62,MATCH((INDEX(PMtbl[[WKst]:[Unit of measure*]],MATCH($A130&amp;$E130&amp;$I130,INDEX(PMtbl[Category]&amp;PMtbl[INN]&amp;PMtbl[Specification],0,),0),3)),SETUP!$D$19:$D$62,0),4))="Upfront",0,INDEX(SETUP!$C$19:$G$62,MATCH((INDEX(PMtbl[[WKst]:[Unit of measure*]],MATCH($A130&amp;$E130&amp;$I130,INDEX(PMtbl[Category]&amp;PMtbl[INN]&amp;PMtbl[Specification],0,),0),3)),SETUP!$D$19:$D$62,0),5)),"")</f>
        <v/>
      </c>
    </row>
    <row r="131" spans="1:40">
      <c r="A131" s="2336"/>
      <c r="B131" s="2337"/>
      <c r="C131" s="2337"/>
      <c r="D131" s="2337"/>
      <c r="E131" s="2301"/>
      <c r="F131" s="2302"/>
      <c r="G131" s="2302"/>
      <c r="H131" s="2302"/>
      <c r="I131" s="2301"/>
      <c r="J131" s="2302"/>
      <c r="K131" s="2307"/>
      <c r="L131" s="1165" t="str">
        <f>IF($A131&lt;&gt;"",IFERROR(INDEX(PMtbl[[WKst]:[Unit of measure*]],MATCH($A$101&amp;$A131&amp;$E131&amp;$I131,INDEX(PMtbl[Sec]&amp;PMtbl[Category]&amp;PMtbl[INN]&amp;PMtbl[Specification],0,),0),8),""),"")</f>
        <v/>
      </c>
      <c r="M131" s="270" t="str">
        <f>IF(L131="", "",SETUP!$E$5)</f>
        <v/>
      </c>
      <c r="N131" s="774"/>
      <c r="O131" s="371"/>
      <c r="P131" s="371"/>
      <c r="Q131" s="371"/>
      <c r="R131" s="371"/>
      <c r="S131" s="10">
        <f t="shared" si="18"/>
        <v>0</v>
      </c>
      <c r="T131" s="782">
        <f t="shared" si="19"/>
        <v>0</v>
      </c>
      <c r="U131" s="774"/>
      <c r="V131" s="371"/>
      <c r="W131" s="371"/>
      <c r="X131" s="371"/>
      <c r="Y131" s="371"/>
      <c r="Z131" s="352">
        <f t="shared" si="20"/>
        <v>0</v>
      </c>
      <c r="AA131" s="773">
        <f t="shared" si="21"/>
        <v>0</v>
      </c>
      <c r="AB131" s="774"/>
      <c r="AC131" s="371"/>
      <c r="AD131" s="371"/>
      <c r="AE131" s="371"/>
      <c r="AF131" s="371"/>
      <c r="AG131" s="353">
        <f t="shared" si="22"/>
        <v>0</v>
      </c>
      <c r="AH131" s="762">
        <f t="shared" si="23"/>
        <v>0</v>
      </c>
      <c r="AI131" s="354">
        <f t="shared" si="24"/>
        <v>0</v>
      </c>
      <c r="AJ131" s="762">
        <f t="shared" si="25"/>
        <v>0</v>
      </c>
      <c r="AK131" s="13" t="str">
        <f>IF(A131&lt;&gt;"",IFERROR(INDEX(PMtbl[[WKst]:[Unit of measure*]],MATCH($A$101&amp;$A131&amp;$E131&amp;$I131,INDEX(PMtbl[Sec]&amp;PMtbl[Category]&amp;PMtbl[INN]&amp;PMtbl[Specification],0,),0),7),""),"")</f>
        <v/>
      </c>
      <c r="AL131" s="2050"/>
      <c r="AM131" s="355" t="str">
        <f>IFERROR(INDEX(SETUP!$C$19:$G$62,MATCH((INDEX(PMtbl[[WKst]:[Unit of measure*]],MATCH($A131&amp;$E131&amp;$I131,INDEX(PMtbl[Category]&amp;PMtbl[INN]&amp;PMtbl[Specification],0,),0),3)),SETUP!$D$19:$D$62,0),5),"")</f>
        <v/>
      </c>
      <c r="AN131" s="355" t="str">
        <f>IFERROR(IF((INDEX(SETUP!$C$19:$G$62,MATCH((INDEX(PMtbl[[WKst]:[Unit of measure*]],MATCH($A131&amp;$E131&amp;$I131,INDEX(PMtbl[Category]&amp;PMtbl[INN]&amp;PMtbl[Specification],0,),0),3)),SETUP!$D$19:$D$62,0),4))="Upfront",0,INDEX(SETUP!$C$19:$G$62,MATCH((INDEX(PMtbl[[WKst]:[Unit of measure*]],MATCH($A131&amp;$E131&amp;$I131,INDEX(PMtbl[Category]&amp;PMtbl[INN]&amp;PMtbl[Specification],0,),0),3)),SETUP!$D$19:$D$62,0),5)),"")</f>
        <v/>
      </c>
    </row>
    <row r="132" spans="1:40">
      <c r="A132" s="2330"/>
      <c r="B132" s="2331"/>
      <c r="C132" s="2331"/>
      <c r="D132" s="2331"/>
      <c r="E132" s="2303"/>
      <c r="F132" s="2304"/>
      <c r="G132" s="2304"/>
      <c r="H132" s="2304"/>
      <c r="I132" s="2303"/>
      <c r="J132" s="2304"/>
      <c r="K132" s="2329"/>
      <c r="L132" s="1166" t="str">
        <f>IF($A132&lt;&gt;"",IFERROR(INDEX(PMtbl[[WKst]:[Unit of measure*]],MATCH($A$101&amp;$A132&amp;$E132&amp;$I132,INDEX(PMtbl[Sec]&amp;PMtbl[Category]&amp;PMtbl[INN]&amp;PMtbl[Specification],0,),0),8),""),"")</f>
        <v/>
      </c>
      <c r="M132" s="269" t="str">
        <f>IF(L132="", "",SETUP!$E$5)</f>
        <v/>
      </c>
      <c r="N132" s="772"/>
      <c r="O132" s="370"/>
      <c r="P132" s="370"/>
      <c r="Q132" s="370"/>
      <c r="R132" s="370"/>
      <c r="S132" s="11">
        <f t="shared" si="18"/>
        <v>0</v>
      </c>
      <c r="T132" s="781">
        <f t="shared" si="19"/>
        <v>0</v>
      </c>
      <c r="U132" s="772"/>
      <c r="V132" s="370"/>
      <c r="W132" s="370"/>
      <c r="X132" s="370"/>
      <c r="Y132" s="370"/>
      <c r="Z132" s="348">
        <f t="shared" si="20"/>
        <v>0</v>
      </c>
      <c r="AA132" s="771">
        <f t="shared" si="21"/>
        <v>0</v>
      </c>
      <c r="AB132" s="772"/>
      <c r="AC132" s="370"/>
      <c r="AD132" s="370"/>
      <c r="AE132" s="370"/>
      <c r="AF132" s="370"/>
      <c r="AG132" s="349">
        <f t="shared" si="22"/>
        <v>0</v>
      </c>
      <c r="AH132" s="761">
        <f t="shared" si="23"/>
        <v>0</v>
      </c>
      <c r="AI132" s="350">
        <f t="shared" si="24"/>
        <v>0</v>
      </c>
      <c r="AJ132" s="761">
        <f t="shared" si="25"/>
        <v>0</v>
      </c>
      <c r="AK132" s="14" t="str">
        <f>IF(A132&lt;&gt;"",IFERROR(INDEX(PMtbl[[WKst]:[Unit of measure*]],MATCH($A$101&amp;$A132&amp;$E132&amp;$I132,INDEX(PMtbl[Sec]&amp;PMtbl[Category]&amp;PMtbl[INN]&amp;PMtbl[Specification],0,),0),7),""),"")</f>
        <v/>
      </c>
      <c r="AL132" s="2049"/>
      <c r="AM132" s="351" t="str">
        <f>IFERROR(INDEX(SETUP!$C$19:$G$62,MATCH((INDEX(PMtbl[[WKst]:[Unit of measure*]],MATCH($A132&amp;$E132&amp;$I132,INDEX(PMtbl[Category]&amp;PMtbl[INN]&amp;PMtbl[Specification],0,),0),3)),SETUP!$D$19:$D$62,0),5),"")</f>
        <v/>
      </c>
      <c r="AN132" s="351" t="str">
        <f>IFERROR(IF((INDEX(SETUP!$C$19:$G$62,MATCH((INDEX(PMtbl[[WKst]:[Unit of measure*]],MATCH($A132&amp;$E132&amp;$I132,INDEX(PMtbl[Category]&amp;PMtbl[INN]&amp;PMtbl[Specification],0,),0),3)),SETUP!$D$19:$D$62,0),4))="Upfront",0,INDEX(SETUP!$C$19:$G$62,MATCH((INDEX(PMtbl[[WKst]:[Unit of measure*]],MATCH($A132&amp;$E132&amp;$I132,INDEX(PMtbl[Category]&amp;PMtbl[INN]&amp;PMtbl[Specification],0,),0),3)),SETUP!$D$19:$D$62,0),5)),"")</f>
        <v/>
      </c>
    </row>
    <row r="133" spans="1:40">
      <c r="A133" s="2336"/>
      <c r="B133" s="2337"/>
      <c r="C133" s="2337"/>
      <c r="D133" s="2337"/>
      <c r="E133" s="2301"/>
      <c r="F133" s="2302"/>
      <c r="G133" s="2302"/>
      <c r="H133" s="2302"/>
      <c r="I133" s="2301"/>
      <c r="J133" s="2302"/>
      <c r="K133" s="2307"/>
      <c r="L133" s="1165" t="str">
        <f>IF($A133&lt;&gt;"",IFERROR(INDEX(PMtbl[[WKst]:[Unit of measure*]],MATCH($A$101&amp;$A133&amp;$E133&amp;$I133,INDEX(PMtbl[Sec]&amp;PMtbl[Category]&amp;PMtbl[INN]&amp;PMtbl[Specification],0,),0),8),""),"")</f>
        <v/>
      </c>
      <c r="M133" s="270" t="str">
        <f>IF(L133="", "",SETUP!$E$5)</f>
        <v/>
      </c>
      <c r="N133" s="774"/>
      <c r="O133" s="371"/>
      <c r="P133" s="371"/>
      <c r="Q133" s="371"/>
      <c r="R133" s="371"/>
      <c r="S133" s="10">
        <f t="shared" si="18"/>
        <v>0</v>
      </c>
      <c r="T133" s="782">
        <f t="shared" si="19"/>
        <v>0</v>
      </c>
      <c r="U133" s="774"/>
      <c r="V133" s="371"/>
      <c r="W133" s="371"/>
      <c r="X133" s="371"/>
      <c r="Y133" s="371"/>
      <c r="Z133" s="352">
        <f t="shared" si="20"/>
        <v>0</v>
      </c>
      <c r="AA133" s="773">
        <f t="shared" si="21"/>
        <v>0</v>
      </c>
      <c r="AB133" s="774"/>
      <c r="AC133" s="371"/>
      <c r="AD133" s="371"/>
      <c r="AE133" s="371"/>
      <c r="AF133" s="371"/>
      <c r="AG133" s="353">
        <f t="shared" si="22"/>
        <v>0</v>
      </c>
      <c r="AH133" s="762">
        <f t="shared" si="23"/>
        <v>0</v>
      </c>
      <c r="AI133" s="354">
        <f t="shared" si="24"/>
        <v>0</v>
      </c>
      <c r="AJ133" s="762">
        <f t="shared" si="25"/>
        <v>0</v>
      </c>
      <c r="AK133" s="13" t="str">
        <f>IF(A133&lt;&gt;"",IFERROR(INDEX(PMtbl[[WKst]:[Unit of measure*]],MATCH($A$101&amp;$A133&amp;$E133&amp;$I133,INDEX(PMtbl[Sec]&amp;PMtbl[Category]&amp;PMtbl[INN]&amp;PMtbl[Specification],0,),0),7),""),"")</f>
        <v/>
      </c>
      <c r="AL133" s="2050"/>
      <c r="AM133" s="355" t="str">
        <f>IFERROR(INDEX(SETUP!$C$19:$G$62,MATCH((INDEX(PMtbl[[WKst]:[Unit of measure*]],MATCH($A133&amp;$E133&amp;$I133,INDEX(PMtbl[Category]&amp;PMtbl[INN]&amp;PMtbl[Specification],0,),0),3)),SETUP!$D$19:$D$62,0),5),"")</f>
        <v/>
      </c>
      <c r="AN133" s="355" t="str">
        <f>IFERROR(IF((INDEX(SETUP!$C$19:$G$62,MATCH((INDEX(PMtbl[[WKst]:[Unit of measure*]],MATCH($A133&amp;$E133&amp;$I133,INDEX(PMtbl[Category]&amp;PMtbl[INN]&amp;PMtbl[Specification],0,),0),3)),SETUP!$D$19:$D$62,0),4))="Upfront",0,INDEX(SETUP!$C$19:$G$62,MATCH((INDEX(PMtbl[[WKst]:[Unit of measure*]],MATCH($A133&amp;$E133&amp;$I133,INDEX(PMtbl[Category]&amp;PMtbl[INN]&amp;PMtbl[Specification],0,),0),3)),SETUP!$D$19:$D$62,0),5)),"")</f>
        <v/>
      </c>
    </row>
    <row r="134" spans="1:40">
      <c r="A134" s="2330"/>
      <c r="B134" s="2331"/>
      <c r="C134" s="2331"/>
      <c r="D134" s="2331"/>
      <c r="E134" s="2303"/>
      <c r="F134" s="2304"/>
      <c r="G134" s="2304"/>
      <c r="H134" s="2304"/>
      <c r="I134" s="2303"/>
      <c r="J134" s="2304"/>
      <c r="K134" s="2329"/>
      <c r="L134" s="1166" t="str">
        <f>IF($A134&lt;&gt;"",IFERROR(INDEX(PMtbl[[WKst]:[Unit of measure*]],MATCH($A$101&amp;$A134&amp;$E134&amp;$I134,INDEX(PMtbl[Sec]&amp;PMtbl[Category]&amp;PMtbl[INN]&amp;PMtbl[Specification],0,),0),8),""),"")</f>
        <v/>
      </c>
      <c r="M134" s="269" t="str">
        <f>IF(L134="", "",SETUP!$E$5)</f>
        <v/>
      </c>
      <c r="N134" s="772"/>
      <c r="O134" s="370"/>
      <c r="P134" s="370"/>
      <c r="Q134" s="370"/>
      <c r="R134" s="370"/>
      <c r="S134" s="11">
        <f t="shared" si="18"/>
        <v>0</v>
      </c>
      <c r="T134" s="781">
        <f t="shared" si="19"/>
        <v>0</v>
      </c>
      <c r="U134" s="772"/>
      <c r="V134" s="370"/>
      <c r="W134" s="370"/>
      <c r="X134" s="370"/>
      <c r="Y134" s="370"/>
      <c r="Z134" s="348">
        <f t="shared" si="20"/>
        <v>0</v>
      </c>
      <c r="AA134" s="771">
        <f t="shared" si="21"/>
        <v>0</v>
      </c>
      <c r="AB134" s="772"/>
      <c r="AC134" s="370"/>
      <c r="AD134" s="370"/>
      <c r="AE134" s="370"/>
      <c r="AF134" s="370"/>
      <c r="AG134" s="349">
        <f t="shared" si="22"/>
        <v>0</v>
      </c>
      <c r="AH134" s="761">
        <f t="shared" si="23"/>
        <v>0</v>
      </c>
      <c r="AI134" s="350">
        <f t="shared" si="24"/>
        <v>0</v>
      </c>
      <c r="AJ134" s="761">
        <f t="shared" si="25"/>
        <v>0</v>
      </c>
      <c r="AK134" s="14" t="str">
        <f>IF(A134&lt;&gt;"",IFERROR(INDEX(PMtbl[[WKst]:[Unit of measure*]],MATCH($A$101&amp;$A134&amp;$E134&amp;$I134,INDEX(PMtbl[Sec]&amp;PMtbl[Category]&amp;PMtbl[INN]&amp;PMtbl[Specification],0,),0),7),""),"")</f>
        <v/>
      </c>
      <c r="AL134" s="2049"/>
      <c r="AM134" s="351" t="str">
        <f>IFERROR(INDEX(SETUP!$C$19:$G$62,MATCH((INDEX(PMtbl[[WKst]:[Unit of measure*]],MATCH($A134&amp;$E134&amp;$I134,INDEX(PMtbl[Category]&amp;PMtbl[INN]&amp;PMtbl[Specification],0,),0),3)),SETUP!$D$19:$D$62,0),5),"")</f>
        <v/>
      </c>
      <c r="AN134" s="351" t="str">
        <f>IFERROR(IF((INDEX(SETUP!$C$19:$G$62,MATCH((INDEX(PMtbl[[WKst]:[Unit of measure*]],MATCH($A134&amp;$E134&amp;$I134,INDEX(PMtbl[Category]&amp;PMtbl[INN]&amp;PMtbl[Specification],0,),0),3)),SETUP!$D$19:$D$62,0),4))="Upfront",0,INDEX(SETUP!$C$19:$G$62,MATCH((INDEX(PMtbl[[WKst]:[Unit of measure*]],MATCH($A134&amp;$E134&amp;$I134,INDEX(PMtbl[Category]&amp;PMtbl[INN]&amp;PMtbl[Specification],0,),0),3)),SETUP!$D$19:$D$62,0),5)),"")</f>
        <v/>
      </c>
    </row>
    <row r="135" spans="1:40">
      <c r="A135" s="2336"/>
      <c r="B135" s="2337"/>
      <c r="C135" s="2337"/>
      <c r="D135" s="2337"/>
      <c r="E135" s="2301"/>
      <c r="F135" s="2302"/>
      <c r="G135" s="2302"/>
      <c r="H135" s="2302"/>
      <c r="I135" s="2301"/>
      <c r="J135" s="2302"/>
      <c r="K135" s="2307"/>
      <c r="L135" s="1165" t="str">
        <f>IF($A135&lt;&gt;"",IFERROR(INDEX(PMtbl[[WKst]:[Unit of measure*]],MATCH($A$101&amp;$A135&amp;$E135&amp;$I135,INDEX(PMtbl[Sec]&amp;PMtbl[Category]&amp;PMtbl[INN]&amp;PMtbl[Specification],0,),0),8),""),"")</f>
        <v/>
      </c>
      <c r="M135" s="270" t="str">
        <f>IF(L135="", "",SETUP!$E$5)</f>
        <v/>
      </c>
      <c r="N135" s="774"/>
      <c r="O135" s="371"/>
      <c r="P135" s="371"/>
      <c r="Q135" s="371"/>
      <c r="R135" s="371"/>
      <c r="S135" s="10">
        <f t="shared" si="18"/>
        <v>0</v>
      </c>
      <c r="T135" s="782">
        <f t="shared" si="19"/>
        <v>0</v>
      </c>
      <c r="U135" s="774"/>
      <c r="V135" s="371"/>
      <c r="W135" s="371"/>
      <c r="X135" s="371"/>
      <c r="Y135" s="371"/>
      <c r="Z135" s="352">
        <f t="shared" si="20"/>
        <v>0</v>
      </c>
      <c r="AA135" s="773">
        <f t="shared" si="21"/>
        <v>0</v>
      </c>
      <c r="AB135" s="774"/>
      <c r="AC135" s="371"/>
      <c r="AD135" s="371"/>
      <c r="AE135" s="371"/>
      <c r="AF135" s="371"/>
      <c r="AG135" s="353">
        <f t="shared" si="22"/>
        <v>0</v>
      </c>
      <c r="AH135" s="762">
        <f t="shared" si="23"/>
        <v>0</v>
      </c>
      <c r="AI135" s="354">
        <f t="shared" si="24"/>
        <v>0</v>
      </c>
      <c r="AJ135" s="762">
        <f t="shared" si="25"/>
        <v>0</v>
      </c>
      <c r="AK135" s="13" t="str">
        <f>IF(A135&lt;&gt;"",IFERROR(INDEX(PMtbl[[WKst]:[Unit of measure*]],MATCH($A$101&amp;$A135&amp;$E135&amp;$I135,INDEX(PMtbl[Sec]&amp;PMtbl[Category]&amp;PMtbl[INN]&amp;PMtbl[Specification],0,),0),7),""),"")</f>
        <v/>
      </c>
      <c r="AL135" s="2050"/>
      <c r="AM135" s="355" t="str">
        <f>IFERROR(INDEX(SETUP!$C$19:$G$62,MATCH((INDEX(PMtbl[[WKst]:[Unit of measure*]],MATCH($A135&amp;$E135&amp;$I135,INDEX(PMtbl[Category]&amp;PMtbl[INN]&amp;PMtbl[Specification],0,),0),3)),SETUP!$D$19:$D$62,0),5),"")</f>
        <v/>
      </c>
      <c r="AN135" s="355" t="str">
        <f>IFERROR(IF((INDEX(SETUP!$C$19:$G$62,MATCH((INDEX(PMtbl[[WKst]:[Unit of measure*]],MATCH($A135&amp;$E135&amp;$I135,INDEX(PMtbl[Category]&amp;PMtbl[INN]&amp;PMtbl[Specification],0,),0),3)),SETUP!$D$19:$D$62,0),4))="Upfront",0,INDEX(SETUP!$C$19:$G$62,MATCH((INDEX(PMtbl[[WKst]:[Unit of measure*]],MATCH($A135&amp;$E135&amp;$I135,INDEX(PMtbl[Category]&amp;PMtbl[INN]&amp;PMtbl[Specification],0,),0),3)),SETUP!$D$19:$D$62,0),5)),"")</f>
        <v/>
      </c>
    </row>
    <row r="136" spans="1:40" ht="15" hidden="1" customHeight="1">
      <c r="A136" s="2330"/>
      <c r="B136" s="2331"/>
      <c r="C136" s="2331"/>
      <c r="D136" s="2331"/>
      <c r="E136" s="2303"/>
      <c r="F136" s="2304"/>
      <c r="G136" s="2304"/>
      <c r="H136" s="2304"/>
      <c r="I136" s="2303"/>
      <c r="J136" s="2304"/>
      <c r="K136" s="2329"/>
      <c r="L136" s="1166" t="str">
        <f>IF($A136&lt;&gt;"",IFERROR(INDEX(PMtbl[[WKst]:[Unit of measure*]],MATCH($A$101&amp;$A136&amp;$E136&amp;$I136,INDEX(PMtbl[Sec]&amp;PMtbl[Category]&amp;PMtbl[INN]&amp;PMtbl[Specification],0,),0),8),""),"")</f>
        <v/>
      </c>
      <c r="M136" s="269" t="str">
        <f>IF(L136="", "",SETUP!$E$5)</f>
        <v/>
      </c>
      <c r="N136" s="772"/>
      <c r="O136" s="370"/>
      <c r="P136" s="370"/>
      <c r="Q136" s="370"/>
      <c r="R136" s="370"/>
      <c r="S136" s="11">
        <f t="shared" si="18"/>
        <v>0</v>
      </c>
      <c r="T136" s="781">
        <f t="shared" si="19"/>
        <v>0</v>
      </c>
      <c r="U136" s="772"/>
      <c r="V136" s="370"/>
      <c r="W136" s="370"/>
      <c r="X136" s="370"/>
      <c r="Y136" s="370"/>
      <c r="Z136" s="348">
        <f t="shared" si="20"/>
        <v>0</v>
      </c>
      <c r="AA136" s="771">
        <f t="shared" si="21"/>
        <v>0</v>
      </c>
      <c r="AB136" s="772"/>
      <c r="AC136" s="370"/>
      <c r="AD136" s="370"/>
      <c r="AE136" s="370"/>
      <c r="AF136" s="370"/>
      <c r="AG136" s="349">
        <f t="shared" si="22"/>
        <v>0</v>
      </c>
      <c r="AH136" s="761">
        <f t="shared" si="23"/>
        <v>0</v>
      </c>
      <c r="AI136" s="350">
        <f t="shared" si="24"/>
        <v>0</v>
      </c>
      <c r="AJ136" s="761">
        <f t="shared" si="25"/>
        <v>0</v>
      </c>
      <c r="AK136" s="14" t="str">
        <f>IF(A136&lt;&gt;"",IFERROR(INDEX(PMtbl[[WKst]:[Unit of measure*]],MATCH($A$101&amp;$A136&amp;$E136&amp;$I136,INDEX(PMtbl[Sec]&amp;PMtbl[Category]&amp;PMtbl[INN]&amp;PMtbl[Specification],0,),0),7),""),"")</f>
        <v/>
      </c>
      <c r="AL136" s="2049"/>
      <c r="AM136" s="351" t="str">
        <f>IFERROR(INDEX(SETUP!$C$19:$G$62,MATCH((INDEX(PMtbl[[WKst]:[Unit of measure*]],MATCH($A136&amp;$E136&amp;$I136,INDEX(PMtbl[Category]&amp;PMtbl[INN]&amp;PMtbl[Specification],0,),0),3)),SETUP!$D$19:$D$62,0),5),"")</f>
        <v/>
      </c>
      <c r="AN136" s="351" t="str">
        <f>IFERROR(IF((INDEX(SETUP!$C$19:$G$62,MATCH((INDEX(PMtbl[[WKst]:[Unit of measure*]],MATCH($A136&amp;$E136&amp;$I136,INDEX(PMtbl[Category]&amp;PMtbl[INN]&amp;PMtbl[Specification],0,),0),3)),SETUP!$D$19:$D$62,0),4))="Upfront",0,INDEX(SETUP!$C$19:$G$62,MATCH((INDEX(PMtbl[[WKst]:[Unit of measure*]],MATCH($A136&amp;$E136&amp;$I136,INDEX(PMtbl[Category]&amp;PMtbl[INN]&amp;PMtbl[Specification],0,),0),3)),SETUP!$D$19:$D$62,0),5)),"")</f>
        <v/>
      </c>
    </row>
    <row r="137" spans="1:40" ht="15" hidden="1" customHeight="1">
      <c r="A137" s="2336"/>
      <c r="B137" s="2337"/>
      <c r="C137" s="2337"/>
      <c r="D137" s="2337"/>
      <c r="E137" s="2301"/>
      <c r="F137" s="2302"/>
      <c r="G137" s="2302"/>
      <c r="H137" s="2302"/>
      <c r="I137" s="2301"/>
      <c r="J137" s="2302"/>
      <c r="K137" s="2307"/>
      <c r="L137" s="1165" t="str">
        <f>IF($A137&lt;&gt;"",IFERROR(INDEX(PMtbl[[WKst]:[Unit of measure*]],MATCH($A$101&amp;$A137&amp;$E137&amp;$I137,INDEX(PMtbl[Sec]&amp;PMtbl[Category]&amp;PMtbl[INN]&amp;PMtbl[Specification],0,),0),8),""),"")</f>
        <v/>
      </c>
      <c r="M137" s="270" t="str">
        <f>IF(L137="", "",SETUP!$E$5)</f>
        <v/>
      </c>
      <c r="N137" s="774"/>
      <c r="O137" s="371"/>
      <c r="P137" s="371"/>
      <c r="Q137" s="371"/>
      <c r="R137" s="371"/>
      <c r="S137" s="10">
        <f t="shared" si="18"/>
        <v>0</v>
      </c>
      <c r="T137" s="782">
        <f t="shared" si="19"/>
        <v>0</v>
      </c>
      <c r="U137" s="774"/>
      <c r="V137" s="371"/>
      <c r="W137" s="371"/>
      <c r="X137" s="371"/>
      <c r="Y137" s="371"/>
      <c r="Z137" s="352">
        <f t="shared" si="20"/>
        <v>0</v>
      </c>
      <c r="AA137" s="773">
        <f t="shared" si="21"/>
        <v>0</v>
      </c>
      <c r="AB137" s="774"/>
      <c r="AC137" s="371"/>
      <c r="AD137" s="371"/>
      <c r="AE137" s="371"/>
      <c r="AF137" s="371"/>
      <c r="AG137" s="353">
        <f t="shared" si="22"/>
        <v>0</v>
      </c>
      <c r="AH137" s="762">
        <f t="shared" si="23"/>
        <v>0</v>
      </c>
      <c r="AI137" s="354">
        <f t="shared" si="24"/>
        <v>0</v>
      </c>
      <c r="AJ137" s="762">
        <f t="shared" si="25"/>
        <v>0</v>
      </c>
      <c r="AK137" s="13" t="str">
        <f>IF(A137&lt;&gt;"",IFERROR(INDEX(PMtbl[[WKst]:[Unit of measure*]],MATCH($A$101&amp;$A137&amp;$E137&amp;$I137,INDEX(PMtbl[Sec]&amp;PMtbl[Category]&amp;PMtbl[INN]&amp;PMtbl[Specification],0,),0),7),""),"")</f>
        <v/>
      </c>
      <c r="AL137" s="2050"/>
      <c r="AM137" s="355" t="str">
        <f>IFERROR(INDEX(SETUP!$C$19:$G$62,MATCH((INDEX(PMtbl[[WKst]:[Unit of measure*]],MATCH($A137&amp;$E137&amp;$I137,INDEX(PMtbl[Category]&amp;PMtbl[INN]&amp;PMtbl[Specification],0,),0),3)),SETUP!$D$19:$D$62,0),5),"")</f>
        <v/>
      </c>
      <c r="AN137" s="355" t="str">
        <f>IFERROR(IF((INDEX(SETUP!$C$19:$G$62,MATCH((INDEX(PMtbl[[WKst]:[Unit of measure*]],MATCH($A137&amp;$E137&amp;$I137,INDEX(PMtbl[Category]&amp;PMtbl[INN]&amp;PMtbl[Specification],0,),0),3)),SETUP!$D$19:$D$62,0),4))="Upfront",0,INDEX(SETUP!$C$19:$G$62,MATCH((INDEX(PMtbl[[WKst]:[Unit of measure*]],MATCH($A137&amp;$E137&amp;$I137,INDEX(PMtbl[Category]&amp;PMtbl[INN]&amp;PMtbl[Specification],0,),0),3)),SETUP!$D$19:$D$62,0),5)),"")</f>
        <v/>
      </c>
    </row>
    <row r="138" spans="1:40" ht="15" hidden="1" customHeight="1">
      <c r="A138" s="2330"/>
      <c r="B138" s="2331"/>
      <c r="C138" s="2331"/>
      <c r="D138" s="2331"/>
      <c r="E138" s="2303"/>
      <c r="F138" s="2304"/>
      <c r="G138" s="2304"/>
      <c r="H138" s="2304"/>
      <c r="I138" s="2303"/>
      <c r="J138" s="2304"/>
      <c r="K138" s="2329"/>
      <c r="L138" s="1166" t="str">
        <f>IF($A138&lt;&gt;"",IFERROR(INDEX(PMtbl[[WKst]:[Unit of measure*]],MATCH($A$101&amp;$A138&amp;$E138&amp;$I138,INDEX(PMtbl[Sec]&amp;PMtbl[Category]&amp;PMtbl[INN]&amp;PMtbl[Specification],0,),0),8),""),"")</f>
        <v/>
      </c>
      <c r="M138" s="269" t="str">
        <f>IF(L138="", "",SETUP!$E$5)</f>
        <v/>
      </c>
      <c r="N138" s="772"/>
      <c r="O138" s="370"/>
      <c r="P138" s="370"/>
      <c r="Q138" s="370"/>
      <c r="R138" s="370"/>
      <c r="S138" s="11">
        <f t="shared" si="18"/>
        <v>0</v>
      </c>
      <c r="T138" s="781">
        <f t="shared" si="19"/>
        <v>0</v>
      </c>
      <c r="U138" s="772"/>
      <c r="V138" s="370"/>
      <c r="W138" s="370"/>
      <c r="X138" s="370"/>
      <c r="Y138" s="370"/>
      <c r="Z138" s="348">
        <f t="shared" si="20"/>
        <v>0</v>
      </c>
      <c r="AA138" s="771">
        <f t="shared" si="21"/>
        <v>0</v>
      </c>
      <c r="AB138" s="772"/>
      <c r="AC138" s="370"/>
      <c r="AD138" s="370"/>
      <c r="AE138" s="370"/>
      <c r="AF138" s="370"/>
      <c r="AG138" s="349">
        <f t="shared" si="22"/>
        <v>0</v>
      </c>
      <c r="AH138" s="761">
        <f t="shared" si="23"/>
        <v>0</v>
      </c>
      <c r="AI138" s="350">
        <f t="shared" si="24"/>
        <v>0</v>
      </c>
      <c r="AJ138" s="761">
        <f t="shared" si="25"/>
        <v>0</v>
      </c>
      <c r="AK138" s="14" t="str">
        <f>IF(A138&lt;&gt;"",IFERROR(INDEX(PMtbl[[WKst]:[Unit of measure*]],MATCH($A$101&amp;$A138&amp;$E138&amp;$I138,INDEX(PMtbl[Sec]&amp;PMtbl[Category]&amp;PMtbl[INN]&amp;PMtbl[Specification],0,),0),7),""),"")</f>
        <v/>
      </c>
      <c r="AL138" s="2049"/>
      <c r="AM138" s="351" t="str">
        <f>IFERROR(INDEX(SETUP!$C$19:$G$62,MATCH((INDEX(PMtbl[[WKst]:[Unit of measure*]],MATCH($A138&amp;$E138&amp;$I138,INDEX(PMtbl[Category]&amp;PMtbl[INN]&amp;PMtbl[Specification],0,),0),3)),SETUP!$D$19:$D$62,0),5),"")</f>
        <v/>
      </c>
      <c r="AN138" s="351" t="str">
        <f>IFERROR(IF((INDEX(SETUP!$C$19:$G$62,MATCH((INDEX(PMtbl[[WKst]:[Unit of measure*]],MATCH($A138&amp;$E138&amp;$I138,INDEX(PMtbl[Category]&amp;PMtbl[INN]&amp;PMtbl[Specification],0,),0),3)),SETUP!$D$19:$D$62,0),4))="Upfront",0,INDEX(SETUP!$C$19:$G$62,MATCH((INDEX(PMtbl[[WKst]:[Unit of measure*]],MATCH($A138&amp;$E138&amp;$I138,INDEX(PMtbl[Category]&amp;PMtbl[INN]&amp;PMtbl[Specification],0,),0),3)),SETUP!$D$19:$D$62,0),5)),"")</f>
        <v/>
      </c>
    </row>
    <row r="139" spans="1:40" ht="15" hidden="1" customHeight="1">
      <c r="A139" s="2336"/>
      <c r="B139" s="2337"/>
      <c r="C139" s="2337"/>
      <c r="D139" s="2337"/>
      <c r="E139" s="2301"/>
      <c r="F139" s="2302"/>
      <c r="G139" s="2302"/>
      <c r="H139" s="2302"/>
      <c r="I139" s="2301"/>
      <c r="J139" s="2302"/>
      <c r="K139" s="2307"/>
      <c r="L139" s="1165" t="str">
        <f>IF($A139&lt;&gt;"",IFERROR(INDEX(PMtbl[[WKst]:[Unit of measure*]],MATCH($A$101&amp;$A139&amp;$E139&amp;$I139,INDEX(PMtbl[Sec]&amp;PMtbl[Category]&amp;PMtbl[INN]&amp;PMtbl[Specification],0,),0),8),""),"")</f>
        <v/>
      </c>
      <c r="M139" s="270" t="str">
        <f>IF(L139="", "",SETUP!$E$5)</f>
        <v/>
      </c>
      <c r="N139" s="774"/>
      <c r="O139" s="371"/>
      <c r="P139" s="371"/>
      <c r="Q139" s="371"/>
      <c r="R139" s="371"/>
      <c r="S139" s="10">
        <f t="shared" si="18"/>
        <v>0</v>
      </c>
      <c r="T139" s="782">
        <f t="shared" si="19"/>
        <v>0</v>
      </c>
      <c r="U139" s="774"/>
      <c r="V139" s="371"/>
      <c r="W139" s="371"/>
      <c r="X139" s="371"/>
      <c r="Y139" s="371"/>
      <c r="Z139" s="352">
        <f t="shared" si="20"/>
        <v>0</v>
      </c>
      <c r="AA139" s="773">
        <f t="shared" si="21"/>
        <v>0</v>
      </c>
      <c r="AB139" s="774"/>
      <c r="AC139" s="371"/>
      <c r="AD139" s="371"/>
      <c r="AE139" s="371"/>
      <c r="AF139" s="371"/>
      <c r="AG139" s="353">
        <f t="shared" si="22"/>
        <v>0</v>
      </c>
      <c r="AH139" s="762">
        <f t="shared" si="23"/>
        <v>0</v>
      </c>
      <c r="AI139" s="354">
        <f t="shared" si="24"/>
        <v>0</v>
      </c>
      <c r="AJ139" s="762">
        <f t="shared" si="25"/>
        <v>0</v>
      </c>
      <c r="AK139" s="13" t="str">
        <f>IF(A139&lt;&gt;"",IFERROR(INDEX(PMtbl[[WKst]:[Unit of measure*]],MATCH($A$101&amp;$A139&amp;$E139&amp;$I139,INDEX(PMtbl[Sec]&amp;PMtbl[Category]&amp;PMtbl[INN]&amp;PMtbl[Specification],0,),0),7),""),"")</f>
        <v/>
      </c>
      <c r="AL139" s="2050"/>
      <c r="AM139" s="355" t="str">
        <f>IFERROR(INDEX(SETUP!$C$19:$G$62,MATCH((INDEX(PMtbl[[WKst]:[Unit of measure*]],MATCH($A139&amp;$E139&amp;$I139,INDEX(PMtbl[Category]&amp;PMtbl[INN]&amp;PMtbl[Specification],0,),0),3)),SETUP!$D$19:$D$62,0),5),"")</f>
        <v/>
      </c>
      <c r="AN139" s="355" t="str">
        <f>IFERROR(IF((INDEX(SETUP!$C$19:$G$62,MATCH((INDEX(PMtbl[[WKst]:[Unit of measure*]],MATCH($A139&amp;$E139&amp;$I139,INDEX(PMtbl[Category]&amp;PMtbl[INN]&amp;PMtbl[Specification],0,),0),3)),SETUP!$D$19:$D$62,0),4))="Upfront",0,INDEX(SETUP!$C$19:$G$62,MATCH((INDEX(PMtbl[[WKst]:[Unit of measure*]],MATCH($A139&amp;$E139&amp;$I139,INDEX(PMtbl[Category]&amp;PMtbl[INN]&amp;PMtbl[Specification],0,),0),3)),SETUP!$D$19:$D$62,0),5)),"")</f>
        <v/>
      </c>
    </row>
    <row r="140" spans="1:40" ht="15" hidden="1" customHeight="1">
      <c r="A140" s="2330"/>
      <c r="B140" s="2331"/>
      <c r="C140" s="2331"/>
      <c r="D140" s="2331"/>
      <c r="E140" s="2303"/>
      <c r="F140" s="2304"/>
      <c r="G140" s="2304"/>
      <c r="H140" s="2304"/>
      <c r="I140" s="2303"/>
      <c r="J140" s="2304"/>
      <c r="K140" s="2329"/>
      <c r="L140" s="1166" t="str">
        <f>IF($A140&lt;&gt;"",IFERROR(INDEX(PMtbl[[WKst]:[Unit of measure*]],MATCH($A$101&amp;$A140&amp;$E140&amp;$I140,INDEX(PMtbl[Sec]&amp;PMtbl[Category]&amp;PMtbl[INN]&amp;PMtbl[Specification],0,),0),8),""),"")</f>
        <v/>
      </c>
      <c r="M140" s="269" t="str">
        <f>IF(L140="", "",SETUP!$E$5)</f>
        <v/>
      </c>
      <c r="N140" s="772"/>
      <c r="O140" s="370"/>
      <c r="P140" s="370"/>
      <c r="Q140" s="370"/>
      <c r="R140" s="370"/>
      <c r="S140" s="11">
        <f t="shared" si="18"/>
        <v>0</v>
      </c>
      <c r="T140" s="781">
        <f t="shared" si="19"/>
        <v>0</v>
      </c>
      <c r="U140" s="772"/>
      <c r="V140" s="370"/>
      <c r="W140" s="370"/>
      <c r="X140" s="370"/>
      <c r="Y140" s="370"/>
      <c r="Z140" s="348">
        <f t="shared" si="20"/>
        <v>0</v>
      </c>
      <c r="AA140" s="771">
        <f t="shared" si="21"/>
        <v>0</v>
      </c>
      <c r="AB140" s="772"/>
      <c r="AC140" s="370"/>
      <c r="AD140" s="370"/>
      <c r="AE140" s="370"/>
      <c r="AF140" s="370"/>
      <c r="AG140" s="349">
        <f t="shared" si="22"/>
        <v>0</v>
      </c>
      <c r="AH140" s="761">
        <f t="shared" si="23"/>
        <v>0</v>
      </c>
      <c r="AI140" s="350">
        <f t="shared" si="24"/>
        <v>0</v>
      </c>
      <c r="AJ140" s="761">
        <f t="shared" si="25"/>
        <v>0</v>
      </c>
      <c r="AK140" s="14" t="str">
        <f>IF(A140&lt;&gt;"",IFERROR(INDEX(PMtbl[[WKst]:[Unit of measure*]],MATCH($A$101&amp;$A140&amp;$E140&amp;$I140,INDEX(PMtbl[Sec]&amp;PMtbl[Category]&amp;PMtbl[INN]&amp;PMtbl[Specification],0,),0),7),""),"")</f>
        <v/>
      </c>
      <c r="AL140" s="2049"/>
      <c r="AM140" s="351" t="str">
        <f>IFERROR(INDEX(SETUP!$C$19:$G$62,MATCH((INDEX(PMtbl[[WKst]:[Unit of measure*]],MATCH($A140&amp;$E140&amp;$I140,INDEX(PMtbl[Category]&amp;PMtbl[INN]&amp;PMtbl[Specification],0,),0),3)),SETUP!$D$19:$D$62,0),5),"")</f>
        <v/>
      </c>
      <c r="AN140" s="351" t="str">
        <f>IFERROR(IF((INDEX(SETUP!$C$19:$G$62,MATCH((INDEX(PMtbl[[WKst]:[Unit of measure*]],MATCH($A140&amp;$E140&amp;$I140,INDEX(PMtbl[Category]&amp;PMtbl[INN]&amp;PMtbl[Specification],0,),0),3)),SETUP!$D$19:$D$62,0),4))="Upfront",0,INDEX(SETUP!$C$19:$G$62,MATCH((INDEX(PMtbl[[WKst]:[Unit of measure*]],MATCH($A140&amp;$E140&amp;$I140,INDEX(PMtbl[Category]&amp;PMtbl[INN]&amp;PMtbl[Specification],0,),0),3)),SETUP!$D$19:$D$62,0),5)),"")</f>
        <v/>
      </c>
    </row>
    <row r="141" spans="1:40" ht="15" hidden="1" customHeight="1">
      <c r="A141" s="2336"/>
      <c r="B141" s="2337"/>
      <c r="C141" s="2337"/>
      <c r="D141" s="2337"/>
      <c r="E141" s="2301"/>
      <c r="F141" s="2302"/>
      <c r="G141" s="2302"/>
      <c r="H141" s="2302"/>
      <c r="I141" s="2301"/>
      <c r="J141" s="2302"/>
      <c r="K141" s="2307"/>
      <c r="L141" s="1165" t="str">
        <f>IF($A141&lt;&gt;"",IFERROR(INDEX(PMtbl[[WKst]:[Unit of measure*]],MATCH($A$101&amp;$A141&amp;$E141&amp;$I141,INDEX(PMtbl[Sec]&amp;PMtbl[Category]&amp;PMtbl[INN]&amp;PMtbl[Specification],0,),0),8),""),"")</f>
        <v/>
      </c>
      <c r="M141" s="270" t="str">
        <f>IF(L141="", "",SETUP!$E$5)</f>
        <v/>
      </c>
      <c r="N141" s="774"/>
      <c r="O141" s="371"/>
      <c r="P141" s="371"/>
      <c r="Q141" s="371"/>
      <c r="R141" s="371"/>
      <c r="S141" s="10">
        <f t="shared" si="18"/>
        <v>0</v>
      </c>
      <c r="T141" s="782">
        <f t="shared" si="19"/>
        <v>0</v>
      </c>
      <c r="U141" s="774"/>
      <c r="V141" s="371"/>
      <c r="W141" s="371"/>
      <c r="X141" s="371"/>
      <c r="Y141" s="371"/>
      <c r="Z141" s="352">
        <f t="shared" si="20"/>
        <v>0</v>
      </c>
      <c r="AA141" s="773">
        <f t="shared" si="21"/>
        <v>0</v>
      </c>
      <c r="AB141" s="774"/>
      <c r="AC141" s="371"/>
      <c r="AD141" s="371"/>
      <c r="AE141" s="371"/>
      <c r="AF141" s="371"/>
      <c r="AG141" s="353">
        <f t="shared" si="22"/>
        <v>0</v>
      </c>
      <c r="AH141" s="762">
        <f t="shared" si="23"/>
        <v>0</v>
      </c>
      <c r="AI141" s="354">
        <f t="shared" si="24"/>
        <v>0</v>
      </c>
      <c r="AJ141" s="762">
        <f t="shared" si="25"/>
        <v>0</v>
      </c>
      <c r="AK141" s="13" t="str">
        <f>IF(A141&lt;&gt;"",IFERROR(INDEX(PMtbl[[WKst]:[Unit of measure*]],MATCH($A$101&amp;$A141&amp;$E141&amp;$I141,INDEX(PMtbl[Sec]&amp;PMtbl[Category]&amp;PMtbl[INN]&amp;PMtbl[Specification],0,),0),7),""),"")</f>
        <v/>
      </c>
      <c r="AL141" s="2050"/>
      <c r="AM141" s="355" t="str">
        <f>IFERROR(INDEX(SETUP!$C$19:$G$62,MATCH((INDEX(PMtbl[[WKst]:[Unit of measure*]],MATCH($A141&amp;$E141&amp;$I141,INDEX(PMtbl[Category]&amp;PMtbl[INN]&amp;PMtbl[Specification],0,),0),3)),SETUP!$D$19:$D$62,0),5),"")</f>
        <v/>
      </c>
      <c r="AN141" s="355" t="str">
        <f>IFERROR(IF((INDEX(SETUP!$C$19:$G$62,MATCH((INDEX(PMtbl[[WKst]:[Unit of measure*]],MATCH($A141&amp;$E141&amp;$I141,INDEX(PMtbl[Category]&amp;PMtbl[INN]&amp;PMtbl[Specification],0,),0),3)),SETUP!$D$19:$D$62,0),4))="Upfront",0,INDEX(SETUP!$C$19:$G$62,MATCH((INDEX(PMtbl[[WKst]:[Unit of measure*]],MATCH($A141&amp;$E141&amp;$I141,INDEX(PMtbl[Category]&amp;PMtbl[INN]&amp;PMtbl[Specification],0,),0),3)),SETUP!$D$19:$D$62,0),5)),"")</f>
        <v/>
      </c>
    </row>
    <row r="142" spans="1:40" ht="15" hidden="1" customHeight="1">
      <c r="A142" s="2330"/>
      <c r="B142" s="2331"/>
      <c r="C142" s="2331"/>
      <c r="D142" s="2331"/>
      <c r="E142" s="2303"/>
      <c r="F142" s="2304"/>
      <c r="G142" s="2304"/>
      <c r="H142" s="2304"/>
      <c r="I142" s="2303"/>
      <c r="J142" s="2304"/>
      <c r="K142" s="2329"/>
      <c r="L142" s="1166" t="str">
        <f>IF($A142&lt;&gt;"",IFERROR(INDEX(PMtbl[[WKst]:[Unit of measure*]],MATCH($A$101&amp;$A142&amp;$E142&amp;$I142,INDEX(PMtbl[Sec]&amp;PMtbl[Category]&amp;PMtbl[INN]&amp;PMtbl[Specification],0,),0),8),""),"")</f>
        <v/>
      </c>
      <c r="M142" s="269" t="str">
        <f>IF(L142="", "",SETUP!$E$5)</f>
        <v/>
      </c>
      <c r="N142" s="772"/>
      <c r="O142" s="370"/>
      <c r="P142" s="370"/>
      <c r="Q142" s="370"/>
      <c r="R142" s="370"/>
      <c r="S142" s="11">
        <f t="shared" si="18"/>
        <v>0</v>
      </c>
      <c r="T142" s="781">
        <f t="shared" si="19"/>
        <v>0</v>
      </c>
      <c r="U142" s="772"/>
      <c r="V142" s="370"/>
      <c r="W142" s="370"/>
      <c r="X142" s="370"/>
      <c r="Y142" s="370"/>
      <c r="Z142" s="348">
        <f t="shared" si="20"/>
        <v>0</v>
      </c>
      <c r="AA142" s="771">
        <f t="shared" si="21"/>
        <v>0</v>
      </c>
      <c r="AB142" s="772"/>
      <c r="AC142" s="370"/>
      <c r="AD142" s="370"/>
      <c r="AE142" s="370"/>
      <c r="AF142" s="370"/>
      <c r="AG142" s="349">
        <f t="shared" si="22"/>
        <v>0</v>
      </c>
      <c r="AH142" s="761">
        <f t="shared" si="23"/>
        <v>0</v>
      </c>
      <c r="AI142" s="350">
        <f t="shared" si="24"/>
        <v>0</v>
      </c>
      <c r="AJ142" s="761">
        <f t="shared" si="25"/>
        <v>0</v>
      </c>
      <c r="AK142" s="14" t="str">
        <f>IF(A142&lt;&gt;"",IFERROR(INDEX(PMtbl[[WKst]:[Unit of measure*]],MATCH($A$101&amp;$A142&amp;$E142&amp;$I142,INDEX(PMtbl[Sec]&amp;PMtbl[Category]&amp;PMtbl[INN]&amp;PMtbl[Specification],0,),0),7),""),"")</f>
        <v/>
      </c>
      <c r="AL142" s="2049"/>
      <c r="AM142" s="351" t="str">
        <f>IFERROR(INDEX(SETUP!$C$19:$G$62,MATCH((INDEX(PMtbl[[WKst]:[Unit of measure*]],MATCH($A142&amp;$E142&amp;$I142,INDEX(PMtbl[Category]&amp;PMtbl[INN]&amp;PMtbl[Specification],0,),0),3)),SETUP!$D$19:$D$62,0),5),"")</f>
        <v/>
      </c>
      <c r="AN142" s="351" t="str">
        <f>IFERROR(IF((INDEX(SETUP!$C$19:$G$62,MATCH((INDEX(PMtbl[[WKst]:[Unit of measure*]],MATCH($A142&amp;$E142&amp;$I142,INDEX(PMtbl[Category]&amp;PMtbl[INN]&amp;PMtbl[Specification],0,),0),3)),SETUP!$D$19:$D$62,0),4))="Upfront",0,INDEX(SETUP!$C$19:$G$62,MATCH((INDEX(PMtbl[[WKst]:[Unit of measure*]],MATCH($A142&amp;$E142&amp;$I142,INDEX(PMtbl[Category]&amp;PMtbl[INN]&amp;PMtbl[Specification],0,),0),3)),SETUP!$D$19:$D$62,0),5)),"")</f>
        <v/>
      </c>
    </row>
    <row r="143" spans="1:40" ht="15" hidden="1" customHeight="1">
      <c r="A143" s="2336"/>
      <c r="B143" s="2337"/>
      <c r="C143" s="2337"/>
      <c r="D143" s="2337"/>
      <c r="E143" s="2301"/>
      <c r="F143" s="2302"/>
      <c r="G143" s="2302"/>
      <c r="H143" s="2302"/>
      <c r="I143" s="2301"/>
      <c r="J143" s="2302"/>
      <c r="K143" s="2307"/>
      <c r="L143" s="1165" t="str">
        <f>IF($A143&lt;&gt;"",IFERROR(INDEX(PMtbl[[WKst]:[Unit of measure*]],MATCH($A$101&amp;$A143&amp;$E143&amp;$I143,INDEX(PMtbl[Sec]&amp;PMtbl[Category]&amp;PMtbl[INN]&amp;PMtbl[Specification],0,),0),8),""),"")</f>
        <v/>
      </c>
      <c r="M143" s="270" t="str">
        <f>IF(L143="", "",SETUP!$E$5)</f>
        <v/>
      </c>
      <c r="N143" s="774"/>
      <c r="O143" s="371"/>
      <c r="P143" s="371"/>
      <c r="Q143" s="371"/>
      <c r="R143" s="371"/>
      <c r="S143" s="10">
        <f t="shared" si="18"/>
        <v>0</v>
      </c>
      <c r="T143" s="782">
        <f t="shared" si="19"/>
        <v>0</v>
      </c>
      <c r="U143" s="774"/>
      <c r="V143" s="371"/>
      <c r="W143" s="371"/>
      <c r="X143" s="371"/>
      <c r="Y143" s="371"/>
      <c r="Z143" s="352">
        <f t="shared" si="20"/>
        <v>0</v>
      </c>
      <c r="AA143" s="773">
        <f t="shared" si="21"/>
        <v>0</v>
      </c>
      <c r="AB143" s="774"/>
      <c r="AC143" s="371"/>
      <c r="AD143" s="371"/>
      <c r="AE143" s="371"/>
      <c r="AF143" s="371"/>
      <c r="AG143" s="353">
        <f t="shared" si="22"/>
        <v>0</v>
      </c>
      <c r="AH143" s="762">
        <f t="shared" si="23"/>
        <v>0</v>
      </c>
      <c r="AI143" s="354">
        <f t="shared" si="24"/>
        <v>0</v>
      </c>
      <c r="AJ143" s="762">
        <f t="shared" si="25"/>
        <v>0</v>
      </c>
      <c r="AK143" s="13" t="str">
        <f>IF(A143&lt;&gt;"",IFERROR(INDEX(PMtbl[[WKst]:[Unit of measure*]],MATCH($A$101&amp;$A143&amp;$E143&amp;$I143,INDEX(PMtbl[Sec]&amp;PMtbl[Category]&amp;PMtbl[INN]&amp;PMtbl[Specification],0,),0),7),""),"")</f>
        <v/>
      </c>
      <c r="AL143" s="2050"/>
      <c r="AM143" s="355" t="str">
        <f>IFERROR(INDEX(SETUP!$C$19:$G$62,MATCH((INDEX(PMtbl[[WKst]:[Unit of measure*]],MATCH($A143&amp;$E143&amp;$I143,INDEX(PMtbl[Category]&amp;PMtbl[INN]&amp;PMtbl[Specification],0,),0),3)),SETUP!$D$19:$D$62,0),5),"")</f>
        <v/>
      </c>
      <c r="AN143" s="355" t="str">
        <f>IFERROR(IF((INDEX(SETUP!$C$19:$G$62,MATCH((INDEX(PMtbl[[WKst]:[Unit of measure*]],MATCH($A143&amp;$E143&amp;$I143,INDEX(PMtbl[Category]&amp;PMtbl[INN]&amp;PMtbl[Specification],0,),0),3)),SETUP!$D$19:$D$62,0),4))="Upfront",0,INDEX(SETUP!$C$19:$G$62,MATCH((INDEX(PMtbl[[WKst]:[Unit of measure*]],MATCH($A143&amp;$E143&amp;$I143,INDEX(PMtbl[Category]&amp;PMtbl[INN]&amp;PMtbl[Specification],0,),0),3)),SETUP!$D$19:$D$62,0),5)),"")</f>
        <v/>
      </c>
    </row>
    <row r="144" spans="1:40" ht="15" hidden="1" customHeight="1">
      <c r="A144" s="2330"/>
      <c r="B144" s="2331"/>
      <c r="C144" s="2331"/>
      <c r="D144" s="2331"/>
      <c r="E144" s="2303"/>
      <c r="F144" s="2304"/>
      <c r="G144" s="2304"/>
      <c r="H144" s="2304"/>
      <c r="I144" s="2303"/>
      <c r="J144" s="2304"/>
      <c r="K144" s="2329"/>
      <c r="L144" s="1166" t="str">
        <f>IF($A144&lt;&gt;"",IFERROR(INDEX(PMtbl[[WKst]:[Unit of measure*]],MATCH($A$101&amp;$A144&amp;$E144&amp;$I144,INDEX(PMtbl[Sec]&amp;PMtbl[Category]&amp;PMtbl[INN]&amp;PMtbl[Specification],0,),0),8),""),"")</f>
        <v/>
      </c>
      <c r="M144" s="269" t="str">
        <f>IF(L144="", "",SETUP!$E$5)</f>
        <v/>
      </c>
      <c r="N144" s="772"/>
      <c r="O144" s="370"/>
      <c r="P144" s="370"/>
      <c r="Q144" s="370"/>
      <c r="R144" s="370"/>
      <c r="S144" s="11">
        <f t="shared" si="18"/>
        <v>0</v>
      </c>
      <c r="T144" s="781">
        <f t="shared" si="19"/>
        <v>0</v>
      </c>
      <c r="U144" s="772"/>
      <c r="V144" s="370"/>
      <c r="W144" s="370"/>
      <c r="X144" s="370"/>
      <c r="Y144" s="370"/>
      <c r="Z144" s="348">
        <f t="shared" si="20"/>
        <v>0</v>
      </c>
      <c r="AA144" s="771">
        <f t="shared" si="21"/>
        <v>0</v>
      </c>
      <c r="AB144" s="772"/>
      <c r="AC144" s="370"/>
      <c r="AD144" s="370"/>
      <c r="AE144" s="370"/>
      <c r="AF144" s="370"/>
      <c r="AG144" s="349">
        <f t="shared" si="22"/>
        <v>0</v>
      </c>
      <c r="AH144" s="761">
        <f t="shared" si="23"/>
        <v>0</v>
      </c>
      <c r="AI144" s="350">
        <f t="shared" si="24"/>
        <v>0</v>
      </c>
      <c r="AJ144" s="761">
        <f t="shared" si="25"/>
        <v>0</v>
      </c>
      <c r="AK144" s="14" t="str">
        <f>IF(A144&lt;&gt;"",IFERROR(INDEX(PMtbl[[WKst]:[Unit of measure*]],MATCH($A$101&amp;$A144&amp;$E144&amp;$I144,INDEX(PMtbl[Sec]&amp;PMtbl[Category]&amp;PMtbl[INN]&amp;PMtbl[Specification],0,),0),7),""),"")</f>
        <v/>
      </c>
      <c r="AL144" s="2049"/>
      <c r="AM144" s="351" t="str">
        <f>IFERROR(INDEX(SETUP!$C$19:$G$62,MATCH((INDEX(PMtbl[[WKst]:[Unit of measure*]],MATCH($A144&amp;$E144&amp;$I144,INDEX(PMtbl[Category]&amp;PMtbl[INN]&amp;PMtbl[Specification],0,),0),3)),SETUP!$D$19:$D$62,0),5),"")</f>
        <v/>
      </c>
      <c r="AN144" s="351" t="str">
        <f>IFERROR(IF((INDEX(SETUP!$C$19:$G$62,MATCH((INDEX(PMtbl[[WKst]:[Unit of measure*]],MATCH($A144&amp;$E144&amp;$I144,INDEX(PMtbl[Category]&amp;PMtbl[INN]&amp;PMtbl[Specification],0,),0),3)),SETUP!$D$19:$D$62,0),4))="Upfront",0,INDEX(SETUP!$C$19:$G$62,MATCH((INDEX(PMtbl[[WKst]:[Unit of measure*]],MATCH($A144&amp;$E144&amp;$I144,INDEX(PMtbl[Category]&amp;PMtbl[INN]&amp;PMtbl[Specification],0,),0),3)),SETUP!$D$19:$D$62,0),5)),"")</f>
        <v/>
      </c>
    </row>
    <row r="145" spans="1:40" ht="15" hidden="1" customHeight="1">
      <c r="A145" s="2336"/>
      <c r="B145" s="2337"/>
      <c r="C145" s="2337"/>
      <c r="D145" s="2337"/>
      <c r="E145" s="2301"/>
      <c r="F145" s="2302"/>
      <c r="G145" s="2302"/>
      <c r="H145" s="2302"/>
      <c r="I145" s="2301"/>
      <c r="J145" s="2302"/>
      <c r="K145" s="2307"/>
      <c r="L145" s="1165" t="str">
        <f>IF($A145&lt;&gt;"",IFERROR(INDEX(PMtbl[[WKst]:[Unit of measure*]],MATCH($A$101&amp;$A145&amp;$E145&amp;$I145,INDEX(PMtbl[Sec]&amp;PMtbl[Category]&amp;PMtbl[INN]&amp;PMtbl[Specification],0,),0),8),""),"")</f>
        <v/>
      </c>
      <c r="M145" s="270" t="str">
        <f>IF(L145="", "",SETUP!$E$5)</f>
        <v/>
      </c>
      <c r="N145" s="776"/>
      <c r="O145" s="372"/>
      <c r="P145" s="372"/>
      <c r="Q145" s="372"/>
      <c r="R145" s="372"/>
      <c r="S145" s="356">
        <f t="shared" si="18"/>
        <v>0</v>
      </c>
      <c r="T145" s="783">
        <f t="shared" si="19"/>
        <v>0</v>
      </c>
      <c r="U145" s="776"/>
      <c r="V145" s="372"/>
      <c r="W145" s="372"/>
      <c r="X145" s="372"/>
      <c r="Y145" s="372"/>
      <c r="Z145" s="357">
        <f t="shared" si="20"/>
        <v>0</v>
      </c>
      <c r="AA145" s="775">
        <f t="shared" si="21"/>
        <v>0</v>
      </c>
      <c r="AB145" s="776"/>
      <c r="AC145" s="372"/>
      <c r="AD145" s="372"/>
      <c r="AE145" s="372"/>
      <c r="AF145" s="372"/>
      <c r="AG145" s="358">
        <f t="shared" si="22"/>
        <v>0</v>
      </c>
      <c r="AH145" s="763">
        <f t="shared" si="23"/>
        <v>0</v>
      </c>
      <c r="AI145" s="359">
        <f t="shared" si="24"/>
        <v>0</v>
      </c>
      <c r="AJ145" s="763">
        <f t="shared" si="25"/>
        <v>0</v>
      </c>
      <c r="AK145" s="367" t="str">
        <f>IF(A145&lt;&gt;"",IFERROR(INDEX(PMtbl[[WKst]:[Unit of measure*]],MATCH($A$101&amp;$A145&amp;$E145&amp;$I145,INDEX(PMtbl[Sec]&amp;PMtbl[Category]&amp;PMtbl[INN]&amp;PMtbl[Specification],0,),0),7),""),"")</f>
        <v/>
      </c>
      <c r="AL145" s="2051"/>
      <c r="AM145" s="360" t="str">
        <f>IFERROR(INDEX(SETUP!$C$19:$G$62,MATCH((INDEX(PMtbl[[WKst]:[Unit of measure*]],MATCH($A145&amp;$E145&amp;$I145,INDEX(PMtbl[Category]&amp;PMtbl[INN]&amp;PMtbl[Specification],0,),0),3)),SETUP!$D$19:$D$62,0),5),"")</f>
        <v/>
      </c>
      <c r="AN145" s="360" t="str">
        <f>IFERROR(IF((INDEX(SETUP!$C$19:$G$62,MATCH((INDEX(PMtbl[[WKst]:[Unit of measure*]],MATCH($A145&amp;$E145&amp;$I145,INDEX(PMtbl[Category]&amp;PMtbl[INN]&amp;PMtbl[Specification],0,),0),3)),SETUP!$D$19:$D$62,0),4))="Upfront",0,INDEX(SETUP!$C$19:$G$62,MATCH((INDEX(PMtbl[[WKst]:[Unit of measure*]],MATCH($A145&amp;$E145&amp;$I145,INDEX(PMtbl[Category]&amp;PMtbl[INN]&amp;PMtbl[Specification],0,),0),3)),SETUP!$D$19:$D$62,0),5)),"")</f>
        <v/>
      </c>
    </row>
    <row r="146" spans="1:40" ht="15" hidden="1" customHeight="1">
      <c r="A146" s="2330"/>
      <c r="B146" s="2331"/>
      <c r="C146" s="2331"/>
      <c r="D146" s="2331"/>
      <c r="E146" s="2303"/>
      <c r="F146" s="2304"/>
      <c r="G146" s="2304"/>
      <c r="H146" s="2304"/>
      <c r="I146" s="2303"/>
      <c r="J146" s="2304"/>
      <c r="K146" s="2329"/>
      <c r="L146" s="1166" t="str">
        <f>IF($A146&lt;&gt;"",IFERROR(INDEX(PMtbl[[WKst]:[Unit of measure*]],MATCH($A$101&amp;$A146&amp;$E146&amp;$I146,INDEX(PMtbl[Sec]&amp;PMtbl[Category]&amp;PMtbl[INN]&amp;PMtbl[Specification],0,),0),8),""),"")</f>
        <v/>
      </c>
      <c r="M146" s="269" t="str">
        <f>IF(L146="", "",SETUP!$E$5)</f>
        <v/>
      </c>
      <c r="N146" s="772"/>
      <c r="O146" s="370"/>
      <c r="P146" s="370"/>
      <c r="Q146" s="370"/>
      <c r="R146" s="370"/>
      <c r="S146" s="11">
        <f t="shared" si="18"/>
        <v>0</v>
      </c>
      <c r="T146" s="781">
        <f t="shared" si="19"/>
        <v>0</v>
      </c>
      <c r="U146" s="772"/>
      <c r="V146" s="370"/>
      <c r="W146" s="370"/>
      <c r="X146" s="370"/>
      <c r="Y146" s="370"/>
      <c r="Z146" s="348">
        <f t="shared" si="20"/>
        <v>0</v>
      </c>
      <c r="AA146" s="771">
        <f t="shared" si="21"/>
        <v>0</v>
      </c>
      <c r="AB146" s="772"/>
      <c r="AC146" s="370"/>
      <c r="AD146" s="370"/>
      <c r="AE146" s="370"/>
      <c r="AF146" s="370"/>
      <c r="AG146" s="349">
        <f t="shared" si="22"/>
        <v>0</v>
      </c>
      <c r="AH146" s="761">
        <f t="shared" si="23"/>
        <v>0</v>
      </c>
      <c r="AI146" s="350">
        <f t="shared" si="24"/>
        <v>0</v>
      </c>
      <c r="AJ146" s="761">
        <f t="shared" si="25"/>
        <v>0</v>
      </c>
      <c r="AK146" s="368" t="str">
        <f>IF(A146&lt;&gt;"",IFERROR(INDEX(PMtbl[[WKst]:[Unit of measure*]],MATCH($A$101&amp;$A146&amp;$E146&amp;$I146,INDEX(PMtbl[Sec]&amp;PMtbl[Category]&amp;PMtbl[INN]&amp;PMtbl[Specification],0,),0),7),""),"")</f>
        <v/>
      </c>
      <c r="AL146" s="2052"/>
      <c r="AM146" s="361" t="str">
        <f>IFERROR(INDEX(SETUP!$C$19:$G$62,MATCH((INDEX(PMtbl[[WKst]:[Unit of measure*]],MATCH($A146&amp;$E146&amp;$I146,INDEX(PMtbl[Category]&amp;PMtbl[INN]&amp;PMtbl[Specification],0,),0),3)),SETUP!$D$19:$D$62,0),5),"")</f>
        <v/>
      </c>
      <c r="AN146" s="361" t="str">
        <f>IFERROR(IF((INDEX(SETUP!$C$19:$G$62,MATCH((INDEX(PMtbl[[WKst]:[Unit of measure*]],MATCH($A146&amp;$E146&amp;$I146,INDEX(PMtbl[Category]&amp;PMtbl[INN]&amp;PMtbl[Specification],0,),0),3)),SETUP!$D$19:$D$62,0),4))="Upfront",0,INDEX(SETUP!$C$19:$G$62,MATCH((INDEX(PMtbl[[WKst]:[Unit of measure*]],MATCH($A146&amp;$E146&amp;$I146,INDEX(PMtbl[Category]&amp;PMtbl[INN]&amp;PMtbl[Specification],0,),0),3)),SETUP!$D$19:$D$62,0),5)),"")</f>
        <v/>
      </c>
    </row>
    <row r="147" spans="1:40" ht="15" hidden="1" customHeight="1">
      <c r="A147" s="2336"/>
      <c r="B147" s="2337"/>
      <c r="C147" s="2337"/>
      <c r="D147" s="2337"/>
      <c r="E147" s="2301"/>
      <c r="F147" s="2302"/>
      <c r="G147" s="2302"/>
      <c r="H147" s="2302"/>
      <c r="I147" s="2301"/>
      <c r="J147" s="2302"/>
      <c r="K147" s="2307"/>
      <c r="L147" s="1165" t="str">
        <f>IF($A147&lt;&gt;"",IFERROR(INDEX(PMtbl[[WKst]:[Unit of measure*]],MATCH($A$101&amp;$A147&amp;$E147&amp;$I147,INDEX(PMtbl[Sec]&amp;PMtbl[Category]&amp;PMtbl[INN]&amp;PMtbl[Specification],0,),0),8),""),"")</f>
        <v/>
      </c>
      <c r="M147" s="270" t="str">
        <f>IF(L147="", "",SETUP!$E$5)</f>
        <v/>
      </c>
      <c r="N147" s="776"/>
      <c r="O147" s="372"/>
      <c r="P147" s="372"/>
      <c r="Q147" s="372"/>
      <c r="R147" s="372"/>
      <c r="S147" s="356">
        <f t="shared" si="18"/>
        <v>0</v>
      </c>
      <c r="T147" s="783">
        <f t="shared" si="19"/>
        <v>0</v>
      </c>
      <c r="U147" s="776"/>
      <c r="V147" s="372"/>
      <c r="W147" s="372"/>
      <c r="X147" s="372"/>
      <c r="Y147" s="372"/>
      <c r="Z147" s="357">
        <f t="shared" si="20"/>
        <v>0</v>
      </c>
      <c r="AA147" s="775">
        <f t="shared" si="21"/>
        <v>0</v>
      </c>
      <c r="AB147" s="776"/>
      <c r="AC147" s="372"/>
      <c r="AD147" s="372"/>
      <c r="AE147" s="372"/>
      <c r="AF147" s="372"/>
      <c r="AG147" s="358">
        <f t="shared" si="22"/>
        <v>0</v>
      </c>
      <c r="AH147" s="763">
        <f t="shared" si="23"/>
        <v>0</v>
      </c>
      <c r="AI147" s="359">
        <f t="shared" si="24"/>
        <v>0</v>
      </c>
      <c r="AJ147" s="763">
        <f t="shared" si="25"/>
        <v>0</v>
      </c>
      <c r="AK147" s="367" t="str">
        <f>IF(A147&lt;&gt;"",IFERROR(INDEX(PMtbl[[WKst]:[Unit of measure*]],MATCH($A$101&amp;$A147&amp;$E147&amp;$I147,INDEX(PMtbl[Sec]&amp;PMtbl[Category]&amp;PMtbl[INN]&amp;PMtbl[Specification],0,),0),7),""),"")</f>
        <v/>
      </c>
      <c r="AL147" s="2051"/>
      <c r="AM147" s="360" t="str">
        <f>IFERROR(INDEX(SETUP!$C$19:$G$62,MATCH((INDEX(PMtbl[[WKst]:[Unit of measure*]],MATCH($A147&amp;$E147&amp;$I147,INDEX(PMtbl[Category]&amp;PMtbl[INN]&amp;PMtbl[Specification],0,),0),3)),SETUP!$D$19:$D$62,0),5),"")</f>
        <v/>
      </c>
      <c r="AN147" s="360" t="str">
        <f>IFERROR(IF((INDEX(SETUP!$C$19:$G$62,MATCH((INDEX(PMtbl[[WKst]:[Unit of measure*]],MATCH($A147&amp;$E147&amp;$I147,INDEX(PMtbl[Category]&amp;PMtbl[INN]&amp;PMtbl[Specification],0,),0),3)),SETUP!$D$19:$D$62,0),4))="Upfront",0,INDEX(SETUP!$C$19:$G$62,MATCH((INDEX(PMtbl[[WKst]:[Unit of measure*]],MATCH($A147&amp;$E147&amp;$I147,INDEX(PMtbl[Category]&amp;PMtbl[INN]&amp;PMtbl[Specification],0,),0),3)),SETUP!$D$19:$D$62,0),5)),"")</f>
        <v/>
      </c>
    </row>
    <row r="148" spans="1:40" ht="15" hidden="1" customHeight="1">
      <c r="A148" s="2330"/>
      <c r="B148" s="2331"/>
      <c r="C148" s="2331"/>
      <c r="D148" s="2331"/>
      <c r="E148" s="2303"/>
      <c r="F148" s="2304"/>
      <c r="G148" s="2304"/>
      <c r="H148" s="2304"/>
      <c r="I148" s="2303"/>
      <c r="J148" s="2304"/>
      <c r="K148" s="2329"/>
      <c r="L148" s="1166" t="str">
        <f>IF($A148&lt;&gt;"",IFERROR(INDEX(PMtbl[[WKst]:[Unit of measure*]],MATCH($A$101&amp;$A148&amp;$E148&amp;$I148,INDEX(PMtbl[Sec]&amp;PMtbl[Category]&amp;PMtbl[INN]&amp;PMtbl[Specification],0,),0),8),""),"")</f>
        <v/>
      </c>
      <c r="M148" s="269" t="str">
        <f>IF(L148="", "",SETUP!$E$5)</f>
        <v/>
      </c>
      <c r="N148" s="772"/>
      <c r="O148" s="370"/>
      <c r="P148" s="370"/>
      <c r="Q148" s="370"/>
      <c r="R148" s="370"/>
      <c r="S148" s="11">
        <f t="shared" si="18"/>
        <v>0</v>
      </c>
      <c r="T148" s="781">
        <f t="shared" si="19"/>
        <v>0</v>
      </c>
      <c r="U148" s="772"/>
      <c r="V148" s="370"/>
      <c r="W148" s="370"/>
      <c r="X148" s="370"/>
      <c r="Y148" s="370"/>
      <c r="Z148" s="348">
        <f t="shared" si="20"/>
        <v>0</v>
      </c>
      <c r="AA148" s="771">
        <f t="shared" si="21"/>
        <v>0</v>
      </c>
      <c r="AB148" s="772"/>
      <c r="AC148" s="370"/>
      <c r="AD148" s="370"/>
      <c r="AE148" s="370"/>
      <c r="AF148" s="370"/>
      <c r="AG148" s="349">
        <f t="shared" si="22"/>
        <v>0</v>
      </c>
      <c r="AH148" s="761">
        <f t="shared" si="23"/>
        <v>0</v>
      </c>
      <c r="AI148" s="350">
        <f t="shared" si="24"/>
        <v>0</v>
      </c>
      <c r="AJ148" s="761">
        <f t="shared" si="25"/>
        <v>0</v>
      </c>
      <c r="AK148" s="368" t="str">
        <f>IF(A148&lt;&gt;"",IFERROR(INDEX(PMtbl[[WKst]:[Unit of measure*]],MATCH($A$101&amp;$A148&amp;$E148&amp;$I148,INDEX(PMtbl[Sec]&amp;PMtbl[Category]&amp;PMtbl[INN]&amp;PMtbl[Specification],0,),0),7),""),"")</f>
        <v/>
      </c>
      <c r="AL148" s="2052"/>
      <c r="AM148" s="361" t="str">
        <f>IFERROR(INDEX(SETUP!$C$19:$G$62,MATCH((INDEX(PMtbl[[WKst]:[Unit of measure*]],MATCH($A148&amp;$E148&amp;$I148,INDEX(PMtbl[Category]&amp;PMtbl[INN]&amp;PMtbl[Specification],0,),0),3)),SETUP!$D$19:$D$62,0),5),"")</f>
        <v/>
      </c>
      <c r="AN148" s="361" t="str">
        <f>IFERROR(IF((INDEX(SETUP!$C$19:$G$62,MATCH((INDEX(PMtbl[[WKst]:[Unit of measure*]],MATCH($A148&amp;$E148&amp;$I148,INDEX(PMtbl[Category]&amp;PMtbl[INN]&amp;PMtbl[Specification],0,),0),3)),SETUP!$D$19:$D$62,0),4))="Upfront",0,INDEX(SETUP!$C$19:$G$62,MATCH((INDEX(PMtbl[[WKst]:[Unit of measure*]],MATCH($A148&amp;$E148&amp;$I148,INDEX(PMtbl[Category]&amp;PMtbl[INN]&amp;PMtbl[Specification],0,),0),3)),SETUP!$D$19:$D$62,0),5)),"")</f>
        <v/>
      </c>
    </row>
    <row r="149" spans="1:40" ht="15" hidden="1" customHeight="1">
      <c r="A149" s="2336"/>
      <c r="B149" s="2337"/>
      <c r="C149" s="2337"/>
      <c r="D149" s="2337"/>
      <c r="E149" s="2301"/>
      <c r="F149" s="2302"/>
      <c r="G149" s="2302"/>
      <c r="H149" s="2302"/>
      <c r="I149" s="2301"/>
      <c r="J149" s="2302"/>
      <c r="K149" s="2307"/>
      <c r="L149" s="1165" t="str">
        <f>IF($A149&lt;&gt;"",IFERROR(INDEX(PMtbl[[WKst]:[Unit of measure*]],MATCH($A$101&amp;$A149&amp;$E149&amp;$I149,INDEX(PMtbl[Sec]&amp;PMtbl[Category]&amp;PMtbl[INN]&amp;PMtbl[Specification],0,),0),8),""),"")</f>
        <v/>
      </c>
      <c r="M149" s="270" t="str">
        <f>IF(L149="", "",SETUP!$E$5)</f>
        <v/>
      </c>
      <c r="N149" s="776"/>
      <c r="O149" s="372"/>
      <c r="P149" s="372"/>
      <c r="Q149" s="372"/>
      <c r="R149" s="372"/>
      <c r="S149" s="356">
        <f t="shared" si="18"/>
        <v>0</v>
      </c>
      <c r="T149" s="783">
        <f t="shared" si="19"/>
        <v>0</v>
      </c>
      <c r="U149" s="776"/>
      <c r="V149" s="372"/>
      <c r="W149" s="372"/>
      <c r="X149" s="372"/>
      <c r="Y149" s="372"/>
      <c r="Z149" s="357">
        <f t="shared" si="20"/>
        <v>0</v>
      </c>
      <c r="AA149" s="775">
        <f t="shared" si="21"/>
        <v>0</v>
      </c>
      <c r="AB149" s="776"/>
      <c r="AC149" s="372"/>
      <c r="AD149" s="372"/>
      <c r="AE149" s="372"/>
      <c r="AF149" s="372"/>
      <c r="AG149" s="358">
        <f t="shared" si="22"/>
        <v>0</v>
      </c>
      <c r="AH149" s="763">
        <f t="shared" si="23"/>
        <v>0</v>
      </c>
      <c r="AI149" s="359">
        <f t="shared" si="24"/>
        <v>0</v>
      </c>
      <c r="AJ149" s="763">
        <f t="shared" si="25"/>
        <v>0</v>
      </c>
      <c r="AK149" s="367" t="str">
        <f>IF(A149&lt;&gt;"",IFERROR(INDEX(PMtbl[[WKst]:[Unit of measure*]],MATCH($A$101&amp;$A149&amp;$E149&amp;$I149,INDEX(PMtbl[Sec]&amp;PMtbl[Category]&amp;PMtbl[INN]&amp;PMtbl[Specification],0,),0),7),""),"")</f>
        <v/>
      </c>
      <c r="AL149" s="2051"/>
      <c r="AM149" s="360" t="str">
        <f>IFERROR(INDEX(SETUP!$C$19:$G$62,MATCH((INDEX(PMtbl[[WKst]:[Unit of measure*]],MATCH($A149&amp;$E149&amp;$I149,INDEX(PMtbl[Category]&amp;PMtbl[INN]&amp;PMtbl[Specification],0,),0),3)),SETUP!$D$19:$D$62,0),5),"")</f>
        <v/>
      </c>
      <c r="AN149" s="360" t="str">
        <f>IFERROR(IF((INDEX(SETUP!$C$19:$G$62,MATCH((INDEX(PMtbl[[WKst]:[Unit of measure*]],MATCH($A149&amp;$E149&amp;$I149,INDEX(PMtbl[Category]&amp;PMtbl[INN]&amp;PMtbl[Specification],0,),0),3)),SETUP!$D$19:$D$62,0),4))="Upfront",0,INDEX(SETUP!$C$19:$G$62,MATCH((INDEX(PMtbl[[WKst]:[Unit of measure*]],MATCH($A149&amp;$E149&amp;$I149,INDEX(PMtbl[Category]&amp;PMtbl[INN]&amp;PMtbl[Specification],0,),0),3)),SETUP!$D$19:$D$62,0),5)),"")</f>
        <v/>
      </c>
    </row>
    <row r="150" spans="1:40" ht="15" hidden="1" customHeight="1">
      <c r="A150" s="2330"/>
      <c r="B150" s="2331"/>
      <c r="C150" s="2331"/>
      <c r="D150" s="2331"/>
      <c r="E150" s="2303"/>
      <c r="F150" s="2304"/>
      <c r="G150" s="2304"/>
      <c r="H150" s="2304"/>
      <c r="I150" s="2303"/>
      <c r="J150" s="2304"/>
      <c r="K150" s="2329"/>
      <c r="L150" s="1166" t="str">
        <f>IF($A150&lt;&gt;"",IFERROR(INDEX(PMtbl[[WKst]:[Unit of measure*]],MATCH($A$101&amp;$A150&amp;$E150&amp;$I150,INDEX(PMtbl[Sec]&amp;PMtbl[Category]&amp;PMtbl[INN]&amp;PMtbl[Specification],0,),0),8),""),"")</f>
        <v/>
      </c>
      <c r="M150" s="269" t="str">
        <f>IF(L150="", "",SETUP!$E$5)</f>
        <v/>
      </c>
      <c r="N150" s="772"/>
      <c r="O150" s="370"/>
      <c r="P150" s="370"/>
      <c r="Q150" s="370"/>
      <c r="R150" s="370"/>
      <c r="S150" s="11">
        <f t="shared" si="18"/>
        <v>0</v>
      </c>
      <c r="T150" s="781">
        <f t="shared" si="19"/>
        <v>0</v>
      </c>
      <c r="U150" s="772"/>
      <c r="V150" s="370"/>
      <c r="W150" s="370"/>
      <c r="X150" s="370"/>
      <c r="Y150" s="370"/>
      <c r="Z150" s="348">
        <f t="shared" si="20"/>
        <v>0</v>
      </c>
      <c r="AA150" s="771">
        <f t="shared" si="21"/>
        <v>0</v>
      </c>
      <c r="AB150" s="772"/>
      <c r="AC150" s="370"/>
      <c r="AD150" s="370"/>
      <c r="AE150" s="370"/>
      <c r="AF150" s="370"/>
      <c r="AG150" s="349">
        <f t="shared" si="22"/>
        <v>0</v>
      </c>
      <c r="AH150" s="761">
        <f t="shared" si="23"/>
        <v>0</v>
      </c>
      <c r="AI150" s="350">
        <f t="shared" si="24"/>
        <v>0</v>
      </c>
      <c r="AJ150" s="761">
        <f t="shared" si="25"/>
        <v>0</v>
      </c>
      <c r="AK150" s="368" t="str">
        <f>IF(A150&lt;&gt;"",IFERROR(INDEX(PMtbl[[WKst]:[Unit of measure*]],MATCH($A$101&amp;$A150&amp;$E150&amp;$I150,INDEX(PMtbl[Sec]&amp;PMtbl[Category]&amp;PMtbl[INN]&amp;PMtbl[Specification],0,),0),7),""),"")</f>
        <v/>
      </c>
      <c r="AL150" s="2052"/>
      <c r="AM150" s="361" t="str">
        <f>IFERROR(INDEX(SETUP!$C$19:$G$62,MATCH((INDEX(PMtbl[[WKst]:[Unit of measure*]],MATCH($A150&amp;$E150&amp;$I150,INDEX(PMtbl[Category]&amp;PMtbl[INN]&amp;PMtbl[Specification],0,),0),3)),SETUP!$D$19:$D$62,0),5),"")</f>
        <v/>
      </c>
      <c r="AN150" s="361" t="str">
        <f>IFERROR(IF((INDEX(SETUP!$C$19:$G$62,MATCH((INDEX(PMtbl[[WKst]:[Unit of measure*]],MATCH($A150&amp;$E150&amp;$I150,INDEX(PMtbl[Category]&amp;PMtbl[INN]&amp;PMtbl[Specification],0,),0),3)),SETUP!$D$19:$D$62,0),4))="Upfront",0,INDEX(SETUP!$C$19:$G$62,MATCH((INDEX(PMtbl[[WKst]:[Unit of measure*]],MATCH($A150&amp;$E150&amp;$I150,INDEX(PMtbl[Category]&amp;PMtbl[INN]&amp;PMtbl[Specification],0,),0),3)),SETUP!$D$19:$D$62,0),5)),"")</f>
        <v/>
      </c>
    </row>
    <row r="151" spans="1:40" ht="15" hidden="1" customHeight="1">
      <c r="A151" s="2336"/>
      <c r="B151" s="2337"/>
      <c r="C151" s="2337"/>
      <c r="D151" s="2337"/>
      <c r="E151" s="2301"/>
      <c r="F151" s="2302"/>
      <c r="G151" s="2302"/>
      <c r="H151" s="2302"/>
      <c r="I151" s="2301"/>
      <c r="J151" s="2302"/>
      <c r="K151" s="2307"/>
      <c r="L151" s="1165" t="str">
        <f>IF($A151&lt;&gt;"",IFERROR(INDEX(PMtbl[[WKst]:[Unit of measure*]],MATCH($A$101&amp;$A151&amp;$E151&amp;$I151,INDEX(PMtbl[Sec]&amp;PMtbl[Category]&amp;PMtbl[INN]&amp;PMtbl[Specification],0,),0),8),""),"")</f>
        <v/>
      </c>
      <c r="M151" s="270" t="str">
        <f>IF(L151="", "",SETUP!$E$5)</f>
        <v/>
      </c>
      <c r="N151" s="776"/>
      <c r="O151" s="372"/>
      <c r="P151" s="372"/>
      <c r="Q151" s="372"/>
      <c r="R151" s="372"/>
      <c r="S151" s="356">
        <f t="shared" si="18"/>
        <v>0</v>
      </c>
      <c r="T151" s="783">
        <f t="shared" si="19"/>
        <v>0</v>
      </c>
      <c r="U151" s="776"/>
      <c r="V151" s="372"/>
      <c r="W151" s="372"/>
      <c r="X151" s="372"/>
      <c r="Y151" s="372"/>
      <c r="Z151" s="357">
        <f t="shared" si="20"/>
        <v>0</v>
      </c>
      <c r="AA151" s="775">
        <f t="shared" si="21"/>
        <v>0</v>
      </c>
      <c r="AB151" s="776"/>
      <c r="AC151" s="372"/>
      <c r="AD151" s="372"/>
      <c r="AE151" s="372"/>
      <c r="AF151" s="372"/>
      <c r="AG151" s="358">
        <f t="shared" si="22"/>
        <v>0</v>
      </c>
      <c r="AH151" s="763">
        <f t="shared" si="23"/>
        <v>0</v>
      </c>
      <c r="AI151" s="359">
        <f t="shared" si="24"/>
        <v>0</v>
      </c>
      <c r="AJ151" s="763">
        <f t="shared" si="25"/>
        <v>0</v>
      </c>
      <c r="AK151" s="367" t="str">
        <f>IF(A151&lt;&gt;"",IFERROR(INDEX(PMtbl[[WKst]:[Unit of measure*]],MATCH($A$101&amp;$A151&amp;$E151&amp;$I151,INDEX(PMtbl[Sec]&amp;PMtbl[Category]&amp;PMtbl[INN]&amp;PMtbl[Specification],0,),0),7),""),"")</f>
        <v/>
      </c>
      <c r="AL151" s="2051"/>
      <c r="AM151" s="360" t="str">
        <f>IFERROR(INDEX(SETUP!$C$19:$G$62,MATCH((INDEX(PMtbl[[WKst]:[Unit of measure*]],MATCH($A151&amp;$E151&amp;$I151,INDEX(PMtbl[Category]&amp;PMtbl[INN]&amp;PMtbl[Specification],0,),0),3)),SETUP!$D$19:$D$62,0),5),"")</f>
        <v/>
      </c>
      <c r="AN151" s="360" t="str">
        <f>IFERROR(IF((INDEX(SETUP!$C$19:$G$62,MATCH((INDEX(PMtbl[[WKst]:[Unit of measure*]],MATCH($A151&amp;$E151&amp;$I151,INDEX(PMtbl[Category]&amp;PMtbl[INN]&amp;PMtbl[Specification],0,),0),3)),SETUP!$D$19:$D$62,0),4))="Upfront",0,INDEX(SETUP!$C$19:$G$62,MATCH((INDEX(PMtbl[[WKst]:[Unit of measure*]],MATCH($A151&amp;$E151&amp;$I151,INDEX(PMtbl[Category]&amp;PMtbl[INN]&amp;PMtbl[Specification],0,),0),3)),SETUP!$D$19:$D$62,0),5)),"")</f>
        <v/>
      </c>
    </row>
    <row r="152" spans="1:40" ht="15" hidden="1" customHeight="1">
      <c r="A152" s="2330"/>
      <c r="B152" s="2331"/>
      <c r="C152" s="2331"/>
      <c r="D152" s="2331"/>
      <c r="E152" s="2303"/>
      <c r="F152" s="2304"/>
      <c r="G152" s="2304"/>
      <c r="H152" s="2304"/>
      <c r="I152" s="2303"/>
      <c r="J152" s="2304"/>
      <c r="K152" s="2329"/>
      <c r="L152" s="1166" t="str">
        <f>IF($A152&lt;&gt;"",IFERROR(INDEX(PMtbl[[WKst]:[Unit of measure*]],MATCH($A$101&amp;$A152&amp;$E152&amp;$I152,INDEX(PMtbl[Sec]&amp;PMtbl[Category]&amp;PMtbl[INN]&amp;PMtbl[Specification],0,),0),8),""),"")</f>
        <v/>
      </c>
      <c r="M152" s="269" t="str">
        <f>IF(L152="", "",SETUP!$E$5)</f>
        <v/>
      </c>
      <c r="N152" s="772"/>
      <c r="O152" s="370"/>
      <c r="P152" s="370"/>
      <c r="Q152" s="370"/>
      <c r="R152" s="370"/>
      <c r="S152" s="11">
        <f t="shared" si="18"/>
        <v>0</v>
      </c>
      <c r="T152" s="781">
        <f t="shared" si="19"/>
        <v>0</v>
      </c>
      <c r="U152" s="772"/>
      <c r="V152" s="370"/>
      <c r="W152" s="370"/>
      <c r="X152" s="370"/>
      <c r="Y152" s="370"/>
      <c r="Z152" s="348">
        <f t="shared" si="20"/>
        <v>0</v>
      </c>
      <c r="AA152" s="771">
        <f t="shared" si="21"/>
        <v>0</v>
      </c>
      <c r="AB152" s="772"/>
      <c r="AC152" s="370"/>
      <c r="AD152" s="370"/>
      <c r="AE152" s="370"/>
      <c r="AF152" s="370"/>
      <c r="AG152" s="349">
        <f t="shared" si="22"/>
        <v>0</v>
      </c>
      <c r="AH152" s="761">
        <f t="shared" si="23"/>
        <v>0</v>
      </c>
      <c r="AI152" s="350">
        <f t="shared" si="24"/>
        <v>0</v>
      </c>
      <c r="AJ152" s="761">
        <f t="shared" si="25"/>
        <v>0</v>
      </c>
      <c r="AK152" s="368" t="str">
        <f>IF(A152&lt;&gt;"",IFERROR(INDEX(PMtbl[[WKst]:[Unit of measure*]],MATCH($A$101&amp;$A152&amp;$E152&amp;$I152,INDEX(PMtbl[Sec]&amp;PMtbl[Category]&amp;PMtbl[INN]&amp;PMtbl[Specification],0,),0),7),""),"")</f>
        <v/>
      </c>
      <c r="AL152" s="2052"/>
      <c r="AM152" s="361" t="str">
        <f>IFERROR(INDEX(SETUP!$C$19:$G$62,MATCH((INDEX(PMtbl[[WKst]:[Unit of measure*]],MATCH($A152&amp;$E152&amp;$I152,INDEX(PMtbl[Category]&amp;PMtbl[INN]&amp;PMtbl[Specification],0,),0),3)),SETUP!$D$19:$D$62,0),5),"")</f>
        <v/>
      </c>
      <c r="AN152" s="361" t="str">
        <f>IFERROR(IF((INDEX(SETUP!$C$19:$G$62,MATCH((INDEX(PMtbl[[WKst]:[Unit of measure*]],MATCH($A152&amp;$E152&amp;$I152,INDEX(PMtbl[Category]&amp;PMtbl[INN]&amp;PMtbl[Specification],0,),0),3)),SETUP!$D$19:$D$62,0),4))="Upfront",0,INDEX(SETUP!$C$19:$G$62,MATCH((INDEX(PMtbl[[WKst]:[Unit of measure*]],MATCH($A152&amp;$E152&amp;$I152,INDEX(PMtbl[Category]&amp;PMtbl[INN]&amp;PMtbl[Specification],0,),0),3)),SETUP!$D$19:$D$62,0),5)),"")</f>
        <v/>
      </c>
    </row>
    <row r="153" spans="1:40" ht="15" hidden="1" customHeight="1">
      <c r="A153" s="2336"/>
      <c r="B153" s="2337"/>
      <c r="C153" s="2337"/>
      <c r="D153" s="2337"/>
      <c r="E153" s="2301"/>
      <c r="F153" s="2302"/>
      <c r="G153" s="2302"/>
      <c r="H153" s="2302"/>
      <c r="I153" s="2301"/>
      <c r="J153" s="2302"/>
      <c r="K153" s="2307"/>
      <c r="L153" s="1165" t="str">
        <f>IF($A153&lt;&gt;"",IFERROR(INDEX(PMtbl[[WKst]:[Unit of measure*]],MATCH($A$101&amp;$A153&amp;$E153&amp;$I153,INDEX(PMtbl[Sec]&amp;PMtbl[Category]&amp;PMtbl[INN]&amp;PMtbl[Specification],0,),0),8),""),"")</f>
        <v/>
      </c>
      <c r="M153" s="270" t="str">
        <f>IF(L153="", "",SETUP!$E$5)</f>
        <v/>
      </c>
      <c r="N153" s="776"/>
      <c r="O153" s="372"/>
      <c r="P153" s="372"/>
      <c r="Q153" s="372"/>
      <c r="R153" s="372"/>
      <c r="S153" s="356">
        <f t="shared" si="18"/>
        <v>0</v>
      </c>
      <c r="T153" s="783">
        <f t="shared" si="19"/>
        <v>0</v>
      </c>
      <c r="U153" s="776"/>
      <c r="V153" s="372"/>
      <c r="W153" s="372"/>
      <c r="X153" s="372"/>
      <c r="Y153" s="372"/>
      <c r="Z153" s="357">
        <f t="shared" si="20"/>
        <v>0</v>
      </c>
      <c r="AA153" s="775">
        <f t="shared" si="21"/>
        <v>0</v>
      </c>
      <c r="AB153" s="776"/>
      <c r="AC153" s="372"/>
      <c r="AD153" s="372"/>
      <c r="AE153" s="372"/>
      <c r="AF153" s="372"/>
      <c r="AG153" s="358">
        <f t="shared" si="22"/>
        <v>0</v>
      </c>
      <c r="AH153" s="763">
        <f t="shared" si="23"/>
        <v>0</v>
      </c>
      <c r="AI153" s="359">
        <f t="shared" si="24"/>
        <v>0</v>
      </c>
      <c r="AJ153" s="763">
        <f t="shared" si="25"/>
        <v>0</v>
      </c>
      <c r="AK153" s="367" t="str">
        <f>IF(A153&lt;&gt;"",IFERROR(INDEX(PMtbl[[WKst]:[Unit of measure*]],MATCH($A$101&amp;$A153&amp;$E153&amp;$I153,INDEX(PMtbl[Sec]&amp;PMtbl[Category]&amp;PMtbl[INN]&amp;PMtbl[Specification],0,),0),7),""),"")</f>
        <v/>
      </c>
      <c r="AL153" s="2051"/>
      <c r="AM153" s="360" t="str">
        <f>IFERROR(INDEX(SETUP!$C$19:$G$62,MATCH((INDEX(PMtbl[[WKst]:[Unit of measure*]],MATCH($A153&amp;$E153&amp;$I153,INDEX(PMtbl[Category]&amp;PMtbl[INN]&amp;PMtbl[Specification],0,),0),3)),SETUP!$D$19:$D$62,0),5),"")</f>
        <v/>
      </c>
      <c r="AN153" s="360" t="str">
        <f>IFERROR(IF((INDEX(SETUP!$C$19:$G$62,MATCH((INDEX(PMtbl[[WKst]:[Unit of measure*]],MATCH($A153&amp;$E153&amp;$I153,INDEX(PMtbl[Category]&amp;PMtbl[INN]&amp;PMtbl[Specification],0,),0),3)),SETUP!$D$19:$D$62,0),4))="Upfront",0,INDEX(SETUP!$C$19:$G$62,MATCH((INDEX(PMtbl[[WKst]:[Unit of measure*]],MATCH($A153&amp;$E153&amp;$I153,INDEX(PMtbl[Category]&amp;PMtbl[INN]&amp;PMtbl[Specification],0,),0),3)),SETUP!$D$19:$D$62,0),5)),"")</f>
        <v/>
      </c>
    </row>
    <row r="154" spans="1:40" ht="15" hidden="1" customHeight="1">
      <c r="A154" s="2330"/>
      <c r="B154" s="2331"/>
      <c r="C154" s="2331"/>
      <c r="D154" s="2331"/>
      <c r="E154" s="2303"/>
      <c r="F154" s="2304"/>
      <c r="G154" s="2304"/>
      <c r="H154" s="2304"/>
      <c r="I154" s="2303"/>
      <c r="J154" s="2304"/>
      <c r="K154" s="2329"/>
      <c r="L154" s="1166" t="str">
        <f>IF($A154&lt;&gt;"",IFERROR(INDEX(PMtbl[[WKst]:[Unit of measure*]],MATCH($A$101&amp;$A154&amp;$E154&amp;$I154,INDEX(PMtbl[Sec]&amp;PMtbl[Category]&amp;PMtbl[INN]&amp;PMtbl[Specification],0,),0),8),""),"")</f>
        <v/>
      </c>
      <c r="M154" s="269" t="str">
        <f>IF(L154="", "",SETUP!$E$5)</f>
        <v/>
      </c>
      <c r="N154" s="772"/>
      <c r="O154" s="370"/>
      <c r="P154" s="370"/>
      <c r="Q154" s="370"/>
      <c r="R154" s="370"/>
      <c r="S154" s="11">
        <f t="shared" si="18"/>
        <v>0</v>
      </c>
      <c r="T154" s="781">
        <f t="shared" si="19"/>
        <v>0</v>
      </c>
      <c r="U154" s="772"/>
      <c r="V154" s="370"/>
      <c r="W154" s="370"/>
      <c r="X154" s="370"/>
      <c r="Y154" s="370"/>
      <c r="Z154" s="348">
        <f t="shared" si="20"/>
        <v>0</v>
      </c>
      <c r="AA154" s="771">
        <f t="shared" si="21"/>
        <v>0</v>
      </c>
      <c r="AB154" s="772"/>
      <c r="AC154" s="370"/>
      <c r="AD154" s="370"/>
      <c r="AE154" s="370"/>
      <c r="AF154" s="370"/>
      <c r="AG154" s="349">
        <f t="shared" si="22"/>
        <v>0</v>
      </c>
      <c r="AH154" s="761">
        <f t="shared" si="23"/>
        <v>0</v>
      </c>
      <c r="AI154" s="350">
        <f t="shared" si="24"/>
        <v>0</v>
      </c>
      <c r="AJ154" s="761">
        <f t="shared" si="25"/>
        <v>0</v>
      </c>
      <c r="AK154" s="368" t="str">
        <f>IF(A154&lt;&gt;"",IFERROR(INDEX(PMtbl[[WKst]:[Unit of measure*]],MATCH($A$101&amp;$A154&amp;$E154&amp;$I154,INDEX(PMtbl[Sec]&amp;PMtbl[Category]&amp;PMtbl[INN]&amp;PMtbl[Specification],0,),0),7),""),"")</f>
        <v/>
      </c>
      <c r="AL154" s="2052"/>
      <c r="AM154" s="361" t="str">
        <f>IFERROR(INDEX(SETUP!$C$19:$G$62,MATCH((INDEX(PMtbl[[WKst]:[Unit of measure*]],MATCH($A154&amp;$E154&amp;$I154,INDEX(PMtbl[Category]&amp;PMtbl[INN]&amp;PMtbl[Specification],0,),0),3)),SETUP!$D$19:$D$62,0),5),"")</f>
        <v/>
      </c>
      <c r="AN154" s="361" t="str">
        <f>IFERROR(IF((INDEX(SETUP!$C$19:$G$62,MATCH((INDEX(PMtbl[[WKst]:[Unit of measure*]],MATCH($A154&amp;$E154&amp;$I154,INDEX(PMtbl[Category]&amp;PMtbl[INN]&amp;PMtbl[Specification],0,),0),3)),SETUP!$D$19:$D$62,0),4))="Upfront",0,INDEX(SETUP!$C$19:$G$62,MATCH((INDEX(PMtbl[[WKst]:[Unit of measure*]],MATCH($A154&amp;$E154&amp;$I154,INDEX(PMtbl[Category]&amp;PMtbl[INN]&amp;PMtbl[Specification],0,),0),3)),SETUP!$D$19:$D$62,0),5)),"")</f>
        <v/>
      </c>
    </row>
    <row r="155" spans="1:40" ht="15" hidden="1" customHeight="1">
      <c r="A155" s="2336"/>
      <c r="B155" s="2337"/>
      <c r="C155" s="2337"/>
      <c r="D155" s="2337"/>
      <c r="E155" s="2301"/>
      <c r="F155" s="2302"/>
      <c r="G155" s="2302"/>
      <c r="H155" s="2302"/>
      <c r="I155" s="2301"/>
      <c r="J155" s="2302"/>
      <c r="K155" s="2307"/>
      <c r="L155" s="1165" t="str">
        <f>IF($A155&lt;&gt;"",IFERROR(INDEX(PMtbl[[WKst]:[Unit of measure*]],MATCH($A$101&amp;$A155&amp;$E155&amp;$I155,INDEX(PMtbl[Sec]&amp;PMtbl[Category]&amp;PMtbl[INN]&amp;PMtbl[Specification],0,),0),8),""),"")</f>
        <v/>
      </c>
      <c r="M155" s="270" t="str">
        <f>IF(L155="", "",SETUP!$E$5)</f>
        <v/>
      </c>
      <c r="N155" s="776"/>
      <c r="O155" s="372"/>
      <c r="P155" s="372"/>
      <c r="Q155" s="372"/>
      <c r="R155" s="372"/>
      <c r="S155" s="356">
        <f t="shared" si="18"/>
        <v>0</v>
      </c>
      <c r="T155" s="783">
        <f t="shared" si="19"/>
        <v>0</v>
      </c>
      <c r="U155" s="776"/>
      <c r="V155" s="372"/>
      <c r="W155" s="372"/>
      <c r="X155" s="372"/>
      <c r="Y155" s="372"/>
      <c r="Z155" s="357">
        <f t="shared" si="20"/>
        <v>0</v>
      </c>
      <c r="AA155" s="775">
        <f t="shared" si="21"/>
        <v>0</v>
      </c>
      <c r="AB155" s="776"/>
      <c r="AC155" s="372"/>
      <c r="AD155" s="372"/>
      <c r="AE155" s="372"/>
      <c r="AF155" s="372"/>
      <c r="AG155" s="358">
        <f t="shared" si="22"/>
        <v>0</v>
      </c>
      <c r="AH155" s="763">
        <f t="shared" si="23"/>
        <v>0</v>
      </c>
      <c r="AI155" s="359">
        <f t="shared" si="24"/>
        <v>0</v>
      </c>
      <c r="AJ155" s="763">
        <f t="shared" si="25"/>
        <v>0</v>
      </c>
      <c r="AK155" s="367" t="str">
        <f>IF(A155&lt;&gt;"",IFERROR(INDEX(PMtbl[[WKst]:[Unit of measure*]],MATCH($A$101&amp;$A155&amp;$E155&amp;$I155,INDEX(PMtbl[Sec]&amp;PMtbl[Category]&amp;PMtbl[INN]&amp;PMtbl[Specification],0,),0),7),""),"")</f>
        <v/>
      </c>
      <c r="AL155" s="2051"/>
      <c r="AM155" s="360" t="str">
        <f>IFERROR(INDEX(SETUP!$C$19:$G$62,MATCH((INDEX(PMtbl[[WKst]:[Unit of measure*]],MATCH($A155&amp;$E155&amp;$I155,INDEX(PMtbl[Category]&amp;PMtbl[INN]&amp;PMtbl[Specification],0,),0),3)),SETUP!$D$19:$D$62,0),5),"")</f>
        <v/>
      </c>
      <c r="AN155" s="360" t="str">
        <f>IFERROR(IF((INDEX(SETUP!$C$19:$G$62,MATCH((INDEX(PMtbl[[WKst]:[Unit of measure*]],MATCH($A155&amp;$E155&amp;$I155,INDEX(PMtbl[Category]&amp;PMtbl[INN]&amp;PMtbl[Specification],0,),0),3)),SETUP!$D$19:$D$62,0),4))="Upfront",0,INDEX(SETUP!$C$19:$G$62,MATCH((INDEX(PMtbl[[WKst]:[Unit of measure*]],MATCH($A155&amp;$E155&amp;$I155,INDEX(PMtbl[Category]&amp;PMtbl[INN]&amp;PMtbl[Specification],0,),0),3)),SETUP!$D$19:$D$62,0),5)),"")</f>
        <v/>
      </c>
    </row>
    <row r="156" spans="1:40" ht="15" hidden="1" customHeight="1">
      <c r="A156" s="2330"/>
      <c r="B156" s="2331"/>
      <c r="C156" s="2331"/>
      <c r="D156" s="2331"/>
      <c r="E156" s="2303"/>
      <c r="F156" s="2304"/>
      <c r="G156" s="2304"/>
      <c r="H156" s="2304"/>
      <c r="I156" s="2303"/>
      <c r="J156" s="2304"/>
      <c r="K156" s="2329"/>
      <c r="L156" s="1166" t="str">
        <f>IF($A156&lt;&gt;"",IFERROR(INDEX(PMtbl[[WKst]:[Unit of measure*]],MATCH($A$101&amp;$A156&amp;$E156&amp;$I156,INDEX(PMtbl[Sec]&amp;PMtbl[Category]&amp;PMtbl[INN]&amp;PMtbl[Specification],0,),0),8),""),"")</f>
        <v/>
      </c>
      <c r="M156" s="269" t="str">
        <f>IF(L156="", "",SETUP!$E$5)</f>
        <v/>
      </c>
      <c r="N156" s="772"/>
      <c r="O156" s="370"/>
      <c r="P156" s="370"/>
      <c r="Q156" s="370"/>
      <c r="R156" s="370"/>
      <c r="S156" s="11">
        <f t="shared" si="18"/>
        <v>0</v>
      </c>
      <c r="T156" s="781">
        <f t="shared" si="19"/>
        <v>0</v>
      </c>
      <c r="U156" s="772"/>
      <c r="V156" s="370"/>
      <c r="W156" s="370"/>
      <c r="X156" s="370"/>
      <c r="Y156" s="370"/>
      <c r="Z156" s="348">
        <f t="shared" si="20"/>
        <v>0</v>
      </c>
      <c r="AA156" s="771">
        <f t="shared" si="21"/>
        <v>0</v>
      </c>
      <c r="AB156" s="772"/>
      <c r="AC156" s="370"/>
      <c r="AD156" s="370"/>
      <c r="AE156" s="370"/>
      <c r="AF156" s="370"/>
      <c r="AG156" s="349">
        <f t="shared" si="22"/>
        <v>0</v>
      </c>
      <c r="AH156" s="761">
        <f t="shared" si="23"/>
        <v>0</v>
      </c>
      <c r="AI156" s="350">
        <f t="shared" si="24"/>
        <v>0</v>
      </c>
      <c r="AJ156" s="761">
        <f t="shared" si="25"/>
        <v>0</v>
      </c>
      <c r="AK156" s="368" t="str">
        <f>IF(A156&lt;&gt;"",IFERROR(INDEX(PMtbl[[WKst]:[Unit of measure*]],MATCH($A$101&amp;$A156&amp;$E156&amp;$I156,INDEX(PMtbl[Sec]&amp;PMtbl[Category]&amp;PMtbl[INN]&amp;PMtbl[Specification],0,),0),7),""),"")</f>
        <v/>
      </c>
      <c r="AL156" s="2052"/>
      <c r="AM156" s="361" t="str">
        <f>IFERROR(INDEX(SETUP!$C$19:$G$62,MATCH((INDEX(PMtbl[[WKst]:[Unit of measure*]],MATCH($A156&amp;$E156&amp;$I156,INDEX(PMtbl[Category]&amp;PMtbl[INN]&amp;PMtbl[Specification],0,),0),3)),SETUP!$D$19:$D$62,0),5),"")</f>
        <v/>
      </c>
      <c r="AN156" s="361" t="str">
        <f>IFERROR(IF((INDEX(SETUP!$C$19:$G$62,MATCH((INDEX(PMtbl[[WKst]:[Unit of measure*]],MATCH($A156&amp;$E156&amp;$I156,INDEX(PMtbl[Category]&amp;PMtbl[INN]&amp;PMtbl[Specification],0,),0),3)),SETUP!$D$19:$D$62,0),4))="Upfront",0,INDEX(SETUP!$C$19:$G$62,MATCH((INDEX(PMtbl[[WKst]:[Unit of measure*]],MATCH($A156&amp;$E156&amp;$I156,INDEX(PMtbl[Category]&amp;PMtbl[INN]&amp;PMtbl[Specification],0,),0),3)),SETUP!$D$19:$D$62,0),5)),"")</f>
        <v/>
      </c>
    </row>
    <row r="157" spans="1:40" ht="15" hidden="1" customHeight="1">
      <c r="A157" s="2336"/>
      <c r="B157" s="2337"/>
      <c r="C157" s="2337"/>
      <c r="D157" s="2337"/>
      <c r="E157" s="2301"/>
      <c r="F157" s="2302"/>
      <c r="G157" s="2302"/>
      <c r="H157" s="2302"/>
      <c r="I157" s="2301"/>
      <c r="J157" s="2302"/>
      <c r="K157" s="2307"/>
      <c r="L157" s="1165" t="str">
        <f>IF($A157&lt;&gt;"",IFERROR(INDEX(PMtbl[[WKst]:[Unit of measure*]],MATCH($A$101&amp;$A157&amp;$E157&amp;$I157,INDEX(PMtbl[Sec]&amp;PMtbl[Category]&amp;PMtbl[INN]&amp;PMtbl[Specification],0,),0),8),""),"")</f>
        <v/>
      </c>
      <c r="M157" s="270" t="str">
        <f>IF(L157="", "",SETUP!$E$5)</f>
        <v/>
      </c>
      <c r="N157" s="776"/>
      <c r="O157" s="372"/>
      <c r="P157" s="372"/>
      <c r="Q157" s="372"/>
      <c r="R157" s="372"/>
      <c r="S157" s="356">
        <f t="shared" si="18"/>
        <v>0</v>
      </c>
      <c r="T157" s="783">
        <f t="shared" si="19"/>
        <v>0</v>
      </c>
      <c r="U157" s="776"/>
      <c r="V157" s="372"/>
      <c r="W157" s="372"/>
      <c r="X157" s="372"/>
      <c r="Y157" s="372"/>
      <c r="Z157" s="357">
        <f t="shared" si="20"/>
        <v>0</v>
      </c>
      <c r="AA157" s="775">
        <f t="shared" si="21"/>
        <v>0</v>
      </c>
      <c r="AB157" s="776"/>
      <c r="AC157" s="372"/>
      <c r="AD157" s="372"/>
      <c r="AE157" s="372"/>
      <c r="AF157" s="372"/>
      <c r="AG157" s="358">
        <f t="shared" si="22"/>
        <v>0</v>
      </c>
      <c r="AH157" s="763">
        <f t="shared" si="23"/>
        <v>0</v>
      </c>
      <c r="AI157" s="359">
        <f t="shared" si="24"/>
        <v>0</v>
      </c>
      <c r="AJ157" s="763">
        <f t="shared" si="25"/>
        <v>0</v>
      </c>
      <c r="AK157" s="367" t="str">
        <f>IF(A157&lt;&gt;"",IFERROR(INDEX(PMtbl[[WKst]:[Unit of measure*]],MATCH($A$101&amp;$A157&amp;$E157&amp;$I157,INDEX(PMtbl[Sec]&amp;PMtbl[Category]&amp;PMtbl[INN]&amp;PMtbl[Specification],0,),0),7),""),"")</f>
        <v/>
      </c>
      <c r="AL157" s="2051"/>
      <c r="AM157" s="360" t="str">
        <f>IFERROR(INDEX(SETUP!$C$19:$G$62,MATCH((INDEX(PMtbl[[WKst]:[Unit of measure*]],MATCH($A157&amp;$E157&amp;$I157,INDEX(PMtbl[Category]&amp;PMtbl[INN]&amp;PMtbl[Specification],0,),0),3)),SETUP!$D$19:$D$62,0),5),"")</f>
        <v/>
      </c>
      <c r="AN157" s="360" t="str">
        <f>IFERROR(IF((INDEX(SETUP!$C$19:$G$62,MATCH((INDEX(PMtbl[[WKst]:[Unit of measure*]],MATCH($A157&amp;$E157&amp;$I157,INDEX(PMtbl[Category]&amp;PMtbl[INN]&amp;PMtbl[Specification],0,),0),3)),SETUP!$D$19:$D$62,0),4))="Upfront",0,INDEX(SETUP!$C$19:$G$62,MATCH((INDEX(PMtbl[[WKst]:[Unit of measure*]],MATCH($A157&amp;$E157&amp;$I157,INDEX(PMtbl[Category]&amp;PMtbl[INN]&amp;PMtbl[Specification],0,),0),3)),SETUP!$D$19:$D$62,0),5)),"")</f>
        <v/>
      </c>
    </row>
    <row r="158" spans="1:40" ht="15" hidden="1" customHeight="1">
      <c r="A158" s="2330"/>
      <c r="B158" s="2331"/>
      <c r="C158" s="2331"/>
      <c r="D158" s="2331"/>
      <c r="E158" s="2303"/>
      <c r="F158" s="2304"/>
      <c r="G158" s="2304"/>
      <c r="H158" s="2304"/>
      <c r="I158" s="2303"/>
      <c r="J158" s="2304"/>
      <c r="K158" s="2329"/>
      <c r="L158" s="1166" t="str">
        <f>IF($A158&lt;&gt;"",IFERROR(INDEX(PMtbl[[WKst]:[Unit of measure*]],MATCH($A$101&amp;$A158&amp;$E158&amp;$I158,INDEX(PMtbl[Sec]&amp;PMtbl[Category]&amp;PMtbl[INN]&amp;PMtbl[Specification],0,),0),8),""),"")</f>
        <v/>
      </c>
      <c r="M158" s="269" t="str">
        <f>IF(L158="", "",SETUP!$E$5)</f>
        <v/>
      </c>
      <c r="N158" s="772"/>
      <c r="O158" s="370"/>
      <c r="P158" s="370"/>
      <c r="Q158" s="370"/>
      <c r="R158" s="370"/>
      <c r="S158" s="11">
        <f t="shared" si="18"/>
        <v>0</v>
      </c>
      <c r="T158" s="781">
        <f t="shared" si="19"/>
        <v>0</v>
      </c>
      <c r="U158" s="772"/>
      <c r="V158" s="370"/>
      <c r="W158" s="370"/>
      <c r="X158" s="370"/>
      <c r="Y158" s="370"/>
      <c r="Z158" s="348">
        <f t="shared" si="20"/>
        <v>0</v>
      </c>
      <c r="AA158" s="771">
        <f t="shared" si="21"/>
        <v>0</v>
      </c>
      <c r="AB158" s="772"/>
      <c r="AC158" s="370"/>
      <c r="AD158" s="370"/>
      <c r="AE158" s="370"/>
      <c r="AF158" s="370"/>
      <c r="AG158" s="349">
        <f t="shared" si="22"/>
        <v>0</v>
      </c>
      <c r="AH158" s="761">
        <f t="shared" si="23"/>
        <v>0</v>
      </c>
      <c r="AI158" s="350">
        <f t="shared" si="24"/>
        <v>0</v>
      </c>
      <c r="AJ158" s="761">
        <f t="shared" si="25"/>
        <v>0</v>
      </c>
      <c r="AK158" s="368" t="str">
        <f>IF(A158&lt;&gt;"",IFERROR(INDEX(PMtbl[[WKst]:[Unit of measure*]],MATCH($A$101&amp;$A158&amp;$E158&amp;$I158,INDEX(PMtbl[Sec]&amp;PMtbl[Category]&amp;PMtbl[INN]&amp;PMtbl[Specification],0,),0),7),""),"")</f>
        <v/>
      </c>
      <c r="AL158" s="2052"/>
      <c r="AM158" s="361" t="str">
        <f>IFERROR(INDEX(SETUP!$C$19:$G$62,MATCH((INDEX(PMtbl[[WKst]:[Unit of measure*]],MATCH($A158&amp;$E158&amp;$I158,INDEX(PMtbl[Category]&amp;PMtbl[INN]&amp;PMtbl[Specification],0,),0),3)),SETUP!$D$19:$D$62,0),5),"")</f>
        <v/>
      </c>
      <c r="AN158" s="361" t="str">
        <f>IFERROR(IF((INDEX(SETUP!$C$19:$G$62,MATCH((INDEX(PMtbl[[WKst]:[Unit of measure*]],MATCH($A158&amp;$E158&amp;$I158,INDEX(PMtbl[Category]&amp;PMtbl[INN]&amp;PMtbl[Specification],0,),0),3)),SETUP!$D$19:$D$62,0),4))="Upfront",0,INDEX(SETUP!$C$19:$G$62,MATCH((INDEX(PMtbl[[WKst]:[Unit of measure*]],MATCH($A158&amp;$E158&amp;$I158,INDEX(PMtbl[Category]&amp;PMtbl[INN]&amp;PMtbl[Specification],0,),0),3)),SETUP!$D$19:$D$62,0),5)),"")</f>
        <v/>
      </c>
    </row>
    <row r="159" spans="1:40" ht="15" hidden="1" customHeight="1">
      <c r="A159" s="2336"/>
      <c r="B159" s="2337"/>
      <c r="C159" s="2337"/>
      <c r="D159" s="2337"/>
      <c r="E159" s="2301"/>
      <c r="F159" s="2302"/>
      <c r="G159" s="2302"/>
      <c r="H159" s="2302"/>
      <c r="I159" s="2301"/>
      <c r="J159" s="2302"/>
      <c r="K159" s="2307"/>
      <c r="L159" s="1165" t="str">
        <f>IF($A159&lt;&gt;"",IFERROR(INDEX(PMtbl[[WKst]:[Unit of measure*]],MATCH($A$101&amp;$A159&amp;$E159&amp;$I159,INDEX(PMtbl[Sec]&amp;PMtbl[Category]&amp;PMtbl[INN]&amp;PMtbl[Specification],0,),0),8),""),"")</f>
        <v/>
      </c>
      <c r="M159" s="270" t="str">
        <f>IF(L159="", "",SETUP!$E$5)</f>
        <v/>
      </c>
      <c r="N159" s="776"/>
      <c r="O159" s="372"/>
      <c r="P159" s="372"/>
      <c r="Q159" s="372"/>
      <c r="R159" s="372"/>
      <c r="S159" s="356">
        <f t="shared" si="18"/>
        <v>0</v>
      </c>
      <c r="T159" s="783">
        <f t="shared" si="19"/>
        <v>0</v>
      </c>
      <c r="U159" s="776"/>
      <c r="V159" s="372"/>
      <c r="W159" s="372"/>
      <c r="X159" s="372"/>
      <c r="Y159" s="372"/>
      <c r="Z159" s="357">
        <f t="shared" si="20"/>
        <v>0</v>
      </c>
      <c r="AA159" s="775">
        <f t="shared" si="21"/>
        <v>0</v>
      </c>
      <c r="AB159" s="776"/>
      <c r="AC159" s="372"/>
      <c r="AD159" s="372"/>
      <c r="AE159" s="372"/>
      <c r="AF159" s="372"/>
      <c r="AG159" s="358">
        <f t="shared" si="22"/>
        <v>0</v>
      </c>
      <c r="AH159" s="763">
        <f t="shared" si="23"/>
        <v>0</v>
      </c>
      <c r="AI159" s="359">
        <f t="shared" si="24"/>
        <v>0</v>
      </c>
      <c r="AJ159" s="763">
        <f t="shared" si="25"/>
        <v>0</v>
      </c>
      <c r="AK159" s="367" t="str">
        <f>IF(A159&lt;&gt;"",IFERROR(INDEX(PMtbl[[WKst]:[Unit of measure*]],MATCH($A$101&amp;$A159&amp;$E159&amp;$I159,INDEX(PMtbl[Sec]&amp;PMtbl[Category]&amp;PMtbl[INN]&amp;PMtbl[Specification],0,),0),7),""),"")</f>
        <v/>
      </c>
      <c r="AL159" s="2051"/>
      <c r="AM159" s="360" t="str">
        <f>IFERROR(INDEX(SETUP!$C$19:$G$62,MATCH((INDEX(PMtbl[[WKst]:[Unit of measure*]],MATCH($A159&amp;$E159&amp;$I159,INDEX(PMtbl[Category]&amp;PMtbl[INN]&amp;PMtbl[Specification],0,),0),3)),SETUP!$D$19:$D$62,0),5),"")</f>
        <v/>
      </c>
      <c r="AN159" s="360" t="str">
        <f>IFERROR(IF((INDEX(SETUP!$C$19:$G$62,MATCH((INDEX(PMtbl[[WKst]:[Unit of measure*]],MATCH($A159&amp;$E159&amp;$I159,INDEX(PMtbl[Category]&amp;PMtbl[INN]&amp;PMtbl[Specification],0,),0),3)),SETUP!$D$19:$D$62,0),4))="Upfront",0,INDEX(SETUP!$C$19:$G$62,MATCH((INDEX(PMtbl[[WKst]:[Unit of measure*]],MATCH($A159&amp;$E159&amp;$I159,INDEX(PMtbl[Category]&amp;PMtbl[INN]&amp;PMtbl[Specification],0,),0),3)),SETUP!$D$19:$D$62,0),5)),"")</f>
        <v/>
      </c>
    </row>
    <row r="160" spans="1:40" ht="15" hidden="1" customHeight="1">
      <c r="A160" s="2330"/>
      <c r="B160" s="2331"/>
      <c r="C160" s="2331"/>
      <c r="D160" s="2331"/>
      <c r="E160" s="2303"/>
      <c r="F160" s="2304"/>
      <c r="G160" s="2304"/>
      <c r="H160" s="2304"/>
      <c r="I160" s="2303"/>
      <c r="J160" s="2304"/>
      <c r="K160" s="2329"/>
      <c r="L160" s="1166" t="str">
        <f>IF($A160&lt;&gt;"",IFERROR(INDEX(PMtbl[[WKst]:[Unit of measure*]],MATCH($A$101&amp;$A160&amp;$E160&amp;$I160,INDEX(PMtbl[Sec]&amp;PMtbl[Category]&amp;PMtbl[INN]&amp;PMtbl[Specification],0,),0),8),""),"")</f>
        <v/>
      </c>
      <c r="M160" s="269" t="str">
        <f>IF(L160="", "",SETUP!$E$5)</f>
        <v/>
      </c>
      <c r="N160" s="772"/>
      <c r="O160" s="370"/>
      <c r="P160" s="370"/>
      <c r="Q160" s="370"/>
      <c r="R160" s="370"/>
      <c r="S160" s="11">
        <f t="shared" si="18"/>
        <v>0</v>
      </c>
      <c r="T160" s="781">
        <f t="shared" si="19"/>
        <v>0</v>
      </c>
      <c r="U160" s="772"/>
      <c r="V160" s="370"/>
      <c r="W160" s="370"/>
      <c r="X160" s="370"/>
      <c r="Y160" s="370"/>
      <c r="Z160" s="348">
        <f t="shared" si="20"/>
        <v>0</v>
      </c>
      <c r="AA160" s="771">
        <f t="shared" si="21"/>
        <v>0</v>
      </c>
      <c r="AB160" s="772"/>
      <c r="AC160" s="370"/>
      <c r="AD160" s="370"/>
      <c r="AE160" s="370"/>
      <c r="AF160" s="370"/>
      <c r="AG160" s="349">
        <f t="shared" si="22"/>
        <v>0</v>
      </c>
      <c r="AH160" s="761">
        <f t="shared" si="23"/>
        <v>0</v>
      </c>
      <c r="AI160" s="350">
        <f t="shared" si="24"/>
        <v>0</v>
      </c>
      <c r="AJ160" s="761">
        <f t="shared" si="25"/>
        <v>0</v>
      </c>
      <c r="AK160" s="368" t="str">
        <f>IF(A160&lt;&gt;"",IFERROR(INDEX(PMtbl[[WKst]:[Unit of measure*]],MATCH($A$101&amp;$A160&amp;$E160&amp;$I160,INDEX(PMtbl[Sec]&amp;PMtbl[Category]&amp;PMtbl[INN]&amp;PMtbl[Specification],0,),0),7),""),"")</f>
        <v/>
      </c>
      <c r="AL160" s="2052"/>
      <c r="AM160" s="361" t="str">
        <f>IFERROR(INDEX(SETUP!$C$19:$G$62,MATCH((INDEX(PMtbl[[WKst]:[Unit of measure*]],MATCH($A160&amp;$E160&amp;$I160,INDEX(PMtbl[Category]&amp;PMtbl[INN]&amp;PMtbl[Specification],0,),0),3)),SETUP!$D$19:$D$62,0),5),"")</f>
        <v/>
      </c>
      <c r="AN160" s="361" t="str">
        <f>IFERROR(IF((INDEX(SETUP!$C$19:$G$62,MATCH((INDEX(PMtbl[[WKst]:[Unit of measure*]],MATCH($A160&amp;$E160&amp;$I160,INDEX(PMtbl[Category]&amp;PMtbl[INN]&amp;PMtbl[Specification],0,),0),3)),SETUP!$D$19:$D$62,0),4))="Upfront",0,INDEX(SETUP!$C$19:$G$62,MATCH((INDEX(PMtbl[[WKst]:[Unit of measure*]],MATCH($A160&amp;$E160&amp;$I160,INDEX(PMtbl[Category]&amp;PMtbl[INN]&amp;PMtbl[Specification],0,),0),3)),SETUP!$D$19:$D$62,0),5)),"")</f>
        <v/>
      </c>
    </row>
    <row r="161" spans="1:40" ht="15" hidden="1" customHeight="1">
      <c r="A161" s="2336"/>
      <c r="B161" s="2337"/>
      <c r="C161" s="2337"/>
      <c r="D161" s="2337"/>
      <c r="E161" s="2301"/>
      <c r="F161" s="2302"/>
      <c r="G161" s="2302"/>
      <c r="H161" s="2302"/>
      <c r="I161" s="2301"/>
      <c r="J161" s="2302"/>
      <c r="K161" s="2307"/>
      <c r="L161" s="1165" t="str">
        <f>IF($A161&lt;&gt;"",IFERROR(INDEX(PMtbl[[WKst]:[Unit of measure*]],MATCH($A$101&amp;$A161&amp;$E161&amp;$I161,INDEX(PMtbl[Sec]&amp;PMtbl[Category]&amp;PMtbl[INN]&amp;PMtbl[Specification],0,),0),8),""),"")</f>
        <v/>
      </c>
      <c r="M161" s="270" t="str">
        <f>IF(L161="", "",SETUP!$E$5)</f>
        <v/>
      </c>
      <c r="N161" s="776"/>
      <c r="O161" s="372"/>
      <c r="P161" s="372"/>
      <c r="Q161" s="372"/>
      <c r="R161" s="372"/>
      <c r="S161" s="356">
        <f t="shared" si="18"/>
        <v>0</v>
      </c>
      <c r="T161" s="783">
        <f t="shared" si="19"/>
        <v>0</v>
      </c>
      <c r="U161" s="776"/>
      <c r="V161" s="372"/>
      <c r="W161" s="372"/>
      <c r="X161" s="372"/>
      <c r="Y161" s="372"/>
      <c r="Z161" s="357">
        <f t="shared" si="20"/>
        <v>0</v>
      </c>
      <c r="AA161" s="775">
        <f t="shared" si="21"/>
        <v>0</v>
      </c>
      <c r="AB161" s="776"/>
      <c r="AC161" s="372"/>
      <c r="AD161" s="372"/>
      <c r="AE161" s="372"/>
      <c r="AF161" s="372"/>
      <c r="AG161" s="358">
        <f t="shared" si="22"/>
        <v>0</v>
      </c>
      <c r="AH161" s="763">
        <f t="shared" si="23"/>
        <v>0</v>
      </c>
      <c r="AI161" s="359">
        <f t="shared" si="24"/>
        <v>0</v>
      </c>
      <c r="AJ161" s="763">
        <f t="shared" si="25"/>
        <v>0</v>
      </c>
      <c r="AK161" s="367" t="str">
        <f>IF(A161&lt;&gt;"",IFERROR(INDEX(PMtbl[[WKst]:[Unit of measure*]],MATCH($A$101&amp;$A161&amp;$E161&amp;$I161,INDEX(PMtbl[Sec]&amp;PMtbl[Category]&amp;PMtbl[INN]&amp;PMtbl[Specification],0,),0),7),""),"")</f>
        <v/>
      </c>
      <c r="AL161" s="2051"/>
      <c r="AM161" s="360" t="str">
        <f>IFERROR(INDEX(SETUP!$C$19:$G$62,MATCH((INDEX(PMtbl[[WKst]:[Unit of measure*]],MATCH($A161&amp;$E161&amp;$I161,INDEX(PMtbl[Category]&amp;PMtbl[INN]&amp;PMtbl[Specification],0,),0),3)),SETUP!$D$19:$D$62,0),5),"")</f>
        <v/>
      </c>
      <c r="AN161" s="360" t="str">
        <f>IFERROR(IF((INDEX(SETUP!$C$19:$G$62,MATCH((INDEX(PMtbl[[WKst]:[Unit of measure*]],MATCH($A161&amp;$E161&amp;$I161,INDEX(PMtbl[Category]&amp;PMtbl[INN]&amp;PMtbl[Specification],0,),0),3)),SETUP!$D$19:$D$62,0),4))="Upfront",0,INDEX(SETUP!$C$19:$G$62,MATCH((INDEX(PMtbl[[WKst]:[Unit of measure*]],MATCH($A161&amp;$E161&amp;$I161,INDEX(PMtbl[Category]&amp;PMtbl[INN]&amp;PMtbl[Specification],0,),0),3)),SETUP!$D$19:$D$62,0),5)),"")</f>
        <v/>
      </c>
    </row>
    <row r="162" spans="1:40" ht="15" hidden="1" customHeight="1">
      <c r="A162" s="2330"/>
      <c r="B162" s="2331"/>
      <c r="C162" s="2331"/>
      <c r="D162" s="2331"/>
      <c r="E162" s="2303"/>
      <c r="F162" s="2304"/>
      <c r="G162" s="2304"/>
      <c r="H162" s="2304"/>
      <c r="I162" s="2303"/>
      <c r="J162" s="2304"/>
      <c r="K162" s="2329"/>
      <c r="L162" s="1166" t="str">
        <f>IF($A162&lt;&gt;"",IFERROR(INDEX(PMtbl[[WKst]:[Unit of measure*]],MATCH($A$101&amp;$A162&amp;$E162&amp;$I162,INDEX(PMtbl[Sec]&amp;PMtbl[Category]&amp;PMtbl[INN]&amp;PMtbl[Specification],0,),0),8),""),"")</f>
        <v/>
      </c>
      <c r="M162" s="269" t="str">
        <f>IF(L162="", "",SETUP!$E$5)</f>
        <v/>
      </c>
      <c r="N162" s="772"/>
      <c r="O162" s="370"/>
      <c r="P162" s="370"/>
      <c r="Q162" s="370"/>
      <c r="R162" s="370"/>
      <c r="S162" s="11">
        <f t="shared" si="18"/>
        <v>0</v>
      </c>
      <c r="T162" s="781">
        <f t="shared" si="19"/>
        <v>0</v>
      </c>
      <c r="U162" s="772"/>
      <c r="V162" s="370"/>
      <c r="W162" s="370"/>
      <c r="X162" s="370"/>
      <c r="Y162" s="370"/>
      <c r="Z162" s="348">
        <f t="shared" si="20"/>
        <v>0</v>
      </c>
      <c r="AA162" s="771">
        <f t="shared" si="21"/>
        <v>0</v>
      </c>
      <c r="AB162" s="772"/>
      <c r="AC162" s="370"/>
      <c r="AD162" s="370"/>
      <c r="AE162" s="370"/>
      <c r="AF162" s="370"/>
      <c r="AG162" s="349">
        <f t="shared" si="22"/>
        <v>0</v>
      </c>
      <c r="AH162" s="761">
        <f t="shared" si="23"/>
        <v>0</v>
      </c>
      <c r="AI162" s="350">
        <f t="shared" si="24"/>
        <v>0</v>
      </c>
      <c r="AJ162" s="761">
        <f t="shared" si="25"/>
        <v>0</v>
      </c>
      <c r="AK162" s="368" t="str">
        <f>IF(A162&lt;&gt;"",IFERROR(INDEX(PMtbl[[WKst]:[Unit of measure*]],MATCH($A$101&amp;$A162&amp;$E162&amp;$I162,INDEX(PMtbl[Sec]&amp;PMtbl[Category]&amp;PMtbl[INN]&amp;PMtbl[Specification],0,),0),7),""),"")</f>
        <v/>
      </c>
      <c r="AL162" s="2052"/>
      <c r="AM162" s="361" t="str">
        <f>IFERROR(INDEX(SETUP!$C$19:$G$62,MATCH((INDEX(PMtbl[[WKst]:[Unit of measure*]],MATCH($A162&amp;$E162&amp;$I162,INDEX(PMtbl[Category]&amp;PMtbl[INN]&amp;PMtbl[Specification],0,),0),3)),SETUP!$D$19:$D$62,0),5),"")</f>
        <v/>
      </c>
      <c r="AN162" s="361" t="str">
        <f>IFERROR(IF((INDEX(SETUP!$C$19:$G$62,MATCH((INDEX(PMtbl[[WKst]:[Unit of measure*]],MATCH($A162&amp;$E162&amp;$I162,INDEX(PMtbl[Category]&amp;PMtbl[INN]&amp;PMtbl[Specification],0,),0),3)),SETUP!$D$19:$D$62,0),4))="Upfront",0,INDEX(SETUP!$C$19:$G$62,MATCH((INDEX(PMtbl[[WKst]:[Unit of measure*]],MATCH($A162&amp;$E162&amp;$I162,INDEX(PMtbl[Category]&amp;PMtbl[INN]&amp;PMtbl[Specification],0,),0),3)),SETUP!$D$19:$D$62,0),5)),"")</f>
        <v/>
      </c>
    </row>
    <row r="163" spans="1:40" ht="15" hidden="1" customHeight="1">
      <c r="A163" s="2336"/>
      <c r="B163" s="2337"/>
      <c r="C163" s="2337"/>
      <c r="D163" s="2337"/>
      <c r="E163" s="2301"/>
      <c r="F163" s="2302"/>
      <c r="G163" s="2302"/>
      <c r="H163" s="2302"/>
      <c r="I163" s="2301"/>
      <c r="J163" s="2302"/>
      <c r="K163" s="2307"/>
      <c r="L163" s="1165" t="str">
        <f>IF($A163&lt;&gt;"",IFERROR(INDEX(PMtbl[[WKst]:[Unit of measure*]],MATCH($A$101&amp;$A163&amp;$E163&amp;$I163,INDEX(PMtbl[Sec]&amp;PMtbl[Category]&amp;PMtbl[INN]&amp;PMtbl[Specification],0,),0),8),""),"")</f>
        <v/>
      </c>
      <c r="M163" s="270" t="str">
        <f>IF(L163="", "",SETUP!$E$5)</f>
        <v/>
      </c>
      <c r="N163" s="776"/>
      <c r="O163" s="372"/>
      <c r="P163" s="372"/>
      <c r="Q163" s="372"/>
      <c r="R163" s="372"/>
      <c r="S163" s="356">
        <f t="shared" si="18"/>
        <v>0</v>
      </c>
      <c r="T163" s="783">
        <f t="shared" si="19"/>
        <v>0</v>
      </c>
      <c r="U163" s="776"/>
      <c r="V163" s="372"/>
      <c r="W163" s="372"/>
      <c r="X163" s="372"/>
      <c r="Y163" s="372"/>
      <c r="Z163" s="357">
        <f t="shared" si="20"/>
        <v>0</v>
      </c>
      <c r="AA163" s="775">
        <f t="shared" si="21"/>
        <v>0</v>
      </c>
      <c r="AB163" s="776"/>
      <c r="AC163" s="372"/>
      <c r="AD163" s="372"/>
      <c r="AE163" s="372"/>
      <c r="AF163" s="372"/>
      <c r="AG163" s="358">
        <f t="shared" si="22"/>
        <v>0</v>
      </c>
      <c r="AH163" s="763">
        <f t="shared" si="23"/>
        <v>0</v>
      </c>
      <c r="AI163" s="359">
        <f t="shared" si="24"/>
        <v>0</v>
      </c>
      <c r="AJ163" s="763">
        <f t="shared" si="25"/>
        <v>0</v>
      </c>
      <c r="AK163" s="367" t="str">
        <f>IF(A163&lt;&gt;"",IFERROR(INDEX(PMtbl[[WKst]:[Unit of measure*]],MATCH($A$101&amp;$A163&amp;$E163&amp;$I163,INDEX(PMtbl[Sec]&amp;PMtbl[Category]&amp;PMtbl[INN]&amp;PMtbl[Specification],0,),0),7),""),"")</f>
        <v/>
      </c>
      <c r="AL163" s="2051"/>
      <c r="AM163" s="360" t="str">
        <f>IFERROR(INDEX(SETUP!$C$19:$G$62,MATCH((INDEX(PMtbl[[WKst]:[Unit of measure*]],MATCH($A163&amp;$E163&amp;$I163,INDEX(PMtbl[Category]&amp;PMtbl[INN]&amp;PMtbl[Specification],0,),0),3)),SETUP!$D$19:$D$62,0),5),"")</f>
        <v/>
      </c>
      <c r="AN163" s="360" t="str">
        <f>IFERROR(IF((INDEX(SETUP!$C$19:$G$62,MATCH((INDEX(PMtbl[[WKst]:[Unit of measure*]],MATCH($A163&amp;$E163&amp;$I163,INDEX(PMtbl[Category]&amp;PMtbl[INN]&amp;PMtbl[Specification],0,),0),3)),SETUP!$D$19:$D$62,0),4))="Upfront",0,INDEX(SETUP!$C$19:$G$62,MATCH((INDEX(PMtbl[[WKst]:[Unit of measure*]],MATCH($A163&amp;$E163&amp;$I163,INDEX(PMtbl[Category]&amp;PMtbl[INN]&amp;PMtbl[Specification],0,),0),3)),SETUP!$D$19:$D$62,0),5)),"")</f>
        <v/>
      </c>
    </row>
    <row r="164" spans="1:40" ht="15" hidden="1" customHeight="1">
      <c r="A164" s="2330"/>
      <c r="B164" s="2331"/>
      <c r="C164" s="2331"/>
      <c r="D164" s="2331"/>
      <c r="E164" s="2303"/>
      <c r="F164" s="2304"/>
      <c r="G164" s="2304"/>
      <c r="H164" s="2304"/>
      <c r="I164" s="2303"/>
      <c r="J164" s="2304"/>
      <c r="K164" s="2329"/>
      <c r="L164" s="1166" t="str">
        <f>IF($A164&lt;&gt;"",IFERROR(INDEX(PMtbl[[WKst]:[Unit of measure*]],MATCH($A$101&amp;$A164&amp;$E164&amp;$I164,INDEX(PMtbl[Sec]&amp;PMtbl[Category]&amp;PMtbl[INN]&amp;PMtbl[Specification],0,),0),8),""),"")</f>
        <v/>
      </c>
      <c r="M164" s="269" t="str">
        <f>IF(L164="", "",SETUP!$E$5)</f>
        <v/>
      </c>
      <c r="N164" s="772"/>
      <c r="O164" s="370"/>
      <c r="P164" s="370"/>
      <c r="Q164" s="370"/>
      <c r="R164" s="370"/>
      <c r="S164" s="11">
        <f t="shared" si="18"/>
        <v>0</v>
      </c>
      <c r="T164" s="781">
        <f t="shared" si="19"/>
        <v>0</v>
      </c>
      <c r="U164" s="772"/>
      <c r="V164" s="370"/>
      <c r="W164" s="370"/>
      <c r="X164" s="370"/>
      <c r="Y164" s="370"/>
      <c r="Z164" s="348">
        <f t="shared" si="20"/>
        <v>0</v>
      </c>
      <c r="AA164" s="771">
        <f t="shared" si="21"/>
        <v>0</v>
      </c>
      <c r="AB164" s="772"/>
      <c r="AC164" s="370"/>
      <c r="AD164" s="370"/>
      <c r="AE164" s="370"/>
      <c r="AF164" s="370"/>
      <c r="AG164" s="349">
        <f t="shared" si="22"/>
        <v>0</v>
      </c>
      <c r="AH164" s="761">
        <f t="shared" si="23"/>
        <v>0</v>
      </c>
      <c r="AI164" s="350">
        <f t="shared" si="24"/>
        <v>0</v>
      </c>
      <c r="AJ164" s="761">
        <f t="shared" si="25"/>
        <v>0</v>
      </c>
      <c r="AK164" s="368" t="str">
        <f>IF(A164&lt;&gt;"",IFERROR(INDEX(PMtbl[[WKst]:[Unit of measure*]],MATCH($A$101&amp;$A164&amp;$E164&amp;$I164,INDEX(PMtbl[Sec]&amp;PMtbl[Category]&amp;PMtbl[INN]&amp;PMtbl[Specification],0,),0),7),""),"")</f>
        <v/>
      </c>
      <c r="AL164" s="2052"/>
      <c r="AM164" s="361" t="str">
        <f>IFERROR(INDEX(SETUP!$C$19:$G$62,MATCH((INDEX(PMtbl[[WKst]:[Unit of measure*]],MATCH($A164&amp;$E164&amp;$I164,INDEX(PMtbl[Category]&amp;PMtbl[INN]&amp;PMtbl[Specification],0,),0),3)),SETUP!$D$19:$D$62,0),5),"")</f>
        <v/>
      </c>
      <c r="AN164" s="361" t="str">
        <f>IFERROR(IF((INDEX(SETUP!$C$19:$G$62,MATCH((INDEX(PMtbl[[WKst]:[Unit of measure*]],MATCH($A164&amp;$E164&amp;$I164,INDEX(PMtbl[Category]&amp;PMtbl[INN]&amp;PMtbl[Specification],0,),0),3)),SETUP!$D$19:$D$62,0),4))="Upfront",0,INDEX(SETUP!$C$19:$G$62,MATCH((INDEX(PMtbl[[WKst]:[Unit of measure*]],MATCH($A164&amp;$E164&amp;$I164,INDEX(PMtbl[Category]&amp;PMtbl[INN]&amp;PMtbl[Specification],0,),0),3)),SETUP!$D$19:$D$62,0),5)),"")</f>
        <v/>
      </c>
    </row>
    <row r="165" spans="1:40" ht="15" hidden="1" customHeight="1">
      <c r="A165" s="2336"/>
      <c r="B165" s="2337"/>
      <c r="C165" s="2337"/>
      <c r="D165" s="2337"/>
      <c r="E165" s="2301"/>
      <c r="F165" s="2302"/>
      <c r="G165" s="2302"/>
      <c r="H165" s="2302"/>
      <c r="I165" s="2301"/>
      <c r="J165" s="2302"/>
      <c r="K165" s="2307"/>
      <c r="L165" s="1165" t="str">
        <f>IF($A165&lt;&gt;"",IFERROR(INDEX(PMtbl[[WKst]:[Unit of measure*]],MATCH($A$101&amp;$A165&amp;$E165&amp;$I165,INDEX(PMtbl[Sec]&amp;PMtbl[Category]&amp;PMtbl[INN]&amp;PMtbl[Specification],0,),0),8),""),"")</f>
        <v/>
      </c>
      <c r="M165" s="270" t="str">
        <f>IF(L165="", "",SETUP!$E$5)</f>
        <v/>
      </c>
      <c r="N165" s="776"/>
      <c r="O165" s="372"/>
      <c r="P165" s="372"/>
      <c r="Q165" s="372"/>
      <c r="R165" s="372"/>
      <c r="S165" s="356">
        <f t="shared" si="18"/>
        <v>0</v>
      </c>
      <c r="T165" s="783">
        <f t="shared" si="19"/>
        <v>0</v>
      </c>
      <c r="U165" s="776"/>
      <c r="V165" s="372"/>
      <c r="W165" s="372"/>
      <c r="X165" s="372"/>
      <c r="Y165" s="372"/>
      <c r="Z165" s="357">
        <f t="shared" si="20"/>
        <v>0</v>
      </c>
      <c r="AA165" s="775">
        <f t="shared" si="21"/>
        <v>0</v>
      </c>
      <c r="AB165" s="776"/>
      <c r="AC165" s="372"/>
      <c r="AD165" s="372"/>
      <c r="AE165" s="372"/>
      <c r="AF165" s="372"/>
      <c r="AG165" s="358">
        <f t="shared" si="22"/>
        <v>0</v>
      </c>
      <c r="AH165" s="763">
        <f t="shared" si="23"/>
        <v>0</v>
      </c>
      <c r="AI165" s="359">
        <f t="shared" si="24"/>
        <v>0</v>
      </c>
      <c r="AJ165" s="763">
        <f t="shared" si="25"/>
        <v>0</v>
      </c>
      <c r="AK165" s="367" t="str">
        <f>IF(A165&lt;&gt;"",IFERROR(INDEX(PMtbl[[WKst]:[Unit of measure*]],MATCH($A$101&amp;$A165&amp;$E165&amp;$I165,INDEX(PMtbl[Sec]&amp;PMtbl[Category]&amp;PMtbl[INN]&amp;PMtbl[Specification],0,),0),7),""),"")</f>
        <v/>
      </c>
      <c r="AL165" s="2051"/>
      <c r="AM165" s="360" t="str">
        <f>IFERROR(INDEX(SETUP!$C$19:$G$62,MATCH((INDEX(PMtbl[[WKst]:[Unit of measure*]],MATCH($A165&amp;$E165&amp;$I165,INDEX(PMtbl[Category]&amp;PMtbl[INN]&amp;PMtbl[Specification],0,),0),3)),SETUP!$D$19:$D$62,0),5),"")</f>
        <v/>
      </c>
      <c r="AN165" s="360" t="str">
        <f>IFERROR(IF((INDEX(SETUP!$C$19:$G$62,MATCH((INDEX(PMtbl[[WKst]:[Unit of measure*]],MATCH($A165&amp;$E165&amp;$I165,INDEX(PMtbl[Category]&amp;PMtbl[INN]&amp;PMtbl[Specification],0,),0),3)),SETUP!$D$19:$D$62,0),4))="Upfront",0,INDEX(SETUP!$C$19:$G$62,MATCH((INDEX(PMtbl[[WKst]:[Unit of measure*]],MATCH($A165&amp;$E165&amp;$I165,INDEX(PMtbl[Category]&amp;PMtbl[INN]&amp;PMtbl[Specification],0,),0),3)),SETUP!$D$19:$D$62,0),5)),"")</f>
        <v/>
      </c>
    </row>
    <row r="166" spans="1:40" ht="15" hidden="1" customHeight="1">
      <c r="A166" s="2330"/>
      <c r="B166" s="2331"/>
      <c r="C166" s="2331"/>
      <c r="D166" s="2331"/>
      <c r="E166" s="2303"/>
      <c r="F166" s="2304"/>
      <c r="G166" s="2304"/>
      <c r="H166" s="2304"/>
      <c r="I166" s="2303"/>
      <c r="J166" s="2304"/>
      <c r="K166" s="2329"/>
      <c r="L166" s="1166" t="str">
        <f>IF($A166&lt;&gt;"",IFERROR(INDEX(PMtbl[[WKst]:[Unit of measure*]],MATCH($A$101&amp;$A166&amp;$E166&amp;$I166,INDEX(PMtbl[Sec]&amp;PMtbl[Category]&amp;PMtbl[INN]&amp;PMtbl[Specification],0,),0),8),""),"")</f>
        <v/>
      </c>
      <c r="M166" s="269" t="str">
        <f>IF(L166="", "",SETUP!$E$5)</f>
        <v/>
      </c>
      <c r="N166" s="772"/>
      <c r="O166" s="370"/>
      <c r="P166" s="370"/>
      <c r="Q166" s="370"/>
      <c r="R166" s="370"/>
      <c r="S166" s="11">
        <f t="shared" si="18"/>
        <v>0</v>
      </c>
      <c r="T166" s="781">
        <f t="shared" si="19"/>
        <v>0</v>
      </c>
      <c r="U166" s="772"/>
      <c r="V166" s="370"/>
      <c r="W166" s="370"/>
      <c r="X166" s="370"/>
      <c r="Y166" s="370"/>
      <c r="Z166" s="348">
        <f t="shared" si="20"/>
        <v>0</v>
      </c>
      <c r="AA166" s="771">
        <f t="shared" si="21"/>
        <v>0</v>
      </c>
      <c r="AB166" s="772"/>
      <c r="AC166" s="370"/>
      <c r="AD166" s="370"/>
      <c r="AE166" s="370"/>
      <c r="AF166" s="370"/>
      <c r="AG166" s="349">
        <f t="shared" si="22"/>
        <v>0</v>
      </c>
      <c r="AH166" s="761">
        <f t="shared" si="23"/>
        <v>0</v>
      </c>
      <c r="AI166" s="350">
        <f t="shared" si="24"/>
        <v>0</v>
      </c>
      <c r="AJ166" s="761">
        <f t="shared" si="25"/>
        <v>0</v>
      </c>
      <c r="AK166" s="368" t="str">
        <f>IF(A166&lt;&gt;"",IFERROR(INDEX(PMtbl[[WKst]:[Unit of measure*]],MATCH($A$101&amp;$A166&amp;$E166&amp;$I166,INDEX(PMtbl[Sec]&amp;PMtbl[Category]&amp;PMtbl[INN]&amp;PMtbl[Specification],0,),0),7),""),"")</f>
        <v/>
      </c>
      <c r="AL166" s="2052"/>
      <c r="AM166" s="361" t="str">
        <f>IFERROR(INDEX(SETUP!$C$19:$G$62,MATCH((INDEX(PMtbl[[WKst]:[Unit of measure*]],MATCH($A166&amp;$E166&amp;$I166,INDEX(PMtbl[Category]&amp;PMtbl[INN]&amp;PMtbl[Specification],0,),0),3)),SETUP!$D$19:$D$62,0),5),"")</f>
        <v/>
      </c>
      <c r="AN166" s="361" t="str">
        <f>IFERROR(IF((INDEX(SETUP!$C$19:$G$62,MATCH((INDEX(PMtbl[[WKst]:[Unit of measure*]],MATCH($A166&amp;$E166&amp;$I166,INDEX(PMtbl[Category]&amp;PMtbl[INN]&amp;PMtbl[Specification],0,),0),3)),SETUP!$D$19:$D$62,0),4))="Upfront",0,INDEX(SETUP!$C$19:$G$62,MATCH((INDEX(PMtbl[[WKst]:[Unit of measure*]],MATCH($A166&amp;$E166&amp;$I166,INDEX(PMtbl[Category]&amp;PMtbl[INN]&amp;PMtbl[Specification],0,),0),3)),SETUP!$D$19:$D$62,0),5)),"")</f>
        <v/>
      </c>
    </row>
    <row r="167" spans="1:40" ht="15" hidden="1" customHeight="1">
      <c r="A167" s="2336"/>
      <c r="B167" s="2337"/>
      <c r="C167" s="2337"/>
      <c r="D167" s="2337"/>
      <c r="E167" s="2301"/>
      <c r="F167" s="2302"/>
      <c r="G167" s="2302"/>
      <c r="H167" s="2302"/>
      <c r="I167" s="2301"/>
      <c r="J167" s="2302"/>
      <c r="K167" s="2307"/>
      <c r="L167" s="1165" t="str">
        <f>IF($A167&lt;&gt;"",IFERROR(INDEX(PMtbl[[WKst]:[Unit of measure*]],MATCH($A$101&amp;$A167&amp;$E167&amp;$I167,INDEX(PMtbl[Sec]&amp;PMtbl[Category]&amp;PMtbl[INN]&amp;PMtbl[Specification],0,),0),8),""),"")</f>
        <v/>
      </c>
      <c r="M167" s="270" t="str">
        <f>IF(L167="", "",SETUP!$E$5)</f>
        <v/>
      </c>
      <c r="N167" s="776"/>
      <c r="O167" s="372"/>
      <c r="P167" s="372"/>
      <c r="Q167" s="372"/>
      <c r="R167" s="372"/>
      <c r="S167" s="356">
        <f t="shared" si="18"/>
        <v>0</v>
      </c>
      <c r="T167" s="783">
        <f t="shared" si="19"/>
        <v>0</v>
      </c>
      <c r="U167" s="776"/>
      <c r="V167" s="372"/>
      <c r="W167" s="372"/>
      <c r="X167" s="372"/>
      <c r="Y167" s="372"/>
      <c r="Z167" s="357">
        <f t="shared" si="20"/>
        <v>0</v>
      </c>
      <c r="AA167" s="775">
        <f t="shared" si="21"/>
        <v>0</v>
      </c>
      <c r="AB167" s="776"/>
      <c r="AC167" s="372"/>
      <c r="AD167" s="372"/>
      <c r="AE167" s="372"/>
      <c r="AF167" s="372"/>
      <c r="AG167" s="358">
        <f t="shared" si="22"/>
        <v>0</v>
      </c>
      <c r="AH167" s="763">
        <f t="shared" si="23"/>
        <v>0</v>
      </c>
      <c r="AI167" s="359">
        <f t="shared" si="24"/>
        <v>0</v>
      </c>
      <c r="AJ167" s="763">
        <f t="shared" si="25"/>
        <v>0</v>
      </c>
      <c r="AK167" s="367" t="str">
        <f>IF(A167&lt;&gt;"",IFERROR(INDEX(PMtbl[[WKst]:[Unit of measure*]],MATCH($A$101&amp;$A167&amp;$E167&amp;$I167,INDEX(PMtbl[Sec]&amp;PMtbl[Category]&amp;PMtbl[INN]&amp;PMtbl[Specification],0,),0),7),""),"")</f>
        <v/>
      </c>
      <c r="AL167" s="2051"/>
      <c r="AM167" s="360" t="str">
        <f>IFERROR(INDEX(SETUP!$C$19:$G$62,MATCH((INDEX(PMtbl[[WKst]:[Unit of measure*]],MATCH($A167&amp;$E167&amp;$I167,INDEX(PMtbl[Category]&amp;PMtbl[INN]&amp;PMtbl[Specification],0,),0),3)),SETUP!$D$19:$D$62,0),5),"")</f>
        <v/>
      </c>
      <c r="AN167" s="360" t="str">
        <f>IFERROR(IF((INDEX(SETUP!$C$19:$G$62,MATCH((INDEX(PMtbl[[WKst]:[Unit of measure*]],MATCH($A167&amp;$E167&amp;$I167,INDEX(PMtbl[Category]&amp;PMtbl[INN]&amp;PMtbl[Specification],0,),0),3)),SETUP!$D$19:$D$62,0),4))="Upfront",0,INDEX(SETUP!$C$19:$G$62,MATCH((INDEX(PMtbl[[WKst]:[Unit of measure*]],MATCH($A167&amp;$E167&amp;$I167,INDEX(PMtbl[Category]&amp;PMtbl[INN]&amp;PMtbl[Specification],0,),0),3)),SETUP!$D$19:$D$62,0),5)),"")</f>
        <v/>
      </c>
    </row>
    <row r="168" spans="1:40" ht="15" hidden="1" customHeight="1">
      <c r="A168" s="2330"/>
      <c r="B168" s="2331"/>
      <c r="C168" s="2331"/>
      <c r="D168" s="2331"/>
      <c r="E168" s="2303"/>
      <c r="F168" s="2304"/>
      <c r="G168" s="2304"/>
      <c r="H168" s="2304"/>
      <c r="I168" s="2303"/>
      <c r="J168" s="2304"/>
      <c r="K168" s="2329"/>
      <c r="L168" s="1166" t="str">
        <f>IF($A168&lt;&gt;"",IFERROR(INDEX(PMtbl[[WKst]:[Unit of measure*]],MATCH($A$101&amp;$A168&amp;$E168&amp;$I168,INDEX(PMtbl[Sec]&amp;PMtbl[Category]&amp;PMtbl[INN]&amp;PMtbl[Specification],0,),0),8),""),"")</f>
        <v/>
      </c>
      <c r="M168" s="269" t="str">
        <f>IF(L168="", "",SETUP!$E$5)</f>
        <v/>
      </c>
      <c r="N168" s="772"/>
      <c r="O168" s="370"/>
      <c r="P168" s="370"/>
      <c r="Q168" s="370"/>
      <c r="R168" s="370"/>
      <c r="S168" s="11">
        <f t="shared" si="18"/>
        <v>0</v>
      </c>
      <c r="T168" s="781">
        <f t="shared" si="19"/>
        <v>0</v>
      </c>
      <c r="U168" s="772"/>
      <c r="V168" s="370"/>
      <c r="W168" s="370"/>
      <c r="X168" s="370"/>
      <c r="Y168" s="370"/>
      <c r="Z168" s="348">
        <f t="shared" si="20"/>
        <v>0</v>
      </c>
      <c r="AA168" s="771">
        <f t="shared" si="21"/>
        <v>0</v>
      </c>
      <c r="AB168" s="772"/>
      <c r="AC168" s="370"/>
      <c r="AD168" s="370"/>
      <c r="AE168" s="370"/>
      <c r="AF168" s="370"/>
      <c r="AG168" s="349">
        <f t="shared" si="22"/>
        <v>0</v>
      </c>
      <c r="AH168" s="761">
        <f t="shared" si="23"/>
        <v>0</v>
      </c>
      <c r="AI168" s="350">
        <f t="shared" si="24"/>
        <v>0</v>
      </c>
      <c r="AJ168" s="761">
        <f t="shared" si="25"/>
        <v>0</v>
      </c>
      <c r="AK168" s="368" t="str">
        <f>IF(A168&lt;&gt;"",IFERROR(INDEX(PMtbl[[WKst]:[Unit of measure*]],MATCH($A$101&amp;$A168&amp;$E168&amp;$I168,INDEX(PMtbl[Sec]&amp;PMtbl[Category]&amp;PMtbl[INN]&amp;PMtbl[Specification],0,),0),7),""),"")</f>
        <v/>
      </c>
      <c r="AL168" s="2052"/>
      <c r="AM168" s="361" t="str">
        <f>IFERROR(INDEX(SETUP!$C$19:$G$62,MATCH((INDEX(PMtbl[[WKst]:[Unit of measure*]],MATCH($A168&amp;$E168&amp;$I168,INDEX(PMtbl[Category]&amp;PMtbl[INN]&amp;PMtbl[Specification],0,),0),3)),SETUP!$D$19:$D$62,0),5),"")</f>
        <v/>
      </c>
      <c r="AN168" s="361" t="str">
        <f>IFERROR(IF((INDEX(SETUP!$C$19:$G$62,MATCH((INDEX(PMtbl[[WKst]:[Unit of measure*]],MATCH($A168&amp;$E168&amp;$I168,INDEX(PMtbl[Category]&amp;PMtbl[INN]&amp;PMtbl[Specification],0,),0),3)),SETUP!$D$19:$D$62,0),4))="Upfront",0,INDEX(SETUP!$C$19:$G$62,MATCH((INDEX(PMtbl[[WKst]:[Unit of measure*]],MATCH($A168&amp;$E168&amp;$I168,INDEX(PMtbl[Category]&amp;PMtbl[INN]&amp;PMtbl[Specification],0,),0),3)),SETUP!$D$19:$D$62,0),5)),"")</f>
        <v/>
      </c>
    </row>
    <row r="169" spans="1:40" ht="15" hidden="1" customHeight="1">
      <c r="A169" s="2336"/>
      <c r="B169" s="2337"/>
      <c r="C169" s="2337"/>
      <c r="D169" s="2337"/>
      <c r="E169" s="2301"/>
      <c r="F169" s="2302"/>
      <c r="G169" s="2302"/>
      <c r="H169" s="2302"/>
      <c r="I169" s="2301"/>
      <c r="J169" s="2302"/>
      <c r="K169" s="2307"/>
      <c r="L169" s="1165" t="str">
        <f>IF($A169&lt;&gt;"",IFERROR(INDEX(PMtbl[[WKst]:[Unit of measure*]],MATCH($A$101&amp;$A169&amp;$E169&amp;$I169,INDEX(PMtbl[Sec]&amp;PMtbl[Category]&amp;PMtbl[INN]&amp;PMtbl[Specification],0,),0),8),""),"")</f>
        <v/>
      </c>
      <c r="M169" s="270" t="str">
        <f>IF(L169="", "",SETUP!$E$5)</f>
        <v/>
      </c>
      <c r="N169" s="776"/>
      <c r="O169" s="372"/>
      <c r="P169" s="372"/>
      <c r="Q169" s="372"/>
      <c r="R169" s="372"/>
      <c r="S169" s="356">
        <f t="shared" si="18"/>
        <v>0</v>
      </c>
      <c r="T169" s="783">
        <f t="shared" si="19"/>
        <v>0</v>
      </c>
      <c r="U169" s="776"/>
      <c r="V169" s="372"/>
      <c r="W169" s="372"/>
      <c r="X169" s="372"/>
      <c r="Y169" s="372"/>
      <c r="Z169" s="357">
        <f t="shared" si="20"/>
        <v>0</v>
      </c>
      <c r="AA169" s="775">
        <f t="shared" si="21"/>
        <v>0</v>
      </c>
      <c r="AB169" s="776"/>
      <c r="AC169" s="372"/>
      <c r="AD169" s="372"/>
      <c r="AE169" s="372"/>
      <c r="AF169" s="372"/>
      <c r="AG169" s="358">
        <f t="shared" si="22"/>
        <v>0</v>
      </c>
      <c r="AH169" s="763">
        <f t="shared" si="23"/>
        <v>0</v>
      </c>
      <c r="AI169" s="359">
        <f t="shared" si="24"/>
        <v>0</v>
      </c>
      <c r="AJ169" s="763">
        <f t="shared" si="25"/>
        <v>0</v>
      </c>
      <c r="AK169" s="367" t="str">
        <f>IF(A169&lt;&gt;"",IFERROR(INDEX(PMtbl[[WKst]:[Unit of measure*]],MATCH($A$101&amp;$A169&amp;$E169&amp;$I169,INDEX(PMtbl[Sec]&amp;PMtbl[Category]&amp;PMtbl[INN]&amp;PMtbl[Specification],0,),0),7),""),"")</f>
        <v/>
      </c>
      <c r="AL169" s="2051"/>
      <c r="AM169" s="360" t="str">
        <f>IFERROR(INDEX(SETUP!$C$19:$G$62,MATCH((INDEX(PMtbl[[WKst]:[Unit of measure*]],MATCH($A169&amp;$E169&amp;$I169,INDEX(PMtbl[Category]&amp;PMtbl[INN]&amp;PMtbl[Specification],0,),0),3)),SETUP!$D$19:$D$62,0),5),"")</f>
        <v/>
      </c>
      <c r="AN169" s="360" t="str">
        <f>IFERROR(IF((INDEX(SETUP!$C$19:$G$62,MATCH((INDEX(PMtbl[[WKst]:[Unit of measure*]],MATCH($A169&amp;$E169&amp;$I169,INDEX(PMtbl[Category]&amp;PMtbl[INN]&amp;PMtbl[Specification],0,),0),3)),SETUP!$D$19:$D$62,0),4))="Upfront",0,INDEX(SETUP!$C$19:$G$62,MATCH((INDEX(PMtbl[[WKst]:[Unit of measure*]],MATCH($A169&amp;$E169&amp;$I169,INDEX(PMtbl[Category]&amp;PMtbl[INN]&amp;PMtbl[Specification],0,),0),3)),SETUP!$D$19:$D$62,0),5)),"")</f>
        <v/>
      </c>
    </row>
    <row r="170" spans="1:40" ht="15" hidden="1" customHeight="1">
      <c r="A170" s="2330"/>
      <c r="B170" s="2331"/>
      <c r="C170" s="2331"/>
      <c r="D170" s="2331"/>
      <c r="E170" s="2303"/>
      <c r="F170" s="2304"/>
      <c r="G170" s="2304"/>
      <c r="H170" s="2304"/>
      <c r="I170" s="2303"/>
      <c r="J170" s="2304"/>
      <c r="K170" s="2329"/>
      <c r="L170" s="1166" t="str">
        <f>IF($A170&lt;&gt;"",IFERROR(INDEX(PMtbl[[WKst]:[Unit of measure*]],MATCH($A$101&amp;$A170&amp;$E170&amp;$I170,INDEX(PMtbl[Sec]&amp;PMtbl[Category]&amp;PMtbl[INN]&amp;PMtbl[Specification],0,),0),8),""),"")</f>
        <v/>
      </c>
      <c r="M170" s="269" t="str">
        <f>IF(L170="", "",SETUP!$E$5)</f>
        <v/>
      </c>
      <c r="N170" s="772"/>
      <c r="O170" s="370"/>
      <c r="P170" s="370"/>
      <c r="Q170" s="370"/>
      <c r="R170" s="370"/>
      <c r="S170" s="11">
        <f t="shared" si="18"/>
        <v>0</v>
      </c>
      <c r="T170" s="781">
        <f t="shared" si="19"/>
        <v>0</v>
      </c>
      <c r="U170" s="772"/>
      <c r="V170" s="370"/>
      <c r="W170" s="370"/>
      <c r="X170" s="370"/>
      <c r="Y170" s="370"/>
      <c r="Z170" s="348">
        <f t="shared" si="20"/>
        <v>0</v>
      </c>
      <c r="AA170" s="771">
        <f t="shared" si="21"/>
        <v>0</v>
      </c>
      <c r="AB170" s="772"/>
      <c r="AC170" s="370"/>
      <c r="AD170" s="370"/>
      <c r="AE170" s="370"/>
      <c r="AF170" s="370"/>
      <c r="AG170" s="349">
        <f t="shared" si="22"/>
        <v>0</v>
      </c>
      <c r="AH170" s="761">
        <f t="shared" si="23"/>
        <v>0</v>
      </c>
      <c r="AI170" s="350">
        <f t="shared" si="24"/>
        <v>0</v>
      </c>
      <c r="AJ170" s="761">
        <f t="shared" si="25"/>
        <v>0</v>
      </c>
      <c r="AK170" s="368" t="str">
        <f>IF(A170&lt;&gt;"",IFERROR(INDEX(PMtbl[[WKst]:[Unit of measure*]],MATCH($A$101&amp;$A170&amp;$E170&amp;$I170,INDEX(PMtbl[Sec]&amp;PMtbl[Category]&amp;PMtbl[INN]&amp;PMtbl[Specification],0,),0),7),""),"")</f>
        <v/>
      </c>
      <c r="AL170" s="2052"/>
      <c r="AM170" s="361" t="str">
        <f>IFERROR(INDEX(SETUP!$C$19:$G$62,MATCH((INDEX(PMtbl[[WKst]:[Unit of measure*]],MATCH($A170&amp;$E170&amp;$I170,INDEX(PMtbl[Category]&amp;PMtbl[INN]&amp;PMtbl[Specification],0,),0),3)),SETUP!$D$19:$D$62,0),5),"")</f>
        <v/>
      </c>
      <c r="AN170" s="361" t="str">
        <f>IFERROR(IF((INDEX(SETUP!$C$19:$G$62,MATCH((INDEX(PMtbl[[WKst]:[Unit of measure*]],MATCH($A170&amp;$E170&amp;$I170,INDEX(PMtbl[Category]&amp;PMtbl[INN]&amp;PMtbl[Specification],0,),0),3)),SETUP!$D$19:$D$62,0),4))="Upfront",0,INDEX(SETUP!$C$19:$G$62,MATCH((INDEX(PMtbl[[WKst]:[Unit of measure*]],MATCH($A170&amp;$E170&amp;$I170,INDEX(PMtbl[Category]&amp;PMtbl[INN]&amp;PMtbl[Specification],0,),0),3)),SETUP!$D$19:$D$62,0),5)),"")</f>
        <v/>
      </c>
    </row>
    <row r="171" spans="1:40" ht="15" hidden="1" customHeight="1">
      <c r="A171" s="2336"/>
      <c r="B171" s="2337"/>
      <c r="C171" s="2337"/>
      <c r="D171" s="2337"/>
      <c r="E171" s="2301"/>
      <c r="F171" s="2302"/>
      <c r="G171" s="2302"/>
      <c r="H171" s="2302"/>
      <c r="I171" s="2301"/>
      <c r="J171" s="2302"/>
      <c r="K171" s="2307"/>
      <c r="L171" s="1165" t="str">
        <f>IF($A171&lt;&gt;"",IFERROR(INDEX(PMtbl[[WKst]:[Unit of measure*]],MATCH($A$101&amp;$A171&amp;$E171&amp;$I171,INDEX(PMtbl[Sec]&amp;PMtbl[Category]&amp;PMtbl[INN]&amp;PMtbl[Specification],0,),0),8),""),"")</f>
        <v/>
      </c>
      <c r="M171" s="270" t="str">
        <f>IF(L171="", "",SETUP!$E$5)</f>
        <v/>
      </c>
      <c r="N171" s="776"/>
      <c r="O171" s="372"/>
      <c r="P171" s="372"/>
      <c r="Q171" s="372"/>
      <c r="R171" s="372"/>
      <c r="S171" s="356">
        <f t="shared" si="18"/>
        <v>0</v>
      </c>
      <c r="T171" s="783">
        <f t="shared" si="19"/>
        <v>0</v>
      </c>
      <c r="U171" s="776"/>
      <c r="V171" s="372"/>
      <c r="W171" s="372"/>
      <c r="X171" s="372"/>
      <c r="Y171" s="372"/>
      <c r="Z171" s="357">
        <f t="shared" si="20"/>
        <v>0</v>
      </c>
      <c r="AA171" s="775">
        <f t="shared" si="21"/>
        <v>0</v>
      </c>
      <c r="AB171" s="776"/>
      <c r="AC171" s="372"/>
      <c r="AD171" s="372"/>
      <c r="AE171" s="372"/>
      <c r="AF171" s="372"/>
      <c r="AG171" s="358">
        <f t="shared" si="22"/>
        <v>0</v>
      </c>
      <c r="AH171" s="763">
        <f t="shared" si="23"/>
        <v>0</v>
      </c>
      <c r="AI171" s="359">
        <f t="shared" si="24"/>
        <v>0</v>
      </c>
      <c r="AJ171" s="763">
        <f t="shared" si="25"/>
        <v>0</v>
      </c>
      <c r="AK171" s="367" t="str">
        <f>IF(A171&lt;&gt;"",IFERROR(INDEX(PMtbl[[WKst]:[Unit of measure*]],MATCH($A$101&amp;$A171&amp;$E171&amp;$I171,INDEX(PMtbl[Sec]&amp;PMtbl[Category]&amp;PMtbl[INN]&amp;PMtbl[Specification],0,),0),7),""),"")</f>
        <v/>
      </c>
      <c r="AL171" s="2051"/>
      <c r="AM171" s="360" t="str">
        <f>IFERROR(INDEX(SETUP!$C$19:$G$62,MATCH((INDEX(PMtbl[[WKst]:[Unit of measure*]],MATCH($A171&amp;$E171&amp;$I171,INDEX(PMtbl[Category]&amp;PMtbl[INN]&amp;PMtbl[Specification],0,),0),3)),SETUP!$D$19:$D$62,0),5),"")</f>
        <v/>
      </c>
      <c r="AN171" s="360" t="str">
        <f>IFERROR(IF((INDEX(SETUP!$C$19:$G$62,MATCH((INDEX(PMtbl[[WKst]:[Unit of measure*]],MATCH($A171&amp;$E171&amp;$I171,INDEX(PMtbl[Category]&amp;PMtbl[INN]&amp;PMtbl[Specification],0,),0),3)),SETUP!$D$19:$D$62,0),4))="Upfront",0,INDEX(SETUP!$C$19:$G$62,MATCH((INDEX(PMtbl[[WKst]:[Unit of measure*]],MATCH($A171&amp;$E171&amp;$I171,INDEX(PMtbl[Category]&amp;PMtbl[INN]&amp;PMtbl[Specification],0,),0),3)),SETUP!$D$19:$D$62,0),5)),"")</f>
        <v/>
      </c>
    </row>
    <row r="172" spans="1:40" ht="15" hidden="1" customHeight="1">
      <c r="A172" s="2330"/>
      <c r="B172" s="2331"/>
      <c r="C172" s="2331"/>
      <c r="D172" s="2331"/>
      <c r="E172" s="2303"/>
      <c r="F172" s="2304"/>
      <c r="G172" s="2304"/>
      <c r="H172" s="2304"/>
      <c r="I172" s="2303"/>
      <c r="J172" s="2304"/>
      <c r="K172" s="2329"/>
      <c r="L172" s="1166" t="str">
        <f>IF($A172&lt;&gt;"",IFERROR(INDEX(PMtbl[[WKst]:[Unit of measure*]],MATCH($A$101&amp;$A172&amp;$E172&amp;$I172,INDEX(PMtbl[Sec]&amp;PMtbl[Category]&amp;PMtbl[INN]&amp;PMtbl[Specification],0,),0),8),""),"")</f>
        <v/>
      </c>
      <c r="M172" s="269" t="str">
        <f>IF(L172="", "",SETUP!$E$5)</f>
        <v/>
      </c>
      <c r="N172" s="772"/>
      <c r="O172" s="370"/>
      <c r="P172" s="370"/>
      <c r="Q172" s="370"/>
      <c r="R172" s="370"/>
      <c r="S172" s="11">
        <f t="shared" ref="S172:S192" si="26">SUM(O172:R172)</f>
        <v>0</v>
      </c>
      <c r="T172" s="781">
        <f t="shared" ref="T172:T192" si="27">S172*N172</f>
        <v>0</v>
      </c>
      <c r="U172" s="772"/>
      <c r="V172" s="370"/>
      <c r="W172" s="370"/>
      <c r="X172" s="370"/>
      <c r="Y172" s="370"/>
      <c r="Z172" s="348">
        <f t="shared" ref="Z172:Z192" si="28">SUM(V172:Y172)</f>
        <v>0</v>
      </c>
      <c r="AA172" s="771">
        <f t="shared" ref="AA172:AA192" si="29">Z172*U172</f>
        <v>0</v>
      </c>
      <c r="AB172" s="772"/>
      <c r="AC172" s="370"/>
      <c r="AD172" s="370"/>
      <c r="AE172" s="370"/>
      <c r="AF172" s="370"/>
      <c r="AG172" s="349">
        <f t="shared" ref="AG172:AG192" si="30">SUM(AC172:AF172)</f>
        <v>0</v>
      </c>
      <c r="AH172" s="761">
        <f t="shared" ref="AH172:AH192" si="31">AG172*AB172</f>
        <v>0</v>
      </c>
      <c r="AI172" s="350">
        <f t="shared" ref="AI172:AI192" si="32">S172+Z172+AG172</f>
        <v>0</v>
      </c>
      <c r="AJ172" s="761">
        <f t="shared" ref="AJ172:AJ192" si="33">T172+AA172+AH172</f>
        <v>0</v>
      </c>
      <c r="AK172" s="368" t="str">
        <f>IF(A172&lt;&gt;"",IFERROR(INDEX(PMtbl[[WKst]:[Unit of measure*]],MATCH($A$101&amp;$A172&amp;$E172&amp;$I172,INDEX(PMtbl[Sec]&amp;PMtbl[Category]&amp;PMtbl[INN]&amp;PMtbl[Specification],0,),0),7),""),"")</f>
        <v/>
      </c>
      <c r="AL172" s="2052"/>
      <c r="AM172" s="361" t="str">
        <f>IFERROR(INDEX(SETUP!$C$19:$G$62,MATCH((INDEX(PMtbl[[WKst]:[Unit of measure*]],MATCH($A172&amp;$E172&amp;$I172,INDEX(PMtbl[Category]&amp;PMtbl[INN]&amp;PMtbl[Specification],0,),0),3)),SETUP!$D$19:$D$62,0),5),"")</f>
        <v/>
      </c>
      <c r="AN172" s="361" t="str">
        <f>IFERROR(IF((INDEX(SETUP!$C$19:$G$62,MATCH((INDEX(PMtbl[[WKst]:[Unit of measure*]],MATCH($A172&amp;$E172&amp;$I172,INDEX(PMtbl[Category]&amp;PMtbl[INN]&amp;PMtbl[Specification],0,),0),3)),SETUP!$D$19:$D$62,0),4))="Upfront",0,INDEX(SETUP!$C$19:$G$62,MATCH((INDEX(PMtbl[[WKst]:[Unit of measure*]],MATCH($A172&amp;$E172&amp;$I172,INDEX(PMtbl[Category]&amp;PMtbl[INN]&amp;PMtbl[Specification],0,),0),3)),SETUP!$D$19:$D$62,0),5)),"")</f>
        <v/>
      </c>
    </row>
    <row r="173" spans="1:40" ht="15" hidden="1" customHeight="1">
      <c r="A173" s="2336"/>
      <c r="B173" s="2337"/>
      <c r="C173" s="2337"/>
      <c r="D173" s="2337"/>
      <c r="E173" s="2301"/>
      <c r="F173" s="2302"/>
      <c r="G173" s="2302"/>
      <c r="H173" s="2302"/>
      <c r="I173" s="2301"/>
      <c r="J173" s="2302"/>
      <c r="K173" s="2307"/>
      <c r="L173" s="1165" t="str">
        <f>IF($A173&lt;&gt;"",IFERROR(INDEX(PMtbl[[WKst]:[Unit of measure*]],MATCH($A$101&amp;$A173&amp;$E173&amp;$I173,INDEX(PMtbl[Sec]&amp;PMtbl[Category]&amp;PMtbl[INN]&amp;PMtbl[Specification],0,),0),8),""),"")</f>
        <v/>
      </c>
      <c r="M173" s="270" t="str">
        <f>IF(L173="", "",SETUP!$E$5)</f>
        <v/>
      </c>
      <c r="N173" s="776"/>
      <c r="O173" s="372"/>
      <c r="P173" s="372"/>
      <c r="Q173" s="372"/>
      <c r="R173" s="372"/>
      <c r="S173" s="356">
        <f t="shared" si="26"/>
        <v>0</v>
      </c>
      <c r="T173" s="783">
        <f t="shared" si="27"/>
        <v>0</v>
      </c>
      <c r="U173" s="776"/>
      <c r="V173" s="372"/>
      <c r="W173" s="372"/>
      <c r="X173" s="372"/>
      <c r="Y173" s="372"/>
      <c r="Z173" s="357">
        <f t="shared" si="28"/>
        <v>0</v>
      </c>
      <c r="AA173" s="775">
        <f t="shared" si="29"/>
        <v>0</v>
      </c>
      <c r="AB173" s="776"/>
      <c r="AC173" s="372"/>
      <c r="AD173" s="372"/>
      <c r="AE173" s="372"/>
      <c r="AF173" s="372"/>
      <c r="AG173" s="358">
        <f t="shared" si="30"/>
        <v>0</v>
      </c>
      <c r="AH173" s="763">
        <f t="shared" si="31"/>
        <v>0</v>
      </c>
      <c r="AI173" s="359">
        <f t="shared" si="32"/>
        <v>0</v>
      </c>
      <c r="AJ173" s="763">
        <f t="shared" si="33"/>
        <v>0</v>
      </c>
      <c r="AK173" s="367" t="str">
        <f>IF(A173&lt;&gt;"",IFERROR(INDEX(PMtbl[[WKst]:[Unit of measure*]],MATCH($A$101&amp;$A173&amp;$E173&amp;$I173,INDEX(PMtbl[Sec]&amp;PMtbl[Category]&amp;PMtbl[INN]&amp;PMtbl[Specification],0,),0),7),""),"")</f>
        <v/>
      </c>
      <c r="AL173" s="2051"/>
      <c r="AM173" s="360" t="str">
        <f>IFERROR(INDEX(SETUP!$C$19:$G$62,MATCH((INDEX(PMtbl[[WKst]:[Unit of measure*]],MATCH($A173&amp;$E173&amp;$I173,INDEX(PMtbl[Category]&amp;PMtbl[INN]&amp;PMtbl[Specification],0,),0),3)),SETUP!$D$19:$D$62,0),5),"")</f>
        <v/>
      </c>
      <c r="AN173" s="360" t="str">
        <f>IFERROR(IF((INDEX(SETUP!$C$19:$G$62,MATCH((INDEX(PMtbl[[WKst]:[Unit of measure*]],MATCH($A173&amp;$E173&amp;$I173,INDEX(PMtbl[Category]&amp;PMtbl[INN]&amp;PMtbl[Specification],0,),0),3)),SETUP!$D$19:$D$62,0),4))="Upfront",0,INDEX(SETUP!$C$19:$G$62,MATCH((INDEX(PMtbl[[WKst]:[Unit of measure*]],MATCH($A173&amp;$E173&amp;$I173,INDEX(PMtbl[Category]&amp;PMtbl[INN]&amp;PMtbl[Specification],0,),0),3)),SETUP!$D$19:$D$62,0),5)),"")</f>
        <v/>
      </c>
    </row>
    <row r="174" spans="1:40" ht="15" hidden="1" customHeight="1">
      <c r="A174" s="2330"/>
      <c r="B174" s="2331"/>
      <c r="C174" s="2331"/>
      <c r="D174" s="2331"/>
      <c r="E174" s="2303"/>
      <c r="F174" s="2304"/>
      <c r="G174" s="2304"/>
      <c r="H174" s="2304"/>
      <c r="I174" s="2303"/>
      <c r="J174" s="2304"/>
      <c r="K174" s="2329"/>
      <c r="L174" s="1166" t="str">
        <f>IF($A174&lt;&gt;"",IFERROR(INDEX(PMtbl[[WKst]:[Unit of measure*]],MATCH($A$101&amp;$A174&amp;$E174&amp;$I174,INDEX(PMtbl[Sec]&amp;PMtbl[Category]&amp;PMtbl[INN]&amp;PMtbl[Specification],0,),0),8),""),"")</f>
        <v/>
      </c>
      <c r="M174" s="269" t="str">
        <f>IF(L174="", "",SETUP!$E$5)</f>
        <v/>
      </c>
      <c r="N174" s="772"/>
      <c r="O174" s="370"/>
      <c r="P174" s="370"/>
      <c r="Q174" s="370"/>
      <c r="R174" s="370"/>
      <c r="S174" s="11">
        <f t="shared" si="26"/>
        <v>0</v>
      </c>
      <c r="T174" s="781">
        <f t="shared" si="27"/>
        <v>0</v>
      </c>
      <c r="U174" s="772"/>
      <c r="V174" s="370"/>
      <c r="W174" s="370"/>
      <c r="X174" s="370"/>
      <c r="Y174" s="370"/>
      <c r="Z174" s="348">
        <f t="shared" si="28"/>
        <v>0</v>
      </c>
      <c r="AA174" s="771">
        <f t="shared" si="29"/>
        <v>0</v>
      </c>
      <c r="AB174" s="772"/>
      <c r="AC174" s="370"/>
      <c r="AD174" s="370"/>
      <c r="AE174" s="370"/>
      <c r="AF174" s="370"/>
      <c r="AG174" s="349">
        <f t="shared" si="30"/>
        <v>0</v>
      </c>
      <c r="AH174" s="761">
        <f t="shared" si="31"/>
        <v>0</v>
      </c>
      <c r="AI174" s="350">
        <f t="shared" si="32"/>
        <v>0</v>
      </c>
      <c r="AJ174" s="761">
        <f t="shared" si="33"/>
        <v>0</v>
      </c>
      <c r="AK174" s="368" t="str">
        <f>IF(A174&lt;&gt;"",IFERROR(INDEX(PMtbl[[WKst]:[Unit of measure*]],MATCH($A$101&amp;$A174&amp;$E174&amp;$I174,INDEX(PMtbl[Sec]&amp;PMtbl[Category]&amp;PMtbl[INN]&amp;PMtbl[Specification],0,),0),7),""),"")</f>
        <v/>
      </c>
      <c r="AL174" s="2052"/>
      <c r="AM174" s="361" t="str">
        <f>IFERROR(INDEX(SETUP!$C$19:$G$62,MATCH((INDEX(PMtbl[[WKst]:[Unit of measure*]],MATCH($A174&amp;$E174&amp;$I174,INDEX(PMtbl[Category]&amp;PMtbl[INN]&amp;PMtbl[Specification],0,),0),3)),SETUP!$D$19:$D$62,0),5),"")</f>
        <v/>
      </c>
      <c r="AN174" s="361" t="str">
        <f>IFERROR(IF((INDEX(SETUP!$C$19:$G$62,MATCH((INDEX(PMtbl[[WKst]:[Unit of measure*]],MATCH($A174&amp;$E174&amp;$I174,INDEX(PMtbl[Category]&amp;PMtbl[INN]&amp;PMtbl[Specification],0,),0),3)),SETUP!$D$19:$D$62,0),4))="Upfront",0,INDEX(SETUP!$C$19:$G$62,MATCH((INDEX(PMtbl[[WKst]:[Unit of measure*]],MATCH($A174&amp;$E174&amp;$I174,INDEX(PMtbl[Category]&amp;PMtbl[INN]&amp;PMtbl[Specification],0,),0),3)),SETUP!$D$19:$D$62,0),5)),"")</f>
        <v/>
      </c>
    </row>
    <row r="175" spans="1:40" ht="15" hidden="1" customHeight="1">
      <c r="A175" s="2336"/>
      <c r="B175" s="2337"/>
      <c r="C175" s="2337"/>
      <c r="D175" s="2337"/>
      <c r="E175" s="2301"/>
      <c r="F175" s="2302"/>
      <c r="G175" s="2302"/>
      <c r="H175" s="2302"/>
      <c r="I175" s="2301"/>
      <c r="J175" s="2302"/>
      <c r="K175" s="2307"/>
      <c r="L175" s="1165" t="str">
        <f>IF($A175&lt;&gt;"",IFERROR(INDEX(PMtbl[[WKst]:[Unit of measure*]],MATCH($A$101&amp;$A175&amp;$E175&amp;$I175,INDEX(PMtbl[Sec]&amp;PMtbl[Category]&amp;PMtbl[INN]&amp;PMtbl[Specification],0,),0),8),""),"")</f>
        <v/>
      </c>
      <c r="M175" s="270" t="str">
        <f>IF(L175="", "",SETUP!$E$5)</f>
        <v/>
      </c>
      <c r="N175" s="776"/>
      <c r="O175" s="372"/>
      <c r="P175" s="372"/>
      <c r="Q175" s="372"/>
      <c r="R175" s="372"/>
      <c r="S175" s="356">
        <f t="shared" si="26"/>
        <v>0</v>
      </c>
      <c r="T175" s="783">
        <f t="shared" si="27"/>
        <v>0</v>
      </c>
      <c r="U175" s="776"/>
      <c r="V175" s="372"/>
      <c r="W175" s="372"/>
      <c r="X175" s="372"/>
      <c r="Y175" s="372"/>
      <c r="Z175" s="357">
        <f t="shared" si="28"/>
        <v>0</v>
      </c>
      <c r="AA175" s="775">
        <f t="shared" si="29"/>
        <v>0</v>
      </c>
      <c r="AB175" s="776"/>
      <c r="AC175" s="372"/>
      <c r="AD175" s="372"/>
      <c r="AE175" s="372"/>
      <c r="AF175" s="372"/>
      <c r="AG175" s="358">
        <f t="shared" si="30"/>
        <v>0</v>
      </c>
      <c r="AH175" s="763">
        <f t="shared" si="31"/>
        <v>0</v>
      </c>
      <c r="AI175" s="359">
        <f t="shared" si="32"/>
        <v>0</v>
      </c>
      <c r="AJ175" s="763">
        <f t="shared" si="33"/>
        <v>0</v>
      </c>
      <c r="AK175" s="367" t="str">
        <f>IF(A175&lt;&gt;"",IFERROR(INDEX(PMtbl[[WKst]:[Unit of measure*]],MATCH($A$101&amp;$A175&amp;$E175&amp;$I175,INDEX(PMtbl[Sec]&amp;PMtbl[Category]&amp;PMtbl[INN]&amp;PMtbl[Specification],0,),0),7),""),"")</f>
        <v/>
      </c>
      <c r="AL175" s="2051"/>
      <c r="AM175" s="360" t="str">
        <f>IFERROR(INDEX(SETUP!$C$19:$G$62,MATCH((INDEX(PMtbl[[WKst]:[Unit of measure*]],MATCH($A175&amp;$E175&amp;$I175,INDEX(PMtbl[Category]&amp;PMtbl[INN]&amp;PMtbl[Specification],0,),0),3)),SETUP!$D$19:$D$62,0),5),"")</f>
        <v/>
      </c>
      <c r="AN175" s="360" t="str">
        <f>IFERROR(IF((INDEX(SETUP!$C$19:$G$62,MATCH((INDEX(PMtbl[[WKst]:[Unit of measure*]],MATCH($A175&amp;$E175&amp;$I175,INDEX(PMtbl[Category]&amp;PMtbl[INN]&amp;PMtbl[Specification],0,),0),3)),SETUP!$D$19:$D$62,0),4))="Upfront",0,INDEX(SETUP!$C$19:$G$62,MATCH((INDEX(PMtbl[[WKst]:[Unit of measure*]],MATCH($A175&amp;$E175&amp;$I175,INDEX(PMtbl[Category]&amp;PMtbl[INN]&amp;PMtbl[Specification],0,),0),3)),SETUP!$D$19:$D$62,0),5)),"")</f>
        <v/>
      </c>
    </row>
    <row r="176" spans="1:40" ht="15" hidden="1" customHeight="1">
      <c r="A176" s="2330"/>
      <c r="B176" s="2331"/>
      <c r="C176" s="2331"/>
      <c r="D176" s="2331"/>
      <c r="E176" s="2303"/>
      <c r="F176" s="2304"/>
      <c r="G176" s="2304"/>
      <c r="H176" s="2304"/>
      <c r="I176" s="2303"/>
      <c r="J176" s="2304"/>
      <c r="K176" s="2329"/>
      <c r="L176" s="1166" t="str">
        <f>IF($A176&lt;&gt;"",IFERROR(INDEX(PMtbl[[WKst]:[Unit of measure*]],MATCH($A$101&amp;$A176&amp;$E176&amp;$I176,INDEX(PMtbl[Sec]&amp;PMtbl[Category]&amp;PMtbl[INN]&amp;PMtbl[Specification],0,),0),8),""),"")</f>
        <v/>
      </c>
      <c r="M176" s="269" t="str">
        <f>IF(L176="", "",SETUP!$E$5)</f>
        <v/>
      </c>
      <c r="N176" s="772"/>
      <c r="O176" s="370"/>
      <c r="P176" s="370"/>
      <c r="Q176" s="370"/>
      <c r="R176" s="370"/>
      <c r="S176" s="11">
        <f t="shared" si="26"/>
        <v>0</v>
      </c>
      <c r="T176" s="781">
        <f t="shared" si="27"/>
        <v>0</v>
      </c>
      <c r="U176" s="772"/>
      <c r="V176" s="370"/>
      <c r="W176" s="370"/>
      <c r="X176" s="370"/>
      <c r="Y176" s="370"/>
      <c r="Z176" s="348">
        <f t="shared" si="28"/>
        <v>0</v>
      </c>
      <c r="AA176" s="771">
        <f t="shared" si="29"/>
        <v>0</v>
      </c>
      <c r="AB176" s="772"/>
      <c r="AC176" s="370"/>
      <c r="AD176" s="370"/>
      <c r="AE176" s="370"/>
      <c r="AF176" s="370"/>
      <c r="AG176" s="349">
        <f t="shared" si="30"/>
        <v>0</v>
      </c>
      <c r="AH176" s="761">
        <f t="shared" si="31"/>
        <v>0</v>
      </c>
      <c r="AI176" s="350">
        <f t="shared" si="32"/>
        <v>0</v>
      </c>
      <c r="AJ176" s="761">
        <f t="shared" si="33"/>
        <v>0</v>
      </c>
      <c r="AK176" s="368" t="str">
        <f>IF(A176&lt;&gt;"",IFERROR(INDEX(PMtbl[[WKst]:[Unit of measure*]],MATCH($A$101&amp;$A176&amp;$E176&amp;$I176,INDEX(PMtbl[Sec]&amp;PMtbl[Category]&amp;PMtbl[INN]&amp;PMtbl[Specification],0,),0),7),""),"")</f>
        <v/>
      </c>
      <c r="AL176" s="2052"/>
      <c r="AM176" s="361" t="str">
        <f>IFERROR(INDEX(SETUP!$C$19:$G$62,MATCH((INDEX(PMtbl[[WKst]:[Unit of measure*]],MATCH($A176&amp;$E176&amp;$I176,INDEX(PMtbl[Category]&amp;PMtbl[INN]&amp;PMtbl[Specification],0,),0),3)),SETUP!$D$19:$D$62,0),5),"")</f>
        <v/>
      </c>
      <c r="AN176" s="361" t="str">
        <f>IFERROR(IF((INDEX(SETUP!$C$19:$G$62,MATCH((INDEX(PMtbl[[WKst]:[Unit of measure*]],MATCH($A176&amp;$E176&amp;$I176,INDEX(PMtbl[Category]&amp;PMtbl[INN]&amp;PMtbl[Specification],0,),0),3)),SETUP!$D$19:$D$62,0),4))="Upfront",0,INDEX(SETUP!$C$19:$G$62,MATCH((INDEX(PMtbl[[WKst]:[Unit of measure*]],MATCH($A176&amp;$E176&amp;$I176,INDEX(PMtbl[Category]&amp;PMtbl[INN]&amp;PMtbl[Specification],0,),0),3)),SETUP!$D$19:$D$62,0),5)),"")</f>
        <v/>
      </c>
    </row>
    <row r="177" spans="1:40" ht="15" hidden="1" customHeight="1">
      <c r="A177" s="2336"/>
      <c r="B177" s="2337"/>
      <c r="C177" s="2337"/>
      <c r="D177" s="2337"/>
      <c r="E177" s="2301"/>
      <c r="F177" s="2302"/>
      <c r="G177" s="2302"/>
      <c r="H177" s="2302"/>
      <c r="I177" s="2301"/>
      <c r="J177" s="2302"/>
      <c r="K177" s="2307"/>
      <c r="L177" s="1165" t="str">
        <f>IF($A177&lt;&gt;"",IFERROR(INDEX(PMtbl[[WKst]:[Unit of measure*]],MATCH($A$101&amp;$A177&amp;$E177&amp;$I177,INDEX(PMtbl[Sec]&amp;PMtbl[Category]&amp;PMtbl[INN]&amp;PMtbl[Specification],0,),0),8),""),"")</f>
        <v/>
      </c>
      <c r="M177" s="270" t="str">
        <f>IF(L177="", "",SETUP!$E$5)</f>
        <v/>
      </c>
      <c r="N177" s="776"/>
      <c r="O177" s="372"/>
      <c r="P177" s="372"/>
      <c r="Q177" s="372"/>
      <c r="R177" s="372"/>
      <c r="S177" s="356">
        <f t="shared" si="26"/>
        <v>0</v>
      </c>
      <c r="T177" s="783">
        <f t="shared" si="27"/>
        <v>0</v>
      </c>
      <c r="U177" s="776"/>
      <c r="V177" s="372"/>
      <c r="W177" s="372"/>
      <c r="X177" s="372"/>
      <c r="Y177" s="372"/>
      <c r="Z177" s="357">
        <f t="shared" si="28"/>
        <v>0</v>
      </c>
      <c r="AA177" s="775">
        <f t="shared" si="29"/>
        <v>0</v>
      </c>
      <c r="AB177" s="776"/>
      <c r="AC177" s="372"/>
      <c r="AD177" s="372"/>
      <c r="AE177" s="372"/>
      <c r="AF177" s="372"/>
      <c r="AG177" s="358">
        <f t="shared" si="30"/>
        <v>0</v>
      </c>
      <c r="AH177" s="763">
        <f t="shared" si="31"/>
        <v>0</v>
      </c>
      <c r="AI177" s="359">
        <f t="shared" si="32"/>
        <v>0</v>
      </c>
      <c r="AJ177" s="763">
        <f t="shared" si="33"/>
        <v>0</v>
      </c>
      <c r="AK177" s="367" t="str">
        <f>IF(A177&lt;&gt;"",IFERROR(INDEX(PMtbl[[WKst]:[Unit of measure*]],MATCH($A$101&amp;$A177&amp;$E177&amp;$I177,INDEX(PMtbl[Sec]&amp;PMtbl[Category]&amp;PMtbl[INN]&amp;PMtbl[Specification],0,),0),7),""),"")</f>
        <v/>
      </c>
      <c r="AL177" s="2051"/>
      <c r="AM177" s="360" t="str">
        <f>IFERROR(INDEX(SETUP!$C$19:$G$62,MATCH((INDEX(PMtbl[[WKst]:[Unit of measure*]],MATCH($A177&amp;$E177&amp;$I177,INDEX(PMtbl[Category]&amp;PMtbl[INN]&amp;PMtbl[Specification],0,),0),3)),SETUP!$D$19:$D$62,0),5),"")</f>
        <v/>
      </c>
      <c r="AN177" s="360" t="str">
        <f>IFERROR(IF((INDEX(SETUP!$C$19:$G$62,MATCH((INDEX(PMtbl[[WKst]:[Unit of measure*]],MATCH($A177&amp;$E177&amp;$I177,INDEX(PMtbl[Category]&amp;PMtbl[INN]&amp;PMtbl[Specification],0,),0),3)),SETUP!$D$19:$D$62,0),4))="Upfront",0,INDEX(SETUP!$C$19:$G$62,MATCH((INDEX(PMtbl[[WKst]:[Unit of measure*]],MATCH($A177&amp;$E177&amp;$I177,INDEX(PMtbl[Category]&amp;PMtbl[INN]&amp;PMtbl[Specification],0,),0),3)),SETUP!$D$19:$D$62,0),5)),"")</f>
        <v/>
      </c>
    </row>
    <row r="178" spans="1:40" ht="15" hidden="1" customHeight="1">
      <c r="A178" s="2330"/>
      <c r="B178" s="2331"/>
      <c r="C178" s="2331"/>
      <c r="D178" s="2331"/>
      <c r="E178" s="2303"/>
      <c r="F178" s="2304"/>
      <c r="G178" s="2304"/>
      <c r="H178" s="2304"/>
      <c r="I178" s="2303"/>
      <c r="J178" s="2304"/>
      <c r="K178" s="2329"/>
      <c r="L178" s="1166" t="str">
        <f>IF($A178&lt;&gt;"",IFERROR(INDEX(PMtbl[[WKst]:[Unit of measure*]],MATCH($A$101&amp;$A178&amp;$E178&amp;$I178,INDEX(PMtbl[Sec]&amp;PMtbl[Category]&amp;PMtbl[INN]&amp;PMtbl[Specification],0,),0),8),""),"")</f>
        <v/>
      </c>
      <c r="M178" s="269" t="str">
        <f>IF(L178="", "",SETUP!$E$5)</f>
        <v/>
      </c>
      <c r="N178" s="772"/>
      <c r="O178" s="370"/>
      <c r="P178" s="370"/>
      <c r="Q178" s="370"/>
      <c r="R178" s="370"/>
      <c r="S178" s="11">
        <f t="shared" si="26"/>
        <v>0</v>
      </c>
      <c r="T178" s="781">
        <f t="shared" si="27"/>
        <v>0</v>
      </c>
      <c r="U178" s="772"/>
      <c r="V178" s="370"/>
      <c r="W178" s="370"/>
      <c r="X178" s="370"/>
      <c r="Y178" s="370"/>
      <c r="Z178" s="348">
        <f t="shared" si="28"/>
        <v>0</v>
      </c>
      <c r="AA178" s="771">
        <f t="shared" si="29"/>
        <v>0</v>
      </c>
      <c r="AB178" s="772"/>
      <c r="AC178" s="370"/>
      <c r="AD178" s="370"/>
      <c r="AE178" s="370"/>
      <c r="AF178" s="370"/>
      <c r="AG178" s="349">
        <f t="shared" si="30"/>
        <v>0</v>
      </c>
      <c r="AH178" s="761">
        <f t="shared" si="31"/>
        <v>0</v>
      </c>
      <c r="AI178" s="350">
        <f t="shared" si="32"/>
        <v>0</v>
      </c>
      <c r="AJ178" s="761">
        <f t="shared" si="33"/>
        <v>0</v>
      </c>
      <c r="AK178" s="368" t="str">
        <f>IF(A178&lt;&gt;"",IFERROR(INDEX(PMtbl[[WKst]:[Unit of measure*]],MATCH($A$101&amp;$A178&amp;$E178&amp;$I178,INDEX(PMtbl[Sec]&amp;PMtbl[Category]&amp;PMtbl[INN]&amp;PMtbl[Specification],0,),0),7),""),"")</f>
        <v/>
      </c>
      <c r="AL178" s="2052"/>
      <c r="AM178" s="361" t="str">
        <f>IFERROR(INDEX(SETUP!$C$19:$G$62,MATCH((INDEX(PMtbl[[WKst]:[Unit of measure*]],MATCH($A178&amp;$E178&amp;$I178,INDEX(PMtbl[Category]&amp;PMtbl[INN]&amp;PMtbl[Specification],0,),0),3)),SETUP!$D$19:$D$62,0),5),"")</f>
        <v/>
      </c>
      <c r="AN178" s="361" t="str">
        <f>IFERROR(IF((INDEX(SETUP!$C$19:$G$62,MATCH((INDEX(PMtbl[[WKst]:[Unit of measure*]],MATCH($A178&amp;$E178&amp;$I178,INDEX(PMtbl[Category]&amp;PMtbl[INN]&amp;PMtbl[Specification],0,),0),3)),SETUP!$D$19:$D$62,0),4))="Upfront",0,INDEX(SETUP!$C$19:$G$62,MATCH((INDEX(PMtbl[[WKst]:[Unit of measure*]],MATCH($A178&amp;$E178&amp;$I178,INDEX(PMtbl[Category]&amp;PMtbl[INN]&amp;PMtbl[Specification],0,),0),3)),SETUP!$D$19:$D$62,0),5)),"")</f>
        <v/>
      </c>
    </row>
    <row r="179" spans="1:40" ht="15" hidden="1" customHeight="1">
      <c r="A179" s="2336"/>
      <c r="B179" s="2337"/>
      <c r="C179" s="2337"/>
      <c r="D179" s="2337"/>
      <c r="E179" s="2301"/>
      <c r="F179" s="2302"/>
      <c r="G179" s="2302"/>
      <c r="H179" s="2302"/>
      <c r="I179" s="2301"/>
      <c r="J179" s="2302"/>
      <c r="K179" s="2307"/>
      <c r="L179" s="1165" t="str">
        <f>IF($A179&lt;&gt;"",IFERROR(INDEX(PMtbl[[WKst]:[Unit of measure*]],MATCH($A$101&amp;$A179&amp;$E179&amp;$I179,INDEX(PMtbl[Sec]&amp;PMtbl[Category]&amp;PMtbl[INN]&amp;PMtbl[Specification],0,),0),8),""),"")</f>
        <v/>
      </c>
      <c r="M179" s="270" t="str">
        <f>IF(L179="", "",SETUP!$E$5)</f>
        <v/>
      </c>
      <c r="N179" s="776"/>
      <c r="O179" s="372"/>
      <c r="P179" s="372"/>
      <c r="Q179" s="372"/>
      <c r="R179" s="372"/>
      <c r="S179" s="356">
        <f t="shared" si="26"/>
        <v>0</v>
      </c>
      <c r="T179" s="783">
        <f t="shared" si="27"/>
        <v>0</v>
      </c>
      <c r="U179" s="776"/>
      <c r="V179" s="372"/>
      <c r="W179" s="372"/>
      <c r="X179" s="372"/>
      <c r="Y179" s="372"/>
      <c r="Z179" s="357">
        <f t="shared" si="28"/>
        <v>0</v>
      </c>
      <c r="AA179" s="775">
        <f t="shared" si="29"/>
        <v>0</v>
      </c>
      <c r="AB179" s="776"/>
      <c r="AC179" s="372"/>
      <c r="AD179" s="372"/>
      <c r="AE179" s="372"/>
      <c r="AF179" s="372"/>
      <c r="AG179" s="358">
        <f t="shared" si="30"/>
        <v>0</v>
      </c>
      <c r="AH179" s="763">
        <f t="shared" si="31"/>
        <v>0</v>
      </c>
      <c r="AI179" s="359">
        <f t="shared" si="32"/>
        <v>0</v>
      </c>
      <c r="AJ179" s="763">
        <f t="shared" si="33"/>
        <v>0</v>
      </c>
      <c r="AK179" s="367" t="str">
        <f>IF(A179&lt;&gt;"",IFERROR(INDEX(PMtbl[[WKst]:[Unit of measure*]],MATCH($A$101&amp;$A179&amp;$E179&amp;$I179,INDEX(PMtbl[Sec]&amp;PMtbl[Category]&amp;PMtbl[INN]&amp;PMtbl[Specification],0,),0),7),""),"")</f>
        <v/>
      </c>
      <c r="AL179" s="2051"/>
      <c r="AM179" s="360" t="str">
        <f>IFERROR(INDEX(SETUP!$C$19:$G$62,MATCH((INDEX(PMtbl[[WKst]:[Unit of measure*]],MATCH($A179&amp;$E179&amp;$I179,INDEX(PMtbl[Category]&amp;PMtbl[INN]&amp;PMtbl[Specification],0,),0),3)),SETUP!$D$19:$D$62,0),5),"")</f>
        <v/>
      </c>
      <c r="AN179" s="360" t="str">
        <f>IFERROR(IF((INDEX(SETUP!$C$19:$G$62,MATCH((INDEX(PMtbl[[WKst]:[Unit of measure*]],MATCH($A179&amp;$E179&amp;$I179,INDEX(PMtbl[Category]&amp;PMtbl[INN]&amp;PMtbl[Specification],0,),0),3)),SETUP!$D$19:$D$62,0),4))="Upfront",0,INDEX(SETUP!$C$19:$G$62,MATCH((INDEX(PMtbl[[WKst]:[Unit of measure*]],MATCH($A179&amp;$E179&amp;$I179,INDEX(PMtbl[Category]&amp;PMtbl[INN]&amp;PMtbl[Specification],0,),0),3)),SETUP!$D$19:$D$62,0),5)),"")</f>
        <v/>
      </c>
    </row>
    <row r="180" spans="1:40" ht="15" hidden="1" customHeight="1">
      <c r="A180" s="2330"/>
      <c r="B180" s="2331"/>
      <c r="C180" s="2331"/>
      <c r="D180" s="2331"/>
      <c r="E180" s="2303"/>
      <c r="F180" s="2304"/>
      <c r="G180" s="2304"/>
      <c r="H180" s="2304"/>
      <c r="I180" s="2303"/>
      <c r="J180" s="2304"/>
      <c r="K180" s="2329"/>
      <c r="L180" s="1166" t="str">
        <f>IF($A180&lt;&gt;"",IFERROR(INDEX(PMtbl[[WKst]:[Unit of measure*]],MATCH($A$101&amp;$A180&amp;$E180&amp;$I180,INDEX(PMtbl[Sec]&amp;PMtbl[Category]&amp;PMtbl[INN]&amp;PMtbl[Specification],0,),0),8),""),"")</f>
        <v/>
      </c>
      <c r="M180" s="269" t="str">
        <f>IF(L180="", "",SETUP!$E$5)</f>
        <v/>
      </c>
      <c r="N180" s="772"/>
      <c r="O180" s="370"/>
      <c r="P180" s="370"/>
      <c r="Q180" s="370"/>
      <c r="R180" s="370"/>
      <c r="S180" s="11">
        <f t="shared" si="26"/>
        <v>0</v>
      </c>
      <c r="T180" s="781">
        <f t="shared" si="27"/>
        <v>0</v>
      </c>
      <c r="U180" s="772"/>
      <c r="V180" s="370"/>
      <c r="W180" s="370"/>
      <c r="X180" s="370"/>
      <c r="Y180" s="370"/>
      <c r="Z180" s="348">
        <f t="shared" si="28"/>
        <v>0</v>
      </c>
      <c r="AA180" s="771">
        <f t="shared" si="29"/>
        <v>0</v>
      </c>
      <c r="AB180" s="772"/>
      <c r="AC180" s="370"/>
      <c r="AD180" s="370"/>
      <c r="AE180" s="370"/>
      <c r="AF180" s="370"/>
      <c r="AG180" s="349">
        <f t="shared" si="30"/>
        <v>0</v>
      </c>
      <c r="AH180" s="761">
        <f t="shared" si="31"/>
        <v>0</v>
      </c>
      <c r="AI180" s="350">
        <f t="shared" si="32"/>
        <v>0</v>
      </c>
      <c r="AJ180" s="761">
        <f t="shared" si="33"/>
        <v>0</v>
      </c>
      <c r="AK180" s="368" t="str">
        <f>IF(A180&lt;&gt;"",IFERROR(INDEX(PMtbl[[WKst]:[Unit of measure*]],MATCH($A$101&amp;$A180&amp;$E180&amp;$I180,INDEX(PMtbl[Sec]&amp;PMtbl[Category]&amp;PMtbl[INN]&amp;PMtbl[Specification],0,),0),7),""),"")</f>
        <v/>
      </c>
      <c r="AL180" s="2052"/>
      <c r="AM180" s="361" t="str">
        <f>IFERROR(INDEX(SETUP!$C$19:$G$62,MATCH((INDEX(PMtbl[[WKst]:[Unit of measure*]],MATCH($A180&amp;$E180&amp;$I180,INDEX(PMtbl[Category]&amp;PMtbl[INN]&amp;PMtbl[Specification],0,),0),3)),SETUP!$D$19:$D$62,0),5),"")</f>
        <v/>
      </c>
      <c r="AN180" s="361" t="str">
        <f>IFERROR(IF((INDEX(SETUP!$C$19:$G$62,MATCH((INDEX(PMtbl[[WKst]:[Unit of measure*]],MATCH($A180&amp;$E180&amp;$I180,INDEX(PMtbl[Category]&amp;PMtbl[INN]&amp;PMtbl[Specification],0,),0),3)),SETUP!$D$19:$D$62,0),4))="Upfront",0,INDEX(SETUP!$C$19:$G$62,MATCH((INDEX(PMtbl[[WKst]:[Unit of measure*]],MATCH($A180&amp;$E180&amp;$I180,INDEX(PMtbl[Category]&amp;PMtbl[INN]&amp;PMtbl[Specification],0,),0),3)),SETUP!$D$19:$D$62,0),5)),"")</f>
        <v/>
      </c>
    </row>
    <row r="181" spans="1:40" ht="15" hidden="1" customHeight="1">
      <c r="A181" s="2336"/>
      <c r="B181" s="2337"/>
      <c r="C181" s="2337"/>
      <c r="D181" s="2337"/>
      <c r="E181" s="2301"/>
      <c r="F181" s="2302"/>
      <c r="G181" s="2302"/>
      <c r="H181" s="2302"/>
      <c r="I181" s="2301"/>
      <c r="J181" s="2302"/>
      <c r="K181" s="2307"/>
      <c r="L181" s="1165" t="str">
        <f>IF($A181&lt;&gt;"",IFERROR(INDEX(PMtbl[[WKst]:[Unit of measure*]],MATCH($A$101&amp;$A181&amp;$E181&amp;$I181,INDEX(PMtbl[Sec]&amp;PMtbl[Category]&amp;PMtbl[INN]&amp;PMtbl[Specification],0,),0),8),""),"")</f>
        <v/>
      </c>
      <c r="M181" s="270" t="str">
        <f>IF(L181="", "",SETUP!$E$5)</f>
        <v/>
      </c>
      <c r="N181" s="776"/>
      <c r="O181" s="372"/>
      <c r="P181" s="372"/>
      <c r="Q181" s="372"/>
      <c r="R181" s="372"/>
      <c r="S181" s="356">
        <f t="shared" si="26"/>
        <v>0</v>
      </c>
      <c r="T181" s="783">
        <f t="shared" si="27"/>
        <v>0</v>
      </c>
      <c r="U181" s="776"/>
      <c r="V181" s="372"/>
      <c r="W181" s="372"/>
      <c r="X181" s="372"/>
      <c r="Y181" s="372"/>
      <c r="Z181" s="357">
        <f t="shared" si="28"/>
        <v>0</v>
      </c>
      <c r="AA181" s="775">
        <f t="shared" si="29"/>
        <v>0</v>
      </c>
      <c r="AB181" s="776"/>
      <c r="AC181" s="372"/>
      <c r="AD181" s="372"/>
      <c r="AE181" s="372"/>
      <c r="AF181" s="372"/>
      <c r="AG181" s="358">
        <f t="shared" si="30"/>
        <v>0</v>
      </c>
      <c r="AH181" s="763">
        <f t="shared" si="31"/>
        <v>0</v>
      </c>
      <c r="AI181" s="359">
        <f t="shared" si="32"/>
        <v>0</v>
      </c>
      <c r="AJ181" s="763">
        <f t="shared" si="33"/>
        <v>0</v>
      </c>
      <c r="AK181" s="367" t="str">
        <f>IF(A181&lt;&gt;"",IFERROR(INDEX(PMtbl[[WKst]:[Unit of measure*]],MATCH($A$101&amp;$A181&amp;$E181&amp;$I181,INDEX(PMtbl[Sec]&amp;PMtbl[Category]&amp;PMtbl[INN]&amp;PMtbl[Specification],0,),0),7),""),"")</f>
        <v/>
      </c>
      <c r="AL181" s="2051"/>
      <c r="AM181" s="360" t="str">
        <f>IFERROR(INDEX(SETUP!$C$19:$G$62,MATCH((INDEX(PMtbl[[WKst]:[Unit of measure*]],MATCH($A181&amp;$E181&amp;$I181,INDEX(PMtbl[Category]&amp;PMtbl[INN]&amp;PMtbl[Specification],0,),0),3)),SETUP!$D$19:$D$62,0),5),"")</f>
        <v/>
      </c>
      <c r="AN181" s="360" t="str">
        <f>IFERROR(IF((INDEX(SETUP!$C$19:$G$62,MATCH((INDEX(PMtbl[[WKst]:[Unit of measure*]],MATCH($A181&amp;$E181&amp;$I181,INDEX(PMtbl[Category]&amp;PMtbl[INN]&amp;PMtbl[Specification],0,),0),3)),SETUP!$D$19:$D$62,0),4))="Upfront",0,INDEX(SETUP!$C$19:$G$62,MATCH((INDEX(PMtbl[[WKst]:[Unit of measure*]],MATCH($A181&amp;$E181&amp;$I181,INDEX(PMtbl[Category]&amp;PMtbl[INN]&amp;PMtbl[Specification],0,),0),3)),SETUP!$D$19:$D$62,0),5)),"")</f>
        <v/>
      </c>
    </row>
    <row r="182" spans="1:40" ht="15" hidden="1" customHeight="1">
      <c r="A182" s="2330"/>
      <c r="B182" s="2331"/>
      <c r="C182" s="2331"/>
      <c r="D182" s="2331"/>
      <c r="E182" s="2303"/>
      <c r="F182" s="2304"/>
      <c r="G182" s="2304"/>
      <c r="H182" s="2304"/>
      <c r="I182" s="2303"/>
      <c r="J182" s="2304"/>
      <c r="K182" s="2329"/>
      <c r="L182" s="1166" t="str">
        <f>IF($A182&lt;&gt;"",IFERROR(INDEX(PMtbl[[WKst]:[Unit of measure*]],MATCH($A$101&amp;$A182&amp;$E182&amp;$I182,INDEX(PMtbl[Sec]&amp;PMtbl[Category]&amp;PMtbl[INN]&amp;PMtbl[Specification],0,),0),8),""),"")</f>
        <v/>
      </c>
      <c r="M182" s="269" t="str">
        <f>IF(L182="", "",SETUP!$E$5)</f>
        <v/>
      </c>
      <c r="N182" s="772"/>
      <c r="O182" s="370"/>
      <c r="P182" s="370"/>
      <c r="Q182" s="370"/>
      <c r="R182" s="370"/>
      <c r="S182" s="11">
        <f t="shared" si="26"/>
        <v>0</v>
      </c>
      <c r="T182" s="781">
        <f t="shared" si="27"/>
        <v>0</v>
      </c>
      <c r="U182" s="772"/>
      <c r="V182" s="370"/>
      <c r="W182" s="370"/>
      <c r="X182" s="370"/>
      <c r="Y182" s="370"/>
      <c r="Z182" s="348">
        <f t="shared" si="28"/>
        <v>0</v>
      </c>
      <c r="AA182" s="771">
        <f t="shared" si="29"/>
        <v>0</v>
      </c>
      <c r="AB182" s="772"/>
      <c r="AC182" s="370"/>
      <c r="AD182" s="370"/>
      <c r="AE182" s="370"/>
      <c r="AF182" s="370"/>
      <c r="AG182" s="349">
        <f t="shared" si="30"/>
        <v>0</v>
      </c>
      <c r="AH182" s="761">
        <f t="shared" si="31"/>
        <v>0</v>
      </c>
      <c r="AI182" s="350">
        <f t="shared" si="32"/>
        <v>0</v>
      </c>
      <c r="AJ182" s="761">
        <f t="shared" si="33"/>
        <v>0</v>
      </c>
      <c r="AK182" s="368" t="str">
        <f>IF(A182&lt;&gt;"",IFERROR(INDEX(PMtbl[[WKst]:[Unit of measure*]],MATCH($A$101&amp;$A182&amp;$E182&amp;$I182,INDEX(PMtbl[Sec]&amp;PMtbl[Category]&amp;PMtbl[INN]&amp;PMtbl[Specification],0,),0),7),""),"")</f>
        <v/>
      </c>
      <c r="AL182" s="2052"/>
      <c r="AM182" s="361" t="str">
        <f>IFERROR(INDEX(SETUP!$C$19:$G$62,MATCH((INDEX(PMtbl[[WKst]:[Unit of measure*]],MATCH($A182&amp;$E182&amp;$I182,INDEX(PMtbl[Category]&amp;PMtbl[INN]&amp;PMtbl[Specification],0,),0),3)),SETUP!$D$19:$D$62,0),5),"")</f>
        <v/>
      </c>
      <c r="AN182" s="361" t="str">
        <f>IFERROR(IF((INDEX(SETUP!$C$19:$G$62,MATCH((INDEX(PMtbl[[WKst]:[Unit of measure*]],MATCH($A182&amp;$E182&amp;$I182,INDEX(PMtbl[Category]&amp;PMtbl[INN]&amp;PMtbl[Specification],0,),0),3)),SETUP!$D$19:$D$62,0),4))="Upfront",0,INDEX(SETUP!$C$19:$G$62,MATCH((INDEX(PMtbl[[WKst]:[Unit of measure*]],MATCH($A182&amp;$E182&amp;$I182,INDEX(PMtbl[Category]&amp;PMtbl[INN]&amp;PMtbl[Specification],0,),0),3)),SETUP!$D$19:$D$62,0),5)),"")</f>
        <v/>
      </c>
    </row>
    <row r="183" spans="1:40" ht="15" hidden="1" customHeight="1">
      <c r="A183" s="2336"/>
      <c r="B183" s="2337"/>
      <c r="C183" s="2337"/>
      <c r="D183" s="2337"/>
      <c r="E183" s="2301"/>
      <c r="F183" s="2302"/>
      <c r="G183" s="2302"/>
      <c r="H183" s="2302"/>
      <c r="I183" s="2301"/>
      <c r="J183" s="2302"/>
      <c r="K183" s="2307"/>
      <c r="L183" s="1165" t="str">
        <f>IF($A183&lt;&gt;"",IFERROR(INDEX(PMtbl[[WKst]:[Unit of measure*]],MATCH($A$101&amp;$A183&amp;$E183&amp;$I183,INDEX(PMtbl[Sec]&amp;PMtbl[Category]&amp;PMtbl[INN]&amp;PMtbl[Specification],0,),0),8),""),"")</f>
        <v/>
      </c>
      <c r="M183" s="270" t="str">
        <f>IF(L183="", "",SETUP!$E$5)</f>
        <v/>
      </c>
      <c r="N183" s="776"/>
      <c r="O183" s="372"/>
      <c r="P183" s="372"/>
      <c r="Q183" s="372"/>
      <c r="R183" s="372"/>
      <c r="S183" s="356">
        <f t="shared" si="26"/>
        <v>0</v>
      </c>
      <c r="T183" s="783">
        <f t="shared" si="27"/>
        <v>0</v>
      </c>
      <c r="U183" s="776"/>
      <c r="V183" s="372"/>
      <c r="W183" s="372"/>
      <c r="X183" s="372"/>
      <c r="Y183" s="372"/>
      <c r="Z183" s="357">
        <f t="shared" si="28"/>
        <v>0</v>
      </c>
      <c r="AA183" s="775">
        <f t="shared" si="29"/>
        <v>0</v>
      </c>
      <c r="AB183" s="776"/>
      <c r="AC183" s="372"/>
      <c r="AD183" s="372"/>
      <c r="AE183" s="372"/>
      <c r="AF183" s="372"/>
      <c r="AG183" s="358">
        <f t="shared" si="30"/>
        <v>0</v>
      </c>
      <c r="AH183" s="763">
        <f t="shared" si="31"/>
        <v>0</v>
      </c>
      <c r="AI183" s="359">
        <f t="shared" si="32"/>
        <v>0</v>
      </c>
      <c r="AJ183" s="763">
        <f t="shared" si="33"/>
        <v>0</v>
      </c>
      <c r="AK183" s="367" t="str">
        <f>IF(A183&lt;&gt;"",IFERROR(INDEX(PMtbl[[WKst]:[Unit of measure*]],MATCH($A$101&amp;$A183&amp;$E183&amp;$I183,INDEX(PMtbl[Sec]&amp;PMtbl[Category]&amp;PMtbl[INN]&amp;PMtbl[Specification],0,),0),7),""),"")</f>
        <v/>
      </c>
      <c r="AL183" s="2051"/>
      <c r="AM183" s="360" t="str">
        <f>IFERROR(INDEX(SETUP!$C$19:$G$62,MATCH((INDEX(PMtbl[[WKst]:[Unit of measure*]],MATCH($A183&amp;$E183&amp;$I183,INDEX(PMtbl[Category]&amp;PMtbl[INN]&amp;PMtbl[Specification],0,),0),3)),SETUP!$D$19:$D$62,0),5),"")</f>
        <v/>
      </c>
      <c r="AN183" s="360" t="str">
        <f>IFERROR(IF((INDEX(SETUP!$C$19:$G$62,MATCH((INDEX(PMtbl[[WKst]:[Unit of measure*]],MATCH($A183&amp;$E183&amp;$I183,INDEX(PMtbl[Category]&amp;PMtbl[INN]&amp;PMtbl[Specification],0,),0),3)),SETUP!$D$19:$D$62,0),4))="Upfront",0,INDEX(SETUP!$C$19:$G$62,MATCH((INDEX(PMtbl[[WKst]:[Unit of measure*]],MATCH($A183&amp;$E183&amp;$I183,INDEX(PMtbl[Category]&amp;PMtbl[INN]&amp;PMtbl[Specification],0,),0),3)),SETUP!$D$19:$D$62,0),5)),"")</f>
        <v/>
      </c>
    </row>
    <row r="184" spans="1:40" ht="15" hidden="1" customHeight="1">
      <c r="A184" s="2330"/>
      <c r="B184" s="2331"/>
      <c r="C184" s="2331"/>
      <c r="D184" s="2331"/>
      <c r="E184" s="2303"/>
      <c r="F184" s="2304"/>
      <c r="G184" s="2304"/>
      <c r="H184" s="2304"/>
      <c r="I184" s="2303"/>
      <c r="J184" s="2304"/>
      <c r="K184" s="2329"/>
      <c r="L184" s="1166" t="str">
        <f>IF($A184&lt;&gt;"",IFERROR(INDEX(PMtbl[[WKst]:[Unit of measure*]],MATCH($A$101&amp;$A184&amp;$E184&amp;$I184,INDEX(PMtbl[Sec]&amp;PMtbl[Category]&amp;PMtbl[INN]&amp;PMtbl[Specification],0,),0),8),""),"")</f>
        <v/>
      </c>
      <c r="M184" s="269" t="str">
        <f>IF(L184="", "",SETUP!$E$5)</f>
        <v/>
      </c>
      <c r="N184" s="772"/>
      <c r="O184" s="370"/>
      <c r="P184" s="370"/>
      <c r="Q184" s="370"/>
      <c r="R184" s="370"/>
      <c r="S184" s="11">
        <f t="shared" si="26"/>
        <v>0</v>
      </c>
      <c r="T184" s="781">
        <f t="shared" si="27"/>
        <v>0</v>
      </c>
      <c r="U184" s="772"/>
      <c r="V184" s="370"/>
      <c r="W184" s="370"/>
      <c r="X184" s="370"/>
      <c r="Y184" s="370"/>
      <c r="Z184" s="348">
        <f t="shared" si="28"/>
        <v>0</v>
      </c>
      <c r="AA184" s="771">
        <f t="shared" si="29"/>
        <v>0</v>
      </c>
      <c r="AB184" s="772"/>
      <c r="AC184" s="370"/>
      <c r="AD184" s="370"/>
      <c r="AE184" s="370"/>
      <c r="AF184" s="370"/>
      <c r="AG184" s="349">
        <f t="shared" si="30"/>
        <v>0</v>
      </c>
      <c r="AH184" s="761">
        <f t="shared" si="31"/>
        <v>0</v>
      </c>
      <c r="AI184" s="350">
        <f t="shared" si="32"/>
        <v>0</v>
      </c>
      <c r="AJ184" s="761">
        <f t="shared" si="33"/>
        <v>0</v>
      </c>
      <c r="AK184" s="368" t="str">
        <f>IF(A184&lt;&gt;"",IFERROR(INDEX(PMtbl[[WKst]:[Unit of measure*]],MATCH($A$101&amp;$A184&amp;$E184&amp;$I184,INDEX(PMtbl[Sec]&amp;PMtbl[Category]&amp;PMtbl[INN]&amp;PMtbl[Specification],0,),0),7),""),"")</f>
        <v/>
      </c>
      <c r="AL184" s="2052"/>
      <c r="AM184" s="361" t="str">
        <f>IFERROR(INDEX(SETUP!$C$19:$G$62,MATCH((INDEX(PMtbl[[WKst]:[Unit of measure*]],MATCH($A184&amp;$E184&amp;$I184,INDEX(PMtbl[Category]&amp;PMtbl[INN]&amp;PMtbl[Specification],0,),0),3)),SETUP!$D$19:$D$62,0),5),"")</f>
        <v/>
      </c>
      <c r="AN184" s="361" t="str">
        <f>IFERROR(IF((INDEX(SETUP!$C$19:$G$62,MATCH((INDEX(PMtbl[[WKst]:[Unit of measure*]],MATCH($A184&amp;$E184&amp;$I184,INDEX(PMtbl[Category]&amp;PMtbl[INN]&amp;PMtbl[Specification],0,),0),3)),SETUP!$D$19:$D$62,0),4))="Upfront",0,INDEX(SETUP!$C$19:$G$62,MATCH((INDEX(PMtbl[[WKst]:[Unit of measure*]],MATCH($A184&amp;$E184&amp;$I184,INDEX(PMtbl[Category]&amp;PMtbl[INN]&amp;PMtbl[Specification],0,),0),3)),SETUP!$D$19:$D$62,0),5)),"")</f>
        <v/>
      </c>
    </row>
    <row r="185" spans="1:40" ht="15" hidden="1" customHeight="1">
      <c r="A185" s="2336"/>
      <c r="B185" s="2337"/>
      <c r="C185" s="2337"/>
      <c r="D185" s="2337"/>
      <c r="E185" s="2301"/>
      <c r="F185" s="2302"/>
      <c r="G185" s="2302"/>
      <c r="H185" s="2302"/>
      <c r="I185" s="2301"/>
      <c r="J185" s="2302"/>
      <c r="K185" s="2307"/>
      <c r="L185" s="1165" t="str">
        <f>IF($A185&lt;&gt;"",IFERROR(INDEX(PMtbl[[WKst]:[Unit of measure*]],MATCH($A$101&amp;$A185&amp;$E185&amp;$I185,INDEX(PMtbl[Sec]&amp;PMtbl[Category]&amp;PMtbl[INN]&amp;PMtbl[Specification],0,),0),8),""),"")</f>
        <v/>
      </c>
      <c r="M185" s="270" t="str">
        <f>IF(L185="", "",SETUP!$E$5)</f>
        <v/>
      </c>
      <c r="N185" s="776"/>
      <c r="O185" s="372"/>
      <c r="P185" s="372"/>
      <c r="Q185" s="372"/>
      <c r="R185" s="372"/>
      <c r="S185" s="356">
        <f t="shared" si="26"/>
        <v>0</v>
      </c>
      <c r="T185" s="783">
        <f t="shared" si="27"/>
        <v>0</v>
      </c>
      <c r="U185" s="776"/>
      <c r="V185" s="372"/>
      <c r="W185" s="372"/>
      <c r="X185" s="372"/>
      <c r="Y185" s="372"/>
      <c r="Z185" s="357">
        <f t="shared" si="28"/>
        <v>0</v>
      </c>
      <c r="AA185" s="775">
        <f t="shared" si="29"/>
        <v>0</v>
      </c>
      <c r="AB185" s="776"/>
      <c r="AC185" s="372"/>
      <c r="AD185" s="372"/>
      <c r="AE185" s="372"/>
      <c r="AF185" s="372"/>
      <c r="AG185" s="358">
        <f t="shared" si="30"/>
        <v>0</v>
      </c>
      <c r="AH185" s="763">
        <f t="shared" si="31"/>
        <v>0</v>
      </c>
      <c r="AI185" s="359">
        <f t="shared" si="32"/>
        <v>0</v>
      </c>
      <c r="AJ185" s="763">
        <f t="shared" si="33"/>
        <v>0</v>
      </c>
      <c r="AK185" s="367" t="str">
        <f>IF(A185&lt;&gt;"",IFERROR(INDEX(PMtbl[[WKst]:[Unit of measure*]],MATCH($A$101&amp;$A185&amp;$E185&amp;$I185,INDEX(PMtbl[Sec]&amp;PMtbl[Category]&amp;PMtbl[INN]&amp;PMtbl[Specification],0,),0),7),""),"")</f>
        <v/>
      </c>
      <c r="AL185" s="2051"/>
      <c r="AM185" s="360" t="str">
        <f>IFERROR(INDEX(SETUP!$C$19:$G$62,MATCH((INDEX(PMtbl[[WKst]:[Unit of measure*]],MATCH($A185&amp;$E185&amp;$I185,INDEX(PMtbl[Category]&amp;PMtbl[INN]&amp;PMtbl[Specification],0,),0),3)),SETUP!$D$19:$D$62,0),5),"")</f>
        <v/>
      </c>
      <c r="AN185" s="360" t="str">
        <f>IFERROR(IF((INDEX(SETUP!$C$19:$G$62,MATCH((INDEX(PMtbl[[WKst]:[Unit of measure*]],MATCH($A185&amp;$E185&amp;$I185,INDEX(PMtbl[Category]&amp;PMtbl[INN]&amp;PMtbl[Specification],0,),0),3)),SETUP!$D$19:$D$62,0),4))="Upfront",0,INDEX(SETUP!$C$19:$G$62,MATCH((INDEX(PMtbl[[WKst]:[Unit of measure*]],MATCH($A185&amp;$E185&amp;$I185,INDEX(PMtbl[Category]&amp;PMtbl[INN]&amp;PMtbl[Specification],0,),0),3)),SETUP!$D$19:$D$62,0),5)),"")</f>
        <v/>
      </c>
    </row>
    <row r="186" spans="1:40" ht="15" hidden="1" customHeight="1">
      <c r="A186" s="2330"/>
      <c r="B186" s="2331"/>
      <c r="C186" s="2331"/>
      <c r="D186" s="2331"/>
      <c r="E186" s="2303"/>
      <c r="F186" s="2304"/>
      <c r="G186" s="2304"/>
      <c r="H186" s="2304"/>
      <c r="I186" s="2303"/>
      <c r="J186" s="2304"/>
      <c r="K186" s="2329"/>
      <c r="L186" s="1166" t="str">
        <f>IF($A186&lt;&gt;"",IFERROR(INDEX(PMtbl[[WKst]:[Unit of measure*]],MATCH($A$101&amp;$A186&amp;$E186&amp;$I186,INDEX(PMtbl[Sec]&amp;PMtbl[Category]&amp;PMtbl[INN]&amp;PMtbl[Specification],0,),0),8),""),"")</f>
        <v/>
      </c>
      <c r="M186" s="269" t="str">
        <f>IF(L186="", "",SETUP!$E$5)</f>
        <v/>
      </c>
      <c r="N186" s="772"/>
      <c r="O186" s="370"/>
      <c r="P186" s="370"/>
      <c r="Q186" s="370"/>
      <c r="R186" s="370"/>
      <c r="S186" s="11">
        <f t="shared" si="26"/>
        <v>0</v>
      </c>
      <c r="T186" s="781">
        <f t="shared" si="27"/>
        <v>0</v>
      </c>
      <c r="U186" s="772"/>
      <c r="V186" s="370"/>
      <c r="W186" s="370"/>
      <c r="X186" s="370"/>
      <c r="Y186" s="370"/>
      <c r="Z186" s="348">
        <f t="shared" si="28"/>
        <v>0</v>
      </c>
      <c r="AA186" s="771">
        <f t="shared" si="29"/>
        <v>0</v>
      </c>
      <c r="AB186" s="772"/>
      <c r="AC186" s="370"/>
      <c r="AD186" s="370"/>
      <c r="AE186" s="370"/>
      <c r="AF186" s="370"/>
      <c r="AG186" s="349">
        <f t="shared" si="30"/>
        <v>0</v>
      </c>
      <c r="AH186" s="761">
        <f t="shared" si="31"/>
        <v>0</v>
      </c>
      <c r="AI186" s="350">
        <f t="shared" si="32"/>
        <v>0</v>
      </c>
      <c r="AJ186" s="761">
        <f t="shared" si="33"/>
        <v>0</v>
      </c>
      <c r="AK186" s="368" t="str">
        <f>IF(A186&lt;&gt;"",IFERROR(INDEX(PMtbl[[WKst]:[Unit of measure*]],MATCH($A$101&amp;$A186&amp;$E186&amp;$I186,INDEX(PMtbl[Sec]&amp;PMtbl[Category]&amp;PMtbl[INN]&amp;PMtbl[Specification],0,),0),7),""),"")</f>
        <v/>
      </c>
      <c r="AL186" s="2052"/>
      <c r="AM186" s="361" t="str">
        <f>IFERROR(INDEX(SETUP!$C$19:$G$62,MATCH((INDEX(PMtbl[[WKst]:[Unit of measure*]],MATCH($A186&amp;$E186&amp;$I186,INDEX(PMtbl[Category]&amp;PMtbl[INN]&amp;PMtbl[Specification],0,),0),3)),SETUP!$D$19:$D$62,0),5),"")</f>
        <v/>
      </c>
      <c r="AN186" s="361" t="str">
        <f>IFERROR(IF((INDEX(SETUP!$C$19:$G$62,MATCH((INDEX(PMtbl[[WKst]:[Unit of measure*]],MATCH($A186&amp;$E186&amp;$I186,INDEX(PMtbl[Category]&amp;PMtbl[INN]&amp;PMtbl[Specification],0,),0),3)),SETUP!$D$19:$D$62,0),4))="Upfront",0,INDEX(SETUP!$C$19:$G$62,MATCH((INDEX(PMtbl[[WKst]:[Unit of measure*]],MATCH($A186&amp;$E186&amp;$I186,INDEX(PMtbl[Category]&amp;PMtbl[INN]&amp;PMtbl[Specification],0,),0),3)),SETUP!$D$19:$D$62,0),5)),"")</f>
        <v/>
      </c>
    </row>
    <row r="187" spans="1:40" ht="15" hidden="1" customHeight="1">
      <c r="A187" s="2336"/>
      <c r="B187" s="2337"/>
      <c r="C187" s="2337"/>
      <c r="D187" s="2337"/>
      <c r="E187" s="2301"/>
      <c r="F187" s="2302"/>
      <c r="G187" s="2302"/>
      <c r="H187" s="2302"/>
      <c r="I187" s="2301"/>
      <c r="J187" s="2302"/>
      <c r="K187" s="2307"/>
      <c r="L187" s="1165" t="str">
        <f>IF($A187&lt;&gt;"",IFERROR(INDEX(PMtbl[[WKst]:[Unit of measure*]],MATCH($A$101&amp;$A187&amp;$E187&amp;$I187,INDEX(PMtbl[Sec]&amp;PMtbl[Category]&amp;PMtbl[INN]&amp;PMtbl[Specification],0,),0),8),""),"")</f>
        <v/>
      </c>
      <c r="M187" s="270" t="str">
        <f>IF(L187="", "",SETUP!$E$5)</f>
        <v/>
      </c>
      <c r="N187" s="776"/>
      <c r="O187" s="372"/>
      <c r="P187" s="372"/>
      <c r="Q187" s="372"/>
      <c r="R187" s="372"/>
      <c r="S187" s="356">
        <f t="shared" si="26"/>
        <v>0</v>
      </c>
      <c r="T187" s="783">
        <f t="shared" si="27"/>
        <v>0</v>
      </c>
      <c r="U187" s="776"/>
      <c r="V187" s="372"/>
      <c r="W187" s="372"/>
      <c r="X187" s="372"/>
      <c r="Y187" s="372"/>
      <c r="Z187" s="357">
        <f t="shared" si="28"/>
        <v>0</v>
      </c>
      <c r="AA187" s="775">
        <f t="shared" si="29"/>
        <v>0</v>
      </c>
      <c r="AB187" s="776"/>
      <c r="AC187" s="372"/>
      <c r="AD187" s="372"/>
      <c r="AE187" s="372"/>
      <c r="AF187" s="372"/>
      <c r="AG187" s="358">
        <f t="shared" si="30"/>
        <v>0</v>
      </c>
      <c r="AH187" s="763">
        <f t="shared" si="31"/>
        <v>0</v>
      </c>
      <c r="AI187" s="359">
        <f t="shared" si="32"/>
        <v>0</v>
      </c>
      <c r="AJ187" s="763">
        <f t="shared" si="33"/>
        <v>0</v>
      </c>
      <c r="AK187" s="367" t="str">
        <f>IF(A187&lt;&gt;"",IFERROR(INDEX(PMtbl[[WKst]:[Unit of measure*]],MATCH($A$101&amp;$A187&amp;$E187&amp;$I187,INDEX(PMtbl[Sec]&amp;PMtbl[Category]&amp;PMtbl[INN]&amp;PMtbl[Specification],0,),0),7),""),"")</f>
        <v/>
      </c>
      <c r="AL187" s="2051"/>
      <c r="AM187" s="360" t="str">
        <f>IFERROR(INDEX(SETUP!$C$19:$G$62,MATCH((INDEX(PMtbl[[WKst]:[Unit of measure*]],MATCH($A187&amp;$E187&amp;$I187,INDEX(PMtbl[Category]&amp;PMtbl[INN]&amp;PMtbl[Specification],0,),0),3)),SETUP!$D$19:$D$62,0),5),"")</f>
        <v/>
      </c>
      <c r="AN187" s="360" t="str">
        <f>IFERROR(IF((INDEX(SETUP!$C$19:$G$62,MATCH((INDEX(PMtbl[[WKst]:[Unit of measure*]],MATCH($A187&amp;$E187&amp;$I187,INDEX(PMtbl[Category]&amp;PMtbl[INN]&amp;PMtbl[Specification],0,),0),3)),SETUP!$D$19:$D$62,0),4))="Upfront",0,INDEX(SETUP!$C$19:$G$62,MATCH((INDEX(PMtbl[[WKst]:[Unit of measure*]],MATCH($A187&amp;$E187&amp;$I187,INDEX(PMtbl[Category]&amp;PMtbl[INN]&amp;PMtbl[Specification],0,),0),3)),SETUP!$D$19:$D$62,0),5)),"")</f>
        <v/>
      </c>
    </row>
    <row r="188" spans="1:40" ht="15" hidden="1" customHeight="1">
      <c r="A188" s="2330"/>
      <c r="B188" s="2331"/>
      <c r="C188" s="2331"/>
      <c r="D188" s="2331"/>
      <c r="E188" s="2303"/>
      <c r="F188" s="2304"/>
      <c r="G188" s="2304"/>
      <c r="H188" s="2304"/>
      <c r="I188" s="2303"/>
      <c r="J188" s="2304"/>
      <c r="K188" s="2329"/>
      <c r="L188" s="1166" t="str">
        <f>IF($A188&lt;&gt;"",IFERROR(INDEX(PMtbl[[WKst]:[Unit of measure*]],MATCH($A$101&amp;$A188&amp;$E188&amp;$I188,INDEX(PMtbl[Sec]&amp;PMtbl[Category]&amp;PMtbl[INN]&amp;PMtbl[Specification],0,),0),8),""),"")</f>
        <v/>
      </c>
      <c r="M188" s="269" t="str">
        <f>IF(L188="", "",SETUP!$E$5)</f>
        <v/>
      </c>
      <c r="N188" s="772"/>
      <c r="O188" s="370"/>
      <c r="P188" s="370"/>
      <c r="Q188" s="370"/>
      <c r="R188" s="370"/>
      <c r="S188" s="11">
        <f t="shared" si="26"/>
        <v>0</v>
      </c>
      <c r="T188" s="781">
        <f t="shared" si="27"/>
        <v>0</v>
      </c>
      <c r="U188" s="772"/>
      <c r="V188" s="370"/>
      <c r="W188" s="370"/>
      <c r="X188" s="370"/>
      <c r="Y188" s="370"/>
      <c r="Z188" s="348">
        <f t="shared" si="28"/>
        <v>0</v>
      </c>
      <c r="AA188" s="771">
        <f t="shared" si="29"/>
        <v>0</v>
      </c>
      <c r="AB188" s="772"/>
      <c r="AC188" s="370"/>
      <c r="AD188" s="370"/>
      <c r="AE188" s="370"/>
      <c r="AF188" s="370"/>
      <c r="AG188" s="349">
        <f t="shared" si="30"/>
        <v>0</v>
      </c>
      <c r="AH188" s="761">
        <f t="shared" si="31"/>
        <v>0</v>
      </c>
      <c r="AI188" s="350">
        <f t="shared" si="32"/>
        <v>0</v>
      </c>
      <c r="AJ188" s="761">
        <f t="shared" si="33"/>
        <v>0</v>
      </c>
      <c r="AK188" s="368" t="str">
        <f>IF(A188&lt;&gt;"",IFERROR(INDEX(PMtbl[[WKst]:[Unit of measure*]],MATCH($A$101&amp;$A188&amp;$E188&amp;$I188,INDEX(PMtbl[Sec]&amp;PMtbl[Category]&amp;PMtbl[INN]&amp;PMtbl[Specification],0,),0),7),""),"")</f>
        <v/>
      </c>
      <c r="AL188" s="2052"/>
      <c r="AM188" s="361" t="str">
        <f>IFERROR(INDEX(SETUP!$C$19:$G$62,MATCH((INDEX(PMtbl[[WKst]:[Unit of measure*]],MATCH($A188&amp;$E188&amp;$I188,INDEX(PMtbl[Category]&amp;PMtbl[INN]&amp;PMtbl[Specification],0,),0),3)),SETUP!$D$19:$D$62,0),5),"")</f>
        <v/>
      </c>
      <c r="AN188" s="361" t="str">
        <f>IFERROR(IF((INDEX(SETUP!$C$19:$G$62,MATCH((INDEX(PMtbl[[WKst]:[Unit of measure*]],MATCH($A188&amp;$E188&amp;$I188,INDEX(PMtbl[Category]&amp;PMtbl[INN]&amp;PMtbl[Specification],0,),0),3)),SETUP!$D$19:$D$62,0),4))="Upfront",0,INDEX(SETUP!$C$19:$G$62,MATCH((INDEX(PMtbl[[WKst]:[Unit of measure*]],MATCH($A188&amp;$E188&amp;$I188,INDEX(PMtbl[Category]&amp;PMtbl[INN]&amp;PMtbl[Specification],0,),0),3)),SETUP!$D$19:$D$62,0),5)),"")</f>
        <v/>
      </c>
    </row>
    <row r="189" spans="1:40" ht="15" hidden="1" customHeight="1">
      <c r="A189" s="2336"/>
      <c r="B189" s="2337"/>
      <c r="C189" s="2337"/>
      <c r="D189" s="2337"/>
      <c r="E189" s="2301"/>
      <c r="F189" s="2302"/>
      <c r="G189" s="2302"/>
      <c r="H189" s="2302"/>
      <c r="I189" s="2301"/>
      <c r="J189" s="2302"/>
      <c r="K189" s="2307"/>
      <c r="L189" s="1165" t="str">
        <f>IF($A189&lt;&gt;"",IFERROR(INDEX(PMtbl[[WKst]:[Unit of measure*]],MATCH($A$101&amp;$A189&amp;$E189&amp;$I189,INDEX(PMtbl[Sec]&amp;PMtbl[Category]&amp;PMtbl[INN]&amp;PMtbl[Specification],0,),0),8),""),"")</f>
        <v/>
      </c>
      <c r="M189" s="270" t="str">
        <f>IF(L189="", "",SETUP!$E$5)</f>
        <v/>
      </c>
      <c r="N189" s="774"/>
      <c r="O189" s="372"/>
      <c r="P189" s="372"/>
      <c r="Q189" s="372"/>
      <c r="R189" s="372"/>
      <c r="S189" s="356">
        <f t="shared" si="26"/>
        <v>0</v>
      </c>
      <c r="T189" s="783">
        <f t="shared" si="27"/>
        <v>0</v>
      </c>
      <c r="U189" s="774"/>
      <c r="V189" s="372"/>
      <c r="W189" s="372"/>
      <c r="X189" s="372"/>
      <c r="Y189" s="372"/>
      <c r="Z189" s="357">
        <f t="shared" si="28"/>
        <v>0</v>
      </c>
      <c r="AA189" s="775">
        <f t="shared" si="29"/>
        <v>0</v>
      </c>
      <c r="AB189" s="774"/>
      <c r="AC189" s="372"/>
      <c r="AD189" s="372"/>
      <c r="AE189" s="372"/>
      <c r="AF189" s="372"/>
      <c r="AG189" s="358">
        <f t="shared" si="30"/>
        <v>0</v>
      </c>
      <c r="AH189" s="763">
        <f t="shared" si="31"/>
        <v>0</v>
      </c>
      <c r="AI189" s="359">
        <f t="shared" si="32"/>
        <v>0</v>
      </c>
      <c r="AJ189" s="763">
        <f t="shared" si="33"/>
        <v>0</v>
      </c>
      <c r="AK189" s="367" t="str">
        <f>IF(A189&lt;&gt;"",IFERROR(INDEX(PMtbl[[WKst]:[Unit of measure*]],MATCH($A$101&amp;$A189&amp;$E189&amp;$I189,INDEX(PMtbl[Sec]&amp;PMtbl[Category]&amp;PMtbl[INN]&amp;PMtbl[Specification],0,),0),7),""),"")</f>
        <v/>
      </c>
      <c r="AL189" s="2051"/>
      <c r="AM189" s="360" t="str">
        <f>IFERROR(INDEX(SETUP!$C$19:$G$62,MATCH((INDEX(PMtbl[[WKst]:[Unit of measure*]],MATCH($A189&amp;$E189&amp;$I189,INDEX(PMtbl[Category]&amp;PMtbl[INN]&amp;PMtbl[Specification],0,),0),3)),SETUP!$D$19:$D$62,0),5),"")</f>
        <v/>
      </c>
      <c r="AN189" s="360" t="str">
        <f>IFERROR(IF((INDEX(SETUP!$C$19:$G$62,MATCH((INDEX(PMtbl[[WKst]:[Unit of measure*]],MATCH($A189&amp;$E189&amp;$I189,INDEX(PMtbl[Category]&amp;PMtbl[INN]&amp;PMtbl[Specification],0,),0),3)),SETUP!$D$19:$D$62,0),4))="Upfront",0,INDEX(SETUP!$C$19:$G$62,MATCH((INDEX(PMtbl[[WKst]:[Unit of measure*]],MATCH($A189&amp;$E189&amp;$I189,INDEX(PMtbl[Category]&amp;PMtbl[INN]&amp;PMtbl[Specification],0,),0),3)),SETUP!$D$19:$D$62,0),5)),"")</f>
        <v/>
      </c>
    </row>
    <row r="190" spans="1:40" ht="15" hidden="1" customHeight="1">
      <c r="A190" s="2330"/>
      <c r="B190" s="2331"/>
      <c r="C190" s="2331"/>
      <c r="D190" s="2331"/>
      <c r="E190" s="2303"/>
      <c r="F190" s="2304"/>
      <c r="G190" s="2304"/>
      <c r="H190" s="2304"/>
      <c r="I190" s="2303"/>
      <c r="J190" s="2304"/>
      <c r="K190" s="2329"/>
      <c r="L190" s="1166" t="str">
        <f>IF($A190&lt;&gt;"",IFERROR(INDEX(PMtbl[[WKst]:[Unit of measure*]],MATCH($A$101&amp;$A190&amp;$E190&amp;$I190,INDEX(PMtbl[Sec]&amp;PMtbl[Category]&amp;PMtbl[INN]&amp;PMtbl[Specification],0,),0),8),""),"")</f>
        <v/>
      </c>
      <c r="M190" s="269" t="str">
        <f>IF(L190="", "",SETUP!$E$5)</f>
        <v/>
      </c>
      <c r="N190" s="772"/>
      <c r="O190" s="370"/>
      <c r="P190" s="370"/>
      <c r="Q190" s="370"/>
      <c r="R190" s="370"/>
      <c r="S190" s="11">
        <f t="shared" si="26"/>
        <v>0</v>
      </c>
      <c r="T190" s="781">
        <f t="shared" si="27"/>
        <v>0</v>
      </c>
      <c r="U190" s="772"/>
      <c r="V190" s="370"/>
      <c r="W190" s="370"/>
      <c r="X190" s="370"/>
      <c r="Y190" s="370"/>
      <c r="Z190" s="348">
        <f t="shared" si="28"/>
        <v>0</v>
      </c>
      <c r="AA190" s="771">
        <f t="shared" si="29"/>
        <v>0</v>
      </c>
      <c r="AB190" s="772"/>
      <c r="AC190" s="370"/>
      <c r="AD190" s="370"/>
      <c r="AE190" s="370"/>
      <c r="AF190" s="370"/>
      <c r="AG190" s="349">
        <f t="shared" si="30"/>
        <v>0</v>
      </c>
      <c r="AH190" s="761">
        <f t="shared" si="31"/>
        <v>0</v>
      </c>
      <c r="AI190" s="350">
        <f t="shared" si="32"/>
        <v>0</v>
      </c>
      <c r="AJ190" s="761">
        <f t="shared" si="33"/>
        <v>0</v>
      </c>
      <c r="AK190" s="368" t="str">
        <f>IF(A190&lt;&gt;"",IFERROR(INDEX(PMtbl[[WKst]:[Unit of measure*]],MATCH($A$101&amp;$A190&amp;$E190&amp;$I190,INDEX(PMtbl[Sec]&amp;PMtbl[Category]&amp;PMtbl[INN]&amp;PMtbl[Specification],0,),0),7),""),"")</f>
        <v/>
      </c>
      <c r="AL190" s="2052"/>
      <c r="AM190" s="361" t="str">
        <f>IFERROR(INDEX(SETUP!$C$19:$G$62,MATCH((INDEX(PMtbl[[WKst]:[Unit of measure*]],MATCH($A190&amp;$E190&amp;$I190,INDEX(PMtbl[Category]&amp;PMtbl[INN]&amp;PMtbl[Specification],0,),0),3)),SETUP!$D$19:$D$62,0),5),"")</f>
        <v/>
      </c>
      <c r="AN190" s="361" t="str">
        <f>IFERROR(IF((INDEX(SETUP!$C$19:$G$62,MATCH((INDEX(PMtbl[[WKst]:[Unit of measure*]],MATCH($A190&amp;$E190&amp;$I190,INDEX(PMtbl[Category]&amp;PMtbl[INN]&amp;PMtbl[Specification],0,),0),3)),SETUP!$D$19:$D$62,0),4))="Upfront",0,INDEX(SETUP!$C$19:$G$62,MATCH((INDEX(PMtbl[[WKst]:[Unit of measure*]],MATCH($A190&amp;$E190&amp;$I190,INDEX(PMtbl[Category]&amp;PMtbl[INN]&amp;PMtbl[Specification],0,),0),3)),SETUP!$D$19:$D$62,0),5)),"")</f>
        <v/>
      </c>
    </row>
    <row r="191" spans="1:40" ht="15" hidden="1" customHeight="1">
      <c r="A191" s="2336"/>
      <c r="B191" s="2337"/>
      <c r="C191" s="2337"/>
      <c r="D191" s="2337"/>
      <c r="E191" s="2301"/>
      <c r="F191" s="2302"/>
      <c r="G191" s="2302"/>
      <c r="H191" s="2302"/>
      <c r="I191" s="2301"/>
      <c r="J191" s="2302"/>
      <c r="K191" s="2307"/>
      <c r="L191" s="1165" t="str">
        <f>IF($A191&lt;&gt;"",IFERROR(INDEX(PMtbl[[WKst]:[Unit of measure*]],MATCH($A$101&amp;$A191&amp;$E191&amp;$I191,INDEX(PMtbl[Sec]&amp;PMtbl[Category]&amp;PMtbl[INN]&amp;PMtbl[Specification],0,),0),8),""),"")</f>
        <v/>
      </c>
      <c r="M191" s="270" t="str">
        <f>IF(L191="", "",SETUP!$E$5)</f>
        <v/>
      </c>
      <c r="N191" s="774"/>
      <c r="O191" s="372"/>
      <c r="P191" s="372"/>
      <c r="Q191" s="372"/>
      <c r="R191" s="372"/>
      <c r="S191" s="356">
        <f t="shared" si="26"/>
        <v>0</v>
      </c>
      <c r="T191" s="783">
        <f t="shared" si="27"/>
        <v>0</v>
      </c>
      <c r="U191" s="774"/>
      <c r="V191" s="372"/>
      <c r="W191" s="372"/>
      <c r="X191" s="372"/>
      <c r="Y191" s="372"/>
      <c r="Z191" s="357">
        <f t="shared" si="28"/>
        <v>0</v>
      </c>
      <c r="AA191" s="775">
        <f t="shared" si="29"/>
        <v>0</v>
      </c>
      <c r="AB191" s="774"/>
      <c r="AC191" s="372"/>
      <c r="AD191" s="372"/>
      <c r="AE191" s="372"/>
      <c r="AF191" s="372"/>
      <c r="AG191" s="358">
        <f t="shared" si="30"/>
        <v>0</v>
      </c>
      <c r="AH191" s="763">
        <f t="shared" si="31"/>
        <v>0</v>
      </c>
      <c r="AI191" s="359">
        <f t="shared" si="32"/>
        <v>0</v>
      </c>
      <c r="AJ191" s="763">
        <f t="shared" si="33"/>
        <v>0</v>
      </c>
      <c r="AK191" s="367" t="str">
        <f>IF(A191&lt;&gt;"",IFERROR(INDEX(PMtbl[[WKst]:[Unit of measure*]],MATCH($A$101&amp;$A191&amp;$E191&amp;$I191,INDEX(PMtbl[Sec]&amp;PMtbl[Category]&amp;PMtbl[INN]&amp;PMtbl[Specification],0,),0),7),""),"")</f>
        <v/>
      </c>
      <c r="AL191" s="2051"/>
      <c r="AM191" s="360" t="str">
        <f>IFERROR(INDEX(SETUP!$C$19:$G$62,MATCH((INDEX(PMtbl[[WKst]:[Unit of measure*]],MATCH($A191&amp;$E191&amp;$I191,INDEX(PMtbl[Category]&amp;PMtbl[INN]&amp;PMtbl[Specification],0,),0),3)),SETUP!$D$19:$D$62,0),5),"")</f>
        <v/>
      </c>
      <c r="AN191" s="360" t="str">
        <f>IFERROR(IF((INDEX(SETUP!$C$19:$G$62,MATCH((INDEX(PMtbl[[WKst]:[Unit of measure*]],MATCH($A191&amp;$E191&amp;$I191,INDEX(PMtbl[Category]&amp;PMtbl[INN]&amp;PMtbl[Specification],0,),0),3)),SETUP!$D$19:$D$62,0),4))="Upfront",0,INDEX(SETUP!$C$19:$G$62,MATCH((INDEX(PMtbl[[WKst]:[Unit of measure*]],MATCH($A191&amp;$E191&amp;$I191,INDEX(PMtbl[Category]&amp;PMtbl[INN]&amp;PMtbl[Specification],0,),0),3)),SETUP!$D$19:$D$62,0),5)),"")</f>
        <v/>
      </c>
    </row>
    <row r="192" spans="1:40" ht="15" thickBot="1">
      <c r="A192" s="2364"/>
      <c r="B192" s="2365"/>
      <c r="C192" s="2365"/>
      <c r="D192" s="2365"/>
      <c r="E192" s="2305"/>
      <c r="F192" s="2306"/>
      <c r="G192" s="2306"/>
      <c r="H192" s="2306"/>
      <c r="I192" s="2305"/>
      <c r="J192" s="2306"/>
      <c r="K192" s="2369"/>
      <c r="L192" s="1167" t="str">
        <f>IF($A192&lt;&gt;"",IFERROR(INDEX(PMtbl[[WKst]:[Unit of measure*]],MATCH($A$101&amp;$A192&amp;$E192&amp;$I192,INDEX(PMtbl[Sec]&amp;PMtbl[Category]&amp;PMtbl[INN]&amp;PMtbl[Specification],0,),0),8),""),"")</f>
        <v/>
      </c>
      <c r="M192" s="1168" t="str">
        <f>IF(L192="", "",SETUP!$E$5)</f>
        <v/>
      </c>
      <c r="N192" s="777"/>
      <c r="O192" s="373"/>
      <c r="P192" s="373"/>
      <c r="Q192" s="373"/>
      <c r="R192" s="373"/>
      <c r="S192" s="362">
        <f t="shared" si="26"/>
        <v>0</v>
      </c>
      <c r="T192" s="784">
        <f t="shared" si="27"/>
        <v>0</v>
      </c>
      <c r="U192" s="777"/>
      <c r="V192" s="373"/>
      <c r="W192" s="373"/>
      <c r="X192" s="373"/>
      <c r="Y192" s="373"/>
      <c r="Z192" s="363">
        <f t="shared" si="28"/>
        <v>0</v>
      </c>
      <c r="AA192" s="764">
        <f t="shared" si="29"/>
        <v>0</v>
      </c>
      <c r="AB192" s="777"/>
      <c r="AC192" s="373"/>
      <c r="AD192" s="373"/>
      <c r="AE192" s="373"/>
      <c r="AF192" s="373"/>
      <c r="AG192" s="363">
        <f t="shared" si="30"/>
        <v>0</v>
      </c>
      <c r="AH192" s="764">
        <f t="shared" si="31"/>
        <v>0</v>
      </c>
      <c r="AI192" s="364">
        <f t="shared" si="32"/>
        <v>0</v>
      </c>
      <c r="AJ192" s="764">
        <f t="shared" si="33"/>
        <v>0</v>
      </c>
      <c r="AK192" s="15" t="str">
        <f>IF(A192&lt;&gt;"",IFERROR(INDEX(PMtbl[[WKst]:[Unit of measure*]],MATCH($A$101&amp;$A192&amp;$E192&amp;$I192,INDEX(PMtbl[Sec]&amp;PMtbl[Category]&amp;PMtbl[INN]&amp;PMtbl[Specification],0,),0),7),""),"")</f>
        <v/>
      </c>
      <c r="AL192" s="2053"/>
      <c r="AM192" s="365" t="str">
        <f>IFERROR(INDEX(SETUP!$C$19:$G$62,MATCH((INDEX(PMtbl[[WKst]:[Unit of measure*]],MATCH($A192&amp;$E192&amp;$I192,INDEX(PMtbl[Category]&amp;PMtbl[INN]&amp;PMtbl[Specification],0,),0),3)),SETUP!$D$19:$D$62,0),5),"")</f>
        <v/>
      </c>
      <c r="AN192" s="365" t="str">
        <f>IFERROR(IF((INDEX(SETUP!$C$19:$G$62,MATCH((INDEX(PMtbl[[WKst]:[Unit of measure*]],MATCH($A192&amp;$E192&amp;$I192,INDEX(PMtbl[Category]&amp;PMtbl[INN]&amp;PMtbl[Specification],0,),0),3)),SETUP!$D$19:$D$62,0),4))="Upfront",0,INDEX(SETUP!$C$19:$G$62,MATCH((INDEX(PMtbl[[WKst]:[Unit of measure*]],MATCH($A192&amp;$E192&amp;$I192,INDEX(PMtbl[Category]&amp;PMtbl[INN]&amp;PMtbl[Specification],0,),0),3)),SETUP!$D$19:$D$62,0),5)),"")</f>
        <v/>
      </c>
    </row>
  </sheetData>
  <sheetProtection algorithmName="SHA-512" hashValue="zXTBKlAR3lsTzmXnbONnzx/NsIsyKremGq+mf6nYgstmchDq9fYAjGtWvqc6sxlnqE6uve7kvNuXhqfjzViQew==" saltValue="E7a5u5jif8mB7Vs9hVIDwg==" spinCount="100000" sheet="1" autoFilter="0"/>
  <mergeCells count="573">
    <mergeCell ref="AM12:AM13"/>
    <mergeCell ref="AM105:AM106"/>
    <mergeCell ref="A103:M103"/>
    <mergeCell ref="AL12:AL13"/>
    <mergeCell ref="AL105:AL106"/>
    <mergeCell ref="A192:D192"/>
    <mergeCell ref="E192:H192"/>
    <mergeCell ref="I192:K192"/>
    <mergeCell ref="A189:D189"/>
    <mergeCell ref="E189:H189"/>
    <mergeCell ref="I189:K189"/>
    <mergeCell ref="A190:D190"/>
    <mergeCell ref="E190:H190"/>
    <mergeCell ref="I190:K190"/>
    <mergeCell ref="A191:D191"/>
    <mergeCell ref="E191:H191"/>
    <mergeCell ref="I191:K191"/>
    <mergeCell ref="A186:D186"/>
    <mergeCell ref="E186:H186"/>
    <mergeCell ref="I186:K186"/>
    <mergeCell ref="A187:D187"/>
    <mergeCell ref="E187:H187"/>
    <mergeCell ref="I187:K187"/>
    <mergeCell ref="A188:D188"/>
    <mergeCell ref="E188:H188"/>
    <mergeCell ref="I188:K188"/>
    <mergeCell ref="A183:D183"/>
    <mergeCell ref="E183:H183"/>
    <mergeCell ref="I183:K183"/>
    <mergeCell ref="A184:D184"/>
    <mergeCell ref="E184:H184"/>
    <mergeCell ref="I184:K184"/>
    <mergeCell ref="A185:D185"/>
    <mergeCell ref="E185:H185"/>
    <mergeCell ref="I185:K185"/>
    <mergeCell ref="A180:D180"/>
    <mergeCell ref="E180:H180"/>
    <mergeCell ref="I180:K180"/>
    <mergeCell ref="A181:D181"/>
    <mergeCell ref="E181:H181"/>
    <mergeCell ref="I181:K181"/>
    <mergeCell ref="A182:D182"/>
    <mergeCell ref="E182:H182"/>
    <mergeCell ref="I182:K182"/>
    <mergeCell ref="A177:D177"/>
    <mergeCell ref="E177:H177"/>
    <mergeCell ref="I177:K177"/>
    <mergeCell ref="A178:D178"/>
    <mergeCell ref="E178:H178"/>
    <mergeCell ref="I178:K178"/>
    <mergeCell ref="A179:D179"/>
    <mergeCell ref="E179:H179"/>
    <mergeCell ref="I179:K179"/>
    <mergeCell ref="A174:D174"/>
    <mergeCell ref="E174:H174"/>
    <mergeCell ref="I174:K174"/>
    <mergeCell ref="A175:D175"/>
    <mergeCell ref="E175:H175"/>
    <mergeCell ref="I175:K175"/>
    <mergeCell ref="A176:D176"/>
    <mergeCell ref="E176:H176"/>
    <mergeCell ref="I176:K176"/>
    <mergeCell ref="A171:D171"/>
    <mergeCell ref="E171:H171"/>
    <mergeCell ref="I171:K171"/>
    <mergeCell ref="A172:D172"/>
    <mergeCell ref="E172:H172"/>
    <mergeCell ref="I172:K172"/>
    <mergeCell ref="A173:D173"/>
    <mergeCell ref="E173:H173"/>
    <mergeCell ref="I173:K173"/>
    <mergeCell ref="A168:D168"/>
    <mergeCell ref="E168:H168"/>
    <mergeCell ref="I168:K168"/>
    <mergeCell ref="A169:D169"/>
    <mergeCell ref="E169:H169"/>
    <mergeCell ref="I169:K169"/>
    <mergeCell ref="A170:D170"/>
    <mergeCell ref="E170:H170"/>
    <mergeCell ref="I170:K170"/>
    <mergeCell ref="A165:D165"/>
    <mergeCell ref="E165:H165"/>
    <mergeCell ref="I165:K165"/>
    <mergeCell ref="A166:D166"/>
    <mergeCell ref="E166:H166"/>
    <mergeCell ref="I166:K166"/>
    <mergeCell ref="A167:D167"/>
    <mergeCell ref="E167:H167"/>
    <mergeCell ref="I167:K167"/>
    <mergeCell ref="A162:D162"/>
    <mergeCell ref="E162:H162"/>
    <mergeCell ref="I162:K162"/>
    <mergeCell ref="A163:D163"/>
    <mergeCell ref="E163:H163"/>
    <mergeCell ref="I163:K163"/>
    <mergeCell ref="A164:D164"/>
    <mergeCell ref="E164:H164"/>
    <mergeCell ref="I164:K164"/>
    <mergeCell ref="A159:D159"/>
    <mergeCell ref="E159:H159"/>
    <mergeCell ref="I159:K159"/>
    <mergeCell ref="A160:D160"/>
    <mergeCell ref="E160:H160"/>
    <mergeCell ref="I160:K160"/>
    <mergeCell ref="A161:D161"/>
    <mergeCell ref="E161:H161"/>
    <mergeCell ref="I161:K161"/>
    <mergeCell ref="A156:D156"/>
    <mergeCell ref="E156:H156"/>
    <mergeCell ref="I156:K156"/>
    <mergeCell ref="A157:D157"/>
    <mergeCell ref="E157:H157"/>
    <mergeCell ref="I157:K157"/>
    <mergeCell ref="A158:D158"/>
    <mergeCell ref="E158:H158"/>
    <mergeCell ref="I158:K158"/>
    <mergeCell ref="A153:D153"/>
    <mergeCell ref="E153:H153"/>
    <mergeCell ref="I153:K153"/>
    <mergeCell ref="A154:D154"/>
    <mergeCell ref="E154:H154"/>
    <mergeCell ref="I154:K154"/>
    <mergeCell ref="A155:D155"/>
    <mergeCell ref="E155:H155"/>
    <mergeCell ref="I155:K155"/>
    <mergeCell ref="A150:D150"/>
    <mergeCell ref="E150:H150"/>
    <mergeCell ref="I150:K150"/>
    <mergeCell ref="A151:D151"/>
    <mergeCell ref="E151:H151"/>
    <mergeCell ref="I151:K151"/>
    <mergeCell ref="A152:D152"/>
    <mergeCell ref="E152:H152"/>
    <mergeCell ref="I152:K152"/>
    <mergeCell ref="A147:D147"/>
    <mergeCell ref="E147:H147"/>
    <mergeCell ref="I147:K147"/>
    <mergeCell ref="A148:D148"/>
    <mergeCell ref="E148:H148"/>
    <mergeCell ref="I148:K148"/>
    <mergeCell ref="A149:D149"/>
    <mergeCell ref="E149:H149"/>
    <mergeCell ref="I149:K149"/>
    <mergeCell ref="A144:D144"/>
    <mergeCell ref="E144:H144"/>
    <mergeCell ref="I144:K144"/>
    <mergeCell ref="A145:D145"/>
    <mergeCell ref="E145:H145"/>
    <mergeCell ref="I145:K145"/>
    <mergeCell ref="A146:D146"/>
    <mergeCell ref="E146:H146"/>
    <mergeCell ref="I146:K146"/>
    <mergeCell ref="A141:D141"/>
    <mergeCell ref="E141:H141"/>
    <mergeCell ref="I141:K141"/>
    <mergeCell ref="A142:D142"/>
    <mergeCell ref="E142:H142"/>
    <mergeCell ref="I142:K142"/>
    <mergeCell ref="A143:D143"/>
    <mergeCell ref="E143:H143"/>
    <mergeCell ref="I143:K143"/>
    <mergeCell ref="A138:D138"/>
    <mergeCell ref="E138:H138"/>
    <mergeCell ref="I138:K138"/>
    <mergeCell ref="A139:D139"/>
    <mergeCell ref="E139:H139"/>
    <mergeCell ref="I139:K139"/>
    <mergeCell ref="A140:D140"/>
    <mergeCell ref="E140:H140"/>
    <mergeCell ref="I140:K140"/>
    <mergeCell ref="A135:D135"/>
    <mergeCell ref="E135:H135"/>
    <mergeCell ref="I135:K135"/>
    <mergeCell ref="A136:D136"/>
    <mergeCell ref="E136:H136"/>
    <mergeCell ref="I136:K136"/>
    <mergeCell ref="A137:D137"/>
    <mergeCell ref="E137:H137"/>
    <mergeCell ref="I137:K137"/>
    <mergeCell ref="A132:D132"/>
    <mergeCell ref="E132:H132"/>
    <mergeCell ref="I132:K132"/>
    <mergeCell ref="A133:D133"/>
    <mergeCell ref="E133:H133"/>
    <mergeCell ref="I133:K133"/>
    <mergeCell ref="A134:D134"/>
    <mergeCell ref="E134:H134"/>
    <mergeCell ref="I134:K134"/>
    <mergeCell ref="A129:D129"/>
    <mergeCell ref="E129:H129"/>
    <mergeCell ref="I129:K129"/>
    <mergeCell ref="A130:D130"/>
    <mergeCell ref="E130:H130"/>
    <mergeCell ref="I130:K130"/>
    <mergeCell ref="A131:D131"/>
    <mergeCell ref="E131:H131"/>
    <mergeCell ref="I131:K131"/>
    <mergeCell ref="A126:D126"/>
    <mergeCell ref="E126:H126"/>
    <mergeCell ref="I126:K126"/>
    <mergeCell ref="A127:D127"/>
    <mergeCell ref="E127:H127"/>
    <mergeCell ref="I127:K127"/>
    <mergeCell ref="A128:D128"/>
    <mergeCell ref="E128:H128"/>
    <mergeCell ref="I128:K128"/>
    <mergeCell ref="A123:D123"/>
    <mergeCell ref="E123:H123"/>
    <mergeCell ref="I123:K123"/>
    <mergeCell ref="A124:D124"/>
    <mergeCell ref="E124:H124"/>
    <mergeCell ref="I124:K124"/>
    <mergeCell ref="A125:D125"/>
    <mergeCell ref="E125:H125"/>
    <mergeCell ref="I125:K125"/>
    <mergeCell ref="A120:D120"/>
    <mergeCell ref="E120:H120"/>
    <mergeCell ref="I120:K120"/>
    <mergeCell ref="A121:D121"/>
    <mergeCell ref="E121:H121"/>
    <mergeCell ref="I121:K121"/>
    <mergeCell ref="A122:D122"/>
    <mergeCell ref="E122:H122"/>
    <mergeCell ref="I122:K122"/>
    <mergeCell ref="A117:D117"/>
    <mergeCell ref="E117:H117"/>
    <mergeCell ref="I117:K117"/>
    <mergeCell ref="A118:D118"/>
    <mergeCell ref="E118:H118"/>
    <mergeCell ref="I118:K118"/>
    <mergeCell ref="A119:D119"/>
    <mergeCell ref="E119:H119"/>
    <mergeCell ref="I119:K119"/>
    <mergeCell ref="A114:D114"/>
    <mergeCell ref="E114:H114"/>
    <mergeCell ref="I114:K114"/>
    <mergeCell ref="A115:D115"/>
    <mergeCell ref="E115:H115"/>
    <mergeCell ref="I115:K115"/>
    <mergeCell ref="A116:D116"/>
    <mergeCell ref="E116:H116"/>
    <mergeCell ref="I116:K116"/>
    <mergeCell ref="A107:D107"/>
    <mergeCell ref="E107:H107"/>
    <mergeCell ref="I107:K107"/>
    <mergeCell ref="A108:D108"/>
    <mergeCell ref="E108:H108"/>
    <mergeCell ref="I108:K108"/>
    <mergeCell ref="A109:D109"/>
    <mergeCell ref="E109:H109"/>
    <mergeCell ref="I109:K109"/>
    <mergeCell ref="A105:D106"/>
    <mergeCell ref="E105:H106"/>
    <mergeCell ref="I105:K106"/>
    <mergeCell ref="L105:L106"/>
    <mergeCell ref="M105:M106"/>
    <mergeCell ref="N105:T105"/>
    <mergeCell ref="U105:AA105"/>
    <mergeCell ref="AB105:AH105"/>
    <mergeCell ref="AI105:AJ105"/>
    <mergeCell ref="A98:D98"/>
    <mergeCell ref="A99:D99"/>
    <mergeCell ref="A84:D84"/>
    <mergeCell ref="A85:D85"/>
    <mergeCell ref="A86:D86"/>
    <mergeCell ref="A87:D87"/>
    <mergeCell ref="A88:D88"/>
    <mergeCell ref="A89:D89"/>
    <mergeCell ref="A90:D90"/>
    <mergeCell ref="A91:D91"/>
    <mergeCell ref="A92:D92"/>
    <mergeCell ref="A80:D80"/>
    <mergeCell ref="A81:D81"/>
    <mergeCell ref="A82:D82"/>
    <mergeCell ref="A83:D83"/>
    <mergeCell ref="A93:D93"/>
    <mergeCell ref="A94:D94"/>
    <mergeCell ref="A95:D95"/>
    <mergeCell ref="A96:D96"/>
    <mergeCell ref="A97:D97"/>
    <mergeCell ref="A71:D71"/>
    <mergeCell ref="A72:D72"/>
    <mergeCell ref="A73:D73"/>
    <mergeCell ref="A74:D74"/>
    <mergeCell ref="A75:D75"/>
    <mergeCell ref="A76:D76"/>
    <mergeCell ref="A77:D77"/>
    <mergeCell ref="A78:D78"/>
    <mergeCell ref="A79:D79"/>
    <mergeCell ref="A62:D62"/>
    <mergeCell ref="A63:D63"/>
    <mergeCell ref="A64:D64"/>
    <mergeCell ref="A65:D65"/>
    <mergeCell ref="A66:D66"/>
    <mergeCell ref="A67:D67"/>
    <mergeCell ref="A68:D68"/>
    <mergeCell ref="A69:D69"/>
    <mergeCell ref="A70:D70"/>
    <mergeCell ref="A53:D53"/>
    <mergeCell ref="A54:D54"/>
    <mergeCell ref="A55:D55"/>
    <mergeCell ref="A56:D56"/>
    <mergeCell ref="A57:D57"/>
    <mergeCell ref="A58:D58"/>
    <mergeCell ref="A59:D59"/>
    <mergeCell ref="A60:D60"/>
    <mergeCell ref="A61:D61"/>
    <mergeCell ref="A44:D44"/>
    <mergeCell ref="A45:D45"/>
    <mergeCell ref="A46:D46"/>
    <mergeCell ref="A47:D47"/>
    <mergeCell ref="A48:D48"/>
    <mergeCell ref="A49:D49"/>
    <mergeCell ref="A50:D50"/>
    <mergeCell ref="A51:D51"/>
    <mergeCell ref="A52:D52"/>
    <mergeCell ref="A35:D35"/>
    <mergeCell ref="A36:D36"/>
    <mergeCell ref="A37:D37"/>
    <mergeCell ref="A38:D38"/>
    <mergeCell ref="A39:D39"/>
    <mergeCell ref="A40:D40"/>
    <mergeCell ref="A41:D41"/>
    <mergeCell ref="A42:D42"/>
    <mergeCell ref="A43:D43"/>
    <mergeCell ref="A110:D110"/>
    <mergeCell ref="E110:H110"/>
    <mergeCell ref="I110:K110"/>
    <mergeCell ref="A111:D111"/>
    <mergeCell ref="E111:H111"/>
    <mergeCell ref="I111:K111"/>
    <mergeCell ref="A112:D112"/>
    <mergeCell ref="E112:H112"/>
    <mergeCell ref="I112:K112"/>
    <mergeCell ref="A113:D113"/>
    <mergeCell ref="E113:H113"/>
    <mergeCell ref="I113:K113"/>
    <mergeCell ref="I76:K76"/>
    <mergeCell ref="I77:K77"/>
    <mergeCell ref="I78:K78"/>
    <mergeCell ref="I79:K79"/>
    <mergeCell ref="I80:K80"/>
    <mergeCell ref="I81:K81"/>
    <mergeCell ref="I96:K96"/>
    <mergeCell ref="I82:K82"/>
    <mergeCell ref="I83:K83"/>
    <mergeCell ref="I84:K84"/>
    <mergeCell ref="I90:K90"/>
    <mergeCell ref="I91:K91"/>
    <mergeCell ref="I92:K92"/>
    <mergeCell ref="I93:K93"/>
    <mergeCell ref="I94:K94"/>
    <mergeCell ref="I95:K95"/>
    <mergeCell ref="E94:H94"/>
    <mergeCell ref="E95:H95"/>
    <mergeCell ref="E96:H96"/>
    <mergeCell ref="E90:H90"/>
    <mergeCell ref="E91:H91"/>
    <mergeCell ref="E85:H85"/>
    <mergeCell ref="I85:K85"/>
    <mergeCell ref="E72:H72"/>
    <mergeCell ref="E73:H73"/>
    <mergeCell ref="E74:H74"/>
    <mergeCell ref="E75:H75"/>
    <mergeCell ref="E84:H84"/>
    <mergeCell ref="I74:K74"/>
    <mergeCell ref="I75:K75"/>
    <mergeCell ref="E92:H92"/>
    <mergeCell ref="E93:H93"/>
    <mergeCell ref="E53:H53"/>
    <mergeCell ref="E60:H60"/>
    <mergeCell ref="E49:H49"/>
    <mergeCell ref="I49:K49"/>
    <mergeCell ref="E50:H50"/>
    <mergeCell ref="I50:K50"/>
    <mergeCell ref="E51:H51"/>
    <mergeCell ref="E61:H61"/>
    <mergeCell ref="I69:K69"/>
    <mergeCell ref="I52:K52"/>
    <mergeCell ref="I53:K53"/>
    <mergeCell ref="I54:K54"/>
    <mergeCell ref="I55:K55"/>
    <mergeCell ref="I56:K56"/>
    <mergeCell ref="I57:K57"/>
    <mergeCell ref="I58:K58"/>
    <mergeCell ref="I59:K59"/>
    <mergeCell ref="I60:K60"/>
    <mergeCell ref="E68:H68"/>
    <mergeCell ref="E76:H76"/>
    <mergeCell ref="E77:H77"/>
    <mergeCell ref="E78:H78"/>
    <mergeCell ref="I70:K70"/>
    <mergeCell ref="I71:K71"/>
    <mergeCell ref="I72:K72"/>
    <mergeCell ref="I73:K73"/>
    <mergeCell ref="A1:J1"/>
    <mergeCell ref="B3:B4"/>
    <mergeCell ref="C3:E4"/>
    <mergeCell ref="G3:G4"/>
    <mergeCell ref="H3:J4"/>
    <mergeCell ref="B5:B6"/>
    <mergeCell ref="C5:E6"/>
    <mergeCell ref="E19:H19"/>
    <mergeCell ref="E63:H63"/>
    <mergeCell ref="E64:H64"/>
    <mergeCell ref="I20:K20"/>
    <mergeCell ref="E21:H21"/>
    <mergeCell ref="B8:D9"/>
    <mergeCell ref="E8:G8"/>
    <mergeCell ref="E17:H17"/>
    <mergeCell ref="I17:K17"/>
    <mergeCell ref="E18:H18"/>
    <mergeCell ref="A32:D32"/>
    <mergeCell ref="A33:D33"/>
    <mergeCell ref="A34:D34"/>
    <mergeCell ref="I18:K18"/>
    <mergeCell ref="A8:A9"/>
    <mergeCell ref="A12:D13"/>
    <mergeCell ref="I45:K45"/>
    <mergeCell ref="O1:O2"/>
    <mergeCell ref="H8:H9"/>
    <mergeCell ref="E9:G9"/>
    <mergeCell ref="L1:L2"/>
    <mergeCell ref="N1:N2"/>
    <mergeCell ref="I19:K19"/>
    <mergeCell ref="E20:H20"/>
    <mergeCell ref="G5:G6"/>
    <mergeCell ref="H5:J6"/>
    <mergeCell ref="A10:M10"/>
    <mergeCell ref="A14:D14"/>
    <mergeCell ref="A15:D15"/>
    <mergeCell ref="A16:D16"/>
    <mergeCell ref="A17:D17"/>
    <mergeCell ref="A18:D18"/>
    <mergeCell ref="A19:D19"/>
    <mergeCell ref="A20:D20"/>
    <mergeCell ref="I31:K31"/>
    <mergeCell ref="I28:K28"/>
    <mergeCell ref="E29:H29"/>
    <mergeCell ref="I29:K29"/>
    <mergeCell ref="E30:H30"/>
    <mergeCell ref="A21:D21"/>
    <mergeCell ref="A22:D22"/>
    <mergeCell ref="A23:D23"/>
    <mergeCell ref="A24:D24"/>
    <mergeCell ref="A25:D25"/>
    <mergeCell ref="A26:D26"/>
    <mergeCell ref="A27:D27"/>
    <mergeCell ref="A28:D28"/>
    <mergeCell ref="A29:D29"/>
    <mergeCell ref="A30:D30"/>
    <mergeCell ref="A31:D31"/>
    <mergeCell ref="B101:D102"/>
    <mergeCell ref="I30:K30"/>
    <mergeCell ref="E31:H31"/>
    <mergeCell ref="E27:H27"/>
    <mergeCell ref="I27:K27"/>
    <mergeCell ref="E28:H28"/>
    <mergeCell ref="E38:H38"/>
    <mergeCell ref="E43:H43"/>
    <mergeCell ref="I43:K43"/>
    <mergeCell ref="I40:K40"/>
    <mergeCell ref="E40:H40"/>
    <mergeCell ref="I34:K34"/>
    <mergeCell ref="E35:H35"/>
    <mergeCell ref="I35:K35"/>
    <mergeCell ref="E36:H36"/>
    <mergeCell ref="I36:K36"/>
    <mergeCell ref="E32:H32"/>
    <mergeCell ref="E37:H37"/>
    <mergeCell ref="I37:K37"/>
    <mergeCell ref="I33:K33"/>
    <mergeCell ref="E34:H34"/>
    <mergeCell ref="H101:H102"/>
    <mergeCell ref="E59:H59"/>
    <mergeCell ref="I38:K38"/>
    <mergeCell ref="E39:H39"/>
    <mergeCell ref="I39:K39"/>
    <mergeCell ref="E41:H41"/>
    <mergeCell ref="I41:K41"/>
    <mergeCell ref="E42:H42"/>
    <mergeCell ref="I42:K42"/>
    <mergeCell ref="A101:A102"/>
    <mergeCell ref="I21:K21"/>
    <mergeCell ref="E22:H22"/>
    <mergeCell ref="I22:K22"/>
    <mergeCell ref="E23:H23"/>
    <mergeCell ref="I23:K23"/>
    <mergeCell ref="E24:H24"/>
    <mergeCell ref="I24:K24"/>
    <mergeCell ref="E25:H25"/>
    <mergeCell ref="I25:K25"/>
    <mergeCell ref="E26:H26"/>
    <mergeCell ref="I26:K26"/>
    <mergeCell ref="I32:K32"/>
    <mergeCell ref="E33:H33"/>
    <mergeCell ref="E69:H69"/>
    <mergeCell ref="E70:H70"/>
    <mergeCell ref="E71:H71"/>
    <mergeCell ref="AI12:AJ12"/>
    <mergeCell ref="L12:L13"/>
    <mergeCell ref="E12:H13"/>
    <mergeCell ref="I12:K13"/>
    <mergeCell ref="E14:H14"/>
    <mergeCell ref="I14:K14"/>
    <mergeCell ref="E15:H15"/>
    <mergeCell ref="I15:K15"/>
    <mergeCell ref="E16:H16"/>
    <mergeCell ref="I16:K16"/>
    <mergeCell ref="AB12:AH12"/>
    <mergeCell ref="U12:AA12"/>
    <mergeCell ref="N12:T12"/>
    <mergeCell ref="M12:M13"/>
    <mergeCell ref="E99:H99"/>
    <mergeCell ref="I99:K99"/>
    <mergeCell ref="M1:M2"/>
    <mergeCell ref="E86:H86"/>
    <mergeCell ref="I86:K86"/>
    <mergeCell ref="E87:H87"/>
    <mergeCell ref="I87:K87"/>
    <mergeCell ref="E88:H88"/>
    <mergeCell ref="I88:K88"/>
    <mergeCell ref="E89:H89"/>
    <mergeCell ref="I89:K89"/>
    <mergeCell ref="E97:H97"/>
    <mergeCell ref="I97:K97"/>
    <mergeCell ref="E65:H65"/>
    <mergeCell ref="I65:K65"/>
    <mergeCell ref="E66:H66"/>
    <mergeCell ref="I66:K66"/>
    <mergeCell ref="E67:H67"/>
    <mergeCell ref="I46:K46"/>
    <mergeCell ref="I68:K68"/>
    <mergeCell ref="E47:H47"/>
    <mergeCell ref="I47:K47"/>
    <mergeCell ref="E48:H48"/>
    <mergeCell ref="I48:K48"/>
    <mergeCell ref="E98:H98"/>
    <mergeCell ref="I98:K98"/>
    <mergeCell ref="I44:K44"/>
    <mergeCell ref="E56:H56"/>
    <mergeCell ref="E57:H57"/>
    <mergeCell ref="E58:H58"/>
    <mergeCell ref="E79:H79"/>
    <mergeCell ref="I51:K51"/>
    <mergeCell ref="E52:H52"/>
    <mergeCell ref="I67:K67"/>
    <mergeCell ref="E62:H62"/>
    <mergeCell ref="I61:K61"/>
    <mergeCell ref="I62:K62"/>
    <mergeCell ref="I63:K63"/>
    <mergeCell ref="I64:K64"/>
    <mergeCell ref="E45:H45"/>
    <mergeCell ref="E80:H80"/>
    <mergeCell ref="E81:H81"/>
    <mergeCell ref="E82:H82"/>
    <mergeCell ref="E83:H83"/>
    <mergeCell ref="E44:H44"/>
    <mergeCell ref="E54:H54"/>
    <mergeCell ref="E55:H55"/>
    <mergeCell ref="E46:H46"/>
    <mergeCell ref="AN105:AN106"/>
    <mergeCell ref="AX21:BI21"/>
    <mergeCell ref="AX22:BA22"/>
    <mergeCell ref="BB22:BE22"/>
    <mergeCell ref="BF22:BI22"/>
    <mergeCell ref="AU24:AU25"/>
    <mergeCell ref="AU26:AU28"/>
    <mergeCell ref="AN12:AN13"/>
    <mergeCell ref="AX11:BI11"/>
    <mergeCell ref="AX12:BA12"/>
    <mergeCell ref="BB12:BE12"/>
    <mergeCell ref="BF12:BI12"/>
  </mergeCells>
  <conditionalFormatting sqref="A14:K14 A20:K35 A17:K17 E15:K16 E18:K19 A37:K39 A42:K45 E41:K41 A47:K99">
    <cfRule type="expression" dxfId="787" priority="25">
      <formula>AND($I14&lt;&gt;"",$L14="")</formula>
    </cfRule>
  </conditionalFormatting>
  <conditionalFormatting sqref="E15:H15">
    <cfRule type="expression" dxfId="786" priority="23">
      <formula>AND($I15&lt;&gt;"",$L15="")</formula>
    </cfRule>
  </conditionalFormatting>
  <conditionalFormatting sqref="E15:K15">
    <cfRule type="expression" dxfId="785" priority="22">
      <formula>AND($I15&lt;&gt;"",$L15="")</formula>
    </cfRule>
  </conditionalFormatting>
  <conditionalFormatting sqref="I15:K15">
    <cfRule type="expression" dxfId="784" priority="21">
      <formula>AND($I15&lt;&gt;"",$L15="")</formula>
    </cfRule>
  </conditionalFormatting>
  <conditionalFormatting sqref="A107:K192">
    <cfRule type="expression" dxfId="783" priority="20">
      <formula>AND($I107&lt;&gt;"",$L107="")</formula>
    </cfRule>
  </conditionalFormatting>
  <conditionalFormatting sqref="A19:D19">
    <cfRule type="expression" dxfId="782" priority="18">
      <formula>AND($I19&lt;&gt;"",$L19="")</formula>
    </cfRule>
  </conditionalFormatting>
  <conditionalFormatting sqref="A16:D16">
    <cfRule type="expression" dxfId="781" priority="17">
      <formula>AND($I16&lt;&gt;"",$L16="")</formula>
    </cfRule>
  </conditionalFormatting>
  <conditionalFormatting sqref="A15:D15">
    <cfRule type="expression" dxfId="780" priority="13">
      <formula>AND($I15&lt;&gt;"",$L15="")</formula>
    </cfRule>
  </conditionalFormatting>
  <conditionalFormatting sqref="A36:K36">
    <cfRule type="expression" dxfId="779" priority="8">
      <formula>AND($I36&lt;&gt;"",$L36="")</formula>
    </cfRule>
  </conditionalFormatting>
  <conditionalFormatting sqref="A41:D41">
    <cfRule type="expression" dxfId="778" priority="6">
      <formula>AND($I41&lt;&gt;"",$L41="")</formula>
    </cfRule>
  </conditionalFormatting>
  <conditionalFormatting sqref="A40:K40">
    <cfRule type="expression" dxfId="777" priority="4">
      <formula>AND($I40&lt;&gt;"",$L40="")</formula>
    </cfRule>
  </conditionalFormatting>
  <conditionalFormatting sqref="A18:D18">
    <cfRule type="expression" dxfId="776" priority="2">
      <formula>AND($I18&lt;&gt;"",$L18="")</formula>
    </cfRule>
  </conditionalFormatting>
  <conditionalFormatting sqref="A46:K46">
    <cfRule type="expression" dxfId="775" priority="1">
      <formula>AND($I46&lt;&gt;"",$L46="")</formula>
    </cfRule>
  </conditionalFormatting>
  <dataValidations count="8">
    <dataValidation type="decimal" allowBlank="1" showInputMessage="1" showErrorMessage="1" sqref="AG14:AJ99 N14:N99 S14:U99 Z14:AB99 AG107:AJ192 N107:N192 S107:U192 Z107:AB192" xr:uid="{00000000-0002-0000-0600-000000000000}">
      <formula1>0</formula1>
      <formula2>1E+29</formula2>
    </dataValidation>
    <dataValidation type="list" allowBlank="1" showInputMessage="1" showErrorMessage="1" sqref="A14:D99" xr:uid="{00000000-0002-0000-0600-000001000000}">
      <formula1>HIV1S1T1C1</formula1>
    </dataValidation>
    <dataValidation type="list" allowBlank="1" showInputMessage="1" showErrorMessage="1" sqref="E14:H99" xr:uid="{00000000-0002-0000-0600-000002000000}">
      <formula1>HIV1S1T1C2</formula1>
    </dataValidation>
    <dataValidation type="list" allowBlank="1" showInputMessage="1" showErrorMessage="1" sqref="I14:K99" xr:uid="{00000000-0002-0000-0600-000003000000}">
      <formula1>HIV1S1T1C3</formula1>
    </dataValidation>
    <dataValidation type="list" allowBlank="1" showInputMessage="1" showErrorMessage="1" sqref="A107:D192" xr:uid="{00000000-0002-0000-0600-000004000000}">
      <formula1>HIV1S2T1C1</formula1>
    </dataValidation>
    <dataValidation type="list" allowBlank="1" showInputMessage="1" showErrorMessage="1" sqref="E107:H192" xr:uid="{00000000-0002-0000-0600-000005000000}">
      <formula1>HIV1S2T1C2</formula1>
    </dataValidation>
    <dataValidation type="list" allowBlank="1" showInputMessage="1" showErrorMessage="1" sqref="I107:K192" xr:uid="{00000000-0002-0000-0600-000006000000}">
      <formula1>HIV1S2T1C3</formula1>
    </dataValidation>
    <dataValidation type="whole" operator="greaterThanOrEqual" allowBlank="1" showInputMessage="1" showErrorMessage="1" error="Do not input value in Fractions" sqref="O14:R99 V14:Y99 AC14:AF99 AC107:AF192 V107:Y192 O107:R192" xr:uid="{00000000-0002-0000-0600-000007000000}">
      <formula1>0</formula1>
    </dataValidation>
  </dataValidations>
  <hyperlinks>
    <hyperlink ref="H8" location="'HIV-Pharmaceuticals'!A65" display="Go to OIs/STIs and other medicines" xr:uid="{00000000-0004-0000-0600-000000000000}"/>
    <hyperlink ref="H101" location="'HIV-Pharmaceuticals'!A8" display="Back to ARVs" xr:uid="{00000000-0004-0000-0600-000001000000}"/>
    <hyperlink ref="M1:M2" location="'HIV-Key Info'!A1" display="Back to HIV-Key Info" xr:uid="{00000000-0004-0000-0600-000002000000}"/>
    <hyperlink ref="O1:O2" location="'HIV-Other HPs'!A1" display="Go to HIV-Other HPs" xr:uid="{00000000-0004-0000-0600-000003000000}"/>
    <hyperlink ref="H8:H9" location="'HIV-Pharmaceuticals'!A107" display="Go to OIs/STIs other medicines" xr:uid="{00000000-0004-0000-0600-000004000000}"/>
    <hyperlink ref="N1:N2" location="'HIV-Equipment'!A1" display="Go to HIV-Equipment" xr:uid="{00000000-0004-0000-0600-000005000000}"/>
    <hyperlink ref="H101:H102" location="'HIV-Pharmaceuticals'!A14" display="Back to ARVs" xr:uid="{00000000-0004-0000-0600-000006000000}"/>
  </hyperlinks>
  <pageMargins left="0.25" right="0.25" top="0.75" bottom="0.75" header="0.3" footer="0.3"/>
  <pageSetup paperSize="8" scale="37" orientation="landscape" r:id="rId1"/>
  <ignoredErrors>
    <ignoredError sqref="AM14 AM15:AM99 AM107:AM192" unlockedFormula="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339933"/>
    <pageSetUpPr fitToPage="1"/>
  </sheetPr>
  <dimension ref="A1:BI58"/>
  <sheetViews>
    <sheetView showGridLines="0" topLeftCell="R7" zoomScale="85" zoomScaleNormal="85" workbookViewId="0">
      <selection activeCell="AC14" sqref="AC14:AC16"/>
    </sheetView>
  </sheetViews>
  <sheetFormatPr baseColWidth="10" defaultColWidth="8.7265625" defaultRowHeight="14.5"/>
  <cols>
    <col min="1" max="1" width="8.7265625" style="62"/>
    <col min="2" max="3" width="29.26953125" style="62" customWidth="1"/>
    <col min="4" max="4" width="36" style="62" customWidth="1"/>
    <col min="5" max="5" width="22.453125" style="62" customWidth="1"/>
    <col min="6" max="7" width="15.26953125" style="62" customWidth="1"/>
    <col min="8" max="24" width="12.26953125" style="62" customWidth="1"/>
    <col min="25" max="27" width="13.26953125" style="62" customWidth="1"/>
    <col min="28" max="28" width="15.26953125" style="62" customWidth="1"/>
    <col min="29" max="29" width="12.26953125" style="62" customWidth="1"/>
    <col min="30" max="30" width="15.26953125" style="62" customWidth="1"/>
    <col min="31" max="31" width="43" style="62" customWidth="1"/>
    <col min="32" max="32" width="11.54296875" style="62" customWidth="1"/>
    <col min="33" max="33" width="13.26953125" style="62" hidden="1" customWidth="1"/>
    <col min="34" max="39" width="8.7265625" style="62" customWidth="1"/>
    <col min="40" max="40" width="8.7265625" style="377" customWidth="1"/>
    <col min="41" max="46" width="8.7265625" style="62" customWidth="1"/>
    <col min="47" max="47" width="18.26953125" style="62" hidden="1" customWidth="1"/>
    <col min="48" max="48" width="15.26953125" style="62" hidden="1" customWidth="1"/>
    <col min="49" max="49" width="9" style="62" hidden="1" customWidth="1"/>
    <col min="50" max="52" width="5.7265625" style="62" hidden="1" customWidth="1"/>
    <col min="53" max="53" width="8.7265625" style="62" hidden="1" customWidth="1"/>
    <col min="54" max="56" width="5.7265625" style="62" hidden="1" customWidth="1"/>
    <col min="57" max="57" width="8.7265625" style="62" hidden="1" customWidth="1"/>
    <col min="58" max="60" width="5.7265625" style="62" hidden="1" customWidth="1"/>
    <col min="61" max="61" width="11.26953125" style="62" hidden="1" customWidth="1"/>
    <col min="62" max="16384" width="8.7265625" style="62"/>
  </cols>
  <sheetData>
    <row r="1" spans="1:60" ht="24" customHeight="1" thickBot="1">
      <c r="A1" s="2381" t="str">
        <f>VLOOKUP("Health Product Management Template - HIV - List of equipments",Language!$D$110:$G$148,$J$1,FALSE)</f>
        <v xml:space="preserve">Plantilla para la gestión de productos sanitarios - VIH - lista de equipamiento </v>
      </c>
      <c r="B1" s="2382"/>
      <c r="C1" s="2382"/>
      <c r="D1" s="2382"/>
      <c r="E1" s="2382"/>
      <c r="F1" s="2382"/>
      <c r="G1" s="2382"/>
      <c r="H1" s="2382"/>
      <c r="I1" s="2383"/>
      <c r="J1" s="504">
        <f>SETUP!$A$2</f>
        <v>3</v>
      </c>
      <c r="L1" s="2234" t="s">
        <v>136</v>
      </c>
      <c r="M1" s="2234" t="s">
        <v>184</v>
      </c>
      <c r="N1" s="78"/>
      <c r="O1" s="78"/>
      <c r="P1" s="78"/>
      <c r="Q1" s="78"/>
      <c r="R1" s="78"/>
      <c r="S1" s="78"/>
      <c r="T1" s="78"/>
      <c r="U1" s="78"/>
      <c r="V1" s="78"/>
      <c r="W1" s="78"/>
      <c r="X1" s="78"/>
      <c r="Y1" s="78"/>
      <c r="Z1" s="78"/>
      <c r="AA1" s="78"/>
      <c r="AB1" s="78"/>
      <c r="AC1" s="78"/>
      <c r="AD1" s="78"/>
      <c r="AE1" s="78"/>
      <c r="AF1" s="124"/>
    </row>
    <row r="2" spans="1:60" ht="15" thickBot="1">
      <c r="A2" s="63"/>
      <c r="B2" s="63"/>
      <c r="C2" s="63"/>
      <c r="D2" s="63"/>
      <c r="E2" s="63"/>
      <c r="F2" s="63"/>
      <c r="G2" s="63"/>
      <c r="H2" s="63"/>
      <c r="I2" s="63"/>
      <c r="J2" s="64"/>
      <c r="L2" s="2235"/>
      <c r="M2" s="2235"/>
      <c r="N2" s="78"/>
      <c r="O2" s="78"/>
      <c r="P2" s="78"/>
      <c r="Q2" s="78"/>
      <c r="R2" s="78"/>
      <c r="S2" s="78"/>
      <c r="T2" s="78"/>
      <c r="U2" s="78"/>
      <c r="V2" s="78"/>
      <c r="W2" s="78"/>
      <c r="X2" s="78"/>
      <c r="Y2" s="78"/>
      <c r="Z2" s="78"/>
      <c r="AA2" s="78"/>
      <c r="AB2" s="78"/>
      <c r="AC2" s="78"/>
      <c r="AD2" s="78"/>
      <c r="AE2" s="78"/>
      <c r="AF2" s="124"/>
    </row>
    <row r="3" spans="1:60" ht="15" customHeight="1" thickBot="1">
      <c r="A3" s="91"/>
      <c r="B3" s="2384" t="str">
        <f>VLOOKUP("COUNTRY:",Language!$D$110:$G$148,$J$1,FALSE)</f>
        <v>PAÍS:</v>
      </c>
      <c r="C3" s="2407" t="str">
        <f>SETUP!$E$3</f>
        <v>El Salvador</v>
      </c>
      <c r="D3" s="2407"/>
      <c r="E3" s="2408" t="str">
        <f>VLOOKUP("GRANT NUMBER:",Language!$D$110:$G$148,$J$1,FALSE)</f>
        <v>NÚMERO DE LA SUBVENCIÓN:</v>
      </c>
      <c r="F3" s="2391" t="str">
        <f>SETUP!$G$13</f>
        <v>SLV-H-MOH</v>
      </c>
      <c r="G3" s="2392"/>
      <c r="I3" s="92"/>
      <c r="J3" s="92"/>
      <c r="K3" s="154"/>
      <c r="L3" s="81"/>
      <c r="M3" s="81"/>
      <c r="N3" s="81"/>
      <c r="O3" s="81"/>
      <c r="P3" s="81"/>
      <c r="Q3" s="81"/>
      <c r="R3" s="78"/>
      <c r="S3" s="78"/>
      <c r="T3" s="78"/>
      <c r="U3" s="78"/>
      <c r="V3" s="78"/>
      <c r="W3" s="78"/>
      <c r="X3" s="78"/>
      <c r="Y3" s="78"/>
      <c r="Z3" s="78"/>
      <c r="AA3" s="78"/>
      <c r="AB3" s="78"/>
      <c r="AC3" s="78"/>
      <c r="AD3" s="78"/>
      <c r="AE3" s="78"/>
      <c r="AF3" s="78"/>
      <c r="AG3" s="82"/>
    </row>
    <row r="4" spans="1:60" ht="15.75" customHeight="1" thickTop="1" thickBot="1">
      <c r="A4" s="93"/>
      <c r="B4" s="2354"/>
      <c r="C4" s="2355"/>
      <c r="D4" s="2355"/>
      <c r="E4" s="2357"/>
      <c r="F4" s="2393"/>
      <c r="G4" s="2394"/>
      <c r="I4" s="92"/>
      <c r="J4" s="383" t="str">
        <f>SUBSTITUTE(SUBSTITUTE(SUBSTITUTE(SUBSTITUTE(SUBSTITUTE(SUBSTITUTE(SUBSTITUTE(SUBSTITUTE(SUBSTITUTE(SUBSTITUTE(SUBSTITUTE(C14,",",""),":",""),"/"," "),"(",""),")",""),"-"," "),"  "," ")," ","_"),"&amp;",""),"__","_"),"+","_")</f>
        <v>Centrifuges</v>
      </c>
      <c r="K4" s="188"/>
      <c r="L4" s="81"/>
      <c r="M4" s="81"/>
      <c r="N4" s="81"/>
      <c r="O4" s="78"/>
      <c r="P4" s="78"/>
      <c r="Q4" s="78"/>
      <c r="R4" s="78"/>
      <c r="S4" s="78"/>
      <c r="T4" s="78"/>
      <c r="U4" s="78"/>
      <c r="V4" s="78"/>
      <c r="W4" s="78"/>
      <c r="X4" s="78"/>
      <c r="Y4" s="78"/>
      <c r="Z4" s="78"/>
      <c r="AA4" s="78"/>
      <c r="AB4" s="78"/>
      <c r="AC4" s="78"/>
      <c r="AD4" s="78"/>
      <c r="AE4" s="78"/>
      <c r="AF4" s="78"/>
      <c r="AG4" s="78"/>
    </row>
    <row r="5" spans="1:60" ht="15.5" thickTop="1" thickBot="1">
      <c r="A5" s="93"/>
      <c r="B5" s="2358" t="str">
        <f>VLOOKUP("COMPONENT:",Language!$D$110:$G$148,$J$1,FALSE)</f>
        <v>COMPONENTE:</v>
      </c>
      <c r="C5" s="2371" t="str">
        <f>SETUP!$E$6</f>
        <v>HIV</v>
      </c>
      <c r="D5" s="2371"/>
      <c r="E5" s="2372" t="str">
        <f>VLOOKUP("PR: ",Language!$D$110:$G$148,$J$1,FALSE)</f>
        <v xml:space="preserve">RP: </v>
      </c>
      <c r="F5" s="2395" t="str">
        <f>SETUP!E7</f>
        <v>Ministry of Health of the Republic of El Salvador</v>
      </c>
      <c r="G5" s="2396"/>
      <c r="I5" s="92"/>
      <c r="J5" s="92"/>
      <c r="K5" s="92"/>
      <c r="L5" s="78"/>
      <c r="M5" s="78"/>
      <c r="N5" s="78"/>
      <c r="O5" s="78"/>
      <c r="P5" s="78"/>
      <c r="Q5" s="78"/>
      <c r="R5" s="78"/>
      <c r="S5" s="78"/>
      <c r="T5" s="78"/>
      <c r="U5" s="78"/>
      <c r="V5" s="78"/>
      <c r="W5" s="78"/>
      <c r="X5" s="78"/>
      <c r="Y5" s="78"/>
      <c r="Z5" s="78"/>
      <c r="AA5" s="78"/>
      <c r="AB5" s="78"/>
      <c r="AC5" s="78"/>
      <c r="AD5" s="78"/>
      <c r="AE5" s="78"/>
      <c r="AF5" s="78"/>
      <c r="AG5" s="78"/>
    </row>
    <row r="6" spans="1:60" ht="15.5" thickTop="1" thickBot="1">
      <c r="A6" s="94"/>
      <c r="B6" s="2389"/>
      <c r="C6" s="2269"/>
      <c r="D6" s="2269"/>
      <c r="E6" s="2373"/>
      <c r="F6" s="2397"/>
      <c r="G6" s="2398"/>
      <c r="I6" s="92"/>
      <c r="J6" s="92"/>
      <c r="K6" s="92"/>
      <c r="L6" s="78"/>
      <c r="M6" s="78"/>
      <c r="N6" s="78"/>
      <c r="O6" s="78"/>
      <c r="P6" s="78"/>
      <c r="Q6" s="78"/>
      <c r="R6" s="78"/>
      <c r="S6" s="78"/>
      <c r="T6" s="78"/>
      <c r="U6" s="78"/>
      <c r="V6" s="78"/>
      <c r="W6" s="78"/>
      <c r="X6" s="78"/>
      <c r="Y6" s="78"/>
      <c r="Z6" s="78"/>
      <c r="AA6" s="78"/>
      <c r="AB6" s="78"/>
      <c r="AC6" s="78"/>
      <c r="AD6" s="78"/>
      <c r="AE6" s="78"/>
      <c r="AF6" s="78"/>
      <c r="AG6" s="78"/>
    </row>
    <row r="7" spans="1:60">
      <c r="A7" s="1514" t="str">
        <f ca="1">MID(CELL("filename",A1),FIND("]",CELL("filename",A1))+1,255)</f>
        <v>HIV-Equipment</v>
      </c>
      <c r="B7" s="81"/>
      <c r="C7" s="81"/>
      <c r="D7" s="81"/>
      <c r="E7" s="81"/>
      <c r="F7" s="81"/>
      <c r="G7" s="81"/>
      <c r="H7" s="81"/>
      <c r="I7" s="81"/>
      <c r="J7" s="81"/>
      <c r="K7" s="78"/>
      <c r="L7" s="78"/>
      <c r="M7" s="78"/>
      <c r="N7" s="78"/>
      <c r="O7" s="78"/>
      <c r="P7" s="78"/>
      <c r="R7" s="78"/>
      <c r="S7" s="78"/>
      <c r="T7" s="78"/>
      <c r="U7" s="78"/>
      <c r="V7" s="78"/>
      <c r="W7" s="78"/>
      <c r="X7" s="78"/>
      <c r="Y7" s="78"/>
      <c r="Z7" s="78"/>
      <c r="AA7" s="78"/>
      <c r="AB7" s="78"/>
      <c r="AD7" s="78"/>
      <c r="AE7" s="78"/>
      <c r="AF7" s="78"/>
      <c r="AG7" s="78"/>
    </row>
    <row r="8" spans="1:60" ht="15" customHeight="1">
      <c r="A8" s="2386">
        <v>1</v>
      </c>
      <c r="B8" s="2399" t="s">
        <v>185</v>
      </c>
      <c r="C8" s="2400"/>
      <c r="D8" s="2400"/>
      <c r="E8" s="2400"/>
      <c r="F8" s="2401"/>
      <c r="G8" s="95"/>
      <c r="H8" s="78"/>
      <c r="I8" s="78"/>
      <c r="J8" s="78"/>
      <c r="K8" s="78"/>
      <c r="L8" s="78"/>
      <c r="M8" s="78"/>
      <c r="N8" s="99"/>
      <c r="O8" s="92"/>
      <c r="P8" s="78"/>
      <c r="Q8" s="78"/>
      <c r="R8" s="78"/>
      <c r="S8" s="78"/>
      <c r="T8" s="78"/>
      <c r="U8" s="78"/>
      <c r="V8" s="78"/>
      <c r="W8" s="78"/>
      <c r="X8" s="78"/>
      <c r="Y8" s="78"/>
      <c r="Z8" s="78"/>
      <c r="AA8" s="78"/>
      <c r="AB8" s="78"/>
      <c r="AC8" s="78"/>
      <c r="AD8" s="78"/>
      <c r="AE8" s="78"/>
      <c r="AF8" s="78"/>
      <c r="AG8" s="78"/>
    </row>
    <row r="9" spans="1:60" ht="15" customHeight="1">
      <c r="A9" s="2387"/>
      <c r="B9" s="2402"/>
      <c r="C9" s="2403"/>
      <c r="D9" s="2403"/>
      <c r="E9" s="2403"/>
      <c r="F9" s="2404"/>
      <c r="G9" s="78"/>
      <c r="H9" s="78"/>
      <c r="I9" s="78"/>
      <c r="J9" s="78"/>
      <c r="K9" s="78"/>
      <c r="L9" s="78"/>
      <c r="M9" s="78"/>
      <c r="N9" s="78"/>
      <c r="O9" s="78"/>
      <c r="P9" s="78"/>
      <c r="Q9" s="78"/>
      <c r="R9" s="78"/>
      <c r="S9" s="78"/>
      <c r="T9" s="78"/>
      <c r="U9" s="78"/>
      <c r="V9" s="78"/>
      <c r="W9" s="78"/>
      <c r="X9" s="78"/>
      <c r="Y9" s="78"/>
      <c r="Z9" s="78"/>
      <c r="AA9" s="78"/>
      <c r="AB9" s="78"/>
      <c r="AC9" s="78"/>
      <c r="AD9" s="78"/>
      <c r="AE9" s="78"/>
      <c r="AF9" s="78"/>
      <c r="AG9" s="78"/>
    </row>
    <row r="10" spans="1:60" ht="116.25" customHeight="1">
      <c r="A10" s="2348" t="str">
        <f>IF($J$1=2,Language!$E$115,IF($J$1=3,Language!$F$115,Language!$G$115))</f>
        <v>1. Columna A: Seleccionar la categoría de productos en el menú desplegable_x000D_
2. Columna C: Seleccionar el tipo de equipamiento en el menú desplegable_x000D_
3. Columna D: Seleccionar la especificación en el menú desplegable. Este menú incluye el equipamiento, los repuestos y los artículos relacionados con la garantía, el mantenimiento y el servicio; para especificaciones en las que aparezca “introducir especificaciones manualmente”, utilizar la columna AE “Comentarios” a fin de facilitar esta información_x000D_
4. Columnas G, N, U: Insertar el costo unitario de cada producto (el precio debe constar en la moneda de la subvención [USD o EUR])_x000D_
5. Columnas H, I,J, K, O, P, Q, R, V, W, X, Y: Insertar para cada producto la cantidad que será adquirida en el trimestre pertinente en el que se ponga/confirme la orden con los fabricantes_x000D_
6. La columna AE es opcional y se debe utilizar si se desean comunicar comentarios pertinentes al equipo del país/ALF</v>
      </c>
      <c r="B10" s="2349"/>
      <c r="C10" s="2349"/>
      <c r="D10" s="2349"/>
      <c r="E10" s="2349"/>
      <c r="F10" s="2349"/>
      <c r="G10" s="2349"/>
      <c r="H10" s="2349"/>
      <c r="I10" s="2349"/>
      <c r="J10" s="2349"/>
      <c r="K10" s="2349"/>
      <c r="L10" s="2349"/>
      <c r="M10" s="2350"/>
      <c r="N10" s="95"/>
      <c r="O10" s="95"/>
      <c r="P10" s="95"/>
      <c r="Q10" s="95"/>
      <c r="R10" s="95"/>
      <c r="S10" s="95"/>
      <c r="T10" s="95"/>
      <c r="U10" s="95"/>
      <c r="V10" s="95"/>
      <c r="W10" s="95"/>
      <c r="X10" s="95"/>
      <c r="Y10" s="95"/>
      <c r="Z10" s="95"/>
      <c r="AA10" s="95"/>
      <c r="AB10" s="95"/>
      <c r="AC10" s="95"/>
      <c r="AD10" s="95"/>
      <c r="AE10" s="95"/>
      <c r="AF10" s="95"/>
      <c r="AG10" s="95"/>
    </row>
    <row r="11" spans="1:60" ht="15" thickBot="1">
      <c r="A11" s="96"/>
      <c r="B11" s="96"/>
      <c r="C11" s="96"/>
      <c r="D11" s="96"/>
      <c r="E11" s="96"/>
      <c r="F11" s="96"/>
      <c r="G11" s="148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V11" s="337"/>
      <c r="AW11" s="2297" t="s">
        <v>1225</v>
      </c>
      <c r="AX11" s="2297"/>
      <c r="AY11" s="2297"/>
      <c r="AZ11" s="2297"/>
      <c r="BA11" s="2297"/>
      <c r="BB11" s="2297"/>
      <c r="BC11" s="2297"/>
      <c r="BD11" s="2297"/>
      <c r="BE11" s="2297"/>
      <c r="BF11" s="2297"/>
      <c r="BG11" s="2297"/>
      <c r="BH11" s="2297"/>
    </row>
    <row r="12" spans="1:60" ht="15" thickBot="1">
      <c r="A12" s="2310" t="str">
        <f>VLOOKUP("Category",Language!$D$110:$G$148,$J$1,FALSE)</f>
        <v>Categoría</v>
      </c>
      <c r="B12" s="2312"/>
      <c r="C12" s="2375" t="str">
        <f>VLOOKUP("Type of equipment",Language!$D$110:$G$148,$J$1,FALSE)</f>
        <v>Tipo de equipamiento</v>
      </c>
      <c r="D12" s="2325" t="str">
        <f>VLOOKUP("Specification (denomination, technical feature)",Language!$D$110:$G$148,$J$1,FALSE)</f>
        <v>Especificaciones (denominación, características técnicas)</v>
      </c>
      <c r="E12" s="2312" t="str">
        <f>VLOOKUP("Unit of measure",Language!$D$110:$G$148,$J$1,FALSE)</f>
        <v>Unidad de medida</v>
      </c>
      <c r="F12" s="2405" t="str">
        <f>VLOOKUP("Payment Currency",Language!$D$110:$G$148,$J$1,FALSE)</f>
        <v>Moneda de pago</v>
      </c>
      <c r="G12" s="2321">
        <f>IF(ISBLANK(IMP_ST_DATE),SETUP!$A$3,IF(MO_CHECK&gt;3,"Y1",YEAR(IMP_ST_DATE)))</f>
        <v>2022</v>
      </c>
      <c r="H12" s="2322"/>
      <c r="I12" s="2322"/>
      <c r="J12" s="2322"/>
      <c r="K12" s="2322"/>
      <c r="L12" s="2322"/>
      <c r="M12" s="2324"/>
      <c r="N12" s="2321">
        <f>IF(G12="Y1","Y2",IF(ISBLANK(IMP_ST_DATE),SETUP!$A$3,YEAR(IMP_ST_DATE)+1))</f>
        <v>2023</v>
      </c>
      <c r="O12" s="2322"/>
      <c r="P12" s="2322"/>
      <c r="Q12" s="2322"/>
      <c r="R12" s="2322"/>
      <c r="S12" s="2322"/>
      <c r="T12" s="2323"/>
      <c r="U12" s="2321">
        <f>IF(G12="Y1","Y3",IF(ISBLANK(IMP_ST_DATE),SETUP!$A$3,YEAR(IMP_ST_DATE)+2))</f>
        <v>2024</v>
      </c>
      <c r="V12" s="2322"/>
      <c r="W12" s="2322"/>
      <c r="X12" s="2322"/>
      <c r="Y12" s="2322"/>
      <c r="Z12" s="2322"/>
      <c r="AA12" s="2323"/>
      <c r="AB12" s="2310" t="str">
        <f>VLOOKUP("Total grant period",Language!$D$110:$G$148,$J$1,FALSE)</f>
        <v>Total del período de subvención</v>
      </c>
      <c r="AC12" s="2374"/>
      <c r="AD12" s="451" t="str">
        <f>VLOOKUP("Finance",Language!$D$110:$G$148,$J$1,FALSE)</f>
        <v>Finanzas</v>
      </c>
      <c r="AE12" s="2375" t="str">
        <f>VLOOKUP("Comments",Language!$D$110:$G$148,$J$1,FALSE)</f>
        <v>Comentarios</v>
      </c>
      <c r="AF12" s="2295" t="str">
        <f>VLOOKUP("Delivery Lead Time",Language!$D$110:$G$148,$J$1,FALSE)</f>
        <v>Plazo de entrega</v>
      </c>
      <c r="AG12" s="2295" t="s">
        <v>3055</v>
      </c>
      <c r="AN12" s="62"/>
      <c r="AO12" s="377"/>
      <c r="AV12" s="338"/>
      <c r="AW12" s="2370">
        <f>YEAR(IMP_ST_DATE)</f>
        <v>2022</v>
      </c>
      <c r="AX12" s="2370"/>
      <c r="AY12" s="2370"/>
      <c r="AZ12" s="2370"/>
      <c r="BA12" s="2370">
        <f>YEAR(IMP_ST_DATE)+1</f>
        <v>2023</v>
      </c>
      <c r="BB12" s="2370"/>
      <c r="BC12" s="2370"/>
      <c r="BD12" s="2370"/>
      <c r="BE12" s="2370">
        <f>YEAR(IMP_ST_DATE)+2</f>
        <v>2024</v>
      </c>
      <c r="BF12" s="2370"/>
      <c r="BG12" s="2370"/>
      <c r="BH12" s="2370"/>
    </row>
    <row r="13" spans="1:60" s="268" customFormat="1" ht="32.25" customHeight="1" thickBot="1">
      <c r="A13" s="2390"/>
      <c r="B13" s="2388"/>
      <c r="C13" s="2376"/>
      <c r="D13" s="2385"/>
      <c r="E13" s="2388"/>
      <c r="F13" s="2406"/>
      <c r="G13" s="1822" t="str">
        <f>VLOOKUP("Y1 Unit cost",Language!$D$110:$G$148,$J$1,FALSE)</f>
        <v>Costo unitario del A1</v>
      </c>
      <c r="H13" s="1821" t="str">
        <f>VLOOKUP("Y1 Q1 quantity",Language!$D$110:$G$148,$J$1,FALSE)</f>
        <v>Cantidad del A1, T1</v>
      </c>
      <c r="I13" s="1821" t="str">
        <f>VLOOKUP("Y1 Q2 quantity",Language!$D$110:$G$148,$J$1,FALSE)</f>
        <v>Cantidad del A1, T2</v>
      </c>
      <c r="J13" s="1821" t="str">
        <f>VLOOKUP("Y1 Q3 quantity",Language!$D$110:$G$148,$J$1,FALSE)</f>
        <v>Cantidad del A1, T3</v>
      </c>
      <c r="K13" s="1821" t="str">
        <f>VLOOKUP("Y1 Q4 quantity",Language!$D$110:$G$148,$J$1,FALSE)</f>
        <v>Cantidad del A1, T4</v>
      </c>
      <c r="L13" s="1821" t="str">
        <f>VLOOKUP("Y1 Total quantity",Language!$D$110:$G$148,$J$1,FALSE)</f>
        <v>Cantidad total del A1</v>
      </c>
      <c r="M13" s="1821" t="str">
        <f>VLOOKUP("Y1 Total cost",Language!$D$110:$G$148,$J$1,FALSE)</f>
        <v>Costo total del A1</v>
      </c>
      <c r="N13" s="1823" t="str">
        <f>VLOOKUP("Y2 Unit cost",Language!$D$110:$G$148,$J$1,FALSE)</f>
        <v>Costo unitario del A2</v>
      </c>
      <c r="O13" s="1821" t="str">
        <f>VLOOKUP("Y2 Q1 quantity",Language!$D$110:$G$148,$J$1,FALSE)</f>
        <v>Cantidad del A2, T1</v>
      </c>
      <c r="P13" s="1821" t="str">
        <f>VLOOKUP("Y2 Q2 quantity",Language!$D$110:$G$148,$J$1,FALSE)</f>
        <v>Cantidad del A2, T2</v>
      </c>
      <c r="Q13" s="1821" t="str">
        <f>VLOOKUP("Y2 Q3 quantity",Language!$D$110:$G$148,$J$1,FALSE)</f>
        <v>Cantidad del A2, T3</v>
      </c>
      <c r="R13" s="1821" t="str">
        <f>VLOOKUP("Y2 Q4 quantity",Language!$D$110:$G$148,$J$1,FALSE)</f>
        <v>Cantidad del A2, T4</v>
      </c>
      <c r="S13" s="1821" t="str">
        <f>VLOOKUP("Y2 Total quantity",Language!$D$110:$G$148,$J$1,FALSE)</f>
        <v>Cantidad total del A2</v>
      </c>
      <c r="T13" s="1821" t="str">
        <f>VLOOKUP("Y2 Total cost",Language!$D$110:$G$148,$J$1,FALSE)</f>
        <v>Costo total del A2</v>
      </c>
      <c r="U13" s="1823" t="s">
        <v>159</v>
      </c>
      <c r="V13" s="1821" t="str">
        <f>VLOOKUP("Y3 Q1 quantity",Language!$D$110:$G$148,$J$1,FALSE)</f>
        <v>Cantidad del A3, T1</v>
      </c>
      <c r="W13" s="1821" t="str">
        <f>VLOOKUP("Y3 Q2 quantity",Language!$D$110:$G$148,$J$1,FALSE)</f>
        <v>Cantidad del A3, T2</v>
      </c>
      <c r="X13" s="1821" t="str">
        <f>VLOOKUP("Y3 Q3 quantity",Language!$D$110:$G$148,$J$1,FALSE)</f>
        <v>Cantidad del A3, T3</v>
      </c>
      <c r="Y13" s="1821" t="str">
        <f>VLOOKUP("Y3 Q4 quantity",Language!$D$110:$G$148,$J$1,FALSE)</f>
        <v>Cantidad del A3, T4</v>
      </c>
      <c r="Z13" s="1821" t="str">
        <f>VLOOKUP("Y3 Total quantity",Language!$D$110:$G$148,$J$1,FALSE)</f>
        <v>Cantidad total del A3</v>
      </c>
      <c r="AA13" s="1821" t="str">
        <f>VLOOKUP("Y3 Total cost",Language!$D$110:$G$148,$J$1,FALSE)</f>
        <v>Costo total del A3</v>
      </c>
      <c r="AB13" s="1803" t="str">
        <f>VLOOKUP("Total quantity",Language!$D$110:$G$148,$J$1,FALSE)</f>
        <v>Cantidad total</v>
      </c>
      <c r="AC13" s="1802" t="str">
        <f>VLOOKUP("Total cost ",Language!$D$110:$G$148,$J$1,FALSE)</f>
        <v xml:space="preserve">Costo total </v>
      </c>
      <c r="AD13" s="1804" t="str">
        <f>VLOOKUP("Cost input",Language!$D$110:$G$148,$J$1,FALSE)</f>
        <v>Categoría de costos</v>
      </c>
      <c r="AE13" s="2376"/>
      <c r="AF13" s="2296"/>
      <c r="AG13" s="2296"/>
      <c r="AO13" s="378"/>
      <c r="AV13" s="342"/>
      <c r="AW13" s="343" t="s">
        <v>1213</v>
      </c>
      <c r="AX13" s="343" t="s">
        <v>1214</v>
      </c>
      <c r="AY13" s="343" t="s">
        <v>1215</v>
      </c>
      <c r="AZ13" s="343" t="s">
        <v>1216</v>
      </c>
      <c r="BA13" s="343" t="s">
        <v>1217</v>
      </c>
      <c r="BB13" s="343" t="s">
        <v>1218</v>
      </c>
      <c r="BC13" s="343" t="s">
        <v>1220</v>
      </c>
      <c r="BD13" s="343" t="s">
        <v>1221</v>
      </c>
      <c r="BE13" s="343" t="s">
        <v>1222</v>
      </c>
      <c r="BF13" s="343" t="s">
        <v>1223</v>
      </c>
      <c r="BG13" s="343" t="s">
        <v>1219</v>
      </c>
      <c r="BH13" s="343" t="s">
        <v>1224</v>
      </c>
    </row>
    <row r="14" spans="1:60" s="379" customFormat="1">
      <c r="A14" s="2377" t="s">
        <v>1448</v>
      </c>
      <c r="B14" s="2302"/>
      <c r="C14" s="1175" t="s">
        <v>205</v>
      </c>
      <c r="D14" s="1170" t="s">
        <v>191</v>
      </c>
      <c r="E14" s="280" t="str">
        <f>IF(A14&lt;&gt;"",IFERROR(INDEX(PMtbl[[WKst]:[Unit of measure*]],MATCH($A$8&amp;$A14&amp;$C14&amp;$D14,INDEX(PMtbl[Sec]&amp;PMtbl[Category]&amp;PMtbl[INN]&amp;PMtbl[Specification],0,),0),8),""),"")</f>
        <v>Each</v>
      </c>
      <c r="F14" s="280" t="str">
        <f>IF(E14="", "",SETUP!$E$5)</f>
        <v>USD</v>
      </c>
      <c r="G14" s="1942">
        <v>4000</v>
      </c>
      <c r="H14" s="1943"/>
      <c r="I14" s="1943">
        <v>50</v>
      </c>
      <c r="J14" s="1943"/>
      <c r="K14" s="1943"/>
      <c r="L14" s="1805">
        <f>SUM('HIV-Equipment'!$H14:$K14)</f>
        <v>50</v>
      </c>
      <c r="M14" s="1806">
        <f>'HIV-Equipment'!$L14*'HIV-Equipment'!$G14</f>
        <v>200000</v>
      </c>
      <c r="N14" s="1953"/>
      <c r="O14" s="1943"/>
      <c r="P14" s="1943"/>
      <c r="Q14" s="1943"/>
      <c r="R14" s="1943"/>
      <c r="S14" s="1805">
        <f>SUM('HIV-Equipment'!$O14:$R14)</f>
        <v>0</v>
      </c>
      <c r="T14" s="1806">
        <f>'HIV-Equipment'!$S14*'HIV-Equipment'!$N14</f>
        <v>0</v>
      </c>
      <c r="U14" s="1953"/>
      <c r="V14" s="1943"/>
      <c r="W14" s="1943"/>
      <c r="X14" s="1943"/>
      <c r="Y14" s="1943"/>
      <c r="Z14" s="1805">
        <f>SUM('HIV-Equipment'!$V14:$Y14)</f>
        <v>0</v>
      </c>
      <c r="AA14" s="1806">
        <f>'HIV-Equipment'!$U14*'HIV-Equipment'!$Z14</f>
        <v>0</v>
      </c>
      <c r="AB14" s="1807">
        <f>'HIV-Equipment'!$L14+'HIV-Equipment'!$S14+'HIV-Equipment'!$Z14</f>
        <v>50</v>
      </c>
      <c r="AC14" s="1806">
        <f>'HIV-Equipment'!$M14+'HIV-Equipment'!$T14+'HIV-Equipment'!$AA14</f>
        <v>200000</v>
      </c>
      <c r="AD14" s="1808">
        <f>IF(A14&lt;&gt;"",IFERROR(INDEX(PMtbl[[WKst]:[Unit of measure*]],MATCH($A$8&amp;$A14&amp;$C14&amp;$D14,INDEX(PMtbl[Sec]&amp;PMtbl[Category]&amp;PMtbl[INN]&amp;PMtbl[Specification],0,),0),7),""),"")</f>
        <v>6.6</v>
      </c>
      <c r="AE14" s="2048"/>
      <c r="AF14" s="1387">
        <f>IFERROR(INDEX(SETUP!$C$19:$G$62,MATCH((INDEX(PMtbl[[WKst]:[Unit of measure*]],MATCH($A14&amp;$C14&amp;$D14,INDEX(PMtbl[Category]&amp;PMtbl[INN]&amp;PMtbl[Specification],0,),0),3)),SETUP!$D$19:$D$62,0),5),"")</f>
        <v>3</v>
      </c>
      <c r="AG14" s="1387">
        <f>IFERROR(IF((INDEX(SETUP!$C$19:$G$62,MATCH((INDEX(PMtbl[[WKst]:[Unit of measure*]],MATCH($A14&amp;$C14&amp;$D14,INDEX(PMtbl[Category]&amp;PMtbl[INN]&amp;PMtbl[Specification],0,),0),3)),SETUP!$D$19:$D$62,0),4))="Upfront",0,INDEX(SETUP!$C$19:$G$62,MATCH((INDEX(PMtbl[[WKst]:[Unit of measure*]],MATCH($A14&amp;$C14&amp;$D14,INDEX(PMtbl[Category]&amp;PMtbl[INN]&amp;PMtbl[Specification],0,),0),3)),SETUP!$D$19:$D$62,0),5)),"")</f>
        <v>0</v>
      </c>
      <c r="AO14" s="380"/>
      <c r="AV14" s="347" t="s">
        <v>1458</v>
      </c>
      <c r="AW14" s="455">
        <f>SUMPRODUCT(($G$14:$G$58)*((H14:H58)))-AW18</f>
        <v>0</v>
      </c>
      <c r="AX14" s="455">
        <f>SUMPRODUCT(($G$14:$G$58)*((I14:I58)))-AX18</f>
        <v>255000</v>
      </c>
      <c r="AY14" s="455">
        <f>SUMPRODUCT(($G$14:$G$58)*((J14:J58)))-AY18</f>
        <v>0</v>
      </c>
      <c r="AZ14" s="455">
        <f>SUMPRODUCT(($G$14:$G$58)*((K14:K58)))-AZ18</f>
        <v>0</v>
      </c>
      <c r="BA14" s="456">
        <f>SUMPRODUCT(($N$14:$N$58)*((O14:O58)))-BA18</f>
        <v>0</v>
      </c>
      <c r="BB14" s="456">
        <f>SUMPRODUCT(($N$14:$N$58)*((P14:P58)))-BB18</f>
        <v>0</v>
      </c>
      <c r="BC14" s="456">
        <f>SUMPRODUCT(($N$14:$N$58)*((Q14:Q58)))-BC18</f>
        <v>0</v>
      </c>
      <c r="BD14" s="456">
        <f>SUMPRODUCT(($N$14:$N$58)*((R14:R58)))-BD18</f>
        <v>0</v>
      </c>
      <c r="BE14" s="456">
        <f>SUMPRODUCT(($U$14:$U$58)*((V14:V58)))-BE18</f>
        <v>0</v>
      </c>
      <c r="BF14" s="456">
        <f>SUMPRODUCT(($U$14:$U$58)*((W14:W58)))-BF18</f>
        <v>0</v>
      </c>
      <c r="BG14" s="456">
        <f>SUMPRODUCT(($U$14:$U$58)*((X14:X58)))-BG18</f>
        <v>0</v>
      </c>
      <c r="BH14" s="456">
        <f>SUMPRODUCT(($U$14:$U$58)*((Y14:Y58)))-BH18</f>
        <v>0</v>
      </c>
    </row>
    <row r="15" spans="1:60">
      <c r="A15" s="2378" t="s">
        <v>1448</v>
      </c>
      <c r="B15" s="2304"/>
      <c r="C15" s="1176" t="s">
        <v>2730</v>
      </c>
      <c r="D15" s="1171" t="s">
        <v>191</v>
      </c>
      <c r="E15" s="281" t="str">
        <f>IF(A15&lt;&gt;"",IFERROR(INDEX(PMtbl[[WKst]:[Unit of measure*]],MATCH($A$8&amp;$A15&amp;$C15&amp;$D15,INDEX(PMtbl[Sec]&amp;PMtbl[Category]&amp;PMtbl[INN]&amp;PMtbl[Specification],0,),0),8),""),"")</f>
        <v>Each</v>
      </c>
      <c r="F15" s="281" t="str">
        <f>IF(E15="", "",SETUP!$E$5)</f>
        <v>USD</v>
      </c>
      <c r="G15" s="1944">
        <v>5000</v>
      </c>
      <c r="H15" s="12"/>
      <c r="I15" s="12">
        <v>10</v>
      </c>
      <c r="J15" s="12"/>
      <c r="K15" s="12"/>
      <c r="L15" s="1809">
        <f>SUM('HIV-Equipment'!$H15:$K15)</f>
        <v>10</v>
      </c>
      <c r="M15" s="1810">
        <f>'HIV-Equipment'!$L15*'HIV-Equipment'!$G15</f>
        <v>50000</v>
      </c>
      <c r="N15" s="1954"/>
      <c r="O15" s="12"/>
      <c r="P15" s="12"/>
      <c r="Q15" s="12"/>
      <c r="R15" s="12"/>
      <c r="S15" s="1809">
        <f>SUM('HIV-Equipment'!$O15:$R15)</f>
        <v>0</v>
      </c>
      <c r="T15" s="1810">
        <f>'HIV-Equipment'!$S15*'HIV-Equipment'!$N15</f>
        <v>0</v>
      </c>
      <c r="U15" s="1954"/>
      <c r="V15" s="12"/>
      <c r="W15" s="12"/>
      <c r="X15" s="12"/>
      <c r="Y15" s="12"/>
      <c r="Z15" s="1809">
        <f>SUM('HIV-Equipment'!$V15:$Y15)</f>
        <v>0</v>
      </c>
      <c r="AA15" s="1810">
        <f>'HIV-Equipment'!$U15*'HIV-Equipment'!$Z15</f>
        <v>0</v>
      </c>
      <c r="AB15" s="1811">
        <f>'HIV-Equipment'!$L15+'HIV-Equipment'!$S15+'HIV-Equipment'!$Z15</f>
        <v>10</v>
      </c>
      <c r="AC15" s="1810">
        <f>'HIV-Equipment'!$M15+'HIV-Equipment'!$T15+'HIV-Equipment'!$AA15</f>
        <v>50000</v>
      </c>
      <c r="AD15" s="1388">
        <f>IF(A15&lt;&gt;"",IFERROR(INDEX(PMtbl[[WKst]:[Unit of measure*]],MATCH($A$8&amp;$A15&amp;$C15&amp;$D15,INDEX(PMtbl[Sec]&amp;PMtbl[Category]&amp;PMtbl[INN]&amp;PMtbl[Specification],0,),0),7),""),"")</f>
        <v>6.6</v>
      </c>
      <c r="AE15" s="2049"/>
      <c r="AF15" s="1388">
        <f>IFERROR(INDEX(SETUP!$C$19:$G$62,MATCH((INDEX(PMtbl[[WKst]:[Unit of measure*]],MATCH($A15&amp;$C15&amp;$D15,INDEX(PMtbl[Category]&amp;PMtbl[INN]&amp;PMtbl[Specification],0,),0),3)),SETUP!$D$19:$D$62,0),5),"")</f>
        <v>3</v>
      </c>
      <c r="AG15" s="1388">
        <f>IFERROR(IF((INDEX(SETUP!$C$19:$G$62,MATCH((INDEX(PMtbl[[WKst]:[Unit of measure*]],MATCH($A15&amp;$C15&amp;$D15,INDEX(PMtbl[Category]&amp;PMtbl[INN]&amp;PMtbl[Specification],0,),0),3)),SETUP!$D$19:$D$62,0),4))="Upfront",0,INDEX(SETUP!$C$19:$G$62,MATCH((INDEX(PMtbl[[WKst]:[Unit of measure*]],MATCH($A15&amp;$C15&amp;$D15,INDEX(PMtbl[Category]&amp;PMtbl[INN]&amp;PMtbl[Specification],0,),0),3)),SETUP!$D$19:$D$62,0),5)),"")</f>
        <v>0</v>
      </c>
      <c r="AN15" s="62"/>
      <c r="AO15" s="380"/>
    </row>
    <row r="16" spans="1:60">
      <c r="A16" s="2377" t="s">
        <v>1448</v>
      </c>
      <c r="B16" s="2302"/>
      <c r="C16" s="1177" t="s">
        <v>1034</v>
      </c>
      <c r="D16" s="1172" t="s">
        <v>191</v>
      </c>
      <c r="E16" s="280" t="str">
        <f>IF(A16&lt;&gt;"",IFERROR(INDEX(PMtbl[[WKst]:[Unit of measure*]],MATCH($A$8&amp;$A16&amp;$C16&amp;$D16,INDEX(PMtbl[Sec]&amp;PMtbl[Category]&amp;PMtbl[INN]&amp;PMtbl[Specification],0,),0),8),""),"")</f>
        <v>Each</v>
      </c>
      <c r="F16" s="280" t="str">
        <f>IF(E16="", "",SETUP!$E$5)</f>
        <v>USD</v>
      </c>
      <c r="G16" s="1945">
        <v>100</v>
      </c>
      <c r="H16" s="1946"/>
      <c r="I16" s="1946">
        <v>50</v>
      </c>
      <c r="J16" s="1946"/>
      <c r="K16" s="1946"/>
      <c r="L16" s="1812">
        <f>SUM('HIV-Equipment'!$H16:$K16)</f>
        <v>50</v>
      </c>
      <c r="M16" s="1813">
        <f>'HIV-Equipment'!$L16*'HIV-Equipment'!$G16</f>
        <v>5000</v>
      </c>
      <c r="N16" s="1955"/>
      <c r="O16" s="1946"/>
      <c r="P16" s="1946"/>
      <c r="Q16" s="1946"/>
      <c r="R16" s="1946"/>
      <c r="S16" s="1812">
        <f>SUM('HIV-Equipment'!$O16:$R16)</f>
        <v>0</v>
      </c>
      <c r="T16" s="1813">
        <f>'HIV-Equipment'!$S16*'HIV-Equipment'!$N16</f>
        <v>0</v>
      </c>
      <c r="U16" s="1955"/>
      <c r="V16" s="1946"/>
      <c r="W16" s="1946"/>
      <c r="X16" s="1946"/>
      <c r="Y16" s="1946"/>
      <c r="Z16" s="1812">
        <f>SUM('HIV-Equipment'!$V16:$Y16)</f>
        <v>0</v>
      </c>
      <c r="AA16" s="1813">
        <f>'HIV-Equipment'!$U16*'HIV-Equipment'!$Z16</f>
        <v>0</v>
      </c>
      <c r="AB16" s="1814">
        <f>'HIV-Equipment'!$L16+'HIV-Equipment'!$S16+'HIV-Equipment'!$Z16</f>
        <v>50</v>
      </c>
      <c r="AC16" s="1813">
        <f>'HIV-Equipment'!$M16+'HIV-Equipment'!$T16+'HIV-Equipment'!$AA16</f>
        <v>5000</v>
      </c>
      <c r="AD16" s="1387">
        <f>IF(A16&lt;&gt;"",IFERROR(INDEX(PMtbl[[WKst]:[Unit of measure*]],MATCH($A$8&amp;$A16&amp;$C16&amp;$D16,INDEX(PMtbl[Sec]&amp;PMtbl[Category]&amp;PMtbl[INN]&amp;PMtbl[Specification],0,),0),7),""),"")</f>
        <v>6.6</v>
      </c>
      <c r="AE16" s="2050"/>
      <c r="AF16" s="1387">
        <f>IFERROR(INDEX(SETUP!$C$19:$G$62,MATCH((INDEX(PMtbl[[WKst]:[Unit of measure*]],MATCH($A16&amp;$C16&amp;$D16,INDEX(PMtbl[Category]&amp;PMtbl[INN]&amp;PMtbl[Specification],0,),0),3)),SETUP!$D$19:$D$62,0),5),"")</f>
        <v>3</v>
      </c>
      <c r="AG16" s="1387">
        <f>IFERROR(IF((INDEX(SETUP!$C$19:$G$62,MATCH((INDEX(PMtbl[[WKst]:[Unit of measure*]],MATCH($A16&amp;$C16&amp;$D16,INDEX(PMtbl[Category]&amp;PMtbl[INN]&amp;PMtbl[Specification],0,),0),3)),SETUP!$D$19:$D$62,0),4))="Upfront",0,INDEX(SETUP!$C$19:$G$62,MATCH((INDEX(PMtbl[[WKst]:[Unit of measure*]],MATCH($A16&amp;$C16&amp;$D16,INDEX(PMtbl[Category]&amp;PMtbl[INN]&amp;PMtbl[Specification],0,),0),3)),SETUP!$D$19:$D$62,0),5)),"")</f>
        <v>0</v>
      </c>
      <c r="AN16" s="62"/>
      <c r="AO16" s="380"/>
      <c r="AV16" s="457"/>
      <c r="AW16" s="458"/>
      <c r="AX16" s="458"/>
      <c r="AY16" s="458"/>
      <c r="AZ16" s="458"/>
      <c r="BA16" s="458"/>
      <c r="BB16" s="458"/>
      <c r="BC16" s="458"/>
      <c r="BD16" s="458"/>
      <c r="BE16" s="458"/>
      <c r="BF16" s="458"/>
      <c r="BG16" s="458"/>
      <c r="BH16" s="458"/>
    </row>
    <row r="17" spans="1:61">
      <c r="A17" s="2378"/>
      <c r="B17" s="2304"/>
      <c r="C17" s="1176"/>
      <c r="D17" s="1171"/>
      <c r="E17" s="281" t="str">
        <f>IF(A17&lt;&gt;"",IFERROR(INDEX(PMtbl[[WKst]:[Unit of measure*]],MATCH($A$8&amp;$A17&amp;$C17&amp;$D17,INDEX(PMtbl[Sec]&amp;PMtbl[Category]&amp;PMtbl[INN]&amp;PMtbl[Specification],0,),0),8),""),"")</f>
        <v/>
      </c>
      <c r="F17" s="281" t="str">
        <f>IF(E17="", "",SETUP!$E$5)</f>
        <v/>
      </c>
      <c r="G17" s="1947"/>
      <c r="H17" s="12"/>
      <c r="I17" s="12"/>
      <c r="J17" s="12"/>
      <c r="K17" s="12"/>
      <c r="L17" s="1809">
        <f>SUM('HIV-Equipment'!$H17:$K17)</f>
        <v>0</v>
      </c>
      <c r="M17" s="1810">
        <f>'HIV-Equipment'!$L17*'HIV-Equipment'!$G17</f>
        <v>0</v>
      </c>
      <c r="N17" s="1954"/>
      <c r="O17" s="12"/>
      <c r="P17" s="12"/>
      <c r="Q17" s="12"/>
      <c r="R17" s="12"/>
      <c r="S17" s="1809">
        <f>SUM('HIV-Equipment'!$O17:$R17)</f>
        <v>0</v>
      </c>
      <c r="T17" s="1810">
        <f>'HIV-Equipment'!$S17*'HIV-Equipment'!$N17</f>
        <v>0</v>
      </c>
      <c r="U17" s="1954"/>
      <c r="V17" s="12"/>
      <c r="W17" s="12"/>
      <c r="X17" s="12"/>
      <c r="Y17" s="12"/>
      <c r="Z17" s="1809">
        <f>SUM('HIV-Equipment'!$V17:$Y17)</f>
        <v>0</v>
      </c>
      <c r="AA17" s="1810">
        <f>'HIV-Equipment'!$U17*'HIV-Equipment'!$Z17</f>
        <v>0</v>
      </c>
      <c r="AB17" s="1811">
        <f>'HIV-Equipment'!$L17+'HIV-Equipment'!$S17+'HIV-Equipment'!$Z17</f>
        <v>0</v>
      </c>
      <c r="AC17" s="1810">
        <f>'HIV-Equipment'!$M17+'HIV-Equipment'!$T17+'HIV-Equipment'!$AA17</f>
        <v>0</v>
      </c>
      <c r="AD17" s="1388" t="str">
        <f>IF(A17&lt;&gt;"",IFERROR(INDEX(PMtbl[[WKst]:[Unit of measure*]],MATCH($A$8&amp;$A17&amp;$C17&amp;$D17,INDEX(PMtbl[Sec]&amp;PMtbl[Category]&amp;PMtbl[INN]&amp;PMtbl[Specification],0,),0),7),""),"")</f>
        <v/>
      </c>
      <c r="AE17" s="2049"/>
      <c r="AF17" s="1388" t="str">
        <f>IFERROR(INDEX(SETUP!$C$19:$G$62,MATCH((INDEX(PMtbl[[WKst]:[Unit of measure*]],MATCH($A17&amp;$C17&amp;$D17,INDEX(PMtbl[Category]&amp;PMtbl[INN]&amp;PMtbl[Specification],0,),0),3)),SETUP!$D$19:$D$62,0),5),"")</f>
        <v/>
      </c>
      <c r="AG17" s="1388" t="str">
        <f>IFERROR(IF((INDEX(SETUP!$C$19:$G$62,MATCH((INDEX(PMtbl[[WKst]:[Unit of measure*]],MATCH($A17&amp;$C17&amp;$D17,INDEX(PMtbl[Category]&amp;PMtbl[INN]&amp;PMtbl[Specification],0,),0),3)),SETUP!$D$19:$D$62,0),4))="Upfront",0,INDEX(SETUP!$C$19:$G$62,MATCH((INDEX(PMtbl[[WKst]:[Unit of measure*]],MATCH($A17&amp;$C17&amp;$D17,INDEX(PMtbl[Category]&amp;PMtbl[INN]&amp;PMtbl[Specification],0,),0),3)),SETUP!$D$19:$D$62,0),5)),"")</f>
        <v/>
      </c>
      <c r="AN17" s="62"/>
      <c r="AO17" s="380"/>
      <c r="AW17" s="509"/>
    </row>
    <row r="18" spans="1:61">
      <c r="A18" s="2377"/>
      <c r="B18" s="2302"/>
      <c r="C18" s="1177"/>
      <c r="D18" s="1172"/>
      <c r="E18" s="280" t="str">
        <f>IF(A18&lt;&gt;"",IFERROR(INDEX(PMtbl[[WKst]:[Unit of measure*]],MATCH($A$8&amp;$A18&amp;$C18&amp;$D18,INDEX(PMtbl[Sec]&amp;PMtbl[Category]&amp;PMtbl[INN]&amp;PMtbl[Specification],0,),0),8),""),"")</f>
        <v/>
      </c>
      <c r="F18" s="280" t="str">
        <f>IF(E18="", "",SETUP!$E$5)</f>
        <v/>
      </c>
      <c r="G18" s="1948"/>
      <c r="H18" s="1946"/>
      <c r="I18" s="1946"/>
      <c r="J18" s="1946"/>
      <c r="K18" s="1946"/>
      <c r="L18" s="1812">
        <f>SUM('HIV-Equipment'!$H18:$K18)</f>
        <v>0</v>
      </c>
      <c r="M18" s="1813">
        <f>'HIV-Equipment'!$L18*'HIV-Equipment'!$G18</f>
        <v>0</v>
      </c>
      <c r="N18" s="1955"/>
      <c r="O18" s="1946"/>
      <c r="P18" s="1946"/>
      <c r="Q18" s="1946"/>
      <c r="R18" s="1946"/>
      <c r="S18" s="1812">
        <f>SUM('HIV-Equipment'!$O18:$R18)</f>
        <v>0</v>
      </c>
      <c r="T18" s="1813">
        <f>'HIV-Equipment'!$S18*'HIV-Equipment'!$N18</f>
        <v>0</v>
      </c>
      <c r="U18" s="1955"/>
      <c r="V18" s="1946"/>
      <c r="W18" s="1946"/>
      <c r="X18" s="1946"/>
      <c r="Y18" s="1946"/>
      <c r="Z18" s="1812">
        <f>SUM('HIV-Equipment'!$V18:$Y18)</f>
        <v>0</v>
      </c>
      <c r="AA18" s="1813">
        <f>'HIV-Equipment'!$U18*'HIV-Equipment'!$Z18</f>
        <v>0</v>
      </c>
      <c r="AB18" s="1814">
        <f>'HIV-Equipment'!$L18+'HIV-Equipment'!$S18+'HIV-Equipment'!$Z18</f>
        <v>0</v>
      </c>
      <c r="AC18" s="1813">
        <f>'HIV-Equipment'!$M18+'HIV-Equipment'!$T18+'HIV-Equipment'!$AA18</f>
        <v>0</v>
      </c>
      <c r="AD18" s="1387" t="str">
        <f>IF(A18&lt;&gt;"",IFERROR(INDEX(PMtbl[[WKst]:[Unit of measure*]],MATCH($A$8&amp;$A18&amp;$C18&amp;$D18,INDEX(PMtbl[Sec]&amp;PMtbl[Category]&amp;PMtbl[INN]&amp;PMtbl[Specification],0,),0),7),""),"")</f>
        <v/>
      </c>
      <c r="AE18" s="2050"/>
      <c r="AF18" s="1387" t="str">
        <f>IFERROR(INDEX(SETUP!$C$19:$G$62,MATCH((INDEX(PMtbl[[WKst]:[Unit of measure*]],MATCH($A18&amp;$C18&amp;$D18,INDEX(PMtbl[Category]&amp;PMtbl[INN]&amp;PMtbl[Specification],0,),0),3)),SETUP!$D$19:$D$62,0),5),"")</f>
        <v/>
      </c>
      <c r="AG18" s="1387" t="str">
        <f>IFERROR(IF((INDEX(SETUP!$C$19:$G$62,MATCH((INDEX(PMtbl[[WKst]:[Unit of measure*]],MATCH($A18&amp;$C18&amp;$D18,INDEX(PMtbl[Category]&amp;PMtbl[INN]&amp;PMtbl[Specification],0,),0),3)),SETUP!$D$19:$D$62,0),4))="Upfront",0,INDEX(SETUP!$C$19:$G$62,MATCH((INDEX(PMtbl[[WKst]:[Unit of measure*]],MATCH($A18&amp;$C18&amp;$D18,INDEX(PMtbl[Category]&amp;PMtbl[INN]&amp;PMtbl[Specification],0,),0),3)),SETUP!$D$19:$D$62,0),5)),"")</f>
        <v/>
      </c>
      <c r="AN18" s="62"/>
      <c r="AO18" s="380"/>
      <c r="AV18" s="510" t="s">
        <v>1898</v>
      </c>
      <c r="AW18" s="511">
        <f>SUMPRODUCT(($AD$14:$AD$58=6.5)*($G$14:$G$58)*(H$14:H$58))</f>
        <v>0</v>
      </c>
      <c r="AX18" s="511">
        <f>SUMPRODUCT(($AD$14:$AD$58=6.5)*($G$14:$G$58)*(I$14:I$58))</f>
        <v>0</v>
      </c>
      <c r="AY18" s="511">
        <f>SUMPRODUCT(($AD$14:$AD$58=6.5)*($G$14:$G$58)*(J$14:J$58))</f>
        <v>0</v>
      </c>
      <c r="AZ18" s="511">
        <f>SUMPRODUCT(($AD$14:$AD$58=6.5)*($G$14:$G$58)*(K$14:K$58))</f>
        <v>0</v>
      </c>
      <c r="BA18" s="511">
        <f>SUMPRODUCT(($AD$14:$AD$59=6.5)*($N$14:$N$59)*(O$14:O$59))</f>
        <v>0</v>
      </c>
      <c r="BB18" s="511">
        <f>SUMPRODUCT(($AD$14:$AD$59=6.5)*($N$14:$N$59)*(P$14:P$59))</f>
        <v>0</v>
      </c>
      <c r="BC18" s="511">
        <f>SUMPRODUCT(($AD$14:$AD$59=6.5)*($N$14:$N$59)*(Q$14:Q$59))</f>
        <v>0</v>
      </c>
      <c r="BD18" s="511">
        <f>SUMPRODUCT(($AD$14:$AD$59=6.5)*($N$14:$N$59)*(R$14:R$59))</f>
        <v>0</v>
      </c>
      <c r="BE18" s="511">
        <f>SUMPRODUCT(($AD$14:$AD$59=6.5)*($U$14:$U$59)*(V$14:V$59))</f>
        <v>0</v>
      </c>
      <c r="BF18" s="511">
        <f>SUMPRODUCT(($AD$14:$AD$59=6.5)*($U$14:$U$59)*(W$14:W$59))</f>
        <v>0</v>
      </c>
      <c r="BG18" s="511">
        <f>SUMPRODUCT(($AD$14:$AD$59=6.5)*($U$14:$U$59)*(X$14:X$59))</f>
        <v>0</v>
      </c>
      <c r="BH18" s="511">
        <f>SUMPRODUCT(($AD$14:$AD$59=6.5)*($U$14:$U$59)*(Y$14:Y$59))</f>
        <v>0</v>
      </c>
    </row>
    <row r="19" spans="1:61">
      <c r="A19" s="2378"/>
      <c r="B19" s="2304"/>
      <c r="C19" s="1178"/>
      <c r="D19" s="1173"/>
      <c r="E19" s="281" t="str">
        <f>IF(A19&lt;&gt;"",IFERROR(INDEX(PMtbl[[WKst]:[Unit of measure*]],MATCH($A$8&amp;$A19&amp;$C19&amp;$D19,INDEX(PMtbl[Sec]&amp;PMtbl[Category]&amp;PMtbl[INN]&amp;PMtbl[Specification],0,),0),8),""),"")</f>
        <v/>
      </c>
      <c r="F19" s="281" t="str">
        <f>IF(E19="", "",SETUP!$E$5)</f>
        <v/>
      </c>
      <c r="G19" s="1947"/>
      <c r="H19" s="12"/>
      <c r="I19" s="12"/>
      <c r="J19" s="12"/>
      <c r="K19" s="12"/>
      <c r="L19" s="1809">
        <f>SUM('HIV-Equipment'!$H19:$K19)</f>
        <v>0</v>
      </c>
      <c r="M19" s="1810">
        <f>'HIV-Equipment'!$L19*'HIV-Equipment'!$G19</f>
        <v>0</v>
      </c>
      <c r="N19" s="1954"/>
      <c r="O19" s="12"/>
      <c r="P19" s="12"/>
      <c r="Q19" s="12"/>
      <c r="R19" s="12"/>
      <c r="S19" s="1809">
        <f>SUM('HIV-Equipment'!$O19:$R19)</f>
        <v>0</v>
      </c>
      <c r="T19" s="1810">
        <f>'HIV-Equipment'!$S19*'HIV-Equipment'!$N19</f>
        <v>0</v>
      </c>
      <c r="U19" s="1954"/>
      <c r="V19" s="12"/>
      <c r="W19" s="12"/>
      <c r="X19" s="12"/>
      <c r="Y19" s="12"/>
      <c r="Z19" s="1809">
        <f>SUM('HIV-Equipment'!$V19:$Y19)</f>
        <v>0</v>
      </c>
      <c r="AA19" s="1810">
        <f>'HIV-Equipment'!$U19*'HIV-Equipment'!$Z19</f>
        <v>0</v>
      </c>
      <c r="AB19" s="1811">
        <f>'HIV-Equipment'!$L19+'HIV-Equipment'!$S19+'HIV-Equipment'!$Z19</f>
        <v>0</v>
      </c>
      <c r="AC19" s="1810">
        <f>'HIV-Equipment'!$M19+'HIV-Equipment'!$T19+'HIV-Equipment'!$AA19</f>
        <v>0</v>
      </c>
      <c r="AD19" s="1388" t="str">
        <f>IF(A19&lt;&gt;"",IFERROR(INDEX(PMtbl[[WKst]:[Unit of measure*]],MATCH($A$8&amp;$A19&amp;$C19&amp;$D19,INDEX(PMtbl[Sec]&amp;PMtbl[Category]&amp;PMtbl[INN]&amp;PMtbl[Specification],0,),0),7),""),"")</f>
        <v/>
      </c>
      <c r="AE19" s="2049"/>
      <c r="AF19" s="1388" t="str">
        <f>IFERROR(INDEX(SETUP!$C$19:$G$62,MATCH((INDEX(PMtbl[[WKst]:[Unit of measure*]],MATCH($A19&amp;$C19&amp;$D19,INDEX(PMtbl[Category]&amp;PMtbl[INN]&amp;PMtbl[Specification],0,),0),3)),SETUP!$D$19:$D$62,0),5),"")</f>
        <v/>
      </c>
      <c r="AG19" s="1388" t="str">
        <f>IFERROR(IF((INDEX(SETUP!$C$19:$G$62,MATCH((INDEX(PMtbl[[WKst]:[Unit of measure*]],MATCH($A19&amp;$C19&amp;$D19,INDEX(PMtbl[Category]&amp;PMtbl[INN]&amp;PMtbl[Specification],0,),0),3)),SETUP!$D$19:$D$62,0),4))="Upfront",0,INDEX(SETUP!$C$19:$G$62,MATCH((INDEX(PMtbl[[WKst]:[Unit of measure*]],MATCH($A19&amp;$C19&amp;$D19,INDEX(PMtbl[Category]&amp;PMtbl[INN]&amp;PMtbl[Specification],0,),0),3)),SETUP!$D$19:$D$62,0),5)),"")</f>
        <v/>
      </c>
      <c r="AN19" s="62"/>
      <c r="AO19" s="380"/>
      <c r="AW19" s="1710">
        <f>SUM(AW14:AW18)-AW28</f>
        <v>0</v>
      </c>
      <c r="AX19" s="1710">
        <f t="shared" ref="AX19:BH19" si="0">SUM(AX14:AX18)-AX28</f>
        <v>0</v>
      </c>
      <c r="AY19" s="1710">
        <f t="shared" si="0"/>
        <v>0</v>
      </c>
      <c r="AZ19" s="1710">
        <f t="shared" si="0"/>
        <v>0</v>
      </c>
      <c r="BA19" s="1710">
        <f t="shared" si="0"/>
        <v>0</v>
      </c>
      <c r="BB19" s="1710">
        <f t="shared" si="0"/>
        <v>0</v>
      </c>
      <c r="BC19" s="1710">
        <f t="shared" si="0"/>
        <v>0</v>
      </c>
      <c r="BD19" s="1710">
        <f t="shared" si="0"/>
        <v>0</v>
      </c>
      <c r="BE19" s="1710">
        <f t="shared" si="0"/>
        <v>0</v>
      </c>
      <c r="BF19" s="1710">
        <f t="shared" si="0"/>
        <v>0</v>
      </c>
      <c r="BG19" s="1710">
        <f t="shared" si="0"/>
        <v>0</v>
      </c>
      <c r="BH19" s="1710">
        <f t="shared" si="0"/>
        <v>0</v>
      </c>
    </row>
    <row r="20" spans="1:61">
      <c r="A20" s="2377"/>
      <c r="B20" s="2302"/>
      <c r="C20" s="1177"/>
      <c r="D20" s="1172"/>
      <c r="E20" s="280" t="str">
        <f>IF(A20&lt;&gt;"",IFERROR(INDEX(PMtbl[[WKst]:[Unit of measure*]],MATCH($A$8&amp;$A20&amp;$C20&amp;$D20,INDEX(PMtbl[Sec]&amp;PMtbl[Category]&amp;PMtbl[INN]&amp;PMtbl[Specification],0,),0),8),""),"")</f>
        <v/>
      </c>
      <c r="F20" s="280" t="str">
        <f>IF(E20="", "",SETUP!$E$5)</f>
        <v/>
      </c>
      <c r="G20" s="1948"/>
      <c r="H20" s="1946"/>
      <c r="I20" s="1946"/>
      <c r="J20" s="1946"/>
      <c r="K20" s="1946"/>
      <c r="L20" s="1812">
        <f>SUM('HIV-Equipment'!$H20:$K20)</f>
        <v>0</v>
      </c>
      <c r="M20" s="1813">
        <f>'HIV-Equipment'!$L20*'HIV-Equipment'!$G20</f>
        <v>0</v>
      </c>
      <c r="N20" s="1955"/>
      <c r="O20" s="1946"/>
      <c r="P20" s="1946"/>
      <c r="Q20" s="1946"/>
      <c r="R20" s="1946"/>
      <c r="S20" s="1812">
        <f>SUM('HIV-Equipment'!$O20:$R20)</f>
        <v>0</v>
      </c>
      <c r="T20" s="1813">
        <f>'HIV-Equipment'!$S20*'HIV-Equipment'!$N20</f>
        <v>0</v>
      </c>
      <c r="U20" s="1955"/>
      <c r="V20" s="1946"/>
      <c r="W20" s="1946"/>
      <c r="X20" s="1946"/>
      <c r="Y20" s="1946"/>
      <c r="Z20" s="1812">
        <f>SUM('HIV-Equipment'!$V20:$Y20)</f>
        <v>0</v>
      </c>
      <c r="AA20" s="1813">
        <f>'HIV-Equipment'!$U20*'HIV-Equipment'!$Z20</f>
        <v>0</v>
      </c>
      <c r="AB20" s="1814">
        <f>'HIV-Equipment'!$L20+'HIV-Equipment'!$S20+'HIV-Equipment'!$Z20</f>
        <v>0</v>
      </c>
      <c r="AC20" s="1813">
        <f>'HIV-Equipment'!$M20+'HIV-Equipment'!$T20+'HIV-Equipment'!$AA20</f>
        <v>0</v>
      </c>
      <c r="AD20" s="1387" t="str">
        <f>IF(A20&lt;&gt;"",IFERROR(INDEX(PMtbl[[WKst]:[Unit of measure*]],MATCH($A$8&amp;$A20&amp;$C20&amp;$D20,INDEX(PMtbl[Sec]&amp;PMtbl[Category]&amp;PMtbl[INN]&amp;PMtbl[Specification],0,),0),7),""),"")</f>
        <v/>
      </c>
      <c r="AE20" s="2050"/>
      <c r="AF20" s="1387" t="str">
        <f>IFERROR(INDEX(SETUP!$C$19:$G$62,MATCH((INDEX(PMtbl[[WKst]:[Unit of measure*]],MATCH($A20&amp;$C20&amp;$D20,INDEX(PMtbl[Category]&amp;PMtbl[INN]&amp;PMtbl[Specification],0,),0),3)),SETUP!$D$19:$D$62,0),5),"")</f>
        <v/>
      </c>
      <c r="AG20" s="1387" t="str">
        <f>IFERROR(IF((INDEX(SETUP!$C$19:$G$62,MATCH((INDEX(PMtbl[[WKst]:[Unit of measure*]],MATCH($A20&amp;$C20&amp;$D20,INDEX(PMtbl[Category]&amp;PMtbl[INN]&amp;PMtbl[Specification],0,),0),3)),SETUP!$D$19:$D$62,0),4))="Upfront",0,INDEX(SETUP!$C$19:$G$62,MATCH((INDEX(PMtbl[[WKst]:[Unit of measure*]],MATCH($A20&amp;$C20&amp;$D20,INDEX(PMtbl[Category]&amp;PMtbl[INN]&amp;PMtbl[Specification],0,),0),3)),SETUP!$D$19:$D$62,0),5)),"")</f>
        <v/>
      </c>
      <c r="AN20" s="62"/>
      <c r="AO20" s="380"/>
      <c r="AV20" s="337"/>
      <c r="AW20" s="2297" t="s">
        <v>1225</v>
      </c>
      <c r="AX20" s="2297"/>
      <c r="AY20" s="2297"/>
      <c r="AZ20" s="2297"/>
      <c r="BA20" s="2297"/>
      <c r="BB20" s="2297"/>
      <c r="BC20" s="2297"/>
      <c r="BD20" s="2297"/>
      <c r="BE20" s="2297"/>
      <c r="BF20" s="2297"/>
      <c r="BG20" s="2297"/>
      <c r="BH20" s="2297"/>
    </row>
    <row r="21" spans="1:61">
      <c r="A21" s="2378"/>
      <c r="B21" s="2304"/>
      <c r="C21" s="1178"/>
      <c r="D21" s="1173"/>
      <c r="E21" s="281" t="str">
        <f>IF(A21&lt;&gt;"",IFERROR(INDEX(PMtbl[[WKst]:[Unit of measure*]],MATCH($A$8&amp;$A21&amp;$C21&amp;$D21,INDEX(PMtbl[Sec]&amp;PMtbl[Category]&amp;PMtbl[INN]&amp;PMtbl[Specification],0,),0),8),""),"")</f>
        <v/>
      </c>
      <c r="F21" s="281" t="str">
        <f>IF(E21="", "",SETUP!$E$5)</f>
        <v/>
      </c>
      <c r="G21" s="1947"/>
      <c r="H21" s="12"/>
      <c r="I21" s="12"/>
      <c r="J21" s="12"/>
      <c r="K21" s="12"/>
      <c r="L21" s="1809">
        <f>SUM('HIV-Equipment'!$H21:$K21)</f>
        <v>0</v>
      </c>
      <c r="M21" s="1810">
        <f>'HIV-Equipment'!$L21*'HIV-Equipment'!$G21</f>
        <v>0</v>
      </c>
      <c r="N21" s="1954"/>
      <c r="O21" s="12"/>
      <c r="P21" s="12"/>
      <c r="Q21" s="12"/>
      <c r="R21" s="12"/>
      <c r="S21" s="1809">
        <f>SUM('HIV-Equipment'!$O21:$R21)</f>
        <v>0</v>
      </c>
      <c r="T21" s="1810">
        <f>'HIV-Equipment'!$S21*'HIV-Equipment'!$N21</f>
        <v>0</v>
      </c>
      <c r="U21" s="1954"/>
      <c r="V21" s="12"/>
      <c r="W21" s="12"/>
      <c r="X21" s="12"/>
      <c r="Y21" s="12"/>
      <c r="Z21" s="1809">
        <f>SUM('HIV-Equipment'!$V21:$Y21)</f>
        <v>0</v>
      </c>
      <c r="AA21" s="1810">
        <f>'HIV-Equipment'!$U21*'HIV-Equipment'!$Z21</f>
        <v>0</v>
      </c>
      <c r="AB21" s="1811">
        <f>'HIV-Equipment'!$L21+'HIV-Equipment'!$S21+'HIV-Equipment'!$Z21</f>
        <v>0</v>
      </c>
      <c r="AC21" s="1810">
        <f>'HIV-Equipment'!$M21+'HIV-Equipment'!$T21+'HIV-Equipment'!$AA21</f>
        <v>0</v>
      </c>
      <c r="AD21" s="1388" t="str">
        <f>IF(A21&lt;&gt;"",IFERROR(INDEX(PMtbl[[WKst]:[Unit of measure*]],MATCH($A$8&amp;$A21&amp;$C21&amp;$D21,INDEX(PMtbl[Sec]&amp;PMtbl[Category]&amp;PMtbl[INN]&amp;PMtbl[Specification],0,),0),7),""),"")</f>
        <v/>
      </c>
      <c r="AE21" s="2049"/>
      <c r="AF21" s="1388" t="str">
        <f>IFERROR(INDEX(SETUP!$C$19:$G$62,MATCH((INDEX(PMtbl[[WKst]:[Unit of measure*]],MATCH($A21&amp;$C21&amp;$D21,INDEX(PMtbl[Category]&amp;PMtbl[INN]&amp;PMtbl[Specification],0,),0),3)),SETUP!$D$19:$D$62,0),5),"")</f>
        <v/>
      </c>
      <c r="AG21" s="1388" t="str">
        <f>IFERROR(IF((INDEX(SETUP!$C$19:$G$62,MATCH((INDEX(PMtbl[[WKst]:[Unit of measure*]],MATCH($A21&amp;$C21&amp;$D21,INDEX(PMtbl[Category]&amp;PMtbl[INN]&amp;PMtbl[Specification],0,),0),3)),SETUP!$D$19:$D$62,0),4))="Upfront",0,INDEX(SETUP!$C$19:$G$62,MATCH((INDEX(PMtbl[[WKst]:[Unit of measure*]],MATCH($A21&amp;$C21&amp;$D21,INDEX(PMtbl[Category]&amp;PMtbl[INN]&amp;PMtbl[Specification],0,),0),3)),SETUP!$D$19:$D$62,0),5)),"")</f>
        <v/>
      </c>
      <c r="AN21" s="62"/>
      <c r="AO21" s="380"/>
      <c r="AV21" s="338"/>
      <c r="AW21" s="2370">
        <f>YEAR(IMP_ST_DATE)</f>
        <v>2022</v>
      </c>
      <c r="AX21" s="2370"/>
      <c r="AY21" s="2370"/>
      <c r="AZ21" s="2370"/>
      <c r="BA21" s="2370">
        <f>YEAR(IMP_ST_DATE)+1</f>
        <v>2023</v>
      </c>
      <c r="BB21" s="2370"/>
      <c r="BC21" s="2370"/>
      <c r="BD21" s="2370"/>
      <c r="BE21" s="2370">
        <f>YEAR(IMP_ST_DATE)+2</f>
        <v>2024</v>
      </c>
      <c r="BF21" s="2370"/>
      <c r="BG21" s="2370"/>
      <c r="BH21" s="2370"/>
    </row>
    <row r="22" spans="1:61">
      <c r="A22" s="2377"/>
      <c r="B22" s="2302"/>
      <c r="C22" s="1177"/>
      <c r="D22" s="1172"/>
      <c r="E22" s="280" t="str">
        <f>IF(A22&lt;&gt;"",IFERROR(INDEX(PMtbl[[WKst]:[Unit of measure*]],MATCH($A$8&amp;$A22&amp;$C22&amp;$D22,INDEX(PMtbl[Sec]&amp;PMtbl[Category]&amp;PMtbl[INN]&amp;PMtbl[Specification],0,),0),8),""),"")</f>
        <v/>
      </c>
      <c r="F22" s="280" t="str">
        <f>IF(E22="", "",SETUP!$E$5)</f>
        <v/>
      </c>
      <c r="G22" s="1948"/>
      <c r="H22" s="1946"/>
      <c r="I22" s="1946"/>
      <c r="J22" s="1946"/>
      <c r="K22" s="1946"/>
      <c r="L22" s="1812">
        <f>SUM('HIV-Equipment'!$H22:$K22)</f>
        <v>0</v>
      </c>
      <c r="M22" s="1813">
        <f>'HIV-Equipment'!$L22*'HIV-Equipment'!$G22</f>
        <v>0</v>
      </c>
      <c r="N22" s="1955"/>
      <c r="O22" s="1946"/>
      <c r="P22" s="1946"/>
      <c r="Q22" s="1946"/>
      <c r="R22" s="1946"/>
      <c r="S22" s="1812">
        <f>SUM('HIV-Equipment'!$O22:$R22)</f>
        <v>0</v>
      </c>
      <c r="T22" s="1813">
        <f>'HIV-Equipment'!$S22*'HIV-Equipment'!$N22</f>
        <v>0</v>
      </c>
      <c r="U22" s="1955"/>
      <c r="V22" s="1946"/>
      <c r="W22" s="1946"/>
      <c r="X22" s="1946"/>
      <c r="Y22" s="1946"/>
      <c r="Z22" s="1812">
        <f>SUM('HIV-Equipment'!$V22:$Y22)</f>
        <v>0</v>
      </c>
      <c r="AA22" s="1813">
        <f>'HIV-Equipment'!$U22*'HIV-Equipment'!$Z22</f>
        <v>0</v>
      </c>
      <c r="AB22" s="1814">
        <f>'HIV-Equipment'!$L22+'HIV-Equipment'!$S22+'HIV-Equipment'!$Z22</f>
        <v>0</v>
      </c>
      <c r="AC22" s="1813">
        <f>'HIV-Equipment'!$M22+'HIV-Equipment'!$T22+'HIV-Equipment'!$AA22</f>
        <v>0</v>
      </c>
      <c r="AD22" s="1387" t="str">
        <f>IF(A22&lt;&gt;"",IFERROR(INDEX(PMtbl[[WKst]:[Unit of measure*]],MATCH($A$8&amp;$A22&amp;$C22&amp;$D22,INDEX(PMtbl[Sec]&amp;PMtbl[Category]&amp;PMtbl[INN]&amp;PMtbl[Specification],0,),0),7),""),"")</f>
        <v/>
      </c>
      <c r="AE22" s="2050"/>
      <c r="AF22" s="1387" t="str">
        <f>IFERROR(INDEX(SETUP!$C$19:$G$62,MATCH((INDEX(PMtbl[[WKst]:[Unit of measure*]],MATCH($A22&amp;$C22&amp;$D22,INDEX(PMtbl[Category]&amp;PMtbl[INN]&amp;PMtbl[Specification],0,),0),3)),SETUP!$D$19:$D$62,0),5),"")</f>
        <v/>
      </c>
      <c r="AG22" s="1387" t="str">
        <f>IFERROR(IF((INDEX(SETUP!$C$19:$G$62,MATCH((INDEX(PMtbl[[WKst]:[Unit of measure*]],MATCH($A22&amp;$C22&amp;$D22,INDEX(PMtbl[Category]&amp;PMtbl[INN]&amp;PMtbl[Specification],0,),0),3)),SETUP!$D$19:$D$62,0),4))="Upfront",0,INDEX(SETUP!$C$19:$G$62,MATCH((INDEX(PMtbl[[WKst]:[Unit of measure*]],MATCH($A22&amp;$C22&amp;$D22,INDEX(PMtbl[Category]&amp;PMtbl[INN]&amp;PMtbl[Specification],0,),0),3)),SETUP!$D$19:$D$62,0),5)),"")</f>
        <v/>
      </c>
      <c r="AN22" s="62"/>
      <c r="AO22" s="380"/>
      <c r="AU22" s="343" t="s">
        <v>2671</v>
      </c>
      <c r="AV22" s="1384" t="s">
        <v>416</v>
      </c>
      <c r="AW22" s="343" t="s">
        <v>1213</v>
      </c>
      <c r="AX22" s="343" t="s">
        <v>1214</v>
      </c>
      <c r="AY22" s="343" t="s">
        <v>1215</v>
      </c>
      <c r="AZ22" s="343" t="s">
        <v>1216</v>
      </c>
      <c r="BA22" s="343" t="s">
        <v>1217</v>
      </c>
      <c r="BB22" s="343" t="s">
        <v>1218</v>
      </c>
      <c r="BC22" s="343" t="s">
        <v>1220</v>
      </c>
      <c r="BD22" s="343" t="s">
        <v>1221</v>
      </c>
      <c r="BE22" s="343" t="s">
        <v>1222</v>
      </c>
      <c r="BF22" s="343" t="s">
        <v>1223</v>
      </c>
      <c r="BG22" s="343" t="s">
        <v>1219</v>
      </c>
      <c r="BH22" s="343" t="s">
        <v>1224</v>
      </c>
      <c r="BI22" s="343" t="s">
        <v>2498</v>
      </c>
    </row>
    <row r="23" spans="1:61">
      <c r="A23" s="2378"/>
      <c r="B23" s="2304"/>
      <c r="C23" s="1178"/>
      <c r="D23" s="1173"/>
      <c r="E23" s="281" t="str">
        <f>IF(A23&lt;&gt;"",IFERROR(INDEX(PMtbl[[WKst]:[Unit of measure*]],MATCH($A$8&amp;$A23&amp;$C23&amp;$D23,INDEX(PMtbl[Sec]&amp;PMtbl[Category]&amp;PMtbl[INN]&amp;PMtbl[Specification],0,),0),8),""),"")</f>
        <v/>
      </c>
      <c r="F23" s="281" t="str">
        <f>IF(E23="", "",SETUP!$E$5)</f>
        <v/>
      </c>
      <c r="G23" s="1947"/>
      <c r="H23" s="12"/>
      <c r="I23" s="12"/>
      <c r="J23" s="12"/>
      <c r="K23" s="12"/>
      <c r="L23" s="1809">
        <f>SUM('HIV-Equipment'!$H23:$K23)</f>
        <v>0</v>
      </c>
      <c r="M23" s="1810">
        <f>'HIV-Equipment'!$L23*'HIV-Equipment'!$G23</f>
        <v>0</v>
      </c>
      <c r="N23" s="1954"/>
      <c r="O23" s="12"/>
      <c r="P23" s="12"/>
      <c r="Q23" s="12"/>
      <c r="R23" s="12"/>
      <c r="S23" s="1809">
        <f>SUM('HIV-Equipment'!$O23:$R23)</f>
        <v>0</v>
      </c>
      <c r="T23" s="1810">
        <f>'HIV-Equipment'!$S23*'HIV-Equipment'!$N23</f>
        <v>0</v>
      </c>
      <c r="U23" s="1954"/>
      <c r="V23" s="12"/>
      <c r="W23" s="12"/>
      <c r="X23" s="12"/>
      <c r="Y23" s="12"/>
      <c r="Z23" s="1809">
        <f>SUM('HIV-Equipment'!$V23:$Y23)</f>
        <v>0</v>
      </c>
      <c r="AA23" s="1810">
        <f>'HIV-Equipment'!$U23*'HIV-Equipment'!$Z23</f>
        <v>0</v>
      </c>
      <c r="AB23" s="1811">
        <f>'HIV-Equipment'!$L23+'HIV-Equipment'!$S23+'HIV-Equipment'!$Z23</f>
        <v>0</v>
      </c>
      <c r="AC23" s="1810">
        <f>'HIV-Equipment'!$M23+'HIV-Equipment'!$T23+'HIV-Equipment'!$AA23</f>
        <v>0</v>
      </c>
      <c r="AD23" s="1388" t="str">
        <f>IF(A23&lt;&gt;"",IFERROR(INDEX(PMtbl[[WKst]:[Unit of measure*]],MATCH($A$8&amp;$A23&amp;$C23&amp;$D23,INDEX(PMtbl[Sec]&amp;PMtbl[Category]&amp;PMtbl[INN]&amp;PMtbl[Specification],0,),0),7),""),"")</f>
        <v/>
      </c>
      <c r="AE23" s="2049"/>
      <c r="AF23" s="1388" t="str">
        <f>IFERROR(INDEX(SETUP!$C$19:$G$62,MATCH((INDEX(PMtbl[[WKst]:[Unit of measure*]],MATCH($A23&amp;$C23&amp;$D23,INDEX(PMtbl[Category]&amp;PMtbl[INN]&amp;PMtbl[Specification],0,),0),3)),SETUP!$D$19:$D$62,0),5),"")</f>
        <v/>
      </c>
      <c r="AG23" s="1388" t="str">
        <f>IFERROR(IF((INDEX(SETUP!$C$19:$G$62,MATCH((INDEX(PMtbl[[WKst]:[Unit of measure*]],MATCH($A23&amp;$C23&amp;$D23,INDEX(PMtbl[Category]&amp;PMtbl[INN]&amp;PMtbl[Specification],0,),0),3)),SETUP!$D$19:$D$62,0),4))="Upfront",0,INDEX(SETUP!$C$19:$G$62,MATCH((INDEX(PMtbl[[WKst]:[Unit of measure*]],MATCH($A23&amp;$C23&amp;$D23,INDEX(PMtbl[Category]&amp;PMtbl[INN]&amp;PMtbl[Specification],0,),0),3)),SETUP!$D$19:$D$62,0),5)),"")</f>
        <v/>
      </c>
      <c r="AN23" s="62"/>
      <c r="AO23" s="380"/>
      <c r="AU23" s="1381" t="str">
        <f>IFERROR(VLOOKUP($AV23,$AD:$AG,4,FALSE),"")</f>
        <v/>
      </c>
      <c r="AV23" s="1382">
        <v>6.1</v>
      </c>
      <c r="AW23" s="455">
        <f t="shared" ref="AW23:AZ24" si="1">SUMPRODUCT(($AD$14:$AD$58=$AV23)*($G$14:$G$58)*((H$14:H$58)))</f>
        <v>0</v>
      </c>
      <c r="AX23" s="455">
        <f t="shared" si="1"/>
        <v>0</v>
      </c>
      <c r="AY23" s="455">
        <f t="shared" si="1"/>
        <v>0</v>
      </c>
      <c r="AZ23" s="455">
        <f t="shared" si="1"/>
        <v>0</v>
      </c>
      <c r="BA23" s="455">
        <f t="shared" ref="BA23:BD24" si="2">SUMPRODUCT(($AD$14:$AD$58=$AV23)*($N$14:$N$58)*((O$14:O$58)))</f>
        <v>0</v>
      </c>
      <c r="BB23" s="455">
        <f t="shared" si="2"/>
        <v>0</v>
      </c>
      <c r="BC23" s="455">
        <f t="shared" si="2"/>
        <v>0</v>
      </c>
      <c r="BD23" s="455">
        <f t="shared" si="2"/>
        <v>0</v>
      </c>
      <c r="BE23" s="455">
        <f t="shared" ref="BE23:BH24" si="3">SUMPRODUCT(($AD$14:$AD$58=$AV23)*($U$14:$U$58)*((V$14:V$58)))</f>
        <v>0</v>
      </c>
      <c r="BF23" s="455">
        <f t="shared" si="3"/>
        <v>0</v>
      </c>
      <c r="BG23" s="455">
        <f t="shared" si="3"/>
        <v>0</v>
      </c>
      <c r="BH23" s="455">
        <f t="shared" si="3"/>
        <v>0</v>
      </c>
      <c r="BI23" s="343">
        <f>SUM(AW23:BH23)</f>
        <v>0</v>
      </c>
    </row>
    <row r="24" spans="1:61">
      <c r="A24" s="2377"/>
      <c r="B24" s="2302"/>
      <c r="C24" s="1177"/>
      <c r="D24" s="1172"/>
      <c r="E24" s="280" t="str">
        <f>IF(A24&lt;&gt;"",IFERROR(INDEX(PMtbl[[WKst]:[Unit of measure*]],MATCH($A$8&amp;$A24&amp;$C24&amp;$D24,INDEX(PMtbl[Sec]&amp;PMtbl[Category]&amp;PMtbl[INN]&amp;PMtbl[Specification],0,),0),8),""),"")</f>
        <v/>
      </c>
      <c r="F24" s="280" t="str">
        <f>IF(E24="", "",SETUP!$E$5)</f>
        <v/>
      </c>
      <c r="G24" s="1948"/>
      <c r="H24" s="1946"/>
      <c r="I24" s="1946"/>
      <c r="J24" s="1946"/>
      <c r="K24" s="1946"/>
      <c r="L24" s="1815">
        <f>SUM('HIV-Equipment'!$H24:$K24)</f>
        <v>0</v>
      </c>
      <c r="M24" s="1816">
        <f>'HIV-Equipment'!$L24*'HIV-Equipment'!$G24</f>
        <v>0</v>
      </c>
      <c r="N24" s="1955"/>
      <c r="O24" s="1946"/>
      <c r="P24" s="1946"/>
      <c r="Q24" s="1946"/>
      <c r="R24" s="1946"/>
      <c r="S24" s="1815">
        <f>SUM('HIV-Equipment'!$O24:$R24)</f>
        <v>0</v>
      </c>
      <c r="T24" s="1816">
        <f>'HIV-Equipment'!$S24*'HIV-Equipment'!$N24</f>
        <v>0</v>
      </c>
      <c r="U24" s="1955"/>
      <c r="V24" s="1946"/>
      <c r="W24" s="1946"/>
      <c r="X24" s="1946"/>
      <c r="Y24" s="1946"/>
      <c r="Z24" s="1815">
        <f>SUM('HIV-Equipment'!$V24:$Y24)</f>
        <v>0</v>
      </c>
      <c r="AA24" s="1816">
        <f>'HIV-Equipment'!$U24*'HIV-Equipment'!$Z24</f>
        <v>0</v>
      </c>
      <c r="AB24" s="1817">
        <f>'HIV-Equipment'!$L24+'HIV-Equipment'!$S24+'HIV-Equipment'!$Z24</f>
        <v>0</v>
      </c>
      <c r="AC24" s="1816">
        <f>'HIV-Equipment'!$M24+'HIV-Equipment'!$T24+'HIV-Equipment'!$AA24</f>
        <v>0</v>
      </c>
      <c r="AD24" s="1387" t="str">
        <f>IF(A24&lt;&gt;"",IFERROR(INDEX(PMtbl[[WKst]:[Unit of measure*]],MATCH($A$8&amp;$A24&amp;$C24&amp;$D24,INDEX(PMtbl[Sec]&amp;PMtbl[Category]&amp;PMtbl[INN]&amp;PMtbl[Specification],0,),0),7),""),"")</f>
        <v/>
      </c>
      <c r="AE24" s="2050"/>
      <c r="AF24" s="1387" t="str">
        <f>IFERROR(INDEX(SETUP!$C$19:$G$62,MATCH((INDEX(PMtbl[[WKst]:[Unit of measure*]],MATCH($A24&amp;$C24&amp;$D24,INDEX(PMtbl[Category]&amp;PMtbl[INN]&amp;PMtbl[Specification],0,),0),3)),SETUP!$D$19:$D$62,0),5),"")</f>
        <v/>
      </c>
      <c r="AG24" s="1387" t="str">
        <f>IFERROR(IF((INDEX(SETUP!$C$19:$G$62,MATCH((INDEX(PMtbl[[WKst]:[Unit of measure*]],MATCH($A24&amp;$C24&amp;$D24,INDEX(PMtbl[Category]&amp;PMtbl[INN]&amp;PMtbl[Specification],0,),0),3)),SETUP!$D$19:$D$62,0),4))="Upfront",0,INDEX(SETUP!$C$19:$G$62,MATCH((INDEX(PMtbl[[WKst]:[Unit of measure*]],MATCH($A24&amp;$C24&amp;$D24,INDEX(PMtbl[Category]&amp;PMtbl[INN]&amp;PMtbl[Specification],0,),0),3)),SETUP!$D$19:$D$62,0),5)),"")</f>
        <v/>
      </c>
      <c r="AN24" s="62"/>
      <c r="AO24" s="380"/>
      <c r="AU24" s="1381" t="str">
        <f>IFERROR(VLOOKUP($AV24,$AD:$AG,4,FALSE),"")</f>
        <v/>
      </c>
      <c r="AV24" s="1382">
        <v>6.2</v>
      </c>
      <c r="AW24" s="455">
        <f t="shared" si="1"/>
        <v>0</v>
      </c>
      <c r="AX24" s="455">
        <f t="shared" si="1"/>
        <v>0</v>
      </c>
      <c r="AY24" s="455">
        <f t="shared" si="1"/>
        <v>0</v>
      </c>
      <c r="AZ24" s="455">
        <f t="shared" si="1"/>
        <v>0</v>
      </c>
      <c r="BA24" s="455">
        <f t="shared" si="2"/>
        <v>0</v>
      </c>
      <c r="BB24" s="455">
        <f t="shared" si="2"/>
        <v>0</v>
      </c>
      <c r="BC24" s="455">
        <f t="shared" si="2"/>
        <v>0</v>
      </c>
      <c r="BD24" s="455">
        <f t="shared" si="2"/>
        <v>0</v>
      </c>
      <c r="BE24" s="455">
        <f t="shared" si="3"/>
        <v>0</v>
      </c>
      <c r="BF24" s="455">
        <f t="shared" si="3"/>
        <v>0</v>
      </c>
      <c r="BG24" s="455">
        <f t="shared" si="3"/>
        <v>0</v>
      </c>
      <c r="BH24" s="455">
        <f t="shared" si="3"/>
        <v>0</v>
      </c>
      <c r="BI24" s="343">
        <f t="shared" ref="BI24:BI27" si="4">SUM(AW24:BH24)</f>
        <v>0</v>
      </c>
    </row>
    <row r="25" spans="1:61">
      <c r="A25" s="2378"/>
      <c r="B25" s="2304"/>
      <c r="C25" s="1178"/>
      <c r="D25" s="1173"/>
      <c r="E25" s="281" t="str">
        <f>IF(A25&lt;&gt;"",IFERROR(INDEX(PMtbl[[WKst]:[Unit of measure*]],MATCH($A$8&amp;$A25&amp;$C25&amp;$D25,INDEX(PMtbl[Sec]&amp;PMtbl[Category]&amp;PMtbl[INN]&amp;PMtbl[Specification],0,),0),8),""),"")</f>
        <v/>
      </c>
      <c r="F25" s="281" t="str">
        <f>IF(E25="", "",SETUP!$E$5)</f>
        <v/>
      </c>
      <c r="G25" s="1947"/>
      <c r="H25" s="12"/>
      <c r="I25" s="12"/>
      <c r="J25" s="12"/>
      <c r="K25" s="12"/>
      <c r="L25" s="1809">
        <f>SUM('HIV-Equipment'!$H25:$K25)</f>
        <v>0</v>
      </c>
      <c r="M25" s="1810">
        <f>'HIV-Equipment'!$L25*'HIV-Equipment'!$G25</f>
        <v>0</v>
      </c>
      <c r="N25" s="1954"/>
      <c r="O25" s="12"/>
      <c r="P25" s="12"/>
      <c r="Q25" s="12"/>
      <c r="R25" s="12"/>
      <c r="S25" s="1809">
        <f>SUM('HIV-Equipment'!$O25:$R25)</f>
        <v>0</v>
      </c>
      <c r="T25" s="1810">
        <f>'HIV-Equipment'!$S25*'HIV-Equipment'!$N25</f>
        <v>0</v>
      </c>
      <c r="U25" s="1954"/>
      <c r="V25" s="12"/>
      <c r="W25" s="12"/>
      <c r="X25" s="12"/>
      <c r="Y25" s="12"/>
      <c r="Z25" s="1809">
        <f>SUM('HIV-Equipment'!$V25:$Y25)</f>
        <v>0</v>
      </c>
      <c r="AA25" s="1810">
        <f>'HIV-Equipment'!$U25*'HIV-Equipment'!$Z25</f>
        <v>0</v>
      </c>
      <c r="AB25" s="1811">
        <f>'HIV-Equipment'!$L25+'HIV-Equipment'!$S25+'HIV-Equipment'!$Z25</f>
        <v>0</v>
      </c>
      <c r="AC25" s="1810">
        <f>'HIV-Equipment'!$M25+'HIV-Equipment'!$T25+'HIV-Equipment'!$AA25</f>
        <v>0</v>
      </c>
      <c r="AD25" s="1388" t="str">
        <f>IF(A25&lt;&gt;"",IFERROR(INDEX(PMtbl[[WKst]:[Unit of measure*]],MATCH($A$8&amp;$A25&amp;$C25&amp;$D25,INDEX(PMtbl[Sec]&amp;PMtbl[Category]&amp;PMtbl[INN]&amp;PMtbl[Specification],0,),0),7),""),"")</f>
        <v/>
      </c>
      <c r="AE25" s="2049"/>
      <c r="AF25" s="1388" t="str">
        <f>IFERROR(INDEX(SETUP!$C$19:$G$62,MATCH((INDEX(PMtbl[[WKst]:[Unit of measure*]],MATCH($A25&amp;$C25&amp;$D25,INDEX(PMtbl[Category]&amp;PMtbl[INN]&amp;PMtbl[Specification],0,),0),3)),SETUP!$D$19:$D$62,0),5),"")</f>
        <v/>
      </c>
      <c r="AG25" s="1388" t="str">
        <f>IFERROR(IF((INDEX(SETUP!$C$19:$G$62,MATCH((INDEX(PMtbl[[WKst]:[Unit of measure*]],MATCH($A25&amp;$C25&amp;$D25,INDEX(PMtbl[Category]&amp;PMtbl[INN]&amp;PMtbl[Specification],0,),0),3)),SETUP!$D$19:$D$62,0),4))="Upfront",0,INDEX(SETUP!$C$19:$G$62,MATCH((INDEX(PMtbl[[WKst]:[Unit of measure*]],MATCH($A25&amp;$C25&amp;$D25,INDEX(PMtbl[Category]&amp;PMtbl[INN]&amp;PMtbl[Specification],0,),0),3)),SETUP!$D$19:$D$62,0),5)),"")</f>
        <v/>
      </c>
      <c r="AN25" s="62"/>
      <c r="AO25" s="380"/>
      <c r="AU25" s="1381" t="str">
        <f>IFERROR(VLOOKUP($AV25,$AD:$AG,4,FALSE),"")</f>
        <v/>
      </c>
      <c r="AV25" s="1382">
        <v>6.4</v>
      </c>
      <c r="AW25" s="455">
        <f t="shared" ref="AW25:AW27" si="5">SUMPRODUCT(($AD$14:$AD$58=$AV25)*($G$14:$G$58)*((H$14:H$58)))</f>
        <v>0</v>
      </c>
      <c r="AX25" s="455">
        <f t="shared" ref="AX25:AX27" si="6">SUMPRODUCT(($AD$14:$AD$58=$AV25)*($G$14:$G$58)*((I$14:I$58)))</f>
        <v>0</v>
      </c>
      <c r="AY25" s="455">
        <f t="shared" ref="AY25:AY27" si="7">SUMPRODUCT(($AD$14:$AD$58=$AV25)*($G$14:$G$58)*((J$14:J$58)))</f>
        <v>0</v>
      </c>
      <c r="AZ25" s="455">
        <f t="shared" ref="AZ25:AZ27" si="8">SUMPRODUCT(($AD$14:$AD$58=$AV25)*($G$14:$G$58)*((K$14:K$58)))</f>
        <v>0</v>
      </c>
      <c r="BA25" s="455">
        <f t="shared" ref="BA25:BA27" si="9">SUMPRODUCT(($AD$14:$AD$58=$AV25)*($N$14:$N$58)*((O$14:O$58)))</f>
        <v>0</v>
      </c>
      <c r="BB25" s="455">
        <f t="shared" ref="BB25:BB27" si="10">SUMPRODUCT(($AD$14:$AD$58=$AV25)*($N$14:$N$58)*((P$14:P$58)))</f>
        <v>0</v>
      </c>
      <c r="BC25" s="455">
        <f t="shared" ref="BC25:BC27" si="11">SUMPRODUCT(($AD$14:$AD$58=$AV25)*($N$14:$N$58)*((Q$14:Q$58)))</f>
        <v>0</v>
      </c>
      <c r="BD25" s="455">
        <f t="shared" ref="BD25:BD27" si="12">SUMPRODUCT(($AD$14:$AD$58=$AV25)*($N$14:$N$58)*((R$14:R$58)))</f>
        <v>0</v>
      </c>
      <c r="BE25" s="455">
        <f t="shared" ref="BE25:BE27" si="13">SUMPRODUCT(($AD$14:$AD$58=$AV25)*($U$14:$U$58)*((V$14:V$58)))</f>
        <v>0</v>
      </c>
      <c r="BF25" s="455">
        <f t="shared" ref="BF25:BF27" si="14">SUMPRODUCT(($AD$14:$AD$58=$AV25)*($U$14:$U$58)*((W$14:W$58)))</f>
        <v>0</v>
      </c>
      <c r="BG25" s="455">
        <f t="shared" ref="BG25:BG27" si="15">SUMPRODUCT(($AD$14:$AD$58=$AV25)*($U$14:$U$58)*((X$14:X$58)))</f>
        <v>0</v>
      </c>
      <c r="BH25" s="455">
        <f t="shared" ref="BH25:BH27" si="16">SUMPRODUCT(($AD$14:$AD$58=$AV25)*($U$14:$U$58)*((Y$14:Y$58)))</f>
        <v>0</v>
      </c>
      <c r="BI25" s="343">
        <f t="shared" si="4"/>
        <v>0</v>
      </c>
    </row>
    <row r="26" spans="1:61">
      <c r="A26" s="2377"/>
      <c r="B26" s="2302"/>
      <c r="C26" s="1177"/>
      <c r="D26" s="1172"/>
      <c r="E26" s="280" t="str">
        <f>IF(A26&lt;&gt;"",IFERROR(INDEX(PMtbl[[WKst]:[Unit of measure*]],MATCH($A$8&amp;$A26&amp;$C26&amp;$D26,INDEX(PMtbl[Sec]&amp;PMtbl[Category]&amp;PMtbl[INN]&amp;PMtbl[Specification],0,),0),8),""),"")</f>
        <v/>
      </c>
      <c r="F26" s="280" t="str">
        <f>IF(E26="", "",SETUP!$E$5)</f>
        <v/>
      </c>
      <c r="G26" s="1948"/>
      <c r="H26" s="1946"/>
      <c r="I26" s="1946"/>
      <c r="J26" s="1946"/>
      <c r="K26" s="1946"/>
      <c r="L26" s="1815">
        <f>SUM('HIV-Equipment'!$H26:$K26)</f>
        <v>0</v>
      </c>
      <c r="M26" s="1816">
        <f>'HIV-Equipment'!$L26*'HIV-Equipment'!$G26</f>
        <v>0</v>
      </c>
      <c r="N26" s="1955"/>
      <c r="O26" s="1946"/>
      <c r="P26" s="1946"/>
      <c r="Q26" s="1946"/>
      <c r="R26" s="1946"/>
      <c r="S26" s="1815">
        <f>SUM('HIV-Equipment'!$O26:$R26)</f>
        <v>0</v>
      </c>
      <c r="T26" s="1816">
        <f>'HIV-Equipment'!$S26*'HIV-Equipment'!$N26</f>
        <v>0</v>
      </c>
      <c r="U26" s="1955"/>
      <c r="V26" s="1946"/>
      <c r="W26" s="1946"/>
      <c r="X26" s="1946"/>
      <c r="Y26" s="1946"/>
      <c r="Z26" s="1815">
        <f>SUM('HIV-Equipment'!$V26:$Y26)</f>
        <v>0</v>
      </c>
      <c r="AA26" s="1816">
        <f>'HIV-Equipment'!$U26*'HIV-Equipment'!$Z26</f>
        <v>0</v>
      </c>
      <c r="AB26" s="1817">
        <f>'HIV-Equipment'!$L26+'HIV-Equipment'!$S26+'HIV-Equipment'!$Z26</f>
        <v>0</v>
      </c>
      <c r="AC26" s="1816">
        <f>'HIV-Equipment'!$M26+'HIV-Equipment'!$T26+'HIV-Equipment'!$AA26</f>
        <v>0</v>
      </c>
      <c r="AD26" s="1387" t="str">
        <f>IF(A26&lt;&gt;"",IFERROR(INDEX(PMtbl[[WKst]:[Unit of measure*]],MATCH($A$8&amp;$A26&amp;$C26&amp;$D26,INDEX(PMtbl[Sec]&amp;PMtbl[Category]&amp;PMtbl[INN]&amp;PMtbl[Specification],0,),0),7),""),"")</f>
        <v/>
      </c>
      <c r="AE26" s="2050"/>
      <c r="AF26" s="1387" t="str">
        <f>IFERROR(INDEX(SETUP!$C$19:$G$62,MATCH((INDEX(PMtbl[[WKst]:[Unit of measure*]],MATCH($A26&amp;$C26&amp;$D26,INDEX(PMtbl[Category]&amp;PMtbl[INN]&amp;PMtbl[Specification],0,),0),3)),SETUP!$D$19:$D$62,0),5),"")</f>
        <v/>
      </c>
      <c r="AG26" s="1387" t="str">
        <f>IFERROR(IF((INDEX(SETUP!$C$19:$G$62,MATCH((INDEX(PMtbl[[WKst]:[Unit of measure*]],MATCH($A26&amp;$C26&amp;$D26,INDEX(PMtbl[Category]&amp;PMtbl[INN]&amp;PMtbl[Specification],0,),0),3)),SETUP!$D$19:$D$62,0),4))="Upfront",0,INDEX(SETUP!$C$19:$G$62,MATCH((INDEX(PMtbl[[WKst]:[Unit of measure*]],MATCH($A26&amp;$C26&amp;$D26,INDEX(PMtbl[Category]&amp;PMtbl[INN]&amp;PMtbl[Specification],0,),0),3)),SETUP!$D$19:$D$62,0),5)),"")</f>
        <v/>
      </c>
      <c r="AN26" s="62"/>
      <c r="AO26" s="380"/>
      <c r="AU26" s="1381" t="str">
        <f>IFERROR(VLOOKUP($AV26,$AD:$AG,4,FALSE),"")</f>
        <v/>
      </c>
      <c r="AV26" s="1382">
        <v>6.5</v>
      </c>
      <c r="AW26" s="455">
        <f t="shared" si="5"/>
        <v>0</v>
      </c>
      <c r="AX26" s="455">
        <f t="shared" si="6"/>
        <v>0</v>
      </c>
      <c r="AY26" s="455">
        <f t="shared" si="7"/>
        <v>0</v>
      </c>
      <c r="AZ26" s="455">
        <f t="shared" si="8"/>
        <v>0</v>
      </c>
      <c r="BA26" s="455">
        <f t="shared" si="9"/>
        <v>0</v>
      </c>
      <c r="BB26" s="455">
        <f t="shared" si="10"/>
        <v>0</v>
      </c>
      <c r="BC26" s="455">
        <f t="shared" si="11"/>
        <v>0</v>
      </c>
      <c r="BD26" s="455">
        <f t="shared" si="12"/>
        <v>0</v>
      </c>
      <c r="BE26" s="455">
        <f t="shared" si="13"/>
        <v>0</v>
      </c>
      <c r="BF26" s="455">
        <f t="shared" si="14"/>
        <v>0</v>
      </c>
      <c r="BG26" s="455">
        <f t="shared" si="15"/>
        <v>0</v>
      </c>
      <c r="BH26" s="455">
        <f t="shared" si="16"/>
        <v>0</v>
      </c>
      <c r="BI26" s="343">
        <f t="shared" si="4"/>
        <v>0</v>
      </c>
    </row>
    <row r="27" spans="1:61">
      <c r="A27" s="2378"/>
      <c r="B27" s="2304"/>
      <c r="C27" s="1178"/>
      <c r="D27" s="1173"/>
      <c r="E27" s="281" t="str">
        <f>IF(A27&lt;&gt;"",IFERROR(INDEX(PMtbl[[WKst]:[Unit of measure*]],MATCH($A$8&amp;$A27&amp;$C27&amp;$D27,INDEX(PMtbl[Sec]&amp;PMtbl[Category]&amp;PMtbl[INN]&amp;PMtbl[Specification],0,),0),8),""),"")</f>
        <v/>
      </c>
      <c r="F27" s="281" t="str">
        <f>IF(E27="", "",SETUP!$E$5)</f>
        <v/>
      </c>
      <c r="G27" s="1947"/>
      <c r="H27" s="12"/>
      <c r="I27" s="12"/>
      <c r="J27" s="12"/>
      <c r="K27" s="12"/>
      <c r="L27" s="1809">
        <f>SUM('HIV-Equipment'!$H27:$K27)</f>
        <v>0</v>
      </c>
      <c r="M27" s="1810">
        <f>'HIV-Equipment'!$L27*'HIV-Equipment'!$G27</f>
        <v>0</v>
      </c>
      <c r="N27" s="1954"/>
      <c r="O27" s="12"/>
      <c r="P27" s="12"/>
      <c r="Q27" s="12"/>
      <c r="R27" s="12"/>
      <c r="S27" s="1809">
        <f>SUM('HIV-Equipment'!$O27:$R27)</f>
        <v>0</v>
      </c>
      <c r="T27" s="1810">
        <f>'HIV-Equipment'!$S27*'HIV-Equipment'!$N27</f>
        <v>0</v>
      </c>
      <c r="U27" s="1954"/>
      <c r="V27" s="12"/>
      <c r="W27" s="12"/>
      <c r="X27" s="12"/>
      <c r="Y27" s="12"/>
      <c r="Z27" s="1809">
        <f>SUM('HIV-Equipment'!$V27:$Y27)</f>
        <v>0</v>
      </c>
      <c r="AA27" s="1810">
        <f>'HIV-Equipment'!$U27*'HIV-Equipment'!$Z27</f>
        <v>0</v>
      </c>
      <c r="AB27" s="1811">
        <f>'HIV-Equipment'!$L27+'HIV-Equipment'!$S27+'HIV-Equipment'!$Z27</f>
        <v>0</v>
      </c>
      <c r="AC27" s="1810">
        <f>'HIV-Equipment'!$M27+'HIV-Equipment'!$T27+'HIV-Equipment'!$AA27</f>
        <v>0</v>
      </c>
      <c r="AD27" s="1388" t="str">
        <f>IF(A27&lt;&gt;"",IFERROR(INDEX(PMtbl[[WKst]:[Unit of measure*]],MATCH($A$8&amp;$A27&amp;$C27&amp;$D27,INDEX(PMtbl[Sec]&amp;PMtbl[Category]&amp;PMtbl[INN]&amp;PMtbl[Specification],0,),0),7),""),"")</f>
        <v/>
      </c>
      <c r="AE27" s="2049"/>
      <c r="AF27" s="1388" t="str">
        <f>IFERROR(INDEX(SETUP!$C$19:$G$62,MATCH((INDEX(PMtbl[[WKst]:[Unit of measure*]],MATCH($A27&amp;$C27&amp;$D27,INDEX(PMtbl[Category]&amp;PMtbl[INN]&amp;PMtbl[Specification],0,),0),3)),SETUP!$D$19:$D$62,0),5),"")</f>
        <v/>
      </c>
      <c r="AG27" s="1388" t="str">
        <f>IFERROR(IF((INDEX(SETUP!$C$19:$G$62,MATCH((INDEX(PMtbl[[WKst]:[Unit of measure*]],MATCH($A27&amp;$C27&amp;$D27,INDEX(PMtbl[Category]&amp;PMtbl[INN]&amp;PMtbl[Specification],0,),0),3)),SETUP!$D$19:$D$62,0),4))="Upfront",0,INDEX(SETUP!$C$19:$G$62,MATCH((INDEX(PMtbl[[WKst]:[Unit of measure*]],MATCH($A27&amp;$C27&amp;$D27,INDEX(PMtbl[Category]&amp;PMtbl[INN]&amp;PMtbl[Specification],0,),0),3)),SETUP!$D$19:$D$62,0),5)),"")</f>
        <v/>
      </c>
      <c r="AN27" s="62"/>
      <c r="AO27" s="380"/>
      <c r="AU27" s="1381">
        <f>IFERROR(VLOOKUP($AV27,$AD:$AG,4,FALSE),"")</f>
        <v>0</v>
      </c>
      <c r="AV27" s="1382">
        <v>6.6</v>
      </c>
      <c r="AW27" s="455">
        <f t="shared" si="5"/>
        <v>0</v>
      </c>
      <c r="AX27" s="455">
        <f t="shared" si="6"/>
        <v>255000</v>
      </c>
      <c r="AY27" s="455">
        <f t="shared" si="7"/>
        <v>0</v>
      </c>
      <c r="AZ27" s="455">
        <f t="shared" si="8"/>
        <v>0</v>
      </c>
      <c r="BA27" s="455">
        <f t="shared" si="9"/>
        <v>0</v>
      </c>
      <c r="BB27" s="455">
        <f t="shared" si="10"/>
        <v>0</v>
      </c>
      <c r="BC27" s="455">
        <f t="shared" si="11"/>
        <v>0</v>
      </c>
      <c r="BD27" s="455">
        <f t="shared" si="12"/>
        <v>0</v>
      </c>
      <c r="BE27" s="455">
        <f t="shared" si="13"/>
        <v>0</v>
      </c>
      <c r="BF27" s="455">
        <f t="shared" si="14"/>
        <v>0</v>
      </c>
      <c r="BG27" s="455">
        <f t="shared" si="15"/>
        <v>0</v>
      </c>
      <c r="BH27" s="455">
        <f t="shared" si="16"/>
        <v>0</v>
      </c>
      <c r="BI27" s="343">
        <f t="shared" si="4"/>
        <v>255000</v>
      </c>
    </row>
    <row r="28" spans="1:61">
      <c r="A28" s="2377"/>
      <c r="B28" s="2302"/>
      <c r="C28" s="1177"/>
      <c r="D28" s="1172"/>
      <c r="E28" s="280" t="str">
        <f>IF(A28&lt;&gt;"",IFERROR(INDEX(PMtbl[[WKst]:[Unit of measure*]],MATCH($A$8&amp;$A28&amp;$C28&amp;$D28,INDEX(PMtbl[Sec]&amp;PMtbl[Category]&amp;PMtbl[INN]&amp;PMtbl[Specification],0,),0),8),""),"")</f>
        <v/>
      </c>
      <c r="F28" s="280" t="str">
        <f>IF(E28="", "",SETUP!$E$5)</f>
        <v/>
      </c>
      <c r="G28" s="1949"/>
      <c r="H28" s="1946"/>
      <c r="I28" s="1946"/>
      <c r="J28" s="1946"/>
      <c r="K28" s="1946"/>
      <c r="L28" s="1815">
        <f>SUM('HIV-Equipment'!$H28:$K28)</f>
        <v>0</v>
      </c>
      <c r="M28" s="1816">
        <f>'HIV-Equipment'!$L28*'HIV-Equipment'!$G28</f>
        <v>0</v>
      </c>
      <c r="N28" s="1956"/>
      <c r="O28" s="1946"/>
      <c r="P28" s="1946"/>
      <c r="Q28" s="1946"/>
      <c r="R28" s="1946"/>
      <c r="S28" s="1815">
        <f>SUM('HIV-Equipment'!$O28:$R28)</f>
        <v>0</v>
      </c>
      <c r="T28" s="1816">
        <f>'HIV-Equipment'!$S28*'HIV-Equipment'!$N28</f>
        <v>0</v>
      </c>
      <c r="U28" s="1956"/>
      <c r="V28" s="1946"/>
      <c r="W28" s="1946"/>
      <c r="X28" s="1946"/>
      <c r="Y28" s="1946"/>
      <c r="Z28" s="1815">
        <f>SUM('HIV-Equipment'!$V28:$Y28)</f>
        <v>0</v>
      </c>
      <c r="AA28" s="1816">
        <f>'HIV-Equipment'!$U28*'HIV-Equipment'!$Z28</f>
        <v>0</v>
      </c>
      <c r="AB28" s="1817">
        <f>'HIV-Equipment'!$L28+'HIV-Equipment'!$S28+'HIV-Equipment'!$Z28</f>
        <v>0</v>
      </c>
      <c r="AC28" s="1816">
        <f>'HIV-Equipment'!$M28+'HIV-Equipment'!$T28+'HIV-Equipment'!$AA28</f>
        <v>0</v>
      </c>
      <c r="AD28" s="1387" t="str">
        <f>IF(A28&lt;&gt;"",IFERROR(INDEX(PMtbl[[WKst]:[Unit of measure*]],MATCH($A$8&amp;$A28&amp;$C28&amp;$D28,INDEX(PMtbl[Sec]&amp;PMtbl[Category]&amp;PMtbl[INN]&amp;PMtbl[Specification],0,),0),7),""),"")</f>
        <v/>
      </c>
      <c r="AE28" s="2050"/>
      <c r="AF28" s="1387" t="str">
        <f>IFERROR(INDEX(SETUP!$C$19:$G$62,MATCH((INDEX(PMtbl[[WKst]:[Unit of measure*]],MATCH($A28&amp;$C28&amp;$D28,INDEX(PMtbl[Category]&amp;PMtbl[INN]&amp;PMtbl[Specification],0,),0),3)),SETUP!$D$19:$D$62,0),5),"")</f>
        <v/>
      </c>
      <c r="AG28" s="1387" t="str">
        <f>IFERROR(IF((INDEX(SETUP!$C$19:$G$62,MATCH((INDEX(PMtbl[[WKst]:[Unit of measure*]],MATCH($A28&amp;$C28&amp;$D28,INDEX(PMtbl[Category]&amp;PMtbl[INN]&amp;PMtbl[Specification],0,),0),3)),SETUP!$D$19:$D$62,0),4))="Upfront",0,INDEX(SETUP!$C$19:$G$62,MATCH((INDEX(PMtbl[[WKst]:[Unit of measure*]],MATCH($A28&amp;$C28&amp;$D28,INDEX(PMtbl[Category]&amp;PMtbl[INN]&amp;PMtbl[Specification],0,),0),3)),SETUP!$D$19:$D$62,0),5)),"")</f>
        <v/>
      </c>
      <c r="AN28" s="62"/>
      <c r="AO28" s="380"/>
      <c r="AW28" s="1476">
        <f>SUM(AW23:AW27)</f>
        <v>0</v>
      </c>
      <c r="AX28" s="1476">
        <f t="shared" ref="AX28:BI28" si="17">SUM(AX23:AX27)</f>
        <v>255000</v>
      </c>
      <c r="AY28" s="1476">
        <f t="shared" si="17"/>
        <v>0</v>
      </c>
      <c r="AZ28" s="1476">
        <f t="shared" si="17"/>
        <v>0</v>
      </c>
      <c r="BA28" s="1476">
        <f t="shared" si="17"/>
        <v>0</v>
      </c>
      <c r="BB28" s="1476">
        <f t="shared" si="17"/>
        <v>0</v>
      </c>
      <c r="BC28" s="1476">
        <f t="shared" si="17"/>
        <v>0</v>
      </c>
      <c r="BD28" s="1476">
        <f t="shared" si="17"/>
        <v>0</v>
      </c>
      <c r="BE28" s="1476">
        <f t="shared" si="17"/>
        <v>0</v>
      </c>
      <c r="BF28" s="1476">
        <f t="shared" si="17"/>
        <v>0</v>
      </c>
      <c r="BG28" s="1476">
        <f t="shared" si="17"/>
        <v>0</v>
      </c>
      <c r="BH28" s="1476">
        <f t="shared" si="17"/>
        <v>0</v>
      </c>
      <c r="BI28" s="1476">
        <f t="shared" si="17"/>
        <v>255000</v>
      </c>
    </row>
    <row r="29" spans="1:61">
      <c r="A29" s="2378"/>
      <c r="B29" s="2304"/>
      <c r="C29" s="1178"/>
      <c r="D29" s="1173"/>
      <c r="E29" s="281" t="str">
        <f>IF(A29&lt;&gt;"",IFERROR(INDEX(PMtbl[[WKst]:[Unit of measure*]],MATCH($A$8&amp;$A29&amp;$C29&amp;$D29,INDEX(PMtbl[Sec]&amp;PMtbl[Category]&amp;PMtbl[INN]&amp;PMtbl[Specification],0,),0),8),""),"")</f>
        <v/>
      </c>
      <c r="F29" s="281" t="str">
        <f>IF(E29="", "",SETUP!$E$5)</f>
        <v/>
      </c>
      <c r="G29" s="1947"/>
      <c r="H29" s="12"/>
      <c r="I29" s="12"/>
      <c r="J29" s="12"/>
      <c r="K29" s="12"/>
      <c r="L29" s="1809">
        <f>SUM('HIV-Equipment'!$H29:$K29)</f>
        <v>0</v>
      </c>
      <c r="M29" s="1810">
        <f>'HIV-Equipment'!$L29*'HIV-Equipment'!$G29</f>
        <v>0</v>
      </c>
      <c r="N29" s="1954"/>
      <c r="O29" s="12"/>
      <c r="P29" s="12"/>
      <c r="Q29" s="12"/>
      <c r="R29" s="12"/>
      <c r="S29" s="1809">
        <f>SUM('HIV-Equipment'!$O29:$R29)</f>
        <v>0</v>
      </c>
      <c r="T29" s="1810">
        <f>'HIV-Equipment'!$S29*'HIV-Equipment'!$N29</f>
        <v>0</v>
      </c>
      <c r="U29" s="1954"/>
      <c r="V29" s="12"/>
      <c r="W29" s="12"/>
      <c r="X29" s="12"/>
      <c r="Y29" s="12"/>
      <c r="Z29" s="1809">
        <f>SUM('HIV-Equipment'!$V29:$Y29)</f>
        <v>0</v>
      </c>
      <c r="AA29" s="1810">
        <f>'HIV-Equipment'!$U29*'HIV-Equipment'!$Z29</f>
        <v>0</v>
      </c>
      <c r="AB29" s="1811">
        <f>'HIV-Equipment'!$L29+'HIV-Equipment'!$S29+'HIV-Equipment'!$Z29</f>
        <v>0</v>
      </c>
      <c r="AC29" s="1810">
        <f>'HIV-Equipment'!$M29+'HIV-Equipment'!$T29+'HIV-Equipment'!$AA29</f>
        <v>0</v>
      </c>
      <c r="AD29" s="1388" t="str">
        <f>IF(A29&lt;&gt;"",IFERROR(INDEX(PMtbl[[WKst]:[Unit of measure*]],MATCH($A$8&amp;$A29&amp;$C29&amp;$D29,INDEX(PMtbl[Sec]&amp;PMtbl[Category]&amp;PMtbl[INN]&amp;PMtbl[Specification],0,),0),7),""),"")</f>
        <v/>
      </c>
      <c r="AE29" s="2049"/>
      <c r="AF29" s="1388" t="str">
        <f>IFERROR(INDEX(SETUP!$C$19:$G$62,MATCH((INDEX(PMtbl[[WKst]:[Unit of measure*]],MATCH($A29&amp;$C29&amp;$D29,INDEX(PMtbl[Category]&amp;PMtbl[INN]&amp;PMtbl[Specification],0,),0),3)),SETUP!$D$19:$D$62,0),5),"")</f>
        <v/>
      </c>
      <c r="AG29" s="1388" t="str">
        <f>IFERROR(IF((INDEX(SETUP!$C$19:$G$62,MATCH((INDEX(PMtbl[[WKst]:[Unit of measure*]],MATCH($A29&amp;$C29&amp;$D29,INDEX(PMtbl[Category]&amp;PMtbl[INN]&amp;PMtbl[Specification],0,),0),3)),SETUP!$D$19:$D$62,0),4))="Upfront",0,INDEX(SETUP!$C$19:$G$62,MATCH((INDEX(PMtbl[[WKst]:[Unit of measure*]],MATCH($A29&amp;$C29&amp;$D29,INDEX(PMtbl[Category]&amp;PMtbl[INN]&amp;PMtbl[Specification],0,),0),3)),SETUP!$D$19:$D$62,0),5)),"")</f>
        <v/>
      </c>
      <c r="AN29" s="62"/>
      <c r="AO29" s="380"/>
    </row>
    <row r="30" spans="1:61">
      <c r="A30" s="2377"/>
      <c r="B30" s="2302"/>
      <c r="C30" s="1177"/>
      <c r="D30" s="1172"/>
      <c r="E30" s="280" t="str">
        <f>IF(A30&lt;&gt;"",IFERROR(INDEX(PMtbl[[WKst]:[Unit of measure*]],MATCH($A$8&amp;$A30&amp;$C30&amp;$D30,INDEX(PMtbl[Sec]&amp;PMtbl[Category]&amp;PMtbl[INN]&amp;PMtbl[Specification],0,),0),8),""),"")</f>
        <v/>
      </c>
      <c r="F30" s="280" t="str">
        <f>IF(E30="", "",SETUP!$E$5)</f>
        <v/>
      </c>
      <c r="G30" s="1949"/>
      <c r="H30" s="1950"/>
      <c r="I30" s="1950"/>
      <c r="J30" s="1950"/>
      <c r="K30" s="1950"/>
      <c r="L30" s="1815">
        <f>SUM('HIV-Equipment'!$H30:$K30)</f>
        <v>0</v>
      </c>
      <c r="M30" s="1816">
        <f>'HIV-Equipment'!$L30*'HIV-Equipment'!$G30</f>
        <v>0</v>
      </c>
      <c r="N30" s="1956"/>
      <c r="O30" s="1950"/>
      <c r="P30" s="1950"/>
      <c r="Q30" s="1950"/>
      <c r="R30" s="1950"/>
      <c r="S30" s="1815">
        <f>SUM('HIV-Equipment'!$O30:$R30)</f>
        <v>0</v>
      </c>
      <c r="T30" s="1816">
        <f>'HIV-Equipment'!$S30*'HIV-Equipment'!$N30</f>
        <v>0</v>
      </c>
      <c r="U30" s="1956"/>
      <c r="V30" s="1950"/>
      <c r="W30" s="1950"/>
      <c r="X30" s="1950"/>
      <c r="Y30" s="1950"/>
      <c r="Z30" s="1815">
        <f>SUM('HIV-Equipment'!$V30:$Y30)</f>
        <v>0</v>
      </c>
      <c r="AA30" s="1816">
        <f>'HIV-Equipment'!$U30*'HIV-Equipment'!$Z30</f>
        <v>0</v>
      </c>
      <c r="AB30" s="1817">
        <f>'HIV-Equipment'!$L30+'HIV-Equipment'!$S30+'HIV-Equipment'!$Z30</f>
        <v>0</v>
      </c>
      <c r="AC30" s="1816">
        <f>'HIV-Equipment'!$M30+'HIV-Equipment'!$T30+'HIV-Equipment'!$AA30</f>
        <v>0</v>
      </c>
      <c r="AD30" s="1387" t="str">
        <f>IF(A30&lt;&gt;"",IFERROR(INDEX(PMtbl[[WKst]:[Unit of measure*]],MATCH($A$8&amp;$A30&amp;$C30&amp;$D30,INDEX(PMtbl[Sec]&amp;PMtbl[Category]&amp;PMtbl[INN]&amp;PMtbl[Specification],0,),0),7),""),"")</f>
        <v/>
      </c>
      <c r="AE30" s="2050"/>
      <c r="AF30" s="1387" t="str">
        <f>IFERROR(INDEX(SETUP!$C$19:$G$62,MATCH((INDEX(PMtbl[[WKst]:[Unit of measure*]],MATCH($A30&amp;$C30&amp;$D30,INDEX(PMtbl[Category]&amp;PMtbl[INN]&amp;PMtbl[Specification],0,),0),3)),SETUP!$D$19:$D$62,0),5),"")</f>
        <v/>
      </c>
      <c r="AG30" s="1387" t="str">
        <f>IFERROR(IF((INDEX(SETUP!$C$19:$G$62,MATCH((INDEX(PMtbl[[WKst]:[Unit of measure*]],MATCH($A30&amp;$C30&amp;$D30,INDEX(PMtbl[Category]&amp;PMtbl[INN]&amp;PMtbl[Specification],0,),0),3)),SETUP!$D$19:$D$62,0),4))="Upfront",0,INDEX(SETUP!$C$19:$G$62,MATCH((INDEX(PMtbl[[WKst]:[Unit of measure*]],MATCH($A30&amp;$C30&amp;$D30,INDEX(PMtbl[Category]&amp;PMtbl[INN]&amp;PMtbl[Specification],0,),0),3)),SETUP!$D$19:$D$62,0),5)),"")</f>
        <v/>
      </c>
      <c r="AN30" s="62"/>
      <c r="AO30" s="380"/>
    </row>
    <row r="31" spans="1:61">
      <c r="A31" s="2378"/>
      <c r="B31" s="2304"/>
      <c r="C31" s="1178"/>
      <c r="D31" s="1173"/>
      <c r="E31" s="281" t="str">
        <f>IF(A31&lt;&gt;"",IFERROR(INDEX(PMtbl[[WKst]:[Unit of measure*]],MATCH($A$8&amp;$A31&amp;$C31&amp;$D31,INDEX(PMtbl[Sec]&amp;PMtbl[Category]&amp;PMtbl[INN]&amp;PMtbl[Specification],0,),0),8),""),"")</f>
        <v/>
      </c>
      <c r="F31" s="281" t="str">
        <f>IF(E31="", "",SETUP!$E$5)</f>
        <v/>
      </c>
      <c r="G31" s="1947"/>
      <c r="H31" s="12"/>
      <c r="I31" s="12"/>
      <c r="J31" s="12"/>
      <c r="K31" s="12"/>
      <c r="L31" s="1809">
        <f>SUM('HIV-Equipment'!$H31:$K31)</f>
        <v>0</v>
      </c>
      <c r="M31" s="1810">
        <f>'HIV-Equipment'!$L31*'HIV-Equipment'!$G31</f>
        <v>0</v>
      </c>
      <c r="N31" s="1954"/>
      <c r="O31" s="12"/>
      <c r="P31" s="12"/>
      <c r="Q31" s="12"/>
      <c r="R31" s="12"/>
      <c r="S31" s="1809">
        <f>SUM('HIV-Equipment'!$O31:$R31)</f>
        <v>0</v>
      </c>
      <c r="T31" s="1810">
        <f>'HIV-Equipment'!$S31*'HIV-Equipment'!$N31</f>
        <v>0</v>
      </c>
      <c r="U31" s="1954"/>
      <c r="V31" s="12"/>
      <c r="W31" s="12"/>
      <c r="X31" s="12"/>
      <c r="Y31" s="12"/>
      <c r="Z31" s="1809">
        <f>SUM('HIV-Equipment'!$V31:$Y31)</f>
        <v>0</v>
      </c>
      <c r="AA31" s="1810">
        <f>'HIV-Equipment'!$U31*'HIV-Equipment'!$Z31</f>
        <v>0</v>
      </c>
      <c r="AB31" s="1811">
        <f>'HIV-Equipment'!$L31+'HIV-Equipment'!$S31+'HIV-Equipment'!$Z31</f>
        <v>0</v>
      </c>
      <c r="AC31" s="1810">
        <f>'HIV-Equipment'!$M31+'HIV-Equipment'!$T31+'HIV-Equipment'!$AA31</f>
        <v>0</v>
      </c>
      <c r="AD31" s="1388" t="str">
        <f>IF(A31&lt;&gt;"",IFERROR(INDEX(PMtbl[[WKst]:[Unit of measure*]],MATCH($A$8&amp;$A31&amp;$C31&amp;$D31,INDEX(PMtbl[Sec]&amp;PMtbl[Category]&amp;PMtbl[INN]&amp;PMtbl[Specification],0,),0),7),""),"")</f>
        <v/>
      </c>
      <c r="AE31" s="2049"/>
      <c r="AF31" s="1388" t="str">
        <f>IFERROR(INDEX(SETUP!$C$19:$G$62,MATCH((INDEX(PMtbl[[WKst]:[Unit of measure*]],MATCH($A31&amp;$C31&amp;$D31,INDEX(PMtbl[Category]&amp;PMtbl[INN]&amp;PMtbl[Specification],0,),0),3)),SETUP!$D$19:$D$62,0),5),"")</f>
        <v/>
      </c>
      <c r="AG31" s="1388" t="str">
        <f>IFERROR(IF((INDEX(SETUP!$C$19:$G$62,MATCH((INDEX(PMtbl[[WKst]:[Unit of measure*]],MATCH($A31&amp;$C31&amp;$D31,INDEX(PMtbl[Category]&amp;PMtbl[INN]&amp;PMtbl[Specification],0,),0),3)),SETUP!$D$19:$D$62,0),4))="Upfront",0,INDEX(SETUP!$C$19:$G$62,MATCH((INDEX(PMtbl[[WKst]:[Unit of measure*]],MATCH($A31&amp;$C31&amp;$D31,INDEX(PMtbl[Category]&amp;PMtbl[INN]&amp;PMtbl[Specification],0,),0),3)),SETUP!$D$19:$D$62,0),5)),"")</f>
        <v/>
      </c>
      <c r="AN31" s="62"/>
      <c r="AO31" s="380"/>
    </row>
    <row r="32" spans="1:61">
      <c r="A32" s="2377"/>
      <c r="B32" s="2302"/>
      <c r="C32" s="1177"/>
      <c r="D32" s="1172"/>
      <c r="E32" s="280" t="str">
        <f>IF(A32&lt;&gt;"",IFERROR(INDEX(PMtbl[[WKst]:[Unit of measure*]],MATCH($A$8&amp;$A32&amp;$C32&amp;$D32,INDEX(PMtbl[Sec]&amp;PMtbl[Category]&amp;PMtbl[INN]&amp;PMtbl[Specification],0,),0),8),""),"")</f>
        <v/>
      </c>
      <c r="F32" s="280" t="str">
        <f>IF(E32="", "",SETUP!$E$5)</f>
        <v/>
      </c>
      <c r="G32" s="1949"/>
      <c r="H32" s="1950"/>
      <c r="I32" s="1950"/>
      <c r="J32" s="1950"/>
      <c r="K32" s="1950"/>
      <c r="L32" s="1815">
        <f>SUM('HIV-Equipment'!$H32:$K32)</f>
        <v>0</v>
      </c>
      <c r="M32" s="1816">
        <f>'HIV-Equipment'!$L32*'HIV-Equipment'!$G32</f>
        <v>0</v>
      </c>
      <c r="N32" s="1956"/>
      <c r="O32" s="1950"/>
      <c r="P32" s="1950"/>
      <c r="Q32" s="1950"/>
      <c r="R32" s="1950"/>
      <c r="S32" s="1815">
        <f>SUM('HIV-Equipment'!$O32:$R32)</f>
        <v>0</v>
      </c>
      <c r="T32" s="1816">
        <f>'HIV-Equipment'!$S32*'HIV-Equipment'!$N32</f>
        <v>0</v>
      </c>
      <c r="U32" s="1956"/>
      <c r="V32" s="1950"/>
      <c r="W32" s="1950"/>
      <c r="X32" s="1950"/>
      <c r="Y32" s="1950"/>
      <c r="Z32" s="1815">
        <f>SUM('HIV-Equipment'!$V32:$Y32)</f>
        <v>0</v>
      </c>
      <c r="AA32" s="1816">
        <f>'HIV-Equipment'!$U32*'HIV-Equipment'!$Z32</f>
        <v>0</v>
      </c>
      <c r="AB32" s="1817">
        <f>'HIV-Equipment'!$L32+'HIV-Equipment'!$S32+'HIV-Equipment'!$Z32</f>
        <v>0</v>
      </c>
      <c r="AC32" s="1816">
        <f>'HIV-Equipment'!$M32+'HIV-Equipment'!$T32+'HIV-Equipment'!$AA32</f>
        <v>0</v>
      </c>
      <c r="AD32" s="1387" t="str">
        <f>IF(A32&lt;&gt;"",IFERROR(INDEX(PMtbl[[WKst]:[Unit of measure*]],MATCH($A$8&amp;$A32&amp;$C32&amp;$D32,INDEX(PMtbl[Sec]&amp;PMtbl[Category]&amp;PMtbl[INN]&amp;PMtbl[Specification],0,),0),7),""),"")</f>
        <v/>
      </c>
      <c r="AE32" s="2050"/>
      <c r="AF32" s="1387" t="str">
        <f>IFERROR(INDEX(SETUP!$C$19:$G$62,MATCH((INDEX(PMtbl[[WKst]:[Unit of measure*]],MATCH($A32&amp;$C32&amp;$D32,INDEX(PMtbl[Category]&amp;PMtbl[INN]&amp;PMtbl[Specification],0,),0),3)),SETUP!$D$19:$D$62,0),5),"")</f>
        <v/>
      </c>
      <c r="AG32" s="1387" t="str">
        <f>IFERROR(IF((INDEX(SETUP!$C$19:$G$62,MATCH((INDEX(PMtbl[[WKst]:[Unit of measure*]],MATCH($A32&amp;$C32&amp;$D32,INDEX(PMtbl[Category]&amp;PMtbl[INN]&amp;PMtbl[Specification],0,),0),3)),SETUP!$D$19:$D$62,0),4))="Upfront",0,INDEX(SETUP!$C$19:$G$62,MATCH((INDEX(PMtbl[[WKst]:[Unit of measure*]],MATCH($A32&amp;$C32&amp;$D32,INDEX(PMtbl[Category]&amp;PMtbl[INN]&amp;PMtbl[Specification],0,),0),3)),SETUP!$D$19:$D$62,0),5)),"")</f>
        <v/>
      </c>
      <c r="AN32" s="62"/>
      <c r="AO32" s="380"/>
    </row>
    <row r="33" spans="1:41">
      <c r="A33" s="2378"/>
      <c r="B33" s="2304"/>
      <c r="C33" s="1178"/>
      <c r="D33" s="1173"/>
      <c r="E33" s="281" t="str">
        <f>IF(A33&lt;&gt;"",IFERROR(INDEX(PMtbl[[WKst]:[Unit of measure*]],MATCH($A$8&amp;$A33&amp;$C33&amp;$D33,INDEX(PMtbl[Sec]&amp;PMtbl[Category]&amp;PMtbl[INN]&amp;PMtbl[Specification],0,),0),8),""),"")</f>
        <v/>
      </c>
      <c r="F33" s="281" t="str">
        <f>IF(E33="", "",SETUP!$E$5)</f>
        <v/>
      </c>
      <c r="G33" s="1947"/>
      <c r="H33" s="12"/>
      <c r="I33" s="12"/>
      <c r="J33" s="12"/>
      <c r="K33" s="12"/>
      <c r="L33" s="1809">
        <f>SUM('HIV-Equipment'!$H33:$K33)</f>
        <v>0</v>
      </c>
      <c r="M33" s="1810">
        <f>'HIV-Equipment'!$L33*'HIV-Equipment'!$G33</f>
        <v>0</v>
      </c>
      <c r="N33" s="1954"/>
      <c r="O33" s="12"/>
      <c r="P33" s="12"/>
      <c r="Q33" s="12"/>
      <c r="R33" s="12"/>
      <c r="S33" s="1809">
        <f>SUM('HIV-Equipment'!$O33:$R33)</f>
        <v>0</v>
      </c>
      <c r="T33" s="1810">
        <f>'HIV-Equipment'!$S33*'HIV-Equipment'!$N33</f>
        <v>0</v>
      </c>
      <c r="U33" s="1954"/>
      <c r="V33" s="12"/>
      <c r="W33" s="12"/>
      <c r="X33" s="12"/>
      <c r="Y33" s="12"/>
      <c r="Z33" s="1809">
        <f>SUM('HIV-Equipment'!$V33:$Y33)</f>
        <v>0</v>
      </c>
      <c r="AA33" s="1810">
        <f>'HIV-Equipment'!$U33*'HIV-Equipment'!$Z33</f>
        <v>0</v>
      </c>
      <c r="AB33" s="1811">
        <f>'HIV-Equipment'!$L33+'HIV-Equipment'!$S33+'HIV-Equipment'!$Z33</f>
        <v>0</v>
      </c>
      <c r="AC33" s="1810">
        <f>'HIV-Equipment'!$M33+'HIV-Equipment'!$T33+'HIV-Equipment'!$AA33</f>
        <v>0</v>
      </c>
      <c r="AD33" s="1388" t="str">
        <f>IF(A33&lt;&gt;"",IFERROR(INDEX(PMtbl[[WKst]:[Unit of measure*]],MATCH($A$8&amp;$A33&amp;$C33&amp;$D33,INDEX(PMtbl[Sec]&amp;PMtbl[Category]&amp;PMtbl[INN]&amp;PMtbl[Specification],0,),0),7),""),"")</f>
        <v/>
      </c>
      <c r="AE33" s="2049"/>
      <c r="AF33" s="1388" t="str">
        <f>IFERROR(INDEX(SETUP!$C$19:$G$62,MATCH((INDEX(PMtbl[[WKst]:[Unit of measure*]],MATCH($A33&amp;$C33&amp;$D33,INDEX(PMtbl[Category]&amp;PMtbl[INN]&amp;PMtbl[Specification],0,),0),3)),SETUP!$D$19:$D$62,0),5),"")</f>
        <v/>
      </c>
      <c r="AG33" s="1388" t="str">
        <f>IFERROR(IF((INDEX(SETUP!$C$19:$G$62,MATCH((INDEX(PMtbl[[WKst]:[Unit of measure*]],MATCH($A33&amp;$C33&amp;$D33,INDEX(PMtbl[Category]&amp;PMtbl[INN]&amp;PMtbl[Specification],0,),0),3)),SETUP!$D$19:$D$62,0),4))="Upfront",0,INDEX(SETUP!$C$19:$G$62,MATCH((INDEX(PMtbl[[WKst]:[Unit of measure*]],MATCH($A33&amp;$C33&amp;$D33,INDEX(PMtbl[Category]&amp;PMtbl[INN]&amp;PMtbl[Specification],0,),0),3)),SETUP!$D$19:$D$62,0),5)),"")</f>
        <v/>
      </c>
      <c r="AN33" s="62"/>
      <c r="AO33" s="380"/>
    </row>
    <row r="34" spans="1:41">
      <c r="A34" s="2377"/>
      <c r="B34" s="2302"/>
      <c r="C34" s="1177"/>
      <c r="D34" s="1172"/>
      <c r="E34" s="280" t="str">
        <f>IF(A34&lt;&gt;"",IFERROR(INDEX(PMtbl[[WKst]:[Unit of measure*]],MATCH($A$8&amp;$A34&amp;$C34&amp;$D34,INDEX(PMtbl[Sec]&amp;PMtbl[Category]&amp;PMtbl[INN]&amp;PMtbl[Specification],0,),0),8),""),"")</f>
        <v/>
      </c>
      <c r="F34" s="280" t="str">
        <f>IF(E34="", "",SETUP!$E$5)</f>
        <v/>
      </c>
      <c r="G34" s="1949"/>
      <c r="H34" s="1950"/>
      <c r="I34" s="1950"/>
      <c r="J34" s="1950"/>
      <c r="K34" s="1950"/>
      <c r="L34" s="1815">
        <f>SUM('HIV-Equipment'!$H34:$K34)</f>
        <v>0</v>
      </c>
      <c r="M34" s="1816">
        <f>'HIV-Equipment'!$L34*'HIV-Equipment'!$G34</f>
        <v>0</v>
      </c>
      <c r="N34" s="1956"/>
      <c r="O34" s="1950"/>
      <c r="P34" s="1950"/>
      <c r="Q34" s="1950"/>
      <c r="R34" s="1950"/>
      <c r="S34" s="1815">
        <f>SUM('HIV-Equipment'!$O34:$R34)</f>
        <v>0</v>
      </c>
      <c r="T34" s="1816">
        <f>'HIV-Equipment'!$S34*'HIV-Equipment'!$N34</f>
        <v>0</v>
      </c>
      <c r="U34" s="1956"/>
      <c r="V34" s="1950"/>
      <c r="W34" s="1950"/>
      <c r="X34" s="1950"/>
      <c r="Y34" s="1950"/>
      <c r="Z34" s="1815">
        <f>SUM('HIV-Equipment'!$V34:$Y34)</f>
        <v>0</v>
      </c>
      <c r="AA34" s="1816">
        <f>'HIV-Equipment'!$U34*'HIV-Equipment'!$Z34</f>
        <v>0</v>
      </c>
      <c r="AB34" s="1817">
        <f>'HIV-Equipment'!$L34+'HIV-Equipment'!$S34+'HIV-Equipment'!$Z34</f>
        <v>0</v>
      </c>
      <c r="AC34" s="1816">
        <f>'HIV-Equipment'!$M34+'HIV-Equipment'!$T34+'HIV-Equipment'!$AA34</f>
        <v>0</v>
      </c>
      <c r="AD34" s="1387" t="str">
        <f>IF(A34&lt;&gt;"",IFERROR(INDEX(PMtbl[[WKst]:[Unit of measure*]],MATCH($A$8&amp;$A34&amp;$C34&amp;$D34,INDEX(PMtbl[Sec]&amp;PMtbl[Category]&amp;PMtbl[INN]&amp;PMtbl[Specification],0,),0),7),""),"")</f>
        <v/>
      </c>
      <c r="AE34" s="2050"/>
      <c r="AF34" s="1387" t="str">
        <f>IFERROR(INDEX(SETUP!$C$19:$G$62,MATCH((INDEX(PMtbl[[WKst]:[Unit of measure*]],MATCH($A34&amp;$C34&amp;$D34,INDEX(PMtbl[Category]&amp;PMtbl[INN]&amp;PMtbl[Specification],0,),0),3)),SETUP!$D$19:$D$62,0),5),"")</f>
        <v/>
      </c>
      <c r="AG34" s="1387" t="str">
        <f>IFERROR(IF((INDEX(SETUP!$C$19:$G$62,MATCH((INDEX(PMtbl[[WKst]:[Unit of measure*]],MATCH($A34&amp;$C34&amp;$D34,INDEX(PMtbl[Category]&amp;PMtbl[INN]&amp;PMtbl[Specification],0,),0),3)),SETUP!$D$19:$D$62,0),4))="Upfront",0,INDEX(SETUP!$C$19:$G$62,MATCH((INDEX(PMtbl[[WKst]:[Unit of measure*]],MATCH($A34&amp;$C34&amp;$D34,INDEX(PMtbl[Category]&amp;PMtbl[INN]&amp;PMtbl[Specification],0,),0),3)),SETUP!$D$19:$D$62,0),5)),"")</f>
        <v/>
      </c>
      <c r="AN34" s="62"/>
      <c r="AO34" s="380"/>
    </row>
    <row r="35" spans="1:41">
      <c r="A35" s="2378"/>
      <c r="B35" s="2304"/>
      <c r="C35" s="1178"/>
      <c r="D35" s="1173"/>
      <c r="E35" s="281" t="str">
        <f>IF(A35&lt;&gt;"",IFERROR(INDEX(PMtbl[[WKst]:[Unit of measure*]],MATCH($A$8&amp;$A35&amp;$C35&amp;$D35,INDEX(PMtbl[Sec]&amp;PMtbl[Category]&amp;PMtbl[INN]&amp;PMtbl[Specification],0,),0),8),""),"")</f>
        <v/>
      </c>
      <c r="F35" s="281" t="str">
        <f>IF(E35="", "",SETUP!$E$5)</f>
        <v/>
      </c>
      <c r="G35" s="1947"/>
      <c r="H35" s="12"/>
      <c r="I35" s="12"/>
      <c r="J35" s="12"/>
      <c r="K35" s="12"/>
      <c r="L35" s="1809">
        <f>SUM('HIV-Equipment'!$H35:$K35)</f>
        <v>0</v>
      </c>
      <c r="M35" s="1810">
        <f>'HIV-Equipment'!$L35*'HIV-Equipment'!$G35</f>
        <v>0</v>
      </c>
      <c r="N35" s="1954"/>
      <c r="O35" s="12"/>
      <c r="P35" s="12"/>
      <c r="Q35" s="12"/>
      <c r="R35" s="12"/>
      <c r="S35" s="1809">
        <f>SUM('HIV-Equipment'!$O35:$R35)</f>
        <v>0</v>
      </c>
      <c r="T35" s="1810">
        <f>'HIV-Equipment'!$S35*'HIV-Equipment'!$N35</f>
        <v>0</v>
      </c>
      <c r="U35" s="1954"/>
      <c r="V35" s="12"/>
      <c r="W35" s="12"/>
      <c r="X35" s="12"/>
      <c r="Y35" s="12"/>
      <c r="Z35" s="1809">
        <f>SUM('HIV-Equipment'!$V35:$Y35)</f>
        <v>0</v>
      </c>
      <c r="AA35" s="1810">
        <f>'HIV-Equipment'!$U35*'HIV-Equipment'!$Z35</f>
        <v>0</v>
      </c>
      <c r="AB35" s="1811">
        <f>'HIV-Equipment'!$L35+'HIV-Equipment'!$S35+'HIV-Equipment'!$Z35</f>
        <v>0</v>
      </c>
      <c r="AC35" s="1810">
        <f>'HIV-Equipment'!$M35+'HIV-Equipment'!$T35+'HIV-Equipment'!$AA35</f>
        <v>0</v>
      </c>
      <c r="AD35" s="1388" t="str">
        <f>IF(A35&lt;&gt;"",IFERROR(INDEX(PMtbl[[WKst]:[Unit of measure*]],MATCH($A$8&amp;$A35&amp;$C35&amp;$D35,INDEX(PMtbl[Sec]&amp;PMtbl[Category]&amp;PMtbl[INN]&amp;PMtbl[Specification],0,),0),7),""),"")</f>
        <v/>
      </c>
      <c r="AE35" s="2049"/>
      <c r="AF35" s="1388" t="str">
        <f>IFERROR(INDEX(SETUP!$C$19:$G$62,MATCH((INDEX(PMtbl[[WKst]:[Unit of measure*]],MATCH($A35&amp;$C35&amp;$D35,INDEX(PMtbl[Category]&amp;PMtbl[INN]&amp;PMtbl[Specification],0,),0),3)),SETUP!$D$19:$D$62,0),5),"")</f>
        <v/>
      </c>
      <c r="AG35" s="1388" t="str">
        <f>IFERROR(IF((INDEX(SETUP!$C$19:$G$62,MATCH((INDEX(PMtbl[[WKst]:[Unit of measure*]],MATCH($A35&amp;$C35&amp;$D35,INDEX(PMtbl[Category]&amp;PMtbl[INN]&amp;PMtbl[Specification],0,),0),3)),SETUP!$D$19:$D$62,0),4))="Upfront",0,INDEX(SETUP!$C$19:$G$62,MATCH((INDEX(PMtbl[[WKst]:[Unit of measure*]],MATCH($A35&amp;$C35&amp;$D35,INDEX(PMtbl[Category]&amp;PMtbl[INN]&amp;PMtbl[Specification],0,),0),3)),SETUP!$D$19:$D$62,0),5)),"")</f>
        <v/>
      </c>
      <c r="AN35" s="62"/>
      <c r="AO35" s="380"/>
    </row>
    <row r="36" spans="1:41">
      <c r="A36" s="2377"/>
      <c r="B36" s="2302"/>
      <c r="C36" s="1177"/>
      <c r="D36" s="1172"/>
      <c r="E36" s="280" t="str">
        <f>IF(A36&lt;&gt;"",IFERROR(INDEX(PMtbl[[WKst]:[Unit of measure*]],MATCH($A$8&amp;$A36&amp;$C36&amp;$D36,INDEX(PMtbl[Sec]&amp;PMtbl[Category]&amp;PMtbl[INN]&amp;PMtbl[Specification],0,),0),8),""),"")</f>
        <v/>
      </c>
      <c r="F36" s="280" t="str">
        <f>IF(E36="", "",SETUP!$E$5)</f>
        <v/>
      </c>
      <c r="G36" s="1949"/>
      <c r="H36" s="1950"/>
      <c r="I36" s="1950"/>
      <c r="J36" s="1950"/>
      <c r="K36" s="1950"/>
      <c r="L36" s="1815">
        <f>SUM('HIV-Equipment'!$H36:$K36)</f>
        <v>0</v>
      </c>
      <c r="M36" s="1816">
        <f>'HIV-Equipment'!$L36*'HIV-Equipment'!$G36</f>
        <v>0</v>
      </c>
      <c r="N36" s="1956"/>
      <c r="O36" s="1950"/>
      <c r="P36" s="1950"/>
      <c r="Q36" s="1950"/>
      <c r="R36" s="1950"/>
      <c r="S36" s="1815">
        <f>SUM('HIV-Equipment'!$O36:$R36)</f>
        <v>0</v>
      </c>
      <c r="T36" s="1816">
        <f>'HIV-Equipment'!$S36*'HIV-Equipment'!$N36</f>
        <v>0</v>
      </c>
      <c r="U36" s="1956"/>
      <c r="V36" s="1950"/>
      <c r="W36" s="1950"/>
      <c r="X36" s="1950"/>
      <c r="Y36" s="1950"/>
      <c r="Z36" s="1815">
        <f>SUM('HIV-Equipment'!$V36:$Y36)</f>
        <v>0</v>
      </c>
      <c r="AA36" s="1816">
        <f>'HIV-Equipment'!$U36*'HIV-Equipment'!$Z36</f>
        <v>0</v>
      </c>
      <c r="AB36" s="1817">
        <f>'HIV-Equipment'!$L36+'HIV-Equipment'!$S36+'HIV-Equipment'!$Z36</f>
        <v>0</v>
      </c>
      <c r="AC36" s="1816">
        <f>'HIV-Equipment'!$M36+'HIV-Equipment'!$T36+'HIV-Equipment'!$AA36</f>
        <v>0</v>
      </c>
      <c r="AD36" s="1387" t="str">
        <f>IF(A36&lt;&gt;"",IFERROR(INDEX(PMtbl[[WKst]:[Unit of measure*]],MATCH($A$8&amp;$A36&amp;$C36&amp;$D36,INDEX(PMtbl[Sec]&amp;PMtbl[Category]&amp;PMtbl[INN]&amp;PMtbl[Specification],0,),0),7),""),"")</f>
        <v/>
      </c>
      <c r="AE36" s="2050"/>
      <c r="AF36" s="1387" t="str">
        <f>IFERROR(INDEX(SETUP!$C$19:$G$62,MATCH((INDEX(PMtbl[[WKst]:[Unit of measure*]],MATCH($A36&amp;$C36&amp;$D36,INDEX(PMtbl[Category]&amp;PMtbl[INN]&amp;PMtbl[Specification],0,),0),3)),SETUP!$D$19:$D$62,0),5),"")</f>
        <v/>
      </c>
      <c r="AG36" s="1387" t="str">
        <f>IFERROR(IF((INDEX(SETUP!$C$19:$G$62,MATCH((INDEX(PMtbl[[WKst]:[Unit of measure*]],MATCH($A36&amp;$C36&amp;$D36,INDEX(PMtbl[Category]&amp;PMtbl[INN]&amp;PMtbl[Specification],0,),0),3)),SETUP!$D$19:$D$62,0),4))="Upfront",0,INDEX(SETUP!$C$19:$G$62,MATCH((INDEX(PMtbl[[WKst]:[Unit of measure*]],MATCH($A36&amp;$C36&amp;$D36,INDEX(PMtbl[Category]&amp;PMtbl[INN]&amp;PMtbl[Specification],0,),0),3)),SETUP!$D$19:$D$62,0),5)),"")</f>
        <v/>
      </c>
      <c r="AN36" s="62"/>
      <c r="AO36" s="380"/>
    </row>
    <row r="37" spans="1:41">
      <c r="A37" s="2378"/>
      <c r="B37" s="2304"/>
      <c r="C37" s="1178"/>
      <c r="D37" s="1173"/>
      <c r="E37" s="281" t="str">
        <f>IF(A37&lt;&gt;"",IFERROR(INDEX(PMtbl[[WKst]:[Unit of measure*]],MATCH($A$8&amp;$A37&amp;$C37&amp;$D37,INDEX(PMtbl[Sec]&amp;PMtbl[Category]&amp;PMtbl[INN]&amp;PMtbl[Specification],0,),0),8),""),"")</f>
        <v/>
      </c>
      <c r="F37" s="281" t="str">
        <f>IF(E37="", "",SETUP!$E$5)</f>
        <v/>
      </c>
      <c r="G37" s="1947"/>
      <c r="H37" s="12"/>
      <c r="I37" s="12"/>
      <c r="J37" s="12"/>
      <c r="K37" s="12"/>
      <c r="L37" s="1809">
        <f>SUM('HIV-Equipment'!$H37:$K37)</f>
        <v>0</v>
      </c>
      <c r="M37" s="1810">
        <f>'HIV-Equipment'!$L37*'HIV-Equipment'!$G37</f>
        <v>0</v>
      </c>
      <c r="N37" s="1954"/>
      <c r="O37" s="12"/>
      <c r="P37" s="12"/>
      <c r="Q37" s="12"/>
      <c r="R37" s="12"/>
      <c r="S37" s="1809">
        <f>SUM('HIV-Equipment'!$O37:$R37)</f>
        <v>0</v>
      </c>
      <c r="T37" s="1810">
        <f>'HIV-Equipment'!$S37*'HIV-Equipment'!$N37</f>
        <v>0</v>
      </c>
      <c r="U37" s="1954"/>
      <c r="V37" s="12"/>
      <c r="W37" s="12"/>
      <c r="X37" s="12"/>
      <c r="Y37" s="12"/>
      <c r="Z37" s="1809">
        <f>SUM('HIV-Equipment'!$V37:$Y37)</f>
        <v>0</v>
      </c>
      <c r="AA37" s="1810">
        <f>'HIV-Equipment'!$U37*'HIV-Equipment'!$Z37</f>
        <v>0</v>
      </c>
      <c r="AB37" s="1811">
        <f>'HIV-Equipment'!$L37+'HIV-Equipment'!$S37+'HIV-Equipment'!$Z37</f>
        <v>0</v>
      </c>
      <c r="AC37" s="1810">
        <f>'HIV-Equipment'!$M37+'HIV-Equipment'!$T37+'HIV-Equipment'!$AA37</f>
        <v>0</v>
      </c>
      <c r="AD37" s="1388" t="str">
        <f>IF(A37&lt;&gt;"",IFERROR(INDEX(PMtbl[[WKst]:[Unit of measure*]],MATCH($A$8&amp;$A37&amp;$C37&amp;$D37,INDEX(PMtbl[Sec]&amp;PMtbl[Category]&amp;PMtbl[INN]&amp;PMtbl[Specification],0,),0),7),""),"")</f>
        <v/>
      </c>
      <c r="AE37" s="2049"/>
      <c r="AF37" s="1388" t="str">
        <f>IFERROR(INDEX(SETUP!$C$19:$G$62,MATCH((INDEX(PMtbl[[WKst]:[Unit of measure*]],MATCH($A37&amp;$C37&amp;$D37,INDEX(PMtbl[Category]&amp;PMtbl[INN]&amp;PMtbl[Specification],0,),0),3)),SETUP!$D$19:$D$62,0),5),"")</f>
        <v/>
      </c>
      <c r="AG37" s="1388" t="str">
        <f>IFERROR(IF((INDEX(SETUP!$C$19:$G$62,MATCH((INDEX(PMtbl[[WKst]:[Unit of measure*]],MATCH($A37&amp;$C37&amp;$D37,INDEX(PMtbl[Category]&amp;PMtbl[INN]&amp;PMtbl[Specification],0,),0),3)),SETUP!$D$19:$D$62,0),4))="Upfront",0,INDEX(SETUP!$C$19:$G$62,MATCH((INDEX(PMtbl[[WKst]:[Unit of measure*]],MATCH($A37&amp;$C37&amp;$D37,INDEX(PMtbl[Category]&amp;PMtbl[INN]&amp;PMtbl[Specification],0,),0),3)),SETUP!$D$19:$D$62,0),5)),"")</f>
        <v/>
      </c>
      <c r="AN37" s="62"/>
      <c r="AO37" s="380"/>
    </row>
    <row r="38" spans="1:41">
      <c r="A38" s="2377"/>
      <c r="B38" s="2302"/>
      <c r="C38" s="1177"/>
      <c r="D38" s="1172"/>
      <c r="E38" s="280" t="str">
        <f>IF(A38&lt;&gt;"",IFERROR(INDEX(PMtbl[[WKst]:[Unit of measure*]],MATCH($A$8&amp;$A38&amp;$C38&amp;$D38,INDEX(PMtbl[Sec]&amp;PMtbl[Category]&amp;PMtbl[INN]&amp;PMtbl[Specification],0,),0),8),""),"")</f>
        <v/>
      </c>
      <c r="F38" s="280" t="str">
        <f>IF(E38="", "",SETUP!$E$5)</f>
        <v/>
      </c>
      <c r="G38" s="1949"/>
      <c r="H38" s="1950"/>
      <c r="I38" s="1950"/>
      <c r="J38" s="1950"/>
      <c r="K38" s="1950"/>
      <c r="L38" s="1815">
        <f>SUM('HIV-Equipment'!$H38:$K38)</f>
        <v>0</v>
      </c>
      <c r="M38" s="1816">
        <f>'HIV-Equipment'!$L38*'HIV-Equipment'!$G38</f>
        <v>0</v>
      </c>
      <c r="N38" s="1956"/>
      <c r="O38" s="1950"/>
      <c r="P38" s="1950"/>
      <c r="Q38" s="1950"/>
      <c r="R38" s="1950"/>
      <c r="S38" s="1815">
        <f>SUM('HIV-Equipment'!$O38:$R38)</f>
        <v>0</v>
      </c>
      <c r="T38" s="1816">
        <f>'HIV-Equipment'!$S38*'HIV-Equipment'!$N38</f>
        <v>0</v>
      </c>
      <c r="U38" s="1956"/>
      <c r="V38" s="1950"/>
      <c r="W38" s="1950"/>
      <c r="X38" s="1950"/>
      <c r="Y38" s="1950"/>
      <c r="Z38" s="1815">
        <f>SUM('HIV-Equipment'!$V38:$Y38)</f>
        <v>0</v>
      </c>
      <c r="AA38" s="1816">
        <f>'HIV-Equipment'!$U38*'HIV-Equipment'!$Z38</f>
        <v>0</v>
      </c>
      <c r="AB38" s="1817">
        <f>'HIV-Equipment'!$L38+'HIV-Equipment'!$S38+'HIV-Equipment'!$Z38</f>
        <v>0</v>
      </c>
      <c r="AC38" s="1816">
        <f>'HIV-Equipment'!$M38+'HIV-Equipment'!$T38+'HIV-Equipment'!$AA38</f>
        <v>0</v>
      </c>
      <c r="AD38" s="1387" t="str">
        <f>IF(A38&lt;&gt;"",IFERROR(INDEX(PMtbl[[WKst]:[Unit of measure*]],MATCH($A$8&amp;$A38&amp;$C38&amp;$D38,INDEX(PMtbl[Sec]&amp;PMtbl[Category]&amp;PMtbl[INN]&amp;PMtbl[Specification],0,),0),7),""),"")</f>
        <v/>
      </c>
      <c r="AE38" s="2050"/>
      <c r="AF38" s="1387" t="str">
        <f>IFERROR(INDEX(SETUP!$C$19:$G$62,MATCH((INDEX(PMtbl[[WKst]:[Unit of measure*]],MATCH($A38&amp;$C38&amp;$D38,INDEX(PMtbl[Category]&amp;PMtbl[INN]&amp;PMtbl[Specification],0,),0),3)),SETUP!$D$19:$D$62,0),5),"")</f>
        <v/>
      </c>
      <c r="AG38" s="1387" t="str">
        <f>IFERROR(IF((INDEX(SETUP!$C$19:$G$62,MATCH((INDEX(PMtbl[[WKst]:[Unit of measure*]],MATCH($A38&amp;$C38&amp;$D38,INDEX(PMtbl[Category]&amp;PMtbl[INN]&amp;PMtbl[Specification],0,),0),3)),SETUP!$D$19:$D$62,0),4))="Upfront",0,INDEX(SETUP!$C$19:$G$62,MATCH((INDEX(PMtbl[[WKst]:[Unit of measure*]],MATCH($A38&amp;$C38&amp;$D38,INDEX(PMtbl[Category]&amp;PMtbl[INN]&amp;PMtbl[Specification],0,),0),3)),SETUP!$D$19:$D$62,0),5)),"")</f>
        <v/>
      </c>
      <c r="AN38" s="62"/>
      <c r="AO38" s="380"/>
    </row>
    <row r="39" spans="1:41">
      <c r="A39" s="2378"/>
      <c r="B39" s="2304"/>
      <c r="C39" s="1178"/>
      <c r="D39" s="1173"/>
      <c r="E39" s="281" t="str">
        <f>IF(A39&lt;&gt;"",IFERROR(INDEX(PMtbl[[WKst]:[Unit of measure*]],MATCH($A$8&amp;$A39&amp;$C39&amp;$D39,INDEX(PMtbl[Sec]&amp;PMtbl[Category]&amp;PMtbl[INN]&amp;PMtbl[Specification],0,),0),8),""),"")</f>
        <v/>
      </c>
      <c r="F39" s="281" t="str">
        <f>IF(E39="", "",SETUP!$E$5)</f>
        <v/>
      </c>
      <c r="G39" s="1947"/>
      <c r="H39" s="12"/>
      <c r="I39" s="12"/>
      <c r="J39" s="12"/>
      <c r="K39" s="12"/>
      <c r="L39" s="1809">
        <f>SUM('HIV-Equipment'!$H39:$K39)</f>
        <v>0</v>
      </c>
      <c r="M39" s="1810">
        <f>'HIV-Equipment'!$L39*'HIV-Equipment'!$G39</f>
        <v>0</v>
      </c>
      <c r="N39" s="1954"/>
      <c r="O39" s="12"/>
      <c r="P39" s="12"/>
      <c r="Q39" s="12"/>
      <c r="R39" s="12"/>
      <c r="S39" s="1809">
        <f>SUM('HIV-Equipment'!$O39:$R39)</f>
        <v>0</v>
      </c>
      <c r="T39" s="1810">
        <f>'HIV-Equipment'!$S39*'HIV-Equipment'!$N39</f>
        <v>0</v>
      </c>
      <c r="U39" s="1954"/>
      <c r="V39" s="12"/>
      <c r="W39" s="12"/>
      <c r="X39" s="12"/>
      <c r="Y39" s="12"/>
      <c r="Z39" s="1809">
        <f>SUM('HIV-Equipment'!$V39:$Y39)</f>
        <v>0</v>
      </c>
      <c r="AA39" s="1810">
        <f>'HIV-Equipment'!$U39*'HIV-Equipment'!$Z39</f>
        <v>0</v>
      </c>
      <c r="AB39" s="1811">
        <f>'HIV-Equipment'!$L39+'HIV-Equipment'!$S39+'HIV-Equipment'!$Z39</f>
        <v>0</v>
      </c>
      <c r="AC39" s="1810">
        <f>'HIV-Equipment'!$M39+'HIV-Equipment'!$T39+'HIV-Equipment'!$AA39</f>
        <v>0</v>
      </c>
      <c r="AD39" s="1388" t="str">
        <f>IF(A39&lt;&gt;"",IFERROR(INDEX(PMtbl[[WKst]:[Unit of measure*]],MATCH($A$8&amp;$A39&amp;$C39&amp;$D39,INDEX(PMtbl[Sec]&amp;PMtbl[Category]&amp;PMtbl[INN]&amp;PMtbl[Specification],0,),0),7),""),"")</f>
        <v/>
      </c>
      <c r="AE39" s="2049"/>
      <c r="AF39" s="1388" t="str">
        <f>IFERROR(INDEX(SETUP!$C$19:$G$62,MATCH((INDEX(PMtbl[[WKst]:[Unit of measure*]],MATCH($A39&amp;$C39&amp;$D39,INDEX(PMtbl[Category]&amp;PMtbl[INN]&amp;PMtbl[Specification],0,),0),3)),SETUP!$D$19:$D$62,0),5),"")</f>
        <v/>
      </c>
      <c r="AG39" s="1388" t="str">
        <f>IFERROR(IF((INDEX(SETUP!$C$19:$G$62,MATCH((INDEX(PMtbl[[WKst]:[Unit of measure*]],MATCH($A39&amp;$C39&amp;$D39,INDEX(PMtbl[Category]&amp;PMtbl[INN]&amp;PMtbl[Specification],0,),0),3)),SETUP!$D$19:$D$62,0),4))="Upfront",0,INDEX(SETUP!$C$19:$G$62,MATCH((INDEX(PMtbl[[WKst]:[Unit of measure*]],MATCH($A39&amp;$C39&amp;$D39,INDEX(PMtbl[Category]&amp;PMtbl[INN]&amp;PMtbl[Specification],0,),0),3)),SETUP!$D$19:$D$62,0),5)),"")</f>
        <v/>
      </c>
      <c r="AN39" s="62"/>
      <c r="AO39" s="380"/>
    </row>
    <row r="40" spans="1:41">
      <c r="A40" s="2377"/>
      <c r="B40" s="2302"/>
      <c r="C40" s="1177"/>
      <c r="D40" s="1172"/>
      <c r="E40" s="280" t="str">
        <f>IF(A40&lt;&gt;"",IFERROR(INDEX(PMtbl[[WKst]:[Unit of measure*]],MATCH($A$8&amp;$A40&amp;$C40&amp;$D40,INDEX(PMtbl[Sec]&amp;PMtbl[Category]&amp;PMtbl[INN]&amp;PMtbl[Specification],0,),0),8),""),"")</f>
        <v/>
      </c>
      <c r="F40" s="280" t="str">
        <f>IF(E40="", "",SETUP!$E$5)</f>
        <v/>
      </c>
      <c r="G40" s="1949"/>
      <c r="H40" s="1950"/>
      <c r="I40" s="1950"/>
      <c r="J40" s="1950"/>
      <c r="K40" s="1950"/>
      <c r="L40" s="1815">
        <f>SUM('HIV-Equipment'!$H40:$K40)</f>
        <v>0</v>
      </c>
      <c r="M40" s="1816">
        <f>'HIV-Equipment'!$L40*'HIV-Equipment'!$G40</f>
        <v>0</v>
      </c>
      <c r="N40" s="1956"/>
      <c r="O40" s="1950"/>
      <c r="P40" s="1950"/>
      <c r="Q40" s="1950"/>
      <c r="R40" s="1950"/>
      <c r="S40" s="1815">
        <f>SUM('HIV-Equipment'!$O40:$R40)</f>
        <v>0</v>
      </c>
      <c r="T40" s="1816">
        <f>'HIV-Equipment'!$S40*'HIV-Equipment'!$N40</f>
        <v>0</v>
      </c>
      <c r="U40" s="1956"/>
      <c r="V40" s="1950"/>
      <c r="W40" s="1950"/>
      <c r="X40" s="1950"/>
      <c r="Y40" s="1950"/>
      <c r="Z40" s="1815">
        <f>SUM('HIV-Equipment'!$V40:$Y40)</f>
        <v>0</v>
      </c>
      <c r="AA40" s="1816">
        <f>'HIV-Equipment'!$U40*'HIV-Equipment'!$Z40</f>
        <v>0</v>
      </c>
      <c r="AB40" s="1817">
        <f>'HIV-Equipment'!$L40+'HIV-Equipment'!$S40+'HIV-Equipment'!$Z40</f>
        <v>0</v>
      </c>
      <c r="AC40" s="1816">
        <f>'HIV-Equipment'!$M40+'HIV-Equipment'!$T40+'HIV-Equipment'!$AA40</f>
        <v>0</v>
      </c>
      <c r="AD40" s="1387" t="str">
        <f>IF(A40&lt;&gt;"",IFERROR(INDEX(PMtbl[[WKst]:[Unit of measure*]],MATCH($A$8&amp;$A40&amp;$C40&amp;$D40,INDEX(PMtbl[Sec]&amp;PMtbl[Category]&amp;PMtbl[INN]&amp;PMtbl[Specification],0,),0),7),""),"")</f>
        <v/>
      </c>
      <c r="AE40" s="2050"/>
      <c r="AF40" s="1387" t="str">
        <f>IFERROR(INDEX(SETUP!$C$19:$G$62,MATCH((INDEX(PMtbl[[WKst]:[Unit of measure*]],MATCH($A40&amp;$C40&amp;$D40,INDEX(PMtbl[Category]&amp;PMtbl[INN]&amp;PMtbl[Specification],0,),0),3)),SETUP!$D$19:$D$62,0),5),"")</f>
        <v/>
      </c>
      <c r="AG40" s="1387" t="str">
        <f>IFERROR(IF((INDEX(SETUP!$C$19:$G$62,MATCH((INDEX(PMtbl[[WKst]:[Unit of measure*]],MATCH($A40&amp;$C40&amp;$D40,INDEX(PMtbl[Category]&amp;PMtbl[INN]&amp;PMtbl[Specification],0,),0),3)),SETUP!$D$19:$D$62,0),4))="Upfront",0,INDEX(SETUP!$C$19:$G$62,MATCH((INDEX(PMtbl[[WKst]:[Unit of measure*]],MATCH($A40&amp;$C40&amp;$D40,INDEX(PMtbl[Category]&amp;PMtbl[INN]&amp;PMtbl[Specification],0,),0),3)),SETUP!$D$19:$D$62,0),5)),"")</f>
        <v/>
      </c>
      <c r="AN40" s="62"/>
      <c r="AO40" s="380"/>
    </row>
    <row r="41" spans="1:41">
      <c r="A41" s="2378"/>
      <c r="B41" s="2304"/>
      <c r="C41" s="1178"/>
      <c r="D41" s="1173"/>
      <c r="E41" s="281" t="str">
        <f>IF(A41&lt;&gt;"",IFERROR(INDEX(PMtbl[[WKst]:[Unit of measure*]],MATCH($A$8&amp;$A41&amp;$C41&amp;$D41,INDEX(PMtbl[Sec]&amp;PMtbl[Category]&amp;PMtbl[INN]&amp;PMtbl[Specification],0,),0),8),""),"")</f>
        <v/>
      </c>
      <c r="F41" s="281" t="str">
        <f>IF(E41="", "",SETUP!$E$5)</f>
        <v/>
      </c>
      <c r="G41" s="1947"/>
      <c r="H41" s="12"/>
      <c r="I41" s="12"/>
      <c r="J41" s="12"/>
      <c r="K41" s="12"/>
      <c r="L41" s="1809">
        <f>SUM('HIV-Equipment'!$H41:$K41)</f>
        <v>0</v>
      </c>
      <c r="M41" s="1810">
        <f>'HIV-Equipment'!$L41*'HIV-Equipment'!$G41</f>
        <v>0</v>
      </c>
      <c r="N41" s="1954"/>
      <c r="O41" s="12"/>
      <c r="P41" s="12"/>
      <c r="Q41" s="12"/>
      <c r="R41" s="12"/>
      <c r="S41" s="1809">
        <f>SUM('HIV-Equipment'!$O41:$R41)</f>
        <v>0</v>
      </c>
      <c r="T41" s="1810">
        <f>'HIV-Equipment'!$S41*'HIV-Equipment'!$N41</f>
        <v>0</v>
      </c>
      <c r="U41" s="1954"/>
      <c r="V41" s="12"/>
      <c r="W41" s="12"/>
      <c r="X41" s="12"/>
      <c r="Y41" s="12"/>
      <c r="Z41" s="1809">
        <f>SUM('HIV-Equipment'!$V41:$Y41)</f>
        <v>0</v>
      </c>
      <c r="AA41" s="1810">
        <f>'HIV-Equipment'!$U41*'HIV-Equipment'!$Z41</f>
        <v>0</v>
      </c>
      <c r="AB41" s="1811">
        <f>'HIV-Equipment'!$L41+'HIV-Equipment'!$S41+'HIV-Equipment'!$Z41</f>
        <v>0</v>
      </c>
      <c r="AC41" s="1810">
        <f>'HIV-Equipment'!$M41+'HIV-Equipment'!$T41+'HIV-Equipment'!$AA41</f>
        <v>0</v>
      </c>
      <c r="AD41" s="1388" t="str">
        <f>IF(A41&lt;&gt;"",IFERROR(INDEX(PMtbl[[WKst]:[Unit of measure*]],MATCH($A$8&amp;$A41&amp;$C41&amp;$D41,INDEX(PMtbl[Sec]&amp;PMtbl[Category]&amp;PMtbl[INN]&amp;PMtbl[Specification],0,),0),7),""),"")</f>
        <v/>
      </c>
      <c r="AE41" s="2049"/>
      <c r="AF41" s="1388" t="str">
        <f>IFERROR(INDEX(SETUP!$C$19:$G$62,MATCH((INDEX(PMtbl[[WKst]:[Unit of measure*]],MATCH($A41&amp;$C41&amp;$D41,INDEX(PMtbl[Category]&amp;PMtbl[INN]&amp;PMtbl[Specification],0,),0),3)),SETUP!$D$19:$D$62,0),5),"")</f>
        <v/>
      </c>
      <c r="AG41" s="1388" t="str">
        <f>IFERROR(IF((INDEX(SETUP!$C$19:$G$62,MATCH((INDEX(PMtbl[[WKst]:[Unit of measure*]],MATCH($A41&amp;$C41&amp;$D41,INDEX(PMtbl[Category]&amp;PMtbl[INN]&amp;PMtbl[Specification],0,),0),3)),SETUP!$D$19:$D$62,0),4))="Upfront",0,INDEX(SETUP!$C$19:$G$62,MATCH((INDEX(PMtbl[[WKst]:[Unit of measure*]],MATCH($A41&amp;$C41&amp;$D41,INDEX(PMtbl[Category]&amp;PMtbl[INN]&amp;PMtbl[Specification],0,),0),3)),SETUP!$D$19:$D$62,0),5)),"")</f>
        <v/>
      </c>
      <c r="AN41" s="62"/>
      <c r="AO41" s="380"/>
    </row>
    <row r="42" spans="1:41">
      <c r="A42" s="2377"/>
      <c r="B42" s="2302"/>
      <c r="C42" s="1177"/>
      <c r="D42" s="1172"/>
      <c r="E42" s="280" t="str">
        <f>IF(A42&lt;&gt;"",IFERROR(INDEX(PMtbl[[WKst]:[Unit of measure*]],MATCH($A$8&amp;$A42&amp;$C42&amp;$D42,INDEX(PMtbl[Sec]&amp;PMtbl[Category]&amp;PMtbl[INN]&amp;PMtbl[Specification],0,),0),8),""),"")</f>
        <v/>
      </c>
      <c r="F42" s="280" t="str">
        <f>IF(E42="", "",SETUP!$E$5)</f>
        <v/>
      </c>
      <c r="G42" s="1949"/>
      <c r="H42" s="1950"/>
      <c r="I42" s="1950"/>
      <c r="J42" s="1950"/>
      <c r="K42" s="1950"/>
      <c r="L42" s="1815">
        <f>SUM('HIV-Equipment'!$H42:$K42)</f>
        <v>0</v>
      </c>
      <c r="M42" s="1816">
        <f>'HIV-Equipment'!$L42*'HIV-Equipment'!$G42</f>
        <v>0</v>
      </c>
      <c r="N42" s="1956"/>
      <c r="O42" s="1950"/>
      <c r="P42" s="1950"/>
      <c r="Q42" s="1950"/>
      <c r="R42" s="1950"/>
      <c r="S42" s="1815">
        <f>SUM('HIV-Equipment'!$O42:$R42)</f>
        <v>0</v>
      </c>
      <c r="T42" s="1816">
        <f>'HIV-Equipment'!$S42*'HIV-Equipment'!$N42</f>
        <v>0</v>
      </c>
      <c r="U42" s="1956"/>
      <c r="V42" s="1950"/>
      <c r="W42" s="1950"/>
      <c r="X42" s="1950"/>
      <c r="Y42" s="1950"/>
      <c r="Z42" s="1815">
        <f>SUM('HIV-Equipment'!$V42:$Y42)</f>
        <v>0</v>
      </c>
      <c r="AA42" s="1816">
        <f>'HIV-Equipment'!$U42*'HIV-Equipment'!$Z42</f>
        <v>0</v>
      </c>
      <c r="AB42" s="1817">
        <f>'HIV-Equipment'!$L42+'HIV-Equipment'!$S42+'HIV-Equipment'!$Z42</f>
        <v>0</v>
      </c>
      <c r="AC42" s="1816">
        <f>'HIV-Equipment'!$M42+'HIV-Equipment'!$T42+'HIV-Equipment'!$AA42</f>
        <v>0</v>
      </c>
      <c r="AD42" s="1387" t="str">
        <f>IF(A42&lt;&gt;"",IFERROR(INDEX(PMtbl[[WKst]:[Unit of measure*]],MATCH($A$8&amp;$A42&amp;$C42&amp;$D42,INDEX(PMtbl[Sec]&amp;PMtbl[Category]&amp;PMtbl[INN]&amp;PMtbl[Specification],0,),0),7),""),"")</f>
        <v/>
      </c>
      <c r="AE42" s="2050"/>
      <c r="AF42" s="1387" t="str">
        <f>IFERROR(INDEX(SETUP!$C$19:$G$62,MATCH((INDEX(PMtbl[[WKst]:[Unit of measure*]],MATCH($A42&amp;$C42&amp;$D42,INDEX(PMtbl[Category]&amp;PMtbl[INN]&amp;PMtbl[Specification],0,),0),3)),SETUP!$D$19:$D$62,0),5),"")</f>
        <v/>
      </c>
      <c r="AG42" s="1387" t="str">
        <f>IFERROR(IF((INDEX(SETUP!$C$19:$G$62,MATCH((INDEX(PMtbl[[WKst]:[Unit of measure*]],MATCH($A42&amp;$C42&amp;$D42,INDEX(PMtbl[Category]&amp;PMtbl[INN]&amp;PMtbl[Specification],0,),0),3)),SETUP!$D$19:$D$62,0),4))="Upfront",0,INDEX(SETUP!$C$19:$G$62,MATCH((INDEX(PMtbl[[WKst]:[Unit of measure*]],MATCH($A42&amp;$C42&amp;$D42,INDEX(PMtbl[Category]&amp;PMtbl[INN]&amp;PMtbl[Specification],0,),0),3)),SETUP!$D$19:$D$62,0),5)),"")</f>
        <v/>
      </c>
      <c r="AN42" s="62"/>
      <c r="AO42" s="380"/>
    </row>
    <row r="43" spans="1:41">
      <c r="A43" s="2378"/>
      <c r="B43" s="2304"/>
      <c r="C43" s="1178"/>
      <c r="D43" s="1173"/>
      <c r="E43" s="281" t="str">
        <f>IF(A43&lt;&gt;"",IFERROR(INDEX(PMtbl[[WKst]:[Unit of measure*]],MATCH($A$8&amp;$A43&amp;$C43&amp;$D43,INDEX(PMtbl[Sec]&amp;PMtbl[Category]&amp;PMtbl[INN]&amp;PMtbl[Specification],0,),0),8),""),"")</f>
        <v/>
      </c>
      <c r="F43" s="281" t="str">
        <f>IF(E43="", "",SETUP!$E$5)</f>
        <v/>
      </c>
      <c r="G43" s="1947"/>
      <c r="H43" s="12"/>
      <c r="I43" s="12"/>
      <c r="J43" s="12"/>
      <c r="K43" s="12"/>
      <c r="L43" s="1809">
        <f>SUM('HIV-Equipment'!$H43:$K43)</f>
        <v>0</v>
      </c>
      <c r="M43" s="1810">
        <f>'HIV-Equipment'!$L43*'HIV-Equipment'!$G43</f>
        <v>0</v>
      </c>
      <c r="N43" s="1954"/>
      <c r="O43" s="12"/>
      <c r="P43" s="12"/>
      <c r="Q43" s="12"/>
      <c r="R43" s="12"/>
      <c r="S43" s="1809">
        <f>SUM('HIV-Equipment'!$O43:$R43)</f>
        <v>0</v>
      </c>
      <c r="T43" s="1810">
        <f>'HIV-Equipment'!$S43*'HIV-Equipment'!$N43</f>
        <v>0</v>
      </c>
      <c r="U43" s="1954"/>
      <c r="V43" s="12"/>
      <c r="W43" s="12"/>
      <c r="X43" s="12"/>
      <c r="Y43" s="12"/>
      <c r="Z43" s="1809">
        <f>SUM('HIV-Equipment'!$V43:$Y43)</f>
        <v>0</v>
      </c>
      <c r="AA43" s="1810">
        <f>'HIV-Equipment'!$U43*'HIV-Equipment'!$Z43</f>
        <v>0</v>
      </c>
      <c r="AB43" s="1811">
        <f>'HIV-Equipment'!$L43+'HIV-Equipment'!$S43+'HIV-Equipment'!$Z43</f>
        <v>0</v>
      </c>
      <c r="AC43" s="1810">
        <f>'HIV-Equipment'!$M43+'HIV-Equipment'!$T43+'HIV-Equipment'!$AA43</f>
        <v>0</v>
      </c>
      <c r="AD43" s="1388" t="str">
        <f>IF(A43&lt;&gt;"",IFERROR(INDEX(PMtbl[[WKst]:[Unit of measure*]],MATCH($A$8&amp;$A43&amp;$C43&amp;$D43,INDEX(PMtbl[Sec]&amp;PMtbl[Category]&amp;PMtbl[INN]&amp;PMtbl[Specification],0,),0),7),""),"")</f>
        <v/>
      </c>
      <c r="AE43" s="2049"/>
      <c r="AF43" s="1388" t="str">
        <f>IFERROR(INDEX(SETUP!$C$19:$G$62,MATCH((INDEX(PMtbl[[WKst]:[Unit of measure*]],MATCH($A43&amp;$C43&amp;$D43,INDEX(PMtbl[Category]&amp;PMtbl[INN]&amp;PMtbl[Specification],0,),0),3)),SETUP!$D$19:$D$62,0),5),"")</f>
        <v/>
      </c>
      <c r="AG43" s="1388" t="str">
        <f>IFERROR(IF((INDEX(SETUP!$C$19:$G$62,MATCH((INDEX(PMtbl[[WKst]:[Unit of measure*]],MATCH($A43&amp;$C43&amp;$D43,INDEX(PMtbl[Category]&amp;PMtbl[INN]&amp;PMtbl[Specification],0,),0),3)),SETUP!$D$19:$D$62,0),4))="Upfront",0,INDEX(SETUP!$C$19:$G$62,MATCH((INDEX(PMtbl[[WKst]:[Unit of measure*]],MATCH($A43&amp;$C43&amp;$D43,INDEX(PMtbl[Category]&amp;PMtbl[INN]&amp;PMtbl[Specification],0,),0),3)),SETUP!$D$19:$D$62,0),5)),"")</f>
        <v/>
      </c>
      <c r="AN43" s="62"/>
      <c r="AO43" s="380"/>
    </row>
    <row r="44" spans="1:41">
      <c r="A44" s="2377"/>
      <c r="B44" s="2302"/>
      <c r="C44" s="1177"/>
      <c r="D44" s="1172"/>
      <c r="E44" s="280" t="str">
        <f>IF(A44&lt;&gt;"",IFERROR(INDEX(PMtbl[[WKst]:[Unit of measure*]],MATCH($A$8&amp;$A44&amp;$C44&amp;$D44,INDEX(PMtbl[Sec]&amp;PMtbl[Category]&amp;PMtbl[INN]&amp;PMtbl[Specification],0,),0),8),""),"")</f>
        <v/>
      </c>
      <c r="F44" s="280" t="str">
        <f>IF(E44="", "",SETUP!$E$5)</f>
        <v/>
      </c>
      <c r="G44" s="1949"/>
      <c r="H44" s="1950"/>
      <c r="I44" s="1950"/>
      <c r="J44" s="1950"/>
      <c r="K44" s="1950"/>
      <c r="L44" s="1815">
        <f>SUM('HIV-Equipment'!$H44:$K44)</f>
        <v>0</v>
      </c>
      <c r="M44" s="1816">
        <f>'HIV-Equipment'!$L44*'HIV-Equipment'!$G44</f>
        <v>0</v>
      </c>
      <c r="N44" s="1956"/>
      <c r="O44" s="1950"/>
      <c r="P44" s="1950"/>
      <c r="Q44" s="1950"/>
      <c r="R44" s="1950"/>
      <c r="S44" s="1815">
        <f>SUM('HIV-Equipment'!$O44:$R44)</f>
        <v>0</v>
      </c>
      <c r="T44" s="1816">
        <f>'HIV-Equipment'!$S44*'HIV-Equipment'!$N44</f>
        <v>0</v>
      </c>
      <c r="U44" s="1956"/>
      <c r="V44" s="1950"/>
      <c r="W44" s="1950"/>
      <c r="X44" s="1950"/>
      <c r="Y44" s="1950"/>
      <c r="Z44" s="1815">
        <f>SUM('HIV-Equipment'!$V44:$Y44)</f>
        <v>0</v>
      </c>
      <c r="AA44" s="1816">
        <f>'HIV-Equipment'!$U44*'HIV-Equipment'!$Z44</f>
        <v>0</v>
      </c>
      <c r="AB44" s="1817">
        <f>'HIV-Equipment'!$L44+'HIV-Equipment'!$S44+'HIV-Equipment'!$Z44</f>
        <v>0</v>
      </c>
      <c r="AC44" s="1816">
        <f>'HIV-Equipment'!$M44+'HIV-Equipment'!$T44+'HIV-Equipment'!$AA44</f>
        <v>0</v>
      </c>
      <c r="AD44" s="1387" t="str">
        <f>IF(A44&lt;&gt;"",IFERROR(INDEX(PMtbl[[WKst]:[Unit of measure*]],MATCH($A$8&amp;$A44&amp;$C44&amp;$D44,INDEX(PMtbl[Sec]&amp;PMtbl[Category]&amp;PMtbl[INN]&amp;PMtbl[Specification],0,),0),7),""),"")</f>
        <v/>
      </c>
      <c r="AE44" s="2050"/>
      <c r="AF44" s="1387" t="str">
        <f>IFERROR(INDEX(SETUP!$C$19:$G$62,MATCH((INDEX(PMtbl[[WKst]:[Unit of measure*]],MATCH($A44&amp;$C44&amp;$D44,INDEX(PMtbl[Category]&amp;PMtbl[INN]&amp;PMtbl[Specification],0,),0),3)),SETUP!$D$19:$D$62,0),5),"")</f>
        <v/>
      </c>
      <c r="AG44" s="1387" t="str">
        <f>IFERROR(IF((INDEX(SETUP!$C$19:$G$62,MATCH((INDEX(PMtbl[[WKst]:[Unit of measure*]],MATCH($A44&amp;$C44&amp;$D44,INDEX(PMtbl[Category]&amp;PMtbl[INN]&amp;PMtbl[Specification],0,),0),3)),SETUP!$D$19:$D$62,0),4))="Upfront",0,INDEX(SETUP!$C$19:$G$62,MATCH((INDEX(PMtbl[[WKst]:[Unit of measure*]],MATCH($A44&amp;$C44&amp;$D44,INDEX(PMtbl[Category]&amp;PMtbl[INN]&amp;PMtbl[Specification],0,),0),3)),SETUP!$D$19:$D$62,0),5)),"")</f>
        <v/>
      </c>
      <c r="AN44" s="62"/>
      <c r="AO44" s="380"/>
    </row>
    <row r="45" spans="1:41">
      <c r="A45" s="2378"/>
      <c r="B45" s="2304"/>
      <c r="C45" s="1178"/>
      <c r="D45" s="1173"/>
      <c r="E45" s="281" t="str">
        <f>IF(A45&lt;&gt;"",IFERROR(INDEX(PMtbl[[WKst]:[Unit of measure*]],MATCH($A$8&amp;$A45&amp;$C45&amp;$D45,INDEX(PMtbl[Sec]&amp;PMtbl[Category]&amp;PMtbl[INN]&amp;PMtbl[Specification],0,),0),8),""),"")</f>
        <v/>
      </c>
      <c r="F45" s="281" t="str">
        <f>IF(E45="", "",SETUP!$E$5)</f>
        <v/>
      </c>
      <c r="G45" s="1947"/>
      <c r="H45" s="12"/>
      <c r="I45" s="12"/>
      <c r="J45" s="12"/>
      <c r="K45" s="12"/>
      <c r="L45" s="1809">
        <f>SUM('HIV-Equipment'!$H45:$K45)</f>
        <v>0</v>
      </c>
      <c r="M45" s="1810">
        <f>'HIV-Equipment'!$L45*'HIV-Equipment'!$G45</f>
        <v>0</v>
      </c>
      <c r="N45" s="1954"/>
      <c r="O45" s="12"/>
      <c r="P45" s="12"/>
      <c r="Q45" s="12"/>
      <c r="R45" s="12"/>
      <c r="S45" s="1809">
        <f>SUM('HIV-Equipment'!$O45:$R45)</f>
        <v>0</v>
      </c>
      <c r="T45" s="1810">
        <f>'HIV-Equipment'!$S45*'HIV-Equipment'!$N45</f>
        <v>0</v>
      </c>
      <c r="U45" s="1954"/>
      <c r="V45" s="12"/>
      <c r="W45" s="12"/>
      <c r="X45" s="12"/>
      <c r="Y45" s="12"/>
      <c r="Z45" s="1809">
        <f>SUM('HIV-Equipment'!$V45:$Y45)</f>
        <v>0</v>
      </c>
      <c r="AA45" s="1810">
        <f>'HIV-Equipment'!$U45*'HIV-Equipment'!$Z45</f>
        <v>0</v>
      </c>
      <c r="AB45" s="1811">
        <f>'HIV-Equipment'!$L45+'HIV-Equipment'!$S45+'HIV-Equipment'!$Z45</f>
        <v>0</v>
      </c>
      <c r="AC45" s="1810">
        <f>'HIV-Equipment'!$M45+'HIV-Equipment'!$T45+'HIV-Equipment'!$AA45</f>
        <v>0</v>
      </c>
      <c r="AD45" s="1388" t="str">
        <f>IF(A45&lt;&gt;"",IFERROR(INDEX(PMtbl[[WKst]:[Unit of measure*]],MATCH($A$8&amp;$A45&amp;$C45&amp;$D45,INDEX(PMtbl[Sec]&amp;PMtbl[Category]&amp;PMtbl[INN]&amp;PMtbl[Specification],0,),0),7),""),"")</f>
        <v/>
      </c>
      <c r="AE45" s="2049"/>
      <c r="AF45" s="1388" t="str">
        <f>IFERROR(INDEX(SETUP!$C$19:$G$62,MATCH((INDEX(PMtbl[[WKst]:[Unit of measure*]],MATCH($A45&amp;$C45&amp;$D45,INDEX(PMtbl[Category]&amp;PMtbl[INN]&amp;PMtbl[Specification],0,),0),3)),SETUP!$D$19:$D$62,0),5),"")</f>
        <v/>
      </c>
      <c r="AG45" s="1388" t="str">
        <f>IFERROR(IF((INDEX(SETUP!$C$19:$G$62,MATCH((INDEX(PMtbl[[WKst]:[Unit of measure*]],MATCH($A45&amp;$C45&amp;$D45,INDEX(PMtbl[Category]&amp;PMtbl[INN]&amp;PMtbl[Specification],0,),0),3)),SETUP!$D$19:$D$62,0),4))="Upfront",0,INDEX(SETUP!$C$19:$G$62,MATCH((INDEX(PMtbl[[WKst]:[Unit of measure*]],MATCH($A45&amp;$C45&amp;$D45,INDEX(PMtbl[Category]&amp;PMtbl[INN]&amp;PMtbl[Specification],0,),0),3)),SETUP!$D$19:$D$62,0),5)),"")</f>
        <v/>
      </c>
      <c r="AN45" s="62"/>
      <c r="AO45" s="380"/>
    </row>
    <row r="46" spans="1:41">
      <c r="A46" s="2377"/>
      <c r="B46" s="2302"/>
      <c r="C46" s="1177"/>
      <c r="D46" s="1172"/>
      <c r="E46" s="280" t="str">
        <f>IF(A46&lt;&gt;"",IFERROR(INDEX(PMtbl[[WKst]:[Unit of measure*]],MATCH($A$8&amp;$A46&amp;$C46&amp;$D46,INDEX(PMtbl[Sec]&amp;PMtbl[Category]&amp;PMtbl[INN]&amp;PMtbl[Specification],0,),0),8),""),"")</f>
        <v/>
      </c>
      <c r="F46" s="280" t="str">
        <f>IF(E46="", "",SETUP!$E$5)</f>
        <v/>
      </c>
      <c r="G46" s="1949"/>
      <c r="H46" s="1950"/>
      <c r="I46" s="1950"/>
      <c r="J46" s="1950"/>
      <c r="K46" s="1950"/>
      <c r="L46" s="1815">
        <f>SUM('HIV-Equipment'!$H46:$K46)</f>
        <v>0</v>
      </c>
      <c r="M46" s="1816">
        <f>'HIV-Equipment'!$L46*'HIV-Equipment'!$G46</f>
        <v>0</v>
      </c>
      <c r="N46" s="1956"/>
      <c r="O46" s="1950"/>
      <c r="P46" s="1950"/>
      <c r="Q46" s="1950"/>
      <c r="R46" s="1950"/>
      <c r="S46" s="1815">
        <f>SUM('HIV-Equipment'!$O46:$R46)</f>
        <v>0</v>
      </c>
      <c r="T46" s="1816">
        <f>'HIV-Equipment'!$S46*'HIV-Equipment'!$N46</f>
        <v>0</v>
      </c>
      <c r="U46" s="1956"/>
      <c r="V46" s="1950"/>
      <c r="W46" s="1950"/>
      <c r="X46" s="1950"/>
      <c r="Y46" s="1950"/>
      <c r="Z46" s="1815">
        <f>SUM('HIV-Equipment'!$V46:$Y46)</f>
        <v>0</v>
      </c>
      <c r="AA46" s="1816">
        <f>'HIV-Equipment'!$U46*'HIV-Equipment'!$Z46</f>
        <v>0</v>
      </c>
      <c r="AB46" s="1817">
        <f>'HIV-Equipment'!$L46+'HIV-Equipment'!$S46+'HIV-Equipment'!$Z46</f>
        <v>0</v>
      </c>
      <c r="AC46" s="1816">
        <f>'HIV-Equipment'!$M46+'HIV-Equipment'!$T46+'HIV-Equipment'!$AA46</f>
        <v>0</v>
      </c>
      <c r="AD46" s="1387" t="str">
        <f>IF(A46&lt;&gt;"",IFERROR(INDEX(PMtbl[[WKst]:[Unit of measure*]],MATCH($A$8&amp;$A46&amp;$C46&amp;$D46,INDEX(PMtbl[Sec]&amp;PMtbl[Category]&amp;PMtbl[INN]&amp;PMtbl[Specification],0,),0),7),""),"")</f>
        <v/>
      </c>
      <c r="AE46" s="2050"/>
      <c r="AF46" s="1387" t="str">
        <f>IFERROR(INDEX(SETUP!$C$19:$G$62,MATCH((INDEX(PMtbl[[WKst]:[Unit of measure*]],MATCH($A46&amp;$C46&amp;$D46,INDEX(PMtbl[Category]&amp;PMtbl[INN]&amp;PMtbl[Specification],0,),0),3)),SETUP!$D$19:$D$62,0),5),"")</f>
        <v/>
      </c>
      <c r="AG46" s="1387" t="str">
        <f>IFERROR(IF((INDEX(SETUP!$C$19:$G$62,MATCH((INDEX(PMtbl[[WKst]:[Unit of measure*]],MATCH($A46&amp;$C46&amp;$D46,INDEX(PMtbl[Category]&amp;PMtbl[INN]&amp;PMtbl[Specification],0,),0),3)),SETUP!$D$19:$D$62,0),4))="Upfront",0,INDEX(SETUP!$C$19:$G$62,MATCH((INDEX(PMtbl[[WKst]:[Unit of measure*]],MATCH($A46&amp;$C46&amp;$D46,INDEX(PMtbl[Category]&amp;PMtbl[INN]&amp;PMtbl[Specification],0,),0),3)),SETUP!$D$19:$D$62,0),5)),"")</f>
        <v/>
      </c>
      <c r="AN46" s="62"/>
      <c r="AO46" s="380"/>
    </row>
    <row r="47" spans="1:41">
      <c r="A47" s="2378"/>
      <c r="B47" s="2304"/>
      <c r="C47" s="1178"/>
      <c r="D47" s="1173"/>
      <c r="E47" s="281" t="str">
        <f>IF(A47&lt;&gt;"",IFERROR(INDEX(PMtbl[[WKst]:[Unit of measure*]],MATCH($A$8&amp;$A47&amp;$C47&amp;$D47,INDEX(PMtbl[Sec]&amp;PMtbl[Category]&amp;PMtbl[INN]&amp;PMtbl[Specification],0,),0),8),""),"")</f>
        <v/>
      </c>
      <c r="F47" s="281" t="str">
        <f>IF(E47="", "",SETUP!$E$5)</f>
        <v/>
      </c>
      <c r="G47" s="1947"/>
      <c r="H47" s="12"/>
      <c r="I47" s="12"/>
      <c r="J47" s="12"/>
      <c r="K47" s="12"/>
      <c r="L47" s="1809">
        <f>SUM('HIV-Equipment'!$H47:$K47)</f>
        <v>0</v>
      </c>
      <c r="M47" s="1810">
        <f>'HIV-Equipment'!$L47*'HIV-Equipment'!$G47</f>
        <v>0</v>
      </c>
      <c r="N47" s="1954"/>
      <c r="O47" s="12"/>
      <c r="P47" s="12"/>
      <c r="Q47" s="12"/>
      <c r="R47" s="12"/>
      <c r="S47" s="1809">
        <f>SUM('HIV-Equipment'!$O47:$R47)</f>
        <v>0</v>
      </c>
      <c r="T47" s="1810">
        <f>'HIV-Equipment'!$S47*'HIV-Equipment'!$N47</f>
        <v>0</v>
      </c>
      <c r="U47" s="1954"/>
      <c r="V47" s="12"/>
      <c r="W47" s="12"/>
      <c r="X47" s="12"/>
      <c r="Y47" s="12"/>
      <c r="Z47" s="1809">
        <f>SUM('HIV-Equipment'!$V47:$Y47)</f>
        <v>0</v>
      </c>
      <c r="AA47" s="1810">
        <f>'HIV-Equipment'!$U47*'HIV-Equipment'!$Z47</f>
        <v>0</v>
      </c>
      <c r="AB47" s="1811">
        <f>'HIV-Equipment'!$L47+'HIV-Equipment'!$S47+'HIV-Equipment'!$Z47</f>
        <v>0</v>
      </c>
      <c r="AC47" s="1810">
        <f>'HIV-Equipment'!$M47+'HIV-Equipment'!$T47+'HIV-Equipment'!$AA47</f>
        <v>0</v>
      </c>
      <c r="AD47" s="1388" t="str">
        <f>IF(A47&lt;&gt;"",IFERROR(INDEX(PMtbl[[WKst]:[Unit of measure*]],MATCH($A$8&amp;$A47&amp;$C47&amp;$D47,INDEX(PMtbl[Sec]&amp;PMtbl[Category]&amp;PMtbl[INN]&amp;PMtbl[Specification],0,),0),7),""),"")</f>
        <v/>
      </c>
      <c r="AE47" s="2049"/>
      <c r="AF47" s="1388" t="str">
        <f>IFERROR(INDEX(SETUP!$C$19:$G$62,MATCH((INDEX(PMtbl[[WKst]:[Unit of measure*]],MATCH($A47&amp;$C47&amp;$D47,INDEX(PMtbl[Category]&amp;PMtbl[INN]&amp;PMtbl[Specification],0,),0),3)),SETUP!$D$19:$D$62,0),5),"")</f>
        <v/>
      </c>
      <c r="AG47" s="1388" t="str">
        <f>IFERROR(IF((INDEX(SETUP!$C$19:$G$62,MATCH((INDEX(PMtbl[[WKst]:[Unit of measure*]],MATCH($A47&amp;$C47&amp;$D47,INDEX(PMtbl[Category]&amp;PMtbl[INN]&amp;PMtbl[Specification],0,),0),3)),SETUP!$D$19:$D$62,0),4))="Upfront",0,INDEX(SETUP!$C$19:$G$62,MATCH((INDEX(PMtbl[[WKst]:[Unit of measure*]],MATCH($A47&amp;$C47&amp;$D47,INDEX(PMtbl[Category]&amp;PMtbl[INN]&amp;PMtbl[Specification],0,),0),3)),SETUP!$D$19:$D$62,0),5)),"")</f>
        <v/>
      </c>
      <c r="AN47" s="62"/>
      <c r="AO47" s="380"/>
    </row>
    <row r="48" spans="1:41">
      <c r="A48" s="2377"/>
      <c r="B48" s="2302"/>
      <c r="C48" s="1177"/>
      <c r="D48" s="1172"/>
      <c r="E48" s="280" t="str">
        <f>IF(A48&lt;&gt;"",IFERROR(INDEX(PMtbl[[WKst]:[Unit of measure*]],MATCH($A$8&amp;$A48&amp;$C48&amp;$D48,INDEX(PMtbl[Sec]&amp;PMtbl[Category]&amp;PMtbl[INN]&amp;PMtbl[Specification],0,),0),8),""),"")</f>
        <v/>
      </c>
      <c r="F48" s="280" t="str">
        <f>IF(E48="", "",SETUP!$E$5)</f>
        <v/>
      </c>
      <c r="G48" s="1949"/>
      <c r="H48" s="1950"/>
      <c r="I48" s="1950"/>
      <c r="J48" s="1950"/>
      <c r="K48" s="1950"/>
      <c r="L48" s="1815">
        <f>SUM('HIV-Equipment'!$H48:$K48)</f>
        <v>0</v>
      </c>
      <c r="M48" s="1816">
        <f>'HIV-Equipment'!$L48*'HIV-Equipment'!$G48</f>
        <v>0</v>
      </c>
      <c r="N48" s="1956"/>
      <c r="O48" s="1950"/>
      <c r="P48" s="1950"/>
      <c r="Q48" s="1950"/>
      <c r="R48" s="1950"/>
      <c r="S48" s="1815">
        <f>SUM('HIV-Equipment'!$O48:$R48)</f>
        <v>0</v>
      </c>
      <c r="T48" s="1816">
        <f>'HIV-Equipment'!$S48*'HIV-Equipment'!$N48</f>
        <v>0</v>
      </c>
      <c r="U48" s="1956"/>
      <c r="V48" s="1950"/>
      <c r="W48" s="1950"/>
      <c r="X48" s="1950"/>
      <c r="Y48" s="1950"/>
      <c r="Z48" s="1815">
        <f>SUM('HIV-Equipment'!$V48:$Y48)</f>
        <v>0</v>
      </c>
      <c r="AA48" s="1816">
        <f>'HIV-Equipment'!$U48*'HIV-Equipment'!$Z48</f>
        <v>0</v>
      </c>
      <c r="AB48" s="1817">
        <f>'HIV-Equipment'!$L48+'HIV-Equipment'!$S48+'HIV-Equipment'!$Z48</f>
        <v>0</v>
      </c>
      <c r="AC48" s="1816">
        <f>'HIV-Equipment'!$M48+'HIV-Equipment'!$T48+'HIV-Equipment'!$AA48</f>
        <v>0</v>
      </c>
      <c r="AD48" s="1387" t="str">
        <f>IF(A48&lt;&gt;"",IFERROR(INDEX(PMtbl[[WKst]:[Unit of measure*]],MATCH($A$8&amp;$A48&amp;$C48&amp;$D48,INDEX(PMtbl[Sec]&amp;PMtbl[Category]&amp;PMtbl[INN]&amp;PMtbl[Specification],0,),0),7),""),"")</f>
        <v/>
      </c>
      <c r="AE48" s="2050"/>
      <c r="AF48" s="1387" t="str">
        <f>IFERROR(INDEX(SETUP!$C$19:$G$62,MATCH((INDEX(PMtbl[[WKst]:[Unit of measure*]],MATCH($A48&amp;$C48&amp;$D48,INDEX(PMtbl[Category]&amp;PMtbl[INN]&amp;PMtbl[Specification],0,),0),3)),SETUP!$D$19:$D$62,0),5),"")</f>
        <v/>
      </c>
      <c r="AG48" s="1387" t="str">
        <f>IFERROR(IF((INDEX(SETUP!$C$19:$G$62,MATCH((INDEX(PMtbl[[WKst]:[Unit of measure*]],MATCH($A48&amp;$C48&amp;$D48,INDEX(PMtbl[Category]&amp;PMtbl[INN]&amp;PMtbl[Specification],0,),0),3)),SETUP!$D$19:$D$62,0),4))="Upfront",0,INDEX(SETUP!$C$19:$G$62,MATCH((INDEX(PMtbl[[WKst]:[Unit of measure*]],MATCH($A48&amp;$C48&amp;$D48,INDEX(PMtbl[Category]&amp;PMtbl[INN]&amp;PMtbl[Specification],0,),0),3)),SETUP!$D$19:$D$62,0),5)),"")</f>
        <v/>
      </c>
      <c r="AN48" s="62"/>
      <c r="AO48" s="380"/>
    </row>
    <row r="49" spans="1:41">
      <c r="A49" s="2378"/>
      <c r="B49" s="2304"/>
      <c r="C49" s="1178"/>
      <c r="D49" s="1173"/>
      <c r="E49" s="281" t="str">
        <f>IF(A49&lt;&gt;"",IFERROR(INDEX(PMtbl[[WKst]:[Unit of measure*]],MATCH($A$8&amp;$A49&amp;$C49&amp;$D49,INDEX(PMtbl[Sec]&amp;PMtbl[Category]&amp;PMtbl[INN]&amp;PMtbl[Specification],0,),0),8),""),"")</f>
        <v/>
      </c>
      <c r="F49" s="281" t="str">
        <f>IF(E49="", "",SETUP!$E$5)</f>
        <v/>
      </c>
      <c r="G49" s="1947"/>
      <c r="H49" s="12"/>
      <c r="I49" s="12"/>
      <c r="J49" s="12"/>
      <c r="K49" s="12"/>
      <c r="L49" s="1809">
        <f>SUM('HIV-Equipment'!$H49:$K49)</f>
        <v>0</v>
      </c>
      <c r="M49" s="1810">
        <f>'HIV-Equipment'!$L49*'HIV-Equipment'!$G49</f>
        <v>0</v>
      </c>
      <c r="N49" s="1954"/>
      <c r="O49" s="12"/>
      <c r="P49" s="12"/>
      <c r="Q49" s="12"/>
      <c r="R49" s="12"/>
      <c r="S49" s="1809">
        <f>SUM('HIV-Equipment'!$O49:$R49)</f>
        <v>0</v>
      </c>
      <c r="T49" s="1810">
        <f>'HIV-Equipment'!$S49*'HIV-Equipment'!$N49</f>
        <v>0</v>
      </c>
      <c r="U49" s="1954"/>
      <c r="V49" s="12"/>
      <c r="W49" s="12"/>
      <c r="X49" s="12"/>
      <c r="Y49" s="12"/>
      <c r="Z49" s="1809">
        <f>SUM('HIV-Equipment'!$V49:$Y49)</f>
        <v>0</v>
      </c>
      <c r="AA49" s="1810">
        <f>'HIV-Equipment'!$U49*'HIV-Equipment'!$Z49</f>
        <v>0</v>
      </c>
      <c r="AB49" s="1811">
        <f>'HIV-Equipment'!$L49+'HIV-Equipment'!$S49+'HIV-Equipment'!$Z49</f>
        <v>0</v>
      </c>
      <c r="AC49" s="1810">
        <f>'HIV-Equipment'!$M49+'HIV-Equipment'!$T49+'HIV-Equipment'!$AA49</f>
        <v>0</v>
      </c>
      <c r="AD49" s="1388" t="str">
        <f>IF(A49&lt;&gt;"",IFERROR(INDEX(PMtbl[[WKst]:[Unit of measure*]],MATCH($A$8&amp;$A49&amp;$C49&amp;$D49,INDEX(PMtbl[Sec]&amp;PMtbl[Category]&amp;PMtbl[INN]&amp;PMtbl[Specification],0,),0),7),""),"")</f>
        <v/>
      </c>
      <c r="AE49" s="2049"/>
      <c r="AF49" s="1388" t="str">
        <f>IFERROR(INDEX(SETUP!$C$19:$G$62,MATCH((INDEX(PMtbl[[WKst]:[Unit of measure*]],MATCH($A49&amp;$C49&amp;$D49,INDEX(PMtbl[Category]&amp;PMtbl[INN]&amp;PMtbl[Specification],0,),0),3)),SETUP!$D$19:$D$62,0),5),"")</f>
        <v/>
      </c>
      <c r="AG49" s="1388" t="str">
        <f>IFERROR(IF((INDEX(SETUP!$C$19:$G$62,MATCH((INDEX(PMtbl[[WKst]:[Unit of measure*]],MATCH($A49&amp;$C49&amp;$D49,INDEX(PMtbl[Category]&amp;PMtbl[INN]&amp;PMtbl[Specification],0,),0),3)),SETUP!$D$19:$D$62,0),4))="Upfront",0,INDEX(SETUP!$C$19:$G$62,MATCH((INDEX(PMtbl[[WKst]:[Unit of measure*]],MATCH($A49&amp;$C49&amp;$D49,INDEX(PMtbl[Category]&amp;PMtbl[INN]&amp;PMtbl[Specification],0,),0),3)),SETUP!$D$19:$D$62,0),5)),"")</f>
        <v/>
      </c>
      <c r="AN49" s="62"/>
      <c r="AO49" s="380"/>
    </row>
    <row r="50" spans="1:41">
      <c r="A50" s="2377"/>
      <c r="B50" s="2302"/>
      <c r="C50" s="1177"/>
      <c r="D50" s="1172"/>
      <c r="E50" s="280" t="str">
        <f>IF(A50&lt;&gt;"",IFERROR(INDEX(PMtbl[[WKst]:[Unit of measure*]],MATCH($A$8&amp;$A50&amp;$C50&amp;$D50,INDEX(PMtbl[Sec]&amp;PMtbl[Category]&amp;PMtbl[INN]&amp;PMtbl[Specification],0,),0),8),""),"")</f>
        <v/>
      </c>
      <c r="F50" s="280" t="str">
        <f>IF(E50="", "",SETUP!$E$5)</f>
        <v/>
      </c>
      <c r="G50" s="1949"/>
      <c r="H50" s="1950"/>
      <c r="I50" s="1950"/>
      <c r="J50" s="1950"/>
      <c r="K50" s="1950"/>
      <c r="L50" s="1815">
        <f>SUM('HIV-Equipment'!$H50:$K50)</f>
        <v>0</v>
      </c>
      <c r="M50" s="1816">
        <f>'HIV-Equipment'!$L50*'HIV-Equipment'!$G50</f>
        <v>0</v>
      </c>
      <c r="N50" s="1956"/>
      <c r="O50" s="1950"/>
      <c r="P50" s="1950"/>
      <c r="Q50" s="1950"/>
      <c r="R50" s="1950"/>
      <c r="S50" s="1815">
        <f>SUM('HIV-Equipment'!$O50:$R50)</f>
        <v>0</v>
      </c>
      <c r="T50" s="1816">
        <f>'HIV-Equipment'!$S50*'HIV-Equipment'!$N50</f>
        <v>0</v>
      </c>
      <c r="U50" s="1956"/>
      <c r="V50" s="1950"/>
      <c r="W50" s="1950"/>
      <c r="X50" s="1950"/>
      <c r="Y50" s="1950"/>
      <c r="Z50" s="1815">
        <f>SUM('HIV-Equipment'!$V50:$Y50)</f>
        <v>0</v>
      </c>
      <c r="AA50" s="1816">
        <f>'HIV-Equipment'!$U50*'HIV-Equipment'!$Z50</f>
        <v>0</v>
      </c>
      <c r="AB50" s="1817">
        <f>'HIV-Equipment'!$L50+'HIV-Equipment'!$S50+'HIV-Equipment'!$Z50</f>
        <v>0</v>
      </c>
      <c r="AC50" s="1816">
        <f>'HIV-Equipment'!$M50+'HIV-Equipment'!$T50+'HIV-Equipment'!$AA50</f>
        <v>0</v>
      </c>
      <c r="AD50" s="1387" t="str">
        <f>IF(A50&lt;&gt;"",IFERROR(INDEX(PMtbl[[WKst]:[Unit of measure*]],MATCH($A$8&amp;$A50&amp;$C50&amp;$D50,INDEX(PMtbl[Sec]&amp;PMtbl[Category]&amp;PMtbl[INN]&amp;PMtbl[Specification],0,),0),7),""),"")</f>
        <v/>
      </c>
      <c r="AE50" s="2050"/>
      <c r="AF50" s="1387" t="str">
        <f>IFERROR(INDEX(SETUP!$C$19:$G$62,MATCH((INDEX(PMtbl[[WKst]:[Unit of measure*]],MATCH($A50&amp;$C50&amp;$D50,INDEX(PMtbl[Category]&amp;PMtbl[INN]&amp;PMtbl[Specification],0,),0),3)),SETUP!$D$19:$D$62,0),5),"")</f>
        <v/>
      </c>
      <c r="AG50" s="1387" t="str">
        <f>IFERROR(IF((INDEX(SETUP!$C$19:$G$62,MATCH((INDEX(PMtbl[[WKst]:[Unit of measure*]],MATCH($A50&amp;$C50&amp;$D50,INDEX(PMtbl[Category]&amp;PMtbl[INN]&amp;PMtbl[Specification],0,),0),3)),SETUP!$D$19:$D$62,0),4))="Upfront",0,INDEX(SETUP!$C$19:$G$62,MATCH((INDEX(PMtbl[[WKst]:[Unit of measure*]],MATCH($A50&amp;$C50&amp;$D50,INDEX(PMtbl[Category]&amp;PMtbl[INN]&amp;PMtbl[Specification],0,),0),3)),SETUP!$D$19:$D$62,0),5)),"")</f>
        <v/>
      </c>
      <c r="AN50" s="62"/>
      <c r="AO50" s="380"/>
    </row>
    <row r="51" spans="1:41">
      <c r="A51" s="2378"/>
      <c r="B51" s="2304"/>
      <c r="C51" s="1178"/>
      <c r="D51" s="1173"/>
      <c r="E51" s="281" t="str">
        <f>IF(A51&lt;&gt;"",IFERROR(INDEX(PMtbl[[WKst]:[Unit of measure*]],MATCH($A$8&amp;$A51&amp;$C51&amp;$D51,INDEX(PMtbl[Sec]&amp;PMtbl[Category]&amp;PMtbl[INN]&amp;PMtbl[Specification],0,),0),8),""),"")</f>
        <v/>
      </c>
      <c r="F51" s="281" t="str">
        <f>IF(E51="", "",SETUP!$E$5)</f>
        <v/>
      </c>
      <c r="G51" s="1947"/>
      <c r="H51" s="12"/>
      <c r="I51" s="12"/>
      <c r="J51" s="12"/>
      <c r="K51" s="12"/>
      <c r="L51" s="1809">
        <f>SUM('HIV-Equipment'!$H51:$K51)</f>
        <v>0</v>
      </c>
      <c r="M51" s="1810">
        <f>'HIV-Equipment'!$L51*'HIV-Equipment'!$G51</f>
        <v>0</v>
      </c>
      <c r="N51" s="1954"/>
      <c r="O51" s="12"/>
      <c r="P51" s="12"/>
      <c r="Q51" s="12"/>
      <c r="R51" s="12"/>
      <c r="S51" s="1809">
        <f>SUM('HIV-Equipment'!$O51:$R51)</f>
        <v>0</v>
      </c>
      <c r="T51" s="1810">
        <f>'HIV-Equipment'!$S51*'HIV-Equipment'!$N51</f>
        <v>0</v>
      </c>
      <c r="U51" s="1954"/>
      <c r="V51" s="12"/>
      <c r="W51" s="12"/>
      <c r="X51" s="12"/>
      <c r="Y51" s="12"/>
      <c r="Z51" s="1809">
        <f>SUM('HIV-Equipment'!$V51:$Y51)</f>
        <v>0</v>
      </c>
      <c r="AA51" s="1810">
        <f>'HIV-Equipment'!$U51*'HIV-Equipment'!$Z51</f>
        <v>0</v>
      </c>
      <c r="AB51" s="1811">
        <f>'HIV-Equipment'!$L51+'HIV-Equipment'!$S51+'HIV-Equipment'!$Z51</f>
        <v>0</v>
      </c>
      <c r="AC51" s="1810">
        <f>'HIV-Equipment'!$M51+'HIV-Equipment'!$T51+'HIV-Equipment'!$AA51</f>
        <v>0</v>
      </c>
      <c r="AD51" s="1388" t="str">
        <f>IF(A51&lt;&gt;"",IFERROR(INDEX(PMtbl[[WKst]:[Unit of measure*]],MATCH($A$8&amp;$A51&amp;$C51&amp;$D51,INDEX(PMtbl[Sec]&amp;PMtbl[Category]&amp;PMtbl[INN]&amp;PMtbl[Specification],0,),0),7),""),"")</f>
        <v/>
      </c>
      <c r="AE51" s="2049"/>
      <c r="AF51" s="1388" t="str">
        <f>IFERROR(INDEX(SETUP!$C$19:$G$62,MATCH((INDEX(PMtbl[[WKst]:[Unit of measure*]],MATCH($A51&amp;$C51&amp;$D51,INDEX(PMtbl[Category]&amp;PMtbl[INN]&amp;PMtbl[Specification],0,),0),3)),SETUP!$D$19:$D$62,0),5),"")</f>
        <v/>
      </c>
      <c r="AG51" s="1388" t="str">
        <f>IFERROR(IF((INDEX(SETUP!$C$19:$G$62,MATCH((INDEX(PMtbl[[WKst]:[Unit of measure*]],MATCH($A51&amp;$C51&amp;$D51,INDEX(PMtbl[Category]&amp;PMtbl[INN]&amp;PMtbl[Specification],0,),0),3)),SETUP!$D$19:$D$62,0),4))="Upfront",0,INDEX(SETUP!$C$19:$G$62,MATCH((INDEX(PMtbl[[WKst]:[Unit of measure*]],MATCH($A51&amp;$C51&amp;$D51,INDEX(PMtbl[Category]&amp;PMtbl[INN]&amp;PMtbl[Specification],0,),0),3)),SETUP!$D$19:$D$62,0),5)),"")</f>
        <v/>
      </c>
      <c r="AN51" s="62"/>
      <c r="AO51" s="380"/>
    </row>
    <row r="52" spans="1:41">
      <c r="A52" s="2377"/>
      <c r="B52" s="2302"/>
      <c r="C52" s="1177"/>
      <c r="D52" s="1172"/>
      <c r="E52" s="280" t="str">
        <f>IF(A52&lt;&gt;"",IFERROR(INDEX(PMtbl[[WKst]:[Unit of measure*]],MATCH($A$8&amp;$A52&amp;$C52&amp;$D52,INDEX(PMtbl[Sec]&amp;PMtbl[Category]&amp;PMtbl[INN]&amp;PMtbl[Specification],0,),0),8),""),"")</f>
        <v/>
      </c>
      <c r="F52" s="280" t="str">
        <f>IF(E52="", "",SETUP!$E$5)</f>
        <v/>
      </c>
      <c r="G52" s="1949"/>
      <c r="H52" s="1950"/>
      <c r="I52" s="1950"/>
      <c r="J52" s="1950"/>
      <c r="K52" s="1950"/>
      <c r="L52" s="1815">
        <f>SUM('HIV-Equipment'!$H52:$K52)</f>
        <v>0</v>
      </c>
      <c r="M52" s="1816">
        <f>'HIV-Equipment'!$L52*'HIV-Equipment'!$G52</f>
        <v>0</v>
      </c>
      <c r="N52" s="1956"/>
      <c r="O52" s="1950"/>
      <c r="P52" s="1950"/>
      <c r="Q52" s="1950"/>
      <c r="R52" s="1950"/>
      <c r="S52" s="1815">
        <f>SUM('HIV-Equipment'!$O52:$R52)</f>
        <v>0</v>
      </c>
      <c r="T52" s="1816">
        <f>'HIV-Equipment'!$S52*'HIV-Equipment'!$N52</f>
        <v>0</v>
      </c>
      <c r="U52" s="1956"/>
      <c r="V52" s="1950"/>
      <c r="W52" s="1950"/>
      <c r="X52" s="1950"/>
      <c r="Y52" s="1950"/>
      <c r="Z52" s="1815">
        <f>SUM('HIV-Equipment'!$V52:$Y52)</f>
        <v>0</v>
      </c>
      <c r="AA52" s="1816">
        <f>'HIV-Equipment'!$U52*'HIV-Equipment'!$Z52</f>
        <v>0</v>
      </c>
      <c r="AB52" s="1817">
        <f>'HIV-Equipment'!$L52+'HIV-Equipment'!$S52+'HIV-Equipment'!$Z52</f>
        <v>0</v>
      </c>
      <c r="AC52" s="1816">
        <f>'HIV-Equipment'!$M52+'HIV-Equipment'!$T52+'HIV-Equipment'!$AA52</f>
        <v>0</v>
      </c>
      <c r="AD52" s="1387" t="str">
        <f>IF(A52&lt;&gt;"",IFERROR(INDEX(PMtbl[[WKst]:[Unit of measure*]],MATCH($A$8&amp;$A52&amp;$C52&amp;$D52,INDEX(PMtbl[Sec]&amp;PMtbl[Category]&amp;PMtbl[INN]&amp;PMtbl[Specification],0,),0),7),""),"")</f>
        <v/>
      </c>
      <c r="AE52" s="2050"/>
      <c r="AF52" s="1387" t="str">
        <f>IFERROR(INDEX(SETUP!$C$19:$G$62,MATCH((INDEX(PMtbl[[WKst]:[Unit of measure*]],MATCH($A52&amp;$C52&amp;$D52,INDEX(PMtbl[Category]&amp;PMtbl[INN]&amp;PMtbl[Specification],0,),0),3)),SETUP!$D$19:$D$62,0),5),"")</f>
        <v/>
      </c>
      <c r="AG52" s="1387" t="str">
        <f>IFERROR(IF((INDEX(SETUP!$C$19:$G$62,MATCH((INDEX(PMtbl[[WKst]:[Unit of measure*]],MATCH($A52&amp;$C52&amp;$D52,INDEX(PMtbl[Category]&amp;PMtbl[INN]&amp;PMtbl[Specification],0,),0),3)),SETUP!$D$19:$D$62,0),4))="Upfront",0,INDEX(SETUP!$C$19:$G$62,MATCH((INDEX(PMtbl[[WKst]:[Unit of measure*]],MATCH($A52&amp;$C52&amp;$D52,INDEX(PMtbl[Category]&amp;PMtbl[INN]&amp;PMtbl[Specification],0,),0),3)),SETUP!$D$19:$D$62,0),5)),"")</f>
        <v/>
      </c>
      <c r="AN52" s="62"/>
      <c r="AO52" s="380"/>
    </row>
    <row r="53" spans="1:41">
      <c r="A53" s="2378"/>
      <c r="B53" s="2304"/>
      <c r="C53" s="1178"/>
      <c r="D53" s="1173"/>
      <c r="E53" s="281" t="str">
        <f>IF(A53&lt;&gt;"",IFERROR(INDEX(PMtbl[[WKst]:[Unit of measure*]],MATCH($A$8&amp;$A53&amp;$C53&amp;$D53,INDEX(PMtbl[Sec]&amp;PMtbl[Category]&amp;PMtbl[INN]&amp;PMtbl[Specification],0,),0),8),""),"")</f>
        <v/>
      </c>
      <c r="F53" s="281" t="str">
        <f>IF(E53="", "",SETUP!$E$5)</f>
        <v/>
      </c>
      <c r="G53" s="1947"/>
      <c r="H53" s="12"/>
      <c r="I53" s="12"/>
      <c r="J53" s="12"/>
      <c r="K53" s="12"/>
      <c r="L53" s="1809">
        <f>SUM('HIV-Equipment'!$H53:$K53)</f>
        <v>0</v>
      </c>
      <c r="M53" s="1810">
        <f>'HIV-Equipment'!$L53*'HIV-Equipment'!$G53</f>
        <v>0</v>
      </c>
      <c r="N53" s="1954"/>
      <c r="O53" s="12"/>
      <c r="P53" s="12"/>
      <c r="Q53" s="12"/>
      <c r="R53" s="12"/>
      <c r="S53" s="1809">
        <f>SUM('HIV-Equipment'!$O53:$R53)</f>
        <v>0</v>
      </c>
      <c r="T53" s="1810">
        <f>'HIV-Equipment'!$S53*'HIV-Equipment'!$N53</f>
        <v>0</v>
      </c>
      <c r="U53" s="1954"/>
      <c r="V53" s="12"/>
      <c r="W53" s="12"/>
      <c r="X53" s="12"/>
      <c r="Y53" s="12"/>
      <c r="Z53" s="1809">
        <f>SUM('HIV-Equipment'!$V53:$Y53)</f>
        <v>0</v>
      </c>
      <c r="AA53" s="1810">
        <f>'HIV-Equipment'!$U53*'HIV-Equipment'!$Z53</f>
        <v>0</v>
      </c>
      <c r="AB53" s="1811">
        <f>'HIV-Equipment'!$L53+'HIV-Equipment'!$S53+'HIV-Equipment'!$Z53</f>
        <v>0</v>
      </c>
      <c r="AC53" s="1810">
        <f>'HIV-Equipment'!$M53+'HIV-Equipment'!$T53+'HIV-Equipment'!$AA53</f>
        <v>0</v>
      </c>
      <c r="AD53" s="1388" t="str">
        <f>IF(A53&lt;&gt;"",IFERROR(INDEX(PMtbl[[WKst]:[Unit of measure*]],MATCH($A$8&amp;$A53&amp;$C53&amp;$D53,INDEX(PMtbl[Sec]&amp;PMtbl[Category]&amp;PMtbl[INN]&amp;PMtbl[Specification],0,),0),7),""),"")</f>
        <v/>
      </c>
      <c r="AE53" s="2049"/>
      <c r="AF53" s="1388" t="str">
        <f>IFERROR(INDEX(SETUP!$C$19:$G$62,MATCH((INDEX(PMtbl[[WKst]:[Unit of measure*]],MATCH($A53&amp;$C53&amp;$D53,INDEX(PMtbl[Category]&amp;PMtbl[INN]&amp;PMtbl[Specification],0,),0),3)),SETUP!$D$19:$D$62,0),5),"")</f>
        <v/>
      </c>
      <c r="AG53" s="1388" t="str">
        <f>IFERROR(IF((INDEX(SETUP!$C$19:$G$62,MATCH((INDEX(PMtbl[[WKst]:[Unit of measure*]],MATCH($A53&amp;$C53&amp;$D53,INDEX(PMtbl[Category]&amp;PMtbl[INN]&amp;PMtbl[Specification],0,),0),3)),SETUP!$D$19:$D$62,0),4))="Upfront",0,INDEX(SETUP!$C$19:$G$62,MATCH((INDEX(PMtbl[[WKst]:[Unit of measure*]],MATCH($A53&amp;$C53&amp;$D53,INDEX(PMtbl[Category]&amp;PMtbl[INN]&amp;PMtbl[Specification],0,),0),3)),SETUP!$D$19:$D$62,0),5)),"")</f>
        <v/>
      </c>
      <c r="AN53" s="62"/>
      <c r="AO53" s="380"/>
    </row>
    <row r="54" spans="1:41">
      <c r="A54" s="2377"/>
      <c r="B54" s="2302"/>
      <c r="C54" s="1177"/>
      <c r="D54" s="1172"/>
      <c r="E54" s="280" t="str">
        <f>IF(A54&lt;&gt;"",IFERROR(INDEX(PMtbl[[WKst]:[Unit of measure*]],MATCH($A$8&amp;$A54&amp;$C54&amp;$D54,INDEX(PMtbl[Sec]&amp;PMtbl[Category]&amp;PMtbl[INN]&amp;PMtbl[Specification],0,),0),8),""),"")</f>
        <v/>
      </c>
      <c r="F54" s="280" t="str">
        <f>IF(E54="", "",SETUP!$E$5)</f>
        <v/>
      </c>
      <c r="G54" s="1949"/>
      <c r="H54" s="1950"/>
      <c r="I54" s="1950"/>
      <c r="J54" s="1950"/>
      <c r="K54" s="1950"/>
      <c r="L54" s="1815">
        <f>SUM('HIV-Equipment'!$H54:$K54)</f>
        <v>0</v>
      </c>
      <c r="M54" s="1816">
        <f>'HIV-Equipment'!$L54*'HIV-Equipment'!$G54</f>
        <v>0</v>
      </c>
      <c r="N54" s="1956"/>
      <c r="O54" s="1950"/>
      <c r="P54" s="1950"/>
      <c r="Q54" s="1950"/>
      <c r="R54" s="1950"/>
      <c r="S54" s="1815">
        <f>SUM('HIV-Equipment'!$O54:$R54)</f>
        <v>0</v>
      </c>
      <c r="T54" s="1816">
        <f>'HIV-Equipment'!$S54*'HIV-Equipment'!$N54</f>
        <v>0</v>
      </c>
      <c r="U54" s="1956"/>
      <c r="V54" s="1950"/>
      <c r="W54" s="1950"/>
      <c r="X54" s="1950"/>
      <c r="Y54" s="1950"/>
      <c r="Z54" s="1815">
        <f>SUM('HIV-Equipment'!$V54:$Y54)</f>
        <v>0</v>
      </c>
      <c r="AA54" s="1816">
        <f>'HIV-Equipment'!$U54*'HIV-Equipment'!$Z54</f>
        <v>0</v>
      </c>
      <c r="AB54" s="1817">
        <f>'HIV-Equipment'!$L54+'HIV-Equipment'!$S54+'HIV-Equipment'!$Z54</f>
        <v>0</v>
      </c>
      <c r="AC54" s="1816">
        <f>'HIV-Equipment'!$M54+'HIV-Equipment'!$T54+'HIV-Equipment'!$AA54</f>
        <v>0</v>
      </c>
      <c r="AD54" s="1387" t="str">
        <f>IF(A54&lt;&gt;"",IFERROR(INDEX(PMtbl[[WKst]:[Unit of measure*]],MATCH($A$8&amp;$A54&amp;$C54&amp;$D54,INDEX(PMtbl[Sec]&amp;PMtbl[Category]&amp;PMtbl[INN]&amp;PMtbl[Specification],0,),0),7),""),"")</f>
        <v/>
      </c>
      <c r="AE54" s="2050"/>
      <c r="AF54" s="1387" t="str">
        <f>IFERROR(INDEX(SETUP!$C$19:$G$62,MATCH((INDEX(PMtbl[[WKst]:[Unit of measure*]],MATCH($A54&amp;$C54&amp;$D54,INDEX(PMtbl[Category]&amp;PMtbl[INN]&amp;PMtbl[Specification],0,),0),3)),SETUP!$D$19:$D$62,0),5),"")</f>
        <v/>
      </c>
      <c r="AG54" s="1387" t="str">
        <f>IFERROR(IF((INDEX(SETUP!$C$19:$G$62,MATCH((INDEX(PMtbl[[WKst]:[Unit of measure*]],MATCH($A54&amp;$C54&amp;$D54,INDEX(PMtbl[Category]&amp;PMtbl[INN]&amp;PMtbl[Specification],0,),0),3)),SETUP!$D$19:$D$62,0),4))="Upfront",0,INDEX(SETUP!$C$19:$G$62,MATCH((INDEX(PMtbl[[WKst]:[Unit of measure*]],MATCH($A54&amp;$C54&amp;$D54,INDEX(PMtbl[Category]&amp;PMtbl[INN]&amp;PMtbl[Specification],0,),0),3)),SETUP!$D$19:$D$62,0),5)),"")</f>
        <v/>
      </c>
      <c r="AN54" s="62"/>
      <c r="AO54" s="380"/>
    </row>
    <row r="55" spans="1:41">
      <c r="A55" s="2378"/>
      <c r="B55" s="2304"/>
      <c r="C55" s="1178"/>
      <c r="D55" s="1173"/>
      <c r="E55" s="281" t="str">
        <f>IF(A55&lt;&gt;"",IFERROR(INDEX(PMtbl[[WKst]:[Unit of measure*]],MATCH($A$8&amp;$A55&amp;$C55&amp;$D55,INDEX(PMtbl[Sec]&amp;PMtbl[Category]&amp;PMtbl[INN]&amp;PMtbl[Specification],0,),0),8),""),"")</f>
        <v/>
      </c>
      <c r="F55" s="281" t="str">
        <f>IF(E55="", "",SETUP!$E$5)</f>
        <v/>
      </c>
      <c r="G55" s="1947"/>
      <c r="H55" s="12"/>
      <c r="I55" s="12"/>
      <c r="J55" s="12"/>
      <c r="K55" s="12"/>
      <c r="L55" s="1809">
        <f>SUM('HIV-Equipment'!$H55:$K55)</f>
        <v>0</v>
      </c>
      <c r="M55" s="1810">
        <f>'HIV-Equipment'!$L55*'HIV-Equipment'!$G55</f>
        <v>0</v>
      </c>
      <c r="N55" s="1954"/>
      <c r="O55" s="12"/>
      <c r="P55" s="12"/>
      <c r="Q55" s="12"/>
      <c r="R55" s="12"/>
      <c r="S55" s="1809">
        <f>SUM('HIV-Equipment'!$O55:$R55)</f>
        <v>0</v>
      </c>
      <c r="T55" s="1810">
        <f>'HIV-Equipment'!$S55*'HIV-Equipment'!$N55</f>
        <v>0</v>
      </c>
      <c r="U55" s="1954"/>
      <c r="V55" s="12"/>
      <c r="W55" s="12"/>
      <c r="X55" s="12"/>
      <c r="Y55" s="12"/>
      <c r="Z55" s="1809">
        <f>SUM('HIV-Equipment'!$V55:$Y55)</f>
        <v>0</v>
      </c>
      <c r="AA55" s="1810">
        <f>'HIV-Equipment'!$U55*'HIV-Equipment'!$Z55</f>
        <v>0</v>
      </c>
      <c r="AB55" s="1811">
        <f>'HIV-Equipment'!$L55+'HIV-Equipment'!$S55+'HIV-Equipment'!$Z55</f>
        <v>0</v>
      </c>
      <c r="AC55" s="1810">
        <f>'HIV-Equipment'!$M55+'HIV-Equipment'!$T55+'HIV-Equipment'!$AA55</f>
        <v>0</v>
      </c>
      <c r="AD55" s="1388" t="str">
        <f>IF(A55&lt;&gt;"",IFERROR(INDEX(PMtbl[[WKst]:[Unit of measure*]],MATCH($A$8&amp;$A55&amp;$C55&amp;$D55,INDEX(PMtbl[Sec]&amp;PMtbl[Category]&amp;PMtbl[INN]&amp;PMtbl[Specification],0,),0),7),""),"")</f>
        <v/>
      </c>
      <c r="AE55" s="2049"/>
      <c r="AF55" s="1388" t="str">
        <f>IFERROR(INDEX(SETUP!$C$19:$G$62,MATCH((INDEX(PMtbl[[WKst]:[Unit of measure*]],MATCH($A55&amp;$C55&amp;$D55,INDEX(PMtbl[Category]&amp;PMtbl[INN]&amp;PMtbl[Specification],0,),0),3)),SETUP!$D$19:$D$62,0),5),"")</f>
        <v/>
      </c>
      <c r="AG55" s="1388" t="str">
        <f>IFERROR(IF((INDEX(SETUP!$C$19:$G$62,MATCH((INDEX(PMtbl[[WKst]:[Unit of measure*]],MATCH($A55&amp;$C55&amp;$D55,INDEX(PMtbl[Category]&amp;PMtbl[INN]&amp;PMtbl[Specification],0,),0),3)),SETUP!$D$19:$D$62,0),4))="Upfront",0,INDEX(SETUP!$C$19:$G$62,MATCH((INDEX(PMtbl[[WKst]:[Unit of measure*]],MATCH($A55&amp;$C55&amp;$D55,INDEX(PMtbl[Category]&amp;PMtbl[INN]&amp;PMtbl[Specification],0,),0),3)),SETUP!$D$19:$D$62,0),5)),"")</f>
        <v/>
      </c>
      <c r="AN55" s="62"/>
      <c r="AO55" s="380"/>
    </row>
    <row r="56" spans="1:41">
      <c r="A56" s="2377"/>
      <c r="B56" s="2302"/>
      <c r="C56" s="1177"/>
      <c r="D56" s="1172"/>
      <c r="E56" s="280" t="str">
        <f>IF(A56&lt;&gt;"",IFERROR(INDEX(PMtbl[[WKst]:[Unit of measure*]],MATCH($A$8&amp;$A56&amp;$C56&amp;$D56,INDEX(PMtbl[Sec]&amp;PMtbl[Category]&amp;PMtbl[INN]&amp;PMtbl[Specification],0,),0),8),""),"")</f>
        <v/>
      </c>
      <c r="F56" s="280" t="str">
        <f>IF(E56="", "",SETUP!$E$5)</f>
        <v/>
      </c>
      <c r="G56" s="1949"/>
      <c r="H56" s="1950"/>
      <c r="I56" s="1950"/>
      <c r="J56" s="1950"/>
      <c r="K56" s="1950"/>
      <c r="L56" s="1815">
        <f>SUM('HIV-Equipment'!$H56:$K56)</f>
        <v>0</v>
      </c>
      <c r="M56" s="1816">
        <f>'HIV-Equipment'!$L56*'HIV-Equipment'!$G56</f>
        <v>0</v>
      </c>
      <c r="N56" s="1956"/>
      <c r="O56" s="1950"/>
      <c r="P56" s="1950"/>
      <c r="Q56" s="1950"/>
      <c r="R56" s="1950"/>
      <c r="S56" s="1815">
        <f>SUM('HIV-Equipment'!$O56:$R56)</f>
        <v>0</v>
      </c>
      <c r="T56" s="1816">
        <f>'HIV-Equipment'!$S56*'HIV-Equipment'!$N56</f>
        <v>0</v>
      </c>
      <c r="U56" s="1956"/>
      <c r="V56" s="1950"/>
      <c r="W56" s="1950"/>
      <c r="X56" s="1950"/>
      <c r="Y56" s="1950"/>
      <c r="Z56" s="1815">
        <f>SUM('HIV-Equipment'!$V56:$Y56)</f>
        <v>0</v>
      </c>
      <c r="AA56" s="1816">
        <f>'HIV-Equipment'!$U56*'HIV-Equipment'!$Z56</f>
        <v>0</v>
      </c>
      <c r="AB56" s="1817">
        <f>'HIV-Equipment'!$L56+'HIV-Equipment'!$S56+'HIV-Equipment'!$Z56</f>
        <v>0</v>
      </c>
      <c r="AC56" s="1816">
        <f>'HIV-Equipment'!$M56+'HIV-Equipment'!$T56+'HIV-Equipment'!$AA56</f>
        <v>0</v>
      </c>
      <c r="AD56" s="1387" t="str">
        <f>IF(A56&lt;&gt;"",IFERROR(INDEX(PMtbl[[WKst]:[Unit of measure*]],MATCH($A$8&amp;$A56&amp;$C56&amp;$D56,INDEX(PMtbl[Sec]&amp;PMtbl[Category]&amp;PMtbl[INN]&amp;PMtbl[Specification],0,),0),7),""),"")</f>
        <v/>
      </c>
      <c r="AE56" s="2050"/>
      <c r="AF56" s="1387" t="str">
        <f>IFERROR(INDEX(SETUP!$C$19:$G$62,MATCH((INDEX(PMtbl[[WKst]:[Unit of measure*]],MATCH($A56&amp;$C56&amp;$D56,INDEX(PMtbl[Category]&amp;PMtbl[INN]&amp;PMtbl[Specification],0,),0),3)),SETUP!$D$19:$D$62,0),5),"")</f>
        <v/>
      </c>
      <c r="AG56" s="1387" t="str">
        <f>IFERROR(IF((INDEX(SETUP!$C$19:$G$62,MATCH((INDEX(PMtbl[[WKst]:[Unit of measure*]],MATCH($A56&amp;$C56&amp;$D56,INDEX(PMtbl[Category]&amp;PMtbl[INN]&amp;PMtbl[Specification],0,),0),3)),SETUP!$D$19:$D$62,0),4))="Upfront",0,INDEX(SETUP!$C$19:$G$62,MATCH((INDEX(PMtbl[[WKst]:[Unit of measure*]],MATCH($A56&amp;$C56&amp;$D56,INDEX(PMtbl[Category]&amp;PMtbl[INN]&amp;PMtbl[Specification],0,),0),3)),SETUP!$D$19:$D$62,0),5)),"")</f>
        <v/>
      </c>
      <c r="AN56" s="62"/>
      <c r="AO56" s="380"/>
    </row>
    <row r="57" spans="1:41">
      <c r="A57" s="2378"/>
      <c r="B57" s="2304"/>
      <c r="C57" s="1178"/>
      <c r="D57" s="1173"/>
      <c r="E57" s="281" t="str">
        <f>IF(A57&lt;&gt;"",IFERROR(INDEX(PMtbl[[WKst]:[Unit of measure*]],MATCH($A$8&amp;$A57&amp;$C57&amp;$D57,INDEX(PMtbl[Sec]&amp;PMtbl[Category]&amp;PMtbl[INN]&amp;PMtbl[Specification],0,),0),8),""),"")</f>
        <v/>
      </c>
      <c r="F57" s="281" t="str">
        <f>IF(E57="", "",SETUP!$E$5)</f>
        <v/>
      </c>
      <c r="G57" s="1947"/>
      <c r="H57" s="12"/>
      <c r="I57" s="12"/>
      <c r="J57" s="12"/>
      <c r="K57" s="12"/>
      <c r="L57" s="1809">
        <f>SUM('HIV-Equipment'!$H57:$K57)</f>
        <v>0</v>
      </c>
      <c r="M57" s="1810">
        <f>'HIV-Equipment'!$L57*'HIV-Equipment'!$G57</f>
        <v>0</v>
      </c>
      <c r="N57" s="1954"/>
      <c r="O57" s="12"/>
      <c r="P57" s="12"/>
      <c r="Q57" s="12"/>
      <c r="R57" s="12"/>
      <c r="S57" s="1809">
        <f>SUM('HIV-Equipment'!$O57:$R57)</f>
        <v>0</v>
      </c>
      <c r="T57" s="1810">
        <f>'HIV-Equipment'!$S57*'HIV-Equipment'!$N57</f>
        <v>0</v>
      </c>
      <c r="U57" s="1954"/>
      <c r="V57" s="12"/>
      <c r="W57" s="12"/>
      <c r="X57" s="12"/>
      <c r="Y57" s="12"/>
      <c r="Z57" s="1809">
        <f>SUM('HIV-Equipment'!$V57:$Y57)</f>
        <v>0</v>
      </c>
      <c r="AA57" s="1810">
        <f>'HIV-Equipment'!$U57*'HIV-Equipment'!$Z57</f>
        <v>0</v>
      </c>
      <c r="AB57" s="1811">
        <f>'HIV-Equipment'!$L57+'HIV-Equipment'!$S57+'HIV-Equipment'!$Z57</f>
        <v>0</v>
      </c>
      <c r="AC57" s="1810">
        <f>'HIV-Equipment'!$M57+'HIV-Equipment'!$T57+'HIV-Equipment'!$AA57</f>
        <v>0</v>
      </c>
      <c r="AD57" s="1388" t="str">
        <f>IF(A57&lt;&gt;"",IFERROR(INDEX(PMtbl[[WKst]:[Unit of measure*]],MATCH($A$8&amp;$A57&amp;$C57&amp;$D57,INDEX(PMtbl[Sec]&amp;PMtbl[Category]&amp;PMtbl[INN]&amp;PMtbl[Specification],0,),0),7),""),"")</f>
        <v/>
      </c>
      <c r="AE57" s="2049"/>
      <c r="AF57" s="1388" t="str">
        <f>IFERROR(INDEX(SETUP!$C$19:$G$62,MATCH((INDEX(PMtbl[[WKst]:[Unit of measure*]],MATCH($A57&amp;$C57&amp;$D57,INDEX(PMtbl[Category]&amp;PMtbl[INN]&amp;PMtbl[Specification],0,),0),3)),SETUP!$D$19:$D$62,0),5),"")</f>
        <v/>
      </c>
      <c r="AG57" s="1388" t="str">
        <f>IFERROR(IF((INDEX(SETUP!$C$19:$G$62,MATCH((INDEX(PMtbl[[WKst]:[Unit of measure*]],MATCH($A57&amp;$C57&amp;$D57,INDEX(PMtbl[Category]&amp;PMtbl[INN]&amp;PMtbl[Specification],0,),0),3)),SETUP!$D$19:$D$62,0),4))="Upfront",0,INDEX(SETUP!$C$19:$G$62,MATCH((INDEX(PMtbl[[WKst]:[Unit of measure*]],MATCH($A57&amp;$C57&amp;$D57,INDEX(PMtbl[Category]&amp;PMtbl[INN]&amp;PMtbl[Specification],0,),0),3)),SETUP!$D$19:$D$62,0),5)),"")</f>
        <v/>
      </c>
      <c r="AN57" s="62"/>
      <c r="AO57" s="380"/>
    </row>
    <row r="58" spans="1:41" ht="15" thickBot="1">
      <c r="A58" s="2379"/>
      <c r="B58" s="2380"/>
      <c r="C58" s="1179"/>
      <c r="D58" s="1174"/>
      <c r="E58" s="282" t="str">
        <f>IF(A58&lt;&gt;"",IFERROR(INDEX(PMtbl[[WKst]:[Unit of measure*]],MATCH($A$8&amp;$A58&amp;$C58&amp;$D58,INDEX(PMtbl[Sec]&amp;PMtbl[Category]&amp;PMtbl[INN]&amp;PMtbl[Specification],0,),0),8),""),"")</f>
        <v/>
      </c>
      <c r="F58" s="282" t="str">
        <f>IF(E58="", "",SETUP!$E$5)</f>
        <v/>
      </c>
      <c r="G58" s="1951"/>
      <c r="H58" s="1952"/>
      <c r="I58" s="1952"/>
      <c r="J58" s="1952"/>
      <c r="K58" s="1952"/>
      <c r="L58" s="1818">
        <f>SUM('HIV-Equipment'!$H58:$K58)</f>
        <v>0</v>
      </c>
      <c r="M58" s="1819">
        <f>'HIV-Equipment'!$L58*'HIV-Equipment'!$G58</f>
        <v>0</v>
      </c>
      <c r="N58" s="1957"/>
      <c r="O58" s="1952"/>
      <c r="P58" s="1952"/>
      <c r="Q58" s="1952"/>
      <c r="R58" s="1952"/>
      <c r="S58" s="1818">
        <f>SUM('HIV-Equipment'!$O58:$R58)</f>
        <v>0</v>
      </c>
      <c r="T58" s="1819">
        <f>'HIV-Equipment'!$S58*'HIV-Equipment'!$N58</f>
        <v>0</v>
      </c>
      <c r="U58" s="1957"/>
      <c r="V58" s="1952"/>
      <c r="W58" s="1952"/>
      <c r="X58" s="1952"/>
      <c r="Y58" s="1952"/>
      <c r="Z58" s="1818">
        <f>SUM('HIV-Equipment'!$V58:$Y58)</f>
        <v>0</v>
      </c>
      <c r="AA58" s="1819">
        <f>'HIV-Equipment'!$U58*'HIV-Equipment'!$Z58</f>
        <v>0</v>
      </c>
      <c r="AB58" s="1820">
        <f>'HIV-Equipment'!$L58+'HIV-Equipment'!$S58+'HIV-Equipment'!$Z58</f>
        <v>0</v>
      </c>
      <c r="AC58" s="1819">
        <f>'HIV-Equipment'!$M58+'HIV-Equipment'!$T58+'HIV-Equipment'!$AA58</f>
        <v>0</v>
      </c>
      <c r="AD58" s="1389" t="str">
        <f>IF(A58&lt;&gt;"",IFERROR(INDEX(PMtbl[[WKst]:[Unit of measure*]],MATCH($A$8&amp;$A58&amp;$C58&amp;$D58,INDEX(PMtbl[Sec]&amp;PMtbl[Category]&amp;PMtbl[INN]&amp;PMtbl[Specification],0,),0),7),""),"")</f>
        <v/>
      </c>
      <c r="AE58" s="2054"/>
      <c r="AF58" s="1389" t="str">
        <f>IFERROR(INDEX(SETUP!$C$19:$G$62,MATCH((INDEX(PMtbl[[WKst]:[Unit of measure*]],MATCH($A58&amp;$C58&amp;$D58,INDEX(PMtbl[Category]&amp;PMtbl[INN]&amp;PMtbl[Specification],0,),0),3)),SETUP!$D$19:$D$62,0),5),"")</f>
        <v/>
      </c>
      <c r="AG58" s="1389" t="str">
        <f>IFERROR(IF((INDEX(SETUP!$C$19:$G$62,MATCH((INDEX(PMtbl[[WKst]:[Unit of measure*]],MATCH($A58&amp;$C58&amp;$D58,INDEX(PMtbl[Category]&amp;PMtbl[INN]&amp;PMtbl[Specification],0,),0),3)),SETUP!$D$19:$D$62,0),4))="Upfront",0,INDEX(SETUP!$C$19:$G$62,MATCH((INDEX(PMtbl[[WKst]:[Unit of measure*]],MATCH($A58&amp;$C58&amp;$D58,INDEX(PMtbl[Category]&amp;PMtbl[INN]&amp;PMtbl[Specification],0,),0),3)),SETUP!$D$19:$D$62,0),5)),"")</f>
        <v/>
      </c>
      <c r="AN58" s="62"/>
      <c r="AO58" s="380"/>
    </row>
  </sheetData>
  <sheetProtection algorithmName="SHA-512" hashValue="nn+AfvE36YwOyr3LVxl2BwV3n/gfwtqXAvHlTFwl4W3LSN8AEQArG7hZBr4VDdRDKYGgft8tgpcjT0ii38JXFA==" saltValue="/tjBOZnSdeJfYSljAYKUGw==" spinCount="100000" sheet="1" autoFilter="0"/>
  <dataConsolidate/>
  <mergeCells count="79">
    <mergeCell ref="M1:M2"/>
    <mergeCell ref="L1:L2"/>
    <mergeCell ref="A1:I1"/>
    <mergeCell ref="B3:B4"/>
    <mergeCell ref="D12:D13"/>
    <mergeCell ref="A8:A9"/>
    <mergeCell ref="E12:E13"/>
    <mergeCell ref="B5:B6"/>
    <mergeCell ref="A12:B13"/>
    <mergeCell ref="F3:G4"/>
    <mergeCell ref="F5:G6"/>
    <mergeCell ref="C12:C13"/>
    <mergeCell ref="B8:F9"/>
    <mergeCell ref="F12:F13"/>
    <mergeCell ref="C3:D4"/>
    <mergeCell ref="E3:E4"/>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35:B35"/>
    <mergeCell ref="A36:B36"/>
    <mergeCell ref="A37:B37"/>
    <mergeCell ref="A38:B38"/>
    <mergeCell ref="A29:B29"/>
    <mergeCell ref="A30:B30"/>
    <mergeCell ref="A31:B31"/>
    <mergeCell ref="A32:B32"/>
    <mergeCell ref="A33:B33"/>
    <mergeCell ref="A58:B58"/>
    <mergeCell ref="A56:B56"/>
    <mergeCell ref="A49:B49"/>
    <mergeCell ref="A50:B50"/>
    <mergeCell ref="A51:B51"/>
    <mergeCell ref="A52:B52"/>
    <mergeCell ref="A53:B53"/>
    <mergeCell ref="AG12:AG13"/>
    <mergeCell ref="AF12:AF13"/>
    <mergeCell ref="A54:B54"/>
    <mergeCell ref="A55:B55"/>
    <mergeCell ref="A57:B57"/>
    <mergeCell ref="A44:B44"/>
    <mergeCell ref="A45:B45"/>
    <mergeCell ref="A46:B46"/>
    <mergeCell ref="A47:B47"/>
    <mergeCell ref="A48:B48"/>
    <mergeCell ref="A39:B39"/>
    <mergeCell ref="A40:B40"/>
    <mergeCell ref="A41:B41"/>
    <mergeCell ref="A42:B42"/>
    <mergeCell ref="A43:B43"/>
    <mergeCell ref="A34:B34"/>
    <mergeCell ref="AW20:BH20"/>
    <mergeCell ref="AW21:AZ21"/>
    <mergeCell ref="BA21:BD21"/>
    <mergeCell ref="BE21:BH21"/>
    <mergeCell ref="C5:D6"/>
    <mergeCell ref="E5:E6"/>
    <mergeCell ref="AW11:BH11"/>
    <mergeCell ref="AW12:AZ12"/>
    <mergeCell ref="BA12:BD12"/>
    <mergeCell ref="BE12:BH12"/>
    <mergeCell ref="G12:M12"/>
    <mergeCell ref="AB12:AC12"/>
    <mergeCell ref="N12:T12"/>
    <mergeCell ref="U12:AA12"/>
    <mergeCell ref="AE12:AE13"/>
    <mergeCell ref="A10:M10"/>
  </mergeCells>
  <conditionalFormatting sqref="A14:D58">
    <cfRule type="expression" dxfId="774" priority="1">
      <formula>AND($D14&lt;&gt;"",$E14="")</formula>
    </cfRule>
  </conditionalFormatting>
  <dataValidations count="5">
    <dataValidation type="decimal" allowBlank="1" showInputMessage="1" showErrorMessage="1" sqref="N14:N58 G14:G58 U14:U58" xr:uid="{00000000-0002-0000-0700-000000000000}">
      <formula1>0</formula1>
      <formula2>1E+29</formula2>
    </dataValidation>
    <dataValidation type="list" allowBlank="1" showInputMessage="1" showErrorMessage="1" sqref="A14:B14" xr:uid="{00000000-0002-0000-0700-000001000000}">
      <formula1>HIV2S1T1C1</formula1>
    </dataValidation>
    <dataValidation type="list" allowBlank="1" showInputMessage="1" showErrorMessage="1" sqref="C14:C58" xr:uid="{00000000-0002-0000-0700-000002000000}">
      <formula1>HIV2S1T1C2</formula1>
    </dataValidation>
    <dataValidation type="list" allowBlank="1" showInputMessage="1" showErrorMessage="1" sqref="D14:D15" xr:uid="{00000000-0002-0000-0700-000003000000}">
      <formula1>HIV2S1T1C3</formula1>
    </dataValidation>
    <dataValidation type="whole" operator="greaterThanOrEqual" allowBlank="1" showInputMessage="1" showErrorMessage="1" error="Do not enter value in Fractions" sqref="H14:K58 O14:R58 V14:Y58" xr:uid="{00000000-0002-0000-0700-000004000000}">
      <formula1>0</formula1>
    </dataValidation>
  </dataValidations>
  <hyperlinks>
    <hyperlink ref="L1:L2" location="'HIV-Key Info'!A1" display="Back to HIV-Key Info" xr:uid="{00000000-0004-0000-0700-000000000000}"/>
    <hyperlink ref="M1:M2" location="'HIV-Pharmaceuticals'!A1" display="Back to HIV-Pharma" xr:uid="{00000000-0004-0000-0700-000001000000}"/>
  </hyperlinks>
  <pageMargins left="0.25" right="0.25" top="0.75" bottom="0.75" header="0.3" footer="0.3"/>
  <pageSetup paperSize="8" scale="24" orientation="landscape" r:id="rId1"/>
  <ignoredErrors>
    <ignoredError sqref="AF14 AF15:AF58"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5000000}">
          <x14:formula1>
            <xm:f>PMsheet!$O$7:$O$11</xm:f>
          </x14:formula1>
          <xm:sqref>A15:B58</xm:sqref>
        </x14:dataValidation>
        <x14:dataValidation type="list" allowBlank="1" showInputMessage="1" showErrorMessage="1" xr:uid="{00000000-0002-0000-0700-000006000000}">
          <x14:formula1>
            <xm:f>OFFSET(PMsheet!$G$1,MATCH($E14,PMsheet!$F:$F,0)-1,0,COUNTIFS(PMsheet!$F:$F,$E14,PMsheet!$E:$E,$A14),)</xm:f>
          </x14:formula1>
          <xm:sqref>F14</xm:sqref>
        </x14:dataValidation>
        <x14:dataValidation type="list" allowBlank="1" showInputMessage="1" showErrorMessage="1" xr:uid="{00000000-0002-0000-0700-000007000000}">
          <x14:formula1>
            <xm:f>OFFSET(PMsheet!$G$1,MATCH($C16,PMsheet!$F:$F,0)-1,0,COUNTIFS(PMsheet!$F:$F,$C16,PMsheet!$E:$E,$A16),)</xm:f>
          </x14:formula1>
          <xm:sqref>D16:D58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tabColor rgb="FF339933"/>
    <pageSetUpPr fitToPage="1"/>
  </sheetPr>
  <dimension ref="A1:BJ298"/>
  <sheetViews>
    <sheetView showGridLines="0" topLeftCell="R46" zoomScale="38" zoomScaleNormal="38" workbookViewId="0">
      <selection activeCell="AK138" sqref="AK138:AL138"/>
    </sheetView>
  </sheetViews>
  <sheetFormatPr baseColWidth="10" defaultColWidth="8.7265625" defaultRowHeight="14.5"/>
  <cols>
    <col min="1" max="1" width="8.7265625" style="62" customWidth="1"/>
    <col min="2" max="6" width="15.26953125" style="62" customWidth="1"/>
    <col min="7" max="7" width="26.7265625" style="62" customWidth="1"/>
    <col min="8" max="9" width="15.26953125" style="62" customWidth="1"/>
    <col min="10" max="10" width="14.26953125" style="62" customWidth="1"/>
    <col min="11" max="11" width="12.26953125" style="62" customWidth="1"/>
    <col min="12" max="12" width="18.26953125" style="62" customWidth="1"/>
    <col min="13" max="13" width="19" style="62" customWidth="1"/>
    <col min="14" max="14" width="18.26953125" style="62" customWidth="1"/>
    <col min="15" max="15" width="19" style="62" customWidth="1"/>
    <col min="16" max="16" width="15.26953125" style="62" customWidth="1"/>
    <col min="17" max="26" width="19" style="62" customWidth="1"/>
    <col min="27" max="27" width="16" style="62" bestFit="1" customWidth="1"/>
    <col min="28" max="32" width="12.26953125" style="62" customWidth="1"/>
    <col min="33" max="33" width="16.26953125" style="62" customWidth="1"/>
    <col min="34" max="34" width="12.26953125" style="62" customWidth="1"/>
    <col min="35" max="35" width="26.7265625" style="62" customWidth="1"/>
    <col min="36" max="36" width="21.26953125" style="62" customWidth="1"/>
    <col min="37" max="37" width="8.7265625" style="62"/>
    <col min="38" max="38" width="45" style="62" customWidth="1"/>
    <col min="39" max="39" width="9.7265625" style="62" customWidth="1"/>
    <col min="40" max="40" width="8.7265625" style="62" hidden="1" customWidth="1"/>
    <col min="41" max="45" width="8.7265625" style="62"/>
    <col min="46" max="46" width="8.7265625" style="62" hidden="1" customWidth="1"/>
    <col min="47" max="47" width="7.26953125" style="62" hidden="1" customWidth="1"/>
    <col min="48" max="48" width="18.26953125" style="62" hidden="1" customWidth="1"/>
    <col min="49" max="49" width="23" style="62" hidden="1" customWidth="1"/>
    <col min="50" max="61" width="8.7265625" style="62" hidden="1" customWidth="1"/>
    <col min="62" max="62" width="11.26953125" style="62" hidden="1" customWidth="1"/>
    <col min="63" max="16384" width="8.7265625" style="62"/>
  </cols>
  <sheetData>
    <row r="1" spans="1:61" ht="24" customHeight="1" thickBot="1">
      <c r="A1" s="2239" t="str">
        <f>VLOOKUP("Health Product Management Template - HIV - List of other health products",Language!$D$149:$G$289,$L$1,FALSE)</f>
        <v>Plantilla para la gestión de productos sanitarios - VIH - lista de otros productos sanitarios</v>
      </c>
      <c r="B1" s="2240"/>
      <c r="C1" s="2240"/>
      <c r="D1" s="2240"/>
      <c r="E1" s="2240"/>
      <c r="F1" s="2240"/>
      <c r="G1" s="2240"/>
      <c r="H1" s="2240"/>
      <c r="I1" s="2240"/>
      <c r="J1" s="2240"/>
      <c r="K1" s="2241"/>
      <c r="L1" s="1824">
        <f>SETUP!$A$2</f>
        <v>3</v>
      </c>
      <c r="M1" s="2339"/>
      <c r="N1" s="2234" t="s">
        <v>136</v>
      </c>
      <c r="O1" s="2234" t="s">
        <v>184</v>
      </c>
      <c r="P1" s="2234" t="s">
        <v>64</v>
      </c>
      <c r="Q1" s="2459"/>
      <c r="R1" s="92"/>
      <c r="S1" s="78"/>
      <c r="T1" s="78"/>
      <c r="U1" s="78"/>
      <c r="V1" s="78"/>
      <c r="W1" s="78"/>
      <c r="X1" s="78"/>
      <c r="Y1" s="78"/>
      <c r="Z1" s="78"/>
      <c r="AA1" s="78"/>
      <c r="AB1" s="78"/>
      <c r="AC1" s="78"/>
      <c r="AD1" s="78"/>
      <c r="AE1" s="78"/>
      <c r="AF1" s="99"/>
      <c r="AG1" s="78"/>
    </row>
    <row r="2" spans="1:61" ht="15" thickBot="1">
      <c r="A2" s="100"/>
      <c r="B2" s="100"/>
      <c r="C2" s="100"/>
      <c r="D2" s="100"/>
      <c r="E2" s="100"/>
      <c r="F2" s="100"/>
      <c r="G2" s="100"/>
      <c r="H2" s="100"/>
      <c r="I2" s="100"/>
      <c r="J2" s="100"/>
      <c r="K2" s="64"/>
      <c r="L2" s="99"/>
      <c r="M2" s="2343"/>
      <c r="N2" s="2235"/>
      <c r="O2" s="2235"/>
      <c r="P2" s="2235"/>
      <c r="Q2" s="2460"/>
      <c r="R2" s="92"/>
      <c r="S2" s="78"/>
      <c r="T2" s="78"/>
      <c r="U2" s="78"/>
      <c r="V2" s="78"/>
      <c r="W2" s="78"/>
      <c r="X2" s="78"/>
      <c r="Y2" s="78"/>
      <c r="Z2" s="78"/>
      <c r="AA2" s="78"/>
      <c r="AB2" s="78"/>
      <c r="AC2" s="78"/>
      <c r="AD2" s="78"/>
      <c r="AE2" s="78"/>
      <c r="AF2" s="99"/>
      <c r="AG2" s="78"/>
    </row>
    <row r="3" spans="1:61" ht="15" customHeight="1" thickBot="1">
      <c r="A3" s="101"/>
      <c r="B3" s="2358" t="str">
        <f>VLOOKUP("COUNTRY:",Language!$D$149:$G$289,$L$1,FALSE)</f>
        <v>PAÍS:</v>
      </c>
      <c r="C3" s="2250" t="str">
        <f>SETUP!$E$3</f>
        <v>El Salvador</v>
      </c>
      <c r="D3" s="2250"/>
      <c r="E3" s="2250"/>
      <c r="F3" s="102"/>
      <c r="G3" s="2357" t="str">
        <f>VLOOKUP("GRANT NUMBER:",Language!$D$149:$G$289,$L$1,FALSE)</f>
        <v>NÚMERO DE LA SUBVENCIÓN:</v>
      </c>
      <c r="H3" s="2250" t="str">
        <f>SETUP!$G$13</f>
        <v>SLV-H-MOH</v>
      </c>
      <c r="I3" s="2250"/>
      <c r="J3" s="2251"/>
      <c r="K3" s="92"/>
      <c r="L3" s="92"/>
      <c r="M3" s="81"/>
      <c r="N3" s="81"/>
      <c r="O3" s="81"/>
      <c r="P3" s="81"/>
      <c r="Q3" s="81"/>
      <c r="R3" s="81"/>
      <c r="S3" s="78"/>
      <c r="T3" s="78"/>
      <c r="U3" s="78"/>
      <c r="V3" s="78"/>
      <c r="W3" s="78"/>
      <c r="X3" s="78"/>
      <c r="Y3" s="78"/>
      <c r="Z3" s="78"/>
      <c r="AA3" s="78"/>
      <c r="AB3" s="78"/>
      <c r="AC3" s="78"/>
      <c r="AD3" s="78"/>
      <c r="AE3" s="78"/>
      <c r="AF3" s="78"/>
      <c r="AG3" s="99"/>
      <c r="AH3" s="82"/>
    </row>
    <row r="4" spans="1:61" ht="15.75" customHeight="1" thickTop="1" thickBot="1">
      <c r="A4" s="103"/>
      <c r="B4" s="2354"/>
      <c r="C4" s="2355"/>
      <c r="D4" s="2355"/>
      <c r="E4" s="2355"/>
      <c r="F4" s="72"/>
      <c r="G4" s="2357"/>
      <c r="H4" s="2493"/>
      <c r="I4" s="2493"/>
      <c r="J4" s="2494"/>
      <c r="K4" s="92"/>
      <c r="L4" s="92"/>
      <c r="M4" s="78"/>
      <c r="N4" s="78"/>
      <c r="O4" s="78"/>
      <c r="P4" s="78"/>
      <c r="Q4" s="78"/>
      <c r="R4" s="78"/>
      <c r="S4" s="78"/>
      <c r="T4" s="78"/>
      <c r="U4" s="78"/>
      <c r="V4" s="78"/>
      <c r="W4" s="78"/>
      <c r="X4" s="78"/>
      <c r="Y4" s="78"/>
      <c r="Z4" s="78"/>
      <c r="AA4" s="78"/>
      <c r="AB4" s="78"/>
      <c r="AC4" s="78"/>
      <c r="AD4" s="78"/>
      <c r="AE4" s="78"/>
      <c r="AF4" s="78"/>
      <c r="AG4" s="99"/>
      <c r="AH4" s="82"/>
    </row>
    <row r="5" spans="1:61" ht="15.5" thickTop="1" thickBot="1">
      <c r="A5" s="103"/>
      <c r="B5" s="2358" t="str">
        <f>VLOOKUP("COMPONENT:",Language!$D$149:$G$289,$L$1,FALSE)</f>
        <v>COMPONENTE:</v>
      </c>
      <c r="C5" s="2250" t="str">
        <f>SETUP!$E$6</f>
        <v>HIV</v>
      </c>
      <c r="D5" s="2250"/>
      <c r="E5" s="2250"/>
      <c r="F5" s="73"/>
      <c r="G5" s="2372" t="str">
        <f>VLOOKUP("PR: ",Language!$D$149:$G$289,$L$1,FALSE)</f>
        <v xml:space="preserve">RP: </v>
      </c>
      <c r="H5" s="2267" t="str">
        <f>SETUP!E7</f>
        <v>Ministry of Health of the Republic of El Salvador</v>
      </c>
      <c r="I5" s="2267"/>
      <c r="J5" s="2495"/>
      <c r="K5" s="92"/>
      <c r="L5" s="383" t="str">
        <f>SUBSTITUTE(SUBSTITUTE(SUBSTITUTE(SUBSTITUTE(SUBSTITUTE(SUBSTITUTE(SUBSTITUTE(SUBSTITUTE(SUBSTITUTE(SUBSTITUTE(SUBSTITUTE(A49,",",""),":",""),"/"," "),"(",""),")",""),"-"," "),"  "," ")," ","_"),"&amp;",""),"__","_"),"+","_")</f>
        <v>RDTs_for_HIV</v>
      </c>
      <c r="M5" s="78"/>
      <c r="N5" s="78"/>
      <c r="O5" s="78"/>
      <c r="P5" s="78"/>
      <c r="Q5" s="78"/>
      <c r="R5" s="78"/>
      <c r="S5" s="78"/>
      <c r="T5" s="78"/>
      <c r="U5" s="78"/>
      <c r="V5" s="78"/>
      <c r="W5" s="78"/>
      <c r="X5" s="78"/>
      <c r="Y5" s="78"/>
      <c r="Z5" s="78"/>
      <c r="AA5" s="78"/>
      <c r="AB5" s="78"/>
      <c r="AC5" s="78"/>
      <c r="AD5" s="78"/>
      <c r="AE5" s="78"/>
      <c r="AF5" s="78"/>
      <c r="AG5" s="99"/>
      <c r="AH5" s="78"/>
    </row>
    <row r="6" spans="1:61" ht="15.5" thickTop="1" thickBot="1">
      <c r="A6" s="104"/>
      <c r="B6" s="2359"/>
      <c r="C6" s="2360"/>
      <c r="D6" s="2360"/>
      <c r="E6" s="2360"/>
      <c r="F6" s="75"/>
      <c r="G6" s="2490"/>
      <c r="H6" s="2360"/>
      <c r="I6" s="2360"/>
      <c r="J6" s="2496"/>
      <c r="K6" s="92"/>
      <c r="L6" s="92"/>
      <c r="N6" s="78"/>
      <c r="O6" s="78"/>
      <c r="P6" s="78"/>
      <c r="Q6" s="78"/>
      <c r="R6" s="78"/>
      <c r="S6" s="78"/>
      <c r="T6" s="78"/>
      <c r="U6" s="78"/>
      <c r="V6" s="78"/>
      <c r="W6" s="78"/>
      <c r="X6" s="78"/>
      <c r="Y6" s="78"/>
      <c r="Z6" s="78"/>
      <c r="AA6" s="78"/>
      <c r="AB6" s="78"/>
      <c r="AC6" s="78"/>
      <c r="AD6" s="78"/>
      <c r="AE6" s="78"/>
      <c r="AF6" s="78"/>
      <c r="AG6" s="99"/>
      <c r="AH6" s="78"/>
    </row>
    <row r="7" spans="1:61" ht="15" thickBot="1">
      <c r="A7" s="1513" t="str">
        <f ca="1">MID(CELL("filename",A1),FIND("]",CELL("filename",A1))+1,255)</f>
        <v>HIV-Other HPs</v>
      </c>
      <c r="B7" s="76"/>
      <c r="C7" s="76"/>
      <c r="D7" s="76"/>
      <c r="E7" s="76"/>
      <c r="F7" s="76"/>
      <c r="G7" s="76"/>
      <c r="H7" s="76"/>
      <c r="I7" s="76"/>
      <c r="J7" s="76"/>
      <c r="K7" s="96"/>
      <c r="L7" s="96"/>
      <c r="M7" s="96"/>
      <c r="N7" s="78"/>
      <c r="O7" s="78"/>
      <c r="P7" s="78"/>
      <c r="Q7" s="78"/>
      <c r="R7" s="78"/>
      <c r="S7" s="78"/>
      <c r="T7" s="78"/>
      <c r="V7" s="78"/>
      <c r="W7" s="78"/>
      <c r="X7" s="78"/>
      <c r="Y7" s="78"/>
      <c r="Z7" s="78"/>
      <c r="AA7" s="78"/>
      <c r="AB7" s="78"/>
      <c r="AC7" s="78"/>
      <c r="AD7" s="78"/>
      <c r="AE7" s="78"/>
      <c r="AF7" s="78"/>
      <c r="AG7" s="99"/>
      <c r="AH7" s="78"/>
    </row>
    <row r="8" spans="1:61" ht="15" customHeight="1" thickBot="1">
      <c r="A8" s="2327">
        <v>1</v>
      </c>
      <c r="B8" s="2332" t="s">
        <v>212</v>
      </c>
      <c r="C8" s="2332"/>
      <c r="D8" s="2332"/>
      <c r="E8" s="2361" t="s">
        <v>213</v>
      </c>
      <c r="F8" s="2361"/>
      <c r="G8" s="2362"/>
      <c r="H8" s="2339" t="s">
        <v>214</v>
      </c>
      <c r="I8" s="2234" t="s">
        <v>215</v>
      </c>
      <c r="J8" s="2424" t="s">
        <v>216</v>
      </c>
      <c r="K8" s="2339"/>
      <c r="L8" s="96"/>
      <c r="M8" s="96"/>
      <c r="N8" s="78"/>
      <c r="O8" s="105"/>
      <c r="P8" s="105"/>
      <c r="Q8" s="78"/>
      <c r="R8" s="78"/>
      <c r="S8" s="78"/>
      <c r="T8" s="78"/>
      <c r="U8" s="78"/>
      <c r="V8" s="78"/>
      <c r="W8" s="78"/>
      <c r="X8" s="78"/>
      <c r="Y8" s="78"/>
      <c r="Z8" s="78"/>
      <c r="AA8" s="81" t="str">
        <f>VLOOKUP("Comments",Language!$D$149:$G$289,$L$1,FALSE)</f>
        <v>Comentarios</v>
      </c>
      <c r="AB8" s="78"/>
      <c r="AC8" s="78"/>
      <c r="AD8" s="78"/>
      <c r="AE8" s="78"/>
      <c r="AF8" s="78"/>
      <c r="AG8" s="99"/>
      <c r="AH8" s="78"/>
    </row>
    <row r="9" spans="1:61" ht="15" customHeight="1" thickBot="1">
      <c r="A9" s="2328"/>
      <c r="B9" s="2333"/>
      <c r="C9" s="2333"/>
      <c r="D9" s="2333"/>
      <c r="E9" s="2341" t="s">
        <v>217</v>
      </c>
      <c r="F9" s="2341"/>
      <c r="G9" s="2342"/>
      <c r="H9" s="2340"/>
      <c r="I9" s="2235"/>
      <c r="J9" s="2425"/>
      <c r="K9" s="2340"/>
      <c r="L9" s="96"/>
      <c r="M9" s="96"/>
      <c r="N9" s="78"/>
      <c r="O9" s="105"/>
      <c r="P9" s="105"/>
      <c r="Q9" s="78"/>
      <c r="R9" s="78"/>
      <c r="S9" s="78"/>
      <c r="T9" s="78"/>
      <c r="U9" s="78"/>
      <c r="V9" s="78"/>
      <c r="W9" s="78"/>
      <c r="X9" s="78"/>
      <c r="Y9" s="78"/>
      <c r="Z9" s="78"/>
      <c r="AA9" s="78"/>
      <c r="AB9" s="78"/>
      <c r="AC9" s="78"/>
      <c r="AD9" s="78"/>
      <c r="AE9" s="78"/>
      <c r="AF9" s="78"/>
      <c r="AG9" s="99"/>
      <c r="AH9" s="78"/>
    </row>
    <row r="10" spans="1:61" s="108" customFormat="1" ht="115.5" customHeight="1" thickBot="1">
      <c r="A10" s="2518" t="str">
        <f>IF($L$1=2,Language!$E$154,IF($L$1=3,Language!$F$154,Language!$G$154))</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unitario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519"/>
      <c r="C10" s="2519"/>
      <c r="D10" s="2519"/>
      <c r="E10" s="2519"/>
      <c r="F10" s="2519"/>
      <c r="G10" s="2519"/>
      <c r="H10" s="2519"/>
      <c r="I10" s="2519"/>
      <c r="J10" s="2519"/>
      <c r="K10" s="2519"/>
      <c r="L10" s="2519"/>
      <c r="M10" s="2519"/>
      <c r="N10" s="1286"/>
      <c r="O10" s="105"/>
      <c r="P10" s="105"/>
      <c r="Q10" s="105"/>
      <c r="R10" s="105"/>
      <c r="S10" s="105"/>
      <c r="T10" s="105"/>
      <c r="U10" s="105"/>
      <c r="V10" s="105"/>
      <c r="W10" s="105"/>
      <c r="X10" s="105"/>
      <c r="Y10" s="105"/>
      <c r="Z10" s="105"/>
      <c r="AA10" s="105"/>
      <c r="AB10" s="105"/>
      <c r="AC10" s="105"/>
      <c r="AD10" s="105"/>
      <c r="AE10" s="105"/>
      <c r="AF10" s="105"/>
      <c r="AG10" s="106"/>
      <c r="AH10" s="107"/>
    </row>
    <row r="11" spans="1:61" s="108" customFormat="1" ht="16" thickBot="1">
      <c r="A11" s="109"/>
      <c r="B11" s="110"/>
      <c r="C11" s="110"/>
      <c r="D11" s="111"/>
      <c r="E11" s="111"/>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12"/>
      <c r="AH11" s="107"/>
      <c r="AW11" s="337"/>
      <c r="AX11" s="2297" t="s">
        <v>1225</v>
      </c>
      <c r="AY11" s="2297"/>
      <c r="AZ11" s="2297"/>
      <c r="BA11" s="2297"/>
      <c r="BB11" s="2297"/>
      <c r="BC11" s="2297"/>
      <c r="BD11" s="2297"/>
      <c r="BE11" s="2297"/>
      <c r="BF11" s="2297"/>
      <c r="BG11" s="2297"/>
      <c r="BH11" s="2297"/>
      <c r="BI11" s="2297"/>
    </row>
    <row r="12" spans="1:61" s="268" customFormat="1" ht="15" thickBot="1">
      <c r="A12" s="2310" t="str">
        <f>VLOOKUP("Category",Language!$D$149:$G$289,$L$1,FALSE)</f>
        <v>Categoría</v>
      </c>
      <c r="B12" s="2312"/>
      <c r="C12" s="2312"/>
      <c r="D12" s="2312"/>
      <c r="E12" s="2310" t="str">
        <f>VLOOKUP("Type of product",Language!$D$149:$G$289,$L$1,FALSE)</f>
        <v>Tipo de producto</v>
      </c>
      <c r="F12" s="2312"/>
      <c r="G12" s="2312"/>
      <c r="H12" s="2312"/>
      <c r="I12" s="2315" t="str">
        <f>VLOOKUP("Specifications (Size, feature, pack size)",Language!$D$149:$G$289,$L$1,FALSE)</f>
        <v>Especificaciones (tamaño, características, tamaño del empaque)</v>
      </c>
      <c r="J12" s="2316"/>
      <c r="K12" s="2325"/>
      <c r="L12" s="2312" t="str">
        <f>VLOOKUP("Unit of measure",Language!$D$149:$G$289,$L$1,FALSE)</f>
        <v>Unidad de medida</v>
      </c>
      <c r="M12" s="2374" t="str">
        <f>VLOOKUP("Payment Currency",Language!$D$149:$G$289,$L$1,FALSE)</f>
        <v>Moneda de pago</v>
      </c>
      <c r="N12" s="2324">
        <f>IF(ISBLANK(IMP_ST_DATE),SETUP!$A$3,IF(MO_CHECK&gt;3,"Y1",YEAR(IMP_ST_DATE)))</f>
        <v>2022</v>
      </c>
      <c r="O12" s="2322"/>
      <c r="P12" s="2322"/>
      <c r="Q12" s="2322"/>
      <c r="R12" s="2322"/>
      <c r="S12" s="2322"/>
      <c r="T12" s="2324"/>
      <c r="U12" s="2321">
        <f>IF(N12="Y1","Y2",IF(ISBLANK(IMP_ST_DATE),SETUP!$A$3,YEAR(IMP_ST_DATE)+1))</f>
        <v>2023</v>
      </c>
      <c r="V12" s="2322"/>
      <c r="W12" s="2322"/>
      <c r="X12" s="2322"/>
      <c r="Y12" s="2322"/>
      <c r="Z12" s="2322"/>
      <c r="AA12" s="2323"/>
      <c r="AB12" s="2321">
        <f>IF(N12="Y1","Y3",IF(ISBLANK(IMP_ST_DATE),SETUP!$A$3,YEAR(IMP_ST_DATE)+2))</f>
        <v>2024</v>
      </c>
      <c r="AC12" s="2322"/>
      <c r="AD12" s="2322"/>
      <c r="AE12" s="2322"/>
      <c r="AF12" s="2322"/>
      <c r="AG12" s="2322"/>
      <c r="AH12" s="2323"/>
      <c r="AI12" s="2310" t="str">
        <f>VLOOKUP("Total grant period",Language!$D$149:$G$289,$L$1,FALSE)</f>
        <v>Total del período de subvención</v>
      </c>
      <c r="AJ12" s="2374"/>
      <c r="AK12" s="451" t="str">
        <f>VLOOKUP("Finance",Language!$D$149:$G$289,$L$1,FALSE)</f>
        <v>Finanzas</v>
      </c>
      <c r="AL12" s="2375" t="str">
        <f>VLOOKUP("Comments",Language!$D$149:$G$289,$L$1,FALSE)</f>
        <v>Comentarios</v>
      </c>
      <c r="AM12" s="2295" t="str">
        <f>VLOOKUP("Delivery Lead Time",Language!$D$149:$G$289,$L$1,FALSE)</f>
        <v>Plazo de entrega</v>
      </c>
      <c r="AN12" s="2295" t="s">
        <v>3055</v>
      </c>
      <c r="AW12" s="338"/>
      <c r="AX12" s="2370">
        <f>YEAR(IMP_ST_DATE)</f>
        <v>2022</v>
      </c>
      <c r="AY12" s="2370"/>
      <c r="AZ12" s="2370"/>
      <c r="BA12" s="2370"/>
      <c r="BB12" s="2370">
        <f>YEAR(IMP_ST_DATE)+1</f>
        <v>2023</v>
      </c>
      <c r="BC12" s="2370"/>
      <c r="BD12" s="2370"/>
      <c r="BE12" s="2370"/>
      <c r="BF12" s="2370">
        <f>YEAR(IMP_ST_DATE)+2</f>
        <v>2024</v>
      </c>
      <c r="BG12" s="2370"/>
      <c r="BH12" s="2370"/>
      <c r="BI12" s="2370"/>
    </row>
    <row r="13" spans="1:61" s="323" customFormat="1" ht="26.5" thickBot="1">
      <c r="A13" s="2390"/>
      <c r="B13" s="2388"/>
      <c r="C13" s="2388"/>
      <c r="D13" s="2388"/>
      <c r="E13" s="2390"/>
      <c r="F13" s="2388"/>
      <c r="G13" s="2388"/>
      <c r="H13" s="2388"/>
      <c r="I13" s="2420"/>
      <c r="J13" s="2421"/>
      <c r="K13" s="2385"/>
      <c r="L13" s="2388"/>
      <c r="M13" s="2452"/>
      <c r="N13" s="1828" t="str">
        <f>VLOOKUP("Y1 Unit cost",Language!$D$149:$G$289,$L$1,FALSE)</f>
        <v>Costo unitario del A1</v>
      </c>
      <c r="O13" s="1821" t="str">
        <f>VLOOKUP("Y1 Q1 quantity",Language!$D$149:$G$289,$L$1,FALSE)</f>
        <v>Cantidad del A1, T1</v>
      </c>
      <c r="P13" s="1821" t="str">
        <f>VLOOKUP("Y1 Q2 quantity",Language!$D$149:$G$289,$L$1,FALSE)</f>
        <v>Cantidad del A1, T2</v>
      </c>
      <c r="Q13" s="1821" t="str">
        <f>VLOOKUP("Y1 Q3 quantity",Language!$D$149:$G$289,$L$1,FALSE)</f>
        <v>Cantidad del A1, T3</v>
      </c>
      <c r="R13" s="1821" t="str">
        <f>VLOOKUP("Y1 Q4 quantity",Language!$D$149:$G$289,$L$1,FALSE)</f>
        <v>Cantidad del A1, T4</v>
      </c>
      <c r="S13" s="1821" t="str">
        <f>VLOOKUP("Y1 Total quantity",Language!$D$149:$G$289,$L$1,FALSE)</f>
        <v>Cantidad total del A1</v>
      </c>
      <c r="T13" s="1829" t="str">
        <f>VLOOKUP("Y1 Total cost",Language!$D$149:$G$289,$L$1,FALSE)</f>
        <v>Costo total del A1</v>
      </c>
      <c r="U13" s="1830" t="str">
        <f>VLOOKUP("Y2 Unit cost",Language!$D$149:$G$289,$L$1,FALSE)</f>
        <v>Costo unitario del A2</v>
      </c>
      <c r="V13" s="1821" t="str">
        <f>VLOOKUP("Y2 Q1 quantity",Language!$D$149:$G$289,$L$1,FALSE)</f>
        <v>Cantidad del A2, T1</v>
      </c>
      <c r="W13" s="1821" t="str">
        <f>VLOOKUP("Y2 Q2 quantity",Language!$D$149:$G$289,$L$1,FALSE)</f>
        <v>Cantidad del A2, T2</v>
      </c>
      <c r="X13" s="1821" t="str">
        <f>VLOOKUP("Y2 Q3 quantity",Language!$D$149:$G$289,$L$1,FALSE)</f>
        <v>Cantidad del A2, T3</v>
      </c>
      <c r="Y13" s="1821" t="str">
        <f>VLOOKUP("Y2 Q4 quantity",Language!$D$149:$G$289,$L$1,FALSE)</f>
        <v>Cantidad del A2, T4</v>
      </c>
      <c r="Z13" s="1821" t="str">
        <f>VLOOKUP("Y2 Total quantity",Language!$D$149:$G$289,$L$1,FALSE)</f>
        <v>Cantidad total del A2</v>
      </c>
      <c r="AA13" s="1829" t="str">
        <f>VLOOKUP("Y2 Total cost",Language!$D$149:$G$289,$L$1,FALSE)</f>
        <v>Costo total del A2</v>
      </c>
      <c r="AB13" s="1830" t="str">
        <f>VLOOKUP("Y3 Unit cost",Language!$D$149:$G$289,$L$1,FALSE)</f>
        <v>Costo unitario del A3</v>
      </c>
      <c r="AC13" s="1821" t="str">
        <f>VLOOKUP("Y3 Q1 quantity",Language!$D$149:$G$289,$L$1,FALSE)</f>
        <v>Cantidad del A3, T1</v>
      </c>
      <c r="AD13" s="1821" t="str">
        <f>VLOOKUP("Y3 Q2 quantity",Language!$D$149:$G$289,$L$1,FALSE)</f>
        <v>Cantidad del A3, T2</v>
      </c>
      <c r="AE13" s="1821" t="str">
        <f>VLOOKUP("Y3 Q3 quantity",Language!$D$149:$G$289,$L$1,FALSE)</f>
        <v>Cantidad del A3, T3</v>
      </c>
      <c r="AF13" s="1821" t="str">
        <f>VLOOKUP("Y3 Q4 quantity",Language!$D$149:$G$289,$L$1,FALSE)</f>
        <v>Cantidad del A3, T4</v>
      </c>
      <c r="AG13" s="1821" t="str">
        <f>VLOOKUP("Y3 Total quantity",Language!$D$149:$G$289,$L$1,FALSE)</f>
        <v>Cantidad total del A3</v>
      </c>
      <c r="AH13" s="1829" t="str">
        <f>VLOOKUP("Y3 Total cost",Language!$D$149:$G$289,$L$1,FALSE)</f>
        <v>Costo total del A3</v>
      </c>
      <c r="AI13" s="1831" t="str">
        <f>VLOOKUP("Total quantity",Language!$D$149:$G$289,$L$1,FALSE)</f>
        <v>Cantidad total</v>
      </c>
      <c r="AJ13" s="1832" t="str">
        <f>VLOOKUP("Total cost ",Language!$D$149:$G$289,$L$1,FALSE)</f>
        <v xml:space="preserve">Costo total </v>
      </c>
      <c r="AK13" s="1833" t="str">
        <f>VLOOKUP("Cost input",Language!$D$149:$G$289,$L$1,FALSE)</f>
        <v>Categoría de costos</v>
      </c>
      <c r="AL13" s="2376"/>
      <c r="AM13" s="2296"/>
      <c r="AN13" s="2296"/>
      <c r="AW13" s="342"/>
      <c r="AX13" s="343" t="s">
        <v>1213</v>
      </c>
      <c r="AY13" s="343" t="s">
        <v>1214</v>
      </c>
      <c r="AZ13" s="343" t="s">
        <v>1215</v>
      </c>
      <c r="BA13" s="343" t="s">
        <v>1216</v>
      </c>
      <c r="BB13" s="343" t="s">
        <v>1217</v>
      </c>
      <c r="BC13" s="343" t="s">
        <v>1218</v>
      </c>
      <c r="BD13" s="343" t="s">
        <v>1220</v>
      </c>
      <c r="BE13" s="343" t="s">
        <v>1221</v>
      </c>
      <c r="BF13" s="343" t="s">
        <v>1222</v>
      </c>
      <c r="BG13" s="343" t="s">
        <v>1223</v>
      </c>
      <c r="BH13" s="343" t="s">
        <v>1219</v>
      </c>
      <c r="BI13" s="343" t="s">
        <v>1224</v>
      </c>
    </row>
    <row r="14" spans="1:61" s="198" customFormat="1">
      <c r="A14" s="2491"/>
      <c r="B14" s="2487"/>
      <c r="C14" s="2487"/>
      <c r="D14" s="2492"/>
      <c r="E14" s="2486"/>
      <c r="F14" s="2487"/>
      <c r="G14" s="2487"/>
      <c r="H14" s="2488"/>
      <c r="I14" s="2491"/>
      <c r="J14" s="2487"/>
      <c r="K14" s="2488"/>
      <c r="L14" s="199" t="str">
        <f>IF(A14&lt;&gt;"",IFERROR(INDEX(PMtbl[[WKst]:[Unit of measure*]],MATCH($A$8&amp;$A14&amp;$E14&amp;$I14,INDEX(PMtbl[Sec]&amp;PMtbl[Category]&amp;PMtbl[INN]&amp;PMtbl[Specification],0,),0),8),""),"")</f>
        <v/>
      </c>
      <c r="M14" s="1181" t="str">
        <f>IF(L14="", "",SETUP!$E$5)</f>
        <v/>
      </c>
      <c r="N14" s="1959"/>
      <c r="O14" s="1943"/>
      <c r="P14" s="1943"/>
      <c r="Q14" s="1943"/>
      <c r="R14" s="1943"/>
      <c r="S14" s="1805">
        <f>SUM('HIV-Other HPs'!$O14:$R14)</f>
        <v>0</v>
      </c>
      <c r="T14" s="1806">
        <f>'HIV-Other HPs'!$N14*'HIV-Other HPs'!$S14</f>
        <v>0</v>
      </c>
      <c r="U14" s="1953"/>
      <c r="V14" s="1943"/>
      <c r="W14" s="1943"/>
      <c r="X14" s="1943"/>
      <c r="Y14" s="1943"/>
      <c r="Z14" s="1805">
        <f>SUM('HIV-Other HPs'!$V14:$Y14)</f>
        <v>0</v>
      </c>
      <c r="AA14" s="1806">
        <f>'HIV-Other HPs'!$U14*'HIV-Other HPs'!$Z14</f>
        <v>0</v>
      </c>
      <c r="AB14" s="1953"/>
      <c r="AC14" s="1943"/>
      <c r="AD14" s="1943"/>
      <c r="AE14" s="1943"/>
      <c r="AF14" s="1943"/>
      <c r="AG14" s="1805">
        <f>SUM('HIV-Other HPs'!$AC14:$AF14)</f>
        <v>0</v>
      </c>
      <c r="AH14" s="1806">
        <f>'HIV-Other HPs'!$AB14*'HIV-Other HPs'!$AG14</f>
        <v>0</v>
      </c>
      <c r="AI14" s="1834">
        <f>'HIV-Other HPs'!$S14+'HIV-Other HPs'!$Z14+'HIV-Other HPs'!$AG14</f>
        <v>0</v>
      </c>
      <c r="AJ14" s="1806">
        <f>'HIV-Other HPs'!$T14+'HIV-Other HPs'!$AA14+'HIV-Other HPs'!$AH14</f>
        <v>0</v>
      </c>
      <c r="AK14" s="1835" t="str">
        <f>IF(A14&lt;&gt;"",IFERROR(INDEX(PMtbl[[WKst]:[Unit of measure*]],MATCH($A$8&amp;$A14&amp;$E14&amp;$I14,INDEX(PMtbl[Sec]&amp;PMtbl[Category]&amp;PMtbl[INN]&amp;PMtbl[Specification],0,),0),7),""),"")</f>
        <v/>
      </c>
      <c r="AL14" s="2050"/>
      <c r="AM14" s="1390" t="str">
        <f>IFERROR(INDEX(SETUP!$C$19:$G$62,MATCH((INDEX(PMtbl[[WKst]:[Unit of measure*]],MATCH($A14&amp;$E14&amp;$I14,INDEX(PMtbl[Category]&amp;PMtbl[INN]&amp;PMtbl[Specification],0,),0),3)),SETUP!$D$19:$D$62,0),5),"")</f>
        <v/>
      </c>
      <c r="AN14" s="1390"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V14" s="198">
        <v>1</v>
      </c>
      <c r="AW14" s="347" t="s">
        <v>693</v>
      </c>
      <c r="AX14" s="347">
        <f>SUMPRODUCT(($A$14:$A$40="Condoms")*($N$14:$N$40)*((O14:O40)))</f>
        <v>0</v>
      </c>
      <c r="AY14" s="347">
        <f>SUMPRODUCT(($A$14:$A$40="Condoms")*($N$14:$N$40)*((P14:P40)))</f>
        <v>0</v>
      </c>
      <c r="AZ14" s="347">
        <f>SUMPRODUCT(($A$14:$A$40="Condoms")*($N$14:$N$40)*((Q14:Q40)))</f>
        <v>0</v>
      </c>
      <c r="BA14" s="347">
        <f>SUMPRODUCT(($A$14:$A$40="Condoms")*($N$14:$N$40)*((R14:R40)))</f>
        <v>0</v>
      </c>
      <c r="BB14" s="347">
        <f>SUMPRODUCT(($A$14:$A$40="Condoms")*($U$14:$U$40)*((V14:V40)))</f>
        <v>0</v>
      </c>
      <c r="BC14" s="347">
        <f>SUMPRODUCT(($A$14:$A$40="Condoms")*($U$14:$U$40)*((W14:W40)))</f>
        <v>0</v>
      </c>
      <c r="BD14" s="347">
        <f>SUMPRODUCT(($A$14:$A$40="Condoms")*($U$14:$U$40)*((X14:X40)))</f>
        <v>0</v>
      </c>
      <c r="BE14" s="347">
        <f>SUMPRODUCT(($A$14:$A$40="Condoms")*($U$14:$U$40)*((Y14:Y40)))</f>
        <v>0</v>
      </c>
      <c r="BF14" s="347">
        <f>SUMPRODUCT(($A$14:$A$40="Condoms")*($AB$14:$AB$40)*((AC14:AC40)))</f>
        <v>0</v>
      </c>
      <c r="BG14" s="347">
        <f>SUMPRODUCT(($A$14:$A$40="Condoms")*($AB$14:$AB$40)*((AD14:AD40)))</f>
        <v>0</v>
      </c>
      <c r="BH14" s="347">
        <f>SUMPRODUCT(($A$14:$A$40="Condoms")*($AB$14:$AB$40)*((AE14:AE40)))</f>
        <v>0</v>
      </c>
      <c r="BI14" s="347">
        <f>SUMPRODUCT(($A$14:$A$40="Condoms")*($AB$14:$AB$40)*((AF14:AF40)))</f>
        <v>0</v>
      </c>
    </row>
    <row r="15" spans="1:61" s="198" customFormat="1">
      <c r="A15" s="2437"/>
      <c r="B15" s="2331"/>
      <c r="C15" s="2331"/>
      <c r="D15" s="2331"/>
      <c r="E15" s="2489"/>
      <c r="F15" s="2417"/>
      <c r="G15" s="2417"/>
      <c r="H15" s="2417"/>
      <c r="I15" s="2416"/>
      <c r="J15" s="2417"/>
      <c r="K15" s="2418"/>
      <c r="L15" s="200" t="str">
        <f>IF(A15&lt;&gt;"",IFERROR(INDEX(PMtbl[[WKst]:[Unit of measure*]],MATCH($A$8&amp;$A15&amp;$E15&amp;$I15,INDEX(PMtbl[Sec]&amp;PMtbl[Category]&amp;PMtbl[INN]&amp;PMtbl[Specification],0,),0),8),""),"")</f>
        <v/>
      </c>
      <c r="M15" s="1182" t="str">
        <f>IF(L15="", "",SETUP!$E$5)</f>
        <v/>
      </c>
      <c r="N15" s="1947"/>
      <c r="O15" s="12"/>
      <c r="P15" s="12"/>
      <c r="Q15" s="12"/>
      <c r="R15" s="12"/>
      <c r="S15" s="1809">
        <f>SUM('HIV-Other HPs'!$O15:$R15)</f>
        <v>0</v>
      </c>
      <c r="T15" s="1810">
        <f>'HIV-Other HPs'!$N15*'HIV-Other HPs'!$S15</f>
        <v>0</v>
      </c>
      <c r="U15" s="1954"/>
      <c r="V15" s="12"/>
      <c r="W15" s="12"/>
      <c r="X15" s="12"/>
      <c r="Y15" s="12"/>
      <c r="Z15" s="1809">
        <f>SUM('HIV-Other HPs'!$V15:$Y15)</f>
        <v>0</v>
      </c>
      <c r="AA15" s="1810">
        <f>'HIV-Other HPs'!$U15*'HIV-Other HPs'!$Z15</f>
        <v>0</v>
      </c>
      <c r="AB15" s="1954"/>
      <c r="AC15" s="12"/>
      <c r="AD15" s="12"/>
      <c r="AE15" s="12"/>
      <c r="AF15" s="12"/>
      <c r="AG15" s="1809">
        <f>SUM('HIV-Other HPs'!$AC15:$AF15)</f>
        <v>0</v>
      </c>
      <c r="AH15" s="1810">
        <f>'HIV-Other HPs'!$AB15*'HIV-Other HPs'!$AG15</f>
        <v>0</v>
      </c>
      <c r="AI15" s="1811">
        <f>'HIV-Other HPs'!$S15+'HIV-Other HPs'!$Z15+'HIV-Other HPs'!$AG15</f>
        <v>0</v>
      </c>
      <c r="AJ15" s="1810">
        <f>'HIV-Other HPs'!$T15+'HIV-Other HPs'!$AA15+'HIV-Other HPs'!$AH15</f>
        <v>0</v>
      </c>
      <c r="AK15" s="1391" t="str">
        <f>IF(A15&lt;&gt;"",IFERROR(INDEX(PMtbl[[WKst]:[Unit of measure*]],MATCH($A$8&amp;$A15&amp;$E15&amp;$I15,INDEX(PMtbl[Sec]&amp;PMtbl[Category]&amp;PMtbl[INN]&amp;PMtbl[Specification],0,),0),7),""),"")</f>
        <v/>
      </c>
      <c r="AL15" s="2049"/>
      <c r="AM15" s="1391" t="str">
        <f>IFERROR(INDEX(SETUP!$C$19:$G$62,MATCH((INDEX(PMtbl[[WKst]:[Unit of measure*]],MATCH($A15&amp;$E15&amp;$I15,INDEX(PMtbl[Category]&amp;PMtbl[INN]&amp;PMtbl[Specification],0,),0),3)),SETUP!$D$19:$D$62,0),5),"")</f>
        <v/>
      </c>
      <c r="AN15" s="1391"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V15" s="198">
        <v>1</v>
      </c>
      <c r="AW15" s="347" t="s">
        <v>217</v>
      </c>
      <c r="AX15" s="347">
        <f>SUMPRODUCT(($A$14:$A$40="Lubricants")*($N$14:$N$40)*((O14:O40)))</f>
        <v>0</v>
      </c>
      <c r="AY15" s="347">
        <f>SUMPRODUCT(($A$14:$A$40="Lubricants")*($N$14:$N$40)*((P14:P40)))</f>
        <v>0</v>
      </c>
      <c r="AZ15" s="347">
        <f>SUMPRODUCT(($A$14:$A$40="Lubricants")*($N$14:$N$40)*((Q14:Q40)))</f>
        <v>0</v>
      </c>
      <c r="BA15" s="347">
        <f>SUMPRODUCT(($A$14:$A$40="Lubricants")*($N$14:$N$40)*((R14:R40)))</f>
        <v>0</v>
      </c>
      <c r="BB15" s="347">
        <f>SUMPRODUCT(($A$14:$A$40="Lubricants")*($U$14:$U$40)*((V14:V40)))</f>
        <v>0</v>
      </c>
      <c r="BC15" s="347">
        <f>SUMPRODUCT(($A$14:$A$40="Lubricants")*($U$14:$U$40)*((W14:W40)))</f>
        <v>0</v>
      </c>
      <c r="BD15" s="347">
        <f>SUMPRODUCT(($A$14:$A$40="Lubricants")*($U$14:$U$40)*((X14:X40)))</f>
        <v>0</v>
      </c>
      <c r="BE15" s="347">
        <f>SUMPRODUCT(($A$14:$A$40="Lubricants")*($U$14:$U$40)*((Y14:Y40)))</f>
        <v>0</v>
      </c>
      <c r="BF15" s="347">
        <f>SUMPRODUCT(($A$14:$A$40="Lubricants")*($AB$14:$AB$40)*((AC14:AC40)))</f>
        <v>0</v>
      </c>
      <c r="BG15" s="347">
        <f>SUMPRODUCT(($A$14:$A$40="Lubricants")*($AB$14:$AB$40)*((AD14:AD40)))</f>
        <v>0</v>
      </c>
      <c r="BH15" s="347">
        <f>SUMPRODUCT(($A$14:$A$40="Lubricants")*($AB$14:$AB$40)*((AE14:AE40)))</f>
        <v>0</v>
      </c>
      <c r="BI15" s="347">
        <f>SUMPRODUCT(($A$14:$A$40="Lubricants")*($AB$14:$AB$40)*((AF14:AF40)))</f>
        <v>0</v>
      </c>
    </row>
    <row r="16" spans="1:61" s="198" customFormat="1">
      <c r="A16" s="2414"/>
      <c r="B16" s="2337"/>
      <c r="C16" s="2337"/>
      <c r="D16" s="2337"/>
      <c r="E16" s="2431"/>
      <c r="F16" s="2337"/>
      <c r="G16" s="2337"/>
      <c r="H16" s="2337"/>
      <c r="I16" s="2414"/>
      <c r="J16" s="2337"/>
      <c r="K16" s="2415"/>
      <c r="L16" s="199" t="str">
        <f>IF(A16&lt;&gt;"",IFERROR(INDEX(PMtbl[[WKst]:[Unit of measure*]],MATCH($A$8&amp;$A16&amp;$E16&amp;$I16,INDEX(PMtbl[Sec]&amp;PMtbl[Category]&amp;PMtbl[INN]&amp;PMtbl[Specification],0,),0),8),""),"")</f>
        <v/>
      </c>
      <c r="M16" s="1181" t="str">
        <f>IF(L16="", "",SETUP!$E$5)</f>
        <v/>
      </c>
      <c r="N16" s="1948"/>
      <c r="O16" s="1946"/>
      <c r="P16" s="1946"/>
      <c r="Q16" s="1946"/>
      <c r="R16" s="1946"/>
      <c r="S16" s="1812">
        <f>SUM('HIV-Other HPs'!$O16:$R16)</f>
        <v>0</v>
      </c>
      <c r="T16" s="1813">
        <f>'HIV-Other HPs'!$N16*'HIV-Other HPs'!$S16</f>
        <v>0</v>
      </c>
      <c r="U16" s="1955"/>
      <c r="V16" s="1946"/>
      <c r="W16" s="1946"/>
      <c r="X16" s="1946"/>
      <c r="Y16" s="1946"/>
      <c r="Z16" s="1812">
        <f>SUM('HIV-Other HPs'!$V16:$Y16)</f>
        <v>0</v>
      </c>
      <c r="AA16" s="1813">
        <f>'HIV-Other HPs'!$U16*'HIV-Other HPs'!$Z16</f>
        <v>0</v>
      </c>
      <c r="AB16" s="1955"/>
      <c r="AC16" s="1946"/>
      <c r="AD16" s="1946"/>
      <c r="AE16" s="1946"/>
      <c r="AF16" s="1946"/>
      <c r="AG16" s="1812">
        <f>SUM('HIV-Other HPs'!$AC16:$AF16)</f>
        <v>0</v>
      </c>
      <c r="AH16" s="1813">
        <f>'HIV-Other HPs'!$AB16*'HIV-Other HPs'!$AG16</f>
        <v>0</v>
      </c>
      <c r="AI16" s="1814">
        <f>'HIV-Other HPs'!$S16+'HIV-Other HPs'!$Z16+'HIV-Other HPs'!$AG16</f>
        <v>0</v>
      </c>
      <c r="AJ16" s="1813">
        <f>'HIV-Other HPs'!$T16+'HIV-Other HPs'!$AA16+'HIV-Other HPs'!$AH16</f>
        <v>0</v>
      </c>
      <c r="AK16" s="1390" t="str">
        <f>IF(A16&lt;&gt;"",IFERROR(INDEX(PMtbl[[WKst]:[Unit of measure*]],MATCH($A$8&amp;$A16&amp;$E16&amp;$I16,INDEX(PMtbl[Sec]&amp;PMtbl[Category]&amp;PMtbl[INN]&amp;PMtbl[Specification],0,),0),7),""),"")</f>
        <v/>
      </c>
      <c r="AL16" s="2050"/>
      <c r="AM16" s="1390" t="str">
        <f>IFERROR(INDEX(SETUP!$C$19:$G$62,MATCH((INDEX(PMtbl[[WKst]:[Unit of measure*]],MATCH($A16&amp;$E16&amp;$I16,INDEX(PMtbl[Category]&amp;PMtbl[INN]&amp;PMtbl[Specification],0,),0),3)),SETUP!$D$19:$D$62,0),5),"")</f>
        <v/>
      </c>
      <c r="AN16" s="1390"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V16" s="198">
        <v>2</v>
      </c>
      <c r="AW16" s="347" t="s">
        <v>441</v>
      </c>
      <c r="AX16" s="347">
        <f>SUMPRODUCT(($A$49:$A$74="RDTs for HIV")*($N$49:$N$74)*((O49:O74)))</f>
        <v>0</v>
      </c>
      <c r="AY16" s="347">
        <f>SUMPRODUCT(($A$49:$A$74="RDTs for HIV")*($N$49:$N$74)*((P49:P74)))</f>
        <v>150262.70000000001</v>
      </c>
      <c r="AZ16" s="347">
        <f>SUMPRODUCT(($A$49:$A$74="RDTs for HIV")*($N$49:$N$74)*((Q49:Q74)))</f>
        <v>0</v>
      </c>
      <c r="BA16" s="347">
        <f>SUMPRODUCT(($A$49:$A$74="RDTs for HIV")*($N$49:$N$74)*((R49:R74)))</f>
        <v>0</v>
      </c>
      <c r="BB16" s="347">
        <f>SUMPRODUCT(($A$49:$A$74="RDTs for HIV")*($U$49:$U$74)*((V49:V74)))</f>
        <v>0</v>
      </c>
      <c r="BC16" s="347">
        <f>SUMPRODUCT(($A$49:$A$74="RDTs for HIV")*($U$49:$U$74)*((W49:W74)))</f>
        <v>156348.9</v>
      </c>
      <c r="BD16" s="347">
        <f>SUMPRODUCT(($A$49:$A$74="RDTs for HIV")*($U$49:$U$74)*((X49:X74)))</f>
        <v>0</v>
      </c>
      <c r="BE16" s="347">
        <f>SUMPRODUCT(($A$49:$A$74="RDTs for HIV")*($U$49:$U$74)*((Y49:Y74)))</f>
        <v>0</v>
      </c>
      <c r="BF16" s="347">
        <f>SUMPRODUCT(($A$49:$A$74="RDTs for HIV")*($AB$49:$AB$74)*((AC49:AC74)))</f>
        <v>0</v>
      </c>
      <c r="BG16" s="347">
        <f>SUMPRODUCT(($A$49:$A$74="RDTs for HIV")*($AB$49:$AB$74)*((AD49:AD74)))</f>
        <v>166599.20000000001</v>
      </c>
      <c r="BH16" s="347">
        <f>SUMPRODUCT(($A$49:$A$74="RDTs for HIV")*($AB$49:$AB$74)*((AE49:AE74)))</f>
        <v>0</v>
      </c>
      <c r="BI16" s="347">
        <f>SUMPRODUCT(($A$49:$A$74="RDTs for HIV")*($AB$49:$AB$74)*((AF49:AF74)))</f>
        <v>0</v>
      </c>
    </row>
    <row r="17" spans="1:61" s="198" customFormat="1">
      <c r="A17" s="2437"/>
      <c r="B17" s="2331"/>
      <c r="C17" s="2331"/>
      <c r="D17" s="2442"/>
      <c r="E17" s="2440"/>
      <c r="F17" s="2331"/>
      <c r="G17" s="2331"/>
      <c r="H17" s="2331"/>
      <c r="I17" s="2437"/>
      <c r="J17" s="2331"/>
      <c r="K17" s="2453"/>
      <c r="L17" s="200" t="str">
        <f>IF(A17&lt;&gt;"",IFERROR(INDEX(PMtbl[[WKst]:[Unit of measure*]],MATCH($A$8&amp;$A17&amp;$E17&amp;$I17,INDEX(PMtbl[Sec]&amp;PMtbl[Category]&amp;PMtbl[INN]&amp;PMtbl[Specification],0,),0),8),""),"")</f>
        <v/>
      </c>
      <c r="M17" s="1183" t="str">
        <f>IF(L17="", "",SETUP!$E$5)</f>
        <v/>
      </c>
      <c r="N17" s="1947"/>
      <c r="O17" s="12"/>
      <c r="P17" s="12"/>
      <c r="Q17" s="12"/>
      <c r="R17" s="12"/>
      <c r="S17" s="1809">
        <f>SUM('HIV-Other HPs'!$O17:$R17)</f>
        <v>0</v>
      </c>
      <c r="T17" s="1810">
        <f>'HIV-Other HPs'!$N17*'HIV-Other HPs'!$S17</f>
        <v>0</v>
      </c>
      <c r="U17" s="1954"/>
      <c r="V17" s="12"/>
      <c r="W17" s="12"/>
      <c r="X17" s="12"/>
      <c r="Y17" s="12"/>
      <c r="Z17" s="1809">
        <f>SUM('HIV-Other HPs'!$V17:$Y17)</f>
        <v>0</v>
      </c>
      <c r="AA17" s="1810">
        <f>'HIV-Other HPs'!$U17*'HIV-Other HPs'!$Z17</f>
        <v>0</v>
      </c>
      <c r="AB17" s="1954"/>
      <c r="AC17" s="12"/>
      <c r="AD17" s="12"/>
      <c r="AE17" s="12"/>
      <c r="AF17" s="12"/>
      <c r="AG17" s="1809">
        <f>SUM('HIV-Other HPs'!$AC17:$AF17)</f>
        <v>0</v>
      </c>
      <c r="AH17" s="1810">
        <f>'HIV-Other HPs'!$AB17*'HIV-Other HPs'!$AG17</f>
        <v>0</v>
      </c>
      <c r="AI17" s="1811">
        <f>'HIV-Other HPs'!$S17+'HIV-Other HPs'!$Z17+'HIV-Other HPs'!$AG17</f>
        <v>0</v>
      </c>
      <c r="AJ17" s="1810">
        <f>'HIV-Other HPs'!$T17+'HIV-Other HPs'!$AA17+'HIV-Other HPs'!$AH17</f>
        <v>0</v>
      </c>
      <c r="AK17" s="1391" t="str">
        <f>IF(A17&lt;&gt;"",IFERROR(INDEX(PMtbl[[WKst]:[Unit of measure*]],MATCH($A$8&amp;$A17&amp;$E17&amp;$I17,INDEX(PMtbl[Sec]&amp;PMtbl[Category]&amp;PMtbl[INN]&amp;PMtbl[Specification],0,),0),7),""),"")</f>
        <v/>
      </c>
      <c r="AL17" s="2049"/>
      <c r="AM17" s="1391" t="str">
        <f>IFERROR(INDEX(SETUP!$C$19:$G$62,MATCH((INDEX(PMtbl[[WKst]:[Unit of measure*]],MATCH($A17&amp;$E17&amp;$I17,INDEX(PMtbl[Category]&amp;PMtbl[INN]&amp;PMtbl[Specification],0,),0),3)),SETUP!$D$19:$D$62,0),5),"")</f>
        <v/>
      </c>
      <c r="AN17" s="1391"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V17" s="198">
        <v>2</v>
      </c>
      <c r="AW17" s="347" t="s">
        <v>1452</v>
      </c>
      <c r="AX17" s="347">
        <f>SUMPRODUCT(($A$49:$A$74="RDTs for TB for HIV program")*($N$49:$N$74)*((O49:O74)))</f>
        <v>0</v>
      </c>
      <c r="AY17" s="347">
        <f>SUMPRODUCT(($A$49:$A$74="RDTs for TB for HIV program")*($N$49:$N$74)*((P49:P74)))</f>
        <v>0</v>
      </c>
      <c r="AZ17" s="347">
        <f>SUMPRODUCT(($A$49:$A$74="RDTs for TB for HIV program")*($N$49:$N$74)*((Q49:Q74)))</f>
        <v>0</v>
      </c>
      <c r="BA17" s="347">
        <f>SUMPRODUCT(($A$49:$A$74="RDTs for TB for HIV program")*($N$49:$N$74)*((R49:R74)))</f>
        <v>0</v>
      </c>
      <c r="BB17" s="347">
        <f>SUMPRODUCT(($A$49:$A$74="RDTs for TB for HIV program")*($U$49:$U$74)*((V49:V74)))</f>
        <v>0</v>
      </c>
      <c r="BC17" s="347">
        <f>SUMPRODUCT(($A$49:$A$74="RDTs for TB for HIV program")*($U$49:$U$74)*((W49:W74)))</f>
        <v>0</v>
      </c>
      <c r="BD17" s="347">
        <f>SUMPRODUCT(($A$49:$A$74="RDTs for TB for HIV program")*($U$49:$U$74)*((X49:X74)))</f>
        <v>0</v>
      </c>
      <c r="BE17" s="347">
        <f>SUMPRODUCT(($A$49:$A$74="RDTs for TB for HIV program")*($U$49:$U$74)*((Y49:Y74)))</f>
        <v>0</v>
      </c>
      <c r="BF17" s="347">
        <f>SUMPRODUCT(($A$49:$A$74="RDTs for TB for HIV program")*($AB$49:$AB$74)*((AC49:AC74)))</f>
        <v>0</v>
      </c>
      <c r="BG17" s="347">
        <f>SUMPRODUCT(($A$49:$A$74="RDTs for TB for HIV program")*($AB$49:$AB$74)*((AD49:AD74)))</f>
        <v>0</v>
      </c>
      <c r="BH17" s="347">
        <f>SUMPRODUCT(($A$49:$A$74="RDTs for TB for HIV program")*($AB$49:$AB$74)*((AE49:AE74)))</f>
        <v>0</v>
      </c>
      <c r="BI17" s="347">
        <f>SUMPRODUCT(($A$49:$A$74="RDTs for TB for HIV program")*($AB$49:$AB$74)*((AF49:AF74)))</f>
        <v>0</v>
      </c>
    </row>
    <row r="18" spans="1:61" s="198" customFormat="1">
      <c r="A18" s="2414"/>
      <c r="B18" s="2337"/>
      <c r="C18" s="2337"/>
      <c r="D18" s="2441"/>
      <c r="E18" s="2431"/>
      <c r="F18" s="2337"/>
      <c r="G18" s="2337"/>
      <c r="H18" s="2337"/>
      <c r="I18" s="2414"/>
      <c r="J18" s="2337"/>
      <c r="K18" s="2415"/>
      <c r="L18" s="199" t="str">
        <f>IF(A18&lt;&gt;"",IFERROR(INDEX(PMtbl[[WKst]:[Unit of measure*]],MATCH($A$8&amp;$A18&amp;$E18&amp;$I18,INDEX(PMtbl[Sec]&amp;PMtbl[Category]&amp;PMtbl[INN]&amp;PMtbl[Specification],0,),0),8),""),"")</f>
        <v/>
      </c>
      <c r="M18" s="1181" t="str">
        <f>IF(L18="", "",SETUP!$E$5)</f>
        <v/>
      </c>
      <c r="N18" s="1948"/>
      <c r="O18" s="1946"/>
      <c r="P18" s="1946"/>
      <c r="Q18" s="1946"/>
      <c r="R18" s="1946"/>
      <c r="S18" s="1812">
        <f>SUM('HIV-Other HPs'!$O18:$R18)</f>
        <v>0</v>
      </c>
      <c r="T18" s="1813">
        <f>'HIV-Other HPs'!$N18*'HIV-Other HPs'!$S18</f>
        <v>0</v>
      </c>
      <c r="U18" s="1955"/>
      <c r="V18" s="1946"/>
      <c r="W18" s="1946"/>
      <c r="X18" s="1946"/>
      <c r="Y18" s="1946"/>
      <c r="Z18" s="1812">
        <f>SUM('HIV-Other HPs'!$V18:$Y18)</f>
        <v>0</v>
      </c>
      <c r="AA18" s="1813">
        <f>'HIV-Other HPs'!$U18*'HIV-Other HPs'!$Z18</f>
        <v>0</v>
      </c>
      <c r="AB18" s="1955"/>
      <c r="AC18" s="1946"/>
      <c r="AD18" s="1946"/>
      <c r="AE18" s="1946"/>
      <c r="AF18" s="1946"/>
      <c r="AG18" s="1812">
        <f>SUM('HIV-Other HPs'!$AC18:$AF18)</f>
        <v>0</v>
      </c>
      <c r="AH18" s="1813">
        <f>'HIV-Other HPs'!$AB18*'HIV-Other HPs'!$AG18</f>
        <v>0</v>
      </c>
      <c r="AI18" s="1814">
        <f>'HIV-Other HPs'!$S18+'HIV-Other HPs'!$Z18+'HIV-Other HPs'!$AG18</f>
        <v>0</v>
      </c>
      <c r="AJ18" s="1813">
        <f>'HIV-Other HPs'!$T18+'HIV-Other HPs'!$AA18+'HIV-Other HPs'!$AH18</f>
        <v>0</v>
      </c>
      <c r="AK18" s="1390" t="str">
        <f>IF(A18&lt;&gt;"",IFERROR(INDEX(PMtbl[[WKst]:[Unit of measure*]],MATCH($A$8&amp;$A18&amp;$E18&amp;$I18,INDEX(PMtbl[Sec]&amp;PMtbl[Category]&amp;PMtbl[INN]&amp;PMtbl[Specification],0,),0),7),""),"")</f>
        <v/>
      </c>
      <c r="AL18" s="2050"/>
      <c r="AM18" s="1390" t="str">
        <f>IFERROR(INDEX(SETUP!$C$19:$G$62,MATCH((INDEX(PMtbl[[WKst]:[Unit of measure*]],MATCH($A18&amp;$E18&amp;$I18,INDEX(PMtbl[Category]&amp;PMtbl[INN]&amp;PMtbl[Specification],0,),0),3)),SETUP!$D$19:$D$62,0),5),"")</f>
        <v/>
      </c>
      <c r="AN18" s="1390"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V18" s="198">
        <v>2</v>
      </c>
      <c r="AW18" s="347" t="s">
        <v>1391</v>
      </c>
      <c r="AX18" s="347">
        <f>SUMPRODUCT(($A$49:$A$74="RDTs for STIs, OIs &amp; hepatitis")*($N$49:$N$74)*((O49:O74)))</f>
        <v>0</v>
      </c>
      <c r="AY18" s="347">
        <f>SUMPRODUCT(($A$49:$A$74="RDTs for STIs, OIs &amp; hepatitis")*($N$49:$N$74)*((P49:P74)))</f>
        <v>98138.299999999988</v>
      </c>
      <c r="AZ18" s="347">
        <f>SUMPRODUCT(($A$49:$A$74="RDTs for STIs, OIs &amp; hepatitis")*($N$49:$N$74)*((Q49:Q74)))</f>
        <v>0</v>
      </c>
      <c r="BA18" s="347">
        <f>SUMPRODUCT(($A$49:$A$74="RDTs for STIs, OIs &amp; hepatitis")*($N$49:$N$74)*((R49:R74)))</f>
        <v>0</v>
      </c>
      <c r="BB18" s="347">
        <f>SUMPRODUCT(($A$49:$A$74="RDTs for STIs, OIs &amp; hepatitis")*($U$49:$U$74)*((V49:V74)))</f>
        <v>0</v>
      </c>
      <c r="BC18" s="347">
        <f>SUMPRODUCT(($A$49:$A$74="RDTs for STIs, OIs &amp; hepatitis")*($U$49:$U$74)*((W49:W74)))</f>
        <v>102961.13</v>
      </c>
      <c r="BD18" s="347">
        <f>SUMPRODUCT(($A$49:$A$74="RDTs for STIs, OIs &amp; hepatitis")*($U$49:$U$74)*((X49:X74)))</f>
        <v>0</v>
      </c>
      <c r="BE18" s="347">
        <f>SUMPRODUCT(($A$49:$A$74="RDTs for STIs, OIs &amp; hepatitis")*($U$49:$U$74)*((Y49:Y74)))</f>
        <v>0</v>
      </c>
      <c r="BF18" s="347">
        <f>SUMPRODUCT(($A$49:$A$74="RDTs for STIs, OIs &amp; hepatitis")*($AB$49:$AB$74)*((AC49:AC74)))</f>
        <v>0</v>
      </c>
      <c r="BG18" s="347">
        <f>SUMPRODUCT(($A$49:$A$74="RDTs for STIs, OIs &amp; hepatitis")*($AB$49:$AB$74)*((AD49:AD74)))</f>
        <v>109456.53</v>
      </c>
      <c r="BH18" s="347">
        <f>SUMPRODUCT(($A$49:$A$74="RDTs for STIs, OIs &amp; hepatitis")*($AB$49:$AB$74)*((AE49:AE74)))</f>
        <v>0</v>
      </c>
      <c r="BI18" s="347">
        <f>SUMPRODUCT(($A$49:$A$74="RDTs for STIs, OIs &amp; hepatitis")*($AB$49:$AB$74)*((AF49:AF74)))</f>
        <v>0</v>
      </c>
    </row>
    <row r="19" spans="1:61" s="198" customFormat="1">
      <c r="A19" s="2437"/>
      <c r="B19" s="2331"/>
      <c r="C19" s="2331"/>
      <c r="D19" s="2442"/>
      <c r="E19" s="2440"/>
      <c r="F19" s="2331"/>
      <c r="G19" s="2331"/>
      <c r="H19" s="2331"/>
      <c r="I19" s="2437"/>
      <c r="J19" s="2331"/>
      <c r="K19" s="2453"/>
      <c r="L19" s="200" t="str">
        <f>IF(A19&lt;&gt;"",IFERROR(INDEX(PMtbl[[WKst]:[Unit of measure*]],MATCH($A$8&amp;$A19&amp;$E19&amp;$I19,INDEX(PMtbl[Sec]&amp;PMtbl[Category]&amp;PMtbl[INN]&amp;PMtbl[Specification],0,),0),8),""),"")</f>
        <v/>
      </c>
      <c r="M19" s="1183" t="str">
        <f>IF(L19="", "",SETUP!$E$5)</f>
        <v/>
      </c>
      <c r="N19" s="1947"/>
      <c r="O19" s="12"/>
      <c r="P19" s="12"/>
      <c r="Q19" s="12"/>
      <c r="R19" s="12"/>
      <c r="S19" s="1809">
        <f>SUM('HIV-Other HPs'!$O19:$R19)</f>
        <v>0</v>
      </c>
      <c r="T19" s="1810">
        <f>'HIV-Other HPs'!$N19*'HIV-Other HPs'!$S19</f>
        <v>0</v>
      </c>
      <c r="U19" s="1954"/>
      <c r="V19" s="12"/>
      <c r="W19" s="12"/>
      <c r="X19" s="12"/>
      <c r="Y19" s="12"/>
      <c r="Z19" s="1809">
        <f>SUM('HIV-Other HPs'!$V19:$Y19)</f>
        <v>0</v>
      </c>
      <c r="AA19" s="1810">
        <f>'HIV-Other HPs'!$U19*'HIV-Other HPs'!$Z19</f>
        <v>0</v>
      </c>
      <c r="AB19" s="1954"/>
      <c r="AC19" s="12"/>
      <c r="AD19" s="12"/>
      <c r="AE19" s="12"/>
      <c r="AF19" s="12"/>
      <c r="AG19" s="1809">
        <f>SUM('HIV-Other HPs'!$AC19:$AF19)</f>
        <v>0</v>
      </c>
      <c r="AH19" s="1810">
        <f>'HIV-Other HPs'!$AB19*'HIV-Other HPs'!$AG19</f>
        <v>0</v>
      </c>
      <c r="AI19" s="1811">
        <f>'HIV-Other HPs'!$S19+'HIV-Other HPs'!$Z19+'HIV-Other HPs'!$AG19</f>
        <v>0</v>
      </c>
      <c r="AJ19" s="1810">
        <f>'HIV-Other HPs'!$T19+'HIV-Other HPs'!$AA19+'HIV-Other HPs'!$AH19</f>
        <v>0</v>
      </c>
      <c r="AK19" s="1391" t="str">
        <f>IF(A19&lt;&gt;"",IFERROR(INDEX(PMtbl[[WKst]:[Unit of measure*]],MATCH($A$8&amp;$A19&amp;$E19&amp;$I19,INDEX(PMtbl[Sec]&amp;PMtbl[Category]&amp;PMtbl[INN]&amp;PMtbl[Specification],0,),0),7),""),"")</f>
        <v/>
      </c>
      <c r="AL19" s="2049"/>
      <c r="AM19" s="1391" t="str">
        <f>IFERROR(INDEX(SETUP!$C$19:$G$62,MATCH((INDEX(PMtbl[[WKst]:[Unit of measure*]],MATCH($A19&amp;$E19&amp;$I19,INDEX(PMtbl[Category]&amp;PMtbl[INN]&amp;PMtbl[Specification],0,),0),3)),SETUP!$D$19:$D$62,0),5),"")</f>
        <v/>
      </c>
      <c r="AN19" s="1391"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V19" s="198">
        <v>3</v>
      </c>
      <c r="AW19" s="347" t="s">
        <v>443</v>
      </c>
      <c r="AX19" s="347">
        <f>SUMPRODUCT(($A$83:$A$114="HIV VL/EID Laboratory reagents")*($M$83:$M$114)*((N83:N114)))</f>
        <v>0</v>
      </c>
      <c r="AY19" s="347">
        <f>SUMPRODUCT(($A$83:$A$114="HIV VL/EID Laboratory reagents")*($M$83:$M$114)*((O83:O114)))</f>
        <v>380413.43999999994</v>
      </c>
      <c r="AZ19" s="347">
        <f>SUMPRODUCT(($A$83:$A$114="HIV VL/EID Laboratory reagents")*($M$83:$M$114)*((P83:P114)))</f>
        <v>0</v>
      </c>
      <c r="BA19" s="347">
        <f>SUMPRODUCT(($A$83:$A$114="HIV VL/EID Laboratory reagents")*($M$83:$M$114)*((Q83:Q114)))</f>
        <v>0</v>
      </c>
      <c r="BB19" s="347">
        <f>SUMPRODUCT(($A$83:$A$114="HIV VL/EID Laboratory reagents")*($T$83:$T$114)*((U83:U114)))</f>
        <v>0</v>
      </c>
      <c r="BC19" s="347">
        <f>SUMPRODUCT(($A$83:$A$114="HIV VL/EID Laboratory reagents")*($T$83:$T$114)*((V83:V114)))</f>
        <v>385418.87999999995</v>
      </c>
      <c r="BD19" s="347">
        <f>SUMPRODUCT(($A$83:$A$114="HIV VL/EID Laboratory reagents")*($T$83:$T$114)*((W83:W114)))</f>
        <v>0</v>
      </c>
      <c r="BE19" s="347">
        <f>SUMPRODUCT(($A$83:$A$114="HIV VL/EID Laboratory reagents")*($T$83:$T$114)*((X83:X114)))</f>
        <v>0</v>
      </c>
      <c r="BF19" s="347">
        <f>SUMPRODUCT(($A$83:$A$114="HIV VL/EID Laboratory reagents")*($AA$83:$AA$114)*((AB83:AB114)))</f>
        <v>0</v>
      </c>
      <c r="BG19" s="347">
        <f>SUMPRODUCT(($A$83:$A$114="HIV VL/EID Laboratory reagents")*($AA$83:$AA$114)*((AC83:AC114)))</f>
        <v>387921.6</v>
      </c>
      <c r="BH19" s="347">
        <f>SUMPRODUCT(($A$83:$A$114="HIV VL/EID Laboratory reagents")*($AA$83:$AA$114)*((AD83:AD114)))</f>
        <v>0</v>
      </c>
      <c r="BI19" s="347">
        <f>SUMPRODUCT(($A$83:$A$114="HIV VL/EID Laboratory reagents")*($AA$83:$AA$114)*((AE83:AE114)))</f>
        <v>0</v>
      </c>
    </row>
    <row r="20" spans="1:61" s="198" customFormat="1">
      <c r="A20" s="2414"/>
      <c r="B20" s="2337"/>
      <c r="C20" s="2337"/>
      <c r="D20" s="2441"/>
      <c r="E20" s="2431"/>
      <c r="F20" s="2337"/>
      <c r="G20" s="2337"/>
      <c r="H20" s="2337"/>
      <c r="I20" s="2414"/>
      <c r="J20" s="2337"/>
      <c r="K20" s="2415"/>
      <c r="L20" s="199" t="str">
        <f>IF(A20&lt;&gt;"",IFERROR(INDEX(PMtbl[[WKst]:[Unit of measure*]],MATCH($A$8&amp;$A20&amp;$E20&amp;$I20,INDEX(PMtbl[Sec]&amp;PMtbl[Category]&amp;PMtbl[INN]&amp;PMtbl[Specification],0,),0),8),""),"")</f>
        <v/>
      </c>
      <c r="M20" s="1181" t="str">
        <f>IF(L20="", "",SETUP!$E$5)</f>
        <v/>
      </c>
      <c r="N20" s="1948"/>
      <c r="O20" s="1946"/>
      <c r="P20" s="1946"/>
      <c r="Q20" s="1946"/>
      <c r="R20" s="1946"/>
      <c r="S20" s="1812">
        <f>SUM('HIV-Other HPs'!$O20:$R20)</f>
        <v>0</v>
      </c>
      <c r="T20" s="1813">
        <f>'HIV-Other HPs'!$N20*'HIV-Other HPs'!$S20</f>
        <v>0</v>
      </c>
      <c r="U20" s="1955"/>
      <c r="V20" s="1946"/>
      <c r="W20" s="1946"/>
      <c r="X20" s="1946"/>
      <c r="Y20" s="1946"/>
      <c r="Z20" s="1812">
        <f>SUM('HIV-Other HPs'!$V20:$Y20)</f>
        <v>0</v>
      </c>
      <c r="AA20" s="1813">
        <f>'HIV-Other HPs'!$U20*'HIV-Other HPs'!$Z20</f>
        <v>0</v>
      </c>
      <c r="AB20" s="1955"/>
      <c r="AC20" s="1946"/>
      <c r="AD20" s="1946"/>
      <c r="AE20" s="1946"/>
      <c r="AF20" s="1946"/>
      <c r="AG20" s="1812">
        <f>SUM('HIV-Other HPs'!$AC20:$AF20)</f>
        <v>0</v>
      </c>
      <c r="AH20" s="1813">
        <f>'HIV-Other HPs'!$AB20*'HIV-Other HPs'!$AG20</f>
        <v>0</v>
      </c>
      <c r="AI20" s="1814">
        <f>'HIV-Other HPs'!$S20+'HIV-Other HPs'!$Z20+'HIV-Other HPs'!$AG20</f>
        <v>0</v>
      </c>
      <c r="AJ20" s="1813">
        <f>'HIV-Other HPs'!$T20+'HIV-Other HPs'!$AA20+'HIV-Other HPs'!$AH20</f>
        <v>0</v>
      </c>
      <c r="AK20" s="1390" t="str">
        <f>IF(A20&lt;&gt;"",IFERROR(INDEX(PMtbl[[WKst]:[Unit of measure*]],MATCH($A$8&amp;$A20&amp;$E20&amp;$I20,INDEX(PMtbl[Sec]&amp;PMtbl[Category]&amp;PMtbl[INN]&amp;PMtbl[Specification],0,),0),7),""),"")</f>
        <v/>
      </c>
      <c r="AL20" s="2050"/>
      <c r="AM20" s="1390" t="str">
        <f>IFERROR(INDEX(SETUP!$C$19:$G$62,MATCH((INDEX(PMtbl[[WKst]:[Unit of measure*]],MATCH($A20&amp;$E20&amp;$I20,INDEX(PMtbl[Category]&amp;PMtbl[INN]&amp;PMtbl[Specification],0,),0),3)),SETUP!$D$19:$D$62,0),5),"")</f>
        <v/>
      </c>
      <c r="AN20" s="1390"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V20" s="198">
        <v>4</v>
      </c>
      <c r="AW20" s="347" t="s">
        <v>1392</v>
      </c>
      <c r="AX20" s="347">
        <f>SUMPRODUCT(($A$123:$A$223="Consumables for HIV program")*($M$123:$M$223)*((N123:N223)))+SUMPRODUCT(($A$123:$A$223="Other Laboratory reagents_HIV program")*($M$123:$M$223)*((N123:N223)))+SUMPRODUCT(($A$123:$A$223="HIV Laboratory reagents")*($M$123:$M$223)*((N123:N223)))+SUMPRODUCT(($A$123:$A$223="Waste management for HIV: Reagents &amp; Consumables")*($M$123:$M$223)*((N123:N223)))</f>
        <v>0</v>
      </c>
      <c r="AY20" s="347">
        <f>SUMPRODUCT(($A$123:$A$223="Consumables for HIV program")*($M$123:$M$223)*((O123:O223)))+SUMPRODUCT(($A$123:$A$223="Other Laboratory reagents_HIV program")*($M$123:$M$223)*((O123:O223)))+SUMPRODUCT(($A$123:$A$223="HIV Laboratory reagents")*($M$123:$M$223)*((O123:O223)))+SUMPRODUCT(($A$123:$A$223="Waste management for HIV: Reagents &amp; Consumables")*($M$123:$M$223)*((O123:O223)))</f>
        <v>0</v>
      </c>
      <c r="AZ20" s="347">
        <f>SUMPRODUCT(($A$123:$A$223="Consumables for HIV program")*($M$123:$M$223)*((P123:P223)))+SUMPRODUCT(($A$123:$A$223="Other Laboratory reagents_HIV program")*($M$123:$M$223)*((P123:P223)))+SUMPRODUCT(($A$123:$A$223="HIV Laboratory reagents")*($M$123:$M$223)*((P123:P223)))+SUMPRODUCT(($A$123:$A$223="Waste management for HIV: Reagents &amp; Consumables")*($M$123:$M$223)*((P123:P223)))</f>
        <v>1322345</v>
      </c>
      <c r="BA20" s="347">
        <f>SUMPRODUCT(($A$123:$A$223="Consumables for HIV program")*($M$123:$M$223)*((Q123:Q223)))+SUMPRODUCT(($A$123:$A$223="Other Laboratory reagents_HIV program")*($M$123:$M$223)*((Q123:Q223)))+SUMPRODUCT(($A$123:$A$223="HIV Laboratory reagents")*($M$123:$M$223)*((Q123:Q223)))+SUMPRODUCT(($A$123:$A$223="Waste management for HIV: Reagents &amp; Consumables")*($M$123:$M$223)*((Q123:Q223)))</f>
        <v>0</v>
      </c>
      <c r="BB20" s="347">
        <f>SUMPRODUCT(($A$123:$A$223="Consumables for HIV program")*($T$123:$T$223)*((U123:U223)))+SUMPRODUCT(($A$123:$A$223="Other Laboratory reagents_HIV program")*($T$123:$T$223)*((U123:U223)))+SUMPRODUCT(($A$123:$A$223="HIV Laboratory reagents")*($T$123:$T$223)*((U123:U223)))+SUMPRODUCT(($A$123:$A$223="Waste management for HIV: Reagents &amp; Consumables")*($T$123:$T$223)*((U123:U223)))</f>
        <v>0</v>
      </c>
      <c r="BC20" s="347">
        <f>SUMPRODUCT(($A$123:$A$223="Consumables for HIV program")*($T$123:$T$223)*((V123:V223)))+SUMPRODUCT(($A$123:$A$223="Other Laboratory reagents_HIV program")*($T$123:$T$223)*((V123:V223)))+SUMPRODUCT(($A$123:$A$223="HIV Laboratory reagents")*($T$123:$T$223)*((V123:V223)))+SUMPRODUCT(($A$123:$A$223="Waste management for HIV: Reagents &amp; Consumables")*($T$123:$T$223)*((V123:V223)))</f>
        <v>1446550.5</v>
      </c>
      <c r="BD20" s="347">
        <f>SUMPRODUCT(($A$123:$A$223="Consumables for HIV program")*($T$123:$T$223)*((W123:W223)))+SUMPRODUCT(($A$123:$A$223="Other Laboratory reagents_HIV program")*($T$123:$T$223)*((W123:W223)))+SUMPRODUCT(($A$123:$A$223="HIV Laboratory reagents")*($T$123:$T$223)*((W123:W223)))+SUMPRODUCT(($A$123:$A$223="Waste management for HIV: Reagents &amp; Consumables")*($T$123:$T$223)*((W123:W223)))</f>
        <v>0</v>
      </c>
      <c r="BE20" s="347">
        <f>SUMPRODUCT(($A$123:$A$223="Consumables for HIV program")*($T$123:$T$223)*((X123:X223)))+SUMPRODUCT(($A$123:$A$223="Other Laboratory reagents_HIV program")*($T$123:$T$223)*((X123:X223)))+SUMPRODUCT(($A$123:$A$223="HIV Laboratory reagents")*($T$123:$T$223)*((X123:X223)))+SUMPRODUCT(($A$123:$A$223="Waste management for HIV: Reagents &amp; Consumables")*($T$123:$T$223)*((X123:X223)))</f>
        <v>0</v>
      </c>
      <c r="BF20" s="347">
        <f>SUMPRODUCT(($A$123:$A$223="Consumables for HIV program")*($AA$123:$AA$223)*((AB123:AB223)))+SUMPRODUCT(($A$123:$A$223="Other Laboratory reagents_HIV program")*($AA$123:$AA$223)*((AB123:AB223)))+SUMPRODUCT(($A$123:$A$223="HIV Laboratory reagents")*($AA$123:$AA$223)*((AB123:AB223)))+SUMPRODUCT(($A$123:$A$223="Waste management for HIV: Reagents &amp; Consumables")*($AA$123:$AA$223)*((AB123:AB223)))</f>
        <v>0</v>
      </c>
      <c r="BG20" s="347">
        <f>SUMPRODUCT(($A$123:$A$223="Consumables for HIV program")*($AA$123:$AA$223)*((AC123:AC223)))+SUMPRODUCT(($A$123:$A$223="Other Laboratory reagents_HIV program")*($AA$123:$AA$223)*((AC123:AC223)))+SUMPRODUCT(($A$123:$A$223="HIV Laboratory reagents")*($AA$123:$AA$223)*((AC123:AC223)))+SUMPRODUCT(($A$123:$A$223="Waste management for HIV: Reagents &amp; Consumables")*($AA$123:$AA$223)*((AC123:AC223)))</f>
        <v>1592935</v>
      </c>
      <c r="BH20" s="347">
        <f>SUMPRODUCT(($A$123:$A$223="Consumables for HIV program")*($AA$123:$AA$223)*((AD123:AD223)))+SUMPRODUCT(($A$123:$A$223="Other Laboratory reagents_HIV program")*($AA$123:$AA$223)*((AD123:AD223)))+SUMPRODUCT(($A$123:$A$223="HIV Laboratory reagents")*($AA$123:$AA$223)*((AD123:AD223)))+SUMPRODUCT(($A$123:$A$223="Waste management for HIV: Reagents &amp; Consumables")*($AA$123:$AA$223)*((AD123:AD223)))</f>
        <v>0</v>
      </c>
      <c r="BI20" s="347">
        <f>SUMPRODUCT(($A$123:$A$223="Consumables for HIV program")*($AA$123:$AA$223)*((AE123:AE223)))+SUMPRODUCT(($A$123:$A$223="Other Laboratory reagents_HIV program")*($AA$123:$AA$223)*((AE123:AE223)))+SUMPRODUCT(($A$123:$A$223="HIV Laboratory reagents")*($AA$123:$AA$223)*((AE123:AE223)))+SUMPRODUCT(($A$123:$A$223="Waste management for HIV: Reagents &amp; Consumables")*($AA$123:$AA$223)*((AE123:AE223)))</f>
        <v>0</v>
      </c>
    </row>
    <row r="21" spans="1:61" s="198" customFormat="1">
      <c r="A21" s="2437"/>
      <c r="B21" s="2331"/>
      <c r="C21" s="2331"/>
      <c r="D21" s="2442"/>
      <c r="E21" s="2440"/>
      <c r="F21" s="2331"/>
      <c r="G21" s="2331"/>
      <c r="H21" s="2331"/>
      <c r="I21" s="2437"/>
      <c r="J21" s="2331"/>
      <c r="K21" s="2453"/>
      <c r="L21" s="200" t="str">
        <f>IF(A21&lt;&gt;"",IFERROR(INDEX(PMtbl[[WKst]:[Unit of measure*]],MATCH($A$8&amp;$A21&amp;$E21&amp;$I21,INDEX(PMtbl[Sec]&amp;PMtbl[Category]&amp;PMtbl[INN]&amp;PMtbl[Specification],0,),0),8),""),"")</f>
        <v/>
      </c>
      <c r="M21" s="1183" t="str">
        <f>IF(L21="", "",SETUP!$E$5)</f>
        <v/>
      </c>
      <c r="N21" s="1947"/>
      <c r="O21" s="12"/>
      <c r="P21" s="12"/>
      <c r="Q21" s="12"/>
      <c r="R21" s="12"/>
      <c r="S21" s="1809">
        <f>SUM('HIV-Other HPs'!$O21:$R21)</f>
        <v>0</v>
      </c>
      <c r="T21" s="1810">
        <f>'HIV-Other HPs'!$N21*'HIV-Other HPs'!$S21</f>
        <v>0</v>
      </c>
      <c r="U21" s="1954"/>
      <c r="V21" s="12"/>
      <c r="W21" s="12"/>
      <c r="X21" s="12"/>
      <c r="Y21" s="12"/>
      <c r="Z21" s="1809">
        <f>SUM('HIV-Other HPs'!$V21:$Y21)</f>
        <v>0</v>
      </c>
      <c r="AA21" s="1810">
        <f>'HIV-Other HPs'!$U21*'HIV-Other HPs'!$Z21</f>
        <v>0</v>
      </c>
      <c r="AB21" s="1954"/>
      <c r="AC21" s="12"/>
      <c r="AD21" s="12"/>
      <c r="AE21" s="12"/>
      <c r="AF21" s="12"/>
      <c r="AG21" s="1809">
        <f>SUM('HIV-Other HPs'!$AC21:$AF21)</f>
        <v>0</v>
      </c>
      <c r="AH21" s="1810">
        <f>'HIV-Other HPs'!$AB21*'HIV-Other HPs'!$AG21</f>
        <v>0</v>
      </c>
      <c r="AI21" s="1811">
        <f>'HIV-Other HPs'!$S21+'HIV-Other HPs'!$Z21+'HIV-Other HPs'!$AG21</f>
        <v>0</v>
      </c>
      <c r="AJ21" s="1810">
        <f>'HIV-Other HPs'!$T21+'HIV-Other HPs'!$AA21+'HIV-Other HPs'!$AH21</f>
        <v>0</v>
      </c>
      <c r="AK21" s="1391" t="str">
        <f>IF(A21&lt;&gt;"",IFERROR(INDEX(PMtbl[[WKst]:[Unit of measure*]],MATCH($A$8&amp;$A21&amp;$E21&amp;$I21,INDEX(PMtbl[Sec]&amp;PMtbl[Category]&amp;PMtbl[INN]&amp;PMtbl[Specification],0,),0),7),""),"")</f>
        <v/>
      </c>
      <c r="AL21" s="2049"/>
      <c r="AM21" s="1391" t="str">
        <f>IFERROR(INDEX(SETUP!$C$19:$G$62,MATCH((INDEX(PMtbl[[WKst]:[Unit of measure*]],MATCH($A21&amp;$E21&amp;$I21,INDEX(PMtbl[Category]&amp;PMtbl[INN]&amp;PMtbl[Specification],0,),0),3)),SETUP!$D$19:$D$62,0),5),"")</f>
        <v/>
      </c>
      <c r="AN21" s="1391"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477">
        <f>SUM(AX14:AX20)</f>
        <v>0</v>
      </c>
      <c r="AY21" s="1477">
        <f t="shared" ref="AY21:BI21" si="0">SUM(AY14:AY20)</f>
        <v>628814.43999999994</v>
      </c>
      <c r="AZ21" s="1477">
        <f t="shared" si="0"/>
        <v>1322345</v>
      </c>
      <c r="BA21" s="1477">
        <f t="shared" si="0"/>
        <v>0</v>
      </c>
      <c r="BB21" s="1477">
        <f t="shared" si="0"/>
        <v>0</v>
      </c>
      <c r="BC21" s="1477">
        <f t="shared" si="0"/>
        <v>2091279.41</v>
      </c>
      <c r="BD21" s="1477">
        <f t="shared" si="0"/>
        <v>0</v>
      </c>
      <c r="BE21" s="1477">
        <f t="shared" si="0"/>
        <v>0</v>
      </c>
      <c r="BF21" s="1477">
        <f t="shared" si="0"/>
        <v>0</v>
      </c>
      <c r="BG21" s="1477">
        <f t="shared" si="0"/>
        <v>2256912.33</v>
      </c>
      <c r="BH21" s="1477">
        <f t="shared" si="0"/>
        <v>0</v>
      </c>
      <c r="BI21" s="1477">
        <f t="shared" si="0"/>
        <v>0</v>
      </c>
    </row>
    <row r="22" spans="1:61" s="198" customFormat="1">
      <c r="A22" s="2414"/>
      <c r="B22" s="2337"/>
      <c r="C22" s="2337"/>
      <c r="D22" s="2337"/>
      <c r="E22" s="2431"/>
      <c r="F22" s="2337"/>
      <c r="G22" s="2337"/>
      <c r="H22" s="2337"/>
      <c r="I22" s="2414"/>
      <c r="J22" s="2337"/>
      <c r="K22" s="2415"/>
      <c r="L22" s="199" t="str">
        <f>IF(A22&lt;&gt;"",IFERROR(INDEX(PMtbl[[WKst]:[Unit of measure*]],MATCH($A$8&amp;$A22&amp;$E22&amp;$I22,INDEX(PMtbl[Sec]&amp;PMtbl[Category]&amp;PMtbl[INN]&amp;PMtbl[Specification],0,),0),8),""),"")</f>
        <v/>
      </c>
      <c r="M22" s="1181" t="str">
        <f>IF(L22="", "",SETUP!$E$5)</f>
        <v/>
      </c>
      <c r="N22" s="1948"/>
      <c r="O22" s="1946"/>
      <c r="P22" s="1946"/>
      <c r="Q22" s="1946"/>
      <c r="R22" s="1946"/>
      <c r="S22" s="1812">
        <f>SUM('HIV-Other HPs'!$O22:$R22)</f>
        <v>0</v>
      </c>
      <c r="T22" s="1813">
        <f>'HIV-Other HPs'!$N22*'HIV-Other HPs'!$S22</f>
        <v>0</v>
      </c>
      <c r="U22" s="1955"/>
      <c r="V22" s="1946"/>
      <c r="W22" s="1946"/>
      <c r="X22" s="1946"/>
      <c r="Y22" s="1946"/>
      <c r="Z22" s="1812">
        <f>SUM('HIV-Other HPs'!$V22:$Y22)</f>
        <v>0</v>
      </c>
      <c r="AA22" s="1813">
        <f>'HIV-Other HPs'!$U22*'HIV-Other HPs'!$Z22</f>
        <v>0</v>
      </c>
      <c r="AB22" s="1955"/>
      <c r="AC22" s="1946"/>
      <c r="AD22" s="1946"/>
      <c r="AE22" s="1946"/>
      <c r="AF22" s="1946"/>
      <c r="AG22" s="1812">
        <f>SUM('HIV-Other HPs'!$AC22:$AF22)</f>
        <v>0</v>
      </c>
      <c r="AH22" s="1813">
        <f>'HIV-Other HPs'!$AB22*'HIV-Other HPs'!$AG22</f>
        <v>0</v>
      </c>
      <c r="AI22" s="1814">
        <f>'HIV-Other HPs'!$S22+'HIV-Other HPs'!$Z22+'HIV-Other HPs'!$AG22</f>
        <v>0</v>
      </c>
      <c r="AJ22" s="1813">
        <f>'HIV-Other HPs'!$T22+'HIV-Other HPs'!$AA22+'HIV-Other HPs'!$AH22</f>
        <v>0</v>
      </c>
      <c r="AK22" s="1390" t="str">
        <f>IF(A22&lt;&gt;"",IFERROR(INDEX(PMtbl[[WKst]:[Unit of measure*]],MATCH($A$8&amp;$A22&amp;$E22&amp;$I22,INDEX(PMtbl[Sec]&amp;PMtbl[Category]&amp;PMtbl[INN]&amp;PMtbl[Specification],0,),0),7),""),"")</f>
        <v/>
      </c>
      <c r="AL22" s="2050"/>
      <c r="AM22" s="1390" t="str">
        <f>IFERROR(INDEX(SETUP!$C$19:$G$62,MATCH((INDEX(PMtbl[[WKst]:[Unit of measure*]],MATCH($A22&amp;$E22&amp;$I22,INDEX(PMtbl[Category]&amp;PMtbl[INN]&amp;PMtbl[Specification],0,),0),3)),SETUP!$D$19:$D$62,0),5),"")</f>
        <v/>
      </c>
      <c r="AN22" s="1390"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row>
    <row r="23" spans="1:61" s="198" customFormat="1" hidden="1">
      <c r="A23" s="2437"/>
      <c r="B23" s="2331"/>
      <c r="C23" s="2331"/>
      <c r="D23" s="2331"/>
      <c r="E23" s="2440"/>
      <c r="F23" s="2331"/>
      <c r="G23" s="2331"/>
      <c r="H23" s="2331"/>
      <c r="I23" s="2437"/>
      <c r="J23" s="2331"/>
      <c r="K23" s="2453"/>
      <c r="L23" s="200" t="str">
        <f>IF(A23&lt;&gt;"",IFERROR(INDEX(PMtbl[[WKst]:[Unit of measure*]],MATCH($A$8&amp;$A23&amp;$E23&amp;$I23,INDEX(PMtbl[Sec]&amp;PMtbl[Category]&amp;PMtbl[INN]&amp;PMtbl[Specification],0,),0),8),""),"")</f>
        <v/>
      </c>
      <c r="M23" s="1183" t="str">
        <f>IF(L23="", "",SETUP!$E$5)</f>
        <v/>
      </c>
      <c r="N23" s="1947"/>
      <c r="O23" s="12"/>
      <c r="P23" s="12"/>
      <c r="Q23" s="12"/>
      <c r="R23" s="12"/>
      <c r="S23" s="1809">
        <f>SUM('HIV-Other HPs'!$O23:$R23)</f>
        <v>0</v>
      </c>
      <c r="T23" s="1810">
        <f>'HIV-Other HPs'!$N23*'HIV-Other HPs'!$S23</f>
        <v>0</v>
      </c>
      <c r="U23" s="1954"/>
      <c r="V23" s="12"/>
      <c r="W23" s="12"/>
      <c r="X23" s="12"/>
      <c r="Y23" s="12"/>
      <c r="Z23" s="1809">
        <f>SUM('HIV-Other HPs'!$V23:$Y23)</f>
        <v>0</v>
      </c>
      <c r="AA23" s="1810">
        <f>'HIV-Other HPs'!$U23*'HIV-Other HPs'!$Z23</f>
        <v>0</v>
      </c>
      <c r="AB23" s="1954"/>
      <c r="AC23" s="12"/>
      <c r="AD23" s="12"/>
      <c r="AE23" s="12"/>
      <c r="AF23" s="12"/>
      <c r="AG23" s="1809">
        <f>SUM('HIV-Other HPs'!$AC23:$AF23)</f>
        <v>0</v>
      </c>
      <c r="AH23" s="1810">
        <f>'HIV-Other HPs'!$AB23*'HIV-Other HPs'!$AG23</f>
        <v>0</v>
      </c>
      <c r="AI23" s="1811">
        <f>'HIV-Other HPs'!$S23+'HIV-Other HPs'!$Z23+'HIV-Other HPs'!$AG23</f>
        <v>0</v>
      </c>
      <c r="AJ23" s="1810">
        <f>'HIV-Other HPs'!$T23+'HIV-Other HPs'!$AA23+'HIV-Other HPs'!$AH23</f>
        <v>0</v>
      </c>
      <c r="AK23" s="1391" t="str">
        <f>IF(A23&lt;&gt;"",IFERROR(INDEX(PMtbl[[WKst]:[Unit of measure*]],MATCH($A$8&amp;$A23&amp;$E23&amp;$I23,INDEX(PMtbl[Sec]&amp;PMtbl[Category]&amp;PMtbl[INN]&amp;PMtbl[Specification],0,),0),7),""),"")</f>
        <v/>
      </c>
      <c r="AL23" s="2049"/>
      <c r="AM23" s="1391" t="str">
        <f>IFERROR(INDEX(SETUP!$C$19:$G$62,MATCH((INDEX(PMtbl[[WKst]:[Unit of measure*]],MATCH($A23&amp;$E23&amp;$I23,INDEX(PMtbl[Category]&amp;PMtbl[INN]&amp;PMtbl[Specification],0,),0),3)),SETUP!$D$19:$D$62,0),5),"")</f>
        <v/>
      </c>
      <c r="AN23" s="1391"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row>
    <row r="24" spans="1:61" s="198" customFormat="1" hidden="1">
      <c r="A24" s="2414"/>
      <c r="B24" s="2337"/>
      <c r="C24" s="2337"/>
      <c r="D24" s="2337"/>
      <c r="E24" s="2431"/>
      <c r="F24" s="2337"/>
      <c r="G24" s="2337"/>
      <c r="H24" s="2337"/>
      <c r="I24" s="2414"/>
      <c r="J24" s="2337"/>
      <c r="K24" s="2415"/>
      <c r="L24" s="199" t="str">
        <f>IF(A24&lt;&gt;"",IFERROR(INDEX(PMtbl[[WKst]:[Unit of measure*]],MATCH($A$8&amp;$A24&amp;$E24&amp;$I24,INDEX(PMtbl[Sec]&amp;PMtbl[Category]&amp;PMtbl[INN]&amp;PMtbl[Specification],0,),0),8),""),"")</f>
        <v/>
      </c>
      <c r="M24" s="1181" t="str">
        <f>IF(L24="", "",SETUP!$E$5)</f>
        <v/>
      </c>
      <c r="N24" s="1948"/>
      <c r="O24" s="1946"/>
      <c r="P24" s="1946"/>
      <c r="Q24" s="1946"/>
      <c r="R24" s="1946"/>
      <c r="S24" s="1812">
        <f>SUM('HIV-Other HPs'!$O24:$R24)</f>
        <v>0</v>
      </c>
      <c r="T24" s="1813">
        <f>'HIV-Other HPs'!$N24*'HIV-Other HPs'!$S24</f>
        <v>0</v>
      </c>
      <c r="U24" s="1955"/>
      <c r="V24" s="1946"/>
      <c r="W24" s="1946"/>
      <c r="X24" s="1946"/>
      <c r="Y24" s="1946"/>
      <c r="Z24" s="1812">
        <f>SUM('HIV-Other HPs'!$V24:$Y24)</f>
        <v>0</v>
      </c>
      <c r="AA24" s="1813">
        <f>'HIV-Other HPs'!$U24*'HIV-Other HPs'!$Z24</f>
        <v>0</v>
      </c>
      <c r="AB24" s="1955"/>
      <c r="AC24" s="1946"/>
      <c r="AD24" s="1946"/>
      <c r="AE24" s="1946"/>
      <c r="AF24" s="1946"/>
      <c r="AG24" s="1812">
        <f>SUM('HIV-Other HPs'!$AC24:$AF24)</f>
        <v>0</v>
      </c>
      <c r="AH24" s="1813">
        <f>'HIV-Other HPs'!$AB24*'HIV-Other HPs'!$AG24</f>
        <v>0</v>
      </c>
      <c r="AI24" s="1814">
        <f>'HIV-Other HPs'!$S24+'HIV-Other HPs'!$Z24+'HIV-Other HPs'!$AG24</f>
        <v>0</v>
      </c>
      <c r="AJ24" s="1813">
        <f>'HIV-Other HPs'!$T24+'HIV-Other HPs'!$AA24+'HIV-Other HPs'!$AH24</f>
        <v>0</v>
      </c>
      <c r="AK24" s="1390" t="str">
        <f>IF(A24&lt;&gt;"",IFERROR(INDEX(PMtbl[[WKst]:[Unit of measure*]],MATCH($A$8&amp;$A24&amp;$E24&amp;$I24,INDEX(PMtbl[Sec]&amp;PMtbl[Category]&amp;PMtbl[INN]&amp;PMtbl[Specification],0,),0),7),""),"")</f>
        <v/>
      </c>
      <c r="AL24" s="2050"/>
      <c r="AM24" s="1390" t="str">
        <f>IFERROR(INDEX(SETUP!$C$19:$G$62,MATCH((INDEX(PMtbl[[WKst]:[Unit of measure*]],MATCH($A24&amp;$E24&amp;$I24,INDEX(PMtbl[Category]&amp;PMtbl[INN]&amp;PMtbl[Specification],0,),0),3)),SETUP!$D$19:$D$62,0),5),"")</f>
        <v/>
      </c>
      <c r="AN24" s="1390"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row>
    <row r="25" spans="1:61" s="198" customFormat="1" hidden="1">
      <c r="A25" s="2437"/>
      <c r="B25" s="2331"/>
      <c r="C25" s="2331"/>
      <c r="D25" s="2331"/>
      <c r="E25" s="2440"/>
      <c r="F25" s="2331"/>
      <c r="G25" s="2331"/>
      <c r="H25" s="2331"/>
      <c r="I25" s="2437"/>
      <c r="J25" s="2331"/>
      <c r="K25" s="2453"/>
      <c r="L25" s="200" t="str">
        <f>IF(A25&lt;&gt;"",IFERROR(INDEX(PMtbl[[WKst]:[Unit of measure*]],MATCH($A$8&amp;$A25&amp;$E25&amp;$I25,INDEX(PMtbl[Sec]&amp;PMtbl[Category]&amp;PMtbl[INN]&amp;PMtbl[Specification],0,),0),8),""),"")</f>
        <v/>
      </c>
      <c r="M25" s="1183" t="str">
        <f>IF(L25="", "",SETUP!$E$5)</f>
        <v/>
      </c>
      <c r="N25" s="1947"/>
      <c r="O25" s="12"/>
      <c r="P25" s="12"/>
      <c r="Q25" s="12"/>
      <c r="R25" s="12"/>
      <c r="S25" s="1809">
        <f>SUM('HIV-Other HPs'!$O25:$R25)</f>
        <v>0</v>
      </c>
      <c r="T25" s="1810">
        <f>'HIV-Other HPs'!$N25*'HIV-Other HPs'!$S25</f>
        <v>0</v>
      </c>
      <c r="U25" s="1954"/>
      <c r="V25" s="12"/>
      <c r="W25" s="12"/>
      <c r="X25" s="12"/>
      <c r="Y25" s="12"/>
      <c r="Z25" s="1809">
        <f>SUM('HIV-Other HPs'!$V25:$Y25)</f>
        <v>0</v>
      </c>
      <c r="AA25" s="1810">
        <f>'HIV-Other HPs'!$U25*'HIV-Other HPs'!$Z25</f>
        <v>0</v>
      </c>
      <c r="AB25" s="1954"/>
      <c r="AC25" s="12"/>
      <c r="AD25" s="12"/>
      <c r="AE25" s="12"/>
      <c r="AF25" s="12"/>
      <c r="AG25" s="1809">
        <f>SUM('HIV-Other HPs'!$AC25:$AF25)</f>
        <v>0</v>
      </c>
      <c r="AH25" s="1810">
        <f>'HIV-Other HPs'!$AB25*'HIV-Other HPs'!$AG25</f>
        <v>0</v>
      </c>
      <c r="AI25" s="1811">
        <f>'HIV-Other HPs'!$S25+'HIV-Other HPs'!$Z25+'HIV-Other HPs'!$AG25</f>
        <v>0</v>
      </c>
      <c r="AJ25" s="1810">
        <f>'HIV-Other HPs'!$T25+'HIV-Other HPs'!$AA25+'HIV-Other HPs'!$AH25</f>
        <v>0</v>
      </c>
      <c r="AK25" s="1391" t="str">
        <f>IF(A25&lt;&gt;"",IFERROR(INDEX(PMtbl[[WKst]:[Unit of measure*]],MATCH($A$8&amp;$A25&amp;$E25&amp;$I25,INDEX(PMtbl[Sec]&amp;PMtbl[Category]&amp;PMtbl[INN]&amp;PMtbl[Specification],0,),0),7),""),"")</f>
        <v/>
      </c>
      <c r="AL25" s="2049"/>
      <c r="AM25" s="1391" t="str">
        <f>IFERROR(INDEX(SETUP!$C$19:$G$62,MATCH((INDEX(PMtbl[[WKst]:[Unit of measure*]],MATCH($A25&amp;$E25&amp;$I25,INDEX(PMtbl[Category]&amp;PMtbl[INN]&amp;PMtbl[Specification],0,),0),3)),SETUP!$D$19:$D$62,0),5),"")</f>
        <v/>
      </c>
      <c r="AN25" s="1391"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row>
    <row r="26" spans="1:61" s="198" customFormat="1" hidden="1">
      <c r="A26" s="2414"/>
      <c r="B26" s="2337"/>
      <c r="C26" s="2337"/>
      <c r="D26" s="2337"/>
      <c r="E26" s="2431"/>
      <c r="F26" s="2337"/>
      <c r="G26" s="2337"/>
      <c r="H26" s="2337"/>
      <c r="I26" s="2414"/>
      <c r="J26" s="2337"/>
      <c r="K26" s="2415"/>
      <c r="L26" s="199" t="str">
        <f>IF(A26&lt;&gt;"",IFERROR(INDEX(PMtbl[[WKst]:[Unit of measure*]],MATCH($A$8&amp;$A26&amp;$E26&amp;$I26,INDEX(PMtbl[Sec]&amp;PMtbl[Category]&amp;PMtbl[INN]&amp;PMtbl[Specification],0,),0),8),""),"")</f>
        <v/>
      </c>
      <c r="M26" s="1181" t="str">
        <f>IF(L26="", "",SETUP!$E$5)</f>
        <v/>
      </c>
      <c r="N26" s="1948"/>
      <c r="O26" s="1946"/>
      <c r="P26" s="1946"/>
      <c r="Q26" s="1946"/>
      <c r="R26" s="1946"/>
      <c r="S26" s="1812">
        <f>SUM('HIV-Other HPs'!$O26:$R26)</f>
        <v>0</v>
      </c>
      <c r="T26" s="1813">
        <f>'HIV-Other HPs'!$N26*'HIV-Other HPs'!$S26</f>
        <v>0</v>
      </c>
      <c r="U26" s="1955"/>
      <c r="V26" s="1946"/>
      <c r="W26" s="1946"/>
      <c r="X26" s="1946"/>
      <c r="Y26" s="1946"/>
      <c r="Z26" s="1812">
        <f>SUM('HIV-Other HPs'!$V26:$Y26)</f>
        <v>0</v>
      </c>
      <c r="AA26" s="1813">
        <f>'HIV-Other HPs'!$U26*'HIV-Other HPs'!$Z26</f>
        <v>0</v>
      </c>
      <c r="AB26" s="1955"/>
      <c r="AC26" s="1946"/>
      <c r="AD26" s="1946"/>
      <c r="AE26" s="1946"/>
      <c r="AF26" s="1946"/>
      <c r="AG26" s="1812">
        <f>SUM('HIV-Other HPs'!$AC26:$AF26)</f>
        <v>0</v>
      </c>
      <c r="AH26" s="1813">
        <f>'HIV-Other HPs'!$AB26*'HIV-Other HPs'!$AG26</f>
        <v>0</v>
      </c>
      <c r="AI26" s="1814">
        <f>'HIV-Other HPs'!$S26+'HIV-Other HPs'!$Z26+'HIV-Other HPs'!$AG26</f>
        <v>0</v>
      </c>
      <c r="AJ26" s="1813">
        <f>'HIV-Other HPs'!$T26+'HIV-Other HPs'!$AA26+'HIV-Other HPs'!$AH26</f>
        <v>0</v>
      </c>
      <c r="AK26" s="1390" t="str">
        <f>IF(A26&lt;&gt;"",IFERROR(INDEX(PMtbl[[WKst]:[Unit of measure*]],MATCH($A$8&amp;$A26&amp;$E26&amp;$I26,INDEX(PMtbl[Sec]&amp;PMtbl[Category]&amp;PMtbl[INN]&amp;PMtbl[Specification],0,),0),7),""),"")</f>
        <v/>
      </c>
      <c r="AL26" s="2050"/>
      <c r="AM26" s="1390" t="str">
        <f>IFERROR(INDEX(SETUP!$C$19:$G$62,MATCH((INDEX(PMtbl[[WKst]:[Unit of measure*]],MATCH($A26&amp;$E26&amp;$I26,INDEX(PMtbl[Category]&amp;PMtbl[INN]&amp;PMtbl[Specification],0,),0),3)),SETUP!$D$19:$D$62,0),5),"")</f>
        <v/>
      </c>
      <c r="AN26" s="1390"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row>
    <row r="27" spans="1:61" s="198" customFormat="1" hidden="1">
      <c r="A27" s="2437"/>
      <c r="B27" s="2331"/>
      <c r="C27" s="2331"/>
      <c r="D27" s="2331"/>
      <c r="E27" s="2440"/>
      <c r="F27" s="2331"/>
      <c r="G27" s="2331"/>
      <c r="H27" s="2331"/>
      <c r="I27" s="2437"/>
      <c r="J27" s="2331"/>
      <c r="K27" s="2453"/>
      <c r="L27" s="200" t="str">
        <f>IF(A27&lt;&gt;"",IFERROR(INDEX(PMtbl[[WKst]:[Unit of measure*]],MATCH($A$8&amp;$A27&amp;$E27&amp;$I27,INDEX(PMtbl[Sec]&amp;PMtbl[Category]&amp;PMtbl[INN]&amp;PMtbl[Specification],0,),0),8),""),"")</f>
        <v/>
      </c>
      <c r="M27" s="1183" t="str">
        <f>IF(L27="", "",SETUP!$E$5)</f>
        <v/>
      </c>
      <c r="N27" s="1947"/>
      <c r="O27" s="12"/>
      <c r="P27" s="12"/>
      <c r="Q27" s="12"/>
      <c r="R27" s="12"/>
      <c r="S27" s="1809">
        <f>SUM('HIV-Other HPs'!$O27:$R27)</f>
        <v>0</v>
      </c>
      <c r="T27" s="1810">
        <f>'HIV-Other HPs'!$N27*'HIV-Other HPs'!$S27</f>
        <v>0</v>
      </c>
      <c r="U27" s="1954"/>
      <c r="V27" s="12"/>
      <c r="W27" s="12"/>
      <c r="X27" s="12"/>
      <c r="Y27" s="12"/>
      <c r="Z27" s="1809">
        <f>SUM('HIV-Other HPs'!$V27:$Y27)</f>
        <v>0</v>
      </c>
      <c r="AA27" s="1810">
        <f>'HIV-Other HPs'!$U27*'HIV-Other HPs'!$Z27</f>
        <v>0</v>
      </c>
      <c r="AB27" s="1954"/>
      <c r="AC27" s="12"/>
      <c r="AD27" s="12"/>
      <c r="AE27" s="12"/>
      <c r="AF27" s="12"/>
      <c r="AG27" s="1809">
        <f>SUM('HIV-Other HPs'!$AC27:$AF27)</f>
        <v>0</v>
      </c>
      <c r="AH27" s="1810">
        <f>'HIV-Other HPs'!$AB27*'HIV-Other HPs'!$AG27</f>
        <v>0</v>
      </c>
      <c r="AI27" s="1811">
        <f>'HIV-Other HPs'!$S27+'HIV-Other HPs'!$Z27+'HIV-Other HPs'!$AG27</f>
        <v>0</v>
      </c>
      <c r="AJ27" s="1810">
        <f>'HIV-Other HPs'!$T27+'HIV-Other HPs'!$AA27+'HIV-Other HPs'!$AH27</f>
        <v>0</v>
      </c>
      <c r="AK27" s="1391" t="str">
        <f>IF(A27&lt;&gt;"",IFERROR(INDEX(PMtbl[[WKst]:[Unit of measure*]],MATCH($A$8&amp;$A27&amp;$E27&amp;$I27,INDEX(PMtbl[Sec]&amp;PMtbl[Category]&amp;PMtbl[INN]&amp;PMtbl[Specification],0,),0),7),""),"")</f>
        <v/>
      </c>
      <c r="AL27" s="2049"/>
      <c r="AM27" s="1391" t="str">
        <f>IFERROR(INDEX(SETUP!$C$19:$G$62,MATCH((INDEX(PMtbl[[WKst]:[Unit of measure*]],MATCH($A27&amp;$E27&amp;$I27,INDEX(PMtbl[Category]&amp;PMtbl[INN]&amp;PMtbl[Specification],0,),0),3)),SETUP!$D$19:$D$62,0),5),"")</f>
        <v/>
      </c>
      <c r="AN27" s="1391"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row>
    <row r="28" spans="1:61" s="198" customFormat="1" hidden="1">
      <c r="A28" s="2414"/>
      <c r="B28" s="2337"/>
      <c r="C28" s="2337"/>
      <c r="D28" s="2337"/>
      <c r="E28" s="2431"/>
      <c r="F28" s="2337"/>
      <c r="G28" s="2337"/>
      <c r="H28" s="2337"/>
      <c r="I28" s="2414"/>
      <c r="J28" s="2337"/>
      <c r="K28" s="2415"/>
      <c r="L28" s="199" t="str">
        <f>IF(A28&lt;&gt;"",IFERROR(INDEX(PMtbl[[WKst]:[Unit of measure*]],MATCH($A$8&amp;$A28&amp;$E28&amp;$I28,INDEX(PMtbl[Sec]&amp;PMtbl[Category]&amp;PMtbl[INN]&amp;PMtbl[Specification],0,),0),8),""),"")</f>
        <v/>
      </c>
      <c r="M28" s="1181" t="str">
        <f>IF(L28="", "",SETUP!$E$5)</f>
        <v/>
      </c>
      <c r="N28" s="1948"/>
      <c r="O28" s="1946"/>
      <c r="P28" s="1946"/>
      <c r="Q28" s="1946"/>
      <c r="R28" s="1946"/>
      <c r="S28" s="1812">
        <f>SUM('HIV-Other HPs'!$O28:$R28)</f>
        <v>0</v>
      </c>
      <c r="T28" s="1813">
        <f>'HIV-Other HPs'!$N28*'HIV-Other HPs'!$S28</f>
        <v>0</v>
      </c>
      <c r="U28" s="1955"/>
      <c r="V28" s="1946"/>
      <c r="W28" s="1946"/>
      <c r="X28" s="1946"/>
      <c r="Y28" s="1946"/>
      <c r="Z28" s="1812">
        <f>SUM('HIV-Other HPs'!$V28:$Y28)</f>
        <v>0</v>
      </c>
      <c r="AA28" s="1813">
        <f>'HIV-Other HPs'!$U28*'HIV-Other HPs'!$Z28</f>
        <v>0</v>
      </c>
      <c r="AB28" s="1955"/>
      <c r="AC28" s="1946"/>
      <c r="AD28" s="1946"/>
      <c r="AE28" s="1946"/>
      <c r="AF28" s="1946"/>
      <c r="AG28" s="1812">
        <f>SUM('HIV-Other HPs'!$AC28:$AF28)</f>
        <v>0</v>
      </c>
      <c r="AH28" s="1813">
        <f>'HIV-Other HPs'!$AB28*'HIV-Other HPs'!$AG28</f>
        <v>0</v>
      </c>
      <c r="AI28" s="1814">
        <f>'HIV-Other HPs'!$S28+'HIV-Other HPs'!$Z28+'HIV-Other HPs'!$AG28</f>
        <v>0</v>
      </c>
      <c r="AJ28" s="1813">
        <f>'HIV-Other HPs'!$T28+'HIV-Other HPs'!$AA28+'HIV-Other HPs'!$AH28</f>
        <v>0</v>
      </c>
      <c r="AK28" s="1390" t="str">
        <f>IF(A28&lt;&gt;"",IFERROR(INDEX(PMtbl[[WKst]:[Unit of measure*]],MATCH($A$8&amp;$A28&amp;$E28&amp;$I28,INDEX(PMtbl[Sec]&amp;PMtbl[Category]&amp;PMtbl[INN]&amp;PMtbl[Specification],0,),0),7),""),"")</f>
        <v/>
      </c>
      <c r="AL28" s="2050"/>
      <c r="AM28" s="1390" t="str">
        <f>IFERROR(INDEX(SETUP!$C$19:$G$62,MATCH((INDEX(PMtbl[[WKst]:[Unit of measure*]],MATCH($A28&amp;$E28&amp;$I28,INDEX(PMtbl[Category]&amp;PMtbl[INN]&amp;PMtbl[Specification],0,),0),3)),SETUP!$D$19:$D$62,0),5),"")</f>
        <v/>
      </c>
      <c r="AN28" s="1390"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row>
    <row r="29" spans="1:61" s="198" customFormat="1" hidden="1">
      <c r="A29" s="2437"/>
      <c r="B29" s="2331"/>
      <c r="C29" s="2331"/>
      <c r="D29" s="2331"/>
      <c r="E29" s="2440"/>
      <c r="F29" s="2331"/>
      <c r="G29" s="2331"/>
      <c r="H29" s="2331"/>
      <c r="I29" s="2437"/>
      <c r="J29" s="2331"/>
      <c r="K29" s="2453"/>
      <c r="L29" s="200" t="str">
        <f>IF(A29&lt;&gt;"",IFERROR(INDEX(PMtbl[[WKst]:[Unit of measure*]],MATCH($A$8&amp;$A29&amp;$E29&amp;$I29,INDEX(PMtbl[Sec]&amp;PMtbl[Category]&amp;PMtbl[INN]&amp;PMtbl[Specification],0,),0),8),""),"")</f>
        <v/>
      </c>
      <c r="M29" s="1183" t="str">
        <f>IF(L29="", "",SETUP!$E$5)</f>
        <v/>
      </c>
      <c r="N29" s="1947"/>
      <c r="O29" s="12"/>
      <c r="P29" s="12"/>
      <c r="Q29" s="12"/>
      <c r="R29" s="12"/>
      <c r="S29" s="1809">
        <f>SUM('HIV-Other HPs'!$O29:$R29)</f>
        <v>0</v>
      </c>
      <c r="T29" s="1810">
        <f>'HIV-Other HPs'!$N29*'HIV-Other HPs'!$S29</f>
        <v>0</v>
      </c>
      <c r="U29" s="1954"/>
      <c r="V29" s="12"/>
      <c r="W29" s="12"/>
      <c r="X29" s="12"/>
      <c r="Y29" s="12"/>
      <c r="Z29" s="1809">
        <f>SUM('HIV-Other HPs'!$V29:$Y29)</f>
        <v>0</v>
      </c>
      <c r="AA29" s="1810">
        <f>'HIV-Other HPs'!$U29*'HIV-Other HPs'!$Z29</f>
        <v>0</v>
      </c>
      <c r="AB29" s="1954"/>
      <c r="AC29" s="12"/>
      <c r="AD29" s="12"/>
      <c r="AE29" s="12"/>
      <c r="AF29" s="12"/>
      <c r="AG29" s="1809">
        <f>SUM('HIV-Other HPs'!$AC29:$AF29)</f>
        <v>0</v>
      </c>
      <c r="AH29" s="1810">
        <f>'HIV-Other HPs'!$AB29*'HIV-Other HPs'!$AG29</f>
        <v>0</v>
      </c>
      <c r="AI29" s="1811">
        <f>'HIV-Other HPs'!$S29+'HIV-Other HPs'!$Z29+'HIV-Other HPs'!$AG29</f>
        <v>0</v>
      </c>
      <c r="AJ29" s="1810">
        <f>'HIV-Other HPs'!$T29+'HIV-Other HPs'!$AA29+'HIV-Other HPs'!$AH29</f>
        <v>0</v>
      </c>
      <c r="AK29" s="1391" t="str">
        <f>IF(A29&lt;&gt;"",IFERROR(INDEX(PMtbl[[WKst]:[Unit of measure*]],MATCH($A$8&amp;$A29&amp;$E29&amp;$I29,INDEX(PMtbl[Sec]&amp;PMtbl[Category]&amp;PMtbl[INN]&amp;PMtbl[Specification],0,),0),7),""),"")</f>
        <v/>
      </c>
      <c r="AL29" s="2049"/>
      <c r="AM29" s="1391" t="str">
        <f>IFERROR(INDEX(SETUP!$C$19:$G$62,MATCH((INDEX(PMtbl[[WKst]:[Unit of measure*]],MATCH($A29&amp;$E29&amp;$I29,INDEX(PMtbl[Category]&amp;PMtbl[INN]&amp;PMtbl[Specification],0,),0),3)),SETUP!$D$19:$D$62,0),5),"")</f>
        <v/>
      </c>
      <c r="AN29" s="1391"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row>
    <row r="30" spans="1:61" s="198" customFormat="1" hidden="1">
      <c r="A30" s="2414"/>
      <c r="B30" s="2337"/>
      <c r="C30" s="2337"/>
      <c r="D30" s="2337"/>
      <c r="E30" s="2431"/>
      <c r="F30" s="2337"/>
      <c r="G30" s="2337"/>
      <c r="H30" s="2337"/>
      <c r="I30" s="2414"/>
      <c r="J30" s="2337"/>
      <c r="K30" s="2415"/>
      <c r="L30" s="199" t="str">
        <f>IF(A30&lt;&gt;"",IFERROR(INDEX(PMtbl[[WKst]:[Unit of measure*]],MATCH($A$8&amp;$A30&amp;$E30&amp;$I30,INDEX(PMtbl[Sec]&amp;PMtbl[Category]&amp;PMtbl[INN]&amp;PMtbl[Specification],0,),0),8),""),"")</f>
        <v/>
      </c>
      <c r="M30" s="1181" t="str">
        <f>IF(L30="", "",SETUP!$E$5)</f>
        <v/>
      </c>
      <c r="N30" s="1948"/>
      <c r="O30" s="1946"/>
      <c r="P30" s="1946"/>
      <c r="Q30" s="1946"/>
      <c r="R30" s="1946"/>
      <c r="S30" s="1812">
        <f>SUM('HIV-Other HPs'!$O30:$R30)</f>
        <v>0</v>
      </c>
      <c r="T30" s="1813">
        <f>'HIV-Other HPs'!$N30*'HIV-Other HPs'!$S30</f>
        <v>0</v>
      </c>
      <c r="U30" s="1955"/>
      <c r="V30" s="1946"/>
      <c r="W30" s="1946"/>
      <c r="X30" s="1946"/>
      <c r="Y30" s="1946"/>
      <c r="Z30" s="1812">
        <f>SUM('HIV-Other HPs'!$V30:$Y30)</f>
        <v>0</v>
      </c>
      <c r="AA30" s="1813">
        <f>'HIV-Other HPs'!$U30*'HIV-Other HPs'!$Z30</f>
        <v>0</v>
      </c>
      <c r="AB30" s="1955"/>
      <c r="AC30" s="1946"/>
      <c r="AD30" s="1946"/>
      <c r="AE30" s="1946"/>
      <c r="AF30" s="1946"/>
      <c r="AG30" s="1812">
        <f>SUM('HIV-Other HPs'!$AC30:$AF30)</f>
        <v>0</v>
      </c>
      <c r="AH30" s="1813">
        <f>'HIV-Other HPs'!$AB30*'HIV-Other HPs'!$AG30</f>
        <v>0</v>
      </c>
      <c r="AI30" s="1814">
        <f>'HIV-Other HPs'!$S30+'HIV-Other HPs'!$Z30+'HIV-Other HPs'!$AG30</f>
        <v>0</v>
      </c>
      <c r="AJ30" s="1813">
        <f>'HIV-Other HPs'!$T30+'HIV-Other HPs'!$AA30+'HIV-Other HPs'!$AH30</f>
        <v>0</v>
      </c>
      <c r="AK30" s="1390" t="str">
        <f>IF(A30&lt;&gt;"",IFERROR(INDEX(PMtbl[[WKst]:[Unit of measure*]],MATCH($A$8&amp;$A30&amp;$E30&amp;$I30,INDEX(PMtbl[Sec]&amp;PMtbl[Category]&amp;PMtbl[INN]&amp;PMtbl[Specification],0,),0),7),""),"")</f>
        <v/>
      </c>
      <c r="AL30" s="2050"/>
      <c r="AM30" s="1390" t="str">
        <f>IFERROR(INDEX(SETUP!$C$19:$G$62,MATCH((INDEX(PMtbl[[WKst]:[Unit of measure*]],MATCH($A30&amp;$E30&amp;$I30,INDEX(PMtbl[Category]&amp;PMtbl[INN]&amp;PMtbl[Specification],0,),0),3)),SETUP!$D$19:$D$62,0),5),"")</f>
        <v/>
      </c>
      <c r="AN30" s="1390"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1" s="198" customFormat="1" hidden="1">
      <c r="A31" s="2437"/>
      <c r="B31" s="2331"/>
      <c r="C31" s="2331"/>
      <c r="D31" s="2331"/>
      <c r="E31" s="2440"/>
      <c r="F31" s="2331"/>
      <c r="G31" s="2331"/>
      <c r="H31" s="2331"/>
      <c r="I31" s="2437"/>
      <c r="J31" s="2331"/>
      <c r="K31" s="2453"/>
      <c r="L31" s="200" t="str">
        <f>IF(A31&lt;&gt;"",IFERROR(INDEX(PMtbl[[WKst]:[Unit of measure*]],MATCH($A$8&amp;$A31&amp;$E31&amp;$I31,INDEX(PMtbl[Sec]&amp;PMtbl[Category]&amp;PMtbl[INN]&amp;PMtbl[Specification],0,),0),8),""),"")</f>
        <v/>
      </c>
      <c r="M31" s="1183" t="str">
        <f>IF(L31="", "",SETUP!$E$5)</f>
        <v/>
      </c>
      <c r="N31" s="1947"/>
      <c r="O31" s="12"/>
      <c r="P31" s="12"/>
      <c r="Q31" s="12"/>
      <c r="R31" s="12"/>
      <c r="S31" s="1809">
        <f>SUM('HIV-Other HPs'!$O31:$R31)</f>
        <v>0</v>
      </c>
      <c r="T31" s="1810">
        <f>'HIV-Other HPs'!$N31*'HIV-Other HPs'!$S31</f>
        <v>0</v>
      </c>
      <c r="U31" s="1954"/>
      <c r="V31" s="12"/>
      <c r="W31" s="12"/>
      <c r="X31" s="12"/>
      <c r="Y31" s="12"/>
      <c r="Z31" s="1809">
        <f>SUM('HIV-Other HPs'!$V31:$Y31)</f>
        <v>0</v>
      </c>
      <c r="AA31" s="1810">
        <f>'HIV-Other HPs'!$U31*'HIV-Other HPs'!$Z31</f>
        <v>0</v>
      </c>
      <c r="AB31" s="1954"/>
      <c r="AC31" s="12"/>
      <c r="AD31" s="12"/>
      <c r="AE31" s="12"/>
      <c r="AF31" s="12"/>
      <c r="AG31" s="1809">
        <f>SUM('HIV-Other HPs'!$AC31:$AF31)</f>
        <v>0</v>
      </c>
      <c r="AH31" s="1810">
        <f>'HIV-Other HPs'!$AB31*'HIV-Other HPs'!$AG31</f>
        <v>0</v>
      </c>
      <c r="AI31" s="1811">
        <f>'HIV-Other HPs'!$S31+'HIV-Other HPs'!$Z31+'HIV-Other HPs'!$AG31</f>
        <v>0</v>
      </c>
      <c r="AJ31" s="1810">
        <f>'HIV-Other HPs'!$T31+'HIV-Other HPs'!$AA31+'HIV-Other HPs'!$AH31</f>
        <v>0</v>
      </c>
      <c r="AK31" s="1391" t="str">
        <f>IF(A31&lt;&gt;"",IFERROR(INDEX(PMtbl[[WKst]:[Unit of measure*]],MATCH($A$8&amp;$A31&amp;$E31&amp;$I31,INDEX(PMtbl[Sec]&amp;PMtbl[Category]&amp;PMtbl[INN]&amp;PMtbl[Specification],0,),0),7),""),"")</f>
        <v/>
      </c>
      <c r="AL31" s="2049"/>
      <c r="AM31" s="1391" t="str">
        <f>IFERROR(INDEX(SETUP!$C$19:$G$62,MATCH((INDEX(PMtbl[[WKst]:[Unit of measure*]],MATCH($A31&amp;$E31&amp;$I31,INDEX(PMtbl[Category]&amp;PMtbl[INN]&amp;PMtbl[Specification],0,),0),3)),SETUP!$D$19:$D$62,0),5),"")</f>
        <v/>
      </c>
      <c r="AN31" s="1391"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1" s="198" customFormat="1" hidden="1">
      <c r="A32" s="2414"/>
      <c r="B32" s="2337"/>
      <c r="C32" s="2337"/>
      <c r="D32" s="2337"/>
      <c r="E32" s="2431"/>
      <c r="F32" s="2337"/>
      <c r="G32" s="2337"/>
      <c r="H32" s="2337"/>
      <c r="I32" s="2414"/>
      <c r="J32" s="2337"/>
      <c r="K32" s="2415"/>
      <c r="L32" s="199" t="str">
        <f>IF(A32&lt;&gt;"",IFERROR(INDEX(PMtbl[[WKst]:[Unit of measure*]],MATCH($A$8&amp;$A32&amp;$E32&amp;$I32,INDEX(PMtbl[Sec]&amp;PMtbl[Category]&amp;PMtbl[INN]&amp;PMtbl[Specification],0,),0),8),""),"")</f>
        <v/>
      </c>
      <c r="M32" s="1181" t="str">
        <f>IF(L32="", "",SETUP!$E$5)</f>
        <v/>
      </c>
      <c r="N32" s="1948"/>
      <c r="O32" s="1946"/>
      <c r="P32" s="1946"/>
      <c r="Q32" s="1946"/>
      <c r="R32" s="1946"/>
      <c r="S32" s="1812">
        <f>SUM('HIV-Other HPs'!$O32:$R32)</f>
        <v>0</v>
      </c>
      <c r="T32" s="1813">
        <f>'HIV-Other HPs'!$N32*'HIV-Other HPs'!$S32</f>
        <v>0</v>
      </c>
      <c r="U32" s="1955"/>
      <c r="V32" s="1946"/>
      <c r="W32" s="1946"/>
      <c r="X32" s="1946"/>
      <c r="Y32" s="1946"/>
      <c r="Z32" s="1812">
        <f>SUM('HIV-Other HPs'!$V32:$Y32)</f>
        <v>0</v>
      </c>
      <c r="AA32" s="1813">
        <f>'HIV-Other HPs'!$U32*'HIV-Other HPs'!$Z32</f>
        <v>0</v>
      </c>
      <c r="AB32" s="1955"/>
      <c r="AC32" s="1946"/>
      <c r="AD32" s="1946"/>
      <c r="AE32" s="1946"/>
      <c r="AF32" s="1946"/>
      <c r="AG32" s="1812">
        <f>SUM('HIV-Other HPs'!$AC32:$AF32)</f>
        <v>0</v>
      </c>
      <c r="AH32" s="1813">
        <f>'HIV-Other HPs'!$AB32*'HIV-Other HPs'!$AG32</f>
        <v>0</v>
      </c>
      <c r="AI32" s="1814">
        <f>'HIV-Other HPs'!$S32+'HIV-Other HPs'!$Z32+'HIV-Other HPs'!$AG32</f>
        <v>0</v>
      </c>
      <c r="AJ32" s="1813">
        <f>'HIV-Other HPs'!$T32+'HIV-Other HPs'!$AA32+'HIV-Other HPs'!$AH32</f>
        <v>0</v>
      </c>
      <c r="AK32" s="1390" t="str">
        <f>IF(A32&lt;&gt;"",IFERROR(INDEX(PMtbl[[WKst]:[Unit of measure*]],MATCH($A$8&amp;$A32&amp;$E32&amp;$I32,INDEX(PMtbl[Sec]&amp;PMtbl[Category]&amp;PMtbl[INN]&amp;PMtbl[Specification],0,),0),7),""),"")</f>
        <v/>
      </c>
      <c r="AL32" s="2050"/>
      <c r="AM32" s="1390" t="str">
        <f>IFERROR(INDEX(SETUP!$C$19:$G$62,MATCH((INDEX(PMtbl[[WKst]:[Unit of measure*]],MATCH($A32&amp;$E32&amp;$I32,INDEX(PMtbl[Category]&amp;PMtbl[INN]&amp;PMtbl[Specification],0,),0),3)),SETUP!$D$19:$D$62,0),5),"")</f>
        <v/>
      </c>
      <c r="AN32" s="1390"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62" s="198" customFormat="1" hidden="1">
      <c r="A33" s="2437"/>
      <c r="B33" s="2331"/>
      <c r="C33" s="2331"/>
      <c r="D33" s="2331"/>
      <c r="E33" s="2440"/>
      <c r="F33" s="2331"/>
      <c r="G33" s="2331"/>
      <c r="H33" s="2331"/>
      <c r="I33" s="2437"/>
      <c r="J33" s="2331"/>
      <c r="K33" s="2453"/>
      <c r="L33" s="200" t="str">
        <f>IF(A33&lt;&gt;"",IFERROR(INDEX(PMtbl[[WKst]:[Unit of measure*]],MATCH($A$8&amp;$A33&amp;$E33&amp;$I33,INDEX(PMtbl[Sec]&amp;PMtbl[Category]&amp;PMtbl[INN]&amp;PMtbl[Specification],0,),0),8),""),"")</f>
        <v/>
      </c>
      <c r="M33" s="1183" t="str">
        <f>IF(L33="", "",SETUP!$E$5)</f>
        <v/>
      </c>
      <c r="N33" s="1947"/>
      <c r="O33" s="12"/>
      <c r="P33" s="12"/>
      <c r="Q33" s="12"/>
      <c r="R33" s="12"/>
      <c r="S33" s="1809">
        <f>SUM('HIV-Other HPs'!$O33:$R33)</f>
        <v>0</v>
      </c>
      <c r="T33" s="1810">
        <f>'HIV-Other HPs'!$N33*'HIV-Other HPs'!$S33</f>
        <v>0</v>
      </c>
      <c r="U33" s="1954"/>
      <c r="V33" s="12"/>
      <c r="W33" s="12"/>
      <c r="X33" s="12"/>
      <c r="Y33" s="12"/>
      <c r="Z33" s="1809">
        <f>SUM('HIV-Other HPs'!$V33:$Y33)</f>
        <v>0</v>
      </c>
      <c r="AA33" s="1810">
        <f>'HIV-Other HPs'!$U33*'HIV-Other HPs'!$Z33</f>
        <v>0</v>
      </c>
      <c r="AB33" s="1954"/>
      <c r="AC33" s="12"/>
      <c r="AD33" s="12"/>
      <c r="AE33" s="12"/>
      <c r="AF33" s="12"/>
      <c r="AG33" s="1809">
        <f>SUM('HIV-Other HPs'!$AC33:$AF33)</f>
        <v>0</v>
      </c>
      <c r="AH33" s="1810">
        <f>'HIV-Other HPs'!$AB33*'HIV-Other HPs'!$AG33</f>
        <v>0</v>
      </c>
      <c r="AI33" s="1811">
        <f>'HIV-Other HPs'!$S33+'HIV-Other HPs'!$Z33+'HIV-Other HPs'!$AG33</f>
        <v>0</v>
      </c>
      <c r="AJ33" s="1810">
        <f>'HIV-Other HPs'!$T33+'HIV-Other HPs'!$AA33+'HIV-Other HPs'!$AH33</f>
        <v>0</v>
      </c>
      <c r="AK33" s="1391" t="str">
        <f>IF(A33&lt;&gt;"",IFERROR(INDEX(PMtbl[[WKst]:[Unit of measure*]],MATCH($A$8&amp;$A33&amp;$E33&amp;$I33,INDEX(PMtbl[Sec]&amp;PMtbl[Category]&amp;PMtbl[INN]&amp;PMtbl[Specification],0,),0),7),""),"")</f>
        <v/>
      </c>
      <c r="AL33" s="2049"/>
      <c r="AM33" s="1391" t="str">
        <f>IFERROR(INDEX(SETUP!$C$19:$G$62,MATCH((INDEX(PMtbl[[WKst]:[Unit of measure*]],MATCH($A33&amp;$E33&amp;$I33,INDEX(PMtbl[Category]&amp;PMtbl[INN]&amp;PMtbl[Specification],0,),0),3)),SETUP!$D$19:$D$62,0),5),"")</f>
        <v/>
      </c>
      <c r="AN33" s="1391"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62" s="198" customFormat="1" hidden="1">
      <c r="A34" s="2414"/>
      <c r="B34" s="2337"/>
      <c r="C34" s="2337"/>
      <c r="D34" s="2337"/>
      <c r="E34" s="2431"/>
      <c r="F34" s="2337"/>
      <c r="G34" s="2337"/>
      <c r="H34" s="2337"/>
      <c r="I34" s="2414"/>
      <c r="J34" s="2337"/>
      <c r="K34" s="2415"/>
      <c r="L34" s="199" t="str">
        <f>IF(A34&lt;&gt;"",IFERROR(INDEX(PMtbl[[WKst]:[Unit of measure*]],MATCH($A$8&amp;$A34&amp;$E34&amp;$I34,INDEX(PMtbl[Sec]&amp;PMtbl[Category]&amp;PMtbl[INN]&amp;PMtbl[Specification],0,),0),8),""),"")</f>
        <v/>
      </c>
      <c r="M34" s="1181" t="str">
        <f>IF(L34="", "",SETUP!$E$5)</f>
        <v/>
      </c>
      <c r="N34" s="1948"/>
      <c r="O34" s="1946"/>
      <c r="P34" s="1946"/>
      <c r="Q34" s="1946"/>
      <c r="R34" s="1946"/>
      <c r="S34" s="1812">
        <f>SUM('HIV-Other HPs'!$O34:$R34)</f>
        <v>0</v>
      </c>
      <c r="T34" s="1813">
        <f>'HIV-Other HPs'!$N34*'HIV-Other HPs'!$S34</f>
        <v>0</v>
      </c>
      <c r="U34" s="1955"/>
      <c r="V34" s="1946"/>
      <c r="W34" s="1946"/>
      <c r="X34" s="1946"/>
      <c r="Y34" s="1946"/>
      <c r="Z34" s="1812">
        <f>SUM('HIV-Other HPs'!$V34:$Y34)</f>
        <v>0</v>
      </c>
      <c r="AA34" s="1813">
        <f>'HIV-Other HPs'!$U34*'HIV-Other HPs'!$Z34</f>
        <v>0</v>
      </c>
      <c r="AB34" s="1955"/>
      <c r="AC34" s="1946"/>
      <c r="AD34" s="1946"/>
      <c r="AE34" s="1946"/>
      <c r="AF34" s="1946"/>
      <c r="AG34" s="1812">
        <f>SUM('HIV-Other HPs'!$AC34:$AF34)</f>
        <v>0</v>
      </c>
      <c r="AH34" s="1813">
        <f>'HIV-Other HPs'!$AB34*'HIV-Other HPs'!$AG34</f>
        <v>0</v>
      </c>
      <c r="AI34" s="1814">
        <f>'HIV-Other HPs'!$S34+'HIV-Other HPs'!$Z34+'HIV-Other HPs'!$AG34</f>
        <v>0</v>
      </c>
      <c r="AJ34" s="1813">
        <f>'HIV-Other HPs'!$T34+'HIV-Other HPs'!$AA34+'HIV-Other HPs'!$AH34</f>
        <v>0</v>
      </c>
      <c r="AK34" s="1390" t="str">
        <f>IF(A34&lt;&gt;"",IFERROR(INDEX(PMtbl[[WKst]:[Unit of measure*]],MATCH($A$8&amp;$A34&amp;$E34&amp;$I34,INDEX(PMtbl[Sec]&amp;PMtbl[Category]&amp;PMtbl[INN]&amp;PMtbl[Specification],0,),0),7),""),"")</f>
        <v/>
      </c>
      <c r="AL34" s="2050"/>
      <c r="AM34" s="1390" t="str">
        <f>IFERROR(INDEX(SETUP!$C$19:$G$62,MATCH((INDEX(PMtbl[[WKst]:[Unit of measure*]],MATCH($A34&amp;$E34&amp;$I34,INDEX(PMtbl[Category]&amp;PMtbl[INN]&amp;PMtbl[Specification],0,),0),3)),SETUP!$D$19:$D$62,0),5),"")</f>
        <v/>
      </c>
      <c r="AN34" s="1390"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62" s="198" customFormat="1" hidden="1">
      <c r="A35" s="2437"/>
      <c r="B35" s="2331"/>
      <c r="C35" s="2331"/>
      <c r="D35" s="2331"/>
      <c r="E35" s="2440"/>
      <c r="F35" s="2331"/>
      <c r="G35" s="2331"/>
      <c r="H35" s="2331"/>
      <c r="I35" s="2437"/>
      <c r="J35" s="2331"/>
      <c r="K35" s="2453"/>
      <c r="L35" s="200" t="str">
        <f>IF(A35&lt;&gt;"",IFERROR(INDEX(PMtbl[[WKst]:[Unit of measure*]],MATCH($A$8&amp;$A35&amp;$E35&amp;$I35,INDEX(PMtbl[Sec]&amp;PMtbl[Category]&amp;PMtbl[INN]&amp;PMtbl[Specification],0,),0),8),""),"")</f>
        <v/>
      </c>
      <c r="M35" s="1183" t="str">
        <f>IF(L35="", "",SETUP!$E$5)</f>
        <v/>
      </c>
      <c r="N35" s="1947"/>
      <c r="O35" s="12"/>
      <c r="P35" s="12"/>
      <c r="Q35" s="12"/>
      <c r="R35" s="12"/>
      <c r="S35" s="1809">
        <f>SUM('HIV-Other HPs'!$O35:$R35)</f>
        <v>0</v>
      </c>
      <c r="T35" s="1810">
        <f>'HIV-Other HPs'!$N35*'HIV-Other HPs'!$S35</f>
        <v>0</v>
      </c>
      <c r="U35" s="1954"/>
      <c r="V35" s="12"/>
      <c r="W35" s="12"/>
      <c r="X35" s="12"/>
      <c r="Y35" s="12"/>
      <c r="Z35" s="1809">
        <f>SUM('HIV-Other HPs'!$V35:$Y35)</f>
        <v>0</v>
      </c>
      <c r="AA35" s="1810">
        <f>'HIV-Other HPs'!$U35*'HIV-Other HPs'!$Z35</f>
        <v>0</v>
      </c>
      <c r="AB35" s="1954"/>
      <c r="AC35" s="12"/>
      <c r="AD35" s="12"/>
      <c r="AE35" s="12"/>
      <c r="AF35" s="12"/>
      <c r="AG35" s="1809">
        <f>SUM('HIV-Other HPs'!$AC35:$AF35)</f>
        <v>0</v>
      </c>
      <c r="AH35" s="1810">
        <f>'HIV-Other HPs'!$AB35*'HIV-Other HPs'!$AG35</f>
        <v>0</v>
      </c>
      <c r="AI35" s="1811">
        <f>'HIV-Other HPs'!$S35+'HIV-Other HPs'!$Z35+'HIV-Other HPs'!$AG35</f>
        <v>0</v>
      </c>
      <c r="AJ35" s="1810">
        <f>'HIV-Other HPs'!$T35+'HIV-Other HPs'!$AA35+'HIV-Other HPs'!$AH35</f>
        <v>0</v>
      </c>
      <c r="AK35" s="1391" t="str">
        <f>IF(A35&lt;&gt;"",IFERROR(INDEX(PMtbl[[WKst]:[Unit of measure*]],MATCH($A$8&amp;$A35&amp;$E35&amp;$I35,INDEX(PMtbl[Sec]&amp;PMtbl[Category]&amp;PMtbl[INN]&amp;PMtbl[Specification],0,),0),7),""),"")</f>
        <v/>
      </c>
      <c r="AL35" s="2049"/>
      <c r="AM35" s="1391" t="str">
        <f>IFERROR(INDEX(SETUP!$C$19:$G$62,MATCH((INDEX(PMtbl[[WKst]:[Unit of measure*]],MATCH($A35&amp;$E35&amp;$I35,INDEX(PMtbl[Category]&amp;PMtbl[INN]&amp;PMtbl[Specification],0,),0),3)),SETUP!$D$19:$D$62,0),5),"")</f>
        <v/>
      </c>
      <c r="AN35" s="1391"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62" s="198" customFormat="1" hidden="1">
      <c r="A36" s="2414"/>
      <c r="B36" s="2337"/>
      <c r="C36" s="2337"/>
      <c r="D36" s="2337"/>
      <c r="E36" s="2431"/>
      <c r="F36" s="2337"/>
      <c r="G36" s="2337"/>
      <c r="H36" s="2337"/>
      <c r="I36" s="2414"/>
      <c r="J36" s="2337"/>
      <c r="K36" s="2415"/>
      <c r="L36" s="199" t="str">
        <f>IF(A36&lt;&gt;"",IFERROR(INDEX(PMtbl[[WKst]:[Unit of measure*]],MATCH($A$8&amp;$A36&amp;$E36&amp;$I36,INDEX(PMtbl[Sec]&amp;PMtbl[Category]&amp;PMtbl[INN]&amp;PMtbl[Specification],0,),0),8),""),"")</f>
        <v/>
      </c>
      <c r="M36" s="1181" t="str">
        <f>IF(L36="", "",SETUP!$E$5)</f>
        <v/>
      </c>
      <c r="N36" s="1948"/>
      <c r="O36" s="1946"/>
      <c r="P36" s="1946"/>
      <c r="Q36" s="1946"/>
      <c r="R36" s="1946"/>
      <c r="S36" s="1812">
        <f>SUM('HIV-Other HPs'!$O36:$R36)</f>
        <v>0</v>
      </c>
      <c r="T36" s="1813">
        <f>'HIV-Other HPs'!$N36*'HIV-Other HPs'!$S36</f>
        <v>0</v>
      </c>
      <c r="U36" s="1955"/>
      <c r="V36" s="1946"/>
      <c r="W36" s="1946"/>
      <c r="X36" s="1946"/>
      <c r="Y36" s="1946"/>
      <c r="Z36" s="1812">
        <f>SUM('HIV-Other HPs'!$V36:$Y36)</f>
        <v>0</v>
      </c>
      <c r="AA36" s="1813">
        <f>'HIV-Other HPs'!$U36*'HIV-Other HPs'!$Z36</f>
        <v>0</v>
      </c>
      <c r="AB36" s="1955"/>
      <c r="AC36" s="1946"/>
      <c r="AD36" s="1946"/>
      <c r="AE36" s="1946"/>
      <c r="AF36" s="1946"/>
      <c r="AG36" s="1812">
        <f>SUM('HIV-Other HPs'!$AC36:$AF36)</f>
        <v>0</v>
      </c>
      <c r="AH36" s="1813">
        <f>'HIV-Other HPs'!$AB36*'HIV-Other HPs'!$AG36</f>
        <v>0</v>
      </c>
      <c r="AI36" s="1814">
        <f>'HIV-Other HPs'!$S36+'HIV-Other HPs'!$Z36+'HIV-Other HPs'!$AG36</f>
        <v>0</v>
      </c>
      <c r="AJ36" s="1813">
        <f>'HIV-Other HPs'!$T36+'HIV-Other HPs'!$AA36+'HIV-Other HPs'!$AH36</f>
        <v>0</v>
      </c>
      <c r="AK36" s="1390" t="str">
        <f>IF(A36&lt;&gt;"",IFERROR(INDEX(PMtbl[[WKst]:[Unit of measure*]],MATCH($A$8&amp;$A36&amp;$E36&amp;$I36,INDEX(PMtbl[Sec]&amp;PMtbl[Category]&amp;PMtbl[INN]&amp;PMtbl[Specification],0,),0),7),""),"")</f>
        <v/>
      </c>
      <c r="AL36" s="2050"/>
      <c r="AM36" s="1390" t="str">
        <f>IFERROR(INDEX(SETUP!$C$19:$G$62,MATCH((INDEX(PMtbl[[WKst]:[Unit of measure*]],MATCH($A36&amp;$E36&amp;$I36,INDEX(PMtbl[Category]&amp;PMtbl[INN]&amp;PMtbl[Specification],0,),0),3)),SETUP!$D$19:$D$62,0),5),"")</f>
        <v/>
      </c>
      <c r="AN36" s="1390"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62" s="198" customFormat="1">
      <c r="A37" s="2437"/>
      <c r="B37" s="2331"/>
      <c r="C37" s="2331"/>
      <c r="D37" s="2331"/>
      <c r="E37" s="2440"/>
      <c r="F37" s="2331"/>
      <c r="G37" s="2331"/>
      <c r="H37" s="2331"/>
      <c r="I37" s="2437"/>
      <c r="J37" s="2331"/>
      <c r="K37" s="2453"/>
      <c r="L37" s="200" t="str">
        <f>IF(A37&lt;&gt;"",IFERROR(INDEX(PMtbl[[WKst]:[Unit of measure*]],MATCH($A$8&amp;$A37&amp;$E37&amp;$I37,INDEX(PMtbl[Sec]&amp;PMtbl[Category]&amp;PMtbl[INN]&amp;PMtbl[Specification],0,),0),8),""),"")</f>
        <v/>
      </c>
      <c r="M37" s="1183" t="str">
        <f>IF(L37="", "",SETUP!$E$5)</f>
        <v/>
      </c>
      <c r="N37" s="1947"/>
      <c r="O37" s="12"/>
      <c r="P37" s="12"/>
      <c r="Q37" s="12"/>
      <c r="R37" s="12"/>
      <c r="S37" s="1809">
        <f>SUM('HIV-Other HPs'!$O37:$R37)</f>
        <v>0</v>
      </c>
      <c r="T37" s="1810">
        <f>'HIV-Other HPs'!$N37*'HIV-Other HPs'!$S37</f>
        <v>0</v>
      </c>
      <c r="U37" s="1954"/>
      <c r="V37" s="12"/>
      <c r="W37" s="12"/>
      <c r="X37" s="12"/>
      <c r="Y37" s="12"/>
      <c r="Z37" s="1809">
        <f>SUM('HIV-Other HPs'!$V37:$Y37)</f>
        <v>0</v>
      </c>
      <c r="AA37" s="1810">
        <f>'HIV-Other HPs'!$U37*'HIV-Other HPs'!$Z37</f>
        <v>0</v>
      </c>
      <c r="AB37" s="1954"/>
      <c r="AC37" s="12"/>
      <c r="AD37" s="12"/>
      <c r="AE37" s="12"/>
      <c r="AF37" s="12"/>
      <c r="AG37" s="1809">
        <f>SUM('HIV-Other HPs'!$AC37:$AF37)</f>
        <v>0</v>
      </c>
      <c r="AH37" s="1810">
        <f>'HIV-Other HPs'!$AB37*'HIV-Other HPs'!$AG37</f>
        <v>0</v>
      </c>
      <c r="AI37" s="1811">
        <f>'HIV-Other HPs'!$S37+'HIV-Other HPs'!$Z37+'HIV-Other HPs'!$AG37</f>
        <v>0</v>
      </c>
      <c r="AJ37" s="1810">
        <f>'HIV-Other HPs'!$T37+'HIV-Other HPs'!$AA37+'HIV-Other HPs'!$AH37</f>
        <v>0</v>
      </c>
      <c r="AK37" s="1391" t="str">
        <f>IF(A37&lt;&gt;"",IFERROR(INDEX(PMtbl[[WKst]:[Unit of measure*]],MATCH($A$8&amp;$A37&amp;$E37&amp;$I37,INDEX(PMtbl[Sec]&amp;PMtbl[Category]&amp;PMtbl[INN]&amp;PMtbl[Specification],0,),0),7),""),"")</f>
        <v/>
      </c>
      <c r="AL37" s="2049"/>
      <c r="AM37" s="1391" t="str">
        <f>IFERROR(INDEX(SETUP!$C$19:$G$62,MATCH((INDEX(PMtbl[[WKst]:[Unit of measure*]],MATCH($A37&amp;$E37&amp;$I37,INDEX(PMtbl[Category]&amp;PMtbl[INN]&amp;PMtbl[Specification],0,),0),3)),SETUP!$D$19:$D$62,0),5),"")</f>
        <v/>
      </c>
      <c r="AN37" s="1391"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62" s="198" customFormat="1">
      <c r="A38" s="2414"/>
      <c r="B38" s="2337"/>
      <c r="C38" s="2337"/>
      <c r="D38" s="2337"/>
      <c r="E38" s="2431"/>
      <c r="F38" s="2337"/>
      <c r="G38" s="2337"/>
      <c r="H38" s="2337"/>
      <c r="I38" s="2414"/>
      <c r="J38" s="2337"/>
      <c r="K38" s="2415"/>
      <c r="L38" s="199" t="str">
        <f>IF(A38&lt;&gt;"",IFERROR(INDEX(PMtbl[[WKst]:[Unit of measure*]],MATCH($A$8&amp;$A38&amp;$E38&amp;$I38,INDEX(PMtbl[Sec]&amp;PMtbl[Category]&amp;PMtbl[INN]&amp;PMtbl[Specification],0,),0),8),""),"")</f>
        <v/>
      </c>
      <c r="M38" s="1181" t="str">
        <f>IF(L38="", "",SETUP!$E$5)</f>
        <v/>
      </c>
      <c r="N38" s="1948"/>
      <c r="O38" s="1946"/>
      <c r="P38" s="1946"/>
      <c r="Q38" s="1946"/>
      <c r="R38" s="1946"/>
      <c r="S38" s="1812">
        <f>SUM('HIV-Other HPs'!$O38:$R38)</f>
        <v>0</v>
      </c>
      <c r="T38" s="1813">
        <f>'HIV-Other HPs'!$N38*'HIV-Other HPs'!$S38</f>
        <v>0</v>
      </c>
      <c r="U38" s="1955"/>
      <c r="V38" s="1946"/>
      <c r="W38" s="1946"/>
      <c r="X38" s="1946"/>
      <c r="Y38" s="1946"/>
      <c r="Z38" s="1812">
        <f>SUM('HIV-Other HPs'!$V38:$Y38)</f>
        <v>0</v>
      </c>
      <c r="AA38" s="1813">
        <f>'HIV-Other HPs'!$U38*'HIV-Other HPs'!$Z38</f>
        <v>0</v>
      </c>
      <c r="AB38" s="1955"/>
      <c r="AC38" s="1946"/>
      <c r="AD38" s="1946"/>
      <c r="AE38" s="1946"/>
      <c r="AF38" s="1946"/>
      <c r="AG38" s="1812">
        <f>SUM('HIV-Other HPs'!$AC38:$AF38)</f>
        <v>0</v>
      </c>
      <c r="AH38" s="1813">
        <f>'HIV-Other HPs'!$AB38*'HIV-Other HPs'!$AG38</f>
        <v>0</v>
      </c>
      <c r="AI38" s="1814">
        <f>'HIV-Other HPs'!$S38+'HIV-Other HPs'!$Z38+'HIV-Other HPs'!$AG38</f>
        <v>0</v>
      </c>
      <c r="AJ38" s="1813">
        <f>'HIV-Other HPs'!$T38+'HIV-Other HPs'!$AA38+'HIV-Other HPs'!$AH38</f>
        <v>0</v>
      </c>
      <c r="AK38" s="1390" t="str">
        <f>IF(A38&lt;&gt;"",IFERROR(INDEX(PMtbl[[WKst]:[Unit of measure*]],MATCH($A$8&amp;$A38&amp;$E38&amp;$I38,INDEX(PMtbl[Sec]&amp;PMtbl[Category]&amp;PMtbl[INN]&amp;PMtbl[Specification],0,),0),7),""),"")</f>
        <v/>
      </c>
      <c r="AL38" s="2050"/>
      <c r="AM38" s="1390" t="str">
        <f>IFERROR(INDEX(SETUP!$C$19:$G$62,MATCH((INDEX(PMtbl[[WKst]:[Unit of measure*]],MATCH($A38&amp;$E38&amp;$I38,INDEX(PMtbl[Category]&amp;PMtbl[INN]&amp;PMtbl[Specification],0,),0),3)),SETUP!$D$19:$D$62,0),5),"")</f>
        <v/>
      </c>
      <c r="AN38" s="1390"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c r="AW38" s="337"/>
      <c r="AX38" s="2297" t="s">
        <v>1225</v>
      </c>
      <c r="AY38" s="2297"/>
      <c r="AZ38" s="2297"/>
      <c r="BA38" s="2297"/>
      <c r="BB38" s="2297"/>
      <c r="BC38" s="2297"/>
      <c r="BD38" s="2297"/>
      <c r="BE38" s="2297"/>
      <c r="BF38" s="2297"/>
      <c r="BG38" s="2297"/>
      <c r="BH38" s="2297"/>
      <c r="BI38" s="2297"/>
    </row>
    <row r="39" spans="1:62" s="198" customFormat="1">
      <c r="A39" s="2437"/>
      <c r="B39" s="2331"/>
      <c r="C39" s="2331"/>
      <c r="D39" s="2331"/>
      <c r="E39" s="2440"/>
      <c r="F39" s="2331"/>
      <c r="G39" s="2331"/>
      <c r="H39" s="2331"/>
      <c r="I39" s="2437"/>
      <c r="J39" s="2331"/>
      <c r="K39" s="2453"/>
      <c r="L39" s="200" t="str">
        <f>IF(A39&lt;&gt;"",IFERROR(INDEX(PMtbl[[WKst]:[Unit of measure*]],MATCH($A$8&amp;$A39&amp;$E39&amp;$I39,INDEX(PMtbl[Sec]&amp;PMtbl[Category]&amp;PMtbl[INN]&amp;PMtbl[Specification],0,),0),8),""),"")</f>
        <v/>
      </c>
      <c r="M39" s="1183" t="str">
        <f>IF(L39="", "",SETUP!$E$5)</f>
        <v/>
      </c>
      <c r="N39" s="1947"/>
      <c r="O39" s="12"/>
      <c r="P39" s="12"/>
      <c r="Q39" s="12"/>
      <c r="R39" s="12"/>
      <c r="S39" s="1809">
        <f>SUM('HIV-Other HPs'!$O39:$R39)</f>
        <v>0</v>
      </c>
      <c r="T39" s="1810">
        <f>'HIV-Other HPs'!$N39*'HIV-Other HPs'!$S39</f>
        <v>0</v>
      </c>
      <c r="U39" s="1954"/>
      <c r="V39" s="12"/>
      <c r="W39" s="12"/>
      <c r="X39" s="12"/>
      <c r="Y39" s="12"/>
      <c r="Z39" s="1809">
        <f>SUM('HIV-Other HPs'!$V39:$Y39)</f>
        <v>0</v>
      </c>
      <c r="AA39" s="1810">
        <f>'HIV-Other HPs'!$U39*'HIV-Other HPs'!$Z39</f>
        <v>0</v>
      </c>
      <c r="AB39" s="1954"/>
      <c r="AC39" s="12"/>
      <c r="AD39" s="12"/>
      <c r="AE39" s="12"/>
      <c r="AF39" s="12"/>
      <c r="AG39" s="1809">
        <f>SUM('HIV-Other HPs'!$AC39:$AF39)</f>
        <v>0</v>
      </c>
      <c r="AH39" s="1810">
        <f>'HIV-Other HPs'!$AB39*'HIV-Other HPs'!$AG39</f>
        <v>0</v>
      </c>
      <c r="AI39" s="1811">
        <f>'HIV-Other HPs'!$S39+'HIV-Other HPs'!$Z39+'HIV-Other HPs'!$AG39</f>
        <v>0</v>
      </c>
      <c r="AJ39" s="1810">
        <f>'HIV-Other HPs'!$T39+'HIV-Other HPs'!$AA39+'HIV-Other HPs'!$AH39</f>
        <v>0</v>
      </c>
      <c r="AK39" s="1391" t="str">
        <f>IF(A39&lt;&gt;"",IFERROR(INDEX(PMtbl[[WKst]:[Unit of measure*]],MATCH($A$8&amp;$A39&amp;$E39&amp;$I39,INDEX(PMtbl[Sec]&amp;PMtbl[Category]&amp;PMtbl[INN]&amp;PMtbl[Specification],0,),0),7),""),"")</f>
        <v/>
      </c>
      <c r="AL39" s="2049"/>
      <c r="AM39" s="1391" t="str">
        <f>IFERROR(INDEX(SETUP!$C$19:$G$62,MATCH((INDEX(PMtbl[[WKst]:[Unit of measure*]],MATCH($A39&amp;$E39&amp;$I39,INDEX(PMtbl[Category]&amp;PMtbl[INN]&amp;PMtbl[Specification],0,),0),3)),SETUP!$D$19:$D$62,0),5),"")</f>
        <v/>
      </c>
      <c r="AN39" s="1391"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c r="AW39" s="338"/>
      <c r="AX39" s="2370">
        <f>YEAR(IMP_ST_DATE)</f>
        <v>2022</v>
      </c>
      <c r="AY39" s="2370"/>
      <c r="AZ39" s="2370"/>
      <c r="BA39" s="2370"/>
      <c r="BB39" s="2370">
        <f>YEAR(IMP_ST_DATE)+1</f>
        <v>2023</v>
      </c>
      <c r="BC39" s="2370"/>
      <c r="BD39" s="2370"/>
      <c r="BE39" s="2370"/>
      <c r="BF39" s="2370">
        <f>YEAR(IMP_ST_DATE)+2</f>
        <v>2024</v>
      </c>
      <c r="BG39" s="2370"/>
      <c r="BH39" s="2370"/>
      <c r="BI39" s="2370"/>
    </row>
    <row r="40" spans="1:62" s="198" customFormat="1" ht="15" thickBot="1">
      <c r="A40" s="2438"/>
      <c r="B40" s="2439"/>
      <c r="C40" s="2439"/>
      <c r="D40" s="2439"/>
      <c r="E40" s="2443"/>
      <c r="F40" s="2439"/>
      <c r="G40" s="2439"/>
      <c r="H40" s="2439"/>
      <c r="I40" s="2498"/>
      <c r="J40" s="2499"/>
      <c r="K40" s="2500"/>
      <c r="L40" s="201" t="str">
        <f>IF(A40&lt;&gt;"",IFERROR(INDEX(PMtbl[[WKst]:[Unit of measure*]],MATCH($A$8&amp;$A40&amp;$E40&amp;$I40,INDEX(PMtbl[Sec]&amp;PMtbl[Category]&amp;PMtbl[INN]&amp;PMtbl[Specification],0,),0),8),""),"")</f>
        <v/>
      </c>
      <c r="M40" s="202" t="str">
        <f>IF(L40="", "",SETUP!$E$5)</f>
        <v/>
      </c>
      <c r="N40" s="1960"/>
      <c r="O40" s="1961"/>
      <c r="P40" s="1961"/>
      <c r="Q40" s="1961"/>
      <c r="R40" s="1961"/>
      <c r="S40" s="1836">
        <f>SUM('HIV-Other HPs'!$O40:$R40)</f>
        <v>0</v>
      </c>
      <c r="T40" s="1837">
        <f>'HIV-Other HPs'!$N40*'HIV-Other HPs'!$S40</f>
        <v>0</v>
      </c>
      <c r="U40" s="1962"/>
      <c r="V40" s="1961"/>
      <c r="W40" s="1961"/>
      <c r="X40" s="1961"/>
      <c r="Y40" s="1961"/>
      <c r="Z40" s="1836">
        <f>SUM('HIV-Other HPs'!$V40:$Y40)</f>
        <v>0</v>
      </c>
      <c r="AA40" s="1837">
        <f>'HIV-Other HPs'!$U40*'HIV-Other HPs'!$Z40</f>
        <v>0</v>
      </c>
      <c r="AB40" s="1962"/>
      <c r="AC40" s="1961"/>
      <c r="AD40" s="1961"/>
      <c r="AE40" s="1961"/>
      <c r="AF40" s="1961"/>
      <c r="AG40" s="1836">
        <f>SUM('HIV-Other HPs'!$AC40:$AF40)</f>
        <v>0</v>
      </c>
      <c r="AH40" s="1837">
        <f>'HIV-Other HPs'!$AB40*'HIV-Other HPs'!$AG40</f>
        <v>0</v>
      </c>
      <c r="AI40" s="1838">
        <f>'HIV-Other HPs'!$S40+'HIV-Other HPs'!$Z40+'HIV-Other HPs'!$AG40</f>
        <v>0</v>
      </c>
      <c r="AJ40" s="1819">
        <f>'HIV-Other HPs'!$T40+'HIV-Other HPs'!$AA40+'HIV-Other HPs'!$AH40</f>
        <v>0</v>
      </c>
      <c r="AK40" s="1392" t="str">
        <f>IF(A40&lt;&gt;"",IFERROR(INDEX(PMtbl[[WKst]:[Unit of measure*]],MATCH($A$8&amp;$A40&amp;$E40&amp;$I40,INDEX(PMtbl[Sec]&amp;PMtbl[Category]&amp;PMtbl[INN]&amp;PMtbl[Specification],0,),0),7),""),"")</f>
        <v/>
      </c>
      <c r="AL40" s="2054"/>
      <c r="AM40" s="1392" t="str">
        <f>IFERROR(INDEX(SETUP!$C$19:$G$62,MATCH((INDEX(PMtbl[[WKst]:[Unit of measure*]],MATCH($A40&amp;$E40&amp;$I40,INDEX(PMtbl[Category]&amp;PMtbl[INN]&amp;PMtbl[Specification],0,),0),3)),SETUP!$D$19:$D$62,0),5),"")</f>
        <v/>
      </c>
      <c r="AN40" s="1392"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c r="AU40" s="343" t="s">
        <v>2586</v>
      </c>
      <c r="AV40" s="343" t="s">
        <v>2671</v>
      </c>
      <c r="AW40" s="1384" t="s">
        <v>416</v>
      </c>
      <c r="AX40" s="343" t="s">
        <v>1213</v>
      </c>
      <c r="AY40" s="343" t="s">
        <v>1214</v>
      </c>
      <c r="AZ40" s="343" t="s">
        <v>1215</v>
      </c>
      <c r="BA40" s="343" t="s">
        <v>1216</v>
      </c>
      <c r="BB40" s="343" t="s">
        <v>1217</v>
      </c>
      <c r="BC40" s="343" t="s">
        <v>1218</v>
      </c>
      <c r="BD40" s="343" t="s">
        <v>1220</v>
      </c>
      <c r="BE40" s="343" t="s">
        <v>1221</v>
      </c>
      <c r="BF40" s="343" t="s">
        <v>1222</v>
      </c>
      <c r="BG40" s="343" t="s">
        <v>1223</v>
      </c>
      <c r="BH40" s="343" t="s">
        <v>1219</v>
      </c>
      <c r="BI40" s="343" t="s">
        <v>1224</v>
      </c>
      <c r="BJ40" s="343" t="s">
        <v>2498</v>
      </c>
    </row>
    <row r="41" spans="1:62">
      <c r="A41" s="1184"/>
      <c r="B41" s="81"/>
      <c r="C41" s="81"/>
      <c r="D41" s="81"/>
      <c r="E41" s="81"/>
      <c r="F41" s="81"/>
      <c r="G41" s="81"/>
      <c r="H41" s="81"/>
      <c r="I41" s="81"/>
      <c r="J41" s="78"/>
      <c r="K41" s="78"/>
      <c r="L41" s="78"/>
      <c r="M41" s="99"/>
      <c r="N41" s="92"/>
      <c r="O41" s="78"/>
      <c r="P41" s="78"/>
      <c r="Q41" s="78"/>
      <c r="R41" s="78"/>
      <c r="S41" s="78"/>
      <c r="T41" s="78"/>
      <c r="U41" s="78"/>
      <c r="V41" s="78"/>
      <c r="W41" s="78"/>
      <c r="X41" s="78"/>
      <c r="Y41" s="78"/>
      <c r="Z41" s="78"/>
      <c r="AA41" s="78"/>
      <c r="AB41" s="78"/>
      <c r="AC41" s="78"/>
      <c r="AD41" s="78"/>
      <c r="AE41" s="78"/>
      <c r="AF41" s="320"/>
      <c r="AG41" s="320"/>
      <c r="AH41" s="78"/>
      <c r="AI41" s="123"/>
      <c r="AJ41" s="123"/>
      <c r="AU41" s="1478">
        <v>1</v>
      </c>
      <c r="AV41" s="1381" t="str">
        <f>IFERROR(VLOOKUP($AW41,$AK:$AN,4,FALSE),"")</f>
        <v/>
      </c>
      <c r="AW41" s="1382">
        <v>5.2</v>
      </c>
      <c r="AX41" s="1385">
        <f t="shared" ref="AX41:BA43" si="1">SUMPRODUCT(($AK$14:$AK$40=$AW41)*($N$14:$N$40)*((O$14:O$40)))</f>
        <v>0</v>
      </c>
      <c r="AY41" s="1385">
        <f t="shared" si="1"/>
        <v>0</v>
      </c>
      <c r="AZ41" s="1385">
        <f t="shared" si="1"/>
        <v>0</v>
      </c>
      <c r="BA41" s="1385">
        <f t="shared" si="1"/>
        <v>0</v>
      </c>
      <c r="BB41" s="1385">
        <f t="shared" ref="BB41:BE43" si="2">SUMPRODUCT(($AK$14:$AK$40=$AW41)*($U$14:$U$40)*((V$14:V$40)))</f>
        <v>0</v>
      </c>
      <c r="BC41" s="1385">
        <f t="shared" si="2"/>
        <v>0</v>
      </c>
      <c r="BD41" s="1385">
        <f t="shared" si="2"/>
        <v>0</v>
      </c>
      <c r="BE41" s="1385">
        <f t="shared" si="2"/>
        <v>0</v>
      </c>
      <c r="BF41" s="1385">
        <f t="shared" ref="BF41:BI43" si="3">SUMPRODUCT(($AK$14:$AK$40=$AW41)*($AB$14:$AB$40)*((AC$14:AC$40)))</f>
        <v>0</v>
      </c>
      <c r="BG41" s="1385">
        <f t="shared" si="3"/>
        <v>0</v>
      </c>
      <c r="BH41" s="1385">
        <f t="shared" si="3"/>
        <v>0</v>
      </c>
      <c r="BI41" s="1385">
        <f t="shared" si="3"/>
        <v>0</v>
      </c>
      <c r="BJ41" s="343">
        <f>SUM(AX41:BI41)</f>
        <v>0</v>
      </c>
    </row>
    <row r="42" spans="1:62" ht="15" thickBot="1">
      <c r="A42" s="1184"/>
      <c r="B42" s="81"/>
      <c r="C42" s="81"/>
      <c r="D42" s="81"/>
      <c r="E42" s="81"/>
      <c r="F42" s="81"/>
      <c r="G42" s="78"/>
      <c r="H42" s="96"/>
      <c r="I42" s="96"/>
      <c r="J42" s="96"/>
      <c r="K42" s="96"/>
      <c r="L42" s="96"/>
      <c r="M42" s="121"/>
      <c r="N42" s="189"/>
      <c r="O42" s="96"/>
      <c r="P42" s="96"/>
      <c r="Q42" s="96"/>
      <c r="R42" s="96"/>
      <c r="S42" s="96"/>
      <c r="T42" s="96"/>
      <c r="U42" s="96"/>
      <c r="V42" s="96"/>
      <c r="W42" s="96"/>
      <c r="X42" s="96"/>
      <c r="Y42" s="96"/>
      <c r="Z42" s="96"/>
      <c r="AA42" s="96"/>
      <c r="AB42" s="96"/>
      <c r="AC42" s="96"/>
      <c r="AD42" s="96"/>
      <c r="AE42" s="96"/>
      <c r="AF42" s="96"/>
      <c r="AG42" s="121"/>
      <c r="AH42" s="78"/>
      <c r="AU42" s="1478">
        <v>1</v>
      </c>
      <c r="AV42" s="1381" t="str">
        <f>IFERROR(VLOOKUP($AW42,$AK:$AN,4,FALSE),"")</f>
        <v/>
      </c>
      <c r="AW42" s="1382">
        <v>5.3</v>
      </c>
      <c r="AX42" s="1385">
        <f t="shared" si="1"/>
        <v>0</v>
      </c>
      <c r="AY42" s="1385">
        <f t="shared" si="1"/>
        <v>0</v>
      </c>
      <c r="AZ42" s="1385">
        <f t="shared" si="1"/>
        <v>0</v>
      </c>
      <c r="BA42" s="1385">
        <f t="shared" si="1"/>
        <v>0</v>
      </c>
      <c r="BB42" s="1385">
        <f t="shared" si="2"/>
        <v>0</v>
      </c>
      <c r="BC42" s="1385">
        <f t="shared" si="2"/>
        <v>0</v>
      </c>
      <c r="BD42" s="1385">
        <f t="shared" si="2"/>
        <v>0</v>
      </c>
      <c r="BE42" s="1385">
        <f t="shared" si="2"/>
        <v>0</v>
      </c>
      <c r="BF42" s="1385">
        <f t="shared" si="3"/>
        <v>0</v>
      </c>
      <c r="BG42" s="1385">
        <f t="shared" si="3"/>
        <v>0</v>
      </c>
      <c r="BH42" s="1385">
        <f t="shared" si="3"/>
        <v>0</v>
      </c>
      <c r="BI42" s="1385">
        <f t="shared" si="3"/>
        <v>0</v>
      </c>
      <c r="BJ42" s="343">
        <f t="shared" ref="BJ42:BJ48" si="4">SUM(AX42:BI42)</f>
        <v>0</v>
      </c>
    </row>
    <row r="43" spans="1:62" ht="15" customHeight="1">
      <c r="A43" s="2485">
        <v>2</v>
      </c>
      <c r="B43" s="2484" t="s">
        <v>224</v>
      </c>
      <c r="C43" s="2484"/>
      <c r="D43" s="2484"/>
      <c r="E43" s="2261" t="s">
        <v>225</v>
      </c>
      <c r="F43" s="2261"/>
      <c r="G43" s="2261"/>
      <c r="H43" s="2234" t="s">
        <v>226</v>
      </c>
      <c r="I43" s="2234" t="s">
        <v>215</v>
      </c>
      <c r="J43" s="2424" t="s">
        <v>216</v>
      </c>
      <c r="K43" s="2339"/>
      <c r="L43" s="96"/>
      <c r="M43" s="121"/>
      <c r="N43" s="189"/>
      <c r="O43" s="96"/>
      <c r="P43" s="96"/>
      <c r="Q43" s="96"/>
      <c r="R43" s="96"/>
      <c r="S43" s="78"/>
      <c r="T43" s="78"/>
      <c r="U43" s="78"/>
      <c r="V43" s="78"/>
      <c r="W43" s="78"/>
      <c r="X43" s="78"/>
      <c r="Y43" s="78"/>
      <c r="Z43" s="78"/>
      <c r="AA43" s="78"/>
      <c r="AB43" s="78"/>
      <c r="AC43" s="78"/>
      <c r="AD43" s="78"/>
      <c r="AE43" s="78"/>
      <c r="AF43" s="78"/>
      <c r="AG43" s="99"/>
      <c r="AH43" s="78"/>
      <c r="AU43" s="1478">
        <v>1</v>
      </c>
      <c r="AV43" s="1381" t="str">
        <f>IFERROR(VLOOKUP($AW43,$AK:$AN,4,FALSE),"")</f>
        <v/>
      </c>
      <c r="AW43" s="1382">
        <v>5.8</v>
      </c>
      <c r="AX43" s="1385">
        <f t="shared" si="1"/>
        <v>0</v>
      </c>
      <c r="AY43" s="1385">
        <f t="shared" si="1"/>
        <v>0</v>
      </c>
      <c r="AZ43" s="1385">
        <f t="shared" si="1"/>
        <v>0</v>
      </c>
      <c r="BA43" s="1385">
        <f t="shared" si="1"/>
        <v>0</v>
      </c>
      <c r="BB43" s="1385">
        <f t="shared" si="2"/>
        <v>0</v>
      </c>
      <c r="BC43" s="1385">
        <f t="shared" si="2"/>
        <v>0</v>
      </c>
      <c r="BD43" s="1385">
        <f t="shared" si="2"/>
        <v>0</v>
      </c>
      <c r="BE43" s="1385">
        <f t="shared" si="2"/>
        <v>0</v>
      </c>
      <c r="BF43" s="1385">
        <f t="shared" si="3"/>
        <v>0</v>
      </c>
      <c r="BG43" s="1385">
        <f t="shared" si="3"/>
        <v>0</v>
      </c>
      <c r="BH43" s="1385">
        <f t="shared" si="3"/>
        <v>0</v>
      </c>
      <c r="BI43" s="1385">
        <f t="shared" si="3"/>
        <v>0</v>
      </c>
      <c r="BJ43" s="343">
        <f t="shared" si="4"/>
        <v>0</v>
      </c>
    </row>
    <row r="44" spans="1:62" ht="15" customHeight="1" thickBot="1">
      <c r="A44" s="2485"/>
      <c r="B44" s="2484"/>
      <c r="C44" s="2484"/>
      <c r="D44" s="2484"/>
      <c r="E44" s="2261" t="s">
        <v>227</v>
      </c>
      <c r="F44" s="2261"/>
      <c r="G44" s="2261"/>
      <c r="H44" s="2235"/>
      <c r="I44" s="2235"/>
      <c r="J44" s="2425"/>
      <c r="K44" s="2340"/>
      <c r="L44" s="96"/>
      <c r="M44" s="121"/>
      <c r="N44" s="189"/>
      <c r="O44" s="96"/>
      <c r="P44" s="96"/>
      <c r="Q44" s="96"/>
      <c r="R44" s="96"/>
      <c r="S44" s="78"/>
      <c r="T44" s="78"/>
      <c r="U44" s="78"/>
      <c r="V44" s="78"/>
      <c r="W44" s="78"/>
      <c r="X44" s="78"/>
      <c r="Y44" s="78"/>
      <c r="Z44" s="78"/>
      <c r="AA44" s="78"/>
      <c r="AB44" s="78"/>
      <c r="AC44" s="78"/>
      <c r="AD44" s="78"/>
      <c r="AE44" s="78"/>
      <c r="AF44" s="78"/>
      <c r="AG44" s="99"/>
      <c r="AH44" s="78"/>
      <c r="AT44" s="1400" t="s">
        <v>1036</v>
      </c>
      <c r="AU44" s="1479">
        <v>2</v>
      </c>
      <c r="AV44" s="1401">
        <f>IFERROR(VLOOKUP($AW44,$AK:$AN,4,FALSE),"")</f>
        <v>0</v>
      </c>
      <c r="AW44" s="1399">
        <v>5.4</v>
      </c>
      <c r="AX44" s="1402">
        <f>SUMPRODUCT(($AK$49:$AK$74=$AW44)*($N$49:$N$74)*((O$49:O$74)))</f>
        <v>0</v>
      </c>
      <c r="AY44" s="1402">
        <f>SUMPRODUCT(($AK$49:$AK$74=$AW44)*($N$49:$N$74)*((P$49:P$74)))</f>
        <v>248401</v>
      </c>
      <c r="AZ44" s="1402">
        <f>SUMPRODUCT(($AK$49:$AK$74=$AW44)*($N$49:$N$74)*((Q$49:Q$74)))</f>
        <v>0</v>
      </c>
      <c r="BA44" s="1402">
        <f>SUMPRODUCT(($AK$49:$AK$74=$AW44)*($N$49:$N$74)*((R$49:R$74)))</f>
        <v>0</v>
      </c>
      <c r="BB44" s="1402">
        <f>SUMPRODUCT(($AK$49:$AK$74=$AW44)*($U$49:$U$74)*((V$49:V$74)))</f>
        <v>0</v>
      </c>
      <c r="BC44" s="1402">
        <f>SUMPRODUCT(($AK$49:$AK$74=$AW44)*($U$49:$U$74)*((W$49:W$74)))</f>
        <v>259310.03</v>
      </c>
      <c r="BD44" s="1402">
        <f>SUMPRODUCT(($AK$49:$AK$74=$AW44)*($U$49:$U$74)*((X$49:X$74)))</f>
        <v>0</v>
      </c>
      <c r="BE44" s="1402">
        <f>SUMPRODUCT(($AK$49:$AK$74=$AW44)*($U$49:$U$74)*((Y$49:Y$74)))</f>
        <v>0</v>
      </c>
      <c r="BF44" s="1402">
        <f>SUMPRODUCT(($AK$49:$AK$74=$AW44)*($AB$49:$AB$74)*((AC$49:AC$74)))</f>
        <v>0</v>
      </c>
      <c r="BG44" s="1402">
        <f>SUMPRODUCT(($AK$49:$AK$74=$AW44)*($AB$49:$AB$74)*((AD$49:AD$74)))</f>
        <v>276055.73</v>
      </c>
      <c r="BH44" s="1402">
        <f>SUMPRODUCT(($AK$49:$AK$74=$AW44)*($AB$49:$AB$74)*((AE$49:AE$74)))</f>
        <v>0</v>
      </c>
      <c r="BI44" s="1402">
        <f>SUMPRODUCT(($AK$49:$AK$74=$AW44)*($AB$49:$AB$74)*((AF$49:AF$74)))</f>
        <v>0</v>
      </c>
      <c r="BJ44" s="1403">
        <f t="shared" si="4"/>
        <v>783766.76</v>
      </c>
    </row>
    <row r="45" spans="1:62" ht="112.5" customHeight="1">
      <c r="A45" s="2520" t="str">
        <f>IF($L$1=2,Language!$E$188,IF($L$1=3,Language!$F$188,Language!$G$188))</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45" s="2349"/>
      <c r="C45" s="2349"/>
      <c r="D45" s="2349"/>
      <c r="E45" s="2349"/>
      <c r="F45" s="2349"/>
      <c r="G45" s="2349"/>
      <c r="H45" s="2349"/>
      <c r="I45" s="2349"/>
      <c r="J45" s="2349"/>
      <c r="K45" s="2349"/>
      <c r="L45" s="2349"/>
      <c r="M45" s="2349"/>
      <c r="N45" s="143"/>
      <c r="O45" s="95"/>
      <c r="P45" s="95"/>
      <c r="Q45" s="95"/>
      <c r="R45" s="95"/>
      <c r="S45" s="95"/>
      <c r="T45" s="95"/>
      <c r="U45" s="95"/>
      <c r="V45" s="95"/>
      <c r="W45" s="95"/>
      <c r="X45" s="95"/>
      <c r="Y45" s="95"/>
      <c r="Z45" s="95"/>
      <c r="AA45" s="95"/>
      <c r="AB45" s="95"/>
      <c r="AC45" s="95"/>
      <c r="AD45" s="95"/>
      <c r="AE45" s="95"/>
      <c r="AF45" s="95"/>
      <c r="AG45" s="113"/>
      <c r="AH45" s="95"/>
      <c r="AU45" s="1478">
        <v>3</v>
      </c>
      <c r="AV45" s="1381">
        <f>IFERROR(IF(SETUP!$F$32="Upfront",0,SETUP!$G$32),"")</f>
        <v>0</v>
      </c>
      <c r="AW45" s="1382">
        <v>5.6</v>
      </c>
      <c r="AX45" s="1385">
        <f>SUMPRODUCT(($AJ$83:$AJ$114=$AW45)*($M$83:$M$114)*((N$83:N$114)))</f>
        <v>0</v>
      </c>
      <c r="AY45" s="1385">
        <f>SUMPRODUCT(($AJ$83:$AJ$114=$AW45)*($M$83:$M$114)*((O$83:O$114)))</f>
        <v>380413.43999999994</v>
      </c>
      <c r="AZ45" s="1385">
        <f>SUMPRODUCT(($AJ$83:$AJ$114=$AW45)*($M$83:$M$114)*((P$83:P$114)))</f>
        <v>0</v>
      </c>
      <c r="BA45" s="1385">
        <f>SUMPRODUCT(($AJ$83:$AJ$114=$AW45)*($M$83:$M$114)*((Q$83:Q$114)))</f>
        <v>0</v>
      </c>
      <c r="BB45" s="1385">
        <f>SUMPRODUCT(($AJ$83:$AJ$114=$AW45)*($T$83:$T$114)*((U$83:U$114)))</f>
        <v>0</v>
      </c>
      <c r="BC45" s="1385">
        <f>SUMPRODUCT(($AJ$83:$AJ$114=$AW45)*($T$83:$T$114)*((V$83:V$114)))</f>
        <v>385418.87999999995</v>
      </c>
      <c r="BD45" s="1385">
        <f>SUMPRODUCT(($AJ$83:$AJ$114=$AW45)*($T$83:$T$114)*((W$83:W$114)))</f>
        <v>0</v>
      </c>
      <c r="BE45" s="1385">
        <f>SUMPRODUCT(($AJ$83:$AJ$114=$AW45)*($T$83:$T$114)*((X$83:X$114)))</f>
        <v>0</v>
      </c>
      <c r="BF45" s="1385">
        <f>SUMPRODUCT(($AJ$83:$AJ$114=$AW45)*($AA$83:$AA$114)*((AB$83:AB$114)))</f>
        <v>0</v>
      </c>
      <c r="BG45" s="1385">
        <f>SUMPRODUCT(($AJ$83:$AJ$114=$AW45)*($AA$83:$AA$114)*((AC$83:AC$114)))</f>
        <v>387921.6</v>
      </c>
      <c r="BH45" s="1385">
        <f>SUMPRODUCT(($AJ$83:$AJ$114=$AW45)*($AA$83:$AA$114)*((AD$83:AD$114)))</f>
        <v>0</v>
      </c>
      <c r="BI45" s="1385">
        <f>SUMPRODUCT(($AJ$83:$AJ$114=$AW45)*($AA$83:$AA$114)*((AE$83:AE$114)))</f>
        <v>0</v>
      </c>
      <c r="BJ45" s="343">
        <f t="shared" si="4"/>
        <v>1153753.92</v>
      </c>
    </row>
    <row r="46" spans="1:62" ht="16" thickBot="1">
      <c r="A46" s="1185"/>
      <c r="B46" s="1487"/>
      <c r="C46" s="1487"/>
      <c r="D46" s="115"/>
      <c r="E46" s="115"/>
      <c r="F46" s="116"/>
      <c r="G46" s="116"/>
      <c r="H46" s="116"/>
      <c r="I46" s="116"/>
      <c r="J46" s="116"/>
      <c r="K46" s="116"/>
      <c r="L46" s="116"/>
      <c r="M46" s="117"/>
      <c r="N46" s="1180"/>
      <c r="O46" s="116"/>
      <c r="P46" s="116"/>
      <c r="Q46" s="116"/>
      <c r="R46" s="116"/>
      <c r="S46" s="116"/>
      <c r="T46" s="116"/>
      <c r="U46" s="116"/>
      <c r="V46" s="116"/>
      <c r="W46" s="116"/>
      <c r="X46" s="116"/>
      <c r="Y46" s="116"/>
      <c r="Z46" s="116"/>
      <c r="AA46" s="116"/>
      <c r="AB46" s="116"/>
      <c r="AC46" s="116"/>
      <c r="AD46" s="116"/>
      <c r="AE46" s="116"/>
      <c r="AF46" s="116"/>
      <c r="AG46" s="117"/>
      <c r="AH46" s="116"/>
      <c r="AS46" s="1422"/>
      <c r="AU46" s="1478">
        <v>4</v>
      </c>
      <c r="AV46" s="1381">
        <f>IFERROR(VLOOKUP($AW46,$AJ$121:$AN$223,4,FALSE),"")</f>
        <v>0</v>
      </c>
      <c r="AW46" s="1382">
        <v>5.6</v>
      </c>
      <c r="AX46" s="1385">
        <f>SUMPRODUCT(($AJ$123:$AJ$223=$AW46)*($M$123:$M$223)*((N$123:N$223)))</f>
        <v>0</v>
      </c>
      <c r="AY46" s="1385">
        <f>SUMPRODUCT(($AJ$123:$AJ$223=$AW46)*($M$123:$M$223)*((O$123:O$223)))</f>
        <v>0</v>
      </c>
      <c r="AZ46" s="1385">
        <f>SUMPRODUCT(($AJ$123:$AJ$223=$AW46)*($M$123:$M$223)*((P$123:P$223)))</f>
        <v>1136451</v>
      </c>
      <c r="BA46" s="1385">
        <f>SUMPRODUCT(($AJ$123:$AJ$223=$AW46)*($M$123:$M$223)*((Q$123:Q$223)))</f>
        <v>0</v>
      </c>
      <c r="BB46" s="1385">
        <f>SUMPRODUCT(($AJ$123:$AJ$223=$AW46)*($T$123:$T$223)*((U$123:U$223)))</f>
        <v>0</v>
      </c>
      <c r="BC46" s="1385">
        <f>SUMPRODUCT(($AJ$123:$AJ$223=$AW46)*($T$123:$T$223)*((V$123:V$223)))</f>
        <v>1258596.5</v>
      </c>
      <c r="BD46" s="1385">
        <f>SUMPRODUCT(($AJ$123:$AJ$223=$AW46)*($T$123:$T$223)*((W$123:W$223)))</f>
        <v>0</v>
      </c>
      <c r="BE46" s="1385">
        <f>SUMPRODUCT(($AJ$123:$AJ$223=$AW46)*($T$123:$T$223)*((X$123:X$223)))</f>
        <v>0</v>
      </c>
      <c r="BF46" s="1385">
        <f>SUMPRODUCT(($AJ$123:$AJ$223=$AW46)*($AA$123:$AA$223)*((AB$123:AB$223)))</f>
        <v>0</v>
      </c>
      <c r="BG46" s="1385">
        <f>SUMPRODUCT(($AJ$123:$AJ$223=$AW46)*($AA$123:$AA$223)*((AC$123:AC$223)))</f>
        <v>1401891</v>
      </c>
      <c r="BH46" s="1385">
        <f>SUMPRODUCT(($AJ$123:$AJ$223=$AW46)*($AA$123:$AA$223)*((AD$123:AD$223)))</f>
        <v>0</v>
      </c>
      <c r="BI46" s="1385">
        <f>SUMPRODUCT(($AJ$123:$AJ$223=$AW46)*($AA$123:$AA$223)*((AE$123:AE$223)))</f>
        <v>0</v>
      </c>
      <c r="BJ46" s="343">
        <f t="shared" si="4"/>
        <v>3796938.5</v>
      </c>
    </row>
    <row r="47" spans="1:62" s="268" customFormat="1">
      <c r="A47" s="2454" t="str">
        <f>A12</f>
        <v>Categoría</v>
      </c>
      <c r="B47" s="2448"/>
      <c r="C47" s="2448"/>
      <c r="D47" s="2448"/>
      <c r="E47" s="2456" t="str">
        <f>E12</f>
        <v>Tipo de producto</v>
      </c>
      <c r="F47" s="2448"/>
      <c r="G47" s="2448"/>
      <c r="H47" s="2457"/>
      <c r="I47" s="2450" t="str">
        <f>I12</f>
        <v>Especificaciones (tamaño, características, tamaño del empaque)</v>
      </c>
      <c r="J47" s="2450"/>
      <c r="K47" s="2451"/>
      <c r="L47" s="2448" t="str">
        <f>L12</f>
        <v>Unidad de medida</v>
      </c>
      <c r="M47" s="2457" t="str">
        <f>M12</f>
        <v>Moneda de pago</v>
      </c>
      <c r="N47" s="2428">
        <f>N12</f>
        <v>2022</v>
      </c>
      <c r="O47" s="2428"/>
      <c r="P47" s="2428"/>
      <c r="Q47" s="2428"/>
      <c r="R47" s="2428"/>
      <c r="S47" s="2428"/>
      <c r="T47" s="2444"/>
      <c r="U47" s="2428">
        <f>U12</f>
        <v>2023</v>
      </c>
      <c r="V47" s="2428"/>
      <c r="W47" s="2428"/>
      <c r="X47" s="2428"/>
      <c r="Y47" s="2428"/>
      <c r="Z47" s="2428"/>
      <c r="AA47" s="2429"/>
      <c r="AB47" s="2430">
        <f>AB12</f>
        <v>2024</v>
      </c>
      <c r="AC47" s="2428"/>
      <c r="AD47" s="2428"/>
      <c r="AE47" s="2428"/>
      <c r="AF47" s="2428"/>
      <c r="AG47" s="2428"/>
      <c r="AH47" s="2429"/>
      <c r="AI47" s="2310" t="str">
        <f>AI12</f>
        <v>Total del período de subvención</v>
      </c>
      <c r="AJ47" s="2374"/>
      <c r="AK47" s="451" t="str">
        <f>AK12</f>
        <v>Finanzas</v>
      </c>
      <c r="AL47" s="2375" t="str">
        <f>AL12</f>
        <v>Comentarios</v>
      </c>
      <c r="AM47" s="2295" t="str">
        <f>VLOOKUP("Delivery Lead Time",Language!$D$149:$G$289,$L$1,FALSE)</f>
        <v>Plazo de entrega</v>
      </c>
      <c r="AN47" s="2295" t="s">
        <v>3055</v>
      </c>
      <c r="AS47" s="1422"/>
      <c r="AT47" s="62"/>
      <c r="AU47" s="1478">
        <v>4</v>
      </c>
      <c r="AV47" s="1381">
        <f>IFERROR(VLOOKUP($AW47,$AJ$121:$AN$223,4,FALSE),0)</f>
        <v>0</v>
      </c>
      <c r="AW47" s="1382">
        <v>5.7</v>
      </c>
      <c r="AX47" s="1385">
        <f t="shared" ref="AX47" si="5">SUMPRODUCT(($AJ$123:$AJ$223=$AW47)*($M$123:$M$223)*((N$123:N$223)))</f>
        <v>0</v>
      </c>
      <c r="AY47" s="1385">
        <f t="shared" ref="AY47:AY48" si="6">SUMPRODUCT(($AJ$123:$AJ$223=$AW47)*($M$123:$M$223)*((O$123:O$223)))</f>
        <v>0</v>
      </c>
      <c r="AZ47" s="1385">
        <f t="shared" ref="AZ47:AZ48" si="7">SUMPRODUCT(($AJ$123:$AJ$223=$AW47)*($M$123:$M$223)*((P$123:P$223)))</f>
        <v>0</v>
      </c>
      <c r="BA47" s="1385">
        <f t="shared" ref="BA47:BA48" si="8">SUMPRODUCT(($AJ$123:$AJ$223=$AW47)*($M$123:$M$223)*((Q$123:Q$223)))</f>
        <v>0</v>
      </c>
      <c r="BB47" s="1385">
        <f t="shared" ref="BB47:BB48" si="9">SUMPRODUCT(($AJ$123:$AJ$223=$AW47)*($T$123:$T$223)*((U$123:U$223)))</f>
        <v>0</v>
      </c>
      <c r="BC47" s="1385">
        <f t="shared" ref="BC47:BC48" si="10">SUMPRODUCT(($AJ$123:$AJ$223=$AW47)*($T$123:$T$223)*((V$123:V$223)))</f>
        <v>0</v>
      </c>
      <c r="BD47" s="1385">
        <f t="shared" ref="BD47:BD48" si="11">SUMPRODUCT(($AJ$123:$AJ$223=$AW47)*($T$123:$T$223)*((W$123:W$223)))</f>
        <v>0</v>
      </c>
      <c r="BE47" s="1385">
        <f t="shared" ref="BE47:BE48" si="12">SUMPRODUCT(($AJ$123:$AJ$223=$AW47)*($T$123:$T$223)*((X$123:X$223)))</f>
        <v>0</v>
      </c>
      <c r="BF47" s="1385">
        <f t="shared" ref="BF47:BF48" si="13">SUMPRODUCT(($AJ$123:$AJ$223=$AW47)*($AA$123:$AA$223)*((AB$123:AB$223)))</f>
        <v>0</v>
      </c>
      <c r="BG47" s="1385">
        <f t="shared" ref="BG47:BG48" si="14">SUMPRODUCT(($AJ$123:$AJ$223=$AW47)*($AA$123:$AA$223)*((AC$123:AC$223)))</f>
        <v>0</v>
      </c>
      <c r="BH47" s="1385">
        <f t="shared" ref="BH47:BH48" si="15">SUMPRODUCT(($AJ$123:$AJ$223=$AW47)*($AA$123:$AA$223)*((AD$123:AD$223)))</f>
        <v>0</v>
      </c>
      <c r="BI47" s="1385">
        <f t="shared" ref="BI47:BI48" si="16">SUMPRODUCT(($AJ$123:$AJ$223=$AW47)*($AA$123:$AA$223)*((AE$123:AE$223)))</f>
        <v>0</v>
      </c>
      <c r="BJ47" s="343">
        <f t="shared" si="4"/>
        <v>0</v>
      </c>
    </row>
    <row r="48" spans="1:62" s="323" customFormat="1" ht="26.5" thickBot="1">
      <c r="A48" s="2390"/>
      <c r="B48" s="2388"/>
      <c r="C48" s="2388"/>
      <c r="D48" s="2388"/>
      <c r="E48" s="2458"/>
      <c r="F48" s="2388"/>
      <c r="G48" s="2388"/>
      <c r="H48" s="2452"/>
      <c r="I48" s="2421"/>
      <c r="J48" s="2421"/>
      <c r="K48" s="2385"/>
      <c r="L48" s="2388"/>
      <c r="M48" s="2452"/>
      <c r="N48" s="1828" t="str">
        <f t="shared" ref="N48:T48" si="17">N13</f>
        <v>Costo unitario del A1</v>
      </c>
      <c r="O48" s="1821" t="str">
        <f t="shared" si="17"/>
        <v>Cantidad del A1, T1</v>
      </c>
      <c r="P48" s="1821" t="str">
        <f t="shared" si="17"/>
        <v>Cantidad del A1, T2</v>
      </c>
      <c r="Q48" s="1821" t="str">
        <f t="shared" si="17"/>
        <v>Cantidad del A1, T3</v>
      </c>
      <c r="R48" s="1821" t="str">
        <f t="shared" si="17"/>
        <v>Cantidad del A1, T4</v>
      </c>
      <c r="S48" s="1821" t="str">
        <f t="shared" si="17"/>
        <v>Cantidad total del A1</v>
      </c>
      <c r="T48" s="1829" t="str">
        <f t="shared" si="17"/>
        <v>Costo total del A1</v>
      </c>
      <c r="U48" s="1830" t="str">
        <f>U13</f>
        <v>Costo unitario del A2</v>
      </c>
      <c r="V48" s="1839" t="str">
        <f t="shared" ref="V48:AJ48" si="18">V13</f>
        <v>Cantidad del A2, T1</v>
      </c>
      <c r="W48" s="1839" t="str">
        <f t="shared" si="18"/>
        <v>Cantidad del A2, T2</v>
      </c>
      <c r="X48" s="1839" t="str">
        <f t="shared" si="18"/>
        <v>Cantidad del A2, T3</v>
      </c>
      <c r="Y48" s="1839" t="str">
        <f t="shared" si="18"/>
        <v>Cantidad del A2, T4</v>
      </c>
      <c r="Z48" s="1839" t="str">
        <f t="shared" si="18"/>
        <v>Cantidad total del A2</v>
      </c>
      <c r="AA48" s="1829" t="str">
        <f t="shared" si="18"/>
        <v>Costo total del A2</v>
      </c>
      <c r="AB48" s="1830" t="str">
        <f t="shared" si="18"/>
        <v>Costo unitario del A3</v>
      </c>
      <c r="AC48" s="1839" t="str">
        <f t="shared" si="18"/>
        <v>Cantidad del A3, T1</v>
      </c>
      <c r="AD48" s="1839" t="str">
        <f t="shared" si="18"/>
        <v>Cantidad del A3, T2</v>
      </c>
      <c r="AE48" s="1839" t="str">
        <f t="shared" si="18"/>
        <v>Cantidad del A3, T3</v>
      </c>
      <c r="AF48" s="1839" t="str">
        <f t="shared" si="18"/>
        <v>Cantidad del A3, T4</v>
      </c>
      <c r="AG48" s="1839" t="str">
        <f t="shared" si="18"/>
        <v>Cantidad total del A3</v>
      </c>
      <c r="AH48" s="1829" t="str">
        <f t="shared" si="18"/>
        <v>Costo total del A3</v>
      </c>
      <c r="AI48" s="1823" t="str">
        <f t="shared" si="18"/>
        <v>Cantidad total</v>
      </c>
      <c r="AJ48" s="1829" t="str">
        <f t="shared" si="18"/>
        <v xml:space="preserve">Costo total </v>
      </c>
      <c r="AK48" s="1833" t="str">
        <f>AK13</f>
        <v>Categoría de costos</v>
      </c>
      <c r="AL48" s="2376"/>
      <c r="AM48" s="2296"/>
      <c r="AN48" s="2296"/>
      <c r="AS48" s="1422"/>
      <c r="AT48" s="62"/>
      <c r="AU48" s="1478">
        <v>4</v>
      </c>
      <c r="AV48" s="1381">
        <f>IFERROR(VLOOKUP($AW48,$AJ$121:$AN$223,4,FALSE),"")</f>
        <v>0</v>
      </c>
      <c r="AW48" s="1382">
        <v>5.8</v>
      </c>
      <c r="AX48" s="1385">
        <f>SUMPRODUCT(($AJ$123:$AJ$223=$AW48)*($M$123:$M$223)*((N$123:N$223)))</f>
        <v>0</v>
      </c>
      <c r="AY48" s="1385">
        <f t="shared" si="6"/>
        <v>0</v>
      </c>
      <c r="AZ48" s="1385">
        <f t="shared" si="7"/>
        <v>185894</v>
      </c>
      <c r="BA48" s="1385">
        <f t="shared" si="8"/>
        <v>0</v>
      </c>
      <c r="BB48" s="1385">
        <f t="shared" si="9"/>
        <v>0</v>
      </c>
      <c r="BC48" s="1385">
        <f t="shared" si="10"/>
        <v>187954</v>
      </c>
      <c r="BD48" s="1385">
        <f t="shared" si="11"/>
        <v>0</v>
      </c>
      <c r="BE48" s="1385">
        <f t="shared" si="12"/>
        <v>0</v>
      </c>
      <c r="BF48" s="1385">
        <f t="shared" si="13"/>
        <v>0</v>
      </c>
      <c r="BG48" s="1385">
        <f t="shared" si="14"/>
        <v>191044</v>
      </c>
      <c r="BH48" s="1385">
        <f t="shared" si="15"/>
        <v>0</v>
      </c>
      <c r="BI48" s="1385">
        <f t="shared" si="16"/>
        <v>0</v>
      </c>
      <c r="BJ48" s="343">
        <f t="shared" si="4"/>
        <v>564892</v>
      </c>
    </row>
    <row r="49" spans="1:62" s="198" customFormat="1">
      <c r="A49" s="2377" t="s">
        <v>441</v>
      </c>
      <c r="B49" s="2302"/>
      <c r="C49" s="2302"/>
      <c r="D49" s="2302"/>
      <c r="E49" s="2449" t="s">
        <v>194</v>
      </c>
      <c r="F49" s="2446"/>
      <c r="G49" s="2446"/>
      <c r="H49" s="2446"/>
      <c r="I49" s="2445" t="s">
        <v>2754</v>
      </c>
      <c r="J49" s="2446"/>
      <c r="K49" s="2447"/>
      <c r="L49" s="209" t="str">
        <f>IF(A49&lt;&gt;"",IFERROR(INDEX(PMtbl[[WKst]:[Unit of measure*]],MATCH($A$43&amp;$A49&amp;$E49&amp;$I49,INDEX(PMtbl[Sec]&amp;PMtbl[Category]&amp;PMtbl[INN]&amp;PMtbl[Specification],0,),0),8),""),"")</f>
        <v>Pack</v>
      </c>
      <c r="M49" s="1186" t="str">
        <f>IF(L49="", "",SETUP!$E$5)</f>
        <v>USD</v>
      </c>
      <c r="N49" s="1959">
        <v>103</v>
      </c>
      <c r="O49" s="1943"/>
      <c r="P49" s="1943">
        <v>1253</v>
      </c>
      <c r="Q49" s="1943"/>
      <c r="R49" s="1943"/>
      <c r="S49" s="1805">
        <f>SUM('HIV-Other HPs'!$O49:$R49)</f>
        <v>1253</v>
      </c>
      <c r="T49" s="1806">
        <f>'HIV-Other HPs'!$N49*'HIV-Other HPs'!$S49</f>
        <v>129059</v>
      </c>
      <c r="U49" s="1959">
        <v>103</v>
      </c>
      <c r="V49" s="1943"/>
      <c r="W49" s="1943">
        <v>1273</v>
      </c>
      <c r="X49" s="1943"/>
      <c r="Y49" s="1943"/>
      <c r="Z49" s="1805">
        <f>SUM('HIV-Other HPs'!$V49:$Y49)</f>
        <v>1273</v>
      </c>
      <c r="AA49" s="1806">
        <f>'HIV-Other HPs'!$U49*'HIV-Other HPs'!$Z49</f>
        <v>131119</v>
      </c>
      <c r="AB49" s="1959">
        <v>103</v>
      </c>
      <c r="AC49" s="1943"/>
      <c r="AD49" s="1943">
        <v>1303</v>
      </c>
      <c r="AE49" s="1943"/>
      <c r="AF49" s="1943"/>
      <c r="AG49" s="1805">
        <f>SUM('HIV-Other HPs'!$AC49:$AF49)</f>
        <v>1303</v>
      </c>
      <c r="AH49" s="1806">
        <f>'HIV-Other HPs'!$AB49*'HIV-Other HPs'!$AG49</f>
        <v>134209</v>
      </c>
      <c r="AI49" s="1840">
        <f>'HIV-Other HPs'!$S49+'HIV-Other HPs'!$Z49+'HIV-Other HPs'!$AG49</f>
        <v>3829</v>
      </c>
      <c r="AJ49" s="1841">
        <f>'HIV-Other HPs'!$T49+'HIV-Other HPs'!$AA49+'HIV-Other HPs'!$AH49</f>
        <v>394387</v>
      </c>
      <c r="AK49" s="1842">
        <f>IF(A49&lt;&gt;"",IFERROR(INDEX(PMtbl[[WKst]:[Unit of measure*]],MATCH($A$43&amp;$A49&amp;$E49&amp;$I49,INDEX(PMtbl[Sec]&amp;PMtbl[Category]&amp;PMtbl[INN]&amp;PMtbl[Specification],0,),0),7),""),"")</f>
        <v>5.4</v>
      </c>
      <c r="AL49" s="2050" t="s">
        <v>4283</v>
      </c>
      <c r="AM49" s="1393">
        <f>IFERROR(INDEX(SETUP!$C$19:$G$62,MATCH((INDEX(PMtbl[[WKst]:[Unit of measure*]],MATCH($A49&amp;$E49&amp;$I49,INDEX(PMtbl[Category]&amp;PMtbl[INN]&amp;PMtbl[Specification],0,),0),3)),SETUP!$D$19:$D$62,0),5),"")</f>
        <v>0</v>
      </c>
      <c r="AN49" s="1393">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0</v>
      </c>
      <c r="AW49" s="323"/>
      <c r="AX49" s="1477">
        <f>SUM(AX41:AX48)</f>
        <v>0</v>
      </c>
      <c r="AY49" s="1477">
        <f t="shared" ref="AY49:BJ49" si="19">SUM(AY41:AY48)</f>
        <v>628814.43999999994</v>
      </c>
      <c r="AZ49" s="1477">
        <f t="shared" si="19"/>
        <v>1322345</v>
      </c>
      <c r="BA49" s="1477">
        <f t="shared" si="19"/>
        <v>0</v>
      </c>
      <c r="BB49" s="1477">
        <f t="shared" si="19"/>
        <v>0</v>
      </c>
      <c r="BC49" s="1477">
        <f t="shared" si="19"/>
        <v>2091279.41</v>
      </c>
      <c r="BD49" s="1477">
        <f t="shared" si="19"/>
        <v>0</v>
      </c>
      <c r="BE49" s="1477">
        <f t="shared" si="19"/>
        <v>0</v>
      </c>
      <c r="BF49" s="1477">
        <f t="shared" si="19"/>
        <v>0</v>
      </c>
      <c r="BG49" s="1477">
        <f t="shared" si="19"/>
        <v>2256912.33</v>
      </c>
      <c r="BH49" s="1477">
        <f t="shared" si="19"/>
        <v>0</v>
      </c>
      <c r="BI49" s="1477">
        <f t="shared" si="19"/>
        <v>0</v>
      </c>
      <c r="BJ49" s="1477">
        <f t="shared" si="19"/>
        <v>6299351.1799999997</v>
      </c>
    </row>
    <row r="50" spans="1:62" s="198" customFormat="1">
      <c r="A50" s="2455" t="s">
        <v>442</v>
      </c>
      <c r="B50" s="2435"/>
      <c r="C50" s="2435"/>
      <c r="D50" s="2435"/>
      <c r="E50" s="2434" t="s">
        <v>198</v>
      </c>
      <c r="F50" s="2435"/>
      <c r="G50" s="2435"/>
      <c r="H50" s="2435"/>
      <c r="I50" s="2455" t="s">
        <v>700</v>
      </c>
      <c r="J50" s="2435"/>
      <c r="K50" s="2497"/>
      <c r="L50" s="210" t="str">
        <f>IF(A50&lt;&gt;"",IFERROR(INDEX(PMtbl[[WKst]:[Unit of measure*]],MATCH($A$43&amp;$A50&amp;$E50&amp;$I50,INDEX(PMtbl[Sec]&amp;PMtbl[Category]&amp;PMtbl[INN]&amp;PMtbl[Specification],0,),0),8),""),"")</f>
        <v>Pack</v>
      </c>
      <c r="M50" s="1187" t="str">
        <f>IF(L50="", "",SETUP!$E$5)</f>
        <v>USD</v>
      </c>
      <c r="N50" s="1947">
        <v>0.47</v>
      </c>
      <c r="O50" s="12"/>
      <c r="P50" s="12">
        <v>125290</v>
      </c>
      <c r="Q50" s="12"/>
      <c r="R50" s="12"/>
      <c r="S50" s="1809">
        <f>SUM('HIV-Other HPs'!$O50:$R50)</f>
        <v>125290</v>
      </c>
      <c r="T50" s="1810">
        <f>'HIV-Other HPs'!$N50*'HIV-Other HPs'!$S50</f>
        <v>58886.299999999996</v>
      </c>
      <c r="U50" s="1947">
        <v>0.47</v>
      </c>
      <c r="V50" s="12"/>
      <c r="W50" s="12">
        <v>127279</v>
      </c>
      <c r="X50" s="12"/>
      <c r="Y50" s="12"/>
      <c r="Z50" s="1809">
        <f>SUM('HIV-Other HPs'!$V50:$Y50)</f>
        <v>127279</v>
      </c>
      <c r="AA50" s="1810">
        <f>'HIV-Other HPs'!$U50*'HIV-Other HPs'!$Z50</f>
        <v>59821.13</v>
      </c>
      <c r="AB50" s="1947">
        <v>0.47</v>
      </c>
      <c r="AC50" s="12"/>
      <c r="AD50" s="12">
        <v>130299</v>
      </c>
      <c r="AE50" s="12"/>
      <c r="AF50" s="12"/>
      <c r="AG50" s="1809">
        <f>SUM('HIV-Other HPs'!$AC50:$AF50)</f>
        <v>130299</v>
      </c>
      <c r="AH50" s="1810">
        <f>'HIV-Other HPs'!$AB50*'HIV-Other HPs'!$AG50</f>
        <v>61240.53</v>
      </c>
      <c r="AI50" s="1843">
        <f>'HIV-Other HPs'!$S50+'HIV-Other HPs'!$Z50+'HIV-Other HPs'!$AG50</f>
        <v>382868</v>
      </c>
      <c r="AJ50" s="1844">
        <f>'HIV-Other HPs'!$T50+'HIV-Other HPs'!$AA50+'HIV-Other HPs'!$AH50</f>
        <v>179947.96</v>
      </c>
      <c r="AK50" s="1391">
        <f>IF(A50&lt;&gt;"",IFERROR(INDEX(PMtbl[[WKst]:[Unit of measure*]],MATCH($A$43&amp;$A50&amp;$E50&amp;$I50,INDEX(PMtbl[Sec]&amp;PMtbl[Category]&amp;PMtbl[INN]&amp;PMtbl[Specification],0,),0),7),""),"")</f>
        <v>5.4</v>
      </c>
      <c r="AL50" s="2049" t="s">
        <v>4269</v>
      </c>
      <c r="AM50" s="1391">
        <f>IFERROR(INDEX(SETUP!$C$19:$G$62,MATCH((INDEX(PMtbl[[WKst]:[Unit of measure*]],MATCH($A50&amp;$E50&amp;$I50,INDEX(PMtbl[Category]&amp;PMtbl[INN]&amp;PMtbl[Specification],0,),0),3)),SETUP!$D$19:$D$62,0),5),"")</f>
        <v>0</v>
      </c>
      <c r="AN50" s="1391">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0</v>
      </c>
    </row>
    <row r="51" spans="1:62" s="198" customFormat="1">
      <c r="A51" s="2377" t="s">
        <v>442</v>
      </c>
      <c r="B51" s="2302"/>
      <c r="C51" s="2302"/>
      <c r="D51" s="2302"/>
      <c r="E51" s="2427" t="s">
        <v>200</v>
      </c>
      <c r="F51" s="2302"/>
      <c r="G51" s="2302"/>
      <c r="H51" s="2302"/>
      <c r="I51" s="2377" t="s">
        <v>1325</v>
      </c>
      <c r="J51" s="2302"/>
      <c r="K51" s="2426"/>
      <c r="L51" s="209" t="str">
        <f>IF(A51&lt;&gt;"",IFERROR(INDEX(PMtbl[[WKst]:[Unit of measure*]],MATCH($A$43&amp;$A51&amp;$E51&amp;$I51,INDEX(PMtbl[Sec]&amp;PMtbl[Category]&amp;PMtbl[INN]&amp;PMtbl[Specification],0,),0),8),""),"")</f>
        <v>Pack</v>
      </c>
      <c r="M51" s="1186" t="str">
        <f>IF(L51="", "",SETUP!$E$5)</f>
        <v>USD</v>
      </c>
      <c r="N51" s="1948">
        <v>24</v>
      </c>
      <c r="O51" s="1946"/>
      <c r="P51" s="1946">
        <v>513</v>
      </c>
      <c r="Q51" s="1946"/>
      <c r="R51" s="1946"/>
      <c r="S51" s="1812">
        <f>SUM('HIV-Other HPs'!$O51:$R51)</f>
        <v>513</v>
      </c>
      <c r="T51" s="1813">
        <f>'HIV-Other HPs'!$N51*'HIV-Other HPs'!$S51</f>
        <v>12312</v>
      </c>
      <c r="U51" s="1948">
        <v>24</v>
      </c>
      <c r="V51" s="1946"/>
      <c r="W51" s="1946">
        <v>585</v>
      </c>
      <c r="X51" s="1946"/>
      <c r="Y51" s="1946"/>
      <c r="Z51" s="1812">
        <f>SUM('HIV-Other HPs'!$V51:$Y51)</f>
        <v>585</v>
      </c>
      <c r="AA51" s="1813">
        <f>'HIV-Other HPs'!$U51*'HIV-Other HPs'!$Z51</f>
        <v>14040</v>
      </c>
      <c r="AB51" s="1948">
        <v>24</v>
      </c>
      <c r="AC51" s="1946"/>
      <c r="AD51" s="1946">
        <v>679</v>
      </c>
      <c r="AE51" s="1946"/>
      <c r="AF51" s="1946"/>
      <c r="AG51" s="1812">
        <f>SUM('HIV-Other HPs'!$AC51:$AF51)</f>
        <v>679</v>
      </c>
      <c r="AH51" s="1813">
        <f>'HIV-Other HPs'!$AB51*'HIV-Other HPs'!$AG51</f>
        <v>16296</v>
      </c>
      <c r="AI51" s="1845">
        <f>'HIV-Other HPs'!$S51+'HIV-Other HPs'!$Z51+'HIV-Other HPs'!$AG51</f>
        <v>1777</v>
      </c>
      <c r="AJ51" s="1846">
        <f>'HIV-Other HPs'!$T51+'HIV-Other HPs'!$AA51+'HIV-Other HPs'!$AH51</f>
        <v>42648</v>
      </c>
      <c r="AK51" s="1390">
        <f>IF(A51&lt;&gt;"",IFERROR(INDEX(PMtbl[[WKst]:[Unit of measure*]],MATCH($A$43&amp;$A51&amp;$E51&amp;$I51,INDEX(PMtbl[Sec]&amp;PMtbl[Category]&amp;PMtbl[INN]&amp;PMtbl[Specification],0,),0),7),""),"")</f>
        <v>5.4</v>
      </c>
      <c r="AL51" s="2050"/>
      <c r="AM51" s="1393">
        <f>IFERROR(INDEX(SETUP!$C$19:$G$62,MATCH((INDEX(PMtbl[[WKst]:[Unit of measure*]],MATCH($A51&amp;$E51&amp;$I51,INDEX(PMtbl[Category]&amp;PMtbl[INN]&amp;PMtbl[Specification],0,),0),3)),SETUP!$D$19:$D$62,0),5),"")</f>
        <v>0</v>
      </c>
      <c r="AN51" s="1393">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0</v>
      </c>
    </row>
    <row r="52" spans="1:62" s="198" customFormat="1">
      <c r="A52" s="2455" t="s">
        <v>442</v>
      </c>
      <c r="B52" s="2435"/>
      <c r="C52" s="2435"/>
      <c r="D52" s="2435"/>
      <c r="E52" s="2434" t="s">
        <v>201</v>
      </c>
      <c r="F52" s="2435"/>
      <c r="G52" s="2435"/>
      <c r="H52" s="2435"/>
      <c r="I52" s="2378" t="s">
        <v>695</v>
      </c>
      <c r="J52" s="2304"/>
      <c r="K52" s="2436"/>
      <c r="L52" s="210" t="str">
        <f>IF(A52&lt;&gt;"",IFERROR(INDEX(PMtbl[[WKst]:[Unit of measure*]],MATCH($A$43&amp;$A52&amp;$E52&amp;$I52,INDEX(PMtbl[Sec]&amp;PMtbl[Category]&amp;PMtbl[INN]&amp;PMtbl[Specification],0,),0),8),""),"")</f>
        <v>Pack</v>
      </c>
      <c r="M52" s="1188" t="str">
        <f>IF(L52="", "",SETUP!$E$5)</f>
        <v>USD</v>
      </c>
      <c r="N52" s="1947">
        <v>1</v>
      </c>
      <c r="O52" s="12"/>
      <c r="P52" s="12">
        <v>15390</v>
      </c>
      <c r="Q52" s="12"/>
      <c r="R52" s="12"/>
      <c r="S52" s="1809">
        <f>SUM('HIV-Other HPs'!$O52:$R52)</f>
        <v>15390</v>
      </c>
      <c r="T52" s="1810">
        <f>'HIV-Other HPs'!$N52*'HIV-Other HPs'!$S52</f>
        <v>15390</v>
      </c>
      <c r="U52" s="1947">
        <v>1</v>
      </c>
      <c r="V52" s="12"/>
      <c r="W52" s="12">
        <v>17550</v>
      </c>
      <c r="X52" s="12"/>
      <c r="Y52" s="12"/>
      <c r="Z52" s="1809">
        <f>SUM('HIV-Other HPs'!$V52:$Y52)</f>
        <v>17550</v>
      </c>
      <c r="AA52" s="1810">
        <f>'HIV-Other HPs'!$U52*'HIV-Other HPs'!$Z52</f>
        <v>17550</v>
      </c>
      <c r="AB52" s="1947">
        <v>1</v>
      </c>
      <c r="AC52" s="12"/>
      <c r="AD52" s="12">
        <v>20370</v>
      </c>
      <c r="AE52" s="12"/>
      <c r="AF52" s="12"/>
      <c r="AG52" s="1809">
        <f>SUM('HIV-Other HPs'!$AC52:$AF52)</f>
        <v>20370</v>
      </c>
      <c r="AH52" s="1810">
        <f>'HIV-Other HPs'!$AB52*'HIV-Other HPs'!$AG52</f>
        <v>20370</v>
      </c>
      <c r="AI52" s="1843">
        <f>'HIV-Other HPs'!$S52+'HIV-Other HPs'!$Z52+'HIV-Other HPs'!$AG52</f>
        <v>53310</v>
      </c>
      <c r="AJ52" s="1844">
        <f>'HIV-Other HPs'!$T52+'HIV-Other HPs'!$AA52+'HIV-Other HPs'!$AH52</f>
        <v>53310</v>
      </c>
      <c r="AK52" s="1391">
        <f>IF(A52&lt;&gt;"",IFERROR(INDEX(PMtbl[[WKst]:[Unit of measure*]],MATCH($A$43&amp;$A52&amp;$E52&amp;$I52,INDEX(PMtbl[Sec]&amp;PMtbl[Category]&amp;PMtbl[INN]&amp;PMtbl[Specification],0,),0),7),""),"")</f>
        <v>5.4</v>
      </c>
      <c r="AL52" s="2049" t="s">
        <v>4269</v>
      </c>
      <c r="AM52" s="1391">
        <f>IFERROR(INDEX(SETUP!$C$19:$G$62,MATCH((INDEX(PMtbl[[WKst]:[Unit of measure*]],MATCH($A52&amp;$E52&amp;$I52,INDEX(PMtbl[Category]&amp;PMtbl[INN]&amp;PMtbl[Specification],0,),0),3)),SETUP!$D$19:$D$62,0),5),"")</f>
        <v>0</v>
      </c>
      <c r="AN52" s="1391">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0</v>
      </c>
    </row>
    <row r="53" spans="1:62" s="198" customFormat="1">
      <c r="A53" s="2377" t="s">
        <v>442</v>
      </c>
      <c r="B53" s="2302"/>
      <c r="C53" s="2302"/>
      <c r="D53" s="2302"/>
      <c r="E53" s="2427" t="s">
        <v>199</v>
      </c>
      <c r="F53" s="2302"/>
      <c r="G53" s="2302"/>
      <c r="H53" s="2426"/>
      <c r="I53" s="2377" t="s">
        <v>1326</v>
      </c>
      <c r="J53" s="2302"/>
      <c r="K53" s="2426"/>
      <c r="L53" s="209" t="str">
        <f>IF(A53&lt;&gt;"",IFERROR(INDEX(PMtbl[[WKst]:[Unit of measure*]],MATCH($A$43&amp;$A53&amp;$E53&amp;$I53,INDEX(PMtbl[Sec]&amp;PMtbl[Category]&amp;PMtbl[INN]&amp;PMtbl[Specification],0,),0),8),""),"")</f>
        <v>Pack</v>
      </c>
      <c r="M53" s="1186" t="str">
        <f>IF(L53="", "",SETUP!$E$5)</f>
        <v>USD</v>
      </c>
      <c r="N53" s="1948">
        <v>200</v>
      </c>
      <c r="O53" s="1946"/>
      <c r="P53" s="1946">
        <v>11</v>
      </c>
      <c r="Q53" s="1946"/>
      <c r="R53" s="1946"/>
      <c r="S53" s="1812">
        <f>SUM('HIV-Other HPs'!$O53:$R53)</f>
        <v>11</v>
      </c>
      <c r="T53" s="1813">
        <f>'HIV-Other HPs'!$N53*'HIV-Other HPs'!$S53</f>
        <v>2200</v>
      </c>
      <c r="U53" s="1948">
        <v>200</v>
      </c>
      <c r="V53" s="1946"/>
      <c r="W53" s="1946">
        <v>11</v>
      </c>
      <c r="X53" s="1946"/>
      <c r="Y53" s="1946"/>
      <c r="Z53" s="1812">
        <f>SUM('HIV-Other HPs'!$V53:$Y53)</f>
        <v>11</v>
      </c>
      <c r="AA53" s="1813">
        <f>'HIV-Other HPs'!$U53*'HIV-Other HPs'!$Z53</f>
        <v>2200</v>
      </c>
      <c r="AB53" s="1948">
        <v>200</v>
      </c>
      <c r="AC53" s="1946"/>
      <c r="AD53" s="1946">
        <v>11</v>
      </c>
      <c r="AE53" s="1946"/>
      <c r="AF53" s="1946"/>
      <c r="AG53" s="1812">
        <f>SUM('HIV-Other HPs'!$AC53:$AF53)</f>
        <v>11</v>
      </c>
      <c r="AH53" s="1813">
        <f>'HIV-Other HPs'!$AB53*'HIV-Other HPs'!$AG53</f>
        <v>2200</v>
      </c>
      <c r="AI53" s="1845">
        <f>'HIV-Other HPs'!$S53+'HIV-Other HPs'!$Z53+'HIV-Other HPs'!$AG53</f>
        <v>33</v>
      </c>
      <c r="AJ53" s="1846">
        <f>'HIV-Other HPs'!$T53+'HIV-Other HPs'!$AA53+'HIV-Other HPs'!$AH53</f>
        <v>6600</v>
      </c>
      <c r="AK53" s="1390">
        <f>IF(A53&lt;&gt;"",IFERROR(INDEX(PMtbl[[WKst]:[Unit of measure*]],MATCH($A$43&amp;$A53&amp;$E53&amp;$I53,INDEX(PMtbl[Sec]&amp;PMtbl[Category]&amp;PMtbl[INN]&amp;PMtbl[Specification],0,),0),7),""),"")</f>
        <v>5.4</v>
      </c>
      <c r="AL53" s="2050"/>
      <c r="AM53" s="1390">
        <f>IFERROR(INDEX(SETUP!$C$19:$G$62,MATCH((INDEX(PMtbl[[WKst]:[Unit of measure*]],MATCH($A53&amp;$E53&amp;$I53,INDEX(PMtbl[Category]&amp;PMtbl[INN]&amp;PMtbl[Specification],0,),0),3)),SETUP!$D$19:$D$62,0),5),"")</f>
        <v>0</v>
      </c>
      <c r="AN53" s="1390">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0</v>
      </c>
    </row>
    <row r="54" spans="1:62" s="198" customFormat="1">
      <c r="A54" s="2455" t="s">
        <v>442</v>
      </c>
      <c r="B54" s="2435"/>
      <c r="C54" s="2435"/>
      <c r="D54" s="2435"/>
      <c r="E54" s="2434" t="s">
        <v>199</v>
      </c>
      <c r="F54" s="2435"/>
      <c r="G54" s="2435"/>
      <c r="H54" s="2435"/>
      <c r="I54" s="2378" t="s">
        <v>1326</v>
      </c>
      <c r="J54" s="2304"/>
      <c r="K54" s="2436"/>
      <c r="L54" s="210" t="str">
        <f>IF(A54&lt;&gt;"",IFERROR(INDEX(PMtbl[[WKst]:[Unit of measure*]],MATCH($A$43&amp;$A54&amp;$E54&amp;$I54,INDEX(PMtbl[Sec]&amp;PMtbl[Category]&amp;PMtbl[INN]&amp;PMtbl[Specification],0,),0),8),""),"")</f>
        <v>Pack</v>
      </c>
      <c r="M54" s="1188" t="str">
        <f>IF(L54="", "",SETUP!$E$5)</f>
        <v>USD</v>
      </c>
      <c r="N54" s="1947">
        <v>425</v>
      </c>
      <c r="O54" s="12"/>
      <c r="P54" s="12">
        <v>22</v>
      </c>
      <c r="Q54" s="12"/>
      <c r="R54" s="12"/>
      <c r="S54" s="1809">
        <f>SUM('HIV-Other HPs'!$O54:$R54)</f>
        <v>22</v>
      </c>
      <c r="T54" s="1810">
        <f>'HIV-Other HPs'!$N54*'HIV-Other HPs'!$S54</f>
        <v>9350</v>
      </c>
      <c r="U54" s="1947">
        <v>425</v>
      </c>
      <c r="V54" s="12"/>
      <c r="W54" s="12">
        <v>22</v>
      </c>
      <c r="X54" s="12"/>
      <c r="Y54" s="12"/>
      <c r="Z54" s="1809">
        <f>SUM('HIV-Other HPs'!$V54:$Y54)</f>
        <v>22</v>
      </c>
      <c r="AA54" s="1810">
        <f>'HIV-Other HPs'!$U54*'HIV-Other HPs'!$Z54</f>
        <v>9350</v>
      </c>
      <c r="AB54" s="1947">
        <v>425</v>
      </c>
      <c r="AC54" s="12"/>
      <c r="AD54" s="12">
        <v>22</v>
      </c>
      <c r="AE54" s="12"/>
      <c r="AF54" s="12"/>
      <c r="AG54" s="1809">
        <f>SUM('HIV-Other HPs'!$AC54:$AF54)</f>
        <v>22</v>
      </c>
      <c r="AH54" s="1810">
        <f>'HIV-Other HPs'!$AB54*'HIV-Other HPs'!$AG54</f>
        <v>9350</v>
      </c>
      <c r="AI54" s="1843">
        <f>'HIV-Other HPs'!$S54+'HIV-Other HPs'!$Z54+'HIV-Other HPs'!$AG54</f>
        <v>66</v>
      </c>
      <c r="AJ54" s="1844">
        <f>'HIV-Other HPs'!$T54+'HIV-Other HPs'!$AA54+'HIV-Other HPs'!$AH54</f>
        <v>28050</v>
      </c>
      <c r="AK54" s="1391">
        <f>IF(A54&lt;&gt;"",IFERROR(INDEX(PMtbl[[WKst]:[Unit of measure*]],MATCH($A$43&amp;$A54&amp;$E54&amp;$I54,INDEX(PMtbl[Sec]&amp;PMtbl[Category]&amp;PMtbl[INN]&amp;PMtbl[Specification],0,),0),7),""),"")</f>
        <v>5.4</v>
      </c>
      <c r="AL54" s="2049" t="s">
        <v>4268</v>
      </c>
      <c r="AM54" s="1391">
        <f>IFERROR(INDEX(SETUP!$C$19:$G$62,MATCH((INDEX(PMtbl[[WKst]:[Unit of measure*]],MATCH($A54&amp;$E54&amp;$I54,INDEX(PMtbl[Category]&amp;PMtbl[INN]&amp;PMtbl[Specification],0,),0),3)),SETUP!$D$19:$D$62,0),5),"")</f>
        <v>0</v>
      </c>
      <c r="AN54" s="1391">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0</v>
      </c>
    </row>
    <row r="55" spans="1:62" s="198" customFormat="1">
      <c r="A55" s="2377" t="s">
        <v>441</v>
      </c>
      <c r="B55" s="2302"/>
      <c r="C55" s="2302"/>
      <c r="D55" s="2302"/>
      <c r="E55" s="2427" t="s">
        <v>194</v>
      </c>
      <c r="F55" s="2302"/>
      <c r="G55" s="2302"/>
      <c r="H55" s="2302"/>
      <c r="I55" s="2377" t="s">
        <v>2765</v>
      </c>
      <c r="J55" s="2302"/>
      <c r="K55" s="2426"/>
      <c r="L55" s="209" t="str">
        <f>IF(A55&lt;&gt;"",IFERROR(INDEX(PMtbl[[WKst]:[Unit of measure*]],MATCH($A$43&amp;$A55&amp;$E55&amp;$I55,INDEX(PMtbl[Sec]&amp;PMtbl[Category]&amp;PMtbl[INN]&amp;PMtbl[Specification],0,),0),8),""),"")</f>
        <v>Pack</v>
      </c>
      <c r="M55" s="1186" t="str">
        <f>IF(L55="", "",SETUP!$E$5)</f>
        <v>USD</v>
      </c>
      <c r="N55" s="1948">
        <v>41</v>
      </c>
      <c r="O55" s="1946"/>
      <c r="P55" s="1946">
        <v>97</v>
      </c>
      <c r="Q55" s="1946"/>
      <c r="R55" s="1946"/>
      <c r="S55" s="1812">
        <f>SUM('HIV-Other HPs'!$O55:$R55)</f>
        <v>97</v>
      </c>
      <c r="T55" s="1813">
        <f>'HIV-Other HPs'!$N55*'HIV-Other HPs'!$S55</f>
        <v>3977</v>
      </c>
      <c r="U55" s="1948">
        <v>41</v>
      </c>
      <c r="V55" s="1946"/>
      <c r="W55" s="1946">
        <v>96</v>
      </c>
      <c r="X55" s="1946"/>
      <c r="Y55" s="1946"/>
      <c r="Z55" s="1812">
        <f>SUM('HIV-Other HPs'!$V55:$Y55)</f>
        <v>96</v>
      </c>
      <c r="AA55" s="1813">
        <f>'HIV-Other HPs'!$U55*'HIV-Other HPs'!$Z55</f>
        <v>3936</v>
      </c>
      <c r="AB55" s="1948">
        <v>41</v>
      </c>
      <c r="AC55" s="1946"/>
      <c r="AD55" s="1946">
        <v>95</v>
      </c>
      <c r="AE55" s="1946"/>
      <c r="AF55" s="1946"/>
      <c r="AG55" s="1812">
        <f>SUM('HIV-Other HPs'!$AC55:$AF55)</f>
        <v>95</v>
      </c>
      <c r="AH55" s="1813">
        <f>'HIV-Other HPs'!$AB55*'HIV-Other HPs'!$AG55</f>
        <v>3895</v>
      </c>
      <c r="AI55" s="1845">
        <f>'HIV-Other HPs'!$S55+'HIV-Other HPs'!$Z55+'HIV-Other HPs'!$AG55</f>
        <v>288</v>
      </c>
      <c r="AJ55" s="1846">
        <f>'HIV-Other HPs'!$T55+'HIV-Other HPs'!$AA55+'HIV-Other HPs'!$AH55</f>
        <v>11808</v>
      </c>
      <c r="AK55" s="1390">
        <f>IF(A55&lt;&gt;"",IFERROR(INDEX(PMtbl[[WKst]:[Unit of measure*]],MATCH($A$43&amp;$A55&amp;$E55&amp;$I55,INDEX(PMtbl[Sec]&amp;PMtbl[Category]&amp;PMtbl[INN]&amp;PMtbl[Specification],0,),0),7),""),"")</f>
        <v>5.4</v>
      </c>
      <c r="AL55" s="2050" t="s">
        <v>4282</v>
      </c>
      <c r="AM55" s="1390">
        <f>IFERROR(INDEX(SETUP!$C$19:$G$62,MATCH((INDEX(PMtbl[[WKst]:[Unit of measure*]],MATCH($A55&amp;$E55&amp;$I55,INDEX(PMtbl[Category]&amp;PMtbl[INN]&amp;PMtbl[Specification],0,),0),3)),SETUP!$D$19:$D$62,0),5),"")</f>
        <v>0</v>
      </c>
      <c r="AN55" s="1390">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0</v>
      </c>
    </row>
    <row r="56" spans="1:62" s="198" customFormat="1">
      <c r="A56" s="2455" t="s">
        <v>441</v>
      </c>
      <c r="B56" s="2435"/>
      <c r="C56" s="2435"/>
      <c r="D56" s="2435"/>
      <c r="E56" s="2434" t="s">
        <v>194</v>
      </c>
      <c r="F56" s="2435"/>
      <c r="G56" s="2435"/>
      <c r="H56" s="2435"/>
      <c r="I56" s="2378" t="s">
        <v>699</v>
      </c>
      <c r="J56" s="2304"/>
      <c r="K56" s="2436"/>
      <c r="L56" s="210" t="str">
        <f>IF(A56&lt;&gt;"",IFERROR(INDEX(PMtbl[[WKst]:[Unit of measure*]],MATCH($A$43&amp;$A56&amp;$E56&amp;$I56,INDEX(PMtbl[Sec]&amp;PMtbl[Category]&amp;PMtbl[INN]&amp;PMtbl[Specification],0,),0),8),""),"")</f>
        <v>Pack</v>
      </c>
      <c r="M56" s="1188" t="str">
        <f>IF(L56="", "",SETUP!$E$5)</f>
        <v>USD</v>
      </c>
      <c r="N56" s="1947">
        <v>3.1</v>
      </c>
      <c r="O56" s="12"/>
      <c r="P56" s="12">
        <v>5557</v>
      </c>
      <c r="Q56" s="12"/>
      <c r="R56" s="12"/>
      <c r="S56" s="1809">
        <f>SUM('HIV-Other HPs'!$O56:$R56)</f>
        <v>5557</v>
      </c>
      <c r="T56" s="1810">
        <f>'HIV-Other HPs'!$N56*'HIV-Other HPs'!$S56</f>
        <v>17226.7</v>
      </c>
      <c r="U56" s="1947">
        <v>3.1</v>
      </c>
      <c r="V56" s="12"/>
      <c r="W56" s="12">
        <v>6869</v>
      </c>
      <c r="X56" s="12"/>
      <c r="Y56" s="12"/>
      <c r="Z56" s="1809">
        <f>SUM('HIV-Other HPs'!$V56:$Y56)</f>
        <v>6869</v>
      </c>
      <c r="AA56" s="1810">
        <f>'HIV-Other HPs'!$U56*'HIV-Other HPs'!$Z56</f>
        <v>21293.9</v>
      </c>
      <c r="AB56" s="1947">
        <v>3.1</v>
      </c>
      <c r="AC56" s="12"/>
      <c r="AD56" s="12">
        <v>9192</v>
      </c>
      <c r="AE56" s="12"/>
      <c r="AF56" s="12"/>
      <c r="AG56" s="1809">
        <f>SUM('HIV-Other HPs'!$AC56:$AF56)</f>
        <v>9192</v>
      </c>
      <c r="AH56" s="1810">
        <f>'HIV-Other HPs'!$AB56*'HIV-Other HPs'!$AG56</f>
        <v>28495.200000000001</v>
      </c>
      <c r="AI56" s="1843">
        <f>'HIV-Other HPs'!$S56+'HIV-Other HPs'!$Z56+'HIV-Other HPs'!$AG56</f>
        <v>21618</v>
      </c>
      <c r="AJ56" s="1844">
        <f>'HIV-Other HPs'!$T56+'HIV-Other HPs'!$AA56+'HIV-Other HPs'!$AH56</f>
        <v>67015.8</v>
      </c>
      <c r="AK56" s="1391">
        <f>IF(A56&lt;&gt;"",IFERROR(INDEX(PMtbl[[WKst]:[Unit of measure*]],MATCH($A$43&amp;$A56&amp;$E56&amp;$I56,INDEX(PMtbl[Sec]&amp;PMtbl[Category]&amp;PMtbl[INN]&amp;PMtbl[Specification],0,),0),7),""),"")</f>
        <v>5.4</v>
      </c>
      <c r="AL56" s="2049" t="s">
        <v>4269</v>
      </c>
      <c r="AM56" s="1391">
        <f>IFERROR(INDEX(SETUP!$C$19:$G$62,MATCH((INDEX(PMtbl[[WKst]:[Unit of measure*]],MATCH($A56&amp;$E56&amp;$I56,INDEX(PMtbl[Category]&amp;PMtbl[INN]&amp;PMtbl[Specification],0,),0),3)),SETUP!$D$19:$D$62,0),5),"")</f>
        <v>0</v>
      </c>
      <c r="AN56" s="1391">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0</v>
      </c>
    </row>
    <row r="57" spans="1:62" s="198" customFormat="1">
      <c r="A57" s="2377"/>
      <c r="B57" s="2302"/>
      <c r="C57" s="2302"/>
      <c r="D57" s="2302"/>
      <c r="E57" s="2427"/>
      <c r="F57" s="2302"/>
      <c r="G57" s="2302"/>
      <c r="H57" s="2302"/>
      <c r="I57" s="2377"/>
      <c r="J57" s="2302"/>
      <c r="K57" s="2426"/>
      <c r="L57" s="209" t="str">
        <f>IF(A57&lt;&gt;"",IFERROR(INDEX(PMtbl[[WKst]:[Unit of measure*]],MATCH($A$43&amp;$A57&amp;$E57&amp;$I57,INDEX(PMtbl[Sec]&amp;PMtbl[Category]&amp;PMtbl[INN]&amp;PMtbl[Specification],0,),0),8),""),"")</f>
        <v/>
      </c>
      <c r="M57" s="1186" t="str">
        <f>IF(L57="", "",SETUP!$E$5)</f>
        <v/>
      </c>
      <c r="N57" s="1948"/>
      <c r="O57" s="1946"/>
      <c r="P57" s="1946"/>
      <c r="Q57" s="1946"/>
      <c r="R57" s="1946"/>
      <c r="S57" s="1812">
        <f>SUM('HIV-Other HPs'!$O57:$R57)</f>
        <v>0</v>
      </c>
      <c r="T57" s="1813">
        <f>'HIV-Other HPs'!$N57*'HIV-Other HPs'!$S57</f>
        <v>0</v>
      </c>
      <c r="U57" s="1948"/>
      <c r="V57" s="1946"/>
      <c r="W57" s="1946"/>
      <c r="X57" s="1946"/>
      <c r="Y57" s="1946"/>
      <c r="Z57" s="1812">
        <f>SUM('HIV-Other HPs'!$V57:$Y57)</f>
        <v>0</v>
      </c>
      <c r="AA57" s="1813">
        <f>'HIV-Other HPs'!$U57*'HIV-Other HPs'!$Z57</f>
        <v>0</v>
      </c>
      <c r="AB57" s="1948"/>
      <c r="AC57" s="1946"/>
      <c r="AD57" s="1946"/>
      <c r="AE57" s="1946"/>
      <c r="AF57" s="1946"/>
      <c r="AG57" s="1812">
        <f>SUM('HIV-Other HPs'!$AC57:$AF57)</f>
        <v>0</v>
      </c>
      <c r="AH57" s="1813">
        <f>'HIV-Other HPs'!$AB57*'HIV-Other HPs'!$AG57</f>
        <v>0</v>
      </c>
      <c r="AI57" s="1845">
        <f>'HIV-Other HPs'!$S57+'HIV-Other HPs'!$Z57+'HIV-Other HPs'!$AG57</f>
        <v>0</v>
      </c>
      <c r="AJ57" s="1846">
        <f>'HIV-Other HPs'!$T57+'HIV-Other HPs'!$AA57+'HIV-Other HPs'!$AH57</f>
        <v>0</v>
      </c>
      <c r="AK57" s="1390" t="str">
        <f>IF(A57&lt;&gt;"",IFERROR(INDEX(PMtbl[[WKst]:[Unit of measure*]],MATCH($A$43&amp;$A57&amp;$E57&amp;$I57,INDEX(PMtbl[Sec]&amp;PMtbl[Category]&amp;PMtbl[INN]&amp;PMtbl[Specification],0,),0),7),""),"")</f>
        <v/>
      </c>
      <c r="AL57" s="2050"/>
      <c r="AM57" s="1390" t="str">
        <f>IFERROR(INDEX(SETUP!$C$19:$G$62,MATCH((INDEX(PMtbl[[WKst]:[Unit of measure*]],MATCH($A57&amp;$E57&amp;$I57,INDEX(PMtbl[Category]&amp;PMtbl[INN]&amp;PMtbl[Specification],0,),0),3)),SETUP!$D$19:$D$62,0),5),"")</f>
        <v/>
      </c>
      <c r="AN57" s="1390"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62" s="198" customFormat="1">
      <c r="A58" s="2455"/>
      <c r="B58" s="2435"/>
      <c r="C58" s="2435"/>
      <c r="D58" s="2435"/>
      <c r="E58" s="2434"/>
      <c r="F58" s="2435"/>
      <c r="G58" s="2435"/>
      <c r="H58" s="2435"/>
      <c r="I58" s="2378"/>
      <c r="J58" s="2304"/>
      <c r="K58" s="2436"/>
      <c r="L58" s="210" t="str">
        <f>IF(A58&lt;&gt;"",IFERROR(INDEX(PMtbl[[WKst]:[Unit of measure*]],MATCH($A$43&amp;$A58&amp;$E58&amp;$I58,INDEX(PMtbl[Sec]&amp;PMtbl[Category]&amp;PMtbl[INN]&amp;PMtbl[Specification],0,),0),8),""),"")</f>
        <v/>
      </c>
      <c r="M58" s="1188" t="str">
        <f>IF(L58="", "",SETUP!$E$5)</f>
        <v/>
      </c>
      <c r="N58" s="1947"/>
      <c r="O58" s="12"/>
      <c r="P58" s="12"/>
      <c r="Q58" s="12"/>
      <c r="R58" s="12"/>
      <c r="S58" s="1809">
        <f>SUM('HIV-Other HPs'!$O58:$R58)</f>
        <v>0</v>
      </c>
      <c r="T58" s="1810">
        <f>'HIV-Other HPs'!$N58*'HIV-Other HPs'!$S58</f>
        <v>0</v>
      </c>
      <c r="U58" s="1947"/>
      <c r="V58" s="12"/>
      <c r="W58" s="12"/>
      <c r="X58" s="12"/>
      <c r="Y58" s="12"/>
      <c r="Z58" s="1809">
        <f>SUM('HIV-Other HPs'!$V58:$Y58)</f>
        <v>0</v>
      </c>
      <c r="AA58" s="1810">
        <f>'HIV-Other HPs'!$U58*'HIV-Other HPs'!$Z58</f>
        <v>0</v>
      </c>
      <c r="AB58" s="1947"/>
      <c r="AC58" s="12"/>
      <c r="AD58" s="12"/>
      <c r="AE58" s="12"/>
      <c r="AF58" s="12"/>
      <c r="AG58" s="1809">
        <f>SUM('HIV-Other HPs'!$AC58:$AF58)</f>
        <v>0</v>
      </c>
      <c r="AH58" s="1810">
        <f>'HIV-Other HPs'!$AB58*'HIV-Other HPs'!$AG58</f>
        <v>0</v>
      </c>
      <c r="AI58" s="1843">
        <f>'HIV-Other HPs'!$S58+'HIV-Other HPs'!$Z58+'HIV-Other HPs'!$AG58</f>
        <v>0</v>
      </c>
      <c r="AJ58" s="1844">
        <f>'HIV-Other HPs'!$T58+'HIV-Other HPs'!$AA58+'HIV-Other HPs'!$AH58</f>
        <v>0</v>
      </c>
      <c r="AK58" s="1391" t="str">
        <f>IF(A58&lt;&gt;"",IFERROR(INDEX(PMtbl[[WKst]:[Unit of measure*]],MATCH($A$43&amp;$A58&amp;$E58&amp;$I58,INDEX(PMtbl[Sec]&amp;PMtbl[Category]&amp;PMtbl[INN]&amp;PMtbl[Specification],0,),0),7),""),"")</f>
        <v/>
      </c>
      <c r="AL58" s="2049"/>
      <c r="AM58" s="1391" t="str">
        <f>IFERROR(INDEX(SETUP!$C$19:$G$62,MATCH((INDEX(PMtbl[[WKst]:[Unit of measure*]],MATCH($A58&amp;$E58&amp;$I58,INDEX(PMtbl[Category]&amp;PMtbl[INN]&amp;PMtbl[Specification],0,),0),3)),SETUP!$D$19:$D$62,0),5),"")</f>
        <v/>
      </c>
      <c r="AN58" s="1391"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62" s="198" customFormat="1">
      <c r="A59" s="2377"/>
      <c r="B59" s="2302"/>
      <c r="C59" s="2302"/>
      <c r="D59" s="2302"/>
      <c r="E59" s="2427"/>
      <c r="F59" s="2302"/>
      <c r="G59" s="2302"/>
      <c r="H59" s="2302"/>
      <c r="I59" s="2377"/>
      <c r="J59" s="2302"/>
      <c r="K59" s="2426"/>
      <c r="L59" s="209" t="str">
        <f>IF(A59&lt;&gt;"",IFERROR(INDEX(PMtbl[[WKst]:[Unit of measure*]],MATCH($A$43&amp;$A59&amp;$E59&amp;$I59,INDEX(PMtbl[Sec]&amp;PMtbl[Category]&amp;PMtbl[INN]&amp;PMtbl[Specification],0,),0),8),""),"")</f>
        <v/>
      </c>
      <c r="M59" s="1186" t="str">
        <f>IF(L59="", "",SETUP!$E$5)</f>
        <v/>
      </c>
      <c r="N59" s="1948"/>
      <c r="O59" s="1946"/>
      <c r="P59" s="1946"/>
      <c r="Q59" s="1946"/>
      <c r="R59" s="1946"/>
      <c r="S59" s="1812">
        <f>SUM('HIV-Other HPs'!$O59:$R59)</f>
        <v>0</v>
      </c>
      <c r="T59" s="1813">
        <f>'HIV-Other HPs'!$N59*'HIV-Other HPs'!$S59</f>
        <v>0</v>
      </c>
      <c r="U59" s="1955"/>
      <c r="V59" s="1946"/>
      <c r="W59" s="1946"/>
      <c r="X59" s="1946"/>
      <c r="Y59" s="1946"/>
      <c r="Z59" s="1812">
        <f>SUM('HIV-Other HPs'!$V59:$Y59)</f>
        <v>0</v>
      </c>
      <c r="AA59" s="1813">
        <f>'HIV-Other HPs'!$U59*'HIV-Other HPs'!$Z59</f>
        <v>0</v>
      </c>
      <c r="AB59" s="1955"/>
      <c r="AC59" s="1946"/>
      <c r="AD59" s="1946"/>
      <c r="AE59" s="1946"/>
      <c r="AF59" s="1946"/>
      <c r="AG59" s="1812">
        <f>SUM('HIV-Other HPs'!$AC59:$AF59)</f>
        <v>0</v>
      </c>
      <c r="AH59" s="1813">
        <f>'HIV-Other HPs'!$AB59*'HIV-Other HPs'!$AG59</f>
        <v>0</v>
      </c>
      <c r="AI59" s="1845">
        <f>'HIV-Other HPs'!$S59+'HIV-Other HPs'!$Z59+'HIV-Other HPs'!$AG59</f>
        <v>0</v>
      </c>
      <c r="AJ59" s="1846">
        <f>'HIV-Other HPs'!$T59+'HIV-Other HPs'!$AA59+'HIV-Other HPs'!$AH59</f>
        <v>0</v>
      </c>
      <c r="AK59" s="1390" t="str">
        <f>IF(A59&lt;&gt;"",IFERROR(INDEX(PMtbl[[WKst]:[Unit of measure*]],MATCH($A$43&amp;$A59&amp;$E59&amp;$I59,INDEX(PMtbl[Sec]&amp;PMtbl[Category]&amp;PMtbl[INN]&amp;PMtbl[Specification],0,),0),7),""),"")</f>
        <v/>
      </c>
      <c r="AL59" s="2050"/>
      <c r="AM59" s="1390" t="str">
        <f>IFERROR(INDEX(SETUP!$C$19:$G$62,MATCH((INDEX(PMtbl[[WKst]:[Unit of measure*]],MATCH($A59&amp;$E59&amp;$I59,INDEX(PMtbl[Category]&amp;PMtbl[INN]&amp;PMtbl[Specification],0,),0),3)),SETUP!$D$19:$D$62,0),5),"")</f>
        <v/>
      </c>
      <c r="AN59" s="1390"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62" s="198" customFormat="1">
      <c r="A60" s="2455"/>
      <c r="B60" s="2435"/>
      <c r="C60" s="2435"/>
      <c r="D60" s="2435"/>
      <c r="E60" s="2434"/>
      <c r="F60" s="2435"/>
      <c r="G60" s="2435"/>
      <c r="H60" s="2435"/>
      <c r="I60" s="2378"/>
      <c r="J60" s="2304"/>
      <c r="K60" s="2436"/>
      <c r="L60" s="210" t="str">
        <f>IF(A60&lt;&gt;"",IFERROR(INDEX(PMtbl[[WKst]:[Unit of measure*]],MATCH($A$43&amp;$A60&amp;$E60&amp;$I60,INDEX(PMtbl[Sec]&amp;PMtbl[Category]&amp;PMtbl[INN]&amp;PMtbl[Specification],0,),0),8),""),"")</f>
        <v/>
      </c>
      <c r="M60" s="1188" t="str">
        <f>IF(L60="", "",SETUP!$E$5)</f>
        <v/>
      </c>
      <c r="N60" s="1947"/>
      <c r="O60" s="12"/>
      <c r="P60" s="12"/>
      <c r="Q60" s="12"/>
      <c r="R60" s="12"/>
      <c r="S60" s="1809">
        <f>SUM('HIV-Other HPs'!$O60:$R60)</f>
        <v>0</v>
      </c>
      <c r="T60" s="1810">
        <f>'HIV-Other HPs'!$N60*'HIV-Other HPs'!$S60</f>
        <v>0</v>
      </c>
      <c r="U60" s="1954"/>
      <c r="V60" s="12"/>
      <c r="W60" s="12"/>
      <c r="X60" s="12"/>
      <c r="Y60" s="12"/>
      <c r="Z60" s="1809">
        <f>SUM('HIV-Other HPs'!$V60:$Y60)</f>
        <v>0</v>
      </c>
      <c r="AA60" s="1810">
        <f>'HIV-Other HPs'!$U60*'HIV-Other HPs'!$Z60</f>
        <v>0</v>
      </c>
      <c r="AB60" s="1954"/>
      <c r="AC60" s="12"/>
      <c r="AD60" s="12"/>
      <c r="AE60" s="12"/>
      <c r="AF60" s="12"/>
      <c r="AG60" s="1809">
        <f>SUM('HIV-Other HPs'!$AC60:$AF60)</f>
        <v>0</v>
      </c>
      <c r="AH60" s="1810">
        <f>'HIV-Other HPs'!$AB60*'HIV-Other HPs'!$AG60</f>
        <v>0</v>
      </c>
      <c r="AI60" s="1843">
        <f>'HIV-Other HPs'!$S60+'HIV-Other HPs'!$Z60+'HIV-Other HPs'!$AG60</f>
        <v>0</v>
      </c>
      <c r="AJ60" s="1844">
        <f>'HIV-Other HPs'!$T60+'HIV-Other HPs'!$AA60+'HIV-Other HPs'!$AH60</f>
        <v>0</v>
      </c>
      <c r="AK60" s="1391" t="str">
        <f>IF(A60&lt;&gt;"",IFERROR(INDEX(PMtbl[[WKst]:[Unit of measure*]],MATCH($A$43&amp;$A60&amp;$E60&amp;$I60,INDEX(PMtbl[Sec]&amp;PMtbl[Category]&amp;PMtbl[INN]&amp;PMtbl[Specification],0,),0),7),""),"")</f>
        <v/>
      </c>
      <c r="AL60" s="2049"/>
      <c r="AM60" s="1391" t="str">
        <f>IFERROR(INDEX(SETUP!$C$19:$G$62,MATCH((INDEX(PMtbl[[WKst]:[Unit of measure*]],MATCH($A60&amp;$E60&amp;$I60,INDEX(PMtbl[Category]&amp;PMtbl[INN]&amp;PMtbl[Specification],0,),0),3)),SETUP!$D$19:$D$62,0),5),"")</f>
        <v/>
      </c>
      <c r="AN60" s="1391"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62" s="198" customFormat="1">
      <c r="A61" s="2377"/>
      <c r="B61" s="2302"/>
      <c r="C61" s="2302"/>
      <c r="D61" s="2302"/>
      <c r="E61" s="2427"/>
      <c r="F61" s="2302"/>
      <c r="G61" s="2302"/>
      <c r="H61" s="2302"/>
      <c r="I61" s="2377"/>
      <c r="J61" s="2302"/>
      <c r="K61" s="2426"/>
      <c r="L61" s="209" t="str">
        <f>IF(A61&lt;&gt;"",IFERROR(INDEX(PMtbl[[WKst]:[Unit of measure*]],MATCH($A$43&amp;$A61&amp;$E61&amp;$I61,INDEX(PMtbl[Sec]&amp;PMtbl[Category]&amp;PMtbl[INN]&amp;PMtbl[Specification],0,),0),8),""),"")</f>
        <v/>
      </c>
      <c r="M61" s="1186" t="str">
        <f>IF(L61="", "",SETUP!$E$5)</f>
        <v/>
      </c>
      <c r="N61" s="1948"/>
      <c r="O61" s="1946"/>
      <c r="P61" s="1946"/>
      <c r="Q61" s="1946"/>
      <c r="R61" s="1946"/>
      <c r="S61" s="1812">
        <f>SUM('HIV-Other HPs'!$O61:$R61)</f>
        <v>0</v>
      </c>
      <c r="T61" s="1813">
        <f>'HIV-Other HPs'!$N61*'HIV-Other HPs'!$S61</f>
        <v>0</v>
      </c>
      <c r="U61" s="1955"/>
      <c r="V61" s="1946"/>
      <c r="W61" s="1946"/>
      <c r="X61" s="1946"/>
      <c r="Y61" s="1946"/>
      <c r="Z61" s="1812">
        <f>SUM('HIV-Other HPs'!$V61:$Y61)</f>
        <v>0</v>
      </c>
      <c r="AA61" s="1813">
        <f>'HIV-Other HPs'!$U61*'HIV-Other HPs'!$Z61</f>
        <v>0</v>
      </c>
      <c r="AB61" s="1955"/>
      <c r="AC61" s="1946"/>
      <c r="AD61" s="1946"/>
      <c r="AE61" s="1946"/>
      <c r="AF61" s="1946"/>
      <c r="AG61" s="1812">
        <f>SUM('HIV-Other HPs'!$AC61:$AF61)</f>
        <v>0</v>
      </c>
      <c r="AH61" s="1813">
        <f>'HIV-Other HPs'!$AB61*'HIV-Other HPs'!$AG61</f>
        <v>0</v>
      </c>
      <c r="AI61" s="1845">
        <f>'HIV-Other HPs'!$S61+'HIV-Other HPs'!$Z61+'HIV-Other HPs'!$AG61</f>
        <v>0</v>
      </c>
      <c r="AJ61" s="1846">
        <f>'HIV-Other HPs'!$T61+'HIV-Other HPs'!$AA61+'HIV-Other HPs'!$AH61</f>
        <v>0</v>
      </c>
      <c r="AK61" s="1390" t="str">
        <f>IF(A61&lt;&gt;"",IFERROR(INDEX(PMtbl[[WKst]:[Unit of measure*]],MATCH($A$43&amp;$A61&amp;$E61&amp;$I61,INDEX(PMtbl[Sec]&amp;PMtbl[Category]&amp;PMtbl[INN]&amp;PMtbl[Specification],0,),0),7),""),"")</f>
        <v/>
      </c>
      <c r="AL61" s="2050"/>
      <c r="AM61" s="1390" t="str">
        <f>IFERROR(INDEX(SETUP!$C$19:$G$62,MATCH((INDEX(PMtbl[[WKst]:[Unit of measure*]],MATCH($A61&amp;$E61&amp;$I61,INDEX(PMtbl[Category]&amp;PMtbl[INN]&amp;PMtbl[Specification],0,),0),3)),SETUP!$D$19:$D$62,0),5),"")</f>
        <v/>
      </c>
      <c r="AN61" s="1390"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62" s="198" customFormat="1">
      <c r="A62" s="2455"/>
      <c r="B62" s="2435"/>
      <c r="C62" s="2435"/>
      <c r="D62" s="2435"/>
      <c r="E62" s="2434"/>
      <c r="F62" s="2435"/>
      <c r="G62" s="2435"/>
      <c r="H62" s="2435"/>
      <c r="I62" s="2378"/>
      <c r="J62" s="2304"/>
      <c r="K62" s="2436"/>
      <c r="L62" s="210" t="str">
        <f>IF(A62&lt;&gt;"",IFERROR(INDEX(PMtbl[[WKst]:[Unit of measure*]],MATCH($A$43&amp;$A62&amp;$E62&amp;$I62,INDEX(PMtbl[Sec]&amp;PMtbl[Category]&amp;PMtbl[INN]&amp;PMtbl[Specification],0,),0),8),""),"")</f>
        <v/>
      </c>
      <c r="M62" s="1188" t="str">
        <f>IF(L62="", "",SETUP!$E$5)</f>
        <v/>
      </c>
      <c r="N62" s="1947"/>
      <c r="O62" s="12"/>
      <c r="P62" s="12"/>
      <c r="Q62" s="12"/>
      <c r="R62" s="12"/>
      <c r="S62" s="1809">
        <f>SUM('HIV-Other HPs'!$O62:$R62)</f>
        <v>0</v>
      </c>
      <c r="T62" s="1810">
        <f>'HIV-Other HPs'!$N62*'HIV-Other HPs'!$S62</f>
        <v>0</v>
      </c>
      <c r="U62" s="1954"/>
      <c r="V62" s="12"/>
      <c r="W62" s="12"/>
      <c r="X62" s="12"/>
      <c r="Y62" s="12"/>
      <c r="Z62" s="1809">
        <f>SUM('HIV-Other HPs'!$V62:$Y62)</f>
        <v>0</v>
      </c>
      <c r="AA62" s="1810">
        <f>'HIV-Other HPs'!$U62*'HIV-Other HPs'!$Z62</f>
        <v>0</v>
      </c>
      <c r="AB62" s="1954"/>
      <c r="AC62" s="12"/>
      <c r="AD62" s="12"/>
      <c r="AE62" s="12"/>
      <c r="AF62" s="12"/>
      <c r="AG62" s="1809">
        <f>SUM('HIV-Other HPs'!$AC62:$AF62)</f>
        <v>0</v>
      </c>
      <c r="AH62" s="1810">
        <f>'HIV-Other HPs'!$AB62*'HIV-Other HPs'!$AG62</f>
        <v>0</v>
      </c>
      <c r="AI62" s="1843">
        <f>'HIV-Other HPs'!$S62+'HIV-Other HPs'!$Z62+'HIV-Other HPs'!$AG62</f>
        <v>0</v>
      </c>
      <c r="AJ62" s="1844">
        <f>'HIV-Other HPs'!$T62+'HIV-Other HPs'!$AA62+'HIV-Other HPs'!$AH62</f>
        <v>0</v>
      </c>
      <c r="AK62" s="1391" t="str">
        <f>IF(A62&lt;&gt;"",IFERROR(INDEX(PMtbl[[WKst]:[Unit of measure*]],MATCH($A$43&amp;$A62&amp;$E62&amp;$I62,INDEX(PMtbl[Sec]&amp;PMtbl[Category]&amp;PMtbl[INN]&amp;PMtbl[Specification],0,),0),7),""),"")</f>
        <v/>
      </c>
      <c r="AL62" s="2049"/>
      <c r="AM62" s="1391" t="str">
        <f>IFERROR(INDEX(SETUP!$C$19:$G$62,MATCH((INDEX(PMtbl[[WKst]:[Unit of measure*]],MATCH($A62&amp;$E62&amp;$I62,INDEX(PMtbl[Category]&amp;PMtbl[INN]&amp;PMtbl[Specification],0,),0),3)),SETUP!$D$19:$D$62,0),5),"")</f>
        <v/>
      </c>
      <c r="AN62" s="1391" t="str">
        <f>IFERROR(IF((INDEX(SETUP!$C$19:$G$62,MATCH((INDEX(PMtbl[[WKst]:[Unit of measure*]],MATCH($A62&amp;$E62&amp;$I62,INDEX(PMtbl[Category]&amp;PMtbl[INN]&amp;PMtbl[Specification],0,),0),3)),SETUP!$D$19:$D$62,0),4))="Upfront",0,INDEX(SETUP!$C$19:$G$62,MATCH((INDEX(PMtbl[[WKst]:[Unit of measure*]],MATCH($A62&amp;$E62&amp;$I62,INDEX(PMtbl[Category]&amp;PMtbl[INN]&amp;PMtbl[Specification],0,),0),3)),SETUP!$D$19:$D$62,0),5)),"")</f>
        <v/>
      </c>
    </row>
    <row r="63" spans="1:62" s="198" customFormat="1">
      <c r="A63" s="2377"/>
      <c r="B63" s="2302"/>
      <c r="C63" s="2302"/>
      <c r="D63" s="2302"/>
      <c r="E63" s="2427"/>
      <c r="F63" s="2302"/>
      <c r="G63" s="2302"/>
      <c r="H63" s="2302"/>
      <c r="I63" s="2377"/>
      <c r="J63" s="2302"/>
      <c r="K63" s="2426"/>
      <c r="L63" s="209" t="str">
        <f>IF(A63&lt;&gt;"",IFERROR(INDEX(PMtbl[[WKst]:[Unit of measure*]],MATCH($A$43&amp;$A63&amp;$E63&amp;$I63,INDEX(PMtbl[Sec]&amp;PMtbl[Category]&amp;PMtbl[INN]&amp;PMtbl[Specification],0,),0),8),""),"")</f>
        <v/>
      </c>
      <c r="M63" s="1186" t="str">
        <f>IF(L63="", "",SETUP!$E$5)</f>
        <v/>
      </c>
      <c r="N63" s="1948"/>
      <c r="O63" s="1946"/>
      <c r="P63" s="1946"/>
      <c r="Q63" s="1946"/>
      <c r="R63" s="1946"/>
      <c r="S63" s="1812">
        <f>SUM('HIV-Other HPs'!$O63:$R63)</f>
        <v>0</v>
      </c>
      <c r="T63" s="1813">
        <f>'HIV-Other HPs'!$N63*'HIV-Other HPs'!$S63</f>
        <v>0</v>
      </c>
      <c r="U63" s="1955"/>
      <c r="V63" s="1946"/>
      <c r="W63" s="1946"/>
      <c r="X63" s="1946"/>
      <c r="Y63" s="1946"/>
      <c r="Z63" s="1812">
        <f>SUM('HIV-Other HPs'!$V63:$Y63)</f>
        <v>0</v>
      </c>
      <c r="AA63" s="1813">
        <f>'HIV-Other HPs'!$U63*'HIV-Other HPs'!$Z63</f>
        <v>0</v>
      </c>
      <c r="AB63" s="1955"/>
      <c r="AC63" s="1946"/>
      <c r="AD63" s="1946"/>
      <c r="AE63" s="1946"/>
      <c r="AF63" s="1946"/>
      <c r="AG63" s="1812">
        <f>SUM('HIV-Other HPs'!$AC63:$AF63)</f>
        <v>0</v>
      </c>
      <c r="AH63" s="1813">
        <f>'HIV-Other HPs'!$AB63*'HIV-Other HPs'!$AG63</f>
        <v>0</v>
      </c>
      <c r="AI63" s="1845">
        <f>'HIV-Other HPs'!$S63+'HIV-Other HPs'!$Z63+'HIV-Other HPs'!$AG63</f>
        <v>0</v>
      </c>
      <c r="AJ63" s="1846">
        <f>'HIV-Other HPs'!$T63+'HIV-Other HPs'!$AA63+'HIV-Other HPs'!$AH63</f>
        <v>0</v>
      </c>
      <c r="AK63" s="1390" t="str">
        <f>IF(A63&lt;&gt;"",IFERROR(INDEX(PMtbl[[WKst]:[Unit of measure*]],MATCH($A$43&amp;$A63&amp;$E63&amp;$I63,INDEX(PMtbl[Sec]&amp;PMtbl[Category]&amp;PMtbl[INN]&amp;PMtbl[Specification],0,),0),7),""),"")</f>
        <v/>
      </c>
      <c r="AL63" s="2050"/>
      <c r="AM63" s="1390" t="str">
        <f>IFERROR(INDEX(SETUP!$C$19:$G$62,MATCH((INDEX(PMtbl[[WKst]:[Unit of measure*]],MATCH($A63&amp;$E63&amp;$I63,INDEX(PMtbl[Category]&amp;PMtbl[INN]&amp;PMtbl[Specification],0,),0),3)),SETUP!$D$19:$D$62,0),5),"")</f>
        <v/>
      </c>
      <c r="AN63" s="1390" t="str">
        <f>IFERROR(IF((INDEX(SETUP!$C$19:$G$62,MATCH((INDEX(PMtbl[[WKst]:[Unit of measure*]],MATCH($A63&amp;$E63&amp;$I63,INDEX(PMtbl[Category]&amp;PMtbl[INN]&amp;PMtbl[Specification],0,),0),3)),SETUP!$D$19:$D$62,0),4))="Upfront",0,INDEX(SETUP!$C$19:$G$62,MATCH((INDEX(PMtbl[[WKst]:[Unit of measure*]],MATCH($A63&amp;$E63&amp;$I63,INDEX(PMtbl[Category]&amp;PMtbl[INN]&amp;PMtbl[Specification],0,),0),3)),SETUP!$D$19:$D$62,0),5)),"")</f>
        <v/>
      </c>
    </row>
    <row r="64" spans="1:62" s="198" customFormat="1">
      <c r="A64" s="2455"/>
      <c r="B64" s="2435"/>
      <c r="C64" s="2435"/>
      <c r="D64" s="2435"/>
      <c r="E64" s="2434"/>
      <c r="F64" s="2435"/>
      <c r="G64" s="2435"/>
      <c r="H64" s="2435"/>
      <c r="I64" s="2378"/>
      <c r="J64" s="2304"/>
      <c r="K64" s="2436"/>
      <c r="L64" s="210" t="str">
        <f>IF(A64&lt;&gt;"",IFERROR(INDEX(PMtbl[[WKst]:[Unit of measure*]],MATCH($A$43&amp;$A64&amp;$E64&amp;$I64,INDEX(PMtbl[Sec]&amp;PMtbl[Category]&amp;PMtbl[INN]&amp;PMtbl[Specification],0,),0),8),""),"")</f>
        <v/>
      </c>
      <c r="M64" s="1188" t="str">
        <f>IF(L64="", "",SETUP!$E$5)</f>
        <v/>
      </c>
      <c r="N64" s="1947"/>
      <c r="O64" s="12"/>
      <c r="P64" s="12"/>
      <c r="Q64" s="12"/>
      <c r="R64" s="12"/>
      <c r="S64" s="1809">
        <f>SUM('HIV-Other HPs'!$O64:$R64)</f>
        <v>0</v>
      </c>
      <c r="T64" s="1810">
        <f>'HIV-Other HPs'!$N64*'HIV-Other HPs'!$S64</f>
        <v>0</v>
      </c>
      <c r="U64" s="1954"/>
      <c r="V64" s="12"/>
      <c r="W64" s="12"/>
      <c r="X64" s="12"/>
      <c r="Y64" s="12"/>
      <c r="Z64" s="1809">
        <f>SUM('HIV-Other HPs'!$V64:$Y64)</f>
        <v>0</v>
      </c>
      <c r="AA64" s="1810">
        <f>'HIV-Other HPs'!$U64*'HIV-Other HPs'!$Z64</f>
        <v>0</v>
      </c>
      <c r="AB64" s="1954"/>
      <c r="AC64" s="12"/>
      <c r="AD64" s="12"/>
      <c r="AE64" s="12"/>
      <c r="AF64" s="12"/>
      <c r="AG64" s="1809">
        <f>SUM('HIV-Other HPs'!$AC64:$AF64)</f>
        <v>0</v>
      </c>
      <c r="AH64" s="1810">
        <f>'HIV-Other HPs'!$AB64*'HIV-Other HPs'!$AG64</f>
        <v>0</v>
      </c>
      <c r="AI64" s="1843">
        <f>'HIV-Other HPs'!$S64+'HIV-Other HPs'!$Z64+'HIV-Other HPs'!$AG64</f>
        <v>0</v>
      </c>
      <c r="AJ64" s="1844">
        <f>'HIV-Other HPs'!$T64+'HIV-Other HPs'!$AA64+'HIV-Other HPs'!$AH64</f>
        <v>0</v>
      </c>
      <c r="AK64" s="1391" t="str">
        <f>IF(A64&lt;&gt;"",IFERROR(INDEX(PMtbl[[WKst]:[Unit of measure*]],MATCH($A$43&amp;$A64&amp;$E64&amp;$I64,INDEX(PMtbl[Sec]&amp;PMtbl[Category]&amp;PMtbl[INN]&amp;PMtbl[Specification],0,),0),7),""),"")</f>
        <v/>
      </c>
      <c r="AL64" s="2049"/>
      <c r="AM64" s="1391" t="str">
        <f>IFERROR(INDEX(SETUP!$C$19:$G$62,MATCH((INDEX(PMtbl[[WKst]:[Unit of measure*]],MATCH($A64&amp;$E64&amp;$I64,INDEX(PMtbl[Category]&amp;PMtbl[INN]&amp;PMtbl[Specification],0,),0),3)),SETUP!$D$19:$D$62,0),5),"")</f>
        <v/>
      </c>
      <c r="AN64" s="1391"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row>
    <row r="65" spans="1:61" s="198" customFormat="1">
      <c r="A65" s="2377"/>
      <c r="B65" s="2302"/>
      <c r="C65" s="2302"/>
      <c r="D65" s="2302"/>
      <c r="E65" s="2427"/>
      <c r="F65" s="2302"/>
      <c r="G65" s="2302"/>
      <c r="H65" s="2302"/>
      <c r="I65" s="2377"/>
      <c r="J65" s="2302"/>
      <c r="K65" s="2426"/>
      <c r="L65" s="209" t="str">
        <f>IF(A65&lt;&gt;"",IFERROR(INDEX(PMtbl[[WKst]:[Unit of measure*]],MATCH($A$43&amp;$A65&amp;$E65&amp;$I65,INDEX(PMtbl[Sec]&amp;PMtbl[Category]&amp;PMtbl[INN]&amp;PMtbl[Specification],0,),0),8),""),"")</f>
        <v/>
      </c>
      <c r="M65" s="1186" t="str">
        <f>IF(L65="", "",SETUP!$E$5)</f>
        <v/>
      </c>
      <c r="N65" s="1948"/>
      <c r="O65" s="1946"/>
      <c r="P65" s="1946"/>
      <c r="Q65" s="1946"/>
      <c r="R65" s="1946"/>
      <c r="S65" s="1812">
        <f>SUM('HIV-Other HPs'!$O65:$R65)</f>
        <v>0</v>
      </c>
      <c r="T65" s="1813">
        <f>'HIV-Other HPs'!$N65*'HIV-Other HPs'!$S65</f>
        <v>0</v>
      </c>
      <c r="U65" s="1955"/>
      <c r="V65" s="1946"/>
      <c r="W65" s="1946"/>
      <c r="X65" s="1946"/>
      <c r="Y65" s="1946"/>
      <c r="Z65" s="1812">
        <f>SUM('HIV-Other HPs'!$V65:$Y65)</f>
        <v>0</v>
      </c>
      <c r="AA65" s="1813">
        <f>'HIV-Other HPs'!$U65*'HIV-Other HPs'!$Z65</f>
        <v>0</v>
      </c>
      <c r="AB65" s="1955"/>
      <c r="AC65" s="1946"/>
      <c r="AD65" s="1946"/>
      <c r="AE65" s="1946"/>
      <c r="AF65" s="1946"/>
      <c r="AG65" s="1812">
        <f>SUM('HIV-Other HPs'!$AC65:$AF65)</f>
        <v>0</v>
      </c>
      <c r="AH65" s="1813">
        <f>'HIV-Other HPs'!$AB65*'HIV-Other HPs'!$AG65</f>
        <v>0</v>
      </c>
      <c r="AI65" s="1845">
        <f>'HIV-Other HPs'!$S65+'HIV-Other HPs'!$Z65+'HIV-Other HPs'!$AG65</f>
        <v>0</v>
      </c>
      <c r="AJ65" s="1846">
        <f>'HIV-Other HPs'!$T65+'HIV-Other HPs'!$AA65+'HIV-Other HPs'!$AH65</f>
        <v>0</v>
      </c>
      <c r="AK65" s="1390" t="str">
        <f>IF(A65&lt;&gt;"",IFERROR(INDEX(PMtbl[[WKst]:[Unit of measure*]],MATCH($A$43&amp;$A65&amp;$E65&amp;$I65,INDEX(PMtbl[Sec]&amp;PMtbl[Category]&amp;PMtbl[INN]&amp;PMtbl[Specification],0,),0),7),""),"")</f>
        <v/>
      </c>
      <c r="AL65" s="2050"/>
      <c r="AM65" s="1390" t="str">
        <f>IFERROR(INDEX(SETUP!$C$19:$G$62,MATCH((INDEX(PMtbl[[WKst]:[Unit of measure*]],MATCH($A65&amp;$E65&amp;$I65,INDEX(PMtbl[Category]&amp;PMtbl[INN]&amp;PMtbl[Specification],0,),0),3)),SETUP!$D$19:$D$62,0),5),"")</f>
        <v/>
      </c>
      <c r="AN65" s="139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row>
    <row r="66" spans="1:61" s="198" customFormat="1">
      <c r="A66" s="2455"/>
      <c r="B66" s="2435"/>
      <c r="C66" s="2435"/>
      <c r="D66" s="2435"/>
      <c r="E66" s="2434"/>
      <c r="F66" s="2435"/>
      <c r="G66" s="2435"/>
      <c r="H66" s="2435"/>
      <c r="I66" s="2378"/>
      <c r="J66" s="2304"/>
      <c r="K66" s="2436"/>
      <c r="L66" s="210" t="str">
        <f>IF(A66&lt;&gt;"",IFERROR(INDEX(PMtbl[[WKst]:[Unit of measure*]],MATCH($A$43&amp;$A66&amp;$E66&amp;$I66,INDEX(PMtbl[Sec]&amp;PMtbl[Category]&amp;PMtbl[INN]&amp;PMtbl[Specification],0,),0),8),""),"")</f>
        <v/>
      </c>
      <c r="M66" s="1188" t="str">
        <f>IF(L66="", "",SETUP!$E$5)</f>
        <v/>
      </c>
      <c r="N66" s="1947"/>
      <c r="O66" s="12"/>
      <c r="P66" s="12"/>
      <c r="Q66" s="12"/>
      <c r="R66" s="12"/>
      <c r="S66" s="1809">
        <f>SUM('HIV-Other HPs'!$O66:$R66)</f>
        <v>0</v>
      </c>
      <c r="T66" s="1810">
        <f>'HIV-Other HPs'!$N66*'HIV-Other HPs'!$S66</f>
        <v>0</v>
      </c>
      <c r="U66" s="1954"/>
      <c r="V66" s="12"/>
      <c r="W66" s="12"/>
      <c r="X66" s="12"/>
      <c r="Y66" s="12"/>
      <c r="Z66" s="1809">
        <f>SUM('HIV-Other HPs'!$V66:$Y66)</f>
        <v>0</v>
      </c>
      <c r="AA66" s="1810">
        <f>'HIV-Other HPs'!$U66*'HIV-Other HPs'!$Z66</f>
        <v>0</v>
      </c>
      <c r="AB66" s="1954"/>
      <c r="AC66" s="12"/>
      <c r="AD66" s="12"/>
      <c r="AE66" s="12"/>
      <c r="AF66" s="12"/>
      <c r="AG66" s="1809">
        <f>SUM('HIV-Other HPs'!$AC66:$AF66)</f>
        <v>0</v>
      </c>
      <c r="AH66" s="1810">
        <f>'HIV-Other HPs'!$AB66*'HIV-Other HPs'!$AG66</f>
        <v>0</v>
      </c>
      <c r="AI66" s="1843">
        <f>'HIV-Other HPs'!$S66+'HIV-Other HPs'!$Z66+'HIV-Other HPs'!$AG66</f>
        <v>0</v>
      </c>
      <c r="AJ66" s="1844">
        <f>'HIV-Other HPs'!$T66+'HIV-Other HPs'!$AA66+'HIV-Other HPs'!$AH66</f>
        <v>0</v>
      </c>
      <c r="AK66" s="1391" t="str">
        <f>IF(A66&lt;&gt;"",IFERROR(INDEX(PMtbl[[WKst]:[Unit of measure*]],MATCH($A$43&amp;$A66&amp;$E66&amp;$I66,INDEX(PMtbl[Sec]&amp;PMtbl[Category]&amp;PMtbl[INN]&amp;PMtbl[Specification],0,),0),7),""),"")</f>
        <v/>
      </c>
      <c r="AL66" s="2049"/>
      <c r="AM66" s="1391" t="str">
        <f>IFERROR(INDEX(SETUP!$C$19:$G$62,MATCH((INDEX(PMtbl[[WKst]:[Unit of measure*]],MATCH($A66&amp;$E66&amp;$I66,INDEX(PMtbl[Category]&amp;PMtbl[INN]&amp;PMtbl[Specification],0,),0),3)),SETUP!$D$19:$D$62,0),5),"")</f>
        <v/>
      </c>
      <c r="AN66" s="1391"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row>
    <row r="67" spans="1:61" s="198" customFormat="1">
      <c r="A67" s="2377"/>
      <c r="B67" s="2302"/>
      <c r="C67" s="2302"/>
      <c r="D67" s="2302"/>
      <c r="E67" s="2427"/>
      <c r="F67" s="2302"/>
      <c r="G67" s="2302"/>
      <c r="H67" s="2302"/>
      <c r="I67" s="2377"/>
      <c r="J67" s="2302"/>
      <c r="K67" s="2426"/>
      <c r="L67" s="209" t="str">
        <f>IF(A67&lt;&gt;"",IFERROR(INDEX(PMtbl[[WKst]:[Unit of measure*]],MATCH($A$43&amp;$A67&amp;$E67&amp;$I67,INDEX(PMtbl[Sec]&amp;PMtbl[Category]&amp;PMtbl[INN]&amp;PMtbl[Specification],0,),0),8),""),"")</f>
        <v/>
      </c>
      <c r="M67" s="1186" t="str">
        <f>IF(L67="", "",SETUP!$E$5)</f>
        <v/>
      </c>
      <c r="N67" s="1948"/>
      <c r="O67" s="1946"/>
      <c r="P67" s="1946"/>
      <c r="Q67" s="1946"/>
      <c r="R67" s="1946"/>
      <c r="S67" s="1812">
        <f>SUM('HIV-Other HPs'!$O67:$R67)</f>
        <v>0</v>
      </c>
      <c r="T67" s="1813">
        <f>'HIV-Other HPs'!$N67*'HIV-Other HPs'!$S67</f>
        <v>0</v>
      </c>
      <c r="U67" s="1955"/>
      <c r="V67" s="1946"/>
      <c r="W67" s="1946"/>
      <c r="X67" s="1946"/>
      <c r="Y67" s="1946"/>
      <c r="Z67" s="1812">
        <f>SUM('HIV-Other HPs'!$V67:$Y67)</f>
        <v>0</v>
      </c>
      <c r="AA67" s="1813">
        <f>'HIV-Other HPs'!$U67*'HIV-Other HPs'!$Z67</f>
        <v>0</v>
      </c>
      <c r="AB67" s="1955"/>
      <c r="AC67" s="1946"/>
      <c r="AD67" s="1946"/>
      <c r="AE67" s="1946"/>
      <c r="AF67" s="1946"/>
      <c r="AG67" s="1812">
        <f>SUM('HIV-Other HPs'!$AC67:$AF67)</f>
        <v>0</v>
      </c>
      <c r="AH67" s="1813">
        <f>'HIV-Other HPs'!$AB67*'HIV-Other HPs'!$AG67</f>
        <v>0</v>
      </c>
      <c r="AI67" s="1845">
        <f>'HIV-Other HPs'!$S67+'HIV-Other HPs'!$Z67+'HIV-Other HPs'!$AG67</f>
        <v>0</v>
      </c>
      <c r="AJ67" s="1846">
        <f>'HIV-Other HPs'!$T67+'HIV-Other HPs'!$AA67+'HIV-Other HPs'!$AH67</f>
        <v>0</v>
      </c>
      <c r="AK67" s="1390" t="str">
        <f>IF(A67&lt;&gt;"",IFERROR(INDEX(PMtbl[[WKst]:[Unit of measure*]],MATCH($A$43&amp;$A67&amp;$E67&amp;$I67,INDEX(PMtbl[Sec]&amp;PMtbl[Category]&amp;PMtbl[INN]&amp;PMtbl[Specification],0,),0),7),""),"")</f>
        <v/>
      </c>
      <c r="AL67" s="2050"/>
      <c r="AM67" s="1390" t="str">
        <f>IFERROR(INDEX(SETUP!$C$19:$G$62,MATCH((INDEX(PMtbl[[WKst]:[Unit of measure*]],MATCH($A67&amp;$E67&amp;$I67,INDEX(PMtbl[Category]&amp;PMtbl[INN]&amp;PMtbl[Specification],0,),0),3)),SETUP!$D$19:$D$62,0),5),"")</f>
        <v/>
      </c>
      <c r="AN67" s="139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row>
    <row r="68" spans="1:61" s="198" customFormat="1">
      <c r="A68" s="2455"/>
      <c r="B68" s="2435"/>
      <c r="C68" s="2435"/>
      <c r="D68" s="2435"/>
      <c r="E68" s="2434"/>
      <c r="F68" s="2435"/>
      <c r="G68" s="2435"/>
      <c r="H68" s="2435"/>
      <c r="I68" s="2378"/>
      <c r="J68" s="2304"/>
      <c r="K68" s="2436"/>
      <c r="L68" s="210" t="str">
        <f>IF(A68&lt;&gt;"",IFERROR(INDEX(PMtbl[[WKst]:[Unit of measure*]],MATCH($A$43&amp;$A68&amp;$E68&amp;$I68,INDEX(PMtbl[Sec]&amp;PMtbl[Category]&amp;PMtbl[INN]&amp;PMtbl[Specification],0,),0),8),""),"")</f>
        <v/>
      </c>
      <c r="M68" s="1188" t="str">
        <f>IF(L68="", "",SETUP!$E$5)</f>
        <v/>
      </c>
      <c r="N68" s="1947"/>
      <c r="O68" s="12"/>
      <c r="P68" s="12"/>
      <c r="Q68" s="12"/>
      <c r="R68" s="12"/>
      <c r="S68" s="1809">
        <f>SUM('HIV-Other HPs'!$O68:$R68)</f>
        <v>0</v>
      </c>
      <c r="T68" s="1810">
        <f>'HIV-Other HPs'!$N68*'HIV-Other HPs'!$S68</f>
        <v>0</v>
      </c>
      <c r="U68" s="1954"/>
      <c r="V68" s="12"/>
      <c r="W68" s="12"/>
      <c r="X68" s="12"/>
      <c r="Y68" s="12"/>
      <c r="Z68" s="1809">
        <f>SUM('HIV-Other HPs'!$V68:$Y68)</f>
        <v>0</v>
      </c>
      <c r="AA68" s="1810">
        <f>'HIV-Other HPs'!$U68*'HIV-Other HPs'!$Z68</f>
        <v>0</v>
      </c>
      <c r="AB68" s="1954"/>
      <c r="AC68" s="12"/>
      <c r="AD68" s="12"/>
      <c r="AE68" s="12"/>
      <c r="AF68" s="12"/>
      <c r="AG68" s="1809">
        <f>SUM('HIV-Other HPs'!$AC68:$AF68)</f>
        <v>0</v>
      </c>
      <c r="AH68" s="1810">
        <f>'HIV-Other HPs'!$AB68*'HIV-Other HPs'!$AG68</f>
        <v>0</v>
      </c>
      <c r="AI68" s="1843">
        <f>'HIV-Other HPs'!$S68+'HIV-Other HPs'!$Z68+'HIV-Other HPs'!$AG68</f>
        <v>0</v>
      </c>
      <c r="AJ68" s="1844">
        <f>'HIV-Other HPs'!$T68+'HIV-Other HPs'!$AA68+'HIV-Other HPs'!$AH68</f>
        <v>0</v>
      </c>
      <c r="AK68" s="1391" t="str">
        <f>IF(A68&lt;&gt;"",IFERROR(INDEX(PMtbl[[WKst]:[Unit of measure*]],MATCH($A$43&amp;$A68&amp;$E68&amp;$I68,INDEX(PMtbl[Sec]&amp;PMtbl[Category]&amp;PMtbl[INN]&amp;PMtbl[Specification],0,),0),7),""),"")</f>
        <v/>
      </c>
      <c r="AL68" s="2049"/>
      <c r="AM68" s="1391" t="str">
        <f>IFERROR(INDEX(SETUP!$C$19:$G$62,MATCH((INDEX(PMtbl[[WKst]:[Unit of measure*]],MATCH($A68&amp;$E68&amp;$I68,INDEX(PMtbl[Category]&amp;PMtbl[INN]&amp;PMtbl[Specification],0,),0),3)),SETUP!$D$19:$D$62,0),5),"")</f>
        <v/>
      </c>
      <c r="AN68" s="1391"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61" s="198" customFormat="1">
      <c r="A69" s="2377"/>
      <c r="B69" s="2302"/>
      <c r="C69" s="2302"/>
      <c r="D69" s="2302"/>
      <c r="E69" s="2427"/>
      <c r="F69" s="2302"/>
      <c r="G69" s="2302"/>
      <c r="H69" s="2302"/>
      <c r="I69" s="2377"/>
      <c r="J69" s="2302"/>
      <c r="K69" s="2426"/>
      <c r="L69" s="209" t="str">
        <f>IF(A69&lt;&gt;"",IFERROR(INDEX(PMtbl[[WKst]:[Unit of measure*]],MATCH($A$43&amp;$A69&amp;$E69&amp;$I69,INDEX(PMtbl[Sec]&amp;PMtbl[Category]&amp;PMtbl[INN]&amp;PMtbl[Specification],0,),0),8),""),"")</f>
        <v/>
      </c>
      <c r="M69" s="1186" t="str">
        <f>IF(L69="", "",SETUP!$E$5)</f>
        <v/>
      </c>
      <c r="N69" s="1948"/>
      <c r="O69" s="1946"/>
      <c r="P69" s="1946"/>
      <c r="Q69" s="1946"/>
      <c r="R69" s="1946"/>
      <c r="S69" s="1812">
        <f>SUM('HIV-Other HPs'!$O69:$R69)</f>
        <v>0</v>
      </c>
      <c r="T69" s="1813">
        <f>'HIV-Other HPs'!$N69*'HIV-Other HPs'!$S69</f>
        <v>0</v>
      </c>
      <c r="U69" s="1955"/>
      <c r="V69" s="1946"/>
      <c r="W69" s="1946"/>
      <c r="X69" s="1946"/>
      <c r="Y69" s="1946"/>
      <c r="Z69" s="1812">
        <f>SUM('HIV-Other HPs'!$V69:$Y69)</f>
        <v>0</v>
      </c>
      <c r="AA69" s="1813">
        <f>'HIV-Other HPs'!$U69*'HIV-Other HPs'!$Z69</f>
        <v>0</v>
      </c>
      <c r="AB69" s="1955"/>
      <c r="AC69" s="1946"/>
      <c r="AD69" s="1946"/>
      <c r="AE69" s="1946"/>
      <c r="AF69" s="1946"/>
      <c r="AG69" s="1812">
        <f>SUM('HIV-Other HPs'!$AC69:$AF69)</f>
        <v>0</v>
      </c>
      <c r="AH69" s="1813">
        <f>'HIV-Other HPs'!$AB69*'HIV-Other HPs'!$AG69</f>
        <v>0</v>
      </c>
      <c r="AI69" s="1845">
        <f>'HIV-Other HPs'!$S69+'HIV-Other HPs'!$Z69+'HIV-Other HPs'!$AG69</f>
        <v>0</v>
      </c>
      <c r="AJ69" s="1846">
        <f>'HIV-Other HPs'!$T69+'HIV-Other HPs'!$AA69+'HIV-Other HPs'!$AH69</f>
        <v>0</v>
      </c>
      <c r="AK69" s="1390" t="str">
        <f>IF(A69&lt;&gt;"",IFERROR(INDEX(PMtbl[[WKst]:[Unit of measure*]],MATCH($A$43&amp;$A69&amp;$E69&amp;$I69,INDEX(PMtbl[Sec]&amp;PMtbl[Category]&amp;PMtbl[INN]&amp;PMtbl[Specification],0,),0),7),""),"")</f>
        <v/>
      </c>
      <c r="AL69" s="2050"/>
      <c r="AM69" s="1390" t="str">
        <f>IFERROR(INDEX(SETUP!$C$19:$G$62,MATCH((INDEX(PMtbl[[WKst]:[Unit of measure*]],MATCH($A69&amp;$E69&amp;$I69,INDEX(PMtbl[Category]&amp;PMtbl[INN]&amp;PMtbl[Specification],0,),0),3)),SETUP!$D$19:$D$62,0),5),"")</f>
        <v/>
      </c>
      <c r="AN69" s="139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61" s="198" customFormat="1">
      <c r="A70" s="2455"/>
      <c r="B70" s="2435"/>
      <c r="C70" s="2435"/>
      <c r="D70" s="2435"/>
      <c r="E70" s="2434"/>
      <c r="F70" s="2435"/>
      <c r="G70" s="2435"/>
      <c r="H70" s="2435"/>
      <c r="I70" s="2378"/>
      <c r="J70" s="2304"/>
      <c r="K70" s="2436"/>
      <c r="L70" s="210" t="str">
        <f>IF(A70&lt;&gt;"",IFERROR(INDEX(PMtbl[[WKst]:[Unit of measure*]],MATCH($A$43&amp;$A70&amp;$E70&amp;$I70,INDEX(PMtbl[Sec]&amp;PMtbl[Category]&amp;PMtbl[INN]&amp;PMtbl[Specification],0,),0),8),""),"")</f>
        <v/>
      </c>
      <c r="M70" s="1188" t="str">
        <f>IF(L70="", "",SETUP!$E$5)</f>
        <v/>
      </c>
      <c r="N70" s="1947"/>
      <c r="O70" s="12"/>
      <c r="P70" s="12"/>
      <c r="Q70" s="12"/>
      <c r="R70" s="12"/>
      <c r="S70" s="1809">
        <f>SUM('HIV-Other HPs'!$O70:$R70)</f>
        <v>0</v>
      </c>
      <c r="T70" s="1810">
        <f>'HIV-Other HPs'!$N70*'HIV-Other HPs'!$S70</f>
        <v>0</v>
      </c>
      <c r="U70" s="1954"/>
      <c r="V70" s="12"/>
      <c r="W70" s="12"/>
      <c r="X70" s="12"/>
      <c r="Y70" s="12"/>
      <c r="Z70" s="1809">
        <f>SUM('HIV-Other HPs'!$V70:$Y70)</f>
        <v>0</v>
      </c>
      <c r="AA70" s="1810">
        <f>'HIV-Other HPs'!$U70*'HIV-Other HPs'!$Z70</f>
        <v>0</v>
      </c>
      <c r="AB70" s="1954"/>
      <c r="AC70" s="12"/>
      <c r="AD70" s="12"/>
      <c r="AE70" s="12"/>
      <c r="AF70" s="12"/>
      <c r="AG70" s="1809">
        <f>SUM('HIV-Other HPs'!$AC70:$AF70)</f>
        <v>0</v>
      </c>
      <c r="AH70" s="1810">
        <f>'HIV-Other HPs'!$AB70*'HIV-Other HPs'!$AG70</f>
        <v>0</v>
      </c>
      <c r="AI70" s="1843">
        <f>'HIV-Other HPs'!$S70+'HIV-Other HPs'!$Z70+'HIV-Other HPs'!$AG70</f>
        <v>0</v>
      </c>
      <c r="AJ70" s="1844">
        <f>'HIV-Other HPs'!$T70+'HIV-Other HPs'!$AA70+'HIV-Other HPs'!$AH70</f>
        <v>0</v>
      </c>
      <c r="AK70" s="1391" t="str">
        <f>IF(A70&lt;&gt;"",IFERROR(INDEX(PMtbl[[WKst]:[Unit of measure*]],MATCH($A$43&amp;$A70&amp;$E70&amp;$I70,INDEX(PMtbl[Sec]&amp;PMtbl[Category]&amp;PMtbl[INN]&amp;PMtbl[Specification],0,),0),7),""),"")</f>
        <v/>
      </c>
      <c r="AL70" s="2049"/>
      <c r="AM70" s="1391" t="str">
        <f>IFERROR(INDEX(SETUP!$C$19:$G$62,MATCH((INDEX(PMtbl[[WKst]:[Unit of measure*]],MATCH($A70&amp;$E70&amp;$I70,INDEX(PMtbl[Category]&amp;PMtbl[INN]&amp;PMtbl[Specification],0,),0),3)),SETUP!$D$19:$D$62,0),5),"")</f>
        <v/>
      </c>
      <c r="AN70" s="1391"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61" s="198" customFormat="1">
      <c r="A71" s="2377"/>
      <c r="B71" s="2302"/>
      <c r="C71" s="2302"/>
      <c r="D71" s="2302"/>
      <c r="E71" s="2427"/>
      <c r="F71" s="2302"/>
      <c r="G71" s="2302"/>
      <c r="H71" s="2302"/>
      <c r="I71" s="2377"/>
      <c r="J71" s="2302"/>
      <c r="K71" s="2426"/>
      <c r="L71" s="209" t="str">
        <f>IF(A71&lt;&gt;"",IFERROR(INDEX(PMtbl[[WKst]:[Unit of measure*]],MATCH($A$43&amp;$A71&amp;$E71&amp;$I71,INDEX(PMtbl[Sec]&amp;PMtbl[Category]&amp;PMtbl[INN]&amp;PMtbl[Specification],0,),0),8),""),"")</f>
        <v/>
      </c>
      <c r="M71" s="1186" t="str">
        <f>IF(L71="", "",SETUP!$E$5)</f>
        <v/>
      </c>
      <c r="N71" s="1948"/>
      <c r="O71" s="1946"/>
      <c r="P71" s="1946"/>
      <c r="Q71" s="1946"/>
      <c r="R71" s="1946"/>
      <c r="S71" s="1812">
        <f>SUM('HIV-Other HPs'!$O71:$R71)</f>
        <v>0</v>
      </c>
      <c r="T71" s="1813">
        <f>'HIV-Other HPs'!$N71*'HIV-Other HPs'!$S71</f>
        <v>0</v>
      </c>
      <c r="U71" s="1955"/>
      <c r="V71" s="1946"/>
      <c r="W71" s="1946"/>
      <c r="X71" s="1946"/>
      <c r="Y71" s="1946"/>
      <c r="Z71" s="1812">
        <f>SUM('HIV-Other HPs'!$V71:$Y71)</f>
        <v>0</v>
      </c>
      <c r="AA71" s="1813">
        <f>'HIV-Other HPs'!$U71*'HIV-Other HPs'!$Z71</f>
        <v>0</v>
      </c>
      <c r="AB71" s="1955"/>
      <c r="AC71" s="1946"/>
      <c r="AD71" s="1946"/>
      <c r="AE71" s="1946"/>
      <c r="AF71" s="1946"/>
      <c r="AG71" s="1812">
        <f>SUM('HIV-Other HPs'!$AC71:$AF71)</f>
        <v>0</v>
      </c>
      <c r="AH71" s="1813">
        <f>'HIV-Other HPs'!$AB71*'HIV-Other HPs'!$AG71</f>
        <v>0</v>
      </c>
      <c r="AI71" s="1845">
        <f>'HIV-Other HPs'!$S71+'HIV-Other HPs'!$Z71+'HIV-Other HPs'!$AG71</f>
        <v>0</v>
      </c>
      <c r="AJ71" s="1846">
        <f>'HIV-Other HPs'!$T71+'HIV-Other HPs'!$AA71+'HIV-Other HPs'!$AH71</f>
        <v>0</v>
      </c>
      <c r="AK71" s="1390" t="str">
        <f>IF(A71&lt;&gt;"",IFERROR(INDEX(PMtbl[[WKst]:[Unit of measure*]],MATCH($A$43&amp;$A71&amp;$E71&amp;$I71,INDEX(PMtbl[Sec]&amp;PMtbl[Category]&amp;PMtbl[INN]&amp;PMtbl[Specification],0,),0),7),""),"")</f>
        <v/>
      </c>
      <c r="AL71" s="2050"/>
      <c r="AM71" s="1390" t="str">
        <f>IFERROR(INDEX(SETUP!$C$19:$G$62,MATCH((INDEX(PMtbl[[WKst]:[Unit of measure*]],MATCH($A71&amp;$E71&amp;$I71,INDEX(PMtbl[Category]&amp;PMtbl[INN]&amp;PMtbl[Specification],0,),0),3)),SETUP!$D$19:$D$62,0),5),"")</f>
        <v/>
      </c>
      <c r="AN71" s="139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61" s="198" customFormat="1">
      <c r="A72" s="2455"/>
      <c r="B72" s="2435"/>
      <c r="C72" s="2435"/>
      <c r="D72" s="2435"/>
      <c r="E72" s="2434"/>
      <c r="F72" s="2435"/>
      <c r="G72" s="2435"/>
      <c r="H72" s="2435"/>
      <c r="I72" s="2378"/>
      <c r="J72" s="2304"/>
      <c r="K72" s="2436"/>
      <c r="L72" s="210" t="str">
        <f>IF(A72&lt;&gt;"",IFERROR(INDEX(PMtbl[[WKst]:[Unit of measure*]],MATCH($A$43&amp;$A72&amp;$E72&amp;$I72,INDEX(PMtbl[Sec]&amp;PMtbl[Category]&amp;PMtbl[INN]&amp;PMtbl[Specification],0,),0),8),""),"")</f>
        <v/>
      </c>
      <c r="M72" s="1188" t="str">
        <f>IF(L72="", "",SETUP!$E$5)</f>
        <v/>
      </c>
      <c r="N72" s="1947"/>
      <c r="O72" s="12"/>
      <c r="P72" s="12"/>
      <c r="Q72" s="12"/>
      <c r="R72" s="12"/>
      <c r="S72" s="1809">
        <f>SUM('HIV-Other HPs'!$O72:$R72)</f>
        <v>0</v>
      </c>
      <c r="T72" s="1810">
        <f>'HIV-Other HPs'!$N72*'HIV-Other HPs'!$S72</f>
        <v>0</v>
      </c>
      <c r="U72" s="1954"/>
      <c r="V72" s="12"/>
      <c r="W72" s="12"/>
      <c r="X72" s="12"/>
      <c r="Y72" s="12"/>
      <c r="Z72" s="1809">
        <f>SUM('HIV-Other HPs'!$V72:$Y72)</f>
        <v>0</v>
      </c>
      <c r="AA72" s="1810">
        <f>'HIV-Other HPs'!$U72*'HIV-Other HPs'!$Z72</f>
        <v>0</v>
      </c>
      <c r="AB72" s="1954"/>
      <c r="AC72" s="12"/>
      <c r="AD72" s="12"/>
      <c r="AE72" s="12"/>
      <c r="AF72" s="12"/>
      <c r="AG72" s="1809">
        <f>SUM('HIV-Other HPs'!$AC72:$AF72)</f>
        <v>0</v>
      </c>
      <c r="AH72" s="1810">
        <f>'HIV-Other HPs'!$AB72*'HIV-Other HPs'!$AG72</f>
        <v>0</v>
      </c>
      <c r="AI72" s="1843">
        <f>'HIV-Other HPs'!$S72+'HIV-Other HPs'!$Z72+'HIV-Other HPs'!$AG72</f>
        <v>0</v>
      </c>
      <c r="AJ72" s="1844">
        <f>'HIV-Other HPs'!$T72+'HIV-Other HPs'!$AA72+'HIV-Other HPs'!$AH72</f>
        <v>0</v>
      </c>
      <c r="AK72" s="1391" t="str">
        <f>IF(A72&lt;&gt;"",IFERROR(INDEX(PMtbl[[WKst]:[Unit of measure*]],MATCH($A$43&amp;$A72&amp;$E72&amp;$I72,INDEX(PMtbl[Sec]&amp;PMtbl[Category]&amp;PMtbl[INN]&amp;PMtbl[Specification],0,),0),7),""),"")</f>
        <v/>
      </c>
      <c r="AL72" s="2049"/>
      <c r="AM72" s="1391" t="str">
        <f>IFERROR(INDEX(SETUP!$C$19:$G$62,MATCH((INDEX(PMtbl[[WKst]:[Unit of measure*]],MATCH($A72&amp;$E72&amp;$I72,INDEX(PMtbl[Category]&amp;PMtbl[INN]&amp;PMtbl[Specification],0,),0),3)),SETUP!$D$19:$D$62,0),5),"")</f>
        <v/>
      </c>
      <c r="AN72" s="1391"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61" s="198" customFormat="1">
      <c r="A73" s="2377"/>
      <c r="B73" s="2302"/>
      <c r="C73" s="2302"/>
      <c r="D73" s="2302"/>
      <c r="E73" s="2427"/>
      <c r="F73" s="2302"/>
      <c r="G73" s="2302"/>
      <c r="H73" s="2302"/>
      <c r="I73" s="2377"/>
      <c r="J73" s="2302"/>
      <c r="K73" s="2426"/>
      <c r="L73" s="209" t="str">
        <f>IF(A73&lt;&gt;"",IFERROR(INDEX(PMtbl[[WKst]:[Unit of measure*]],MATCH($A$43&amp;$A73&amp;$E73&amp;$I73,INDEX(PMtbl[Sec]&amp;PMtbl[Category]&amp;PMtbl[INN]&amp;PMtbl[Specification],0,),0),8),""),"")</f>
        <v/>
      </c>
      <c r="M73" s="1186" t="str">
        <f>IF(L73="", "",SETUP!$E$5)</f>
        <v/>
      </c>
      <c r="N73" s="1948"/>
      <c r="O73" s="1946"/>
      <c r="P73" s="1946"/>
      <c r="Q73" s="1946"/>
      <c r="R73" s="1946"/>
      <c r="S73" s="1812">
        <f>SUM('HIV-Other HPs'!$O73:$R73)</f>
        <v>0</v>
      </c>
      <c r="T73" s="1813">
        <f>'HIV-Other HPs'!$N73*'HIV-Other HPs'!$S73</f>
        <v>0</v>
      </c>
      <c r="U73" s="1955"/>
      <c r="V73" s="1946"/>
      <c r="W73" s="1946"/>
      <c r="X73" s="1946"/>
      <c r="Y73" s="1946"/>
      <c r="Z73" s="1812">
        <f>SUM('HIV-Other HPs'!$V73:$Y73)</f>
        <v>0</v>
      </c>
      <c r="AA73" s="1813">
        <f>'HIV-Other HPs'!$U73*'HIV-Other HPs'!$Z73</f>
        <v>0</v>
      </c>
      <c r="AB73" s="1955"/>
      <c r="AC73" s="1946"/>
      <c r="AD73" s="1946"/>
      <c r="AE73" s="1946"/>
      <c r="AF73" s="1946"/>
      <c r="AG73" s="1812">
        <f>SUM('HIV-Other HPs'!$AC73:$AF73)</f>
        <v>0</v>
      </c>
      <c r="AH73" s="1813">
        <f>'HIV-Other HPs'!$AB73*'HIV-Other HPs'!$AG73</f>
        <v>0</v>
      </c>
      <c r="AI73" s="1845">
        <f>'HIV-Other HPs'!$S73+'HIV-Other HPs'!$Z73+'HIV-Other HPs'!$AG73</f>
        <v>0</v>
      </c>
      <c r="AJ73" s="1846">
        <f>'HIV-Other HPs'!$T73+'HIV-Other HPs'!$AA73+'HIV-Other HPs'!$AH73</f>
        <v>0</v>
      </c>
      <c r="AK73" s="1390" t="str">
        <f>IF(A73&lt;&gt;"",IFERROR(INDEX(PMtbl[[WKst]:[Unit of measure*]],MATCH($A$43&amp;$A73&amp;$E73&amp;$I73,INDEX(PMtbl[Sec]&amp;PMtbl[Category]&amp;PMtbl[INN]&amp;PMtbl[Specification],0,),0),7),""),"")</f>
        <v/>
      </c>
      <c r="AL73" s="2050"/>
      <c r="AM73" s="1390" t="str">
        <f>IFERROR(INDEX(SETUP!$C$19:$G$62,MATCH((INDEX(PMtbl[[WKst]:[Unit of measure*]],MATCH($A73&amp;$E73&amp;$I73,INDEX(PMtbl[Category]&amp;PMtbl[INN]&amp;PMtbl[Specification],0,),0),3)),SETUP!$D$19:$D$62,0),5),"")</f>
        <v/>
      </c>
      <c r="AN73" s="139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61" s="198" customFormat="1" ht="15" thickBot="1">
      <c r="A74" s="2507"/>
      <c r="B74" s="2433"/>
      <c r="C74" s="2433"/>
      <c r="D74" s="2433"/>
      <c r="E74" s="2432"/>
      <c r="F74" s="2433"/>
      <c r="G74" s="2433"/>
      <c r="H74" s="2433"/>
      <c r="I74" s="2409"/>
      <c r="J74" s="2410"/>
      <c r="K74" s="2411"/>
      <c r="L74" s="1189" t="str">
        <f>IF(A74&lt;&gt;"",IFERROR(INDEX(PMtbl[[WKst]:[Unit of measure*]],MATCH($A$43&amp;$A74&amp;$E74&amp;$I74,INDEX(PMtbl[Sec]&amp;PMtbl[Category]&amp;PMtbl[INN]&amp;PMtbl[Specification],0,),0),8),""),"")</f>
        <v/>
      </c>
      <c r="M74" s="1190" t="str">
        <f>IF(L74="", "",SETUP!$E$5)</f>
        <v/>
      </c>
      <c r="N74" s="1963"/>
      <c r="O74" s="1964"/>
      <c r="P74" s="1964"/>
      <c r="Q74" s="1964"/>
      <c r="R74" s="1964"/>
      <c r="S74" s="1847">
        <f>SUM('HIV-Other HPs'!$O74:$R74)</f>
        <v>0</v>
      </c>
      <c r="T74" s="1848">
        <f>'HIV-Other HPs'!$N74*'HIV-Other HPs'!$S74</f>
        <v>0</v>
      </c>
      <c r="U74" s="1965"/>
      <c r="V74" s="1964"/>
      <c r="W74" s="1964"/>
      <c r="X74" s="1964"/>
      <c r="Y74" s="1964"/>
      <c r="Z74" s="1847">
        <f>SUM('HIV-Other HPs'!$V74:$Y74)</f>
        <v>0</v>
      </c>
      <c r="AA74" s="1848">
        <f>'HIV-Other HPs'!$U74*'HIV-Other HPs'!$Z74</f>
        <v>0</v>
      </c>
      <c r="AB74" s="1965"/>
      <c r="AC74" s="1964"/>
      <c r="AD74" s="1964"/>
      <c r="AE74" s="1964"/>
      <c r="AF74" s="1964"/>
      <c r="AG74" s="1847">
        <f>SUM('HIV-Other HPs'!$AC74:$AF74)</f>
        <v>0</v>
      </c>
      <c r="AH74" s="1848">
        <f>'HIV-Other HPs'!$AB74*'HIV-Other HPs'!$AG74</f>
        <v>0</v>
      </c>
      <c r="AI74" s="1849">
        <f>'HIV-Other HPs'!$S74+'HIV-Other HPs'!$Z74+'HIV-Other HPs'!$AG74</f>
        <v>0</v>
      </c>
      <c r="AJ74" s="1850">
        <f>'HIV-Other HPs'!$T74+'HIV-Other HPs'!$AA74+'HIV-Other HPs'!$AH74</f>
        <v>0</v>
      </c>
      <c r="AK74" s="1394" t="str">
        <f>IF(A74&lt;&gt;"",IFERROR(INDEX(PMtbl[[WKst]:[Unit of measure*]],MATCH($A$43&amp;$A74&amp;$E74&amp;$I74,INDEX(PMtbl[Sec]&amp;PMtbl[Category]&amp;PMtbl[INN]&amp;PMtbl[Specification],0,),0),7),""),"")</f>
        <v/>
      </c>
      <c r="AL74" s="2053"/>
      <c r="AM74" s="1394" t="str">
        <f>IFERROR(INDEX(SETUP!$C$19:$G$62,MATCH((INDEX(PMtbl[[WKst]:[Unit of measure*]],MATCH($A74&amp;$E74&amp;$I74,INDEX(PMtbl[Category]&amp;PMtbl[INN]&amp;PMtbl[Specification],0,),0),3)),SETUP!$D$19:$D$62,0),5),"")</f>
        <v/>
      </c>
      <c r="AN74" s="1394"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1">
      <c r="A75" s="122"/>
      <c r="B75" s="122"/>
      <c r="C75" s="122"/>
      <c r="D75" s="122"/>
      <c r="E75" s="122"/>
      <c r="F75" s="122"/>
      <c r="G75" s="12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81"/>
      <c r="AW75" s="198"/>
      <c r="AX75" s="198"/>
      <c r="AY75" s="198"/>
      <c r="AZ75" s="198"/>
      <c r="BA75" s="198"/>
      <c r="BB75" s="198"/>
      <c r="BC75" s="198"/>
      <c r="BD75" s="198"/>
      <c r="BE75" s="198"/>
      <c r="BF75" s="198"/>
      <c r="BG75" s="198"/>
      <c r="BH75" s="198"/>
      <c r="BI75" s="198"/>
    </row>
    <row r="76" spans="1:61" ht="15" thickBot="1">
      <c r="A76" s="118"/>
      <c r="B76" s="118"/>
      <c r="C76" s="118"/>
      <c r="D76" s="381"/>
      <c r="E76" s="381"/>
      <c r="F76" s="381"/>
      <c r="G76" s="81"/>
      <c r="H76" s="81"/>
      <c r="I76" s="81"/>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82"/>
    </row>
    <row r="77" spans="1:61" ht="15" customHeight="1">
      <c r="A77" s="2471">
        <v>3</v>
      </c>
      <c r="B77" s="2472" t="s">
        <v>230</v>
      </c>
      <c r="C77" s="2472"/>
      <c r="D77" s="2472"/>
      <c r="E77" s="2261" t="s">
        <v>231</v>
      </c>
      <c r="F77" s="2261"/>
      <c r="G77" s="2261"/>
      <c r="H77" s="2234" t="s">
        <v>226</v>
      </c>
      <c r="I77" s="2339" t="s">
        <v>214</v>
      </c>
      <c r="J77" s="2424" t="s">
        <v>216</v>
      </c>
      <c r="K77" s="2339"/>
      <c r="L77" s="78"/>
      <c r="M77" s="78"/>
      <c r="N77" s="78"/>
      <c r="O77" s="78"/>
      <c r="P77" s="78"/>
      <c r="Q77" s="78"/>
      <c r="R77" s="78"/>
      <c r="S77" s="78"/>
      <c r="T77" s="78"/>
      <c r="U77" s="78"/>
      <c r="V77" s="78"/>
      <c r="W77" s="78"/>
      <c r="X77" s="78"/>
      <c r="Y77" s="78"/>
      <c r="Z77" s="78"/>
      <c r="AA77" s="78"/>
      <c r="AB77" s="78"/>
      <c r="AC77" s="78"/>
      <c r="AD77" s="78"/>
      <c r="AE77" s="78"/>
      <c r="AF77" s="78"/>
      <c r="AG77" s="78"/>
      <c r="AH77" s="82"/>
    </row>
    <row r="78" spans="1:61" ht="15" customHeight="1" thickBot="1">
      <c r="A78" s="2471"/>
      <c r="B78" s="2472"/>
      <c r="C78" s="2472"/>
      <c r="D78" s="2472"/>
      <c r="E78" s="2261" t="s">
        <v>232</v>
      </c>
      <c r="F78" s="2261"/>
      <c r="G78" s="2261"/>
      <c r="H78" s="2235"/>
      <c r="I78" s="2340"/>
      <c r="J78" s="2425"/>
      <c r="K78" s="2340"/>
      <c r="L78" s="78"/>
      <c r="M78" s="78"/>
      <c r="N78" s="78"/>
      <c r="O78" s="78"/>
      <c r="P78" s="78"/>
      <c r="Q78" s="78"/>
      <c r="R78" s="78"/>
      <c r="S78" s="78"/>
      <c r="T78" s="78"/>
      <c r="U78" s="78"/>
      <c r="V78" s="78"/>
      <c r="W78" s="78"/>
      <c r="X78" s="78"/>
      <c r="Y78" s="78"/>
      <c r="Z78" s="78"/>
      <c r="AA78" s="78"/>
      <c r="AB78" s="78"/>
      <c r="AC78" s="78"/>
      <c r="AD78" s="78"/>
      <c r="AE78" s="78"/>
      <c r="AF78" s="78"/>
      <c r="AG78" s="78"/>
      <c r="AH78" s="82"/>
    </row>
    <row r="79" spans="1:61" ht="111" customHeight="1">
      <c r="A79" s="2348" t="str">
        <f>IF($L$1=2,Language!$E$222,IF($L$1=3,Language!$F$222,Language!$G$222))</f>
        <v>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79" s="2349"/>
      <c r="C79" s="2349"/>
      <c r="D79" s="2349"/>
      <c r="E79" s="2349"/>
      <c r="F79" s="2349"/>
      <c r="G79" s="2349"/>
      <c r="H79" s="2349"/>
      <c r="I79" s="2349"/>
      <c r="J79" s="2349"/>
      <c r="K79" s="2349"/>
      <c r="L79" s="2349"/>
      <c r="M79" s="2350"/>
      <c r="N79" s="78"/>
      <c r="O79" s="78"/>
      <c r="P79" s="78"/>
      <c r="Q79" s="78"/>
      <c r="R79" s="78"/>
      <c r="S79" s="78"/>
      <c r="T79" s="78"/>
      <c r="U79" s="78"/>
      <c r="V79" s="78"/>
      <c r="W79" s="78"/>
      <c r="X79" s="78"/>
      <c r="Y79" s="78"/>
      <c r="Z79" s="78"/>
      <c r="AA79" s="78"/>
      <c r="AB79" s="78"/>
      <c r="AC79" s="78"/>
      <c r="AD79" s="78"/>
      <c r="AE79" s="78"/>
      <c r="AF79" s="78"/>
      <c r="AG79" s="78"/>
      <c r="AH79" s="82"/>
    </row>
    <row r="80" spans="1:61" ht="15" thickBot="1">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119"/>
    </row>
    <row r="81" spans="1:61">
      <c r="A81" s="2504" t="str">
        <f>A47</f>
        <v>Categoría</v>
      </c>
      <c r="B81" s="2419"/>
      <c r="C81" s="2419"/>
      <c r="D81" s="2504" t="str">
        <f>E47</f>
        <v>Tipo de producto</v>
      </c>
      <c r="E81" s="2419"/>
      <c r="F81" s="2419"/>
      <c r="G81" s="2315" t="str">
        <f>I47</f>
        <v>Especificaciones (tamaño, características, tamaño del empaque)</v>
      </c>
      <c r="H81" s="2316"/>
      <c r="I81" s="2316"/>
      <c r="J81" s="2325"/>
      <c r="K81" s="2419" t="str">
        <f>L47</f>
        <v>Unidad de medida</v>
      </c>
      <c r="L81" s="2501" t="str">
        <f>M47</f>
        <v>Moneda de pago</v>
      </c>
      <c r="M81" s="2422">
        <f>N47</f>
        <v>2022</v>
      </c>
      <c r="N81" s="2423"/>
      <c r="O81" s="2423"/>
      <c r="P81" s="2423"/>
      <c r="Q81" s="2423"/>
      <c r="R81" s="2423"/>
      <c r="S81" s="2423"/>
      <c r="T81" s="2422">
        <f>U47</f>
        <v>2023</v>
      </c>
      <c r="U81" s="2423"/>
      <c r="V81" s="2423"/>
      <c r="W81" s="2423"/>
      <c r="X81" s="2423"/>
      <c r="Y81" s="2423"/>
      <c r="Z81" s="2423"/>
      <c r="AA81" s="2422">
        <f>AB47</f>
        <v>2024</v>
      </c>
      <c r="AB81" s="2423"/>
      <c r="AC81" s="2423"/>
      <c r="AD81" s="2423"/>
      <c r="AE81" s="2423"/>
      <c r="AF81" s="2423"/>
      <c r="AG81" s="2423"/>
      <c r="AH81" s="2412" t="str">
        <f>AI47</f>
        <v>Total del período de subvención</v>
      </c>
      <c r="AI81" s="2413"/>
      <c r="AJ81" s="120" t="str">
        <f>AK47</f>
        <v>Finanzas</v>
      </c>
      <c r="AK81" s="2310" t="str">
        <f>AL47</f>
        <v>Comentarios</v>
      </c>
      <c r="AL81" s="2374"/>
      <c r="AM81" s="2295" t="str">
        <f>VLOOKUP("Delivery Lead Time",Language!$D$149:$G$289,$L$1,FALSE)</f>
        <v>Plazo de entrega</v>
      </c>
      <c r="AN81" s="2295" t="s">
        <v>3055</v>
      </c>
    </row>
    <row r="82" spans="1:61" s="325" customFormat="1" ht="26.5" thickBot="1">
      <c r="A82" s="2505"/>
      <c r="B82" s="2388"/>
      <c r="C82" s="2388"/>
      <c r="D82" s="2505"/>
      <c r="E82" s="2388"/>
      <c r="F82" s="2388"/>
      <c r="G82" s="2420"/>
      <c r="H82" s="2421"/>
      <c r="I82" s="2421"/>
      <c r="J82" s="2385"/>
      <c r="K82" s="2388"/>
      <c r="L82" s="2502"/>
      <c r="M82" s="1828" t="str">
        <f>N48</f>
        <v>Costo unitario del A1</v>
      </c>
      <c r="N82" s="1821" t="str">
        <f t="shared" ref="N82:AJ82" si="20">O48</f>
        <v>Cantidad del A1, T1</v>
      </c>
      <c r="O82" s="1821" t="str">
        <f t="shared" si="20"/>
        <v>Cantidad del A1, T2</v>
      </c>
      <c r="P82" s="1821" t="str">
        <f t="shared" si="20"/>
        <v>Cantidad del A1, T3</v>
      </c>
      <c r="Q82" s="1821" t="str">
        <f t="shared" si="20"/>
        <v>Cantidad del A1, T4</v>
      </c>
      <c r="R82" s="1821" t="str">
        <f t="shared" si="20"/>
        <v>Cantidad total del A1</v>
      </c>
      <c r="S82" s="1829" t="str">
        <f t="shared" si="20"/>
        <v>Costo total del A1</v>
      </c>
      <c r="T82" s="1830" t="str">
        <f t="shared" si="20"/>
        <v>Costo unitario del A2</v>
      </c>
      <c r="U82" s="1821" t="str">
        <f t="shared" si="20"/>
        <v>Cantidad del A2, T1</v>
      </c>
      <c r="V82" s="1821" t="str">
        <f t="shared" si="20"/>
        <v>Cantidad del A2, T2</v>
      </c>
      <c r="W82" s="1821" t="str">
        <f t="shared" si="20"/>
        <v>Cantidad del A2, T3</v>
      </c>
      <c r="X82" s="1821" t="str">
        <f t="shared" si="20"/>
        <v>Cantidad del A2, T4</v>
      </c>
      <c r="Y82" s="1821" t="str">
        <f t="shared" si="20"/>
        <v>Cantidad total del A2</v>
      </c>
      <c r="Z82" s="1829" t="str">
        <f t="shared" si="20"/>
        <v>Costo total del A2</v>
      </c>
      <c r="AA82" s="1830" t="str">
        <f t="shared" si="20"/>
        <v>Costo unitario del A3</v>
      </c>
      <c r="AB82" s="1821" t="str">
        <f t="shared" si="20"/>
        <v>Cantidad del A3, T1</v>
      </c>
      <c r="AC82" s="1821" t="str">
        <f t="shared" si="20"/>
        <v>Cantidad del A3, T2</v>
      </c>
      <c r="AD82" s="1821" t="str">
        <f t="shared" si="20"/>
        <v>Cantidad del A3, T3</v>
      </c>
      <c r="AE82" s="1821" t="str">
        <f t="shared" si="20"/>
        <v>Cantidad del A3, T4</v>
      </c>
      <c r="AF82" s="1821" t="str">
        <f t="shared" si="20"/>
        <v>Cantidad total del A3</v>
      </c>
      <c r="AG82" s="1829" t="str">
        <f t="shared" si="20"/>
        <v>Costo total del A3</v>
      </c>
      <c r="AH82" s="1823" t="str">
        <f t="shared" si="20"/>
        <v>Cantidad total</v>
      </c>
      <c r="AI82" s="1829" t="str">
        <f t="shared" si="20"/>
        <v xml:space="preserve">Costo total </v>
      </c>
      <c r="AJ82" s="1833" t="str">
        <f t="shared" si="20"/>
        <v>Categoría de costos</v>
      </c>
      <c r="AK82" s="2390"/>
      <c r="AL82" s="2452"/>
      <c r="AM82" s="2296"/>
      <c r="AN82" s="2296"/>
      <c r="AW82" s="62"/>
      <c r="AX82" s="62"/>
      <c r="AY82" s="62"/>
      <c r="AZ82" s="62"/>
      <c r="BA82" s="62"/>
      <c r="BB82" s="62"/>
      <c r="BC82" s="62"/>
      <c r="BD82" s="62"/>
      <c r="BE82" s="62"/>
      <c r="BF82" s="62"/>
      <c r="BG82" s="62"/>
      <c r="BH82" s="62"/>
      <c r="BI82" s="62"/>
    </row>
    <row r="83" spans="1:61" s="326" customFormat="1">
      <c r="A83" s="2481" t="s">
        <v>3060</v>
      </c>
      <c r="B83" s="2337"/>
      <c r="C83" s="2337"/>
      <c r="D83" s="2481" t="s">
        <v>195</v>
      </c>
      <c r="E83" s="2506"/>
      <c r="F83" s="2506"/>
      <c r="G83" s="2414" t="s">
        <v>1335</v>
      </c>
      <c r="H83" s="2337"/>
      <c r="I83" s="2337"/>
      <c r="J83" s="2415"/>
      <c r="K83" s="203" t="str">
        <f>IF($A83&lt;&gt;"",IFERROR(INDEX(PMsheet!$B:$I,MATCH($A$77&amp;$A83&amp;$D83&amp;$G83,INDEX(PMsheet!$C:$C&amp;PMsheet!$E:$E&amp;PMsheet!$F:$F&amp;PMsheet!$G:$G,0,),0),8),""),"")</f>
        <v>Pack</v>
      </c>
      <c r="L83" s="204" t="str">
        <f>IF(K83="", "",SETUP!$E$5)</f>
        <v>USD</v>
      </c>
      <c r="M83" s="1959">
        <v>2502.7199999999998</v>
      </c>
      <c r="N83" s="1943"/>
      <c r="O83" s="1943">
        <v>152</v>
      </c>
      <c r="P83" s="1943"/>
      <c r="Q83" s="1943"/>
      <c r="R83" s="1805">
        <f>SUM('HIV-Other HPs'!$N83:$Q83)</f>
        <v>152</v>
      </c>
      <c r="S83" s="1806">
        <f>'HIV-Other HPs'!$M83*'HIV-Other HPs'!$R83</f>
        <v>380413.43999999994</v>
      </c>
      <c r="T83" s="1959">
        <v>2502.7199999999998</v>
      </c>
      <c r="U83" s="1943"/>
      <c r="V83" s="1943">
        <v>154</v>
      </c>
      <c r="W83" s="1943"/>
      <c r="X83" s="1943"/>
      <c r="Y83" s="1805">
        <f>SUM('HIV-Other HPs'!$U83:$X83)</f>
        <v>154</v>
      </c>
      <c r="Z83" s="1806">
        <f>'HIV-Other HPs'!$T83*'HIV-Other HPs'!$Y83</f>
        <v>385418.87999999995</v>
      </c>
      <c r="AA83" s="1959">
        <v>2502.7199999999998</v>
      </c>
      <c r="AB83" s="1943"/>
      <c r="AC83" s="1943">
        <v>155</v>
      </c>
      <c r="AD83" s="1943"/>
      <c r="AE83" s="1943"/>
      <c r="AF83" s="1805">
        <f>SUM('HIV-Other HPs'!$AB83:$AE83)</f>
        <v>155</v>
      </c>
      <c r="AG83" s="1806">
        <f>'HIV-Other HPs'!$AA83*'HIV-Other HPs'!$AF83</f>
        <v>387921.6</v>
      </c>
      <c r="AH83" s="1807">
        <f>'HIV-Other HPs'!$R83+'HIV-Other HPs'!$Y83+'HIV-Other HPs'!$AF83</f>
        <v>461</v>
      </c>
      <c r="AI83" s="1806">
        <f>'HIV-Other HPs'!$S83+'HIV-Other HPs'!$Z83+'HIV-Other HPs'!$AG83</f>
        <v>1153753.92</v>
      </c>
      <c r="AJ83" s="1835">
        <f>IF($A83&lt;&gt;"",IFERROR(INDEX(PMtbl[[WKst]:[Unit of measure*]],MATCH($A$77&amp;$A83&amp;$D83&amp;$G83,INDEX(PMtbl[Sec]&amp;PMtbl[Category]&amp;PMtbl[INN]&amp;PMtbl[Specification],0,),0),7),""),"")</f>
        <v>5.6</v>
      </c>
      <c r="AK83" s="2512"/>
      <c r="AL83" s="2513"/>
      <c r="AM83" s="1390">
        <f>IFERROR(INDEX(SETUP!$C$19:$G$62,MATCH((INDEX(PMtbl[[WKst]:[Unit of measure*]],MATCH($A83&amp;$D83&amp;$G83,INDEX(PMtbl[Category]&amp;PMtbl[INN]&amp;PMtbl[Specification],0,),0),3)),SETUP!$D$19:$D$62,0),5),"")</f>
        <v>0</v>
      </c>
      <c r="AN83" s="1390">
        <f>IFERROR(IF((INDEX(SETUP!$C$19:$G$62,MATCH((INDEX(PMtbl[[WKst]:[Unit of measure*]],MATCH($A83&amp;$D83&amp;$G83,INDEX(PMtbl[Category]&amp;PMtbl[INN]&amp;PMtbl[Specification],0,),0),3)),SETUP!$D$19:$D$62,0),4))="Upfront",0,INDEX(SETUP!$C$19:$G$62,MATCH((INDEX(PMtbl[[WKst]:[Unit of measure*]],MATCH($A83&amp;$D83&amp;$G83,INDEX(PMtbl[Category]&amp;PMtbl[INN]&amp;PMtbl[Specification],0,),0),3)),SETUP!$D$19:$D$62,0),5)),"")</f>
        <v>0</v>
      </c>
      <c r="AW83" s="325"/>
      <c r="AX83" s="325"/>
      <c r="AY83" s="325"/>
      <c r="AZ83" s="325"/>
      <c r="BA83" s="325"/>
      <c r="BB83" s="325"/>
      <c r="BC83" s="325"/>
      <c r="BD83" s="325"/>
      <c r="BE83" s="325"/>
      <c r="BF83" s="325"/>
      <c r="BG83" s="325"/>
      <c r="BH83" s="325"/>
      <c r="BI83" s="325"/>
    </row>
    <row r="84" spans="1:61" s="198" customFormat="1">
      <c r="A84" s="2480"/>
      <c r="B84" s="2331"/>
      <c r="C84" s="2331"/>
      <c r="D84" s="2480"/>
      <c r="E84" s="2331"/>
      <c r="F84" s="2331"/>
      <c r="G84" s="2416"/>
      <c r="H84" s="2417"/>
      <c r="I84" s="2417"/>
      <c r="J84" s="2418"/>
      <c r="K84" s="205" t="str">
        <f>IF($A84&lt;&gt;"",IFERROR(INDEX(PMsheet!$B:$I,MATCH($A$77&amp;$A84&amp;$D84&amp;$G84,INDEX(PMsheet!$C:$C&amp;PMsheet!$E:$E&amp;PMsheet!$F:$F&amp;PMsheet!$G:$G,0,),0),8),""),"")</f>
        <v/>
      </c>
      <c r="L84" s="206" t="str">
        <f>IF(K84="", "",SETUP!$E$5)</f>
        <v/>
      </c>
      <c r="M84" s="1947"/>
      <c r="N84" s="12"/>
      <c r="O84" s="12"/>
      <c r="P84" s="12"/>
      <c r="Q84" s="12"/>
      <c r="R84" s="1809">
        <f>SUM('HIV-Other HPs'!$N84:$Q84)</f>
        <v>0</v>
      </c>
      <c r="S84" s="1810">
        <f>'HIV-Other HPs'!$M84*'HIV-Other HPs'!$R84</f>
        <v>0</v>
      </c>
      <c r="T84" s="1954"/>
      <c r="U84" s="12"/>
      <c r="V84" s="12"/>
      <c r="W84" s="12"/>
      <c r="X84" s="12"/>
      <c r="Y84" s="1809">
        <f>SUM('HIV-Other HPs'!$U84:$X84)</f>
        <v>0</v>
      </c>
      <c r="Z84" s="1810">
        <f>'HIV-Other HPs'!$T84*'HIV-Other HPs'!$Y84</f>
        <v>0</v>
      </c>
      <c r="AA84" s="1954"/>
      <c r="AB84" s="12"/>
      <c r="AC84" s="12"/>
      <c r="AD84" s="12"/>
      <c r="AE84" s="12"/>
      <c r="AF84" s="1809">
        <f>SUM('HIV-Other HPs'!$AB84:$AE84)</f>
        <v>0</v>
      </c>
      <c r="AG84" s="1810">
        <f>'HIV-Other HPs'!$AA84*'HIV-Other HPs'!$AF84</f>
        <v>0</v>
      </c>
      <c r="AH84" s="1811">
        <f>'HIV-Other HPs'!$R84+'HIV-Other HPs'!$Y84+'HIV-Other HPs'!$AF84</f>
        <v>0</v>
      </c>
      <c r="AI84" s="1810">
        <f>'HIV-Other HPs'!$S84+'HIV-Other HPs'!$Z84+'HIV-Other HPs'!$AG84</f>
        <v>0</v>
      </c>
      <c r="AJ84" s="1391" t="str">
        <f>IF($A84&lt;&gt;"",IFERROR(INDEX(PMtbl[[WKst]:[Unit of measure*]],MATCH($A$77&amp;$A84&amp;$D84&amp;$G84,INDEX(PMtbl[Sec]&amp;PMtbl[Category]&amp;PMtbl[INN]&amp;PMtbl[Specification],0,),0),7),""),"")</f>
        <v/>
      </c>
      <c r="AK84" s="2508"/>
      <c r="AL84" s="2509"/>
      <c r="AM84" s="1391" t="str">
        <f>IFERROR(INDEX(SETUP!$C$19:$G$62,MATCH((INDEX(PMtbl[[WKst]:[Unit of measure*]],MATCH($A84&amp;$D84&amp;$G84,INDEX(PMtbl[Category]&amp;PMtbl[INN]&amp;PMtbl[Specification],0,),0),3)),SETUP!$D$19:$D$62,0),5),"")</f>
        <v/>
      </c>
      <c r="AN84" s="1391" t="str">
        <f>IFERROR(IF((INDEX(SETUP!$C$19:$G$62,MATCH((INDEX(PMtbl[[WKst]:[Unit of measure*]],MATCH($A84&amp;$D84&amp;$G84,INDEX(PMtbl[Category]&amp;PMtbl[INN]&amp;PMtbl[Specification],0,),0),3)),SETUP!$D$19:$D$62,0),4))="Upfront",0,INDEX(SETUP!$C$19:$G$62,MATCH((INDEX(PMtbl[[WKst]:[Unit of measure*]],MATCH($A84&amp;$D84&amp;$G84,INDEX(PMtbl[Category]&amp;PMtbl[INN]&amp;PMtbl[Specification],0,),0),3)),SETUP!$D$19:$D$62,0),5)),"")</f>
        <v/>
      </c>
      <c r="AR84" s="326"/>
      <c r="AW84" s="326"/>
      <c r="AX84" s="326"/>
      <c r="AY84" s="326"/>
      <c r="AZ84" s="326"/>
      <c r="BA84" s="326"/>
      <c r="BB84" s="326"/>
      <c r="BC84" s="326"/>
      <c r="BD84" s="326"/>
      <c r="BE84" s="326"/>
      <c r="BF84" s="326"/>
      <c r="BG84" s="326"/>
      <c r="BH84" s="326"/>
      <c r="BI84" s="326"/>
    </row>
    <row r="85" spans="1:61" s="198" customFormat="1">
      <c r="A85" s="2481"/>
      <c r="B85" s="2337"/>
      <c r="C85" s="2337"/>
      <c r="D85" s="2481"/>
      <c r="E85" s="2337"/>
      <c r="F85" s="2337"/>
      <c r="G85" s="2414"/>
      <c r="H85" s="2337"/>
      <c r="I85" s="2337"/>
      <c r="J85" s="2415"/>
      <c r="K85" s="203" t="str">
        <f>IF($A85&lt;&gt;"",IFERROR(INDEX(PMsheet!$B:$I,MATCH($A$77&amp;$A85&amp;$D85&amp;$G85,INDEX(PMsheet!$C:$C&amp;PMsheet!$E:$E&amp;PMsheet!$F:$F&amp;PMsheet!$G:$G,0,),0),8),""),"")</f>
        <v/>
      </c>
      <c r="L85" s="204" t="str">
        <f>IF(K85="", "",SETUP!$E$5)</f>
        <v/>
      </c>
      <c r="M85" s="1948"/>
      <c r="N85" s="1946"/>
      <c r="O85" s="1946"/>
      <c r="P85" s="1946"/>
      <c r="Q85" s="1946"/>
      <c r="R85" s="1812">
        <f>SUM('HIV-Other HPs'!$N85:$Q85)</f>
        <v>0</v>
      </c>
      <c r="S85" s="1813">
        <f>'HIV-Other HPs'!$M85*'HIV-Other HPs'!$R85</f>
        <v>0</v>
      </c>
      <c r="T85" s="1955"/>
      <c r="U85" s="1946"/>
      <c r="V85" s="1946"/>
      <c r="W85" s="1946"/>
      <c r="X85" s="1946"/>
      <c r="Y85" s="1812">
        <f>SUM('HIV-Other HPs'!$U85:$X85)</f>
        <v>0</v>
      </c>
      <c r="Z85" s="1813">
        <f>'HIV-Other HPs'!$T85*'HIV-Other HPs'!$Y85</f>
        <v>0</v>
      </c>
      <c r="AA85" s="1955"/>
      <c r="AB85" s="1946"/>
      <c r="AC85" s="1946"/>
      <c r="AD85" s="1946"/>
      <c r="AE85" s="1946"/>
      <c r="AF85" s="1812">
        <f>SUM('HIV-Other HPs'!$AB85:$AE85)</f>
        <v>0</v>
      </c>
      <c r="AG85" s="1813">
        <f>'HIV-Other HPs'!$AA85*'HIV-Other HPs'!$AF85</f>
        <v>0</v>
      </c>
      <c r="AH85" s="1814">
        <f>'HIV-Other HPs'!$R85+'HIV-Other HPs'!$Y85+'HIV-Other HPs'!$AF85</f>
        <v>0</v>
      </c>
      <c r="AI85" s="1813">
        <f>'HIV-Other HPs'!$S85+'HIV-Other HPs'!$Z85+'HIV-Other HPs'!$AG85</f>
        <v>0</v>
      </c>
      <c r="AJ85" s="1390" t="str">
        <f>IF($A85&lt;&gt;"",IFERROR(INDEX(PMtbl[[WKst]:[Unit of measure*]],MATCH($A$77&amp;$A85&amp;$D85&amp;$G85,INDEX(PMtbl[Sec]&amp;PMtbl[Category]&amp;PMtbl[INN]&amp;PMtbl[Specification],0,),0),7),""),"")</f>
        <v/>
      </c>
      <c r="AK85" s="2510"/>
      <c r="AL85" s="2511"/>
      <c r="AM85" s="1390" t="str">
        <f>IFERROR(INDEX(SETUP!$C$19:$G$62,MATCH((INDEX(PMtbl[[WKst]:[Unit of measure*]],MATCH($A85&amp;$D85&amp;$G85,INDEX(PMtbl[Category]&amp;PMtbl[INN]&amp;PMtbl[Specification],0,),0),3)),SETUP!$D$19:$D$62,0),5),"")</f>
        <v/>
      </c>
      <c r="AN85" s="1390" t="str">
        <f>IFERROR(IF((INDEX(SETUP!$C$19:$G$62,MATCH((INDEX(PMtbl[[WKst]:[Unit of measure*]],MATCH($A85&amp;$D85&amp;$G85,INDEX(PMtbl[Category]&amp;PMtbl[INN]&amp;PMtbl[Specification],0,),0),3)),SETUP!$D$19:$D$62,0),4))="Upfront",0,INDEX(SETUP!$C$19:$G$62,MATCH((INDEX(PMtbl[[WKst]:[Unit of measure*]],MATCH($A85&amp;$D85&amp;$G85,INDEX(PMtbl[Category]&amp;PMtbl[INN]&amp;PMtbl[Specification],0,),0),3)),SETUP!$D$19:$D$62,0),5)),"")</f>
        <v/>
      </c>
      <c r="AR85" s="326"/>
    </row>
    <row r="86" spans="1:61" s="198" customFormat="1">
      <c r="A86" s="2480"/>
      <c r="B86" s="2331"/>
      <c r="C86" s="2331"/>
      <c r="D86" s="2480"/>
      <c r="E86" s="2331"/>
      <c r="F86" s="2331"/>
      <c r="G86" s="2416"/>
      <c r="H86" s="2417"/>
      <c r="I86" s="2417"/>
      <c r="J86" s="2418"/>
      <c r="K86" s="205" t="str">
        <f>IF($A86&lt;&gt;"",IFERROR(INDEX(PMsheet!$B:$I,MATCH($A$77&amp;$A86&amp;$D86&amp;$G86,INDEX(PMsheet!$C:$C&amp;PMsheet!$E:$E&amp;PMsheet!$F:$F&amp;PMsheet!$G:$G,0,),0),8),""),"")</f>
        <v/>
      </c>
      <c r="L86" s="206" t="str">
        <f>IF(K86="", "",SETUP!$E$5)</f>
        <v/>
      </c>
      <c r="M86" s="1947"/>
      <c r="N86" s="12"/>
      <c r="O86" s="12"/>
      <c r="P86" s="12"/>
      <c r="Q86" s="12"/>
      <c r="R86" s="1809">
        <f>SUM('HIV-Other HPs'!$N86:$Q86)</f>
        <v>0</v>
      </c>
      <c r="S86" s="1810">
        <f>'HIV-Other HPs'!$M86*'HIV-Other HPs'!$R86</f>
        <v>0</v>
      </c>
      <c r="T86" s="1954"/>
      <c r="U86" s="12"/>
      <c r="V86" s="12"/>
      <c r="W86" s="12"/>
      <c r="X86" s="12"/>
      <c r="Y86" s="1809">
        <f>SUM('HIV-Other HPs'!$U86:$X86)</f>
        <v>0</v>
      </c>
      <c r="Z86" s="1810">
        <f>'HIV-Other HPs'!$T86*'HIV-Other HPs'!$Y86</f>
        <v>0</v>
      </c>
      <c r="AA86" s="1954"/>
      <c r="AB86" s="12"/>
      <c r="AC86" s="12"/>
      <c r="AD86" s="12"/>
      <c r="AE86" s="12"/>
      <c r="AF86" s="1809">
        <f>SUM('HIV-Other HPs'!$AB86:$AE86)</f>
        <v>0</v>
      </c>
      <c r="AG86" s="1810">
        <f>'HIV-Other HPs'!$AA86*'HIV-Other HPs'!$AF86</f>
        <v>0</v>
      </c>
      <c r="AH86" s="1811">
        <f>'HIV-Other HPs'!$R86+'HIV-Other HPs'!$Y86+'HIV-Other HPs'!$AF86</f>
        <v>0</v>
      </c>
      <c r="AI86" s="1810">
        <f>'HIV-Other HPs'!$S86+'HIV-Other HPs'!$Z86+'HIV-Other HPs'!$AG86</f>
        <v>0</v>
      </c>
      <c r="AJ86" s="1391" t="str">
        <f>IF($A86&lt;&gt;"",IFERROR(INDEX(PMtbl[[WKst]:[Unit of measure*]],MATCH($A$77&amp;$A86&amp;$D86&amp;$G86,INDEX(PMtbl[Sec]&amp;PMtbl[Category]&amp;PMtbl[INN]&amp;PMtbl[Specification],0,),0),7),""),"")</f>
        <v/>
      </c>
      <c r="AK86" s="2508"/>
      <c r="AL86" s="2509"/>
      <c r="AM86" s="1391" t="str">
        <f>IFERROR(INDEX(SETUP!$C$19:$G$62,MATCH((INDEX(PMtbl[[WKst]:[Unit of measure*]],MATCH($A86&amp;$D86&amp;$G86,INDEX(PMtbl[Category]&amp;PMtbl[INN]&amp;PMtbl[Specification],0,),0),3)),SETUP!$D$19:$D$62,0),5),"")</f>
        <v/>
      </c>
      <c r="AN86" s="1391" t="str">
        <f>IFERROR(IF((INDEX(SETUP!$C$19:$G$62,MATCH((INDEX(PMtbl[[WKst]:[Unit of measure*]],MATCH($A86&amp;$D86&amp;$G86,INDEX(PMtbl[Category]&amp;PMtbl[INN]&amp;PMtbl[Specification],0,),0),3)),SETUP!$D$19:$D$62,0),4))="Upfront",0,INDEX(SETUP!$C$19:$G$62,MATCH((INDEX(PMtbl[[WKst]:[Unit of measure*]],MATCH($A86&amp;$D86&amp;$G86,INDEX(PMtbl[Category]&amp;PMtbl[INN]&amp;PMtbl[Specification],0,),0),3)),SETUP!$D$19:$D$62,0),5)),"")</f>
        <v/>
      </c>
      <c r="AR86" s="326"/>
    </row>
    <row r="87" spans="1:61" s="198" customFormat="1">
      <c r="A87" s="2481"/>
      <c r="B87" s="2337"/>
      <c r="C87" s="2337"/>
      <c r="D87" s="2481"/>
      <c r="E87" s="2337"/>
      <c r="F87" s="2337"/>
      <c r="G87" s="2414"/>
      <c r="H87" s="2337"/>
      <c r="I87" s="2337"/>
      <c r="J87" s="2415"/>
      <c r="K87" s="203" t="str">
        <f>IF($A87&lt;&gt;"",IFERROR(INDEX(PMsheet!$B:$I,MATCH($A$77&amp;$A87&amp;$D87&amp;$G87,INDEX(PMsheet!$C:$C&amp;PMsheet!$E:$E&amp;PMsheet!$F:$F&amp;PMsheet!$G:$G,0,),0),8),""),"")</f>
        <v/>
      </c>
      <c r="L87" s="204" t="str">
        <f>IF(K87="", "",SETUP!$E$5)</f>
        <v/>
      </c>
      <c r="M87" s="1948"/>
      <c r="N87" s="1946"/>
      <c r="O87" s="1946"/>
      <c r="P87" s="1946"/>
      <c r="Q87" s="1946"/>
      <c r="R87" s="1812">
        <f>SUM('HIV-Other HPs'!$N87:$Q87)</f>
        <v>0</v>
      </c>
      <c r="S87" s="1813">
        <f>'HIV-Other HPs'!$M87*'HIV-Other HPs'!$R87</f>
        <v>0</v>
      </c>
      <c r="T87" s="1955"/>
      <c r="U87" s="1946"/>
      <c r="V87" s="1946"/>
      <c r="W87" s="1946"/>
      <c r="X87" s="1946"/>
      <c r="Y87" s="1812">
        <f>SUM('HIV-Other HPs'!$U87:$X87)</f>
        <v>0</v>
      </c>
      <c r="Z87" s="1813">
        <f>'HIV-Other HPs'!$T87*'HIV-Other HPs'!$Y87</f>
        <v>0</v>
      </c>
      <c r="AA87" s="1955"/>
      <c r="AB87" s="1946"/>
      <c r="AC87" s="1946"/>
      <c r="AD87" s="1946"/>
      <c r="AE87" s="1946"/>
      <c r="AF87" s="1812">
        <f>SUM('HIV-Other HPs'!$AB87:$AE87)</f>
        <v>0</v>
      </c>
      <c r="AG87" s="1813">
        <f>'HIV-Other HPs'!$AA87*'HIV-Other HPs'!$AF87</f>
        <v>0</v>
      </c>
      <c r="AH87" s="1814">
        <f>'HIV-Other HPs'!$R87+'HIV-Other HPs'!$Y87+'HIV-Other HPs'!$AF87</f>
        <v>0</v>
      </c>
      <c r="AI87" s="1813">
        <f>'HIV-Other HPs'!$S87+'HIV-Other HPs'!$Z87+'HIV-Other HPs'!$AG87</f>
        <v>0</v>
      </c>
      <c r="AJ87" s="1390" t="str">
        <f>IF($A87&lt;&gt;"",IFERROR(INDEX(PMtbl[[WKst]:[Unit of measure*]],MATCH($A$77&amp;$A87&amp;$D87&amp;$G87,INDEX(PMtbl[Sec]&amp;PMtbl[Category]&amp;PMtbl[INN]&amp;PMtbl[Specification],0,),0),7),""),"")</f>
        <v/>
      </c>
      <c r="AK87" s="2510"/>
      <c r="AL87" s="2511"/>
      <c r="AM87" s="1390" t="str">
        <f>IFERROR(INDEX(SETUP!$C$19:$G$62,MATCH((INDEX(PMtbl[[WKst]:[Unit of measure*]],MATCH($A87&amp;$D87&amp;$G87,INDEX(PMtbl[Category]&amp;PMtbl[INN]&amp;PMtbl[Specification],0,),0),3)),SETUP!$D$19:$D$62,0),5),"")</f>
        <v/>
      </c>
      <c r="AN87" s="1390" t="str">
        <f>IFERROR(IF((INDEX(SETUP!$C$19:$G$62,MATCH((INDEX(PMtbl[[WKst]:[Unit of measure*]],MATCH($A87&amp;$D87&amp;$G87,INDEX(PMtbl[Category]&amp;PMtbl[INN]&amp;PMtbl[Specification],0,),0),3)),SETUP!$D$19:$D$62,0),4))="Upfront",0,INDEX(SETUP!$C$19:$G$62,MATCH((INDEX(PMtbl[[WKst]:[Unit of measure*]],MATCH($A87&amp;$D87&amp;$G87,INDEX(PMtbl[Category]&amp;PMtbl[INN]&amp;PMtbl[Specification],0,),0),3)),SETUP!$D$19:$D$62,0),5)),"")</f>
        <v/>
      </c>
      <c r="AR87" s="326"/>
    </row>
    <row r="88" spans="1:61" s="198" customFormat="1">
      <c r="A88" s="2480"/>
      <c r="B88" s="2331"/>
      <c r="C88" s="2331"/>
      <c r="D88" s="2480"/>
      <c r="E88" s="2331"/>
      <c r="F88" s="2331"/>
      <c r="G88" s="2416"/>
      <c r="H88" s="2417"/>
      <c r="I88" s="2417"/>
      <c r="J88" s="2418"/>
      <c r="K88" s="205" t="str">
        <f>IF($A88&lt;&gt;"",IFERROR(INDEX(PMsheet!$B:$I,MATCH($A$77&amp;$A88&amp;$D88&amp;$G88,INDEX(PMsheet!$C:$C&amp;PMsheet!$E:$E&amp;PMsheet!$F:$F&amp;PMsheet!$G:$G,0,),0),8),""),"")</f>
        <v/>
      </c>
      <c r="L88" s="206" t="str">
        <f>IF(K88="", "",SETUP!$E$5)</f>
        <v/>
      </c>
      <c r="M88" s="1947"/>
      <c r="N88" s="12"/>
      <c r="O88" s="12"/>
      <c r="P88" s="12"/>
      <c r="Q88" s="12"/>
      <c r="R88" s="1809">
        <f>SUM('HIV-Other HPs'!$N88:$Q88)</f>
        <v>0</v>
      </c>
      <c r="S88" s="1810">
        <f>'HIV-Other HPs'!$M88*'HIV-Other HPs'!$R88</f>
        <v>0</v>
      </c>
      <c r="T88" s="1954"/>
      <c r="U88" s="12"/>
      <c r="V88" s="12"/>
      <c r="W88" s="12"/>
      <c r="X88" s="12"/>
      <c r="Y88" s="1809">
        <f>SUM('HIV-Other HPs'!$U88:$X88)</f>
        <v>0</v>
      </c>
      <c r="Z88" s="1810">
        <f>'HIV-Other HPs'!$T88*'HIV-Other HPs'!$Y88</f>
        <v>0</v>
      </c>
      <c r="AA88" s="1954"/>
      <c r="AB88" s="12"/>
      <c r="AC88" s="12"/>
      <c r="AD88" s="12"/>
      <c r="AE88" s="12"/>
      <c r="AF88" s="1809">
        <f>SUM('HIV-Other HPs'!$AB88:$AE88)</f>
        <v>0</v>
      </c>
      <c r="AG88" s="1810">
        <f>'HIV-Other HPs'!$AA88*'HIV-Other HPs'!$AF88</f>
        <v>0</v>
      </c>
      <c r="AH88" s="1811">
        <f>'HIV-Other HPs'!$R88+'HIV-Other HPs'!$Y88+'HIV-Other HPs'!$AF88</f>
        <v>0</v>
      </c>
      <c r="AI88" s="1810">
        <f>'HIV-Other HPs'!$S88+'HIV-Other HPs'!$Z88+'HIV-Other HPs'!$AG88</f>
        <v>0</v>
      </c>
      <c r="AJ88" s="1391" t="str">
        <f>IF($A88&lt;&gt;"",IFERROR(INDEX(PMtbl[[WKst]:[Unit of measure*]],MATCH($A$77&amp;$A88&amp;$D88&amp;$G88,INDEX(PMtbl[Sec]&amp;PMtbl[Category]&amp;PMtbl[INN]&amp;PMtbl[Specification],0,),0),7),""),"")</f>
        <v/>
      </c>
      <c r="AK88" s="2508"/>
      <c r="AL88" s="2509"/>
      <c r="AM88" s="1391" t="str">
        <f>IFERROR(INDEX(SETUP!$C$19:$G$62,MATCH((INDEX(PMtbl[[WKst]:[Unit of measure*]],MATCH($A88&amp;$D88&amp;$G88,INDEX(PMtbl[Category]&amp;PMtbl[INN]&amp;PMtbl[Specification],0,),0),3)),SETUP!$D$19:$D$62,0),5),"")</f>
        <v/>
      </c>
      <c r="AN88" s="1391" t="str">
        <f>IFERROR(IF((INDEX(SETUP!$C$19:$G$62,MATCH((INDEX(PMtbl[[WKst]:[Unit of measure*]],MATCH($A88&amp;$D88&amp;$G88,INDEX(PMtbl[Category]&amp;PMtbl[INN]&amp;PMtbl[Specification],0,),0),3)),SETUP!$D$19:$D$62,0),4))="Upfront",0,INDEX(SETUP!$C$19:$G$62,MATCH((INDEX(PMtbl[[WKst]:[Unit of measure*]],MATCH($A88&amp;$D88&amp;$G88,INDEX(PMtbl[Category]&amp;PMtbl[INN]&amp;PMtbl[Specification],0,),0),3)),SETUP!$D$19:$D$62,0),5)),"")</f>
        <v/>
      </c>
      <c r="AR88" s="326"/>
    </row>
    <row r="89" spans="1:61" s="198" customFormat="1">
      <c r="A89" s="2481"/>
      <c r="B89" s="2337"/>
      <c r="C89" s="2337"/>
      <c r="D89" s="2481"/>
      <c r="E89" s="2337"/>
      <c r="F89" s="2337"/>
      <c r="G89" s="2414"/>
      <c r="H89" s="2337"/>
      <c r="I89" s="2337"/>
      <c r="J89" s="2415"/>
      <c r="K89" s="203" t="str">
        <f>IF($A89&lt;&gt;"",IFERROR(INDEX(PMsheet!$B:$I,MATCH($A$77&amp;$A89&amp;$D89&amp;$G89,INDEX(PMsheet!$C:$C&amp;PMsheet!$E:$E&amp;PMsheet!$F:$F&amp;PMsheet!$G:$G,0,),0),8),""),"")</f>
        <v/>
      </c>
      <c r="L89" s="204" t="str">
        <f>IF(K89="", "",SETUP!$E$5)</f>
        <v/>
      </c>
      <c r="M89" s="1949"/>
      <c r="N89" s="1950"/>
      <c r="O89" s="1950"/>
      <c r="P89" s="1950"/>
      <c r="Q89" s="1950"/>
      <c r="R89" s="1815">
        <f>SUM('HIV-Other HPs'!$N89:$Q89)</f>
        <v>0</v>
      </c>
      <c r="S89" s="1816">
        <f>'HIV-Other HPs'!$M89*'HIV-Other HPs'!$R89</f>
        <v>0</v>
      </c>
      <c r="T89" s="1956"/>
      <c r="U89" s="1950"/>
      <c r="V89" s="1950"/>
      <c r="W89" s="1950"/>
      <c r="X89" s="1950"/>
      <c r="Y89" s="1815">
        <f>SUM('HIV-Other HPs'!$U89:$X89)</f>
        <v>0</v>
      </c>
      <c r="Z89" s="1816">
        <f>'HIV-Other HPs'!$T89*'HIV-Other HPs'!$Y89</f>
        <v>0</v>
      </c>
      <c r="AA89" s="1956"/>
      <c r="AB89" s="1950"/>
      <c r="AC89" s="1950"/>
      <c r="AD89" s="1950"/>
      <c r="AE89" s="1950"/>
      <c r="AF89" s="1815">
        <f>SUM('HIV-Other HPs'!$AB89:$AE89)</f>
        <v>0</v>
      </c>
      <c r="AG89" s="1816">
        <f>'HIV-Other HPs'!$AA89*'HIV-Other HPs'!$AF89</f>
        <v>0</v>
      </c>
      <c r="AH89" s="1817">
        <f>'HIV-Other HPs'!$R89+'HIV-Other HPs'!$Y89+'HIV-Other HPs'!$AF89</f>
        <v>0</v>
      </c>
      <c r="AI89" s="1816">
        <f>'HIV-Other HPs'!$S89+'HIV-Other HPs'!$Z89+'HIV-Other HPs'!$AG89</f>
        <v>0</v>
      </c>
      <c r="AJ89" s="1395" t="str">
        <f>IF($A89&lt;&gt;"",IFERROR(INDEX(PMtbl[[WKst]:[Unit of measure*]],MATCH($A$77&amp;$A89&amp;$D89&amp;$G89,INDEX(PMtbl[Sec]&amp;PMtbl[Category]&amp;PMtbl[INN]&amp;PMtbl[Specification],0,),0),7),""),"")</f>
        <v/>
      </c>
      <c r="AK89" s="2510"/>
      <c r="AL89" s="2511"/>
      <c r="AM89" s="1395" t="str">
        <f>IFERROR(INDEX(SETUP!$C$19:$G$62,MATCH((INDEX(PMtbl[[WKst]:[Unit of measure*]],MATCH($A89&amp;$D89&amp;$G89,INDEX(PMtbl[Category]&amp;PMtbl[INN]&amp;PMtbl[Specification],0,),0),3)),SETUP!$D$19:$D$62,0),5),"")</f>
        <v/>
      </c>
      <c r="AN89" s="1395" t="str">
        <f>IFERROR(IF((INDEX(SETUP!$C$19:$G$62,MATCH((INDEX(PMtbl[[WKst]:[Unit of measure*]],MATCH($A89&amp;$D89&amp;$G89,INDEX(PMtbl[Category]&amp;PMtbl[INN]&amp;PMtbl[Specification],0,),0),3)),SETUP!$D$19:$D$62,0),4))="Upfront",0,INDEX(SETUP!$C$19:$G$62,MATCH((INDEX(PMtbl[[WKst]:[Unit of measure*]],MATCH($A89&amp;$D89&amp;$G89,INDEX(PMtbl[Category]&amp;PMtbl[INN]&amp;PMtbl[Specification],0,),0),3)),SETUP!$D$19:$D$62,0),5)),"")</f>
        <v/>
      </c>
      <c r="AR89" s="326"/>
    </row>
    <row r="90" spans="1:61" s="198" customFormat="1">
      <c r="A90" s="2480"/>
      <c r="B90" s="2331"/>
      <c r="C90" s="2331"/>
      <c r="D90" s="2480"/>
      <c r="E90" s="2331"/>
      <c r="F90" s="2331"/>
      <c r="G90" s="2416"/>
      <c r="H90" s="2417"/>
      <c r="I90" s="2417"/>
      <c r="J90" s="2418"/>
      <c r="K90" s="205" t="str">
        <f>IF($A90&lt;&gt;"",IFERROR(INDEX(PMsheet!$B:$I,MATCH($A$77&amp;$A90&amp;$D90&amp;$G90,INDEX(PMsheet!$C:$C&amp;PMsheet!$E:$E&amp;PMsheet!$F:$F&amp;PMsheet!$G:$G,0,),0),8),""),"")</f>
        <v/>
      </c>
      <c r="L90" s="206" t="str">
        <f>IF(K90="", "",SETUP!$E$5)</f>
        <v/>
      </c>
      <c r="M90" s="1947"/>
      <c r="N90" s="12"/>
      <c r="O90" s="12"/>
      <c r="P90" s="12"/>
      <c r="Q90" s="12"/>
      <c r="R90" s="1809">
        <f>SUM('HIV-Other HPs'!$N90:$Q90)</f>
        <v>0</v>
      </c>
      <c r="S90" s="1810">
        <f>'HIV-Other HPs'!$M90*'HIV-Other HPs'!$R90</f>
        <v>0</v>
      </c>
      <c r="T90" s="1954"/>
      <c r="U90" s="12"/>
      <c r="V90" s="12"/>
      <c r="W90" s="12"/>
      <c r="X90" s="12"/>
      <c r="Y90" s="1809">
        <f>SUM('HIV-Other HPs'!$U90:$X90)</f>
        <v>0</v>
      </c>
      <c r="Z90" s="1810">
        <f>'HIV-Other HPs'!$T90*'HIV-Other HPs'!$Y90</f>
        <v>0</v>
      </c>
      <c r="AA90" s="1954"/>
      <c r="AB90" s="12"/>
      <c r="AC90" s="12"/>
      <c r="AD90" s="12"/>
      <c r="AE90" s="12"/>
      <c r="AF90" s="1809">
        <f>SUM('HIV-Other HPs'!$AB90:$AE90)</f>
        <v>0</v>
      </c>
      <c r="AG90" s="1810">
        <f>'HIV-Other HPs'!$AA90*'HIV-Other HPs'!$AF90</f>
        <v>0</v>
      </c>
      <c r="AH90" s="1811">
        <f>'HIV-Other HPs'!$R90+'HIV-Other HPs'!$Y90+'HIV-Other HPs'!$AF90</f>
        <v>0</v>
      </c>
      <c r="AI90" s="1810">
        <f>'HIV-Other HPs'!$S90+'HIV-Other HPs'!$Z90+'HIV-Other HPs'!$AG90</f>
        <v>0</v>
      </c>
      <c r="AJ90" s="1396" t="str">
        <f>IF($A90&lt;&gt;"",IFERROR(INDEX(PMtbl[[WKst]:[Unit of measure*]],MATCH($A$77&amp;$A90&amp;$D90&amp;$G90,INDEX(PMtbl[Sec]&amp;PMtbl[Category]&amp;PMtbl[INN]&amp;PMtbl[Specification],0,),0),7),""),"")</f>
        <v/>
      </c>
      <c r="AK90" s="2508"/>
      <c r="AL90" s="2509"/>
      <c r="AM90" s="1396" t="str">
        <f>IFERROR(INDEX(SETUP!$C$19:$G$62,MATCH((INDEX(PMtbl[[WKst]:[Unit of measure*]],MATCH($A90&amp;$D90&amp;$G90,INDEX(PMtbl[Category]&amp;PMtbl[INN]&amp;PMtbl[Specification],0,),0),3)),SETUP!$D$19:$D$62,0),5),"")</f>
        <v/>
      </c>
      <c r="AN90" s="1396" t="str">
        <f>IFERROR(IF((INDEX(SETUP!$C$19:$G$62,MATCH((INDEX(PMtbl[[WKst]:[Unit of measure*]],MATCH($A90&amp;$D90&amp;$G90,INDEX(PMtbl[Category]&amp;PMtbl[INN]&amp;PMtbl[Specification],0,),0),3)),SETUP!$D$19:$D$62,0),4))="Upfront",0,INDEX(SETUP!$C$19:$G$62,MATCH((INDEX(PMtbl[[WKst]:[Unit of measure*]],MATCH($A90&amp;$D90&amp;$G90,INDEX(PMtbl[Category]&amp;PMtbl[INN]&amp;PMtbl[Specification],0,),0),3)),SETUP!$D$19:$D$62,0),5)),"")</f>
        <v/>
      </c>
      <c r="AR90" s="326"/>
    </row>
    <row r="91" spans="1:61" s="198" customFormat="1">
      <c r="A91" s="2481"/>
      <c r="B91" s="2337"/>
      <c r="C91" s="2337"/>
      <c r="D91" s="2481"/>
      <c r="E91" s="2337"/>
      <c r="F91" s="2337"/>
      <c r="G91" s="2414"/>
      <c r="H91" s="2337"/>
      <c r="I91" s="2337"/>
      <c r="J91" s="2415"/>
      <c r="K91" s="203" t="str">
        <f>IF($A91&lt;&gt;"",IFERROR(INDEX(PMsheet!$B:$I,MATCH($A$77&amp;$A91&amp;$D91&amp;$G91,INDEX(PMsheet!$C:$C&amp;PMsheet!$E:$E&amp;PMsheet!$F:$F&amp;PMsheet!$G:$G,0,),0),8),""),"")</f>
        <v/>
      </c>
      <c r="L91" s="204" t="str">
        <f>IF(K91="", "",SETUP!$E$5)</f>
        <v/>
      </c>
      <c r="M91" s="1949"/>
      <c r="N91" s="1950"/>
      <c r="O91" s="1950"/>
      <c r="P91" s="1950"/>
      <c r="Q91" s="1950"/>
      <c r="R91" s="1815">
        <f>SUM('HIV-Other HPs'!$N91:$Q91)</f>
        <v>0</v>
      </c>
      <c r="S91" s="1816">
        <f>'HIV-Other HPs'!$M91*'HIV-Other HPs'!$R91</f>
        <v>0</v>
      </c>
      <c r="T91" s="1956"/>
      <c r="U91" s="1950"/>
      <c r="V91" s="1950"/>
      <c r="W91" s="1950"/>
      <c r="X91" s="1950"/>
      <c r="Y91" s="1815">
        <f>SUM('HIV-Other HPs'!$U91:$X91)</f>
        <v>0</v>
      </c>
      <c r="Z91" s="1816">
        <f>'HIV-Other HPs'!$T91*'HIV-Other HPs'!$Y91</f>
        <v>0</v>
      </c>
      <c r="AA91" s="1956"/>
      <c r="AB91" s="1950"/>
      <c r="AC91" s="1950"/>
      <c r="AD91" s="1950"/>
      <c r="AE91" s="1950"/>
      <c r="AF91" s="1815">
        <f>SUM('HIV-Other HPs'!$AB91:$AE91)</f>
        <v>0</v>
      </c>
      <c r="AG91" s="1816">
        <f>'HIV-Other HPs'!$AA91*'HIV-Other HPs'!$AF91</f>
        <v>0</v>
      </c>
      <c r="AH91" s="1817">
        <f>'HIV-Other HPs'!$R91+'HIV-Other HPs'!$Y91+'HIV-Other HPs'!$AF91</f>
        <v>0</v>
      </c>
      <c r="AI91" s="1816">
        <f>'HIV-Other HPs'!$S91+'HIV-Other HPs'!$Z91+'HIV-Other HPs'!$AG91</f>
        <v>0</v>
      </c>
      <c r="AJ91" s="1395" t="str">
        <f>IF($A91&lt;&gt;"",IFERROR(INDEX(PMtbl[[WKst]:[Unit of measure*]],MATCH($A$77&amp;$A91&amp;$D91&amp;$G91,INDEX(PMtbl[Sec]&amp;PMtbl[Category]&amp;PMtbl[INN]&amp;PMtbl[Specification],0,),0),7),""),"")</f>
        <v/>
      </c>
      <c r="AK91" s="2510"/>
      <c r="AL91" s="2511"/>
      <c r="AM91" s="1395" t="str">
        <f>IFERROR(INDEX(SETUP!$C$19:$G$62,MATCH((INDEX(PMtbl[[WKst]:[Unit of measure*]],MATCH($A91&amp;$D91&amp;$G91,INDEX(PMtbl[Category]&amp;PMtbl[INN]&amp;PMtbl[Specification],0,),0),3)),SETUP!$D$19:$D$62,0),5),"")</f>
        <v/>
      </c>
      <c r="AN91" s="1395" t="str">
        <f>IFERROR(IF((INDEX(SETUP!$C$19:$G$62,MATCH((INDEX(PMtbl[[WKst]:[Unit of measure*]],MATCH($A91&amp;$D91&amp;$G91,INDEX(PMtbl[Category]&amp;PMtbl[INN]&amp;PMtbl[Specification],0,),0),3)),SETUP!$D$19:$D$62,0),4))="Upfront",0,INDEX(SETUP!$C$19:$G$62,MATCH((INDEX(PMtbl[[WKst]:[Unit of measure*]],MATCH($A91&amp;$D91&amp;$G91,INDEX(PMtbl[Category]&amp;PMtbl[INN]&amp;PMtbl[Specification],0,),0),3)),SETUP!$D$19:$D$62,0),5)),"")</f>
        <v/>
      </c>
      <c r="AR91" s="326"/>
    </row>
    <row r="92" spans="1:61" s="198" customFormat="1">
      <c r="A92" s="2480"/>
      <c r="B92" s="2331"/>
      <c r="C92" s="2331"/>
      <c r="D92" s="2480"/>
      <c r="E92" s="2331"/>
      <c r="F92" s="2331"/>
      <c r="G92" s="2416"/>
      <c r="H92" s="2417"/>
      <c r="I92" s="2417"/>
      <c r="J92" s="2418"/>
      <c r="K92" s="205" t="str">
        <f>IF($A92&lt;&gt;"",IFERROR(INDEX(PMsheet!$B:$I,MATCH($A$77&amp;$A92&amp;$D92&amp;$G92,INDEX(PMsheet!$C:$C&amp;PMsheet!$E:$E&amp;PMsheet!$F:$F&amp;PMsheet!$G:$G,0,),0),8),""),"")</f>
        <v/>
      </c>
      <c r="L92" s="206" t="str">
        <f>IF(K92="", "",SETUP!$E$5)</f>
        <v/>
      </c>
      <c r="M92" s="1947"/>
      <c r="N92" s="12"/>
      <c r="O92" s="12"/>
      <c r="P92" s="12"/>
      <c r="Q92" s="12"/>
      <c r="R92" s="1809">
        <f>SUM('HIV-Other HPs'!$N92:$Q92)</f>
        <v>0</v>
      </c>
      <c r="S92" s="1810">
        <f>'HIV-Other HPs'!$M92*'HIV-Other HPs'!$R92</f>
        <v>0</v>
      </c>
      <c r="T92" s="1954"/>
      <c r="U92" s="12"/>
      <c r="V92" s="12"/>
      <c r="W92" s="12"/>
      <c r="X92" s="12"/>
      <c r="Y92" s="1809">
        <f>SUM('HIV-Other HPs'!$U92:$X92)</f>
        <v>0</v>
      </c>
      <c r="Z92" s="1810">
        <f>'HIV-Other HPs'!$T92*'HIV-Other HPs'!$Y92</f>
        <v>0</v>
      </c>
      <c r="AA92" s="1954"/>
      <c r="AB92" s="12"/>
      <c r="AC92" s="12"/>
      <c r="AD92" s="12"/>
      <c r="AE92" s="12"/>
      <c r="AF92" s="1809">
        <f>SUM('HIV-Other HPs'!$AB92:$AE92)</f>
        <v>0</v>
      </c>
      <c r="AG92" s="1810">
        <f>'HIV-Other HPs'!$AA92*'HIV-Other HPs'!$AF92</f>
        <v>0</v>
      </c>
      <c r="AH92" s="1811">
        <f>'HIV-Other HPs'!$R92+'HIV-Other HPs'!$Y92+'HIV-Other HPs'!$AF92</f>
        <v>0</v>
      </c>
      <c r="AI92" s="1810">
        <f>'HIV-Other HPs'!$S92+'HIV-Other HPs'!$Z92+'HIV-Other HPs'!$AG92</f>
        <v>0</v>
      </c>
      <c r="AJ92" s="1396" t="str">
        <f>IF($A92&lt;&gt;"",IFERROR(INDEX(PMtbl[[WKst]:[Unit of measure*]],MATCH($A$77&amp;$A92&amp;$D92&amp;$G92,INDEX(PMtbl[Sec]&amp;PMtbl[Category]&amp;PMtbl[INN]&amp;PMtbl[Specification],0,),0),7),""),"")</f>
        <v/>
      </c>
      <c r="AK92" s="2508"/>
      <c r="AL92" s="2509"/>
      <c r="AM92" s="1396" t="str">
        <f>IFERROR(INDEX(SETUP!$C$19:$G$62,MATCH((INDEX(PMtbl[[WKst]:[Unit of measure*]],MATCH($A92&amp;$D92&amp;$G92,INDEX(PMtbl[Category]&amp;PMtbl[INN]&amp;PMtbl[Specification],0,),0),3)),SETUP!$D$19:$D$62,0),5),"")</f>
        <v/>
      </c>
      <c r="AN92" s="1396" t="str">
        <f>IFERROR(IF((INDEX(SETUP!$C$19:$G$62,MATCH((INDEX(PMtbl[[WKst]:[Unit of measure*]],MATCH($A92&amp;$D92&amp;$G92,INDEX(PMtbl[Category]&amp;PMtbl[INN]&amp;PMtbl[Specification],0,),0),3)),SETUP!$D$19:$D$62,0),4))="Upfront",0,INDEX(SETUP!$C$19:$G$62,MATCH((INDEX(PMtbl[[WKst]:[Unit of measure*]],MATCH($A92&amp;$D92&amp;$G92,INDEX(PMtbl[Category]&amp;PMtbl[INN]&amp;PMtbl[Specification],0,),0),3)),SETUP!$D$19:$D$62,0),5)),"")</f>
        <v/>
      </c>
      <c r="AR92" s="326"/>
    </row>
    <row r="93" spans="1:61" s="198" customFormat="1">
      <c r="A93" s="2481"/>
      <c r="B93" s="2337"/>
      <c r="C93" s="2337"/>
      <c r="D93" s="2481"/>
      <c r="E93" s="2337"/>
      <c r="F93" s="2337"/>
      <c r="G93" s="2414"/>
      <c r="H93" s="2337"/>
      <c r="I93" s="2337"/>
      <c r="J93" s="2415"/>
      <c r="K93" s="203" t="str">
        <f>IF($A93&lt;&gt;"",IFERROR(INDEX(PMsheet!$B:$I,MATCH($A$77&amp;$A93&amp;$D93&amp;$G93,INDEX(PMsheet!$C:$C&amp;PMsheet!$E:$E&amp;PMsheet!$F:$F&amp;PMsheet!$G:$G,0,),0),8),""),"")</f>
        <v/>
      </c>
      <c r="L93" s="204" t="str">
        <f>IF(K93="", "",SETUP!$E$5)</f>
        <v/>
      </c>
      <c r="M93" s="1949"/>
      <c r="N93" s="1950"/>
      <c r="O93" s="1950"/>
      <c r="P93" s="1950"/>
      <c r="Q93" s="1950"/>
      <c r="R93" s="1815">
        <f>SUM('HIV-Other HPs'!$N93:$Q93)</f>
        <v>0</v>
      </c>
      <c r="S93" s="1816">
        <f>'HIV-Other HPs'!$M93*'HIV-Other HPs'!$R93</f>
        <v>0</v>
      </c>
      <c r="T93" s="1956"/>
      <c r="U93" s="1950"/>
      <c r="V93" s="1950"/>
      <c r="W93" s="1950"/>
      <c r="X93" s="1950"/>
      <c r="Y93" s="1815">
        <f>SUM('HIV-Other HPs'!$U93:$X93)</f>
        <v>0</v>
      </c>
      <c r="Z93" s="1816">
        <f>'HIV-Other HPs'!$T93*'HIV-Other HPs'!$Y93</f>
        <v>0</v>
      </c>
      <c r="AA93" s="1956"/>
      <c r="AB93" s="1950"/>
      <c r="AC93" s="1950"/>
      <c r="AD93" s="1950"/>
      <c r="AE93" s="1950"/>
      <c r="AF93" s="1815">
        <f>SUM('HIV-Other HPs'!$AB93:$AE93)</f>
        <v>0</v>
      </c>
      <c r="AG93" s="1816">
        <f>'HIV-Other HPs'!$AA93*'HIV-Other HPs'!$AF93</f>
        <v>0</v>
      </c>
      <c r="AH93" s="1817">
        <f>'HIV-Other HPs'!$R93+'HIV-Other HPs'!$Y93+'HIV-Other HPs'!$AF93</f>
        <v>0</v>
      </c>
      <c r="AI93" s="1816">
        <f>'HIV-Other HPs'!$S93+'HIV-Other HPs'!$Z93+'HIV-Other HPs'!$AG93</f>
        <v>0</v>
      </c>
      <c r="AJ93" s="1395" t="str">
        <f>IF($A93&lt;&gt;"",IFERROR(INDEX(PMtbl[[WKst]:[Unit of measure*]],MATCH($A$77&amp;$A93&amp;$D93&amp;$G93,INDEX(PMtbl[Sec]&amp;PMtbl[Category]&amp;PMtbl[INN]&amp;PMtbl[Specification],0,),0),7),""),"")</f>
        <v/>
      </c>
      <c r="AK93" s="2510"/>
      <c r="AL93" s="2511"/>
      <c r="AM93" s="1395" t="str">
        <f>IFERROR(INDEX(SETUP!$C$19:$G$62,MATCH((INDEX(PMtbl[[WKst]:[Unit of measure*]],MATCH($A93&amp;$D93&amp;$G93,INDEX(PMtbl[Category]&amp;PMtbl[INN]&amp;PMtbl[Specification],0,),0),3)),SETUP!$D$19:$D$62,0),5),"")</f>
        <v/>
      </c>
      <c r="AN93" s="1395" t="str">
        <f>IFERROR(IF((INDEX(SETUP!$C$19:$G$62,MATCH((INDEX(PMtbl[[WKst]:[Unit of measure*]],MATCH($A93&amp;$D93&amp;$G93,INDEX(PMtbl[Category]&amp;PMtbl[INN]&amp;PMtbl[Specification],0,),0),3)),SETUP!$D$19:$D$62,0),4))="Upfront",0,INDEX(SETUP!$C$19:$G$62,MATCH((INDEX(PMtbl[[WKst]:[Unit of measure*]],MATCH($A93&amp;$D93&amp;$G93,INDEX(PMtbl[Category]&amp;PMtbl[INN]&amp;PMtbl[Specification],0,),0),3)),SETUP!$D$19:$D$62,0),5)),"")</f>
        <v/>
      </c>
      <c r="AR93" s="326"/>
    </row>
    <row r="94" spans="1:61" s="198" customFormat="1">
      <c r="A94" s="2480"/>
      <c r="B94" s="2331"/>
      <c r="C94" s="2331"/>
      <c r="D94" s="2480"/>
      <c r="E94" s="2331"/>
      <c r="F94" s="2331"/>
      <c r="G94" s="2416"/>
      <c r="H94" s="2417"/>
      <c r="I94" s="2417"/>
      <c r="J94" s="2418"/>
      <c r="K94" s="205" t="str">
        <f>IF($A94&lt;&gt;"",IFERROR(INDEX(PMsheet!$B:$I,MATCH($A$77&amp;$A94&amp;$D94&amp;$G94,INDEX(PMsheet!$C:$C&amp;PMsheet!$E:$E&amp;PMsheet!$F:$F&amp;PMsheet!$G:$G,0,),0),8),""),"")</f>
        <v/>
      </c>
      <c r="L94" s="206" t="str">
        <f>IF(K94="", "",SETUP!$E$5)</f>
        <v/>
      </c>
      <c r="M94" s="1947"/>
      <c r="N94" s="12"/>
      <c r="O94" s="12"/>
      <c r="P94" s="12"/>
      <c r="Q94" s="12"/>
      <c r="R94" s="1809">
        <f>SUM('HIV-Other HPs'!$N94:$Q94)</f>
        <v>0</v>
      </c>
      <c r="S94" s="1810">
        <f>'HIV-Other HPs'!$M94*'HIV-Other HPs'!$R94</f>
        <v>0</v>
      </c>
      <c r="T94" s="1954"/>
      <c r="U94" s="12"/>
      <c r="V94" s="12"/>
      <c r="W94" s="12"/>
      <c r="X94" s="12"/>
      <c r="Y94" s="1809">
        <f>SUM('HIV-Other HPs'!$U94:$X94)</f>
        <v>0</v>
      </c>
      <c r="Z94" s="1810">
        <f>'HIV-Other HPs'!$T94*'HIV-Other HPs'!$Y94</f>
        <v>0</v>
      </c>
      <c r="AA94" s="1954"/>
      <c r="AB94" s="12"/>
      <c r="AC94" s="12"/>
      <c r="AD94" s="12"/>
      <c r="AE94" s="12"/>
      <c r="AF94" s="1809">
        <f>SUM('HIV-Other HPs'!$AB94:$AE94)</f>
        <v>0</v>
      </c>
      <c r="AG94" s="1810">
        <f>'HIV-Other HPs'!$AA94*'HIV-Other HPs'!$AF94</f>
        <v>0</v>
      </c>
      <c r="AH94" s="1811">
        <f>'HIV-Other HPs'!$R94+'HIV-Other HPs'!$Y94+'HIV-Other HPs'!$AF94</f>
        <v>0</v>
      </c>
      <c r="AI94" s="1810">
        <f>'HIV-Other HPs'!$S94+'HIV-Other HPs'!$Z94+'HIV-Other HPs'!$AG94</f>
        <v>0</v>
      </c>
      <c r="AJ94" s="1396" t="str">
        <f>IF($A94&lt;&gt;"",IFERROR(INDEX(PMtbl[[WKst]:[Unit of measure*]],MATCH($A$77&amp;$A94&amp;$D94&amp;$G94,INDEX(PMtbl[Sec]&amp;PMtbl[Category]&amp;PMtbl[INN]&amp;PMtbl[Specification],0,),0),7),""),"")</f>
        <v/>
      </c>
      <c r="AK94" s="2508"/>
      <c r="AL94" s="2509"/>
      <c r="AM94" s="1396" t="str">
        <f>IFERROR(INDEX(SETUP!$C$19:$G$62,MATCH((INDEX(PMtbl[[WKst]:[Unit of measure*]],MATCH($A94&amp;$D94&amp;$G94,INDEX(PMtbl[Category]&amp;PMtbl[INN]&amp;PMtbl[Specification],0,),0),3)),SETUP!$D$19:$D$62,0),5),"")</f>
        <v/>
      </c>
      <c r="AN94" s="1396" t="str">
        <f>IFERROR(IF((INDEX(SETUP!$C$19:$G$62,MATCH((INDEX(PMtbl[[WKst]:[Unit of measure*]],MATCH($A94&amp;$D94&amp;$G94,INDEX(PMtbl[Category]&amp;PMtbl[INN]&amp;PMtbl[Specification],0,),0),3)),SETUP!$D$19:$D$62,0),4))="Upfront",0,INDEX(SETUP!$C$19:$G$62,MATCH((INDEX(PMtbl[[WKst]:[Unit of measure*]],MATCH($A94&amp;$D94&amp;$G94,INDEX(PMtbl[Category]&amp;PMtbl[INN]&amp;PMtbl[Specification],0,),0),3)),SETUP!$D$19:$D$62,0),5)),"")</f>
        <v/>
      </c>
      <c r="AR94" s="326"/>
    </row>
    <row r="95" spans="1:61" s="198" customFormat="1">
      <c r="A95" s="2481"/>
      <c r="B95" s="2337"/>
      <c r="C95" s="2337"/>
      <c r="D95" s="2481"/>
      <c r="E95" s="2337"/>
      <c r="F95" s="2337"/>
      <c r="G95" s="2414"/>
      <c r="H95" s="2337"/>
      <c r="I95" s="2337"/>
      <c r="J95" s="2415"/>
      <c r="K95" s="203" t="str">
        <f>IF($A95&lt;&gt;"",IFERROR(INDEX(PMsheet!$B:$I,MATCH($A$77&amp;$A95&amp;$D95&amp;$G95,INDEX(PMsheet!$C:$C&amp;PMsheet!$E:$E&amp;PMsheet!$F:$F&amp;PMsheet!$G:$G,0,),0),8),""),"")</f>
        <v/>
      </c>
      <c r="L95" s="204" t="str">
        <f>IF(K95="", "",SETUP!$E$5)</f>
        <v/>
      </c>
      <c r="M95" s="1949"/>
      <c r="N95" s="1950"/>
      <c r="O95" s="1950"/>
      <c r="P95" s="1950"/>
      <c r="Q95" s="1950"/>
      <c r="R95" s="1815">
        <f>SUM('HIV-Other HPs'!$N95:$Q95)</f>
        <v>0</v>
      </c>
      <c r="S95" s="1816">
        <f>'HIV-Other HPs'!$M95*'HIV-Other HPs'!$R95</f>
        <v>0</v>
      </c>
      <c r="T95" s="1956"/>
      <c r="U95" s="1950"/>
      <c r="V95" s="1950"/>
      <c r="W95" s="1950"/>
      <c r="X95" s="1950"/>
      <c r="Y95" s="1815">
        <f>SUM('HIV-Other HPs'!$U95:$X95)</f>
        <v>0</v>
      </c>
      <c r="Z95" s="1816">
        <f>'HIV-Other HPs'!$T95*'HIV-Other HPs'!$Y95</f>
        <v>0</v>
      </c>
      <c r="AA95" s="1956"/>
      <c r="AB95" s="1950"/>
      <c r="AC95" s="1950"/>
      <c r="AD95" s="1950"/>
      <c r="AE95" s="1950"/>
      <c r="AF95" s="1815">
        <f>SUM('HIV-Other HPs'!$AB95:$AE95)</f>
        <v>0</v>
      </c>
      <c r="AG95" s="1816">
        <f>'HIV-Other HPs'!$AA95*'HIV-Other HPs'!$AF95</f>
        <v>0</v>
      </c>
      <c r="AH95" s="1817">
        <f>'HIV-Other HPs'!$R95+'HIV-Other HPs'!$Y95+'HIV-Other HPs'!$AF95</f>
        <v>0</v>
      </c>
      <c r="AI95" s="1816">
        <f>'HIV-Other HPs'!$S95+'HIV-Other HPs'!$Z95+'HIV-Other HPs'!$AG95</f>
        <v>0</v>
      </c>
      <c r="AJ95" s="1395" t="str">
        <f>IF($A95&lt;&gt;"",IFERROR(INDEX(PMtbl[[WKst]:[Unit of measure*]],MATCH($A$77&amp;$A95&amp;$D95&amp;$G95,INDEX(PMtbl[Sec]&amp;PMtbl[Category]&amp;PMtbl[INN]&amp;PMtbl[Specification],0,),0),7),""),"")</f>
        <v/>
      </c>
      <c r="AK95" s="2510"/>
      <c r="AL95" s="2511"/>
      <c r="AM95" s="1395" t="str">
        <f>IFERROR(INDEX(SETUP!$C$19:$G$62,MATCH((INDEX(PMtbl[[WKst]:[Unit of measure*]],MATCH($A95&amp;$D95&amp;$G95,INDEX(PMtbl[Category]&amp;PMtbl[INN]&amp;PMtbl[Specification],0,),0),3)),SETUP!$D$19:$D$62,0),5),"")</f>
        <v/>
      </c>
      <c r="AN95" s="1395" t="str">
        <f>IFERROR(IF((INDEX(SETUP!$C$19:$G$62,MATCH((INDEX(PMtbl[[WKst]:[Unit of measure*]],MATCH($A95&amp;$D95&amp;$G95,INDEX(PMtbl[Category]&amp;PMtbl[INN]&amp;PMtbl[Specification],0,),0),3)),SETUP!$D$19:$D$62,0),4))="Upfront",0,INDEX(SETUP!$C$19:$G$62,MATCH((INDEX(PMtbl[[WKst]:[Unit of measure*]],MATCH($A95&amp;$D95&amp;$G95,INDEX(PMtbl[Category]&amp;PMtbl[INN]&amp;PMtbl[Specification],0,),0),3)),SETUP!$D$19:$D$62,0),5)),"")</f>
        <v/>
      </c>
      <c r="AR95" s="326"/>
    </row>
    <row r="96" spans="1:61" s="198" customFormat="1" hidden="1">
      <c r="A96" s="2480"/>
      <c r="B96" s="2331"/>
      <c r="C96" s="2331"/>
      <c r="D96" s="2480"/>
      <c r="E96" s="2331"/>
      <c r="F96" s="2331"/>
      <c r="G96" s="2416"/>
      <c r="H96" s="2417"/>
      <c r="I96" s="2417"/>
      <c r="J96" s="2418"/>
      <c r="K96" s="205" t="str">
        <f>IF($A96&lt;&gt;"",IFERROR(INDEX(PMsheet!$B:$I,MATCH($A$77&amp;$A96&amp;$D96&amp;$G96,INDEX(PMsheet!$C:$C&amp;PMsheet!$E:$E&amp;PMsheet!$F:$F&amp;PMsheet!$G:$G,0,),0),8),""),"")</f>
        <v/>
      </c>
      <c r="L96" s="206" t="str">
        <f>IF(K96="", "",SETUP!$E$5)</f>
        <v/>
      </c>
      <c r="M96" s="1947"/>
      <c r="N96" s="12"/>
      <c r="O96" s="12"/>
      <c r="P96" s="12"/>
      <c r="Q96" s="12"/>
      <c r="R96" s="1809">
        <f>SUM('HIV-Other HPs'!$N96:$Q96)</f>
        <v>0</v>
      </c>
      <c r="S96" s="1810">
        <f>'HIV-Other HPs'!$M96*'HIV-Other HPs'!$R96</f>
        <v>0</v>
      </c>
      <c r="T96" s="1954"/>
      <c r="U96" s="12"/>
      <c r="V96" s="12"/>
      <c r="W96" s="12"/>
      <c r="X96" s="12"/>
      <c r="Y96" s="1809">
        <f>SUM('HIV-Other HPs'!$U96:$X96)</f>
        <v>0</v>
      </c>
      <c r="Z96" s="1810">
        <f>'HIV-Other HPs'!$T96*'HIV-Other HPs'!$Y96</f>
        <v>0</v>
      </c>
      <c r="AA96" s="1954"/>
      <c r="AB96" s="12"/>
      <c r="AC96" s="12"/>
      <c r="AD96" s="12"/>
      <c r="AE96" s="12"/>
      <c r="AF96" s="1809">
        <f>SUM('HIV-Other HPs'!$AB96:$AE96)</f>
        <v>0</v>
      </c>
      <c r="AG96" s="1810">
        <f>'HIV-Other HPs'!$AA96*'HIV-Other HPs'!$AF96</f>
        <v>0</v>
      </c>
      <c r="AH96" s="1811">
        <f>'HIV-Other HPs'!$R96+'HIV-Other HPs'!$Y96+'HIV-Other HPs'!$AF96</f>
        <v>0</v>
      </c>
      <c r="AI96" s="1810">
        <f>'HIV-Other HPs'!$S96+'HIV-Other HPs'!$Z96+'HIV-Other HPs'!$AG96</f>
        <v>0</v>
      </c>
      <c r="AJ96" s="1396" t="str">
        <f>IF($A96&lt;&gt;"",IFERROR(INDEX(PMtbl[[WKst]:[Unit of measure*]],MATCH($A$77&amp;$A96&amp;$D96&amp;$G96,INDEX(PMtbl[Sec]&amp;PMtbl[Category]&amp;PMtbl[INN]&amp;PMtbl[Specification],0,),0),7),""),"")</f>
        <v/>
      </c>
      <c r="AK96" s="2508"/>
      <c r="AL96" s="2509"/>
      <c r="AM96" s="1396" t="str">
        <f>IFERROR(INDEX(SETUP!$C$19:$G$62,MATCH((INDEX(PMtbl[[WKst]:[Unit of measure*]],MATCH($A96&amp;$D96&amp;$G96,INDEX(PMtbl[Category]&amp;PMtbl[INN]&amp;PMtbl[Specification],0,),0),3)),SETUP!$D$19:$D$62,0),5),"")</f>
        <v/>
      </c>
      <c r="AN96" s="1396" t="str">
        <f>IFERROR(IF((INDEX(SETUP!$C$19:$G$62,MATCH((INDEX(PMtbl[[WKst]:[Unit of measure*]],MATCH($A96&amp;$D96&amp;$G96,INDEX(PMtbl[Category]&amp;PMtbl[INN]&amp;PMtbl[Specification],0,),0),3)),SETUP!$D$19:$D$62,0),4))="Upfront",0,INDEX(SETUP!$C$19:$G$62,MATCH((INDEX(PMtbl[[WKst]:[Unit of measure*]],MATCH($A96&amp;$D96&amp;$G96,INDEX(PMtbl[Category]&amp;PMtbl[INN]&amp;PMtbl[Specification],0,),0),3)),SETUP!$D$19:$D$62,0),5)),"")</f>
        <v/>
      </c>
      <c r="AR96" s="326"/>
    </row>
    <row r="97" spans="1:44" s="198" customFormat="1" hidden="1">
      <c r="A97" s="2481"/>
      <c r="B97" s="2337"/>
      <c r="C97" s="2337"/>
      <c r="D97" s="2481"/>
      <c r="E97" s="2337"/>
      <c r="F97" s="2337"/>
      <c r="G97" s="2414"/>
      <c r="H97" s="2337"/>
      <c r="I97" s="2337"/>
      <c r="J97" s="2415"/>
      <c r="K97" s="203" t="str">
        <f>IF($A97&lt;&gt;"",IFERROR(INDEX(PMsheet!$B:$I,MATCH($A$77&amp;$A97&amp;$D97&amp;$G97,INDEX(PMsheet!$C:$C&amp;PMsheet!$E:$E&amp;PMsheet!$F:$F&amp;PMsheet!$G:$G,0,),0),8),""),"")</f>
        <v/>
      </c>
      <c r="L97" s="204" t="str">
        <f>IF(K97="", "",SETUP!$E$5)</f>
        <v/>
      </c>
      <c r="M97" s="1947"/>
      <c r="N97" s="12"/>
      <c r="O97" s="12"/>
      <c r="P97" s="12"/>
      <c r="Q97" s="12"/>
      <c r="R97" s="1809">
        <f>SUM('HIV-Other HPs'!$N97:$Q97)</f>
        <v>0</v>
      </c>
      <c r="S97" s="1810">
        <f>'HIV-Other HPs'!$M97*'HIV-Other HPs'!$R97</f>
        <v>0</v>
      </c>
      <c r="T97" s="1954"/>
      <c r="U97" s="12"/>
      <c r="V97" s="12"/>
      <c r="W97" s="12"/>
      <c r="X97" s="12"/>
      <c r="Y97" s="1809">
        <f>SUM('HIV-Other HPs'!$U97:$X97)</f>
        <v>0</v>
      </c>
      <c r="Z97" s="1810">
        <f>'HIV-Other HPs'!$T97*'HIV-Other HPs'!$Y97</f>
        <v>0</v>
      </c>
      <c r="AA97" s="1954"/>
      <c r="AB97" s="12"/>
      <c r="AC97" s="12"/>
      <c r="AD97" s="12"/>
      <c r="AE97" s="12"/>
      <c r="AF97" s="1809">
        <f>SUM('HIV-Other HPs'!$AB97:$AE97)</f>
        <v>0</v>
      </c>
      <c r="AG97" s="1810">
        <f>'HIV-Other HPs'!$AA97*'HIV-Other HPs'!$AF97</f>
        <v>0</v>
      </c>
      <c r="AH97" s="1811">
        <f>'HIV-Other HPs'!$R97+'HIV-Other HPs'!$Y97+'HIV-Other HPs'!$AF97</f>
        <v>0</v>
      </c>
      <c r="AI97" s="1810">
        <f>'HIV-Other HPs'!$S97+'HIV-Other HPs'!$Z97+'HIV-Other HPs'!$AG97</f>
        <v>0</v>
      </c>
      <c r="AJ97" s="1396" t="str">
        <f>IF($A97&lt;&gt;"",IFERROR(INDEX(PMtbl[[WKst]:[Unit of measure*]],MATCH($A$77&amp;$A97&amp;$D97&amp;$G97,INDEX(PMtbl[Sec]&amp;PMtbl[Category]&amp;PMtbl[INN]&amp;PMtbl[Specification],0,),0),7),""),"")</f>
        <v/>
      </c>
      <c r="AK97" s="2510"/>
      <c r="AL97" s="2511"/>
      <c r="AM97" s="1396" t="str">
        <f>IFERROR(INDEX(SETUP!$C$19:$G$62,MATCH((INDEX(PMtbl[[WKst]:[Unit of measure*]],MATCH($A97&amp;$D97&amp;$G97,INDEX(PMtbl[Category]&amp;PMtbl[INN]&amp;PMtbl[Specification],0,),0),3)),SETUP!$D$19:$D$62,0),5),"")</f>
        <v/>
      </c>
      <c r="AN97" s="1396" t="str">
        <f>IFERROR(IF((INDEX(SETUP!$C$19:$G$62,MATCH((INDEX(PMtbl[[WKst]:[Unit of measure*]],MATCH($A97&amp;$D97&amp;$G97,INDEX(PMtbl[Category]&amp;PMtbl[INN]&amp;PMtbl[Specification],0,),0),3)),SETUP!$D$19:$D$62,0),4))="Upfront",0,INDEX(SETUP!$C$19:$G$62,MATCH((INDEX(PMtbl[[WKst]:[Unit of measure*]],MATCH($A97&amp;$D97&amp;$G97,INDEX(PMtbl[Category]&amp;PMtbl[INN]&amp;PMtbl[Specification],0,),0),3)),SETUP!$D$19:$D$62,0),5)),"")</f>
        <v/>
      </c>
      <c r="AR97" s="326"/>
    </row>
    <row r="98" spans="1:44" s="198" customFormat="1" hidden="1">
      <c r="A98" s="2480"/>
      <c r="B98" s="2331"/>
      <c r="C98" s="2331"/>
      <c r="D98" s="2480"/>
      <c r="E98" s="2331"/>
      <c r="F98" s="2331"/>
      <c r="G98" s="2416"/>
      <c r="H98" s="2417"/>
      <c r="I98" s="2417"/>
      <c r="J98" s="2418"/>
      <c r="K98" s="205" t="str">
        <f>IF($A98&lt;&gt;"",IFERROR(INDEX(PMsheet!$B:$I,MATCH($A$77&amp;$A98&amp;$D98&amp;$G98,INDEX(PMsheet!$C:$C&amp;PMsheet!$E:$E&amp;PMsheet!$F:$F&amp;PMsheet!$G:$G,0,),0),8),""),"")</f>
        <v/>
      </c>
      <c r="L98" s="206" t="str">
        <f>IF(K98="", "",SETUP!$E$5)</f>
        <v/>
      </c>
      <c r="M98" s="1947"/>
      <c r="N98" s="12"/>
      <c r="O98" s="12"/>
      <c r="P98" s="12"/>
      <c r="Q98" s="12"/>
      <c r="R98" s="1809">
        <f>SUM('HIV-Other HPs'!$N98:$Q98)</f>
        <v>0</v>
      </c>
      <c r="S98" s="1810">
        <f>'HIV-Other HPs'!$M98*'HIV-Other HPs'!$R98</f>
        <v>0</v>
      </c>
      <c r="T98" s="1954"/>
      <c r="U98" s="12"/>
      <c r="V98" s="12"/>
      <c r="W98" s="12"/>
      <c r="X98" s="12"/>
      <c r="Y98" s="1809">
        <f>SUM('HIV-Other HPs'!$U98:$X98)</f>
        <v>0</v>
      </c>
      <c r="Z98" s="1810">
        <f>'HIV-Other HPs'!$T98*'HIV-Other HPs'!$Y98</f>
        <v>0</v>
      </c>
      <c r="AA98" s="1954"/>
      <c r="AB98" s="12"/>
      <c r="AC98" s="12"/>
      <c r="AD98" s="12"/>
      <c r="AE98" s="12"/>
      <c r="AF98" s="1809">
        <f>SUM('HIV-Other HPs'!$AB98:$AE98)</f>
        <v>0</v>
      </c>
      <c r="AG98" s="1810">
        <f>'HIV-Other HPs'!$AA98*'HIV-Other HPs'!$AF98</f>
        <v>0</v>
      </c>
      <c r="AH98" s="1811">
        <f>'HIV-Other HPs'!$R98+'HIV-Other HPs'!$Y98+'HIV-Other HPs'!$AF98</f>
        <v>0</v>
      </c>
      <c r="AI98" s="1810">
        <f>'HIV-Other HPs'!$S98+'HIV-Other HPs'!$Z98+'HIV-Other HPs'!$AG98</f>
        <v>0</v>
      </c>
      <c r="AJ98" s="1396" t="str">
        <f>IF($A98&lt;&gt;"",IFERROR(INDEX(PMtbl[[WKst]:[Unit of measure*]],MATCH($A$77&amp;$A98&amp;$D98&amp;$G98,INDEX(PMtbl[Sec]&amp;PMtbl[Category]&amp;PMtbl[INN]&amp;PMtbl[Specification],0,),0),7),""),"")</f>
        <v/>
      </c>
      <c r="AK98" s="2508"/>
      <c r="AL98" s="2509"/>
      <c r="AM98" s="1396" t="str">
        <f>IFERROR(INDEX(SETUP!$C$19:$G$62,MATCH((INDEX(PMtbl[[WKst]:[Unit of measure*]],MATCH($A98&amp;$D98&amp;$G98,INDEX(PMtbl[Category]&amp;PMtbl[INN]&amp;PMtbl[Specification],0,),0),3)),SETUP!$D$19:$D$62,0),5),"")</f>
        <v/>
      </c>
      <c r="AN98" s="1396" t="str">
        <f>IFERROR(IF((INDEX(SETUP!$C$19:$G$62,MATCH((INDEX(PMtbl[[WKst]:[Unit of measure*]],MATCH($A98&amp;$D98&amp;$G98,INDEX(PMtbl[Category]&amp;PMtbl[INN]&amp;PMtbl[Specification],0,),0),3)),SETUP!$D$19:$D$62,0),4))="Upfront",0,INDEX(SETUP!$C$19:$G$62,MATCH((INDEX(PMtbl[[WKst]:[Unit of measure*]],MATCH($A98&amp;$D98&amp;$G98,INDEX(PMtbl[Category]&amp;PMtbl[INN]&amp;PMtbl[Specification],0,),0),3)),SETUP!$D$19:$D$62,0),5)),"")</f>
        <v/>
      </c>
      <c r="AR98" s="326"/>
    </row>
    <row r="99" spans="1:44" s="198" customFormat="1" hidden="1">
      <c r="A99" s="2481"/>
      <c r="B99" s="2337"/>
      <c r="C99" s="2337"/>
      <c r="D99" s="2481"/>
      <c r="E99" s="2337"/>
      <c r="F99" s="2337"/>
      <c r="G99" s="2414"/>
      <c r="H99" s="2337"/>
      <c r="I99" s="2337"/>
      <c r="J99" s="2415"/>
      <c r="K99" s="203" t="str">
        <f>IF($A99&lt;&gt;"",IFERROR(INDEX(PMsheet!$B:$I,MATCH($A$77&amp;$A99&amp;$D99&amp;$G99,INDEX(PMsheet!$C:$C&amp;PMsheet!$E:$E&amp;PMsheet!$F:$F&amp;PMsheet!$G:$G,0,),0),8),""),"")</f>
        <v/>
      </c>
      <c r="L99" s="204" t="str">
        <f>IF(K99="", "",SETUP!$E$5)</f>
        <v/>
      </c>
      <c r="M99" s="1947"/>
      <c r="N99" s="12"/>
      <c r="O99" s="12"/>
      <c r="P99" s="12"/>
      <c r="Q99" s="12"/>
      <c r="R99" s="1809">
        <f>SUM('HIV-Other HPs'!$N99:$Q99)</f>
        <v>0</v>
      </c>
      <c r="S99" s="1810">
        <f>'HIV-Other HPs'!$M99*'HIV-Other HPs'!$R99</f>
        <v>0</v>
      </c>
      <c r="T99" s="1954"/>
      <c r="U99" s="12"/>
      <c r="V99" s="12"/>
      <c r="W99" s="12"/>
      <c r="X99" s="12"/>
      <c r="Y99" s="1809">
        <f>SUM('HIV-Other HPs'!$U99:$X99)</f>
        <v>0</v>
      </c>
      <c r="Z99" s="1810">
        <f>'HIV-Other HPs'!$T99*'HIV-Other HPs'!$Y99</f>
        <v>0</v>
      </c>
      <c r="AA99" s="1954"/>
      <c r="AB99" s="12"/>
      <c r="AC99" s="12"/>
      <c r="AD99" s="12"/>
      <c r="AE99" s="12"/>
      <c r="AF99" s="1809">
        <f>SUM('HIV-Other HPs'!$AB99:$AE99)</f>
        <v>0</v>
      </c>
      <c r="AG99" s="1810">
        <f>'HIV-Other HPs'!$AA99*'HIV-Other HPs'!$AF99</f>
        <v>0</v>
      </c>
      <c r="AH99" s="1811">
        <f>'HIV-Other HPs'!$R99+'HIV-Other HPs'!$Y99+'HIV-Other HPs'!$AF99</f>
        <v>0</v>
      </c>
      <c r="AI99" s="1810">
        <f>'HIV-Other HPs'!$S99+'HIV-Other HPs'!$Z99+'HIV-Other HPs'!$AG99</f>
        <v>0</v>
      </c>
      <c r="AJ99" s="1396" t="str">
        <f>IF($A99&lt;&gt;"",IFERROR(INDEX(PMtbl[[WKst]:[Unit of measure*]],MATCH($A$77&amp;$A99&amp;$D99&amp;$G99,INDEX(PMtbl[Sec]&amp;PMtbl[Category]&amp;PMtbl[INN]&amp;PMtbl[Specification],0,),0),7),""),"")</f>
        <v/>
      </c>
      <c r="AK99" s="2510"/>
      <c r="AL99" s="2511"/>
      <c r="AM99" s="1396" t="str">
        <f>IFERROR(INDEX(SETUP!$C$19:$G$62,MATCH((INDEX(PMtbl[[WKst]:[Unit of measure*]],MATCH($A99&amp;$D99&amp;$G99,INDEX(PMtbl[Category]&amp;PMtbl[INN]&amp;PMtbl[Specification],0,),0),3)),SETUP!$D$19:$D$62,0),5),"")</f>
        <v/>
      </c>
      <c r="AN99" s="1396" t="str">
        <f>IFERROR(IF((INDEX(SETUP!$C$19:$G$62,MATCH((INDEX(PMtbl[[WKst]:[Unit of measure*]],MATCH($A99&amp;$D99&amp;$G99,INDEX(PMtbl[Category]&amp;PMtbl[INN]&amp;PMtbl[Specification],0,),0),3)),SETUP!$D$19:$D$62,0),4))="Upfront",0,INDEX(SETUP!$C$19:$G$62,MATCH((INDEX(PMtbl[[WKst]:[Unit of measure*]],MATCH($A99&amp;$D99&amp;$G99,INDEX(PMtbl[Category]&amp;PMtbl[INN]&amp;PMtbl[Specification],0,),0),3)),SETUP!$D$19:$D$62,0),5)),"")</f>
        <v/>
      </c>
      <c r="AR99" s="326"/>
    </row>
    <row r="100" spans="1:44" s="198" customFormat="1" hidden="1">
      <c r="A100" s="2480"/>
      <c r="B100" s="2331"/>
      <c r="C100" s="2331"/>
      <c r="D100" s="2480"/>
      <c r="E100" s="2331"/>
      <c r="F100" s="2331"/>
      <c r="G100" s="2416"/>
      <c r="H100" s="2417"/>
      <c r="I100" s="2417"/>
      <c r="J100" s="2418"/>
      <c r="K100" s="205" t="str">
        <f>IF($A100&lt;&gt;"",IFERROR(INDEX(PMsheet!$B:$I,MATCH($A$77&amp;$A100&amp;$D100&amp;$G100,INDEX(PMsheet!$C:$C&amp;PMsheet!$E:$E&amp;PMsheet!$F:$F&amp;PMsheet!$G:$G,0,),0),8),""),"")</f>
        <v/>
      </c>
      <c r="L100" s="206" t="str">
        <f>IF(K100="", "",SETUP!$E$5)</f>
        <v/>
      </c>
      <c r="M100" s="1947"/>
      <c r="N100" s="12"/>
      <c r="O100" s="12"/>
      <c r="P100" s="12"/>
      <c r="Q100" s="12"/>
      <c r="R100" s="1809">
        <f>SUM('HIV-Other HPs'!$N100:$Q100)</f>
        <v>0</v>
      </c>
      <c r="S100" s="1810">
        <f>'HIV-Other HPs'!$M100*'HIV-Other HPs'!$R100</f>
        <v>0</v>
      </c>
      <c r="T100" s="1954"/>
      <c r="U100" s="12"/>
      <c r="V100" s="12"/>
      <c r="W100" s="12"/>
      <c r="X100" s="12"/>
      <c r="Y100" s="1809">
        <f>SUM('HIV-Other HPs'!$U100:$X100)</f>
        <v>0</v>
      </c>
      <c r="Z100" s="1810">
        <f>'HIV-Other HPs'!$T100*'HIV-Other HPs'!$Y100</f>
        <v>0</v>
      </c>
      <c r="AA100" s="1954"/>
      <c r="AB100" s="12"/>
      <c r="AC100" s="12"/>
      <c r="AD100" s="12"/>
      <c r="AE100" s="12"/>
      <c r="AF100" s="1809">
        <f>SUM('HIV-Other HPs'!$AB100:$AE100)</f>
        <v>0</v>
      </c>
      <c r="AG100" s="1810">
        <f>'HIV-Other HPs'!$AA100*'HIV-Other HPs'!$AF100</f>
        <v>0</v>
      </c>
      <c r="AH100" s="1811">
        <f>'HIV-Other HPs'!$R100+'HIV-Other HPs'!$Y100+'HIV-Other HPs'!$AF100</f>
        <v>0</v>
      </c>
      <c r="AI100" s="1810">
        <f>'HIV-Other HPs'!$S100+'HIV-Other HPs'!$Z100+'HIV-Other HPs'!$AG100</f>
        <v>0</v>
      </c>
      <c r="AJ100" s="1396" t="str">
        <f>IF($A100&lt;&gt;"",IFERROR(INDEX(PMtbl[[WKst]:[Unit of measure*]],MATCH($A$77&amp;$A100&amp;$D100&amp;$G100,INDEX(PMtbl[Sec]&amp;PMtbl[Category]&amp;PMtbl[INN]&amp;PMtbl[Specification],0,),0),7),""),"")</f>
        <v/>
      </c>
      <c r="AK100" s="2508"/>
      <c r="AL100" s="2509"/>
      <c r="AM100" s="1396" t="str">
        <f>IFERROR(INDEX(SETUP!$C$19:$G$62,MATCH((INDEX(PMtbl[[WKst]:[Unit of measure*]],MATCH($A100&amp;$D100&amp;$G100,INDEX(PMtbl[Category]&amp;PMtbl[INN]&amp;PMtbl[Specification],0,),0),3)),SETUP!$D$19:$D$62,0),5),"")</f>
        <v/>
      </c>
      <c r="AN100" s="1396" t="str">
        <f>IFERROR(IF((INDEX(SETUP!$C$19:$G$62,MATCH((INDEX(PMtbl[[WKst]:[Unit of measure*]],MATCH($A100&amp;$D100&amp;$G100,INDEX(PMtbl[Category]&amp;PMtbl[INN]&amp;PMtbl[Specification],0,),0),3)),SETUP!$D$19:$D$62,0),4))="Upfront",0,INDEX(SETUP!$C$19:$G$62,MATCH((INDEX(PMtbl[[WKst]:[Unit of measure*]],MATCH($A100&amp;$D100&amp;$G100,INDEX(PMtbl[Category]&amp;PMtbl[INN]&amp;PMtbl[Specification],0,),0),3)),SETUP!$D$19:$D$62,0),5)),"")</f>
        <v/>
      </c>
      <c r="AR100" s="326"/>
    </row>
    <row r="101" spans="1:44" s="198" customFormat="1" hidden="1">
      <c r="A101" s="2481"/>
      <c r="B101" s="2337"/>
      <c r="C101" s="2337"/>
      <c r="D101" s="2481"/>
      <c r="E101" s="2337"/>
      <c r="F101" s="2337"/>
      <c r="G101" s="2414"/>
      <c r="H101" s="2337"/>
      <c r="I101" s="2337"/>
      <c r="J101" s="2415"/>
      <c r="K101" s="203" t="str">
        <f>IF($A101&lt;&gt;"",IFERROR(INDEX(PMsheet!$B:$I,MATCH($A$77&amp;$A101&amp;$D101&amp;$G101,INDEX(PMsheet!$C:$C&amp;PMsheet!$E:$E&amp;PMsheet!$F:$F&amp;PMsheet!$G:$G,0,),0),8),""),"")</f>
        <v/>
      </c>
      <c r="L101" s="204" t="str">
        <f>IF(K101="", "",SETUP!$E$5)</f>
        <v/>
      </c>
      <c r="M101" s="1947"/>
      <c r="N101" s="12"/>
      <c r="O101" s="12"/>
      <c r="P101" s="12"/>
      <c r="Q101" s="12"/>
      <c r="R101" s="1809">
        <f>SUM('HIV-Other HPs'!$N101:$Q101)</f>
        <v>0</v>
      </c>
      <c r="S101" s="1810">
        <f>'HIV-Other HPs'!$M101*'HIV-Other HPs'!$R101</f>
        <v>0</v>
      </c>
      <c r="T101" s="1954"/>
      <c r="U101" s="12"/>
      <c r="V101" s="12"/>
      <c r="W101" s="12"/>
      <c r="X101" s="12"/>
      <c r="Y101" s="1809">
        <f>SUM('HIV-Other HPs'!$U101:$X101)</f>
        <v>0</v>
      </c>
      <c r="Z101" s="1810">
        <f>'HIV-Other HPs'!$T101*'HIV-Other HPs'!$Y101</f>
        <v>0</v>
      </c>
      <c r="AA101" s="1954"/>
      <c r="AB101" s="12"/>
      <c r="AC101" s="12"/>
      <c r="AD101" s="12"/>
      <c r="AE101" s="12"/>
      <c r="AF101" s="1809">
        <f>SUM('HIV-Other HPs'!$AB101:$AE101)</f>
        <v>0</v>
      </c>
      <c r="AG101" s="1810">
        <f>'HIV-Other HPs'!$AA101*'HIV-Other HPs'!$AF101</f>
        <v>0</v>
      </c>
      <c r="AH101" s="1811">
        <f>'HIV-Other HPs'!$R101+'HIV-Other HPs'!$Y101+'HIV-Other HPs'!$AF101</f>
        <v>0</v>
      </c>
      <c r="AI101" s="1810">
        <f>'HIV-Other HPs'!$S101+'HIV-Other HPs'!$Z101+'HIV-Other HPs'!$AG101</f>
        <v>0</v>
      </c>
      <c r="AJ101" s="1396" t="str">
        <f>IF($A101&lt;&gt;"",IFERROR(INDEX(PMtbl[[WKst]:[Unit of measure*]],MATCH($A$77&amp;$A101&amp;$D101&amp;$G101,INDEX(PMtbl[Sec]&amp;PMtbl[Category]&amp;PMtbl[INN]&amp;PMtbl[Specification],0,),0),7),""),"")</f>
        <v/>
      </c>
      <c r="AK101" s="2510"/>
      <c r="AL101" s="2511"/>
      <c r="AM101" s="1396" t="str">
        <f>IFERROR(INDEX(SETUP!$C$19:$G$62,MATCH((INDEX(PMtbl[[WKst]:[Unit of measure*]],MATCH($A101&amp;$D101&amp;$G101,INDEX(PMtbl[Category]&amp;PMtbl[INN]&amp;PMtbl[Specification],0,),0),3)),SETUP!$D$19:$D$62,0),5),"")</f>
        <v/>
      </c>
      <c r="AN101" s="1396" t="str">
        <f>IFERROR(IF((INDEX(SETUP!$C$19:$G$62,MATCH((INDEX(PMtbl[[WKst]:[Unit of measure*]],MATCH($A101&amp;$D101&amp;$G101,INDEX(PMtbl[Category]&amp;PMtbl[INN]&amp;PMtbl[Specification],0,),0),3)),SETUP!$D$19:$D$62,0),4))="Upfront",0,INDEX(SETUP!$C$19:$G$62,MATCH((INDEX(PMtbl[[WKst]:[Unit of measure*]],MATCH($A101&amp;$D101&amp;$G101,INDEX(PMtbl[Category]&amp;PMtbl[INN]&amp;PMtbl[Specification],0,),0),3)),SETUP!$D$19:$D$62,0),5)),"")</f>
        <v/>
      </c>
      <c r="AR101" s="326"/>
    </row>
    <row r="102" spans="1:44" s="198" customFormat="1" hidden="1">
      <c r="A102" s="2480"/>
      <c r="B102" s="2331"/>
      <c r="C102" s="2331"/>
      <c r="D102" s="2480"/>
      <c r="E102" s="2331"/>
      <c r="F102" s="2331"/>
      <c r="G102" s="2416"/>
      <c r="H102" s="2417"/>
      <c r="I102" s="2417"/>
      <c r="J102" s="2418"/>
      <c r="K102" s="205" t="str">
        <f>IF($A102&lt;&gt;"",IFERROR(INDEX(PMsheet!$B:$I,MATCH($A$77&amp;$A102&amp;$D102&amp;$G102,INDEX(PMsheet!$C:$C&amp;PMsheet!$E:$E&amp;PMsheet!$F:$F&amp;PMsheet!$G:$G,0,),0),8),""),"")</f>
        <v/>
      </c>
      <c r="L102" s="206" t="str">
        <f>IF(K102="", "",SETUP!$E$5)</f>
        <v/>
      </c>
      <c r="M102" s="1947"/>
      <c r="N102" s="12"/>
      <c r="O102" s="12"/>
      <c r="P102" s="12"/>
      <c r="Q102" s="12"/>
      <c r="R102" s="1809">
        <f>SUM('HIV-Other HPs'!$N102:$Q102)</f>
        <v>0</v>
      </c>
      <c r="S102" s="1810">
        <f>'HIV-Other HPs'!$M102*'HIV-Other HPs'!$R102</f>
        <v>0</v>
      </c>
      <c r="T102" s="1954"/>
      <c r="U102" s="12"/>
      <c r="V102" s="12"/>
      <c r="W102" s="12"/>
      <c r="X102" s="12"/>
      <c r="Y102" s="1809">
        <f>SUM('HIV-Other HPs'!$U102:$X102)</f>
        <v>0</v>
      </c>
      <c r="Z102" s="1810">
        <f>'HIV-Other HPs'!$T102*'HIV-Other HPs'!$Y102</f>
        <v>0</v>
      </c>
      <c r="AA102" s="1954"/>
      <c r="AB102" s="12"/>
      <c r="AC102" s="12"/>
      <c r="AD102" s="12"/>
      <c r="AE102" s="12"/>
      <c r="AF102" s="1809">
        <f>SUM('HIV-Other HPs'!$AB102:$AE102)</f>
        <v>0</v>
      </c>
      <c r="AG102" s="1810">
        <f>'HIV-Other HPs'!$AA102*'HIV-Other HPs'!$AF102</f>
        <v>0</v>
      </c>
      <c r="AH102" s="1811">
        <f>'HIV-Other HPs'!$R102+'HIV-Other HPs'!$Y102+'HIV-Other HPs'!$AF102</f>
        <v>0</v>
      </c>
      <c r="AI102" s="1810">
        <f>'HIV-Other HPs'!$S102+'HIV-Other HPs'!$Z102+'HIV-Other HPs'!$AG102</f>
        <v>0</v>
      </c>
      <c r="AJ102" s="1396" t="str">
        <f>IF($A102&lt;&gt;"",IFERROR(INDEX(PMtbl[[WKst]:[Unit of measure*]],MATCH($A$77&amp;$A102&amp;$D102&amp;$G102,INDEX(PMtbl[Sec]&amp;PMtbl[Category]&amp;PMtbl[INN]&amp;PMtbl[Specification],0,),0),7),""),"")</f>
        <v/>
      </c>
      <c r="AK102" s="2508"/>
      <c r="AL102" s="2509"/>
      <c r="AM102" s="1396" t="str">
        <f>IFERROR(INDEX(SETUP!$C$19:$G$62,MATCH((INDEX(PMtbl[[WKst]:[Unit of measure*]],MATCH($A102&amp;$D102&amp;$G102,INDEX(PMtbl[Category]&amp;PMtbl[INN]&amp;PMtbl[Specification],0,),0),3)),SETUP!$D$19:$D$62,0),5),"")</f>
        <v/>
      </c>
      <c r="AN102" s="1396" t="str">
        <f>IFERROR(IF((INDEX(SETUP!$C$19:$G$62,MATCH((INDEX(PMtbl[[WKst]:[Unit of measure*]],MATCH($A102&amp;$D102&amp;$G102,INDEX(PMtbl[Category]&amp;PMtbl[INN]&amp;PMtbl[Specification],0,),0),3)),SETUP!$D$19:$D$62,0),4))="Upfront",0,INDEX(SETUP!$C$19:$G$62,MATCH((INDEX(PMtbl[[WKst]:[Unit of measure*]],MATCH($A102&amp;$D102&amp;$G102,INDEX(PMtbl[Category]&amp;PMtbl[INN]&amp;PMtbl[Specification],0,),0),3)),SETUP!$D$19:$D$62,0),5)),"")</f>
        <v/>
      </c>
      <c r="AR102" s="326"/>
    </row>
    <row r="103" spans="1:44" s="198" customFormat="1" hidden="1">
      <c r="A103" s="2481"/>
      <c r="B103" s="2337"/>
      <c r="C103" s="2337"/>
      <c r="D103" s="2481"/>
      <c r="E103" s="2337"/>
      <c r="F103" s="2337"/>
      <c r="G103" s="2414"/>
      <c r="H103" s="2337"/>
      <c r="I103" s="2337"/>
      <c r="J103" s="2415"/>
      <c r="K103" s="203" t="str">
        <f>IF($A103&lt;&gt;"",IFERROR(INDEX(PMsheet!$B:$I,MATCH($A$77&amp;$A103&amp;$D103&amp;$G103,INDEX(PMsheet!$C:$C&amp;PMsheet!$E:$E&amp;PMsheet!$F:$F&amp;PMsheet!$G:$G,0,),0),8),""),"")</f>
        <v/>
      </c>
      <c r="L103" s="204" t="str">
        <f>IF(K103="", "",SETUP!$E$5)</f>
        <v/>
      </c>
      <c r="M103" s="1947"/>
      <c r="N103" s="12"/>
      <c r="O103" s="12"/>
      <c r="P103" s="12"/>
      <c r="Q103" s="12"/>
      <c r="R103" s="1809">
        <f>SUM('HIV-Other HPs'!$N103:$Q103)</f>
        <v>0</v>
      </c>
      <c r="S103" s="1810">
        <f>'HIV-Other HPs'!$M103*'HIV-Other HPs'!$R103</f>
        <v>0</v>
      </c>
      <c r="T103" s="1954"/>
      <c r="U103" s="12"/>
      <c r="V103" s="12"/>
      <c r="W103" s="12"/>
      <c r="X103" s="12"/>
      <c r="Y103" s="1809">
        <f>SUM('HIV-Other HPs'!$U103:$X103)</f>
        <v>0</v>
      </c>
      <c r="Z103" s="1810">
        <f>'HIV-Other HPs'!$T103*'HIV-Other HPs'!$Y103</f>
        <v>0</v>
      </c>
      <c r="AA103" s="1954"/>
      <c r="AB103" s="12"/>
      <c r="AC103" s="12"/>
      <c r="AD103" s="12"/>
      <c r="AE103" s="12"/>
      <c r="AF103" s="1809">
        <f>SUM('HIV-Other HPs'!$AB103:$AE103)</f>
        <v>0</v>
      </c>
      <c r="AG103" s="1810">
        <f>'HIV-Other HPs'!$AA103*'HIV-Other HPs'!$AF103</f>
        <v>0</v>
      </c>
      <c r="AH103" s="1811">
        <f>'HIV-Other HPs'!$R103+'HIV-Other HPs'!$Y103+'HIV-Other HPs'!$AF103</f>
        <v>0</v>
      </c>
      <c r="AI103" s="1810">
        <f>'HIV-Other HPs'!$S103+'HIV-Other HPs'!$Z103+'HIV-Other HPs'!$AG103</f>
        <v>0</v>
      </c>
      <c r="AJ103" s="1396" t="str">
        <f>IF($A103&lt;&gt;"",IFERROR(INDEX(PMtbl[[WKst]:[Unit of measure*]],MATCH($A$77&amp;$A103&amp;$D103&amp;$G103,INDEX(PMtbl[Sec]&amp;PMtbl[Category]&amp;PMtbl[INN]&amp;PMtbl[Specification],0,),0),7),""),"")</f>
        <v/>
      </c>
      <c r="AK103" s="2510"/>
      <c r="AL103" s="2511"/>
      <c r="AM103" s="1396" t="str">
        <f>IFERROR(INDEX(SETUP!$C$19:$G$62,MATCH((INDEX(PMtbl[[WKst]:[Unit of measure*]],MATCH($A103&amp;$D103&amp;$G103,INDEX(PMtbl[Category]&amp;PMtbl[INN]&amp;PMtbl[Specification],0,),0),3)),SETUP!$D$19:$D$62,0),5),"")</f>
        <v/>
      </c>
      <c r="AN103" s="1396" t="str">
        <f>IFERROR(IF((INDEX(SETUP!$C$19:$G$62,MATCH((INDEX(PMtbl[[WKst]:[Unit of measure*]],MATCH($A103&amp;$D103&amp;$G103,INDEX(PMtbl[Category]&amp;PMtbl[INN]&amp;PMtbl[Specification],0,),0),3)),SETUP!$D$19:$D$62,0),4))="Upfront",0,INDEX(SETUP!$C$19:$G$62,MATCH((INDEX(PMtbl[[WKst]:[Unit of measure*]],MATCH($A103&amp;$D103&amp;$G103,INDEX(PMtbl[Category]&amp;PMtbl[INN]&amp;PMtbl[Specification],0,),0),3)),SETUP!$D$19:$D$62,0),5)),"")</f>
        <v/>
      </c>
      <c r="AR103" s="326"/>
    </row>
    <row r="104" spans="1:44" s="198" customFormat="1" hidden="1">
      <c r="A104" s="2480"/>
      <c r="B104" s="2331"/>
      <c r="C104" s="2331"/>
      <c r="D104" s="2480"/>
      <c r="E104" s="2331"/>
      <c r="F104" s="2331"/>
      <c r="G104" s="2416"/>
      <c r="H104" s="2417"/>
      <c r="I104" s="2417"/>
      <c r="J104" s="2418"/>
      <c r="K104" s="205" t="str">
        <f>IF($A104&lt;&gt;"",IFERROR(INDEX(PMsheet!$B:$I,MATCH($A$77&amp;$A104&amp;$D104&amp;$G104,INDEX(PMsheet!$C:$C&amp;PMsheet!$E:$E&amp;PMsheet!$F:$F&amp;PMsheet!$G:$G,0,),0),8),""),"")</f>
        <v/>
      </c>
      <c r="L104" s="206" t="str">
        <f>IF(K104="", "",SETUP!$E$5)</f>
        <v/>
      </c>
      <c r="M104" s="1947"/>
      <c r="N104" s="12"/>
      <c r="O104" s="12"/>
      <c r="P104" s="12"/>
      <c r="Q104" s="12"/>
      <c r="R104" s="1809">
        <f>SUM('HIV-Other HPs'!$N104:$Q104)</f>
        <v>0</v>
      </c>
      <c r="S104" s="1810">
        <f>'HIV-Other HPs'!$M104*'HIV-Other HPs'!$R104</f>
        <v>0</v>
      </c>
      <c r="T104" s="1954"/>
      <c r="U104" s="12"/>
      <c r="V104" s="12"/>
      <c r="W104" s="12"/>
      <c r="X104" s="12"/>
      <c r="Y104" s="1809">
        <f>SUM('HIV-Other HPs'!$U104:$X104)</f>
        <v>0</v>
      </c>
      <c r="Z104" s="1810">
        <f>'HIV-Other HPs'!$T104*'HIV-Other HPs'!$Y104</f>
        <v>0</v>
      </c>
      <c r="AA104" s="1954"/>
      <c r="AB104" s="12"/>
      <c r="AC104" s="12"/>
      <c r="AD104" s="12"/>
      <c r="AE104" s="12"/>
      <c r="AF104" s="1809">
        <f>SUM('HIV-Other HPs'!$AB104:$AE104)</f>
        <v>0</v>
      </c>
      <c r="AG104" s="1810">
        <f>'HIV-Other HPs'!$AA104*'HIV-Other HPs'!$AF104</f>
        <v>0</v>
      </c>
      <c r="AH104" s="1811">
        <f>'HIV-Other HPs'!$R104+'HIV-Other HPs'!$Y104+'HIV-Other HPs'!$AF104</f>
        <v>0</v>
      </c>
      <c r="AI104" s="1810">
        <f>'HIV-Other HPs'!$S104+'HIV-Other HPs'!$Z104+'HIV-Other HPs'!$AG104</f>
        <v>0</v>
      </c>
      <c r="AJ104" s="1396" t="str">
        <f>IF($A104&lt;&gt;"",IFERROR(INDEX(PMtbl[[WKst]:[Unit of measure*]],MATCH($A$77&amp;$A104&amp;$D104&amp;$G104,INDEX(PMtbl[Sec]&amp;PMtbl[Category]&amp;PMtbl[INN]&amp;PMtbl[Specification],0,),0),7),""),"")</f>
        <v/>
      </c>
      <c r="AK104" s="2508"/>
      <c r="AL104" s="2509"/>
      <c r="AM104" s="1396" t="str">
        <f>IFERROR(INDEX(SETUP!$C$19:$G$62,MATCH((INDEX(PMtbl[[WKst]:[Unit of measure*]],MATCH($A104&amp;$D104&amp;$G104,INDEX(PMtbl[Category]&amp;PMtbl[INN]&amp;PMtbl[Specification],0,),0),3)),SETUP!$D$19:$D$62,0),5),"")</f>
        <v/>
      </c>
      <c r="AN104" s="1396" t="str">
        <f>IFERROR(IF((INDEX(SETUP!$C$19:$G$62,MATCH((INDEX(PMtbl[[WKst]:[Unit of measure*]],MATCH($A104&amp;$D104&amp;$G104,INDEX(PMtbl[Category]&amp;PMtbl[INN]&amp;PMtbl[Specification],0,),0),3)),SETUP!$D$19:$D$62,0),4))="Upfront",0,INDEX(SETUP!$C$19:$G$62,MATCH((INDEX(PMtbl[[WKst]:[Unit of measure*]],MATCH($A104&amp;$D104&amp;$G104,INDEX(PMtbl[Category]&amp;PMtbl[INN]&amp;PMtbl[Specification],0,),0),3)),SETUP!$D$19:$D$62,0),5)),"")</f>
        <v/>
      </c>
      <c r="AR104" s="326"/>
    </row>
    <row r="105" spans="1:44" s="198" customFormat="1" hidden="1">
      <c r="A105" s="2481"/>
      <c r="B105" s="2337"/>
      <c r="C105" s="2337"/>
      <c r="D105" s="2481"/>
      <c r="E105" s="2337"/>
      <c r="F105" s="2337"/>
      <c r="G105" s="2414"/>
      <c r="H105" s="2337"/>
      <c r="I105" s="2337"/>
      <c r="J105" s="2415"/>
      <c r="K105" s="203" t="str">
        <f>IF($A105&lt;&gt;"",IFERROR(INDEX(PMsheet!$B:$I,MATCH($A$77&amp;$A105&amp;$D105&amp;$G105,INDEX(PMsheet!$C:$C&amp;PMsheet!$E:$E&amp;PMsheet!$F:$F&amp;PMsheet!$G:$G,0,),0),8),""),"")</f>
        <v/>
      </c>
      <c r="L105" s="204" t="str">
        <f>IF(K105="", "",SETUP!$E$5)</f>
        <v/>
      </c>
      <c r="M105" s="1947"/>
      <c r="N105" s="12"/>
      <c r="O105" s="12"/>
      <c r="P105" s="12"/>
      <c r="Q105" s="12"/>
      <c r="R105" s="1809">
        <f>SUM('HIV-Other HPs'!$N105:$Q105)</f>
        <v>0</v>
      </c>
      <c r="S105" s="1810">
        <f>'HIV-Other HPs'!$M105*'HIV-Other HPs'!$R105</f>
        <v>0</v>
      </c>
      <c r="T105" s="1954"/>
      <c r="U105" s="12"/>
      <c r="V105" s="12"/>
      <c r="W105" s="12"/>
      <c r="X105" s="12"/>
      <c r="Y105" s="1809">
        <f>SUM('HIV-Other HPs'!$U105:$X105)</f>
        <v>0</v>
      </c>
      <c r="Z105" s="1810">
        <f>'HIV-Other HPs'!$T105*'HIV-Other HPs'!$Y105</f>
        <v>0</v>
      </c>
      <c r="AA105" s="1954"/>
      <c r="AB105" s="12"/>
      <c r="AC105" s="12"/>
      <c r="AD105" s="12"/>
      <c r="AE105" s="12"/>
      <c r="AF105" s="1809">
        <f>SUM('HIV-Other HPs'!$AB105:$AE105)</f>
        <v>0</v>
      </c>
      <c r="AG105" s="1810">
        <f>'HIV-Other HPs'!$AA105*'HIV-Other HPs'!$AF105</f>
        <v>0</v>
      </c>
      <c r="AH105" s="1811">
        <f>'HIV-Other HPs'!$R105+'HIV-Other HPs'!$Y105+'HIV-Other HPs'!$AF105</f>
        <v>0</v>
      </c>
      <c r="AI105" s="1810">
        <f>'HIV-Other HPs'!$S105+'HIV-Other HPs'!$Z105+'HIV-Other HPs'!$AG105</f>
        <v>0</v>
      </c>
      <c r="AJ105" s="1396" t="str">
        <f>IF($A105&lt;&gt;"",IFERROR(INDEX(PMtbl[[WKst]:[Unit of measure*]],MATCH($A$77&amp;$A105&amp;$D105&amp;$G105,INDEX(PMtbl[Sec]&amp;PMtbl[Category]&amp;PMtbl[INN]&amp;PMtbl[Specification],0,),0),7),""),"")</f>
        <v/>
      </c>
      <c r="AK105" s="2510"/>
      <c r="AL105" s="2511"/>
      <c r="AM105" s="1396" t="str">
        <f>IFERROR(INDEX(SETUP!$C$19:$G$62,MATCH((INDEX(PMtbl[[WKst]:[Unit of measure*]],MATCH($A105&amp;$D105&amp;$G105,INDEX(PMtbl[Category]&amp;PMtbl[INN]&amp;PMtbl[Specification],0,),0),3)),SETUP!$D$19:$D$62,0),5),"")</f>
        <v/>
      </c>
      <c r="AN105" s="1396" t="str">
        <f>IFERROR(IF((INDEX(SETUP!$C$19:$G$62,MATCH((INDEX(PMtbl[[WKst]:[Unit of measure*]],MATCH($A105&amp;$D105&amp;$G105,INDEX(PMtbl[Category]&amp;PMtbl[INN]&amp;PMtbl[Specification],0,),0),3)),SETUP!$D$19:$D$62,0),4))="Upfront",0,INDEX(SETUP!$C$19:$G$62,MATCH((INDEX(PMtbl[[WKst]:[Unit of measure*]],MATCH($A105&amp;$D105&amp;$G105,INDEX(PMtbl[Category]&amp;PMtbl[INN]&amp;PMtbl[Specification],0,),0),3)),SETUP!$D$19:$D$62,0),5)),"")</f>
        <v/>
      </c>
      <c r="AR105" s="326"/>
    </row>
    <row r="106" spans="1:44" s="198" customFormat="1" hidden="1">
      <c r="A106" s="2480"/>
      <c r="B106" s="2331"/>
      <c r="C106" s="2331"/>
      <c r="D106" s="2480"/>
      <c r="E106" s="2331"/>
      <c r="F106" s="2331"/>
      <c r="G106" s="2416"/>
      <c r="H106" s="2417"/>
      <c r="I106" s="2417"/>
      <c r="J106" s="2418"/>
      <c r="K106" s="205" t="str">
        <f>IF($A106&lt;&gt;"",IFERROR(INDEX(PMsheet!$B:$I,MATCH($A$77&amp;$A106&amp;$D106&amp;$G106,INDEX(PMsheet!$C:$C&amp;PMsheet!$E:$E&amp;PMsheet!$F:$F&amp;PMsheet!$G:$G,0,),0),8),""),"")</f>
        <v/>
      </c>
      <c r="L106" s="206" t="str">
        <f>IF(K106="", "",SETUP!$E$5)</f>
        <v/>
      </c>
      <c r="M106" s="1947"/>
      <c r="N106" s="12"/>
      <c r="O106" s="12"/>
      <c r="P106" s="12"/>
      <c r="Q106" s="12"/>
      <c r="R106" s="1809">
        <f>SUM('HIV-Other HPs'!$N106:$Q106)</f>
        <v>0</v>
      </c>
      <c r="S106" s="1810">
        <f>'HIV-Other HPs'!$M106*'HIV-Other HPs'!$R106</f>
        <v>0</v>
      </c>
      <c r="T106" s="1954"/>
      <c r="U106" s="12"/>
      <c r="V106" s="12"/>
      <c r="W106" s="12"/>
      <c r="X106" s="12"/>
      <c r="Y106" s="1809">
        <f>SUM('HIV-Other HPs'!$U106:$X106)</f>
        <v>0</v>
      </c>
      <c r="Z106" s="1810">
        <f>'HIV-Other HPs'!$T106*'HIV-Other HPs'!$Y106</f>
        <v>0</v>
      </c>
      <c r="AA106" s="1954"/>
      <c r="AB106" s="12"/>
      <c r="AC106" s="12"/>
      <c r="AD106" s="12"/>
      <c r="AE106" s="12"/>
      <c r="AF106" s="1809">
        <f>SUM('HIV-Other HPs'!$AB106:$AE106)</f>
        <v>0</v>
      </c>
      <c r="AG106" s="1810">
        <f>'HIV-Other HPs'!$AA106*'HIV-Other HPs'!$AF106</f>
        <v>0</v>
      </c>
      <c r="AH106" s="1811">
        <f>'HIV-Other HPs'!$R106+'HIV-Other HPs'!$Y106+'HIV-Other HPs'!$AF106</f>
        <v>0</v>
      </c>
      <c r="AI106" s="1810">
        <f>'HIV-Other HPs'!$S106+'HIV-Other HPs'!$Z106+'HIV-Other HPs'!$AG106</f>
        <v>0</v>
      </c>
      <c r="AJ106" s="1396" t="str">
        <f>IF($A106&lt;&gt;"",IFERROR(INDEX(PMtbl[[WKst]:[Unit of measure*]],MATCH($A$77&amp;$A106&amp;$D106&amp;$G106,INDEX(PMtbl[Sec]&amp;PMtbl[Category]&amp;PMtbl[INN]&amp;PMtbl[Specification],0,),0),7),""),"")</f>
        <v/>
      </c>
      <c r="AK106" s="2508"/>
      <c r="AL106" s="2509"/>
      <c r="AM106" s="1396" t="str">
        <f>IFERROR(INDEX(SETUP!$C$19:$G$62,MATCH((INDEX(PMtbl[[WKst]:[Unit of measure*]],MATCH($A106&amp;$D106&amp;$G106,INDEX(PMtbl[Category]&amp;PMtbl[INN]&amp;PMtbl[Specification],0,),0),3)),SETUP!$D$19:$D$62,0),5),"")</f>
        <v/>
      </c>
      <c r="AN106" s="1396" t="str">
        <f>IFERROR(IF((INDEX(SETUP!$C$19:$G$62,MATCH((INDEX(PMtbl[[WKst]:[Unit of measure*]],MATCH($A106&amp;$D106&amp;$G106,INDEX(PMtbl[Category]&amp;PMtbl[INN]&amp;PMtbl[Specification],0,),0),3)),SETUP!$D$19:$D$62,0),4))="Upfront",0,INDEX(SETUP!$C$19:$G$62,MATCH((INDEX(PMtbl[[WKst]:[Unit of measure*]],MATCH($A106&amp;$D106&amp;$G106,INDEX(PMtbl[Category]&amp;PMtbl[INN]&amp;PMtbl[Specification],0,),0),3)),SETUP!$D$19:$D$62,0),5)),"")</f>
        <v/>
      </c>
      <c r="AR106" s="326"/>
    </row>
    <row r="107" spans="1:44" s="198" customFormat="1" hidden="1">
      <c r="A107" s="2481"/>
      <c r="B107" s="2337"/>
      <c r="C107" s="2337"/>
      <c r="D107" s="2481"/>
      <c r="E107" s="2337"/>
      <c r="F107" s="2337"/>
      <c r="G107" s="2414"/>
      <c r="H107" s="2337"/>
      <c r="I107" s="2337"/>
      <c r="J107" s="2415"/>
      <c r="K107" s="203" t="str">
        <f>IF($A107&lt;&gt;"",IFERROR(INDEX(PMsheet!$B:$I,MATCH($A$77&amp;$A107&amp;$D107&amp;$G107,INDEX(PMsheet!$C:$C&amp;PMsheet!$E:$E&amp;PMsheet!$F:$F&amp;PMsheet!$G:$G,0,),0),8),""),"")</f>
        <v/>
      </c>
      <c r="L107" s="204" t="str">
        <f>IF(K107="", "",SETUP!$E$5)</f>
        <v/>
      </c>
      <c r="M107" s="1948"/>
      <c r="N107" s="1946"/>
      <c r="O107" s="1946"/>
      <c r="P107" s="1946"/>
      <c r="Q107" s="1946"/>
      <c r="R107" s="1812">
        <f>SUM('HIV-Other HPs'!$N107:$Q107)</f>
        <v>0</v>
      </c>
      <c r="S107" s="1813">
        <f>'HIV-Other HPs'!$M107*'HIV-Other HPs'!$R107</f>
        <v>0</v>
      </c>
      <c r="T107" s="1955"/>
      <c r="U107" s="1946"/>
      <c r="V107" s="1946"/>
      <c r="W107" s="1946"/>
      <c r="X107" s="1946"/>
      <c r="Y107" s="1812">
        <f>SUM('HIV-Other HPs'!$U107:$X107)</f>
        <v>0</v>
      </c>
      <c r="Z107" s="1813">
        <f>'HIV-Other HPs'!$T107*'HIV-Other HPs'!$Y107</f>
        <v>0</v>
      </c>
      <c r="AA107" s="1955"/>
      <c r="AB107" s="1946"/>
      <c r="AC107" s="1946"/>
      <c r="AD107" s="1946"/>
      <c r="AE107" s="1946"/>
      <c r="AF107" s="1812">
        <f>SUM('HIV-Other HPs'!$AB107:$AE107)</f>
        <v>0</v>
      </c>
      <c r="AG107" s="1813">
        <f>'HIV-Other HPs'!$AA107*'HIV-Other HPs'!$AF107</f>
        <v>0</v>
      </c>
      <c r="AH107" s="1814">
        <f>'HIV-Other HPs'!$R107+'HIV-Other HPs'!$Y107+'HIV-Other HPs'!$AF107</f>
        <v>0</v>
      </c>
      <c r="AI107" s="1813">
        <f>'HIV-Other HPs'!$S107+'HIV-Other HPs'!$Z107+'HIV-Other HPs'!$AG107</f>
        <v>0</v>
      </c>
      <c r="AJ107" s="1390" t="str">
        <f>IF($A107&lt;&gt;"",IFERROR(INDEX(PMtbl[[WKst]:[Unit of measure*]],MATCH($A$77&amp;$A107&amp;$D107&amp;$G107,INDEX(PMtbl[Sec]&amp;PMtbl[Category]&amp;PMtbl[INN]&amp;PMtbl[Specification],0,),0),7),""),"")</f>
        <v/>
      </c>
      <c r="AK107" s="2510"/>
      <c r="AL107" s="2511"/>
      <c r="AM107" s="1390" t="str">
        <f>IFERROR(INDEX(SETUP!$C$19:$G$62,MATCH((INDEX(PMtbl[[WKst]:[Unit of measure*]],MATCH($A107&amp;$D107&amp;$G107,INDEX(PMtbl[Category]&amp;PMtbl[INN]&amp;PMtbl[Specification],0,),0),3)),SETUP!$D$19:$D$62,0),5),"")</f>
        <v/>
      </c>
      <c r="AN107" s="1390" t="str">
        <f>IFERROR(IF((INDEX(SETUP!$C$19:$G$62,MATCH((INDEX(PMtbl[[WKst]:[Unit of measure*]],MATCH($A107&amp;$D107&amp;$G107,INDEX(PMtbl[Category]&amp;PMtbl[INN]&amp;PMtbl[Specification],0,),0),3)),SETUP!$D$19:$D$62,0),4))="Upfront",0,INDEX(SETUP!$C$19:$G$62,MATCH((INDEX(PMtbl[[WKst]:[Unit of measure*]],MATCH($A107&amp;$D107&amp;$G107,INDEX(PMtbl[Category]&amp;PMtbl[INN]&amp;PMtbl[Specification],0,),0),3)),SETUP!$D$19:$D$62,0),5)),"")</f>
        <v/>
      </c>
      <c r="AR107" s="326"/>
    </row>
    <row r="108" spans="1:44" s="198" customFormat="1" hidden="1">
      <c r="A108" s="2480"/>
      <c r="B108" s="2331"/>
      <c r="C108" s="2331"/>
      <c r="D108" s="2480"/>
      <c r="E108" s="2331"/>
      <c r="F108" s="2331"/>
      <c r="G108" s="2416"/>
      <c r="H108" s="2417"/>
      <c r="I108" s="2417"/>
      <c r="J108" s="2418"/>
      <c r="K108" s="205" t="str">
        <f>IF($A108&lt;&gt;"",IFERROR(INDEX(PMsheet!$B:$I,MATCH($A$77&amp;$A108&amp;$D108&amp;$G108,INDEX(PMsheet!$C:$C&amp;PMsheet!$E:$E&amp;PMsheet!$F:$F&amp;PMsheet!$G:$G,0,),0),8),""),"")</f>
        <v/>
      </c>
      <c r="L108" s="206" t="str">
        <f>IF(K108="", "",SETUP!$E$5)</f>
        <v/>
      </c>
      <c r="M108" s="1947"/>
      <c r="N108" s="12"/>
      <c r="O108" s="12"/>
      <c r="P108" s="12"/>
      <c r="Q108" s="12"/>
      <c r="R108" s="1809">
        <f>SUM('HIV-Other HPs'!$N108:$Q108)</f>
        <v>0</v>
      </c>
      <c r="S108" s="1810">
        <f>'HIV-Other HPs'!$M108*'HIV-Other HPs'!$R108</f>
        <v>0</v>
      </c>
      <c r="T108" s="1954"/>
      <c r="U108" s="12"/>
      <c r="V108" s="12"/>
      <c r="W108" s="12"/>
      <c r="X108" s="12"/>
      <c r="Y108" s="1809">
        <f>SUM('HIV-Other HPs'!$U108:$X108)</f>
        <v>0</v>
      </c>
      <c r="Z108" s="1810">
        <f>'HIV-Other HPs'!$T108*'HIV-Other HPs'!$Y108</f>
        <v>0</v>
      </c>
      <c r="AA108" s="1954"/>
      <c r="AB108" s="12"/>
      <c r="AC108" s="12"/>
      <c r="AD108" s="12"/>
      <c r="AE108" s="12"/>
      <c r="AF108" s="1809">
        <f>SUM('HIV-Other HPs'!$AB108:$AE108)</f>
        <v>0</v>
      </c>
      <c r="AG108" s="1810">
        <f>'HIV-Other HPs'!$AA108*'HIV-Other HPs'!$AF108</f>
        <v>0</v>
      </c>
      <c r="AH108" s="1811">
        <f>'HIV-Other HPs'!$R108+'HIV-Other HPs'!$Y108+'HIV-Other HPs'!$AF108</f>
        <v>0</v>
      </c>
      <c r="AI108" s="1810">
        <f>'HIV-Other HPs'!$S108+'HIV-Other HPs'!$Z108+'HIV-Other HPs'!$AG108</f>
        <v>0</v>
      </c>
      <c r="AJ108" s="1391" t="str">
        <f>IF($A108&lt;&gt;"",IFERROR(INDEX(PMtbl[[WKst]:[Unit of measure*]],MATCH($A$77&amp;$A108&amp;$D108&amp;$G108,INDEX(PMtbl[Sec]&amp;PMtbl[Category]&amp;PMtbl[INN]&amp;PMtbl[Specification],0,),0),7),""),"")</f>
        <v/>
      </c>
      <c r="AK108" s="2508"/>
      <c r="AL108" s="2509"/>
      <c r="AM108" s="1391" t="str">
        <f>IFERROR(INDEX(SETUP!$C$19:$G$62,MATCH((INDEX(PMtbl[[WKst]:[Unit of measure*]],MATCH($A108&amp;$D108&amp;$G108,INDEX(PMtbl[Category]&amp;PMtbl[INN]&amp;PMtbl[Specification],0,),0),3)),SETUP!$D$19:$D$62,0),5),"")</f>
        <v/>
      </c>
      <c r="AN108" s="1391" t="str">
        <f>IFERROR(IF((INDEX(SETUP!$C$19:$G$62,MATCH((INDEX(PMtbl[[WKst]:[Unit of measure*]],MATCH($A108&amp;$D108&amp;$G108,INDEX(PMtbl[Category]&amp;PMtbl[INN]&amp;PMtbl[Specification],0,),0),3)),SETUP!$D$19:$D$62,0),4))="Upfront",0,INDEX(SETUP!$C$19:$G$62,MATCH((INDEX(PMtbl[[WKst]:[Unit of measure*]],MATCH($A108&amp;$D108&amp;$G108,INDEX(PMtbl[Category]&amp;PMtbl[INN]&amp;PMtbl[Specification],0,),0),3)),SETUP!$D$19:$D$62,0),5)),"")</f>
        <v/>
      </c>
      <c r="AR108" s="326"/>
    </row>
    <row r="109" spans="1:44" s="198" customFormat="1" hidden="1">
      <c r="A109" s="2481"/>
      <c r="B109" s="2337"/>
      <c r="C109" s="2337"/>
      <c r="D109" s="2481"/>
      <c r="E109" s="2337"/>
      <c r="F109" s="2337"/>
      <c r="G109" s="2414"/>
      <c r="H109" s="2337"/>
      <c r="I109" s="2337"/>
      <c r="J109" s="2415"/>
      <c r="K109" s="203" t="str">
        <f>IF($A109&lt;&gt;"",IFERROR(INDEX(PMsheet!$B:$I,MATCH($A$77&amp;$A109&amp;$D109&amp;$G109,INDEX(PMsheet!$C:$C&amp;PMsheet!$E:$E&amp;PMsheet!$F:$F&amp;PMsheet!$G:$G,0,),0),8),""),"")</f>
        <v/>
      </c>
      <c r="L109" s="204" t="str">
        <f>IF(K109="", "",SETUP!$E$5)</f>
        <v/>
      </c>
      <c r="M109" s="1948"/>
      <c r="N109" s="1946"/>
      <c r="O109" s="1946"/>
      <c r="P109" s="1946"/>
      <c r="Q109" s="1946"/>
      <c r="R109" s="1812">
        <f>SUM('HIV-Other HPs'!$N109:$Q109)</f>
        <v>0</v>
      </c>
      <c r="S109" s="1813">
        <f>'HIV-Other HPs'!$M109*'HIV-Other HPs'!$R109</f>
        <v>0</v>
      </c>
      <c r="T109" s="1955"/>
      <c r="U109" s="1946"/>
      <c r="V109" s="1946"/>
      <c r="W109" s="1946"/>
      <c r="X109" s="1946"/>
      <c r="Y109" s="1812">
        <f>SUM('HIV-Other HPs'!$U109:$X109)</f>
        <v>0</v>
      </c>
      <c r="Z109" s="1813">
        <f>'HIV-Other HPs'!$T109*'HIV-Other HPs'!$Y109</f>
        <v>0</v>
      </c>
      <c r="AA109" s="1955"/>
      <c r="AB109" s="1946"/>
      <c r="AC109" s="1946"/>
      <c r="AD109" s="1946"/>
      <c r="AE109" s="1946"/>
      <c r="AF109" s="1812">
        <f>SUM('HIV-Other HPs'!$AB109:$AE109)</f>
        <v>0</v>
      </c>
      <c r="AG109" s="1813">
        <f>'HIV-Other HPs'!$AA109*'HIV-Other HPs'!$AF109</f>
        <v>0</v>
      </c>
      <c r="AH109" s="1814">
        <f>'HIV-Other HPs'!$R109+'HIV-Other HPs'!$Y109+'HIV-Other HPs'!$AF109</f>
        <v>0</v>
      </c>
      <c r="AI109" s="1813">
        <f>'HIV-Other HPs'!$S109+'HIV-Other HPs'!$Z109+'HIV-Other HPs'!$AG109</f>
        <v>0</v>
      </c>
      <c r="AJ109" s="1390" t="str">
        <f>IF($A109&lt;&gt;"",IFERROR(INDEX(PMtbl[[WKst]:[Unit of measure*]],MATCH($A$77&amp;$A109&amp;$D109&amp;$G109,INDEX(PMtbl[Sec]&amp;PMtbl[Category]&amp;PMtbl[INN]&amp;PMtbl[Specification],0,),0),7),""),"")</f>
        <v/>
      </c>
      <c r="AK109" s="2510"/>
      <c r="AL109" s="2511"/>
      <c r="AM109" s="1390" t="str">
        <f>IFERROR(INDEX(SETUP!$C$19:$G$62,MATCH((INDEX(PMtbl[[WKst]:[Unit of measure*]],MATCH($A109&amp;$D109&amp;$G109,INDEX(PMtbl[Category]&amp;PMtbl[INN]&amp;PMtbl[Specification],0,),0),3)),SETUP!$D$19:$D$62,0),5),"")</f>
        <v/>
      </c>
      <c r="AN109" s="1390" t="str">
        <f>IFERROR(IF((INDEX(SETUP!$C$19:$G$62,MATCH((INDEX(PMtbl[[WKst]:[Unit of measure*]],MATCH($A109&amp;$D109&amp;$G109,INDEX(PMtbl[Category]&amp;PMtbl[INN]&amp;PMtbl[Specification],0,),0),3)),SETUP!$D$19:$D$62,0),4))="Upfront",0,INDEX(SETUP!$C$19:$G$62,MATCH((INDEX(PMtbl[[WKst]:[Unit of measure*]],MATCH($A109&amp;$D109&amp;$G109,INDEX(PMtbl[Category]&amp;PMtbl[INN]&amp;PMtbl[Specification],0,),0),3)),SETUP!$D$19:$D$62,0),5)),"")</f>
        <v/>
      </c>
      <c r="AR109" s="326"/>
    </row>
    <row r="110" spans="1:44" s="198" customFormat="1" hidden="1">
      <c r="A110" s="2480"/>
      <c r="B110" s="2331"/>
      <c r="C110" s="2331"/>
      <c r="D110" s="2480"/>
      <c r="E110" s="2331"/>
      <c r="F110" s="2331"/>
      <c r="G110" s="2416"/>
      <c r="H110" s="2417"/>
      <c r="I110" s="2417"/>
      <c r="J110" s="2418"/>
      <c r="K110" s="205" t="str">
        <f>IF($A110&lt;&gt;"",IFERROR(INDEX(PMsheet!$B:$I,MATCH($A$77&amp;$A110&amp;$D110&amp;$G110,INDEX(PMsheet!$C:$C&amp;PMsheet!$E:$E&amp;PMsheet!$F:$F&amp;PMsheet!$G:$G,0,),0),8),""),"")</f>
        <v/>
      </c>
      <c r="L110" s="206" t="str">
        <f>IF(K110="", "",SETUP!$E$5)</f>
        <v/>
      </c>
      <c r="M110" s="1947"/>
      <c r="N110" s="12"/>
      <c r="O110" s="12"/>
      <c r="P110" s="12"/>
      <c r="Q110" s="12"/>
      <c r="R110" s="1809">
        <f>SUM('HIV-Other HPs'!$N110:$Q110)</f>
        <v>0</v>
      </c>
      <c r="S110" s="1810">
        <f>'HIV-Other HPs'!$M110*'HIV-Other HPs'!$R110</f>
        <v>0</v>
      </c>
      <c r="T110" s="1954"/>
      <c r="U110" s="12"/>
      <c r="V110" s="12"/>
      <c r="W110" s="12"/>
      <c r="X110" s="12"/>
      <c r="Y110" s="1809">
        <f>SUM('HIV-Other HPs'!$U110:$X110)</f>
        <v>0</v>
      </c>
      <c r="Z110" s="1810">
        <f>'HIV-Other HPs'!$T110*'HIV-Other HPs'!$Y110</f>
        <v>0</v>
      </c>
      <c r="AA110" s="1954"/>
      <c r="AB110" s="12"/>
      <c r="AC110" s="12"/>
      <c r="AD110" s="12"/>
      <c r="AE110" s="12"/>
      <c r="AF110" s="1809">
        <f>SUM('HIV-Other HPs'!$AB110:$AE110)</f>
        <v>0</v>
      </c>
      <c r="AG110" s="1810">
        <f>'HIV-Other HPs'!$AA110*'HIV-Other HPs'!$AF110</f>
        <v>0</v>
      </c>
      <c r="AH110" s="1811">
        <f>'HIV-Other HPs'!$R110+'HIV-Other HPs'!$Y110+'HIV-Other HPs'!$AF110</f>
        <v>0</v>
      </c>
      <c r="AI110" s="1810">
        <f>'HIV-Other HPs'!$S110+'HIV-Other HPs'!$Z110+'HIV-Other HPs'!$AG110</f>
        <v>0</v>
      </c>
      <c r="AJ110" s="1391" t="str">
        <f>IF($A110&lt;&gt;"",IFERROR(INDEX(PMtbl[[WKst]:[Unit of measure*]],MATCH($A$77&amp;$A110&amp;$D110&amp;$G110,INDEX(PMtbl[Sec]&amp;PMtbl[Category]&amp;PMtbl[INN]&amp;PMtbl[Specification],0,),0),7),""),"")</f>
        <v/>
      </c>
      <c r="AK110" s="2508"/>
      <c r="AL110" s="2509"/>
      <c r="AM110" s="1391" t="str">
        <f>IFERROR(INDEX(SETUP!$C$19:$G$62,MATCH((INDEX(PMtbl[[WKst]:[Unit of measure*]],MATCH($A110&amp;$D110&amp;$G110,INDEX(PMtbl[Category]&amp;PMtbl[INN]&amp;PMtbl[Specification],0,),0),3)),SETUP!$D$19:$D$62,0),5),"")</f>
        <v/>
      </c>
      <c r="AN110" s="1391" t="str">
        <f>IFERROR(IF((INDEX(SETUP!$C$19:$G$62,MATCH((INDEX(PMtbl[[WKst]:[Unit of measure*]],MATCH($A110&amp;$D110&amp;$G110,INDEX(PMtbl[Category]&amp;PMtbl[INN]&amp;PMtbl[Specification],0,),0),3)),SETUP!$D$19:$D$62,0),4))="Upfront",0,INDEX(SETUP!$C$19:$G$62,MATCH((INDEX(PMtbl[[WKst]:[Unit of measure*]],MATCH($A110&amp;$D110&amp;$G110,INDEX(PMtbl[Category]&amp;PMtbl[INN]&amp;PMtbl[Specification],0,),0),3)),SETUP!$D$19:$D$62,0),5)),"")</f>
        <v/>
      </c>
      <c r="AR110" s="326"/>
    </row>
    <row r="111" spans="1:44" s="198" customFormat="1" hidden="1">
      <c r="A111" s="2481"/>
      <c r="B111" s="2337"/>
      <c r="C111" s="2337"/>
      <c r="D111" s="2481"/>
      <c r="E111" s="2337"/>
      <c r="F111" s="2337"/>
      <c r="G111" s="2414"/>
      <c r="H111" s="2337"/>
      <c r="I111" s="2337"/>
      <c r="J111" s="2415"/>
      <c r="K111" s="203" t="str">
        <f>IF($A111&lt;&gt;"",IFERROR(INDEX(PMsheet!$B:$I,MATCH($A$77&amp;$A111&amp;$D111&amp;$G111,INDEX(PMsheet!$C:$C&amp;PMsheet!$E:$E&amp;PMsheet!$F:$F&amp;PMsheet!$G:$G,0,),0),8),""),"")</f>
        <v/>
      </c>
      <c r="L111" s="204" t="str">
        <f>IF(K111="", "",SETUP!$E$5)</f>
        <v/>
      </c>
      <c r="M111" s="1947"/>
      <c r="N111" s="12"/>
      <c r="O111" s="12"/>
      <c r="P111" s="12"/>
      <c r="Q111" s="12"/>
      <c r="R111" s="1809">
        <f>SUM('HIV-Other HPs'!$N111:$Q111)</f>
        <v>0</v>
      </c>
      <c r="S111" s="1810">
        <f>'HIV-Other HPs'!$M111*'HIV-Other HPs'!$R111</f>
        <v>0</v>
      </c>
      <c r="T111" s="1954"/>
      <c r="U111" s="12"/>
      <c r="V111" s="12"/>
      <c r="W111" s="12"/>
      <c r="X111" s="12"/>
      <c r="Y111" s="1809">
        <f>SUM('HIV-Other HPs'!$U111:$X111)</f>
        <v>0</v>
      </c>
      <c r="Z111" s="1810">
        <f>'HIV-Other HPs'!$T111*'HIV-Other HPs'!$Y111</f>
        <v>0</v>
      </c>
      <c r="AA111" s="1954"/>
      <c r="AB111" s="12"/>
      <c r="AC111" s="12"/>
      <c r="AD111" s="12"/>
      <c r="AE111" s="12"/>
      <c r="AF111" s="1809">
        <f>SUM('HIV-Other HPs'!$AB111:$AE111)</f>
        <v>0</v>
      </c>
      <c r="AG111" s="1810">
        <f>'HIV-Other HPs'!$AA111*'HIV-Other HPs'!$AF111</f>
        <v>0</v>
      </c>
      <c r="AH111" s="1811">
        <f>'HIV-Other HPs'!$R111+'HIV-Other HPs'!$Y111+'HIV-Other HPs'!$AF111</f>
        <v>0</v>
      </c>
      <c r="AI111" s="1810">
        <f>'HIV-Other HPs'!$S111+'HIV-Other HPs'!$Z111+'HIV-Other HPs'!$AG111</f>
        <v>0</v>
      </c>
      <c r="AJ111" s="1391" t="str">
        <f>IF($A111&lt;&gt;"",IFERROR(INDEX(PMtbl[[WKst]:[Unit of measure*]],MATCH($A$77&amp;$A111&amp;$D111&amp;$G111,INDEX(PMtbl[Sec]&amp;PMtbl[Category]&amp;PMtbl[INN]&amp;PMtbl[Specification],0,),0),7),""),"")</f>
        <v/>
      </c>
      <c r="AK111" s="2510"/>
      <c r="AL111" s="2511"/>
      <c r="AM111" s="1391" t="str">
        <f>IFERROR(INDEX(SETUP!$C$19:$G$62,MATCH((INDEX(PMtbl[[WKst]:[Unit of measure*]],MATCH($A111&amp;$D111&amp;$G111,INDEX(PMtbl[Category]&amp;PMtbl[INN]&amp;PMtbl[Specification],0,),0),3)),SETUP!$D$19:$D$62,0),5),"")</f>
        <v/>
      </c>
      <c r="AN111" s="1391" t="str">
        <f>IFERROR(IF((INDEX(SETUP!$C$19:$G$62,MATCH((INDEX(PMtbl[[WKst]:[Unit of measure*]],MATCH($A111&amp;$D111&amp;$G111,INDEX(PMtbl[Category]&amp;PMtbl[INN]&amp;PMtbl[Specification],0,),0),3)),SETUP!$D$19:$D$62,0),4))="Upfront",0,INDEX(SETUP!$C$19:$G$62,MATCH((INDEX(PMtbl[[WKst]:[Unit of measure*]],MATCH($A111&amp;$D111&amp;$G111,INDEX(PMtbl[Category]&amp;PMtbl[INN]&amp;PMtbl[Specification],0,),0),3)),SETUP!$D$19:$D$62,0),5)),"")</f>
        <v/>
      </c>
      <c r="AR111" s="326"/>
    </row>
    <row r="112" spans="1:44" s="198" customFormat="1" hidden="1">
      <c r="A112" s="2480"/>
      <c r="B112" s="2331"/>
      <c r="C112" s="2331"/>
      <c r="D112" s="2480"/>
      <c r="E112" s="2331"/>
      <c r="F112" s="2331"/>
      <c r="G112" s="2416"/>
      <c r="H112" s="2417"/>
      <c r="I112" s="2417"/>
      <c r="J112" s="2418"/>
      <c r="K112" s="205" t="str">
        <f>IF($A112&lt;&gt;"",IFERROR(INDEX(PMsheet!$B:$I,MATCH($A$77&amp;$A112&amp;$D112&amp;$G112,INDEX(PMsheet!$C:$C&amp;PMsheet!$E:$E&amp;PMsheet!$F:$F&amp;PMsheet!$G:$G,0,),0),8),""),"")</f>
        <v/>
      </c>
      <c r="L112" s="206" t="str">
        <f>IF(K112="", "",SETUP!$E$5)</f>
        <v/>
      </c>
      <c r="M112" s="1947"/>
      <c r="N112" s="12"/>
      <c r="O112" s="12"/>
      <c r="P112" s="12"/>
      <c r="Q112" s="12"/>
      <c r="R112" s="1809">
        <f>SUM('HIV-Other HPs'!$N112:$Q112)</f>
        <v>0</v>
      </c>
      <c r="S112" s="1810">
        <f>'HIV-Other HPs'!$M112*'HIV-Other HPs'!$R112</f>
        <v>0</v>
      </c>
      <c r="T112" s="1954"/>
      <c r="U112" s="12"/>
      <c r="V112" s="12"/>
      <c r="W112" s="12"/>
      <c r="X112" s="12"/>
      <c r="Y112" s="1809">
        <f>SUM('HIV-Other HPs'!$U112:$X112)</f>
        <v>0</v>
      </c>
      <c r="Z112" s="1810">
        <f>'HIV-Other HPs'!$T112*'HIV-Other HPs'!$Y112</f>
        <v>0</v>
      </c>
      <c r="AA112" s="1954"/>
      <c r="AB112" s="12"/>
      <c r="AC112" s="12"/>
      <c r="AD112" s="12"/>
      <c r="AE112" s="12"/>
      <c r="AF112" s="1809">
        <f>SUM('HIV-Other HPs'!$AB112:$AE112)</f>
        <v>0</v>
      </c>
      <c r="AG112" s="1810">
        <f>'HIV-Other HPs'!$AA112*'HIV-Other HPs'!$AF112</f>
        <v>0</v>
      </c>
      <c r="AH112" s="1811">
        <f>'HIV-Other HPs'!$R112+'HIV-Other HPs'!$Y112+'HIV-Other HPs'!$AF112</f>
        <v>0</v>
      </c>
      <c r="AI112" s="1810">
        <f>'HIV-Other HPs'!$S112+'HIV-Other HPs'!$Z112+'HIV-Other HPs'!$AG112</f>
        <v>0</v>
      </c>
      <c r="AJ112" s="1391" t="str">
        <f>IF($A112&lt;&gt;"",IFERROR(INDEX(PMtbl[[WKst]:[Unit of measure*]],MATCH($A$77&amp;$A112&amp;$D112&amp;$G112,INDEX(PMtbl[Sec]&amp;PMtbl[Category]&amp;PMtbl[INN]&amp;PMtbl[Specification],0,),0),7),""),"")</f>
        <v/>
      </c>
      <c r="AK112" s="2508"/>
      <c r="AL112" s="2509"/>
      <c r="AM112" s="1391" t="str">
        <f>IFERROR(INDEX(SETUP!$C$19:$G$62,MATCH((INDEX(PMtbl[[WKst]:[Unit of measure*]],MATCH($A112&amp;$D112&amp;$G112,INDEX(PMtbl[Category]&amp;PMtbl[INN]&amp;PMtbl[Specification],0,),0),3)),SETUP!$D$19:$D$62,0),5),"")</f>
        <v/>
      </c>
      <c r="AN112" s="1391" t="str">
        <f>IFERROR(IF((INDEX(SETUP!$C$19:$G$62,MATCH((INDEX(PMtbl[[WKst]:[Unit of measure*]],MATCH($A112&amp;$D112&amp;$G112,INDEX(PMtbl[Category]&amp;PMtbl[INN]&amp;PMtbl[Specification],0,),0),3)),SETUP!$D$19:$D$62,0),4))="Upfront",0,INDEX(SETUP!$C$19:$G$62,MATCH((INDEX(PMtbl[[WKst]:[Unit of measure*]],MATCH($A112&amp;$D112&amp;$G112,INDEX(PMtbl[Category]&amp;PMtbl[INN]&amp;PMtbl[Specification],0,),0),3)),SETUP!$D$19:$D$62,0),5)),"")</f>
        <v/>
      </c>
      <c r="AR112" s="326"/>
    </row>
    <row r="113" spans="1:61" s="198" customFormat="1" hidden="1">
      <c r="A113" s="2481"/>
      <c r="B113" s="2337"/>
      <c r="C113" s="2337"/>
      <c r="D113" s="2481"/>
      <c r="E113" s="2337"/>
      <c r="F113" s="2337"/>
      <c r="G113" s="2414"/>
      <c r="H113" s="2337"/>
      <c r="I113" s="2337"/>
      <c r="J113" s="2415"/>
      <c r="K113" s="203" t="str">
        <f>IF($A113&lt;&gt;"",IFERROR(INDEX(PMsheet!$B:$I,MATCH($A$77&amp;$A113&amp;$D113&amp;$G113,INDEX(PMsheet!$C:$C&amp;PMsheet!$E:$E&amp;PMsheet!$F:$F&amp;PMsheet!$G:$G,0,),0),8),""),"")</f>
        <v/>
      </c>
      <c r="L113" s="204" t="str">
        <f>IF(K113="", "",SETUP!$E$5)</f>
        <v/>
      </c>
      <c r="M113" s="1947"/>
      <c r="N113" s="12"/>
      <c r="O113" s="12"/>
      <c r="P113" s="12"/>
      <c r="Q113" s="12"/>
      <c r="R113" s="1809">
        <f>SUM('HIV-Other HPs'!$N113:$Q113)</f>
        <v>0</v>
      </c>
      <c r="S113" s="1810">
        <f>'HIV-Other HPs'!$M113*'HIV-Other HPs'!$R113</f>
        <v>0</v>
      </c>
      <c r="T113" s="1954"/>
      <c r="U113" s="12"/>
      <c r="V113" s="12"/>
      <c r="W113" s="12"/>
      <c r="X113" s="12"/>
      <c r="Y113" s="1809">
        <f>SUM('HIV-Other HPs'!$U113:$X113)</f>
        <v>0</v>
      </c>
      <c r="Z113" s="1810">
        <f>'HIV-Other HPs'!$T113*'HIV-Other HPs'!$Y113</f>
        <v>0</v>
      </c>
      <c r="AA113" s="1954"/>
      <c r="AB113" s="12"/>
      <c r="AC113" s="12"/>
      <c r="AD113" s="12"/>
      <c r="AE113" s="12"/>
      <c r="AF113" s="1809">
        <f>SUM('HIV-Other HPs'!$AB113:$AE113)</f>
        <v>0</v>
      </c>
      <c r="AG113" s="1810">
        <f>'HIV-Other HPs'!$AA113*'HIV-Other HPs'!$AF113</f>
        <v>0</v>
      </c>
      <c r="AH113" s="1811">
        <f>'HIV-Other HPs'!$R113+'HIV-Other HPs'!$Y113+'HIV-Other HPs'!$AF113</f>
        <v>0</v>
      </c>
      <c r="AI113" s="1810">
        <f>'HIV-Other HPs'!$S113+'HIV-Other HPs'!$Z113+'HIV-Other HPs'!$AG113</f>
        <v>0</v>
      </c>
      <c r="AJ113" s="1391" t="str">
        <f>IF($A113&lt;&gt;"",IFERROR(INDEX(PMtbl[[WKst]:[Unit of measure*]],MATCH($A$77&amp;$A113&amp;$D113&amp;$G113,INDEX(PMtbl[Sec]&amp;PMtbl[Category]&amp;PMtbl[INN]&amp;PMtbl[Specification],0,),0),7),""),"")</f>
        <v/>
      </c>
      <c r="AK113" s="2510"/>
      <c r="AL113" s="2511"/>
      <c r="AM113" s="1391" t="str">
        <f>IFERROR(INDEX(SETUP!$C$19:$G$62,MATCH((INDEX(PMtbl[[WKst]:[Unit of measure*]],MATCH($A113&amp;$D113&amp;$G113,INDEX(PMtbl[Category]&amp;PMtbl[INN]&amp;PMtbl[Specification],0,),0),3)),SETUP!$D$19:$D$62,0),5),"")</f>
        <v/>
      </c>
      <c r="AN113" s="1391" t="str">
        <f>IFERROR(IF((INDEX(SETUP!$C$19:$G$62,MATCH((INDEX(PMtbl[[WKst]:[Unit of measure*]],MATCH($A113&amp;$D113&amp;$G113,INDEX(PMtbl[Category]&amp;PMtbl[INN]&amp;PMtbl[Specification],0,),0),3)),SETUP!$D$19:$D$62,0),4))="Upfront",0,INDEX(SETUP!$C$19:$G$62,MATCH((INDEX(PMtbl[[WKst]:[Unit of measure*]],MATCH($A113&amp;$D113&amp;$G113,INDEX(PMtbl[Category]&amp;PMtbl[INN]&amp;PMtbl[Specification],0,),0),3)),SETUP!$D$19:$D$62,0),5)),"")</f>
        <v/>
      </c>
      <c r="AR113" s="326"/>
    </row>
    <row r="114" spans="1:61" s="198" customFormat="1" ht="15" thickBot="1">
      <c r="A114" s="2482"/>
      <c r="B114" s="2483"/>
      <c r="C114" s="2483"/>
      <c r="D114" s="2482"/>
      <c r="E114" s="2483"/>
      <c r="F114" s="2483"/>
      <c r="G114" s="2477"/>
      <c r="H114" s="2478"/>
      <c r="I114" s="2478"/>
      <c r="J114" s="2479"/>
      <c r="K114" s="207" t="str">
        <f>IF($A114&lt;&gt;"",IFERROR(INDEX(PMsheet!$B:$I,MATCH($A$77&amp;$A114&amp;$D114&amp;$G114,INDEX(PMsheet!$C:$C&amp;PMsheet!$E:$E&amp;PMsheet!$F:$F&amp;PMsheet!$G:$G,0,),0),8),""),"")</f>
        <v/>
      </c>
      <c r="L114" s="208" t="str">
        <f>IF(K114="", "",SETUP!$E$5)</f>
        <v/>
      </c>
      <c r="M114" s="1963"/>
      <c r="N114" s="1964"/>
      <c r="O114" s="1964"/>
      <c r="P114" s="1964"/>
      <c r="Q114" s="1964"/>
      <c r="R114" s="1847">
        <f>SUM('HIV-Other HPs'!$N114:$Q114)</f>
        <v>0</v>
      </c>
      <c r="S114" s="1848">
        <f>'HIV-Other HPs'!$M114*'HIV-Other HPs'!$R114</f>
        <v>0</v>
      </c>
      <c r="T114" s="1965"/>
      <c r="U114" s="1964"/>
      <c r="V114" s="1964"/>
      <c r="W114" s="1964"/>
      <c r="X114" s="1964"/>
      <c r="Y114" s="1847">
        <f>SUM('HIV-Other HPs'!$U114:$X114)</f>
        <v>0</v>
      </c>
      <c r="Z114" s="1848">
        <f>'HIV-Other HPs'!$T114*'HIV-Other HPs'!$Y114</f>
        <v>0</v>
      </c>
      <c r="AA114" s="1965"/>
      <c r="AB114" s="1964"/>
      <c r="AC114" s="1964"/>
      <c r="AD114" s="1964"/>
      <c r="AE114" s="1964"/>
      <c r="AF114" s="1847">
        <f>SUM('HIV-Other HPs'!$AB114:$AE114)</f>
        <v>0</v>
      </c>
      <c r="AG114" s="1848">
        <f>'HIV-Other HPs'!$AA114*'HIV-Other HPs'!$AF114</f>
        <v>0</v>
      </c>
      <c r="AH114" s="1851">
        <f>'HIV-Other HPs'!$R114+'HIV-Other HPs'!$Y114+'HIV-Other HPs'!$AF114</f>
        <v>0</v>
      </c>
      <c r="AI114" s="1848">
        <f>'HIV-Other HPs'!$S114+'HIV-Other HPs'!$Z114+'HIV-Other HPs'!$AG114</f>
        <v>0</v>
      </c>
      <c r="AJ114" s="1394" t="str">
        <f>IF($A114&lt;&gt;"",IFERROR(INDEX(PMtbl[[WKst]:[Unit of measure*]],MATCH($A$77&amp;$A114&amp;$D114&amp;$G114,INDEX(PMtbl[Sec]&amp;PMtbl[Category]&amp;PMtbl[INN]&amp;PMtbl[Specification],0,),0),7),""),"")</f>
        <v/>
      </c>
      <c r="AK114" s="2514"/>
      <c r="AL114" s="2515"/>
      <c r="AM114" s="1394" t="str">
        <f>IFERROR(INDEX(SETUP!$C$19:$G$62,MATCH((INDEX(PMtbl[[WKst]:[Unit of measure*]],MATCH($A114&amp;$D114&amp;$G114,INDEX(PMtbl[Category]&amp;PMtbl[INN]&amp;PMtbl[Specification],0,),0),3)),SETUP!$D$19:$D$62,0),5),"")</f>
        <v/>
      </c>
      <c r="AN114" s="1394" t="str">
        <f>IFERROR(IF((INDEX(SETUP!$C$19:$G$62,MATCH((INDEX(PMtbl[[WKst]:[Unit of measure*]],MATCH($A114&amp;$D114&amp;$G114,INDEX(PMtbl[Category]&amp;PMtbl[INN]&amp;PMtbl[Specification],0,),0),3)),SETUP!$D$19:$D$62,0),4))="Upfront",0,INDEX(SETUP!$C$19:$G$62,MATCH((INDEX(PMtbl[[WKst]:[Unit of measure*]],MATCH($A114&amp;$D114&amp;$G114,INDEX(PMtbl[Category]&amp;PMtbl[INN]&amp;PMtbl[Specification],0,),0),3)),SETUP!$D$19:$D$62,0),5)),"")</f>
        <v/>
      </c>
      <c r="AR114" s="326"/>
    </row>
    <row r="115" spans="1:6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183"/>
      <c r="AJ115"/>
      <c r="AK115"/>
      <c r="AL115"/>
      <c r="AM115"/>
      <c r="AN115"/>
      <c r="AO115"/>
      <c r="AW115" s="198"/>
      <c r="AX115" s="198"/>
      <c r="AY115" s="198"/>
      <c r="AZ115" s="198"/>
      <c r="BA115" s="198"/>
      <c r="BB115" s="198"/>
      <c r="BC115" s="198"/>
      <c r="BD115" s="198"/>
      <c r="BE115" s="198"/>
      <c r="BF115" s="198"/>
      <c r="BG115" s="198"/>
      <c r="BH115" s="198"/>
      <c r="BI115" s="198"/>
    </row>
    <row r="116" spans="1:61" ht="15" thickBot="1">
      <c r="A116" s="122"/>
      <c r="B116" s="122"/>
      <c r="C116" s="122"/>
      <c r="D116" s="122"/>
      <c r="E116" s="122"/>
      <c r="F116" s="122"/>
      <c r="G116" s="122"/>
      <c r="H116" s="102"/>
      <c r="I116" s="102"/>
      <c r="J116" s="102"/>
      <c r="K116" s="102"/>
      <c r="L116" s="102"/>
      <c r="M116" s="102"/>
      <c r="N116" s="102"/>
      <c r="O116" s="102"/>
      <c r="P116" s="102"/>
      <c r="Q116" s="102"/>
      <c r="R116" s="310"/>
      <c r="S116" s="102"/>
      <c r="T116" s="102"/>
      <c r="U116" s="102"/>
      <c r="V116" s="102"/>
      <c r="W116" s="102"/>
      <c r="X116" s="102"/>
      <c r="Y116" s="102"/>
      <c r="Z116" s="102"/>
      <c r="AA116" s="102"/>
      <c r="AB116" s="102"/>
      <c r="AC116" s="72"/>
      <c r="AD116" s="72"/>
      <c r="AE116" s="72"/>
      <c r="AF116" s="72"/>
      <c r="AG116" s="72"/>
      <c r="AH116" s="82"/>
      <c r="AL116" s="324"/>
      <c r="AM116" s="1492"/>
    </row>
    <row r="117" spans="1:61" ht="15" customHeight="1">
      <c r="A117" s="2471">
        <v>4</v>
      </c>
      <c r="B117" s="2472" t="s">
        <v>2500</v>
      </c>
      <c r="C117" s="2472"/>
      <c r="D117" s="2472"/>
      <c r="E117" s="2261" t="s">
        <v>1457</v>
      </c>
      <c r="F117" s="2261"/>
      <c r="G117" s="2261"/>
      <c r="H117" s="2234" t="s">
        <v>226</v>
      </c>
      <c r="I117" s="2339" t="s">
        <v>214</v>
      </c>
      <c r="J117" s="2234" t="s">
        <v>215</v>
      </c>
      <c r="K117" s="102"/>
      <c r="L117" s="102"/>
      <c r="M117" s="78"/>
      <c r="N117" s="78"/>
      <c r="O117" s="78"/>
      <c r="P117" s="78"/>
      <c r="Q117" s="78"/>
      <c r="R117" s="78"/>
      <c r="S117" s="78"/>
      <c r="T117" s="78"/>
      <c r="U117" s="78"/>
      <c r="V117" s="78"/>
      <c r="W117" s="78"/>
      <c r="X117" s="78"/>
      <c r="Y117" s="78"/>
      <c r="Z117" s="78"/>
      <c r="AA117" s="78"/>
      <c r="AB117" s="78"/>
      <c r="AC117" s="78"/>
      <c r="AD117" s="78"/>
      <c r="AE117" s="78"/>
      <c r="AF117" s="78"/>
      <c r="AG117" s="78"/>
      <c r="AH117" s="82"/>
      <c r="AL117" s="324"/>
      <c r="AM117" s="1492"/>
    </row>
    <row r="118" spans="1:61" ht="15" customHeight="1" thickBot="1">
      <c r="A118" s="2471"/>
      <c r="B118" s="2472"/>
      <c r="C118" s="2472"/>
      <c r="D118" s="2472"/>
      <c r="E118" s="90"/>
      <c r="F118" s="90"/>
      <c r="G118" s="90"/>
      <c r="H118" s="2235"/>
      <c r="I118" s="2340"/>
      <c r="J118" s="2235"/>
      <c r="K118" s="102"/>
      <c r="L118" s="102"/>
      <c r="M118" s="78"/>
      <c r="N118" s="78"/>
      <c r="O118" s="78"/>
      <c r="P118" s="78"/>
      <c r="Q118" s="78"/>
      <c r="R118" s="78"/>
      <c r="S118" s="78"/>
      <c r="T118" s="78"/>
      <c r="U118" s="78"/>
      <c r="V118" s="78"/>
      <c r="W118" s="78"/>
      <c r="X118" s="78"/>
      <c r="Y118" s="78"/>
      <c r="Z118" s="78"/>
      <c r="AA118" s="78"/>
      <c r="AB118" s="78"/>
      <c r="AC118" s="78"/>
      <c r="AD118" s="78"/>
      <c r="AE118" s="78"/>
      <c r="AF118" s="78"/>
      <c r="AG118" s="78"/>
      <c r="AH118" s="82"/>
      <c r="AL118" s="324"/>
      <c r="AM118" s="1492"/>
    </row>
    <row r="119" spans="1:61" ht="109.15" customHeight="1">
      <c r="A119" s="2348" t="str">
        <f>IF($L$1=2,Language!$E$256,IF($L$1=3,Language!$F$256,Language!$G$256))</f>
        <v>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19" s="2349"/>
      <c r="C119" s="2349"/>
      <c r="D119" s="2349"/>
      <c r="E119" s="2349"/>
      <c r="F119" s="2349"/>
      <c r="G119" s="2349"/>
      <c r="H119" s="2349"/>
      <c r="I119" s="2349"/>
      <c r="J119" s="2349"/>
      <c r="K119" s="2349"/>
      <c r="L119" s="2349"/>
      <c r="M119" s="2350"/>
      <c r="N119" s="78"/>
      <c r="O119" s="78"/>
      <c r="P119" s="78"/>
      <c r="Q119" s="78"/>
      <c r="R119" s="78"/>
      <c r="S119" s="78"/>
      <c r="T119" s="78"/>
      <c r="U119" s="78"/>
      <c r="V119" s="78"/>
      <c r="W119" s="78"/>
      <c r="X119" s="78"/>
      <c r="Y119" s="78"/>
      <c r="Z119" s="78"/>
      <c r="AA119" s="78"/>
      <c r="AB119" s="78"/>
      <c r="AC119" s="78"/>
      <c r="AD119" s="78"/>
      <c r="AE119" s="78"/>
      <c r="AF119" s="78"/>
      <c r="AG119" s="78"/>
      <c r="AH119" s="82"/>
      <c r="AL119" s="324"/>
      <c r="AM119" s="1492"/>
    </row>
    <row r="120" spans="1:61" ht="15" thickBo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119"/>
      <c r="AL120" s="382"/>
      <c r="AM120" s="1492"/>
    </row>
    <row r="121" spans="1:61">
      <c r="A121" s="2310" t="str">
        <f>A81</f>
        <v>Categoría</v>
      </c>
      <c r="B121" s="2312"/>
      <c r="C121" s="2312"/>
      <c r="D121" s="2310" t="str">
        <f t="shared" ref="D121" si="21">D81</f>
        <v>Tipo de producto</v>
      </c>
      <c r="E121" s="2312"/>
      <c r="F121" s="2312"/>
      <c r="G121" s="2310" t="str">
        <f t="shared" ref="G121" si="22">G81</f>
        <v>Especificaciones (tamaño, características, tamaño del empaque)</v>
      </c>
      <c r="H121" s="2312"/>
      <c r="I121" s="2312"/>
      <c r="J121" s="2374">
        <f t="shared" ref="J121" si="23">J81</f>
        <v>0</v>
      </c>
      <c r="K121" s="2316" t="str">
        <f>K81</f>
        <v>Unidad de medida</v>
      </c>
      <c r="L121" s="2405" t="str">
        <f>L81</f>
        <v>Moneda de pago</v>
      </c>
      <c r="M121" s="2503">
        <f>M81</f>
        <v>2022</v>
      </c>
      <c r="N121" s="2428"/>
      <c r="O121" s="2428"/>
      <c r="P121" s="2428"/>
      <c r="Q121" s="2428"/>
      <c r="R121" s="2428"/>
      <c r="S121" s="2428"/>
      <c r="T121" s="2503">
        <f>T81</f>
        <v>2023</v>
      </c>
      <c r="U121" s="2428"/>
      <c r="V121" s="2428"/>
      <c r="W121" s="2428"/>
      <c r="X121" s="2428"/>
      <c r="Y121" s="2428"/>
      <c r="Z121" s="2428"/>
      <c r="AA121" s="2503">
        <f>AA81</f>
        <v>2024</v>
      </c>
      <c r="AB121" s="2428"/>
      <c r="AC121" s="2428"/>
      <c r="AD121" s="2428"/>
      <c r="AE121" s="2428"/>
      <c r="AF121" s="2428"/>
      <c r="AG121" s="2428"/>
      <c r="AH121" s="2310" t="str">
        <f>AH81</f>
        <v>Total del período de subvención</v>
      </c>
      <c r="AI121" s="2374"/>
      <c r="AJ121" s="451" t="str">
        <f>AJ81</f>
        <v>Finanzas</v>
      </c>
      <c r="AK121" s="2310" t="str">
        <f>AK81</f>
        <v>Comentarios</v>
      </c>
      <c r="AL121" s="2374"/>
      <c r="AM121" s="2295" t="str">
        <f>VLOOKUP("Delivery Lead Time",Language!$D$149:$G$289,$L$1,FALSE)</f>
        <v>Plazo de entrega</v>
      </c>
      <c r="AN121" s="2295" t="s">
        <v>3055</v>
      </c>
    </row>
    <row r="122" spans="1:61" s="325" customFormat="1" ht="26.5" thickBot="1">
      <c r="A122" s="2390"/>
      <c r="B122" s="2388"/>
      <c r="C122" s="2388"/>
      <c r="D122" s="2390"/>
      <c r="E122" s="2388"/>
      <c r="F122" s="2388"/>
      <c r="G122" s="2390"/>
      <c r="H122" s="2388"/>
      <c r="I122" s="2388"/>
      <c r="J122" s="2452"/>
      <c r="K122" s="2421"/>
      <c r="L122" s="2406"/>
      <c r="M122" s="1828" t="str">
        <f>M82</f>
        <v>Costo unitario del A1</v>
      </c>
      <c r="N122" s="1821" t="str">
        <f t="shared" ref="N122:AJ122" si="24">N82</f>
        <v>Cantidad del A1, T1</v>
      </c>
      <c r="O122" s="1821" t="str">
        <f t="shared" si="24"/>
        <v>Cantidad del A1, T2</v>
      </c>
      <c r="P122" s="1821" t="str">
        <f t="shared" si="24"/>
        <v>Cantidad del A1, T3</v>
      </c>
      <c r="Q122" s="1821" t="str">
        <f t="shared" si="24"/>
        <v>Cantidad del A1, T4</v>
      </c>
      <c r="R122" s="1821" t="str">
        <f t="shared" si="24"/>
        <v>Cantidad total del A1</v>
      </c>
      <c r="S122" s="1829" t="str">
        <f t="shared" si="24"/>
        <v>Costo total del A1</v>
      </c>
      <c r="T122" s="1830" t="str">
        <f t="shared" si="24"/>
        <v>Costo unitario del A2</v>
      </c>
      <c r="U122" s="1821" t="str">
        <f t="shared" si="24"/>
        <v>Cantidad del A2, T1</v>
      </c>
      <c r="V122" s="1821" t="str">
        <f t="shared" si="24"/>
        <v>Cantidad del A2, T2</v>
      </c>
      <c r="W122" s="1821" t="str">
        <f t="shared" si="24"/>
        <v>Cantidad del A2, T3</v>
      </c>
      <c r="X122" s="1821" t="str">
        <f t="shared" si="24"/>
        <v>Cantidad del A2, T4</v>
      </c>
      <c r="Y122" s="1839" t="str">
        <f t="shared" si="24"/>
        <v>Cantidad total del A2</v>
      </c>
      <c r="Z122" s="1829" t="str">
        <f t="shared" si="24"/>
        <v>Costo total del A2</v>
      </c>
      <c r="AA122" s="1830" t="str">
        <f t="shared" si="24"/>
        <v>Costo unitario del A3</v>
      </c>
      <c r="AB122" s="1821" t="str">
        <f t="shared" si="24"/>
        <v>Cantidad del A3, T1</v>
      </c>
      <c r="AC122" s="1821" t="str">
        <f t="shared" si="24"/>
        <v>Cantidad del A3, T2</v>
      </c>
      <c r="AD122" s="1821" t="str">
        <f t="shared" si="24"/>
        <v>Cantidad del A3, T3</v>
      </c>
      <c r="AE122" s="1821" t="str">
        <f t="shared" si="24"/>
        <v>Cantidad del A3, T4</v>
      </c>
      <c r="AF122" s="1839" t="str">
        <f t="shared" si="24"/>
        <v>Cantidad total del A3</v>
      </c>
      <c r="AG122" s="1829" t="str">
        <f t="shared" si="24"/>
        <v>Costo total del A3</v>
      </c>
      <c r="AH122" s="1852" t="str">
        <f t="shared" si="24"/>
        <v>Cantidad total</v>
      </c>
      <c r="AI122" s="1829" t="str">
        <f t="shared" si="24"/>
        <v xml:space="preserve">Costo total </v>
      </c>
      <c r="AJ122" s="1833" t="str">
        <f t="shared" si="24"/>
        <v>Categoría de costos</v>
      </c>
      <c r="AK122" s="2390"/>
      <c r="AL122" s="2452"/>
      <c r="AM122" s="2296"/>
      <c r="AN122" s="2296"/>
      <c r="AO122" s="326"/>
      <c r="AW122" s="62"/>
      <c r="AX122" s="62"/>
      <c r="AY122" s="62"/>
      <c r="AZ122" s="62"/>
      <c r="BA122" s="62"/>
      <c r="BB122" s="62"/>
      <c r="BC122" s="62"/>
      <c r="BD122" s="62"/>
      <c r="BE122" s="62"/>
      <c r="BF122" s="62"/>
      <c r="BG122" s="62"/>
      <c r="BH122" s="62"/>
      <c r="BI122" s="62"/>
    </row>
    <row r="123" spans="1:61" s="326" customFormat="1">
      <c r="A123" s="2377" t="s">
        <v>1455</v>
      </c>
      <c r="B123" s="2302"/>
      <c r="C123" s="2302"/>
      <c r="D123" s="2445" t="s">
        <v>1024</v>
      </c>
      <c r="E123" s="2446"/>
      <c r="F123" s="2446"/>
      <c r="G123" s="2473" t="s">
        <v>2700</v>
      </c>
      <c r="H123" s="2474"/>
      <c r="I123" s="2474"/>
      <c r="J123" s="2475"/>
      <c r="K123" s="212" t="str">
        <f>IF($A123&lt;&gt;"",IFERROR(INDEX(PMsheet!$B:$I,MATCH($A$117&amp;$A123&amp;$D123&amp;$G123,INDEX(PMsheet!$C:$C&amp;PMsheet!$E:$E&amp;PMsheet!$F:$F&amp;PMsheet!$G:$G,0,),0),8),""),"")</f>
        <v>Pack</v>
      </c>
      <c r="L123" s="204" t="str">
        <f>IF(K123="", "",SETUP!$E$5)</f>
        <v>USD</v>
      </c>
      <c r="M123" s="1959">
        <v>16.5</v>
      </c>
      <c r="N123" s="1943"/>
      <c r="O123" s="1943"/>
      <c r="P123" s="1943">
        <v>466</v>
      </c>
      <c r="Q123" s="1943"/>
      <c r="R123" s="1805">
        <f>SUM('HIV-Other HPs'!$N123:$Q123)</f>
        <v>466</v>
      </c>
      <c r="S123" s="1806">
        <f>'HIV-Other HPs'!$M123*'HIV-Other HPs'!$R123</f>
        <v>7689</v>
      </c>
      <c r="T123" s="1959">
        <v>16.5</v>
      </c>
      <c r="U123" s="1943"/>
      <c r="V123" s="1943">
        <v>389</v>
      </c>
      <c r="W123" s="1943"/>
      <c r="X123" s="1943"/>
      <c r="Y123" s="1805">
        <f>SUM('HIV-Other HPs'!$U123:$X123)</f>
        <v>389</v>
      </c>
      <c r="Z123" s="1806">
        <f>'HIV-Other HPs'!$T123*'HIV-Other HPs'!$Y123</f>
        <v>6418.5</v>
      </c>
      <c r="AA123" s="1959">
        <v>16.5</v>
      </c>
      <c r="AB123" s="1943"/>
      <c r="AC123" s="1943">
        <v>312</v>
      </c>
      <c r="AD123" s="1943"/>
      <c r="AE123" s="1943"/>
      <c r="AF123" s="1805">
        <f>SUM('HIV-Other HPs'!$AB123:$AE123)</f>
        <v>312</v>
      </c>
      <c r="AG123" s="1806">
        <f>'HIV-Other HPs'!$AA123*'HIV-Other HPs'!$AF123</f>
        <v>5148</v>
      </c>
      <c r="AH123" s="1807">
        <f>'HIV-Other HPs'!$R123+'HIV-Other HPs'!$Y123+'HIV-Other HPs'!$AF123</f>
        <v>1167</v>
      </c>
      <c r="AI123" s="1806">
        <f>'HIV-Other HPs'!$S123+'HIV-Other HPs'!$Z123+'HIV-Other HPs'!$AG123</f>
        <v>19255.5</v>
      </c>
      <c r="AJ123" s="1835">
        <f>IF($A123&lt;&gt;"",IFERROR(INDEX(PMtbl[[WKst]:[Unit of measure*]],MATCH($A$117&amp;$A123&amp;$D123&amp;$G123,INDEX(PMtbl[Sec]&amp;PMtbl[Category]&amp;PMtbl[INN]&amp;PMtbl[Specification],0,),0),7),""),"")</f>
        <v>5.6</v>
      </c>
      <c r="AK123" s="2512" t="s">
        <v>4281</v>
      </c>
      <c r="AL123" s="2513"/>
      <c r="AM123" s="1390">
        <f>IFERROR(INDEX(SETUP!$C$19:$G$62,MATCH((INDEX(PMtbl[[WKst]:[Unit of measure*]],MATCH($A123&amp;$D123&amp;$G123,INDEX(PMtbl[Category]&amp;PMtbl[INN]&amp;PMtbl[Specification],0,),0),3)),SETUP!$D$19:$D$62,0),5),"")</f>
        <v>0</v>
      </c>
      <c r="AN123" s="1390">
        <f>IFERROR(IF((INDEX(SETUP!$C$19:$G$62,MATCH((INDEX(PMtbl[[WKst]:[Unit of measure*]],MATCH($A123&amp;$D123&amp;$G123,INDEX(PMtbl[Category]&amp;PMtbl[INN]&amp;PMtbl[Specification],0,),0),3)),SETUP!$D$19:$D$62,0),4))="Upfront",0,INDEX(SETUP!$C$19:$G$62,MATCH((INDEX(PMtbl[[WKst]:[Unit of measure*]],MATCH($A123&amp;$D123&amp;$G123,INDEX(PMtbl[Category]&amp;PMtbl[INN]&amp;PMtbl[Specification],0,),0),3)),SETUP!$D$19:$D$62,0),5)),"")</f>
        <v>0</v>
      </c>
      <c r="AP123" s="1398"/>
      <c r="AW123" s="325"/>
      <c r="AX123" s="325"/>
      <c r="AY123" s="325"/>
      <c r="AZ123" s="325"/>
      <c r="BA123" s="325"/>
      <c r="BB123" s="325"/>
      <c r="BC123" s="325"/>
      <c r="BD123" s="325"/>
      <c r="BE123" s="325"/>
      <c r="BF123" s="325"/>
      <c r="BG123" s="325"/>
      <c r="BH123" s="325"/>
      <c r="BI123" s="325"/>
    </row>
    <row r="124" spans="1:61" s="198" customFormat="1">
      <c r="A124" s="2455" t="s">
        <v>1455</v>
      </c>
      <c r="B124" s="2435"/>
      <c r="C124" s="2435"/>
      <c r="D124" s="2455" t="s">
        <v>1024</v>
      </c>
      <c r="E124" s="2476"/>
      <c r="F124" s="2476"/>
      <c r="G124" s="2461" t="s">
        <v>2700</v>
      </c>
      <c r="H124" s="2462"/>
      <c r="I124" s="2462"/>
      <c r="J124" s="2463"/>
      <c r="K124" s="213" t="str">
        <f>IF($A124&lt;&gt;"",IFERROR(INDEX(PMsheet!$B:$I,MATCH($A$117&amp;$A124&amp;$D124&amp;$G124,INDEX(PMsheet!$C:$C&amp;PMsheet!$E:$E&amp;PMsheet!$F:$F&amp;PMsheet!$G:$G,0,),0),8),""),"")</f>
        <v>Pack</v>
      </c>
      <c r="L124" s="211" t="str">
        <f>IF(K124="", "",SETUP!$E$5)</f>
        <v>USD</v>
      </c>
      <c r="M124" s="1947">
        <v>37.770000000000003</v>
      </c>
      <c r="N124" s="12"/>
      <c r="O124" s="12"/>
      <c r="P124" s="12">
        <v>950</v>
      </c>
      <c r="Q124" s="12"/>
      <c r="R124" s="1809">
        <f>SUM('HIV-Other HPs'!$N124:$Q124)</f>
        <v>950</v>
      </c>
      <c r="S124" s="1810">
        <f>'HIV-Other HPs'!$M124*'HIV-Other HPs'!$R124</f>
        <v>35881.5</v>
      </c>
      <c r="T124" s="1947">
        <v>37.770000000000003</v>
      </c>
      <c r="U124" s="12"/>
      <c r="V124" s="12">
        <v>950</v>
      </c>
      <c r="W124" s="12"/>
      <c r="X124" s="12"/>
      <c r="Y124" s="1809">
        <f>SUM('HIV-Other HPs'!$U124:$X124)</f>
        <v>950</v>
      </c>
      <c r="Z124" s="1810">
        <f>'HIV-Other HPs'!$T124*'HIV-Other HPs'!$Y124</f>
        <v>35881.5</v>
      </c>
      <c r="AA124" s="1947">
        <v>37.770000000000003</v>
      </c>
      <c r="AB124" s="12"/>
      <c r="AC124" s="12">
        <v>950</v>
      </c>
      <c r="AD124" s="12"/>
      <c r="AE124" s="12"/>
      <c r="AF124" s="1809">
        <f>SUM('HIV-Other HPs'!$AB124:$AE124)</f>
        <v>950</v>
      </c>
      <c r="AG124" s="1810">
        <f>'HIV-Other HPs'!$AA124*'HIV-Other HPs'!$AF124</f>
        <v>35881.5</v>
      </c>
      <c r="AH124" s="1811">
        <f>'HIV-Other HPs'!$R124+'HIV-Other HPs'!$Y124+'HIV-Other HPs'!$AF124</f>
        <v>2850</v>
      </c>
      <c r="AI124" s="1810">
        <f>'HIV-Other HPs'!$S124+'HIV-Other HPs'!$Z124+'HIV-Other HPs'!$AG124</f>
        <v>107644.5</v>
      </c>
      <c r="AJ124" s="1391">
        <f>IF($A124&lt;&gt;"",IFERROR(INDEX(PMtbl[[WKst]:[Unit of measure*]],MATCH($A$117&amp;$A124&amp;$D124&amp;$G124,INDEX(PMtbl[Sec]&amp;PMtbl[Category]&amp;PMtbl[INN]&amp;PMtbl[Specification],0,),0),7),""),"")</f>
        <v>5.6</v>
      </c>
      <c r="AK124" s="2508" t="s">
        <v>4270</v>
      </c>
      <c r="AL124" s="2509"/>
      <c r="AM124" s="1391">
        <f>IFERROR(INDEX(SETUP!$C$19:$G$62,MATCH((INDEX(PMtbl[[WKst]:[Unit of measure*]],MATCH($A124&amp;$D124&amp;$G124,INDEX(PMtbl[Category]&amp;PMtbl[INN]&amp;PMtbl[Specification],0,),0),3)),SETUP!$D$19:$D$62,0),5),"")</f>
        <v>0</v>
      </c>
      <c r="AN124" s="1391">
        <f>IFERROR(IF((INDEX(SETUP!$C$19:$G$62,MATCH((INDEX(PMtbl[[WKst]:[Unit of measure*]],MATCH($A124&amp;$D124&amp;$G124,INDEX(PMtbl[Category]&amp;PMtbl[INN]&amp;PMtbl[Specification],0,),0),3)),SETUP!$D$19:$D$62,0),4))="Upfront",0,INDEX(SETUP!$C$19:$G$62,MATCH((INDEX(PMtbl[[WKst]:[Unit of measure*]],MATCH($A124&amp;$D124&amp;$G124,INDEX(PMtbl[Category]&amp;PMtbl[INN]&amp;PMtbl[Specification],0,),0),3)),SETUP!$D$19:$D$62,0),5)),"")</f>
        <v>0</v>
      </c>
      <c r="AW124" s="326"/>
      <c r="AX124" s="326"/>
      <c r="AY124" s="326"/>
      <c r="AZ124" s="326"/>
      <c r="BA124" s="326"/>
      <c r="BB124" s="326"/>
      <c r="BC124" s="326"/>
      <c r="BD124" s="326"/>
      <c r="BE124" s="326"/>
      <c r="BF124" s="326"/>
      <c r="BG124" s="326"/>
      <c r="BH124" s="326"/>
      <c r="BI124" s="326"/>
    </row>
    <row r="125" spans="1:61" s="198" customFormat="1">
      <c r="A125" s="2377" t="s">
        <v>1455</v>
      </c>
      <c r="B125" s="2302"/>
      <c r="C125" s="2302"/>
      <c r="D125" s="2377" t="s">
        <v>1024</v>
      </c>
      <c r="E125" s="2470"/>
      <c r="F125" s="2470"/>
      <c r="G125" s="2464" t="s">
        <v>2700</v>
      </c>
      <c r="H125" s="2465"/>
      <c r="I125" s="2465"/>
      <c r="J125" s="2466"/>
      <c r="K125" s="209" t="str">
        <f>IF($A125&lt;&gt;"",IFERROR(INDEX(PMsheet!$B:$I,MATCH($A$117&amp;$A125&amp;$D125&amp;$G125,INDEX(PMsheet!$C:$C&amp;PMsheet!$E:$E&amp;PMsheet!$F:$F&amp;PMsheet!$G:$G,0,),0),8),""),"")</f>
        <v>Pack</v>
      </c>
      <c r="L125" s="204" t="str">
        <f>IF(K125="", "",SETUP!$E$5)</f>
        <v>USD</v>
      </c>
      <c r="M125" s="1948">
        <v>37.770000000000003</v>
      </c>
      <c r="N125" s="1946"/>
      <c r="O125" s="1946"/>
      <c r="P125" s="1946">
        <v>950</v>
      </c>
      <c r="Q125" s="1946"/>
      <c r="R125" s="1812">
        <f>SUM('HIV-Other HPs'!$N125:$Q125)</f>
        <v>950</v>
      </c>
      <c r="S125" s="1813">
        <f>'HIV-Other HPs'!$M125*'HIV-Other HPs'!$R125</f>
        <v>35881.5</v>
      </c>
      <c r="T125" s="1948">
        <v>37.770000000000003</v>
      </c>
      <c r="U125" s="1946"/>
      <c r="V125" s="1946">
        <v>950</v>
      </c>
      <c r="W125" s="1946"/>
      <c r="X125" s="1946"/>
      <c r="Y125" s="1812">
        <f>SUM('HIV-Other HPs'!$U125:$X125)</f>
        <v>950</v>
      </c>
      <c r="Z125" s="1813">
        <f>'HIV-Other HPs'!$T125*'HIV-Other HPs'!$Y125</f>
        <v>35881.5</v>
      </c>
      <c r="AA125" s="1948">
        <v>37.770000000000003</v>
      </c>
      <c r="AB125" s="1946"/>
      <c r="AC125" s="1946">
        <v>950</v>
      </c>
      <c r="AD125" s="1946"/>
      <c r="AE125" s="1946"/>
      <c r="AF125" s="1812">
        <f>SUM('HIV-Other HPs'!$AB125:$AE125)</f>
        <v>950</v>
      </c>
      <c r="AG125" s="1813">
        <f>'HIV-Other HPs'!$AA125*'HIV-Other HPs'!$AF125</f>
        <v>35881.5</v>
      </c>
      <c r="AH125" s="1814">
        <f>'HIV-Other HPs'!$R125+'HIV-Other HPs'!$Y125+'HIV-Other HPs'!$AF125</f>
        <v>2850</v>
      </c>
      <c r="AI125" s="1813">
        <f>'HIV-Other HPs'!$S125+'HIV-Other HPs'!$Z125+'HIV-Other HPs'!$AG125</f>
        <v>107644.5</v>
      </c>
      <c r="AJ125" s="1390">
        <f>IF($A125&lt;&gt;"",IFERROR(INDEX(PMtbl[[WKst]:[Unit of measure*]],MATCH($A$117&amp;$A125&amp;$D125&amp;$G125,INDEX(PMtbl[Sec]&amp;PMtbl[Category]&amp;PMtbl[INN]&amp;PMtbl[Specification],0,),0),7),""),"")</f>
        <v>5.6</v>
      </c>
      <c r="AK125" s="2510" t="s">
        <v>4271</v>
      </c>
      <c r="AL125" s="2511"/>
      <c r="AM125" s="1390">
        <f>IFERROR(INDEX(SETUP!$C$19:$G$62,MATCH((INDEX(PMtbl[[WKst]:[Unit of measure*]],MATCH($A125&amp;$D125&amp;$G125,INDEX(PMtbl[Category]&amp;PMtbl[INN]&amp;PMtbl[Specification],0,),0),3)),SETUP!$D$19:$D$62,0),5),"")</f>
        <v>0</v>
      </c>
      <c r="AN125" s="1390">
        <f>IFERROR(IF((INDEX(SETUP!$C$19:$G$62,MATCH((INDEX(PMtbl[[WKst]:[Unit of measure*]],MATCH($A125&amp;$D125&amp;$G125,INDEX(PMtbl[Category]&amp;PMtbl[INN]&amp;PMtbl[Specification],0,),0),3)),SETUP!$D$19:$D$62,0),4))="Upfront",0,INDEX(SETUP!$C$19:$G$62,MATCH((INDEX(PMtbl[[WKst]:[Unit of measure*]],MATCH($A125&amp;$D125&amp;$G125,INDEX(PMtbl[Category]&amp;PMtbl[INN]&amp;PMtbl[Specification],0,),0),3)),SETUP!$D$19:$D$62,0),5)),"")</f>
        <v>0</v>
      </c>
    </row>
    <row r="126" spans="1:61" s="198" customFormat="1" ht="15" thickBot="1">
      <c r="A126" s="2455" t="s">
        <v>1455</v>
      </c>
      <c r="B126" s="2435"/>
      <c r="C126" s="2435"/>
      <c r="D126" s="2455" t="s">
        <v>1024</v>
      </c>
      <c r="E126" s="2435"/>
      <c r="F126" s="2435"/>
      <c r="G126" s="2461" t="s">
        <v>2700</v>
      </c>
      <c r="H126" s="2462"/>
      <c r="I126" s="2462"/>
      <c r="J126" s="2463"/>
      <c r="K126" s="213" t="str">
        <f>IF($A126&lt;&gt;"",IFERROR(INDEX(PMsheet!$B:$I,MATCH($A$117&amp;$A126&amp;$D126&amp;$G126,INDEX(PMsheet!$C:$C&amp;PMsheet!$E:$E&amp;PMsheet!$F:$F&amp;PMsheet!$G:$G,0,),0),8),""),"")</f>
        <v>Pack</v>
      </c>
      <c r="L126" s="206" t="str">
        <f>IF(K126="", "",SETUP!$E$5)</f>
        <v>USD</v>
      </c>
      <c r="M126" s="1947">
        <v>29</v>
      </c>
      <c r="N126" s="12"/>
      <c r="O126" s="12"/>
      <c r="P126" s="12">
        <v>7165</v>
      </c>
      <c r="Q126" s="12"/>
      <c r="R126" s="1809">
        <f>SUM('HIV-Other HPs'!$N126:$Q126)</f>
        <v>7165</v>
      </c>
      <c r="S126" s="1810">
        <f>'HIV-Other HPs'!$M126*'HIV-Other HPs'!$R126</f>
        <v>207785</v>
      </c>
      <c r="T126" s="1947">
        <v>29</v>
      </c>
      <c r="U126" s="12"/>
      <c r="V126" s="12">
        <v>8480</v>
      </c>
      <c r="W126" s="12"/>
      <c r="X126" s="2075"/>
      <c r="Y126" s="1809">
        <f>SUM('HIV-Other HPs'!$U126:$X126)</f>
        <v>8480</v>
      </c>
      <c r="Z126" s="1810">
        <f>'HIV-Other HPs'!$T126*'HIV-Other HPs'!$Y126</f>
        <v>245920</v>
      </c>
      <c r="AA126" s="1947">
        <v>29</v>
      </c>
      <c r="AB126" s="12"/>
      <c r="AC126" s="12">
        <v>10111</v>
      </c>
      <c r="AD126" s="12"/>
      <c r="AE126" s="12"/>
      <c r="AF126" s="1809">
        <f>SUM('HIV-Other HPs'!$AB126:$AE126)</f>
        <v>10111</v>
      </c>
      <c r="AG126" s="1810">
        <f>'HIV-Other HPs'!$AA126*'HIV-Other HPs'!$AF126</f>
        <v>293219</v>
      </c>
      <c r="AH126" s="1811">
        <f>'HIV-Other HPs'!$R126+'HIV-Other HPs'!$Y126+'HIV-Other HPs'!$AF126</f>
        <v>25756</v>
      </c>
      <c r="AI126" s="1810">
        <f>'HIV-Other HPs'!$S126+'HIV-Other HPs'!$Z126+'HIV-Other HPs'!$AG126</f>
        <v>746924</v>
      </c>
      <c r="AJ126" s="1391">
        <f>IF($A126&lt;&gt;"",IFERROR(INDEX(PMtbl[[WKst]:[Unit of measure*]],MATCH($A$117&amp;$A126&amp;$D126&amp;$G126,INDEX(PMtbl[Sec]&amp;PMtbl[Category]&amp;PMtbl[INN]&amp;PMtbl[Specification],0,),0),7),""),"")</f>
        <v>5.6</v>
      </c>
      <c r="AK126" s="2075" t="s">
        <v>4273</v>
      </c>
      <c r="AL126" s="2075" t="s">
        <v>4272</v>
      </c>
      <c r="AM126" s="1391">
        <f>IFERROR(INDEX(SETUP!$C$19:$G$62,MATCH((INDEX(PMtbl[[WKst]:[Unit of measure*]],MATCH($A126&amp;$D126&amp;$G126,INDEX(PMtbl[Category]&amp;PMtbl[INN]&amp;PMtbl[Specification],0,),0),3)),SETUP!$D$19:$D$62,0),5),"")</f>
        <v>0</v>
      </c>
      <c r="AN126" s="1391">
        <f>IFERROR(IF((INDEX(SETUP!$C$19:$G$62,MATCH((INDEX(PMtbl[[WKst]:[Unit of measure*]],MATCH($A126&amp;$D126&amp;$G126,INDEX(PMtbl[Category]&amp;PMtbl[INN]&amp;PMtbl[Specification],0,),0),3)),SETUP!$D$19:$D$62,0),4))="Upfront",0,INDEX(SETUP!$C$19:$G$62,MATCH((INDEX(PMtbl[[WKst]:[Unit of measure*]],MATCH($A126&amp;$D126&amp;$G126,INDEX(PMtbl[Category]&amp;PMtbl[INN]&amp;PMtbl[Specification],0,),0),3)),SETUP!$D$19:$D$62,0),5)),"")</f>
        <v>0</v>
      </c>
    </row>
    <row r="127" spans="1:61" s="198" customFormat="1">
      <c r="A127" s="2377" t="s">
        <v>1455</v>
      </c>
      <c r="B127" s="2302"/>
      <c r="C127" s="2302"/>
      <c r="D127" s="2377" t="s">
        <v>1024</v>
      </c>
      <c r="E127" s="2470"/>
      <c r="F127" s="2470"/>
      <c r="G127" s="2464" t="s">
        <v>2700</v>
      </c>
      <c r="H127" s="2465"/>
      <c r="I127" s="2465"/>
      <c r="J127" s="2466"/>
      <c r="K127" s="209" t="str">
        <f>IF($A127&lt;&gt;"",IFERROR(INDEX(PMsheet!$B:$I,MATCH($A$117&amp;$A127&amp;$D127&amp;$G127,INDEX(PMsheet!$C:$C&amp;PMsheet!$E:$E&amp;PMsheet!$F:$F&amp;PMsheet!$G:$G,0,),0),8),""),"")</f>
        <v>Pack</v>
      </c>
      <c r="L127" s="204" t="str">
        <f>IF(K127="", "",SETUP!$E$5)</f>
        <v>USD</v>
      </c>
      <c r="M127" s="1948">
        <v>29</v>
      </c>
      <c r="N127" s="1946"/>
      <c r="O127" s="1946"/>
      <c r="P127" s="1946">
        <v>7165</v>
      </c>
      <c r="Q127" s="1946"/>
      <c r="R127" s="1812">
        <f>SUM('HIV-Other HPs'!$N127:$Q127)</f>
        <v>7165</v>
      </c>
      <c r="S127" s="1813">
        <f>'HIV-Other HPs'!$M127*'HIV-Other HPs'!$R127</f>
        <v>207785</v>
      </c>
      <c r="T127" s="1948">
        <v>29</v>
      </c>
      <c r="U127" s="1946"/>
      <c r="V127" s="1946">
        <v>8480</v>
      </c>
      <c r="W127" s="1946"/>
      <c r="X127" s="1946"/>
      <c r="Y127" s="1812">
        <f>SUM('HIV-Other HPs'!$U127:$X127)</f>
        <v>8480</v>
      </c>
      <c r="Z127" s="1813">
        <f>'HIV-Other HPs'!$T127*'HIV-Other HPs'!$Y127</f>
        <v>245920</v>
      </c>
      <c r="AA127" s="1948">
        <v>29</v>
      </c>
      <c r="AB127" s="1946"/>
      <c r="AC127" s="1946">
        <v>10111</v>
      </c>
      <c r="AD127" s="1946"/>
      <c r="AE127" s="1946"/>
      <c r="AF127" s="1812">
        <f>SUM('HIV-Other HPs'!$AB127:$AE127)</f>
        <v>10111</v>
      </c>
      <c r="AG127" s="1813">
        <f>'HIV-Other HPs'!$AA127*'HIV-Other HPs'!$AF127</f>
        <v>293219</v>
      </c>
      <c r="AH127" s="1814">
        <f>'HIV-Other HPs'!$R127+'HIV-Other HPs'!$Y127+'HIV-Other HPs'!$AF127</f>
        <v>25756</v>
      </c>
      <c r="AI127" s="1813">
        <f>'HIV-Other HPs'!$S127+'HIV-Other HPs'!$Z127+'HIV-Other HPs'!$AG127</f>
        <v>746924</v>
      </c>
      <c r="AJ127" s="1390">
        <f>IF($A127&lt;&gt;"",IFERROR(INDEX(PMtbl[[WKst]:[Unit of measure*]],MATCH($A$117&amp;$A127&amp;$D127&amp;$G127,INDEX(PMtbl[Sec]&amp;PMtbl[Category]&amp;PMtbl[INN]&amp;PMtbl[Specification],0,),0),7),""),"")</f>
        <v>5.6</v>
      </c>
      <c r="AK127" s="2512" t="s">
        <v>4274</v>
      </c>
      <c r="AL127" s="2513"/>
      <c r="AM127" s="1390">
        <f>IFERROR(INDEX(SETUP!$C$19:$G$62,MATCH((INDEX(PMtbl[[WKst]:[Unit of measure*]],MATCH($A127&amp;$D127&amp;$G127,INDEX(PMtbl[Category]&amp;PMtbl[INN]&amp;PMtbl[Specification],0,),0),3)),SETUP!$D$19:$D$62,0),5),"")</f>
        <v>0</v>
      </c>
      <c r="AN127" s="1390">
        <f>IFERROR(IF((INDEX(SETUP!$C$19:$G$62,MATCH((INDEX(PMtbl[[WKst]:[Unit of measure*]],MATCH($A127&amp;$D127&amp;$G127,INDEX(PMtbl[Category]&amp;PMtbl[INN]&amp;PMtbl[Specification],0,),0),3)),SETUP!$D$19:$D$62,0),4))="Upfront",0,INDEX(SETUP!$C$19:$G$62,MATCH((INDEX(PMtbl[[WKst]:[Unit of measure*]],MATCH($A127&amp;$D127&amp;$G127,INDEX(PMtbl[Category]&amp;PMtbl[INN]&amp;PMtbl[Specification],0,),0),3)),SETUP!$D$19:$D$62,0),5)),"")</f>
        <v>0</v>
      </c>
    </row>
    <row r="128" spans="1:61" s="198" customFormat="1">
      <c r="A128" s="2455" t="s">
        <v>1455</v>
      </c>
      <c r="B128" s="2435"/>
      <c r="C128" s="2435"/>
      <c r="D128" s="2455" t="s">
        <v>1024</v>
      </c>
      <c r="E128" s="2435"/>
      <c r="F128" s="2435"/>
      <c r="G128" s="2461" t="s">
        <v>2700</v>
      </c>
      <c r="H128" s="2462"/>
      <c r="I128" s="2462"/>
      <c r="J128" s="2463"/>
      <c r="K128" s="213" t="str">
        <f>IF($A128&lt;&gt;"",IFERROR(INDEX(PMsheet!$B:$I,MATCH($A$117&amp;$A128&amp;$D128&amp;$G128,INDEX(PMsheet!$C:$C&amp;PMsheet!$E:$E&amp;PMsheet!$F:$F&amp;PMsheet!$G:$G,0,),0),8),""),"")</f>
        <v>Pack</v>
      </c>
      <c r="L128" s="206" t="str">
        <f>IF(K128="", "",SETUP!$E$5)</f>
        <v>USD</v>
      </c>
      <c r="M128" s="1947">
        <v>29</v>
      </c>
      <c r="N128" s="12"/>
      <c r="O128" s="12"/>
      <c r="P128" s="12">
        <v>7165</v>
      </c>
      <c r="Q128" s="12"/>
      <c r="R128" s="1809">
        <f>SUM('HIV-Other HPs'!$N128:$Q128)</f>
        <v>7165</v>
      </c>
      <c r="S128" s="1810">
        <f>'HIV-Other HPs'!$M128*'HIV-Other HPs'!$R128</f>
        <v>207785</v>
      </c>
      <c r="T128" s="1947">
        <v>29</v>
      </c>
      <c r="U128" s="12"/>
      <c r="V128" s="12">
        <v>8480</v>
      </c>
      <c r="W128" s="12"/>
      <c r="X128" s="2075"/>
      <c r="Y128" s="1809">
        <f>SUM('HIV-Other HPs'!$U128:$X128)</f>
        <v>8480</v>
      </c>
      <c r="Z128" s="1810">
        <f>'HIV-Other HPs'!$T128*'HIV-Other HPs'!$Y128</f>
        <v>245920</v>
      </c>
      <c r="AA128" s="1947">
        <v>29</v>
      </c>
      <c r="AB128" s="12"/>
      <c r="AC128" s="12">
        <v>10111</v>
      </c>
      <c r="AD128" s="12"/>
      <c r="AE128" s="12"/>
      <c r="AF128" s="1809">
        <f>SUM('HIV-Other HPs'!$AB128:$AE128)</f>
        <v>10111</v>
      </c>
      <c r="AG128" s="1810">
        <f>'HIV-Other HPs'!$AA128*'HIV-Other HPs'!$AF128</f>
        <v>293219</v>
      </c>
      <c r="AH128" s="1811">
        <f>'HIV-Other HPs'!$R128+'HIV-Other HPs'!$Y128+'HIV-Other HPs'!$AF128</f>
        <v>25756</v>
      </c>
      <c r="AI128" s="1810">
        <f>'HIV-Other HPs'!$S128+'HIV-Other HPs'!$Z128+'HIV-Other HPs'!$AG128</f>
        <v>746924</v>
      </c>
      <c r="AJ128" s="1391">
        <f>IF($A128&lt;&gt;"",IFERROR(INDEX(PMtbl[[WKst]:[Unit of measure*]],MATCH($A$117&amp;$A128&amp;$D128&amp;$G128,INDEX(PMtbl[Sec]&amp;PMtbl[Category]&amp;PMtbl[INN]&amp;PMtbl[Specification],0,),0),7),""),"")</f>
        <v>5.6</v>
      </c>
      <c r="AK128" s="2075" t="s">
        <v>4275</v>
      </c>
      <c r="AL128" s="2075"/>
      <c r="AM128" s="1391">
        <f>IFERROR(INDEX(SETUP!$C$19:$G$62,MATCH((INDEX(PMtbl[[WKst]:[Unit of measure*]],MATCH($A128&amp;$D128&amp;$G128,INDEX(PMtbl[Category]&amp;PMtbl[INN]&amp;PMtbl[Specification],0,),0),3)),SETUP!$D$19:$D$62,0),5),"")</f>
        <v>0</v>
      </c>
      <c r="AN128" s="1391">
        <f>IFERROR(IF((INDEX(SETUP!$C$19:$G$62,MATCH((INDEX(PMtbl[[WKst]:[Unit of measure*]],MATCH($A128&amp;$D128&amp;$G128,INDEX(PMtbl[Category]&amp;PMtbl[INN]&amp;PMtbl[Specification],0,),0),3)),SETUP!$D$19:$D$62,0),4))="Upfront",0,INDEX(SETUP!$C$19:$G$62,MATCH((INDEX(PMtbl[[WKst]:[Unit of measure*]],MATCH($A128&amp;$D128&amp;$G128,INDEX(PMtbl[Category]&amp;PMtbl[INN]&amp;PMtbl[Specification],0,),0),3)),SETUP!$D$19:$D$62,0),5)),"")</f>
        <v>0</v>
      </c>
    </row>
    <row r="129" spans="1:40" s="198" customFormat="1">
      <c r="A129" s="2377" t="s">
        <v>1455</v>
      </c>
      <c r="B129" s="2302"/>
      <c r="C129" s="2302"/>
      <c r="D129" s="2377" t="s">
        <v>1024</v>
      </c>
      <c r="E129" s="2470"/>
      <c r="F129" s="2470"/>
      <c r="G129" s="2464" t="s">
        <v>2700</v>
      </c>
      <c r="H129" s="2465"/>
      <c r="I129" s="2465"/>
      <c r="J129" s="2466"/>
      <c r="K129" s="209" t="str">
        <f>IF($A129&lt;&gt;"",IFERROR(INDEX(PMsheet!$B:$I,MATCH($A$117&amp;$A129&amp;$D129&amp;$G129,INDEX(PMsheet!$C:$C&amp;PMsheet!$E:$E&amp;PMsheet!$F:$F&amp;PMsheet!$G:$G,0,),0),8),""),"")</f>
        <v>Pack</v>
      </c>
      <c r="L129" s="204" t="str">
        <f>IF(K129="", "",SETUP!$E$5)</f>
        <v>USD</v>
      </c>
      <c r="M129" s="1948">
        <v>29</v>
      </c>
      <c r="N129" s="1946"/>
      <c r="O129" s="1946"/>
      <c r="P129" s="1946">
        <v>938</v>
      </c>
      <c r="Q129" s="1946"/>
      <c r="R129" s="1812">
        <f>SUM('HIV-Other HPs'!$N129:$Q129)</f>
        <v>938</v>
      </c>
      <c r="S129" s="1813">
        <f>'HIV-Other HPs'!$M129*'HIV-Other HPs'!$R129</f>
        <v>27202</v>
      </c>
      <c r="T129" s="1948">
        <v>29</v>
      </c>
      <c r="U129" s="1946"/>
      <c r="V129" s="1946">
        <v>1047</v>
      </c>
      <c r="W129" s="1946"/>
      <c r="X129" s="1946"/>
      <c r="Y129" s="1812">
        <f>SUM('HIV-Other HPs'!$U129:$X129)</f>
        <v>1047</v>
      </c>
      <c r="Z129" s="1813">
        <f>'HIV-Other HPs'!$T129*'HIV-Other HPs'!$Y129</f>
        <v>30363</v>
      </c>
      <c r="AA129" s="1948">
        <v>29</v>
      </c>
      <c r="AB129" s="1946"/>
      <c r="AC129" s="1946">
        <v>1139</v>
      </c>
      <c r="AD129" s="1946"/>
      <c r="AE129" s="1946"/>
      <c r="AF129" s="1812">
        <f>SUM('HIV-Other HPs'!$AB129:$AE129)</f>
        <v>1139</v>
      </c>
      <c r="AG129" s="1813">
        <f>'HIV-Other HPs'!$AA129*'HIV-Other HPs'!$AF129</f>
        <v>33031</v>
      </c>
      <c r="AH129" s="1814">
        <f>'HIV-Other HPs'!$R129+'HIV-Other HPs'!$Y129+'HIV-Other HPs'!$AF129</f>
        <v>3124</v>
      </c>
      <c r="AI129" s="1813">
        <f>'HIV-Other HPs'!$S129+'HIV-Other HPs'!$Z129+'HIV-Other HPs'!$AG129</f>
        <v>90596</v>
      </c>
      <c r="AJ129" s="1390">
        <f>IF($A129&lt;&gt;"",IFERROR(INDEX(PMtbl[[WKst]:[Unit of measure*]],MATCH($A$117&amp;$A129&amp;$D129&amp;$G129,INDEX(PMtbl[Sec]&amp;PMtbl[Category]&amp;PMtbl[INN]&amp;PMtbl[Specification],0,),0),7),""),"")</f>
        <v>5.6</v>
      </c>
      <c r="AK129" s="2510" t="s">
        <v>4276</v>
      </c>
      <c r="AL129" s="2511"/>
      <c r="AM129" s="1390">
        <f>IFERROR(INDEX(SETUP!$C$19:$G$62,MATCH((INDEX(PMtbl[[WKst]:[Unit of measure*]],MATCH($A129&amp;$D129&amp;$G129,INDEX(PMtbl[Category]&amp;PMtbl[INN]&amp;PMtbl[Specification],0,),0),3)),SETUP!$D$19:$D$62,0),5),"")</f>
        <v>0</v>
      </c>
      <c r="AN129" s="1390">
        <f>IFERROR(IF((INDEX(SETUP!$C$19:$G$62,MATCH((INDEX(PMtbl[[WKst]:[Unit of measure*]],MATCH($A129&amp;$D129&amp;$G129,INDEX(PMtbl[Category]&amp;PMtbl[INN]&amp;PMtbl[Specification],0,),0),3)),SETUP!$D$19:$D$62,0),4))="Upfront",0,INDEX(SETUP!$C$19:$G$62,MATCH((INDEX(PMtbl[[WKst]:[Unit of measure*]],MATCH($A129&amp;$D129&amp;$G129,INDEX(PMtbl[Category]&amp;PMtbl[INN]&amp;PMtbl[Specification],0,),0),3)),SETUP!$D$19:$D$62,0),5)),"")</f>
        <v>0</v>
      </c>
    </row>
    <row r="130" spans="1:40" s="198" customFormat="1">
      <c r="A130" s="2455" t="s">
        <v>1455</v>
      </c>
      <c r="B130" s="2435"/>
      <c r="C130" s="2435"/>
      <c r="D130" s="2455" t="s">
        <v>1024</v>
      </c>
      <c r="E130" s="2435"/>
      <c r="F130" s="2435"/>
      <c r="G130" s="2461" t="s">
        <v>2700</v>
      </c>
      <c r="H130" s="2462"/>
      <c r="I130" s="2462"/>
      <c r="J130" s="2463"/>
      <c r="K130" s="213" t="str">
        <f>IF($A130&lt;&gt;"",IFERROR(INDEX(PMsheet!$B:$I,MATCH($A$117&amp;$A130&amp;$D130&amp;$G130,INDEX(PMsheet!$C:$C&amp;PMsheet!$E:$E&amp;PMsheet!$F:$F&amp;PMsheet!$G:$G,0,),0),8),""),"")</f>
        <v>Pack</v>
      </c>
      <c r="L130" s="206" t="str">
        <f>IF(K130="", "",SETUP!$E$5)</f>
        <v>USD</v>
      </c>
      <c r="M130" s="1947">
        <v>8.5</v>
      </c>
      <c r="N130" s="12"/>
      <c r="O130" s="12"/>
      <c r="P130" s="12">
        <v>1200</v>
      </c>
      <c r="Q130" s="12"/>
      <c r="R130" s="1809">
        <f>SUM('HIV-Other HPs'!$N130:$Q130)</f>
        <v>1200</v>
      </c>
      <c r="S130" s="1810">
        <f>'HIV-Other HPs'!$M130*'HIV-Other HPs'!$R130</f>
        <v>10200</v>
      </c>
      <c r="T130" s="1947">
        <v>8.5</v>
      </c>
      <c r="U130" s="12"/>
      <c r="V130" s="12">
        <v>1200</v>
      </c>
      <c r="W130" s="12"/>
      <c r="X130" s="12"/>
      <c r="Y130" s="1809">
        <f>SUM('HIV-Other HPs'!$U130:$X130)</f>
        <v>1200</v>
      </c>
      <c r="Z130" s="1810">
        <f>'HIV-Other HPs'!$T130*'HIV-Other HPs'!$Y130</f>
        <v>10200</v>
      </c>
      <c r="AA130" s="1947">
        <v>8.5</v>
      </c>
      <c r="AB130" s="12"/>
      <c r="AC130" s="12">
        <v>1200</v>
      </c>
      <c r="AD130" s="12"/>
      <c r="AE130" s="12"/>
      <c r="AF130" s="1809">
        <f>SUM('HIV-Other HPs'!$AB130:$AE130)</f>
        <v>1200</v>
      </c>
      <c r="AG130" s="1810">
        <f>'HIV-Other HPs'!$AA130*'HIV-Other HPs'!$AF130</f>
        <v>10200</v>
      </c>
      <c r="AH130" s="1811">
        <f>'HIV-Other HPs'!$R130+'HIV-Other HPs'!$Y130+'HIV-Other HPs'!$AF130</f>
        <v>3600</v>
      </c>
      <c r="AI130" s="1810">
        <f>'HIV-Other HPs'!$S130+'HIV-Other HPs'!$Z130+'HIV-Other HPs'!$AG130</f>
        <v>30600</v>
      </c>
      <c r="AJ130" s="1391">
        <f>IF($A130&lt;&gt;"",IFERROR(INDEX(PMtbl[[WKst]:[Unit of measure*]],MATCH($A$117&amp;$A130&amp;$D130&amp;$G130,INDEX(PMtbl[Sec]&amp;PMtbl[Category]&amp;PMtbl[INN]&amp;PMtbl[Specification],0,),0),7),""),"")</f>
        <v>5.6</v>
      </c>
      <c r="AK130" s="2075" t="s">
        <v>4277</v>
      </c>
      <c r="AL130" s="2075"/>
      <c r="AM130" s="1391">
        <f>IFERROR(INDEX(SETUP!$C$19:$G$62,MATCH((INDEX(PMtbl[[WKst]:[Unit of measure*]],MATCH($A130&amp;$D130&amp;$G130,INDEX(PMtbl[Category]&amp;PMtbl[INN]&amp;PMtbl[Specification],0,),0),3)),SETUP!$D$19:$D$62,0),5),"")</f>
        <v>0</v>
      </c>
      <c r="AN130" s="1391">
        <f>IFERROR(IF((INDEX(SETUP!$C$19:$G$62,MATCH((INDEX(PMtbl[[WKst]:[Unit of measure*]],MATCH($A130&amp;$D130&amp;$G130,INDEX(PMtbl[Category]&amp;PMtbl[INN]&amp;PMtbl[Specification],0,),0),3)),SETUP!$D$19:$D$62,0),4))="Upfront",0,INDEX(SETUP!$C$19:$G$62,MATCH((INDEX(PMtbl[[WKst]:[Unit of measure*]],MATCH($A130&amp;$D130&amp;$G130,INDEX(PMtbl[Category]&amp;PMtbl[INN]&amp;PMtbl[Specification],0,),0),3)),SETUP!$D$19:$D$62,0),5)),"")</f>
        <v>0</v>
      </c>
    </row>
    <row r="131" spans="1:40" s="198" customFormat="1">
      <c r="A131" s="2377" t="s">
        <v>1455</v>
      </c>
      <c r="B131" s="2302"/>
      <c r="C131" s="2302"/>
      <c r="D131" s="2377" t="s">
        <v>1024</v>
      </c>
      <c r="E131" s="2470"/>
      <c r="F131" s="2470"/>
      <c r="G131" s="2464" t="s">
        <v>2700</v>
      </c>
      <c r="H131" s="2465"/>
      <c r="I131" s="2465"/>
      <c r="J131" s="2466"/>
      <c r="K131" s="209" t="str">
        <f>IF($A131&lt;&gt;"",IFERROR(INDEX(PMsheet!$B:$I,MATCH($A$117&amp;$A131&amp;$D131&amp;$G131,INDEX(PMsheet!$C:$C&amp;PMsheet!$E:$E&amp;PMsheet!$F:$F&amp;PMsheet!$G:$G,0,),0),8),""),"")</f>
        <v>Pack</v>
      </c>
      <c r="L131" s="204" t="str">
        <f>IF(K131="", "",SETUP!$E$5)</f>
        <v>USD</v>
      </c>
      <c r="M131" s="1948">
        <v>8.5</v>
      </c>
      <c r="N131" s="1946"/>
      <c r="O131" s="1946"/>
      <c r="P131" s="1946">
        <v>1200</v>
      </c>
      <c r="Q131" s="1946"/>
      <c r="R131" s="1812">
        <f>SUM('HIV-Other HPs'!$N131:$Q131)</f>
        <v>1200</v>
      </c>
      <c r="S131" s="1813">
        <f>'HIV-Other HPs'!$M131*'HIV-Other HPs'!$R131</f>
        <v>10200</v>
      </c>
      <c r="T131" s="1948">
        <v>8.5</v>
      </c>
      <c r="U131" s="1946"/>
      <c r="V131" s="1946">
        <v>1200</v>
      </c>
      <c r="W131" s="1946"/>
      <c r="X131" s="1946"/>
      <c r="Y131" s="1812">
        <f>SUM('HIV-Other HPs'!$U131:$X131)</f>
        <v>1200</v>
      </c>
      <c r="Z131" s="1813">
        <f>'HIV-Other HPs'!$T131*'HIV-Other HPs'!$Y131</f>
        <v>10200</v>
      </c>
      <c r="AA131" s="1948">
        <v>8.5</v>
      </c>
      <c r="AB131" s="1946"/>
      <c r="AC131" s="1946">
        <v>1200</v>
      </c>
      <c r="AD131" s="1946"/>
      <c r="AE131" s="1946"/>
      <c r="AF131" s="1812">
        <f>SUM('HIV-Other HPs'!$AB131:$AE131)</f>
        <v>1200</v>
      </c>
      <c r="AG131" s="1813">
        <f>'HIV-Other HPs'!$AA131*'HIV-Other HPs'!$AF131</f>
        <v>10200</v>
      </c>
      <c r="AH131" s="1814">
        <f>'HIV-Other HPs'!$R131+'HIV-Other HPs'!$Y131+'HIV-Other HPs'!$AF131</f>
        <v>3600</v>
      </c>
      <c r="AI131" s="1813">
        <f>'HIV-Other HPs'!$S131+'HIV-Other HPs'!$Z131+'HIV-Other HPs'!$AG131</f>
        <v>30600</v>
      </c>
      <c r="AJ131" s="1390">
        <f>IF($A131&lt;&gt;"",IFERROR(INDEX(PMtbl[[WKst]:[Unit of measure*]],MATCH($A$117&amp;$A131&amp;$D131&amp;$G131,INDEX(PMtbl[Sec]&amp;PMtbl[Category]&amp;PMtbl[INN]&amp;PMtbl[Specification],0,),0),7),""),"")</f>
        <v>5.6</v>
      </c>
      <c r="AK131" s="2510" t="s">
        <v>4278</v>
      </c>
      <c r="AL131" s="2511"/>
      <c r="AM131" s="1390">
        <f>IFERROR(INDEX(SETUP!$C$19:$G$62,MATCH((INDEX(PMtbl[[WKst]:[Unit of measure*]],MATCH($A131&amp;$D131&amp;$G131,INDEX(PMtbl[Category]&amp;PMtbl[INN]&amp;PMtbl[Specification],0,),0),3)),SETUP!$D$19:$D$62,0),5),"")</f>
        <v>0</v>
      </c>
      <c r="AN131" s="1390">
        <f>IFERROR(IF((INDEX(SETUP!$C$19:$G$62,MATCH((INDEX(PMtbl[[WKst]:[Unit of measure*]],MATCH($A131&amp;$D131&amp;$G131,INDEX(PMtbl[Category]&amp;PMtbl[INN]&amp;PMtbl[Specification],0,),0),3)),SETUP!$D$19:$D$62,0),4))="Upfront",0,INDEX(SETUP!$C$19:$G$62,MATCH((INDEX(PMtbl[[WKst]:[Unit of measure*]],MATCH($A131&amp;$D131&amp;$G131,INDEX(PMtbl[Category]&amp;PMtbl[INN]&amp;PMtbl[Specification],0,),0),3)),SETUP!$D$19:$D$62,0),5)),"")</f>
        <v>0</v>
      </c>
    </row>
    <row r="132" spans="1:40" s="198" customFormat="1" ht="15" thickBot="1">
      <c r="A132" s="2455" t="s">
        <v>1455</v>
      </c>
      <c r="B132" s="2435"/>
      <c r="C132" s="2435"/>
      <c r="D132" s="2455" t="s">
        <v>1024</v>
      </c>
      <c r="E132" s="2435"/>
      <c r="F132" s="2435"/>
      <c r="G132" s="2461" t="s">
        <v>2700</v>
      </c>
      <c r="H132" s="2462"/>
      <c r="I132" s="2462"/>
      <c r="J132" s="2463"/>
      <c r="K132" s="213" t="str">
        <f>IF($A132&lt;&gt;"",IFERROR(INDEX(PMsheet!$B:$I,MATCH($A$117&amp;$A132&amp;$D132&amp;$G132,INDEX(PMsheet!$C:$C&amp;PMsheet!$E:$E&amp;PMsheet!$F:$F&amp;PMsheet!$G:$G,0,),0),8),""),"")</f>
        <v>Pack</v>
      </c>
      <c r="L132" s="206" t="str">
        <f>IF(K132="", "",SETUP!$E$5)</f>
        <v>USD</v>
      </c>
      <c r="M132" s="1947">
        <v>1921</v>
      </c>
      <c r="N132" s="12"/>
      <c r="O132" s="12"/>
      <c r="P132" s="12">
        <v>2</v>
      </c>
      <c r="Q132" s="12"/>
      <c r="R132" s="1809">
        <f>SUM('HIV-Other HPs'!$N132:$Q132)</f>
        <v>2</v>
      </c>
      <c r="S132" s="1810">
        <f>'HIV-Other HPs'!$M132*'HIV-Other HPs'!$R132</f>
        <v>3842</v>
      </c>
      <c r="T132" s="1947">
        <v>1921</v>
      </c>
      <c r="U132" s="12"/>
      <c r="V132" s="12">
        <v>2</v>
      </c>
      <c r="W132" s="12"/>
      <c r="X132" s="12"/>
      <c r="Y132" s="1809">
        <f>SUM('HIV-Other HPs'!$U132:$X132)</f>
        <v>2</v>
      </c>
      <c r="Z132" s="1810">
        <f>'HIV-Other HPs'!$T132*'HIV-Other HPs'!$Y132</f>
        <v>3842</v>
      </c>
      <c r="AA132" s="1947">
        <v>1921</v>
      </c>
      <c r="AB132" s="12"/>
      <c r="AC132" s="12">
        <v>2</v>
      </c>
      <c r="AD132" s="12"/>
      <c r="AE132" s="12"/>
      <c r="AF132" s="1809">
        <f>SUM('HIV-Other HPs'!$AB132:$AE132)</f>
        <v>2</v>
      </c>
      <c r="AG132" s="1810">
        <f>'HIV-Other HPs'!$AA132*'HIV-Other HPs'!$AF132</f>
        <v>3842</v>
      </c>
      <c r="AH132" s="1811">
        <f>'HIV-Other HPs'!$R132+'HIV-Other HPs'!$Y132+'HIV-Other HPs'!$AF132</f>
        <v>6</v>
      </c>
      <c r="AI132" s="1810">
        <f>'HIV-Other HPs'!$S132+'HIV-Other HPs'!$Z132+'HIV-Other HPs'!$AG132</f>
        <v>11526</v>
      </c>
      <c r="AJ132" s="1391">
        <f>IF($A132&lt;&gt;"",IFERROR(INDEX(PMtbl[[WKst]:[Unit of measure*]],MATCH($A$117&amp;$A132&amp;$D132&amp;$G132,INDEX(PMtbl[Sec]&amp;PMtbl[Category]&amp;PMtbl[INN]&amp;PMtbl[Specification],0,),0),7),""),"")</f>
        <v>5.6</v>
      </c>
      <c r="AK132" s="2508" t="s">
        <v>4279</v>
      </c>
      <c r="AL132" s="2509"/>
      <c r="AM132" s="1391">
        <f>IFERROR(INDEX(SETUP!$C$19:$G$62,MATCH((INDEX(PMtbl[[WKst]:[Unit of measure*]],MATCH($A132&amp;$D132&amp;$G132,INDEX(PMtbl[Category]&amp;PMtbl[INN]&amp;PMtbl[Specification],0,),0),3)),SETUP!$D$19:$D$62,0),5),"")</f>
        <v>0</v>
      </c>
      <c r="AN132" s="1391">
        <f>IFERROR(IF((INDEX(SETUP!$C$19:$G$62,MATCH((INDEX(PMtbl[[WKst]:[Unit of measure*]],MATCH($A132&amp;$D132&amp;$G132,INDEX(PMtbl[Category]&amp;PMtbl[INN]&amp;PMtbl[Specification],0,),0),3)),SETUP!$D$19:$D$62,0),4))="Upfront",0,INDEX(SETUP!$C$19:$G$62,MATCH((INDEX(PMtbl[[WKst]:[Unit of measure*]],MATCH($A132&amp;$D132&amp;$G132,INDEX(PMtbl[Category]&amp;PMtbl[INN]&amp;PMtbl[Specification],0,),0),3)),SETUP!$D$19:$D$62,0),5)),"")</f>
        <v>0</v>
      </c>
    </row>
    <row r="133" spans="1:40" s="198" customFormat="1">
      <c r="A133" s="2377" t="s">
        <v>1455</v>
      </c>
      <c r="B133" s="2302"/>
      <c r="C133" s="2302"/>
      <c r="D133" s="2377" t="s">
        <v>1024</v>
      </c>
      <c r="E133" s="2470"/>
      <c r="F133" s="2470"/>
      <c r="G133" s="2464" t="s">
        <v>2700</v>
      </c>
      <c r="H133" s="2465"/>
      <c r="I133" s="2465"/>
      <c r="J133" s="2466"/>
      <c r="K133" s="209" t="str">
        <f>IF($A133&lt;&gt;"",IFERROR(INDEX(PMsheet!$B:$I,MATCH($A$117&amp;$A133&amp;$D133&amp;$G133,INDEX(PMsheet!$C:$C&amp;PMsheet!$E:$E&amp;PMsheet!$F:$F&amp;PMsheet!$G:$G,0,),0),8),""),"")</f>
        <v>Pack</v>
      </c>
      <c r="L133" s="204" t="str">
        <f>IF(K133="", "",SETUP!$E$5)</f>
        <v>USD</v>
      </c>
      <c r="M133" s="1949">
        <v>1950</v>
      </c>
      <c r="N133" s="1950"/>
      <c r="O133" s="1950"/>
      <c r="P133" s="1950">
        <v>196</v>
      </c>
      <c r="Q133" s="1950"/>
      <c r="R133" s="1815">
        <f>SUM('HIV-Other HPs'!$N133:$Q133)</f>
        <v>196</v>
      </c>
      <c r="S133" s="1816">
        <f>'HIV-Other HPs'!$M133*'HIV-Other HPs'!$R133</f>
        <v>382200</v>
      </c>
      <c r="T133" s="1949">
        <v>1950</v>
      </c>
      <c r="U133" s="1950"/>
      <c r="V133" s="1950">
        <v>199</v>
      </c>
      <c r="W133" s="1950"/>
      <c r="X133" s="1950"/>
      <c r="Y133" s="1815">
        <f>SUM('HIV-Other HPs'!$U133:$X133)</f>
        <v>199</v>
      </c>
      <c r="Z133" s="1816">
        <f>'HIV-Other HPs'!$T133*'HIV-Other HPs'!$Y133</f>
        <v>388050</v>
      </c>
      <c r="AA133" s="1949">
        <v>1950</v>
      </c>
      <c r="AB133" s="1950"/>
      <c r="AC133" s="1950">
        <v>199</v>
      </c>
      <c r="AD133" s="1950"/>
      <c r="AE133" s="1950"/>
      <c r="AF133" s="1815">
        <f>SUM('HIV-Other HPs'!$AB133:$AE133)</f>
        <v>199</v>
      </c>
      <c r="AG133" s="1816">
        <f>'HIV-Other HPs'!$AA133*'HIV-Other HPs'!$AF133</f>
        <v>388050</v>
      </c>
      <c r="AH133" s="1817">
        <f>'HIV-Other HPs'!$R133+'HIV-Other HPs'!$Y133+'HIV-Other HPs'!$AF133</f>
        <v>594</v>
      </c>
      <c r="AI133" s="1816">
        <f>'HIV-Other HPs'!$S133+'HIV-Other HPs'!$Z133+'HIV-Other HPs'!$AG133</f>
        <v>1158300</v>
      </c>
      <c r="AJ133" s="1390">
        <f>IF($A133&lt;&gt;"",IFERROR(INDEX(PMtbl[[WKst]:[Unit of measure*]],MATCH($A$117&amp;$A133&amp;$D133&amp;$G133,INDEX(PMtbl[Sec]&amp;PMtbl[Category]&amp;PMtbl[INN]&amp;PMtbl[Specification],0,),0),7),""),"")</f>
        <v>5.6</v>
      </c>
      <c r="AK133" s="2512" t="s">
        <v>4280</v>
      </c>
      <c r="AL133" s="2513"/>
      <c r="AM133" s="1390">
        <f>IFERROR(INDEX(SETUP!$C$19:$G$62,MATCH((INDEX(PMtbl[[WKst]:[Unit of measure*]],MATCH($A133&amp;$D133&amp;$G133,INDEX(PMtbl[Category]&amp;PMtbl[INN]&amp;PMtbl[Specification],0,),0),3)),SETUP!$D$19:$D$62,0),5),"")</f>
        <v>0</v>
      </c>
      <c r="AN133" s="1390">
        <f>IFERROR(IF((INDEX(SETUP!$C$19:$G$62,MATCH((INDEX(PMtbl[[WKst]:[Unit of measure*]],MATCH($A133&amp;$D133&amp;$G133,INDEX(PMtbl[Category]&amp;PMtbl[INN]&amp;PMtbl[Specification],0,),0),3)),SETUP!$D$19:$D$62,0),4))="Upfront",0,INDEX(SETUP!$C$19:$G$62,MATCH((INDEX(PMtbl[[WKst]:[Unit of measure*]],MATCH($A133&amp;$D133&amp;$G133,INDEX(PMtbl[Category]&amp;PMtbl[INN]&amp;PMtbl[Specification],0,),0),3)),SETUP!$D$19:$D$62,0),5)),"")</f>
        <v>0</v>
      </c>
    </row>
    <row r="134" spans="1:40" s="198" customFormat="1" ht="15" thickBot="1">
      <c r="A134" s="2455" t="s">
        <v>1453</v>
      </c>
      <c r="B134" s="2435"/>
      <c r="C134" s="2435"/>
      <c r="D134" s="2455" t="s">
        <v>1014</v>
      </c>
      <c r="E134" s="2435"/>
      <c r="F134" s="2435"/>
      <c r="G134" s="2461" t="s">
        <v>2700</v>
      </c>
      <c r="H134" s="2462"/>
      <c r="I134" s="2462"/>
      <c r="J134" s="2463"/>
      <c r="K134" s="213" t="str">
        <f>IF($A134&lt;&gt;"",IFERROR(INDEX(PMsheet!$B:$I,MATCH($A$117&amp;$A134&amp;$D134&amp;$G134,INDEX(PMsheet!$C:$C&amp;PMsheet!$E:$E&amp;PMsheet!$F:$F&amp;PMsheet!$G:$G,0,),0),8),""),"")</f>
        <v>Pack</v>
      </c>
      <c r="L134" s="206" t="str">
        <f>IF(K134="", "",SETUP!$E$5)</f>
        <v>USD</v>
      </c>
      <c r="M134" s="1947">
        <v>1.03</v>
      </c>
      <c r="N134" s="12"/>
      <c r="O134" s="12"/>
      <c r="P134" s="12">
        <v>69800</v>
      </c>
      <c r="Q134" s="12"/>
      <c r="R134" s="1809">
        <f>SUM('HIV-Other HPs'!$N134:$Q134)</f>
        <v>69800</v>
      </c>
      <c r="S134" s="1810">
        <f>'HIV-Other HPs'!$M134*'HIV-Other HPs'!$R134</f>
        <v>71894</v>
      </c>
      <c r="T134" s="1947">
        <v>1.03</v>
      </c>
      <c r="U134" s="12"/>
      <c r="V134" s="12">
        <v>71800</v>
      </c>
      <c r="W134" s="12"/>
      <c r="X134" s="12"/>
      <c r="Y134" s="1809">
        <f>SUM('HIV-Other HPs'!$U134:$X134)</f>
        <v>71800</v>
      </c>
      <c r="Z134" s="1810">
        <f>'HIV-Other HPs'!$T134*'HIV-Other HPs'!$Y134</f>
        <v>73954</v>
      </c>
      <c r="AA134" s="1947">
        <v>1.03</v>
      </c>
      <c r="AB134" s="12"/>
      <c r="AC134" s="12">
        <v>74800</v>
      </c>
      <c r="AD134" s="2075"/>
      <c r="AE134" s="2075"/>
      <c r="AF134" s="1809">
        <f>SUM('HIV-Other HPs'!$AB134:$AE134)</f>
        <v>74800</v>
      </c>
      <c r="AG134" s="1810">
        <f>'HIV-Other HPs'!$AA134*'HIV-Other HPs'!$AF134</f>
        <v>77044</v>
      </c>
      <c r="AH134" s="1811">
        <f>'HIV-Other HPs'!$R134+'HIV-Other HPs'!$Y134+'HIV-Other HPs'!$AF134</f>
        <v>216400</v>
      </c>
      <c r="AI134" s="1810">
        <f>'HIV-Other HPs'!$S134+'HIV-Other HPs'!$Z134+'HIV-Other HPs'!$AG134</f>
        <v>222892</v>
      </c>
      <c r="AJ134" s="1391">
        <f>IF($A134&lt;&gt;"",IFERROR(INDEX(PMtbl[[WKst]:[Unit of measure*]],MATCH($A$117&amp;$A134&amp;$D134&amp;$G134,INDEX(PMtbl[Sec]&amp;PMtbl[Category]&amp;PMtbl[INN]&amp;PMtbl[Specification],0,),0),7),""),"")</f>
        <v>5.8</v>
      </c>
      <c r="AK134" s="2075" t="s">
        <v>4267</v>
      </c>
      <c r="AL134" s="2075"/>
      <c r="AM134" s="1391">
        <f>IFERROR(INDEX(SETUP!$C$19:$G$62,MATCH((INDEX(PMtbl[[WKst]:[Unit of measure*]],MATCH($A134&amp;$D134&amp;$G134,INDEX(PMtbl[Category]&amp;PMtbl[INN]&amp;PMtbl[Specification],0,),0),3)),SETUP!$D$19:$D$62,0),5),"")</f>
        <v>0</v>
      </c>
      <c r="AN134" s="1391">
        <f>IFERROR(IF((INDEX(SETUP!$C$19:$G$62,MATCH((INDEX(PMtbl[[WKst]:[Unit of measure*]],MATCH($A134&amp;$D134&amp;$G134,INDEX(PMtbl[Category]&amp;PMtbl[INN]&amp;PMtbl[Specification],0,),0),3)),SETUP!$D$19:$D$62,0),4))="Upfront",0,INDEX(SETUP!$C$19:$G$62,MATCH((INDEX(PMtbl[[WKst]:[Unit of measure*]],MATCH($A134&amp;$D134&amp;$G134,INDEX(PMtbl[Category]&amp;PMtbl[INN]&amp;PMtbl[Specification],0,),0),3)),SETUP!$D$19:$D$62,0),5)),"")</f>
        <v>0</v>
      </c>
    </row>
    <row r="135" spans="1:40" s="198" customFormat="1">
      <c r="A135" s="2377" t="s">
        <v>1453</v>
      </c>
      <c r="B135" s="2302"/>
      <c r="C135" s="2302"/>
      <c r="D135" s="2377" t="s">
        <v>1015</v>
      </c>
      <c r="E135" s="2302"/>
      <c r="F135" s="2302"/>
      <c r="G135" s="2464" t="s">
        <v>2700</v>
      </c>
      <c r="H135" s="2465"/>
      <c r="I135" s="2465"/>
      <c r="J135" s="2466"/>
      <c r="K135" s="209" t="str">
        <f>IF($A135&lt;&gt;"",IFERROR(INDEX(PMsheet!$B:$I,MATCH($A$117&amp;$A135&amp;$D135&amp;$G135,INDEX(PMsheet!$C:$C&amp;PMsheet!$E:$E&amp;PMsheet!$F:$F&amp;PMsheet!$G:$G,0,),0),8),""),"")</f>
        <v>Pack</v>
      </c>
      <c r="L135" s="204" t="str">
        <f>IF(K135="", "",SETUP!$E$5)</f>
        <v>USD</v>
      </c>
      <c r="M135" s="1949">
        <v>22</v>
      </c>
      <c r="N135" s="1950"/>
      <c r="O135" s="1950"/>
      <c r="P135" s="1950">
        <v>5000</v>
      </c>
      <c r="Q135" s="1950"/>
      <c r="R135" s="1815">
        <f>SUM('HIV-Other HPs'!$N135:$Q135)</f>
        <v>5000</v>
      </c>
      <c r="S135" s="1816">
        <f>'HIV-Other HPs'!$M135*'HIV-Other HPs'!$R135</f>
        <v>110000</v>
      </c>
      <c r="T135" s="1949">
        <v>22</v>
      </c>
      <c r="U135" s="1950"/>
      <c r="V135" s="1950">
        <v>5000</v>
      </c>
      <c r="W135" s="1950"/>
      <c r="X135" s="1950"/>
      <c r="Y135" s="1815">
        <f>SUM('HIV-Other HPs'!$U135:$X135)</f>
        <v>5000</v>
      </c>
      <c r="Z135" s="1816">
        <f>'HIV-Other HPs'!$T135*'HIV-Other HPs'!$Y135</f>
        <v>110000</v>
      </c>
      <c r="AA135" s="1949">
        <v>22</v>
      </c>
      <c r="AB135" s="1950"/>
      <c r="AC135" s="1950">
        <v>5000</v>
      </c>
      <c r="AD135" s="1946"/>
      <c r="AE135" s="1946"/>
      <c r="AF135" s="1815">
        <f>SUM('HIV-Other HPs'!$AB135:$AE135)</f>
        <v>5000</v>
      </c>
      <c r="AG135" s="1816">
        <f>'HIV-Other HPs'!$AA135*'HIV-Other HPs'!$AF135</f>
        <v>110000</v>
      </c>
      <c r="AH135" s="1817">
        <f>'HIV-Other HPs'!$R135+'HIV-Other HPs'!$Y135+'HIV-Other HPs'!$AF135</f>
        <v>15000</v>
      </c>
      <c r="AI135" s="1816">
        <f>'HIV-Other HPs'!$S135+'HIV-Other HPs'!$Z135+'HIV-Other HPs'!$AG135</f>
        <v>330000</v>
      </c>
      <c r="AJ135" s="1390">
        <f>IF($A135&lt;&gt;"",IFERROR(INDEX(PMtbl[[WKst]:[Unit of measure*]],MATCH($A$117&amp;$A135&amp;$D135&amp;$G135,INDEX(PMtbl[Sec]&amp;PMtbl[Category]&amp;PMtbl[INN]&amp;PMtbl[Specification],0,),0),7),""),"")</f>
        <v>5.8</v>
      </c>
      <c r="AK135" s="2512" t="s">
        <v>4266</v>
      </c>
      <c r="AL135" s="2513"/>
      <c r="AM135" s="1390">
        <f>IFERROR(INDEX(SETUP!$C$19:$G$62,MATCH((INDEX(PMtbl[[WKst]:[Unit of measure*]],MATCH($A135&amp;$D135&amp;$G135,INDEX(PMtbl[Category]&amp;PMtbl[INN]&amp;PMtbl[Specification],0,),0),3)),SETUP!$D$19:$D$62,0),5),"")</f>
        <v>0</v>
      </c>
      <c r="AN135" s="1390">
        <f>IFERROR(IF((INDEX(SETUP!$C$19:$G$62,MATCH((INDEX(PMtbl[[WKst]:[Unit of measure*]],MATCH($A135&amp;$D135&amp;$G135,INDEX(PMtbl[Category]&amp;PMtbl[INN]&amp;PMtbl[Specification],0,),0),3)),SETUP!$D$19:$D$62,0),4))="Upfront",0,INDEX(SETUP!$C$19:$G$62,MATCH((INDEX(PMtbl[[WKst]:[Unit of measure*]],MATCH($A135&amp;$D135&amp;$G135,INDEX(PMtbl[Category]&amp;PMtbl[INN]&amp;PMtbl[Specification],0,),0),3)),SETUP!$D$19:$D$62,0),5)),"")</f>
        <v>0</v>
      </c>
    </row>
    <row r="136" spans="1:40" s="198" customFormat="1">
      <c r="A136" s="2455" t="s">
        <v>1453</v>
      </c>
      <c r="B136" s="2435"/>
      <c r="C136" s="2435"/>
      <c r="D136" s="2455" t="s">
        <v>1019</v>
      </c>
      <c r="E136" s="2435"/>
      <c r="F136" s="2435"/>
      <c r="G136" s="2461" t="s">
        <v>2700</v>
      </c>
      <c r="H136" s="2462"/>
      <c r="I136" s="2462"/>
      <c r="J136" s="2463"/>
      <c r="K136" s="213" t="str">
        <f>IF($A136&lt;&gt;"",IFERROR(INDEX(PMsheet!$B:$I,MATCH($A$117&amp;$A136&amp;$D136&amp;$G136,INDEX(PMsheet!$C:$C&amp;PMsheet!$E:$E&amp;PMsheet!$F:$F&amp;PMsheet!$G:$G,0,),0),8),""),"")</f>
        <v>Pack</v>
      </c>
      <c r="L136" s="206" t="str">
        <f>IF(K136="", "",SETUP!$E$5)</f>
        <v>USD</v>
      </c>
      <c r="M136" s="1947">
        <v>0.8</v>
      </c>
      <c r="N136" s="12"/>
      <c r="O136" s="12"/>
      <c r="P136" s="12">
        <v>5000</v>
      </c>
      <c r="Q136" s="12"/>
      <c r="R136" s="1809">
        <f>SUM('HIV-Other HPs'!$N136:$Q136)</f>
        <v>5000</v>
      </c>
      <c r="S136" s="1810">
        <f>'HIV-Other HPs'!$M136*'HIV-Other HPs'!$R136</f>
        <v>4000</v>
      </c>
      <c r="T136" s="1954">
        <v>0.8</v>
      </c>
      <c r="U136" s="12"/>
      <c r="V136" s="12">
        <v>5000</v>
      </c>
      <c r="W136" s="12"/>
      <c r="X136" s="12"/>
      <c r="Y136" s="1809">
        <f>SUM('HIV-Other HPs'!$U136:$X136)</f>
        <v>5000</v>
      </c>
      <c r="Z136" s="1810">
        <f>'HIV-Other HPs'!$T136*'HIV-Other HPs'!$Y136</f>
        <v>4000</v>
      </c>
      <c r="AA136" s="1954">
        <v>0.8</v>
      </c>
      <c r="AB136" s="12"/>
      <c r="AC136" s="12">
        <v>5000</v>
      </c>
      <c r="AD136" s="12"/>
      <c r="AE136" s="12"/>
      <c r="AF136" s="1809">
        <f>SUM('HIV-Other HPs'!$AB136:$AE136)</f>
        <v>5000</v>
      </c>
      <c r="AG136" s="1810">
        <f>'HIV-Other HPs'!$AA136*'HIV-Other HPs'!$AF136</f>
        <v>4000</v>
      </c>
      <c r="AH136" s="1811">
        <f>'HIV-Other HPs'!$R136+'HIV-Other HPs'!$Y136+'HIV-Other HPs'!$AF136</f>
        <v>15000</v>
      </c>
      <c r="AI136" s="1810">
        <f>'HIV-Other HPs'!$S136+'HIV-Other HPs'!$Z136+'HIV-Other HPs'!$AG136</f>
        <v>12000</v>
      </c>
      <c r="AJ136" s="1391">
        <f>IF($A136&lt;&gt;"",IFERROR(INDEX(PMtbl[[WKst]:[Unit of measure*]],MATCH($A$117&amp;$A136&amp;$D136&amp;$G136,INDEX(PMtbl[Sec]&amp;PMtbl[Category]&amp;PMtbl[INN]&amp;PMtbl[Specification],0,),0),7),""),"")</f>
        <v>5.8</v>
      </c>
      <c r="AK136" s="2508" t="s">
        <v>4284</v>
      </c>
      <c r="AL136" s="2509"/>
      <c r="AM136" s="1391">
        <f>IFERROR(INDEX(SETUP!$C$19:$G$62,MATCH((INDEX(PMtbl[[WKst]:[Unit of measure*]],MATCH($A136&amp;$D136&amp;$G136,INDEX(PMtbl[Category]&amp;PMtbl[INN]&amp;PMtbl[Specification],0,),0),3)),SETUP!$D$19:$D$62,0),5),"")</f>
        <v>0</v>
      </c>
      <c r="AN136" s="1391">
        <f>IFERROR(IF((INDEX(SETUP!$C$19:$G$62,MATCH((INDEX(PMtbl[[WKst]:[Unit of measure*]],MATCH($A136&amp;$D136&amp;$G136,INDEX(PMtbl[Category]&amp;PMtbl[INN]&amp;PMtbl[Specification],0,),0),3)),SETUP!$D$19:$D$62,0),4))="Upfront",0,INDEX(SETUP!$C$19:$G$62,MATCH((INDEX(PMtbl[[WKst]:[Unit of measure*]],MATCH($A136&amp;$D136&amp;$G136,INDEX(PMtbl[Category]&amp;PMtbl[INN]&amp;PMtbl[Specification],0,),0),3)),SETUP!$D$19:$D$62,0),5)),"")</f>
        <v>0</v>
      </c>
    </row>
    <row r="137" spans="1:40" s="198" customFormat="1">
      <c r="A137" s="2377"/>
      <c r="B137" s="2302"/>
      <c r="C137" s="2302"/>
      <c r="D137" s="2377"/>
      <c r="E137" s="2302"/>
      <c r="F137" s="2302"/>
      <c r="G137" s="2464"/>
      <c r="H137" s="2465"/>
      <c r="I137" s="2465"/>
      <c r="J137" s="2466"/>
      <c r="K137" s="209" t="str">
        <f>IF($A137&lt;&gt;"",IFERROR(INDEX(PMsheet!$B:$I,MATCH($A$117&amp;$A137&amp;$D137&amp;$G137,INDEX(PMsheet!$C:$C&amp;PMsheet!$E:$E&amp;PMsheet!$F:$F&amp;PMsheet!$G:$G,0,),0),8),""),"")</f>
        <v/>
      </c>
      <c r="L137" s="204" t="str">
        <f>IF(K137="", "",SETUP!$E$5)</f>
        <v/>
      </c>
      <c r="M137" s="1949"/>
      <c r="N137" s="1950"/>
      <c r="O137" s="1950"/>
      <c r="P137" s="1950"/>
      <c r="Q137" s="1950"/>
      <c r="R137" s="1815">
        <f>SUM('HIV-Other HPs'!$N137:$Q137)</f>
        <v>0</v>
      </c>
      <c r="S137" s="1816">
        <f>'HIV-Other HPs'!$M137*'HIV-Other HPs'!$R137</f>
        <v>0</v>
      </c>
      <c r="T137" s="1956"/>
      <c r="U137" s="1950"/>
      <c r="V137" s="1950"/>
      <c r="W137" s="1950"/>
      <c r="X137" s="1950"/>
      <c r="Y137" s="1815">
        <f>SUM('HIV-Other HPs'!$U137:$X137)</f>
        <v>0</v>
      </c>
      <c r="Z137" s="1816">
        <f>'HIV-Other HPs'!$T137*'HIV-Other HPs'!$Y137</f>
        <v>0</v>
      </c>
      <c r="AA137" s="1956"/>
      <c r="AB137" s="1950"/>
      <c r="AC137" s="1950"/>
      <c r="AD137" s="1950"/>
      <c r="AE137" s="1950"/>
      <c r="AF137" s="1815">
        <f>SUM('HIV-Other HPs'!$AB137:$AE137)</f>
        <v>0</v>
      </c>
      <c r="AG137" s="1816">
        <f>'HIV-Other HPs'!$AA137*'HIV-Other HPs'!$AF137</f>
        <v>0</v>
      </c>
      <c r="AH137" s="1817">
        <f>'HIV-Other HPs'!$R137+'HIV-Other HPs'!$Y137+'HIV-Other HPs'!$AF137</f>
        <v>0</v>
      </c>
      <c r="AI137" s="1816">
        <f>'HIV-Other HPs'!$S137+'HIV-Other HPs'!$Z137+'HIV-Other HPs'!$AG137</f>
        <v>0</v>
      </c>
      <c r="AJ137" s="1390" t="str">
        <f>IF($A137&lt;&gt;"",IFERROR(INDEX(PMtbl[[WKst]:[Unit of measure*]],MATCH($A$117&amp;$A137&amp;$D137&amp;$G137,INDEX(PMtbl[Sec]&amp;PMtbl[Category]&amp;PMtbl[INN]&amp;PMtbl[Specification],0,),0),7),""),"")</f>
        <v/>
      </c>
      <c r="AK137" s="2510"/>
      <c r="AL137" s="2511"/>
      <c r="AM137" s="1390" t="str">
        <f>IFERROR(INDEX(SETUP!$C$19:$G$62,MATCH((INDEX(PMtbl[[WKst]:[Unit of measure*]],MATCH($A137&amp;$D137&amp;$G137,INDEX(PMtbl[Category]&amp;PMtbl[INN]&amp;PMtbl[Specification],0,),0),3)),SETUP!$D$19:$D$62,0),5),"")</f>
        <v/>
      </c>
      <c r="AN137" s="1390" t="str">
        <f>IFERROR(IF((INDEX(SETUP!$C$19:$G$62,MATCH((INDEX(PMtbl[[WKst]:[Unit of measure*]],MATCH($A137&amp;$D137&amp;$G137,INDEX(PMtbl[Category]&amp;PMtbl[INN]&amp;PMtbl[Specification],0,),0),3)),SETUP!$D$19:$D$62,0),4))="Upfront",0,INDEX(SETUP!$C$19:$G$62,MATCH((INDEX(PMtbl[[WKst]:[Unit of measure*]],MATCH($A137&amp;$D137&amp;$G137,INDEX(PMtbl[Category]&amp;PMtbl[INN]&amp;PMtbl[Specification],0,),0),3)),SETUP!$D$19:$D$62,0),5)),"")</f>
        <v/>
      </c>
    </row>
    <row r="138" spans="1:40" s="198" customFormat="1">
      <c r="A138" s="2455"/>
      <c r="B138" s="2435"/>
      <c r="C138" s="2435"/>
      <c r="D138" s="2455"/>
      <c r="E138" s="2435"/>
      <c r="F138" s="2435"/>
      <c r="G138" s="2461"/>
      <c r="H138" s="2462"/>
      <c r="I138" s="2462"/>
      <c r="J138" s="2463"/>
      <c r="K138" s="213" t="str">
        <f>IF($A138&lt;&gt;"",IFERROR(INDEX(PMsheet!$B:$I,MATCH($A$117&amp;$A138&amp;$D138&amp;$G138,INDEX(PMsheet!$C:$C&amp;PMsheet!$E:$E&amp;PMsheet!$F:$F&amp;PMsheet!$G:$G,0,),0),8),""),"")</f>
        <v/>
      </c>
      <c r="L138" s="206" t="str">
        <f>IF(K138="", "",SETUP!$E$5)</f>
        <v/>
      </c>
      <c r="M138" s="1947"/>
      <c r="N138" s="12"/>
      <c r="O138" s="12"/>
      <c r="P138" s="12"/>
      <c r="Q138" s="12"/>
      <c r="R138" s="1809">
        <f>SUM('HIV-Other HPs'!$N138:$Q138)</f>
        <v>0</v>
      </c>
      <c r="S138" s="1810">
        <f>'HIV-Other HPs'!$M138*'HIV-Other HPs'!$R138</f>
        <v>0</v>
      </c>
      <c r="T138" s="1954"/>
      <c r="U138" s="12"/>
      <c r="V138" s="12"/>
      <c r="W138" s="12"/>
      <c r="X138" s="12"/>
      <c r="Y138" s="1809">
        <f>SUM('HIV-Other HPs'!$U138:$X138)</f>
        <v>0</v>
      </c>
      <c r="Z138" s="1810">
        <f>'HIV-Other HPs'!$T138*'HIV-Other HPs'!$Y138</f>
        <v>0</v>
      </c>
      <c r="AA138" s="1954"/>
      <c r="AB138" s="12"/>
      <c r="AC138" s="12"/>
      <c r="AD138" s="12"/>
      <c r="AE138" s="12"/>
      <c r="AF138" s="1809">
        <f>SUM('HIV-Other HPs'!$AB138:$AE138)</f>
        <v>0</v>
      </c>
      <c r="AG138" s="1810">
        <f>'HIV-Other HPs'!$AA138*'HIV-Other HPs'!$AF138</f>
        <v>0</v>
      </c>
      <c r="AH138" s="1811">
        <f>'HIV-Other HPs'!$R138+'HIV-Other HPs'!$Y138+'HIV-Other HPs'!$AF138</f>
        <v>0</v>
      </c>
      <c r="AI138" s="1810">
        <f>'HIV-Other HPs'!$S138+'HIV-Other HPs'!$Z138+'HIV-Other HPs'!$AG138</f>
        <v>0</v>
      </c>
      <c r="AJ138" s="1391" t="str">
        <f>IF($A138&lt;&gt;"",IFERROR(INDEX(PMtbl[[WKst]:[Unit of measure*]],MATCH($A$117&amp;$A138&amp;$D138&amp;$G138,INDEX(PMtbl[Sec]&amp;PMtbl[Category]&amp;PMtbl[INN]&amp;PMtbl[Specification],0,),0),7),""),"")</f>
        <v/>
      </c>
      <c r="AK138" s="2508"/>
      <c r="AL138" s="2509"/>
      <c r="AM138" s="1391" t="str">
        <f>IFERROR(INDEX(SETUP!$C$19:$G$62,MATCH((INDEX(PMtbl[[WKst]:[Unit of measure*]],MATCH($A138&amp;$D138&amp;$G138,INDEX(PMtbl[Category]&amp;PMtbl[INN]&amp;PMtbl[Specification],0,),0),3)),SETUP!$D$19:$D$62,0),5),"")</f>
        <v/>
      </c>
      <c r="AN138" s="1391" t="str">
        <f>IFERROR(IF((INDEX(SETUP!$C$19:$G$62,MATCH((INDEX(PMtbl[[WKst]:[Unit of measure*]],MATCH($A138&amp;$D138&amp;$G138,INDEX(PMtbl[Category]&amp;PMtbl[INN]&amp;PMtbl[Specification],0,),0),3)),SETUP!$D$19:$D$62,0),4))="Upfront",0,INDEX(SETUP!$C$19:$G$62,MATCH((INDEX(PMtbl[[WKst]:[Unit of measure*]],MATCH($A138&amp;$D138&amp;$G138,INDEX(PMtbl[Category]&amp;PMtbl[INN]&amp;PMtbl[Specification],0,),0),3)),SETUP!$D$19:$D$62,0),5)),"")</f>
        <v/>
      </c>
    </row>
    <row r="139" spans="1:40" s="198" customFormat="1">
      <c r="A139" s="2377"/>
      <c r="B139" s="2302"/>
      <c r="C139" s="2302"/>
      <c r="D139" s="2377"/>
      <c r="E139" s="2302"/>
      <c r="F139" s="2302"/>
      <c r="G139" s="2464"/>
      <c r="H139" s="2465"/>
      <c r="I139" s="2465"/>
      <c r="J139" s="2466"/>
      <c r="K139" s="209" t="str">
        <f>IF($A139&lt;&gt;"",IFERROR(INDEX(PMsheet!$B:$I,MATCH($A$117&amp;$A139&amp;$D139&amp;$G139,INDEX(PMsheet!$C:$C&amp;PMsheet!$E:$E&amp;PMsheet!$F:$F&amp;PMsheet!$G:$G,0,),0),8),""),"")</f>
        <v/>
      </c>
      <c r="L139" s="204" t="str">
        <f>IF(K139="", "",SETUP!$E$5)</f>
        <v/>
      </c>
      <c r="M139" s="1949"/>
      <c r="N139" s="1950"/>
      <c r="O139" s="1950"/>
      <c r="P139" s="1950"/>
      <c r="Q139" s="1950"/>
      <c r="R139" s="1815">
        <f>SUM('HIV-Other HPs'!$N139:$Q139)</f>
        <v>0</v>
      </c>
      <c r="S139" s="1816">
        <f>'HIV-Other HPs'!$M139*'HIV-Other HPs'!$R139</f>
        <v>0</v>
      </c>
      <c r="T139" s="1956"/>
      <c r="U139" s="1950"/>
      <c r="V139" s="1950"/>
      <c r="W139" s="1950"/>
      <c r="X139" s="1950"/>
      <c r="Y139" s="1815">
        <f>SUM('HIV-Other HPs'!$U139:$X139)</f>
        <v>0</v>
      </c>
      <c r="Z139" s="1816">
        <f>'HIV-Other HPs'!$T139*'HIV-Other HPs'!$Y139</f>
        <v>0</v>
      </c>
      <c r="AA139" s="1956"/>
      <c r="AB139" s="1950"/>
      <c r="AC139" s="1950"/>
      <c r="AD139" s="1950"/>
      <c r="AE139" s="1950"/>
      <c r="AF139" s="1815">
        <f>SUM('HIV-Other HPs'!$AB139:$AE139)</f>
        <v>0</v>
      </c>
      <c r="AG139" s="1816">
        <f>'HIV-Other HPs'!$AA139*'HIV-Other HPs'!$AF139</f>
        <v>0</v>
      </c>
      <c r="AH139" s="1817">
        <f>'HIV-Other HPs'!$R139+'HIV-Other HPs'!$Y139+'HIV-Other HPs'!$AF139</f>
        <v>0</v>
      </c>
      <c r="AI139" s="1816">
        <f>'HIV-Other HPs'!$S139+'HIV-Other HPs'!$Z139+'HIV-Other HPs'!$AG139</f>
        <v>0</v>
      </c>
      <c r="AJ139" s="1390" t="str">
        <f>IF($A139&lt;&gt;"",IFERROR(INDEX(PMtbl[[WKst]:[Unit of measure*]],MATCH($A$117&amp;$A139&amp;$D139&amp;$G139,INDEX(PMtbl[Sec]&amp;PMtbl[Category]&amp;PMtbl[INN]&amp;PMtbl[Specification],0,),0),7),""),"")</f>
        <v/>
      </c>
      <c r="AK139" s="2510"/>
      <c r="AL139" s="2511"/>
      <c r="AM139" s="1390" t="str">
        <f>IFERROR(INDEX(SETUP!$C$19:$G$62,MATCH((INDEX(PMtbl[[WKst]:[Unit of measure*]],MATCH($A139&amp;$D139&amp;$G139,INDEX(PMtbl[Category]&amp;PMtbl[INN]&amp;PMtbl[Specification],0,),0),3)),SETUP!$D$19:$D$62,0),5),"")</f>
        <v/>
      </c>
      <c r="AN139" s="1390" t="str">
        <f>IFERROR(IF((INDEX(SETUP!$C$19:$G$62,MATCH((INDEX(PMtbl[[WKst]:[Unit of measure*]],MATCH($A139&amp;$D139&amp;$G139,INDEX(PMtbl[Category]&amp;PMtbl[INN]&amp;PMtbl[Specification],0,),0),3)),SETUP!$D$19:$D$62,0),4))="Upfront",0,INDEX(SETUP!$C$19:$G$62,MATCH((INDEX(PMtbl[[WKst]:[Unit of measure*]],MATCH($A139&amp;$D139&amp;$G139,INDEX(PMtbl[Category]&amp;PMtbl[INN]&amp;PMtbl[Specification],0,),0),3)),SETUP!$D$19:$D$62,0),5)),"")</f>
        <v/>
      </c>
    </row>
    <row r="140" spans="1:40" s="198" customFormat="1">
      <c r="A140" s="2455"/>
      <c r="B140" s="2435"/>
      <c r="C140" s="2435"/>
      <c r="D140" s="2455"/>
      <c r="E140" s="2435"/>
      <c r="F140" s="2435"/>
      <c r="G140" s="2461"/>
      <c r="H140" s="2462"/>
      <c r="I140" s="2462"/>
      <c r="J140" s="2463"/>
      <c r="K140" s="213" t="str">
        <f>IF($A140&lt;&gt;"",IFERROR(INDEX(PMsheet!$B:$I,MATCH($A$117&amp;$A140&amp;$D140&amp;$G140,INDEX(PMsheet!$C:$C&amp;PMsheet!$E:$E&amp;PMsheet!$F:$F&amp;PMsheet!$G:$G,0,),0),8),""),"")</f>
        <v/>
      </c>
      <c r="L140" s="206" t="str">
        <f>IF(K140="", "",SETUP!$E$5)</f>
        <v/>
      </c>
      <c r="M140" s="1947"/>
      <c r="N140" s="12"/>
      <c r="O140" s="12"/>
      <c r="P140" s="12"/>
      <c r="Q140" s="12"/>
      <c r="R140" s="1809">
        <f>SUM('HIV-Other HPs'!$N140:$Q140)</f>
        <v>0</v>
      </c>
      <c r="S140" s="1810">
        <f>'HIV-Other HPs'!$M140*'HIV-Other HPs'!$R140</f>
        <v>0</v>
      </c>
      <c r="T140" s="1954"/>
      <c r="U140" s="12"/>
      <c r="V140" s="12"/>
      <c r="W140" s="12"/>
      <c r="X140" s="12"/>
      <c r="Y140" s="1809">
        <f>SUM('HIV-Other HPs'!$U140:$X140)</f>
        <v>0</v>
      </c>
      <c r="Z140" s="1810">
        <f>'HIV-Other HPs'!$T140*'HIV-Other HPs'!$Y140</f>
        <v>0</v>
      </c>
      <c r="AA140" s="1954"/>
      <c r="AB140" s="12"/>
      <c r="AC140" s="12"/>
      <c r="AD140" s="12"/>
      <c r="AE140" s="12"/>
      <c r="AF140" s="1809">
        <f>SUM('HIV-Other HPs'!$AB140:$AE140)</f>
        <v>0</v>
      </c>
      <c r="AG140" s="1810">
        <f>'HIV-Other HPs'!$AA140*'HIV-Other HPs'!$AF140</f>
        <v>0</v>
      </c>
      <c r="AH140" s="1811">
        <f>'HIV-Other HPs'!$R140+'HIV-Other HPs'!$Y140+'HIV-Other HPs'!$AF140</f>
        <v>0</v>
      </c>
      <c r="AI140" s="1810">
        <f>'HIV-Other HPs'!$S140+'HIV-Other HPs'!$Z140+'HIV-Other HPs'!$AG140</f>
        <v>0</v>
      </c>
      <c r="AJ140" s="1391" t="str">
        <f>IF($A140&lt;&gt;"",IFERROR(INDEX(PMtbl[[WKst]:[Unit of measure*]],MATCH($A$117&amp;$A140&amp;$D140&amp;$G140,INDEX(PMtbl[Sec]&amp;PMtbl[Category]&amp;PMtbl[INN]&amp;PMtbl[Specification],0,),0),7),""),"")</f>
        <v/>
      </c>
      <c r="AK140" s="2508"/>
      <c r="AL140" s="2509"/>
      <c r="AM140" s="1391" t="str">
        <f>IFERROR(INDEX(SETUP!$C$19:$G$62,MATCH((INDEX(PMtbl[[WKst]:[Unit of measure*]],MATCH($A140&amp;$D140&amp;$G140,INDEX(PMtbl[Category]&amp;PMtbl[INN]&amp;PMtbl[Specification],0,),0),3)),SETUP!$D$19:$D$62,0),5),"")</f>
        <v/>
      </c>
      <c r="AN140" s="1391" t="str">
        <f>IFERROR(IF((INDEX(SETUP!$C$19:$G$62,MATCH((INDEX(PMtbl[[WKst]:[Unit of measure*]],MATCH($A140&amp;$D140&amp;$G140,INDEX(PMtbl[Category]&amp;PMtbl[INN]&amp;PMtbl[Specification],0,),0),3)),SETUP!$D$19:$D$62,0),4))="Upfront",0,INDEX(SETUP!$C$19:$G$62,MATCH((INDEX(PMtbl[[WKst]:[Unit of measure*]],MATCH($A140&amp;$D140&amp;$G140,INDEX(PMtbl[Category]&amp;PMtbl[INN]&amp;PMtbl[Specification],0,),0),3)),SETUP!$D$19:$D$62,0),5)),"")</f>
        <v/>
      </c>
    </row>
    <row r="141" spans="1:40" s="198" customFormat="1">
      <c r="A141" s="2377"/>
      <c r="B141" s="2302"/>
      <c r="C141" s="2302"/>
      <c r="D141" s="2377"/>
      <c r="E141" s="2302"/>
      <c r="F141" s="2302"/>
      <c r="G141" s="2464"/>
      <c r="H141" s="2465"/>
      <c r="I141" s="2465"/>
      <c r="J141" s="2466"/>
      <c r="K141" s="209" t="str">
        <f>IF($A141&lt;&gt;"",IFERROR(INDEX(PMsheet!$B:$I,MATCH($A$117&amp;$A141&amp;$D141&amp;$G141,INDEX(PMsheet!$C:$C&amp;PMsheet!$E:$E&amp;PMsheet!$F:$F&amp;PMsheet!$G:$G,0,),0),8),""),"")</f>
        <v/>
      </c>
      <c r="L141" s="204" t="str">
        <f>IF(K141="", "",SETUP!$E$5)</f>
        <v/>
      </c>
      <c r="M141" s="1949"/>
      <c r="N141" s="1950"/>
      <c r="O141" s="1950"/>
      <c r="P141" s="1950"/>
      <c r="Q141" s="1950"/>
      <c r="R141" s="1815">
        <f>SUM('HIV-Other HPs'!$N141:$Q141)</f>
        <v>0</v>
      </c>
      <c r="S141" s="1816">
        <f>'HIV-Other HPs'!$M141*'HIV-Other HPs'!$R141</f>
        <v>0</v>
      </c>
      <c r="T141" s="1956"/>
      <c r="U141" s="1950"/>
      <c r="V141" s="1950"/>
      <c r="W141" s="1950"/>
      <c r="X141" s="1950"/>
      <c r="Y141" s="1815">
        <f>SUM('HIV-Other HPs'!$U141:$X141)</f>
        <v>0</v>
      </c>
      <c r="Z141" s="1816">
        <f>'HIV-Other HPs'!$T141*'HIV-Other HPs'!$Y141</f>
        <v>0</v>
      </c>
      <c r="AA141" s="1956"/>
      <c r="AB141" s="1950"/>
      <c r="AC141" s="1950"/>
      <c r="AD141" s="1950"/>
      <c r="AE141" s="1950"/>
      <c r="AF141" s="1815">
        <f>SUM('HIV-Other HPs'!$AB141:$AE141)</f>
        <v>0</v>
      </c>
      <c r="AG141" s="1816">
        <f>'HIV-Other HPs'!$AA141*'HIV-Other HPs'!$AF141</f>
        <v>0</v>
      </c>
      <c r="AH141" s="1817">
        <f>'HIV-Other HPs'!$R141+'HIV-Other HPs'!$Y141+'HIV-Other HPs'!$AF141</f>
        <v>0</v>
      </c>
      <c r="AI141" s="1816">
        <f>'HIV-Other HPs'!$S141+'HIV-Other HPs'!$Z141+'HIV-Other HPs'!$AG141</f>
        <v>0</v>
      </c>
      <c r="AJ141" s="1390" t="str">
        <f>IF($A141&lt;&gt;"",IFERROR(INDEX(PMtbl[[WKst]:[Unit of measure*]],MATCH($A$117&amp;$A141&amp;$D141&amp;$G141,INDEX(PMtbl[Sec]&amp;PMtbl[Category]&amp;PMtbl[INN]&amp;PMtbl[Specification],0,),0),7),""),"")</f>
        <v/>
      </c>
      <c r="AK141" s="2510"/>
      <c r="AL141" s="2511"/>
      <c r="AM141" s="1390" t="str">
        <f>IFERROR(INDEX(SETUP!$C$19:$G$62,MATCH((INDEX(PMtbl[[WKst]:[Unit of measure*]],MATCH($A141&amp;$D141&amp;$G141,INDEX(PMtbl[Category]&amp;PMtbl[INN]&amp;PMtbl[Specification],0,),0),3)),SETUP!$D$19:$D$62,0),5),"")</f>
        <v/>
      </c>
      <c r="AN141" s="1390" t="str">
        <f>IFERROR(IF((INDEX(SETUP!$C$19:$G$62,MATCH((INDEX(PMtbl[[WKst]:[Unit of measure*]],MATCH($A141&amp;$D141&amp;$G141,INDEX(PMtbl[Category]&amp;PMtbl[INN]&amp;PMtbl[Specification],0,),0),3)),SETUP!$D$19:$D$62,0),4))="Upfront",0,INDEX(SETUP!$C$19:$G$62,MATCH((INDEX(PMtbl[[WKst]:[Unit of measure*]],MATCH($A141&amp;$D141&amp;$G141,INDEX(PMtbl[Category]&amp;PMtbl[INN]&amp;PMtbl[Specification],0,),0),3)),SETUP!$D$19:$D$62,0),5)),"")</f>
        <v/>
      </c>
    </row>
    <row r="142" spans="1:40" s="198" customFormat="1">
      <c r="A142" s="2455"/>
      <c r="B142" s="2435"/>
      <c r="C142" s="2435"/>
      <c r="D142" s="2455"/>
      <c r="E142" s="2435"/>
      <c r="F142" s="2435"/>
      <c r="G142" s="2461"/>
      <c r="H142" s="2462"/>
      <c r="I142" s="2462"/>
      <c r="J142" s="2463"/>
      <c r="K142" s="213" t="str">
        <f>IF($A142&lt;&gt;"",IFERROR(INDEX(PMsheet!$B:$I,MATCH($A$117&amp;$A142&amp;$D142&amp;$G142,INDEX(PMsheet!$C:$C&amp;PMsheet!$E:$E&amp;PMsheet!$F:$F&amp;PMsheet!$G:$G,0,),0),8),""),"")</f>
        <v/>
      </c>
      <c r="L142" s="206" t="str">
        <f>IF(K142="", "",SETUP!$E$5)</f>
        <v/>
      </c>
      <c r="M142" s="1947"/>
      <c r="N142" s="12"/>
      <c r="O142" s="12"/>
      <c r="P142" s="12"/>
      <c r="Q142" s="12"/>
      <c r="R142" s="1809">
        <f>SUM('HIV-Other HPs'!$N142:$Q142)</f>
        <v>0</v>
      </c>
      <c r="S142" s="1810">
        <f>'HIV-Other HPs'!$M142*'HIV-Other HPs'!$R142</f>
        <v>0</v>
      </c>
      <c r="T142" s="1954"/>
      <c r="U142" s="12"/>
      <c r="V142" s="12"/>
      <c r="W142" s="12"/>
      <c r="X142" s="12"/>
      <c r="Y142" s="1809">
        <f>SUM('HIV-Other HPs'!$U142:$X142)</f>
        <v>0</v>
      </c>
      <c r="Z142" s="1810">
        <f>'HIV-Other HPs'!$T142*'HIV-Other HPs'!$Y142</f>
        <v>0</v>
      </c>
      <c r="AA142" s="1954"/>
      <c r="AB142" s="12"/>
      <c r="AC142" s="12"/>
      <c r="AD142" s="12"/>
      <c r="AE142" s="12"/>
      <c r="AF142" s="1809">
        <f>SUM('HIV-Other HPs'!$AB142:$AE142)</f>
        <v>0</v>
      </c>
      <c r="AG142" s="1810">
        <f>'HIV-Other HPs'!$AA142*'HIV-Other HPs'!$AF142</f>
        <v>0</v>
      </c>
      <c r="AH142" s="1811">
        <f>'HIV-Other HPs'!$R142+'HIV-Other HPs'!$Y142+'HIV-Other HPs'!$AF142</f>
        <v>0</v>
      </c>
      <c r="AI142" s="1810">
        <f>'HIV-Other HPs'!$S142+'HIV-Other HPs'!$Z142+'HIV-Other HPs'!$AG142</f>
        <v>0</v>
      </c>
      <c r="AJ142" s="1391" t="str">
        <f>IF($A142&lt;&gt;"",IFERROR(INDEX(PMtbl[[WKst]:[Unit of measure*]],MATCH($A$117&amp;$A142&amp;$D142&amp;$G142,INDEX(PMtbl[Sec]&amp;PMtbl[Category]&amp;PMtbl[INN]&amp;PMtbl[Specification],0,),0),7),""),"")</f>
        <v/>
      </c>
      <c r="AK142" s="2508"/>
      <c r="AL142" s="2509"/>
      <c r="AM142" s="1391" t="str">
        <f>IFERROR(INDEX(SETUP!$C$19:$G$62,MATCH((INDEX(PMtbl[[WKst]:[Unit of measure*]],MATCH($A142&amp;$D142&amp;$G142,INDEX(PMtbl[Category]&amp;PMtbl[INN]&amp;PMtbl[Specification],0,),0),3)),SETUP!$D$19:$D$62,0),5),"")</f>
        <v/>
      </c>
      <c r="AN142" s="1391" t="str">
        <f>IFERROR(IF((INDEX(SETUP!$C$19:$G$62,MATCH((INDEX(PMtbl[[WKst]:[Unit of measure*]],MATCH($A142&amp;$D142&amp;$G142,INDEX(PMtbl[Category]&amp;PMtbl[INN]&amp;PMtbl[Specification],0,),0),3)),SETUP!$D$19:$D$62,0),4))="Upfront",0,INDEX(SETUP!$C$19:$G$62,MATCH((INDEX(PMtbl[[WKst]:[Unit of measure*]],MATCH($A142&amp;$D142&amp;$G142,INDEX(PMtbl[Category]&amp;PMtbl[INN]&amp;PMtbl[Specification],0,),0),3)),SETUP!$D$19:$D$62,0),5)),"")</f>
        <v/>
      </c>
    </row>
    <row r="143" spans="1:40" s="198" customFormat="1">
      <c r="A143" s="2377"/>
      <c r="B143" s="2302"/>
      <c r="C143" s="2302"/>
      <c r="D143" s="2377"/>
      <c r="E143" s="2302"/>
      <c r="F143" s="2302"/>
      <c r="G143" s="2464"/>
      <c r="H143" s="2465"/>
      <c r="I143" s="2465"/>
      <c r="J143" s="2466"/>
      <c r="K143" s="209" t="str">
        <f>IF($A143&lt;&gt;"",IFERROR(INDEX(PMsheet!$B:$I,MATCH($A$117&amp;$A143&amp;$D143&amp;$G143,INDEX(PMsheet!$C:$C&amp;PMsheet!$E:$E&amp;PMsheet!$F:$F&amp;PMsheet!$G:$G,0,),0),8),""),"")</f>
        <v/>
      </c>
      <c r="L143" s="204" t="str">
        <f>IF(K143="", "",SETUP!$E$5)</f>
        <v/>
      </c>
      <c r="M143" s="1949"/>
      <c r="N143" s="1950"/>
      <c r="O143" s="1950"/>
      <c r="P143" s="1950"/>
      <c r="Q143" s="1950"/>
      <c r="R143" s="1815">
        <f>SUM('HIV-Other HPs'!$N143:$Q143)</f>
        <v>0</v>
      </c>
      <c r="S143" s="1816">
        <f>'HIV-Other HPs'!$M143*'HIV-Other HPs'!$R143</f>
        <v>0</v>
      </c>
      <c r="T143" s="1956"/>
      <c r="U143" s="1950"/>
      <c r="V143" s="1950"/>
      <c r="W143" s="1950"/>
      <c r="X143" s="1950"/>
      <c r="Y143" s="1815">
        <f>SUM('HIV-Other HPs'!$U143:$X143)</f>
        <v>0</v>
      </c>
      <c r="Z143" s="1816">
        <f>'HIV-Other HPs'!$T143*'HIV-Other HPs'!$Y143</f>
        <v>0</v>
      </c>
      <c r="AA143" s="1956"/>
      <c r="AB143" s="1950"/>
      <c r="AC143" s="1950"/>
      <c r="AD143" s="1950"/>
      <c r="AE143" s="1950"/>
      <c r="AF143" s="1815">
        <f>SUM('HIV-Other HPs'!$AB143:$AE143)</f>
        <v>0</v>
      </c>
      <c r="AG143" s="1816">
        <f>'HIV-Other HPs'!$AA143*'HIV-Other HPs'!$AF143</f>
        <v>0</v>
      </c>
      <c r="AH143" s="1817">
        <f>'HIV-Other HPs'!$R143+'HIV-Other HPs'!$Y143+'HIV-Other HPs'!$AF143</f>
        <v>0</v>
      </c>
      <c r="AI143" s="1816">
        <f>'HIV-Other HPs'!$S143+'HIV-Other HPs'!$Z143+'HIV-Other HPs'!$AG143</f>
        <v>0</v>
      </c>
      <c r="AJ143" s="1390" t="str">
        <f>IF($A143&lt;&gt;"",IFERROR(INDEX(PMtbl[[WKst]:[Unit of measure*]],MATCH($A$117&amp;$A143&amp;$D143&amp;$G143,INDEX(PMtbl[Sec]&amp;PMtbl[Category]&amp;PMtbl[INN]&amp;PMtbl[Specification],0,),0),7),""),"")</f>
        <v/>
      </c>
      <c r="AK143" s="2510"/>
      <c r="AL143" s="2511"/>
      <c r="AM143" s="1390" t="str">
        <f>IFERROR(INDEX(SETUP!$C$19:$G$62,MATCH((INDEX(PMtbl[[WKst]:[Unit of measure*]],MATCH($A143&amp;$D143&amp;$G143,INDEX(PMtbl[Category]&amp;PMtbl[INN]&amp;PMtbl[Specification],0,),0),3)),SETUP!$D$19:$D$62,0),5),"")</f>
        <v/>
      </c>
      <c r="AN143" s="1390" t="str">
        <f>IFERROR(IF((INDEX(SETUP!$C$19:$G$62,MATCH((INDEX(PMtbl[[WKst]:[Unit of measure*]],MATCH($A143&amp;$D143&amp;$G143,INDEX(PMtbl[Category]&amp;PMtbl[INN]&amp;PMtbl[Specification],0,),0),3)),SETUP!$D$19:$D$62,0),4))="Upfront",0,INDEX(SETUP!$C$19:$G$62,MATCH((INDEX(PMtbl[[WKst]:[Unit of measure*]],MATCH($A143&amp;$D143&amp;$G143,INDEX(PMtbl[Category]&amp;PMtbl[INN]&amp;PMtbl[Specification],0,),0),3)),SETUP!$D$19:$D$62,0),5)),"")</f>
        <v/>
      </c>
    </row>
    <row r="144" spans="1:40" s="198" customFormat="1">
      <c r="A144" s="2455"/>
      <c r="B144" s="2435"/>
      <c r="C144" s="2435"/>
      <c r="D144" s="2455"/>
      <c r="E144" s="2435"/>
      <c r="F144" s="2435"/>
      <c r="G144" s="2461"/>
      <c r="H144" s="2462"/>
      <c r="I144" s="2462"/>
      <c r="J144" s="2463"/>
      <c r="K144" s="213" t="str">
        <f>IF($A144&lt;&gt;"",IFERROR(INDEX(PMsheet!$B:$I,MATCH($A$117&amp;$A144&amp;$D144&amp;$G144,INDEX(PMsheet!$C:$C&amp;PMsheet!$E:$E&amp;PMsheet!$F:$F&amp;PMsheet!$G:$G,0,),0),8),""),"")</f>
        <v/>
      </c>
      <c r="L144" s="206" t="str">
        <f>IF(K144="", "",SETUP!$E$5)</f>
        <v/>
      </c>
      <c r="M144" s="1947"/>
      <c r="N144" s="12"/>
      <c r="O144" s="12"/>
      <c r="P144" s="12"/>
      <c r="Q144" s="12"/>
      <c r="R144" s="1809">
        <f>SUM('HIV-Other HPs'!$N144:$Q144)</f>
        <v>0</v>
      </c>
      <c r="S144" s="1810">
        <f>'HIV-Other HPs'!$M144*'HIV-Other HPs'!$R144</f>
        <v>0</v>
      </c>
      <c r="T144" s="1954"/>
      <c r="U144" s="12"/>
      <c r="V144" s="12"/>
      <c r="W144" s="12"/>
      <c r="X144" s="12"/>
      <c r="Y144" s="1809">
        <f>SUM('HIV-Other HPs'!$U144:$X144)</f>
        <v>0</v>
      </c>
      <c r="Z144" s="1810">
        <f>'HIV-Other HPs'!$T144*'HIV-Other HPs'!$Y144</f>
        <v>0</v>
      </c>
      <c r="AA144" s="1954"/>
      <c r="AB144" s="12"/>
      <c r="AC144" s="12"/>
      <c r="AD144" s="12"/>
      <c r="AE144" s="12"/>
      <c r="AF144" s="1809">
        <f>SUM('HIV-Other HPs'!$AB144:$AE144)</f>
        <v>0</v>
      </c>
      <c r="AG144" s="1810">
        <f>'HIV-Other HPs'!$AA144*'HIV-Other HPs'!$AF144</f>
        <v>0</v>
      </c>
      <c r="AH144" s="1811">
        <f>'HIV-Other HPs'!$R144+'HIV-Other HPs'!$Y144+'HIV-Other HPs'!$AF144</f>
        <v>0</v>
      </c>
      <c r="AI144" s="1810">
        <f>'HIV-Other HPs'!$S144+'HIV-Other HPs'!$Z144+'HIV-Other HPs'!$AG144</f>
        <v>0</v>
      </c>
      <c r="AJ144" s="1391" t="str">
        <f>IF($A144&lt;&gt;"",IFERROR(INDEX(PMtbl[[WKst]:[Unit of measure*]],MATCH($A$117&amp;$A144&amp;$D144&amp;$G144,INDEX(PMtbl[Sec]&amp;PMtbl[Category]&amp;PMtbl[INN]&amp;PMtbl[Specification],0,),0),7),""),"")</f>
        <v/>
      </c>
      <c r="AK144" s="2508"/>
      <c r="AL144" s="2509"/>
      <c r="AM144" s="1391" t="str">
        <f>IFERROR(INDEX(SETUP!$C$19:$G$62,MATCH((INDEX(PMtbl[[WKst]:[Unit of measure*]],MATCH($A144&amp;$D144&amp;$G144,INDEX(PMtbl[Category]&amp;PMtbl[INN]&amp;PMtbl[Specification],0,),0),3)),SETUP!$D$19:$D$62,0),5),"")</f>
        <v/>
      </c>
      <c r="AN144" s="1391" t="str">
        <f>IFERROR(IF((INDEX(SETUP!$C$19:$G$62,MATCH((INDEX(PMtbl[[WKst]:[Unit of measure*]],MATCH($A144&amp;$D144&amp;$G144,INDEX(PMtbl[Category]&amp;PMtbl[INN]&amp;PMtbl[Specification],0,),0),3)),SETUP!$D$19:$D$62,0),4))="Upfront",0,INDEX(SETUP!$C$19:$G$62,MATCH((INDEX(PMtbl[[WKst]:[Unit of measure*]],MATCH($A144&amp;$D144&amp;$G144,INDEX(PMtbl[Category]&amp;PMtbl[INN]&amp;PMtbl[Specification],0,),0),3)),SETUP!$D$19:$D$62,0),5)),"")</f>
        <v/>
      </c>
    </row>
    <row r="145" spans="1:40" s="198" customFormat="1">
      <c r="A145" s="2377"/>
      <c r="B145" s="2302"/>
      <c r="C145" s="2302"/>
      <c r="D145" s="2377"/>
      <c r="E145" s="2302"/>
      <c r="F145" s="2302"/>
      <c r="G145" s="2464"/>
      <c r="H145" s="2465"/>
      <c r="I145" s="2465"/>
      <c r="J145" s="2466"/>
      <c r="K145" s="209" t="str">
        <f>IF($A145&lt;&gt;"",IFERROR(INDEX(PMsheet!$B:$I,MATCH($A$117&amp;$A145&amp;$D145&amp;$G145,INDEX(PMsheet!$C:$C&amp;PMsheet!$E:$E&amp;PMsheet!$F:$F&amp;PMsheet!$G:$G,0,),0),8),""),"")</f>
        <v/>
      </c>
      <c r="L145" s="204" t="str">
        <f>IF(K145="", "",SETUP!$E$5)</f>
        <v/>
      </c>
      <c r="M145" s="1949"/>
      <c r="N145" s="1950"/>
      <c r="O145" s="1950"/>
      <c r="P145" s="1950"/>
      <c r="Q145" s="1950"/>
      <c r="R145" s="1815">
        <f>SUM('HIV-Other HPs'!$N145:$Q145)</f>
        <v>0</v>
      </c>
      <c r="S145" s="1816">
        <f>'HIV-Other HPs'!$M145*'HIV-Other HPs'!$R145</f>
        <v>0</v>
      </c>
      <c r="T145" s="1956"/>
      <c r="U145" s="1950"/>
      <c r="V145" s="1950"/>
      <c r="W145" s="1950"/>
      <c r="X145" s="1950"/>
      <c r="Y145" s="1815">
        <f>SUM('HIV-Other HPs'!$U145:$X145)</f>
        <v>0</v>
      </c>
      <c r="Z145" s="1816">
        <f>'HIV-Other HPs'!$T145*'HIV-Other HPs'!$Y145</f>
        <v>0</v>
      </c>
      <c r="AA145" s="1956"/>
      <c r="AB145" s="1950"/>
      <c r="AC145" s="1950"/>
      <c r="AD145" s="1950"/>
      <c r="AE145" s="1950"/>
      <c r="AF145" s="1815">
        <f>SUM('HIV-Other HPs'!$AB145:$AE145)</f>
        <v>0</v>
      </c>
      <c r="AG145" s="1816">
        <f>'HIV-Other HPs'!$AA145*'HIV-Other HPs'!$AF145</f>
        <v>0</v>
      </c>
      <c r="AH145" s="1817">
        <f>'HIV-Other HPs'!$R145+'HIV-Other HPs'!$Y145+'HIV-Other HPs'!$AF145</f>
        <v>0</v>
      </c>
      <c r="AI145" s="1816">
        <f>'HIV-Other HPs'!$S145+'HIV-Other HPs'!$Z145+'HIV-Other HPs'!$AG145</f>
        <v>0</v>
      </c>
      <c r="AJ145" s="1390" t="str">
        <f>IF($A145&lt;&gt;"",IFERROR(INDEX(PMtbl[[WKst]:[Unit of measure*]],MATCH($A$117&amp;$A145&amp;$D145&amp;$G145,INDEX(PMtbl[Sec]&amp;PMtbl[Category]&amp;PMtbl[INN]&amp;PMtbl[Specification],0,),0),7),""),"")</f>
        <v/>
      </c>
      <c r="AK145" s="2510"/>
      <c r="AL145" s="2511"/>
      <c r="AM145" s="1390" t="str">
        <f>IFERROR(INDEX(SETUP!$C$19:$G$62,MATCH((INDEX(PMtbl[[WKst]:[Unit of measure*]],MATCH($A145&amp;$D145&amp;$G145,INDEX(PMtbl[Category]&amp;PMtbl[INN]&amp;PMtbl[Specification],0,),0),3)),SETUP!$D$19:$D$62,0),5),"")</f>
        <v/>
      </c>
      <c r="AN145" s="1390" t="str">
        <f>IFERROR(IF((INDEX(SETUP!$C$19:$G$62,MATCH((INDEX(PMtbl[[WKst]:[Unit of measure*]],MATCH($A145&amp;$D145&amp;$G145,INDEX(PMtbl[Category]&amp;PMtbl[INN]&amp;PMtbl[Specification],0,),0),3)),SETUP!$D$19:$D$62,0),4))="Upfront",0,INDEX(SETUP!$C$19:$G$62,MATCH((INDEX(PMtbl[[WKst]:[Unit of measure*]],MATCH($A145&amp;$D145&amp;$G145,INDEX(PMtbl[Category]&amp;PMtbl[INN]&amp;PMtbl[Specification],0,),0),3)),SETUP!$D$19:$D$62,0),5)),"")</f>
        <v/>
      </c>
    </row>
    <row r="146" spans="1:40" s="198" customFormat="1">
      <c r="A146" s="2455"/>
      <c r="B146" s="2435"/>
      <c r="C146" s="2435"/>
      <c r="D146" s="2455"/>
      <c r="E146" s="2435"/>
      <c r="F146" s="2435"/>
      <c r="G146" s="2461"/>
      <c r="H146" s="2462"/>
      <c r="I146" s="2462"/>
      <c r="J146" s="2463"/>
      <c r="K146" s="213" t="str">
        <f>IF($A146&lt;&gt;"",IFERROR(INDEX(PMsheet!$B:$I,MATCH($A$117&amp;$A146&amp;$D146&amp;$G146,INDEX(PMsheet!$C:$C&amp;PMsheet!$E:$E&amp;PMsheet!$F:$F&amp;PMsheet!$G:$G,0,),0),8),""),"")</f>
        <v/>
      </c>
      <c r="L146" s="206" t="str">
        <f>IF(K146="", "",SETUP!$E$5)</f>
        <v/>
      </c>
      <c r="M146" s="1947"/>
      <c r="N146" s="12"/>
      <c r="O146" s="12"/>
      <c r="P146" s="12"/>
      <c r="Q146" s="12"/>
      <c r="R146" s="1809">
        <f>SUM('HIV-Other HPs'!$N146:$Q146)</f>
        <v>0</v>
      </c>
      <c r="S146" s="1810">
        <f>'HIV-Other HPs'!$M146*'HIV-Other HPs'!$R146</f>
        <v>0</v>
      </c>
      <c r="T146" s="1954"/>
      <c r="U146" s="12"/>
      <c r="V146" s="12"/>
      <c r="W146" s="12"/>
      <c r="X146" s="12"/>
      <c r="Y146" s="1809">
        <f>SUM('HIV-Other HPs'!$U146:$X146)</f>
        <v>0</v>
      </c>
      <c r="Z146" s="1810">
        <f>'HIV-Other HPs'!$T146*'HIV-Other HPs'!$Y146</f>
        <v>0</v>
      </c>
      <c r="AA146" s="1954"/>
      <c r="AB146" s="12"/>
      <c r="AC146" s="12"/>
      <c r="AD146" s="12"/>
      <c r="AE146" s="12"/>
      <c r="AF146" s="1809">
        <f>SUM('HIV-Other HPs'!$AB146:$AE146)</f>
        <v>0</v>
      </c>
      <c r="AG146" s="1810">
        <f>'HIV-Other HPs'!$AA146*'HIV-Other HPs'!$AF146</f>
        <v>0</v>
      </c>
      <c r="AH146" s="1811">
        <f>'HIV-Other HPs'!$R146+'HIV-Other HPs'!$Y146+'HIV-Other HPs'!$AF146</f>
        <v>0</v>
      </c>
      <c r="AI146" s="1810">
        <f>'HIV-Other HPs'!$S146+'HIV-Other HPs'!$Z146+'HIV-Other HPs'!$AG146</f>
        <v>0</v>
      </c>
      <c r="AJ146" s="1391" t="str">
        <f>IF($A146&lt;&gt;"",IFERROR(INDEX(PMtbl[[WKst]:[Unit of measure*]],MATCH($A$117&amp;$A146&amp;$D146&amp;$G146,INDEX(PMtbl[Sec]&amp;PMtbl[Category]&amp;PMtbl[INN]&amp;PMtbl[Specification],0,),0),7),""),"")</f>
        <v/>
      </c>
      <c r="AK146" s="2508"/>
      <c r="AL146" s="2509"/>
      <c r="AM146" s="1391" t="str">
        <f>IFERROR(INDEX(SETUP!$C$19:$G$62,MATCH((INDEX(PMtbl[[WKst]:[Unit of measure*]],MATCH($A146&amp;$D146&amp;$G146,INDEX(PMtbl[Category]&amp;PMtbl[INN]&amp;PMtbl[Specification],0,),0),3)),SETUP!$D$19:$D$62,0),5),"")</f>
        <v/>
      </c>
      <c r="AN146" s="1391" t="str">
        <f>IFERROR(IF((INDEX(SETUP!$C$19:$G$62,MATCH((INDEX(PMtbl[[WKst]:[Unit of measure*]],MATCH($A146&amp;$D146&amp;$G146,INDEX(PMtbl[Category]&amp;PMtbl[INN]&amp;PMtbl[Specification],0,),0),3)),SETUP!$D$19:$D$62,0),4))="Upfront",0,INDEX(SETUP!$C$19:$G$62,MATCH((INDEX(PMtbl[[WKst]:[Unit of measure*]],MATCH($A146&amp;$D146&amp;$G146,INDEX(PMtbl[Category]&amp;PMtbl[INN]&amp;PMtbl[Specification],0,),0),3)),SETUP!$D$19:$D$62,0),5)),"")</f>
        <v/>
      </c>
    </row>
    <row r="147" spans="1:40" s="198" customFormat="1">
      <c r="A147" s="2377"/>
      <c r="B147" s="2302"/>
      <c r="C147" s="2302"/>
      <c r="D147" s="2377"/>
      <c r="E147" s="2302"/>
      <c r="F147" s="2302"/>
      <c r="G147" s="2464"/>
      <c r="H147" s="2465"/>
      <c r="I147" s="2465"/>
      <c r="J147" s="2466"/>
      <c r="K147" s="209" t="str">
        <f>IF($A147&lt;&gt;"",IFERROR(INDEX(PMsheet!$B:$I,MATCH($A$117&amp;$A147&amp;$D147&amp;$G147,INDEX(PMsheet!$C:$C&amp;PMsheet!$E:$E&amp;PMsheet!$F:$F&amp;PMsheet!$G:$G,0,),0),8),""),"")</f>
        <v/>
      </c>
      <c r="L147" s="204" t="str">
        <f>IF(K147="", "",SETUP!$E$5)</f>
        <v/>
      </c>
      <c r="M147" s="1949"/>
      <c r="N147" s="1950"/>
      <c r="O147" s="1950"/>
      <c r="P147" s="1950"/>
      <c r="Q147" s="1950"/>
      <c r="R147" s="1815">
        <f>SUM('HIV-Other HPs'!$N147:$Q147)</f>
        <v>0</v>
      </c>
      <c r="S147" s="1816">
        <f>'HIV-Other HPs'!$M147*'HIV-Other HPs'!$R147</f>
        <v>0</v>
      </c>
      <c r="T147" s="1956"/>
      <c r="U147" s="1950"/>
      <c r="V147" s="1950"/>
      <c r="W147" s="1950"/>
      <c r="X147" s="1950"/>
      <c r="Y147" s="1815">
        <f>SUM('HIV-Other HPs'!$U147:$X147)</f>
        <v>0</v>
      </c>
      <c r="Z147" s="1816">
        <f>'HIV-Other HPs'!$T147*'HIV-Other HPs'!$Y147</f>
        <v>0</v>
      </c>
      <c r="AA147" s="1956"/>
      <c r="AB147" s="1950"/>
      <c r="AC147" s="1950"/>
      <c r="AD147" s="1950"/>
      <c r="AE147" s="1950"/>
      <c r="AF147" s="1815">
        <f>SUM('HIV-Other HPs'!$AB147:$AE147)</f>
        <v>0</v>
      </c>
      <c r="AG147" s="1816">
        <f>'HIV-Other HPs'!$AA147*'HIV-Other HPs'!$AF147</f>
        <v>0</v>
      </c>
      <c r="AH147" s="1817">
        <f>'HIV-Other HPs'!$R147+'HIV-Other HPs'!$Y147+'HIV-Other HPs'!$AF147</f>
        <v>0</v>
      </c>
      <c r="AI147" s="1816">
        <f>'HIV-Other HPs'!$S147+'HIV-Other HPs'!$Z147+'HIV-Other HPs'!$AG147</f>
        <v>0</v>
      </c>
      <c r="AJ147" s="1390" t="str">
        <f>IF($A147&lt;&gt;"",IFERROR(INDEX(PMtbl[[WKst]:[Unit of measure*]],MATCH($A$117&amp;$A147&amp;$D147&amp;$G147,INDEX(PMtbl[Sec]&amp;PMtbl[Category]&amp;PMtbl[INN]&amp;PMtbl[Specification],0,),0),7),""),"")</f>
        <v/>
      </c>
      <c r="AK147" s="2510"/>
      <c r="AL147" s="2511"/>
      <c r="AM147" s="1390" t="str">
        <f>IFERROR(INDEX(SETUP!$C$19:$G$62,MATCH((INDEX(PMtbl[[WKst]:[Unit of measure*]],MATCH($A147&amp;$D147&amp;$G147,INDEX(PMtbl[Category]&amp;PMtbl[INN]&amp;PMtbl[Specification],0,),0),3)),SETUP!$D$19:$D$62,0),5),"")</f>
        <v/>
      </c>
      <c r="AN147" s="1390" t="str">
        <f>IFERROR(IF((INDEX(SETUP!$C$19:$G$62,MATCH((INDEX(PMtbl[[WKst]:[Unit of measure*]],MATCH($A147&amp;$D147&amp;$G147,INDEX(PMtbl[Category]&amp;PMtbl[INN]&amp;PMtbl[Specification],0,),0),3)),SETUP!$D$19:$D$62,0),4))="Upfront",0,INDEX(SETUP!$C$19:$G$62,MATCH((INDEX(PMtbl[[WKst]:[Unit of measure*]],MATCH($A147&amp;$D147&amp;$G147,INDEX(PMtbl[Category]&amp;PMtbl[INN]&amp;PMtbl[Specification],0,),0),3)),SETUP!$D$19:$D$62,0),5)),"")</f>
        <v/>
      </c>
    </row>
    <row r="148" spans="1:40" s="198" customFormat="1">
      <c r="A148" s="2455"/>
      <c r="B148" s="2435"/>
      <c r="C148" s="2435"/>
      <c r="D148" s="2455"/>
      <c r="E148" s="2435"/>
      <c r="F148" s="2435"/>
      <c r="G148" s="2461"/>
      <c r="H148" s="2462"/>
      <c r="I148" s="2462"/>
      <c r="J148" s="2463"/>
      <c r="K148" s="213" t="str">
        <f>IF($A148&lt;&gt;"",IFERROR(INDEX(PMsheet!$B:$I,MATCH($A$117&amp;$A148&amp;$D148&amp;$G148,INDEX(PMsheet!$C:$C&amp;PMsheet!$E:$E&amp;PMsheet!$F:$F&amp;PMsheet!$G:$G,0,),0),8),""),"")</f>
        <v/>
      </c>
      <c r="L148" s="206" t="str">
        <f>IF(K148="", "",SETUP!$E$5)</f>
        <v/>
      </c>
      <c r="M148" s="1947"/>
      <c r="N148" s="12"/>
      <c r="O148" s="12"/>
      <c r="P148" s="12"/>
      <c r="Q148" s="12"/>
      <c r="R148" s="1809">
        <f>SUM('HIV-Other HPs'!$N148:$Q148)</f>
        <v>0</v>
      </c>
      <c r="S148" s="1810">
        <f>'HIV-Other HPs'!$M148*'HIV-Other HPs'!$R148</f>
        <v>0</v>
      </c>
      <c r="T148" s="1954"/>
      <c r="U148" s="12"/>
      <c r="V148" s="12"/>
      <c r="W148" s="12"/>
      <c r="X148" s="12"/>
      <c r="Y148" s="1809">
        <f>SUM('HIV-Other HPs'!$U148:$X148)</f>
        <v>0</v>
      </c>
      <c r="Z148" s="1810">
        <f>'HIV-Other HPs'!$T148*'HIV-Other HPs'!$Y148</f>
        <v>0</v>
      </c>
      <c r="AA148" s="1954"/>
      <c r="AB148" s="12"/>
      <c r="AC148" s="12"/>
      <c r="AD148" s="12"/>
      <c r="AE148" s="12"/>
      <c r="AF148" s="1809">
        <f>SUM('HIV-Other HPs'!$AB148:$AE148)</f>
        <v>0</v>
      </c>
      <c r="AG148" s="1810">
        <f>'HIV-Other HPs'!$AA148*'HIV-Other HPs'!$AF148</f>
        <v>0</v>
      </c>
      <c r="AH148" s="1811">
        <f>'HIV-Other HPs'!$R148+'HIV-Other HPs'!$Y148+'HIV-Other HPs'!$AF148</f>
        <v>0</v>
      </c>
      <c r="AI148" s="1810">
        <f>'HIV-Other HPs'!$S148+'HIV-Other HPs'!$Z148+'HIV-Other HPs'!$AG148</f>
        <v>0</v>
      </c>
      <c r="AJ148" s="1391" t="str">
        <f>IF($A148&lt;&gt;"",IFERROR(INDEX(PMtbl[[WKst]:[Unit of measure*]],MATCH($A$117&amp;$A148&amp;$D148&amp;$G148,INDEX(PMtbl[Sec]&amp;PMtbl[Category]&amp;PMtbl[INN]&amp;PMtbl[Specification],0,),0),7),""),"")</f>
        <v/>
      </c>
      <c r="AK148" s="2508"/>
      <c r="AL148" s="2509"/>
      <c r="AM148" s="1391" t="str">
        <f>IFERROR(INDEX(SETUP!$C$19:$G$62,MATCH((INDEX(PMtbl[[WKst]:[Unit of measure*]],MATCH($A148&amp;$D148&amp;$G148,INDEX(PMtbl[Category]&amp;PMtbl[INN]&amp;PMtbl[Specification],0,),0),3)),SETUP!$D$19:$D$62,0),5),"")</f>
        <v/>
      </c>
      <c r="AN148" s="1391" t="str">
        <f>IFERROR(IF((INDEX(SETUP!$C$19:$G$62,MATCH((INDEX(PMtbl[[WKst]:[Unit of measure*]],MATCH($A148&amp;$D148&amp;$G148,INDEX(PMtbl[Category]&amp;PMtbl[INN]&amp;PMtbl[Specification],0,),0),3)),SETUP!$D$19:$D$62,0),4))="Upfront",0,INDEX(SETUP!$C$19:$G$62,MATCH((INDEX(PMtbl[[WKst]:[Unit of measure*]],MATCH($A148&amp;$D148&amp;$G148,INDEX(PMtbl[Category]&amp;PMtbl[INN]&amp;PMtbl[Specification],0,),0),3)),SETUP!$D$19:$D$62,0),5)),"")</f>
        <v/>
      </c>
    </row>
    <row r="149" spans="1:40" s="198" customFormat="1">
      <c r="A149" s="2377"/>
      <c r="B149" s="2302"/>
      <c r="C149" s="2302"/>
      <c r="D149" s="2377"/>
      <c r="E149" s="2302"/>
      <c r="F149" s="2302"/>
      <c r="G149" s="2464"/>
      <c r="H149" s="2465"/>
      <c r="I149" s="2465"/>
      <c r="J149" s="2466"/>
      <c r="K149" s="209" t="str">
        <f>IF($A149&lt;&gt;"",IFERROR(INDEX(PMsheet!$B:$I,MATCH($A$117&amp;$A149&amp;$D149&amp;$G149,INDEX(PMsheet!$C:$C&amp;PMsheet!$E:$E&amp;PMsheet!$F:$F&amp;PMsheet!$G:$G,0,),0),8),""),"")</f>
        <v/>
      </c>
      <c r="L149" s="204" t="str">
        <f>IF(K149="", "",SETUP!$E$5)</f>
        <v/>
      </c>
      <c r="M149" s="1949"/>
      <c r="N149" s="1950"/>
      <c r="O149" s="1950"/>
      <c r="P149" s="1950"/>
      <c r="Q149" s="1950"/>
      <c r="R149" s="1815">
        <f>SUM('HIV-Other HPs'!$N149:$Q149)</f>
        <v>0</v>
      </c>
      <c r="S149" s="1816">
        <f>'HIV-Other HPs'!$M149*'HIV-Other HPs'!$R149</f>
        <v>0</v>
      </c>
      <c r="T149" s="1956"/>
      <c r="U149" s="1950"/>
      <c r="V149" s="1950"/>
      <c r="W149" s="1950"/>
      <c r="X149" s="1950"/>
      <c r="Y149" s="1815">
        <f>SUM('HIV-Other HPs'!$U149:$X149)</f>
        <v>0</v>
      </c>
      <c r="Z149" s="1816">
        <f>'HIV-Other HPs'!$T149*'HIV-Other HPs'!$Y149</f>
        <v>0</v>
      </c>
      <c r="AA149" s="1956"/>
      <c r="AB149" s="1950"/>
      <c r="AC149" s="1950"/>
      <c r="AD149" s="1950"/>
      <c r="AE149" s="1950"/>
      <c r="AF149" s="1815">
        <f>SUM('HIV-Other HPs'!$AB149:$AE149)</f>
        <v>0</v>
      </c>
      <c r="AG149" s="1816">
        <f>'HIV-Other HPs'!$AA149*'HIV-Other HPs'!$AF149</f>
        <v>0</v>
      </c>
      <c r="AH149" s="1817">
        <f>'HIV-Other HPs'!$R149+'HIV-Other HPs'!$Y149+'HIV-Other HPs'!$AF149</f>
        <v>0</v>
      </c>
      <c r="AI149" s="1816">
        <f>'HIV-Other HPs'!$S149+'HIV-Other HPs'!$Z149+'HIV-Other HPs'!$AG149</f>
        <v>0</v>
      </c>
      <c r="AJ149" s="1390" t="str">
        <f>IF($A149&lt;&gt;"",IFERROR(INDEX(PMtbl[[WKst]:[Unit of measure*]],MATCH($A$117&amp;$A149&amp;$D149&amp;$G149,INDEX(PMtbl[Sec]&amp;PMtbl[Category]&amp;PMtbl[INN]&amp;PMtbl[Specification],0,),0),7),""),"")</f>
        <v/>
      </c>
      <c r="AK149" s="2510"/>
      <c r="AL149" s="2511"/>
      <c r="AM149" s="1390" t="str">
        <f>IFERROR(INDEX(SETUP!$C$19:$G$62,MATCH((INDEX(PMtbl[[WKst]:[Unit of measure*]],MATCH($A149&amp;$D149&amp;$G149,INDEX(PMtbl[Category]&amp;PMtbl[INN]&amp;PMtbl[Specification],0,),0),3)),SETUP!$D$19:$D$62,0),5),"")</f>
        <v/>
      </c>
      <c r="AN149" s="1390" t="str">
        <f>IFERROR(IF((INDEX(SETUP!$C$19:$G$62,MATCH((INDEX(PMtbl[[WKst]:[Unit of measure*]],MATCH($A149&amp;$D149&amp;$G149,INDEX(PMtbl[Category]&amp;PMtbl[INN]&amp;PMtbl[Specification],0,),0),3)),SETUP!$D$19:$D$62,0),4))="Upfront",0,INDEX(SETUP!$C$19:$G$62,MATCH((INDEX(PMtbl[[WKst]:[Unit of measure*]],MATCH($A149&amp;$D149&amp;$G149,INDEX(PMtbl[Category]&amp;PMtbl[INN]&amp;PMtbl[Specification],0,),0),3)),SETUP!$D$19:$D$62,0),5)),"")</f>
        <v/>
      </c>
    </row>
    <row r="150" spans="1:40" s="198" customFormat="1">
      <c r="A150" s="2455"/>
      <c r="B150" s="2435"/>
      <c r="C150" s="2435"/>
      <c r="D150" s="2455"/>
      <c r="E150" s="2435"/>
      <c r="F150" s="2435"/>
      <c r="G150" s="2461"/>
      <c r="H150" s="2462"/>
      <c r="I150" s="2462"/>
      <c r="J150" s="2463"/>
      <c r="K150" s="213" t="str">
        <f>IF($A150&lt;&gt;"",IFERROR(INDEX(PMsheet!$B:$I,MATCH($A$117&amp;$A150&amp;$D150&amp;$G150,INDEX(PMsheet!$C:$C&amp;PMsheet!$E:$E&amp;PMsheet!$F:$F&amp;PMsheet!$G:$G,0,),0),8),""),"")</f>
        <v/>
      </c>
      <c r="L150" s="206" t="str">
        <f>IF(K150="", "",SETUP!$E$5)</f>
        <v/>
      </c>
      <c r="M150" s="1947"/>
      <c r="N150" s="12"/>
      <c r="O150" s="12"/>
      <c r="P150" s="12"/>
      <c r="Q150" s="12"/>
      <c r="R150" s="1809">
        <f>SUM('HIV-Other HPs'!$N150:$Q150)</f>
        <v>0</v>
      </c>
      <c r="S150" s="1810">
        <f>'HIV-Other HPs'!$M150*'HIV-Other HPs'!$R150</f>
        <v>0</v>
      </c>
      <c r="T150" s="1954"/>
      <c r="U150" s="12"/>
      <c r="V150" s="12"/>
      <c r="W150" s="12"/>
      <c r="X150" s="12"/>
      <c r="Y150" s="1809">
        <f>SUM('HIV-Other HPs'!$U150:$X150)</f>
        <v>0</v>
      </c>
      <c r="Z150" s="1810">
        <f>'HIV-Other HPs'!$T150*'HIV-Other HPs'!$Y150</f>
        <v>0</v>
      </c>
      <c r="AA150" s="1954"/>
      <c r="AB150" s="12"/>
      <c r="AC150" s="12"/>
      <c r="AD150" s="12"/>
      <c r="AE150" s="12"/>
      <c r="AF150" s="1809">
        <f>SUM('HIV-Other HPs'!$AB150:$AE150)</f>
        <v>0</v>
      </c>
      <c r="AG150" s="1810">
        <f>'HIV-Other HPs'!$AA150*'HIV-Other HPs'!$AF150</f>
        <v>0</v>
      </c>
      <c r="AH150" s="1811">
        <f>'HIV-Other HPs'!$R150+'HIV-Other HPs'!$Y150+'HIV-Other HPs'!$AF150</f>
        <v>0</v>
      </c>
      <c r="AI150" s="1810">
        <f>'HIV-Other HPs'!$S150+'HIV-Other HPs'!$Z150+'HIV-Other HPs'!$AG150</f>
        <v>0</v>
      </c>
      <c r="AJ150" s="1391" t="str">
        <f>IF($A150&lt;&gt;"",IFERROR(INDEX(PMtbl[[WKst]:[Unit of measure*]],MATCH($A$117&amp;$A150&amp;$D150&amp;$G150,INDEX(PMtbl[Sec]&amp;PMtbl[Category]&amp;PMtbl[INN]&amp;PMtbl[Specification],0,),0),7),""),"")</f>
        <v/>
      </c>
      <c r="AK150" s="2508"/>
      <c r="AL150" s="2509"/>
      <c r="AM150" s="1391" t="str">
        <f>IFERROR(INDEX(SETUP!$C$19:$G$62,MATCH((INDEX(PMtbl[[WKst]:[Unit of measure*]],MATCH($A150&amp;$D150&amp;$G150,INDEX(PMtbl[Category]&amp;PMtbl[INN]&amp;PMtbl[Specification],0,),0),3)),SETUP!$D$19:$D$62,0),5),"")</f>
        <v/>
      </c>
      <c r="AN150" s="1391" t="str">
        <f>IFERROR(IF((INDEX(SETUP!$C$19:$G$62,MATCH((INDEX(PMtbl[[WKst]:[Unit of measure*]],MATCH($A150&amp;$D150&amp;$G150,INDEX(PMtbl[Category]&amp;PMtbl[INN]&amp;PMtbl[Specification],0,),0),3)),SETUP!$D$19:$D$62,0),4))="Upfront",0,INDEX(SETUP!$C$19:$G$62,MATCH((INDEX(PMtbl[[WKst]:[Unit of measure*]],MATCH($A150&amp;$D150&amp;$G150,INDEX(PMtbl[Category]&amp;PMtbl[INN]&amp;PMtbl[Specification],0,),0),3)),SETUP!$D$19:$D$62,0),5)),"")</f>
        <v/>
      </c>
    </row>
    <row r="151" spans="1:40" s="198" customFormat="1">
      <c r="A151" s="2377"/>
      <c r="B151" s="2302"/>
      <c r="C151" s="2302"/>
      <c r="D151" s="2377"/>
      <c r="E151" s="2302"/>
      <c r="F151" s="2302"/>
      <c r="G151" s="2464"/>
      <c r="H151" s="2465"/>
      <c r="I151" s="2465"/>
      <c r="J151" s="2466"/>
      <c r="K151" s="209" t="str">
        <f>IF($A151&lt;&gt;"",IFERROR(INDEX(PMsheet!$B:$I,MATCH($A$117&amp;$A151&amp;$D151&amp;$G151,INDEX(PMsheet!$C:$C&amp;PMsheet!$E:$E&amp;PMsheet!$F:$F&amp;PMsheet!$G:$G,0,),0),8),""),"")</f>
        <v/>
      </c>
      <c r="L151" s="204" t="str">
        <f>IF(K151="", "",SETUP!$E$5)</f>
        <v/>
      </c>
      <c r="M151" s="1949"/>
      <c r="N151" s="1950"/>
      <c r="O151" s="1950"/>
      <c r="P151" s="1950"/>
      <c r="Q151" s="1950"/>
      <c r="R151" s="1815">
        <f>SUM('HIV-Other HPs'!$N151:$Q151)</f>
        <v>0</v>
      </c>
      <c r="S151" s="1816">
        <f>'HIV-Other HPs'!$M151*'HIV-Other HPs'!$R151</f>
        <v>0</v>
      </c>
      <c r="T151" s="1956"/>
      <c r="U151" s="1950"/>
      <c r="V151" s="1950"/>
      <c r="W151" s="1950"/>
      <c r="X151" s="1950"/>
      <c r="Y151" s="1815">
        <f>SUM('HIV-Other HPs'!$U151:$X151)</f>
        <v>0</v>
      </c>
      <c r="Z151" s="1816">
        <f>'HIV-Other HPs'!$T151*'HIV-Other HPs'!$Y151</f>
        <v>0</v>
      </c>
      <c r="AA151" s="1956"/>
      <c r="AB151" s="1950"/>
      <c r="AC151" s="1950"/>
      <c r="AD151" s="1950"/>
      <c r="AE151" s="1950"/>
      <c r="AF151" s="1815">
        <f>SUM('HIV-Other HPs'!$AB151:$AE151)</f>
        <v>0</v>
      </c>
      <c r="AG151" s="1816">
        <f>'HIV-Other HPs'!$AA151*'HIV-Other HPs'!$AF151</f>
        <v>0</v>
      </c>
      <c r="AH151" s="1817">
        <f>'HIV-Other HPs'!$R151+'HIV-Other HPs'!$Y151+'HIV-Other HPs'!$AF151</f>
        <v>0</v>
      </c>
      <c r="AI151" s="1816">
        <f>'HIV-Other HPs'!$S151+'HIV-Other HPs'!$Z151+'HIV-Other HPs'!$AG151</f>
        <v>0</v>
      </c>
      <c r="AJ151" s="1390" t="str">
        <f>IF($A151&lt;&gt;"",IFERROR(INDEX(PMtbl[[WKst]:[Unit of measure*]],MATCH($A$117&amp;$A151&amp;$D151&amp;$G151,INDEX(PMtbl[Sec]&amp;PMtbl[Category]&amp;PMtbl[INN]&amp;PMtbl[Specification],0,),0),7),""),"")</f>
        <v/>
      </c>
      <c r="AK151" s="2510"/>
      <c r="AL151" s="2511"/>
      <c r="AM151" s="1390" t="str">
        <f>IFERROR(INDEX(SETUP!$C$19:$G$62,MATCH((INDEX(PMtbl[[WKst]:[Unit of measure*]],MATCH($A151&amp;$D151&amp;$G151,INDEX(PMtbl[Category]&amp;PMtbl[INN]&amp;PMtbl[Specification],0,),0),3)),SETUP!$D$19:$D$62,0),5),"")</f>
        <v/>
      </c>
      <c r="AN151" s="1390" t="str">
        <f>IFERROR(IF((INDEX(SETUP!$C$19:$G$62,MATCH((INDEX(PMtbl[[WKst]:[Unit of measure*]],MATCH($A151&amp;$D151&amp;$G151,INDEX(PMtbl[Category]&amp;PMtbl[INN]&amp;PMtbl[Specification],0,),0),3)),SETUP!$D$19:$D$62,0),4))="Upfront",0,INDEX(SETUP!$C$19:$G$62,MATCH((INDEX(PMtbl[[WKst]:[Unit of measure*]],MATCH($A151&amp;$D151&amp;$G151,INDEX(PMtbl[Category]&amp;PMtbl[INN]&amp;PMtbl[Specification],0,),0),3)),SETUP!$D$19:$D$62,0),5)),"")</f>
        <v/>
      </c>
    </row>
    <row r="152" spans="1:40" s="198" customFormat="1">
      <c r="A152" s="2455"/>
      <c r="B152" s="2435"/>
      <c r="C152" s="2435"/>
      <c r="D152" s="2455"/>
      <c r="E152" s="2435"/>
      <c r="F152" s="2435"/>
      <c r="G152" s="2461"/>
      <c r="H152" s="2462"/>
      <c r="I152" s="2462"/>
      <c r="J152" s="2463"/>
      <c r="K152" s="213" t="str">
        <f>IF($A152&lt;&gt;"",IFERROR(INDEX(PMsheet!$B:$I,MATCH($A$117&amp;$A152&amp;$D152&amp;$G152,INDEX(PMsheet!$C:$C&amp;PMsheet!$E:$E&amp;PMsheet!$F:$F&amp;PMsheet!$G:$G,0,),0),8),""),"")</f>
        <v/>
      </c>
      <c r="L152" s="206" t="str">
        <f>IF(K152="", "",SETUP!$E$5)</f>
        <v/>
      </c>
      <c r="M152" s="1947"/>
      <c r="N152" s="12"/>
      <c r="O152" s="12"/>
      <c r="P152" s="12"/>
      <c r="Q152" s="12"/>
      <c r="R152" s="1809">
        <f>SUM('HIV-Other HPs'!$N152:$Q152)</f>
        <v>0</v>
      </c>
      <c r="S152" s="1810">
        <f>'HIV-Other HPs'!$M152*'HIV-Other HPs'!$R152</f>
        <v>0</v>
      </c>
      <c r="T152" s="1954"/>
      <c r="U152" s="12"/>
      <c r="V152" s="12"/>
      <c r="W152" s="12"/>
      <c r="X152" s="12"/>
      <c r="Y152" s="1809">
        <f>SUM('HIV-Other HPs'!$U152:$X152)</f>
        <v>0</v>
      </c>
      <c r="Z152" s="1810">
        <f>'HIV-Other HPs'!$T152*'HIV-Other HPs'!$Y152</f>
        <v>0</v>
      </c>
      <c r="AA152" s="1954"/>
      <c r="AB152" s="12"/>
      <c r="AC152" s="12"/>
      <c r="AD152" s="12"/>
      <c r="AE152" s="12"/>
      <c r="AF152" s="1809">
        <f>SUM('HIV-Other HPs'!$AB152:$AE152)</f>
        <v>0</v>
      </c>
      <c r="AG152" s="1810">
        <f>'HIV-Other HPs'!$AA152*'HIV-Other HPs'!$AF152</f>
        <v>0</v>
      </c>
      <c r="AH152" s="1811">
        <f>'HIV-Other HPs'!$R152+'HIV-Other HPs'!$Y152+'HIV-Other HPs'!$AF152</f>
        <v>0</v>
      </c>
      <c r="AI152" s="1810">
        <f>'HIV-Other HPs'!$S152+'HIV-Other HPs'!$Z152+'HIV-Other HPs'!$AG152</f>
        <v>0</v>
      </c>
      <c r="AJ152" s="1391" t="str">
        <f>IF($A152&lt;&gt;"",IFERROR(INDEX(PMtbl[[WKst]:[Unit of measure*]],MATCH($A$117&amp;$A152&amp;$D152&amp;$G152,INDEX(PMtbl[Sec]&amp;PMtbl[Category]&amp;PMtbl[INN]&amp;PMtbl[Specification],0,),0),7),""),"")</f>
        <v/>
      </c>
      <c r="AK152" s="2508"/>
      <c r="AL152" s="2509"/>
      <c r="AM152" s="1391" t="str">
        <f>IFERROR(INDEX(SETUP!$C$19:$G$62,MATCH((INDEX(PMtbl[[WKst]:[Unit of measure*]],MATCH($A152&amp;$D152&amp;$G152,INDEX(PMtbl[Category]&amp;PMtbl[INN]&amp;PMtbl[Specification],0,),0),3)),SETUP!$D$19:$D$62,0),5),"")</f>
        <v/>
      </c>
      <c r="AN152" s="1391" t="str">
        <f>IFERROR(IF((INDEX(SETUP!$C$19:$G$62,MATCH((INDEX(PMtbl[[WKst]:[Unit of measure*]],MATCH($A152&amp;$D152&amp;$G152,INDEX(PMtbl[Category]&amp;PMtbl[INN]&amp;PMtbl[Specification],0,),0),3)),SETUP!$D$19:$D$62,0),4))="Upfront",0,INDEX(SETUP!$C$19:$G$62,MATCH((INDEX(PMtbl[[WKst]:[Unit of measure*]],MATCH($A152&amp;$D152&amp;$G152,INDEX(PMtbl[Category]&amp;PMtbl[INN]&amp;PMtbl[Specification],0,),0),3)),SETUP!$D$19:$D$62,0),5)),"")</f>
        <v/>
      </c>
    </row>
    <row r="153" spans="1:40" s="198" customFormat="1">
      <c r="A153" s="2377"/>
      <c r="B153" s="2302"/>
      <c r="C153" s="2302"/>
      <c r="D153" s="2377"/>
      <c r="E153" s="2302"/>
      <c r="F153" s="2302"/>
      <c r="G153" s="2464"/>
      <c r="H153" s="2465"/>
      <c r="I153" s="2465"/>
      <c r="J153" s="2466"/>
      <c r="K153" s="209" t="str">
        <f>IF($A153&lt;&gt;"",IFERROR(INDEX(PMsheet!$B:$I,MATCH($A$117&amp;$A153&amp;$D153&amp;$G153,INDEX(PMsheet!$C:$C&amp;PMsheet!$E:$E&amp;PMsheet!$F:$F&amp;PMsheet!$G:$G,0,),0),8),""),"")</f>
        <v/>
      </c>
      <c r="L153" s="204" t="str">
        <f>IF(K153="", "",SETUP!$E$5)</f>
        <v/>
      </c>
      <c r="M153" s="1949"/>
      <c r="N153" s="1950"/>
      <c r="O153" s="1950"/>
      <c r="P153" s="1950"/>
      <c r="Q153" s="1950"/>
      <c r="R153" s="1815">
        <f>SUM('HIV-Other HPs'!$N153:$Q153)</f>
        <v>0</v>
      </c>
      <c r="S153" s="1816">
        <f>'HIV-Other HPs'!$M153*'HIV-Other HPs'!$R153</f>
        <v>0</v>
      </c>
      <c r="T153" s="1956"/>
      <c r="U153" s="1950"/>
      <c r="V153" s="1950"/>
      <c r="W153" s="1950"/>
      <c r="X153" s="1950"/>
      <c r="Y153" s="1815">
        <f>SUM('HIV-Other HPs'!$U153:$X153)</f>
        <v>0</v>
      </c>
      <c r="Z153" s="1816">
        <f>'HIV-Other HPs'!$T153*'HIV-Other HPs'!$Y153</f>
        <v>0</v>
      </c>
      <c r="AA153" s="1956"/>
      <c r="AB153" s="1950"/>
      <c r="AC153" s="1950"/>
      <c r="AD153" s="1950"/>
      <c r="AE153" s="1950"/>
      <c r="AF153" s="1815">
        <f>SUM('HIV-Other HPs'!$AB153:$AE153)</f>
        <v>0</v>
      </c>
      <c r="AG153" s="1816">
        <f>'HIV-Other HPs'!$AA153*'HIV-Other HPs'!$AF153</f>
        <v>0</v>
      </c>
      <c r="AH153" s="1817">
        <f>'HIV-Other HPs'!$R153+'HIV-Other HPs'!$Y153+'HIV-Other HPs'!$AF153</f>
        <v>0</v>
      </c>
      <c r="AI153" s="1816">
        <f>'HIV-Other HPs'!$S153+'HIV-Other HPs'!$Z153+'HIV-Other HPs'!$AG153</f>
        <v>0</v>
      </c>
      <c r="AJ153" s="1390" t="str">
        <f>IF($A153&lt;&gt;"",IFERROR(INDEX(PMtbl[[WKst]:[Unit of measure*]],MATCH($A$117&amp;$A153&amp;$D153&amp;$G153,INDEX(PMtbl[Sec]&amp;PMtbl[Category]&amp;PMtbl[INN]&amp;PMtbl[Specification],0,),0),7),""),"")</f>
        <v/>
      </c>
      <c r="AK153" s="2510"/>
      <c r="AL153" s="2511"/>
      <c r="AM153" s="1390" t="str">
        <f>IFERROR(INDEX(SETUP!$C$19:$G$62,MATCH((INDEX(PMtbl[[WKst]:[Unit of measure*]],MATCH($A153&amp;$D153&amp;$G153,INDEX(PMtbl[Category]&amp;PMtbl[INN]&amp;PMtbl[Specification],0,),0),3)),SETUP!$D$19:$D$62,0),5),"")</f>
        <v/>
      </c>
      <c r="AN153" s="1390" t="str">
        <f>IFERROR(IF((INDEX(SETUP!$C$19:$G$62,MATCH((INDEX(PMtbl[[WKst]:[Unit of measure*]],MATCH($A153&amp;$D153&amp;$G153,INDEX(PMtbl[Category]&amp;PMtbl[INN]&amp;PMtbl[Specification],0,),0),3)),SETUP!$D$19:$D$62,0),4))="Upfront",0,INDEX(SETUP!$C$19:$G$62,MATCH((INDEX(PMtbl[[WKst]:[Unit of measure*]],MATCH($A153&amp;$D153&amp;$G153,INDEX(PMtbl[Category]&amp;PMtbl[INN]&amp;PMtbl[Specification],0,),0),3)),SETUP!$D$19:$D$62,0),5)),"")</f>
        <v/>
      </c>
    </row>
    <row r="154" spans="1:40" s="198" customFormat="1">
      <c r="A154" s="2455"/>
      <c r="B154" s="2435"/>
      <c r="C154" s="2435"/>
      <c r="D154" s="2455"/>
      <c r="E154" s="2435"/>
      <c r="F154" s="2435"/>
      <c r="G154" s="2461"/>
      <c r="H154" s="2462"/>
      <c r="I154" s="2462"/>
      <c r="J154" s="2463"/>
      <c r="K154" s="213" t="str">
        <f>IF($A154&lt;&gt;"",IFERROR(INDEX(PMsheet!$B:$I,MATCH($A$117&amp;$A154&amp;$D154&amp;$G154,INDEX(PMsheet!$C:$C&amp;PMsheet!$E:$E&amp;PMsheet!$F:$F&amp;PMsheet!$G:$G,0,),0),8),""),"")</f>
        <v/>
      </c>
      <c r="L154" s="206" t="str">
        <f>IF(K154="", "",SETUP!$E$5)</f>
        <v/>
      </c>
      <c r="M154" s="1947"/>
      <c r="N154" s="12"/>
      <c r="O154" s="12"/>
      <c r="P154" s="12"/>
      <c r="Q154" s="12"/>
      <c r="R154" s="1809">
        <f>SUM('HIV-Other HPs'!$N154:$Q154)</f>
        <v>0</v>
      </c>
      <c r="S154" s="1810">
        <f>'HIV-Other HPs'!$M154*'HIV-Other HPs'!$R154</f>
        <v>0</v>
      </c>
      <c r="T154" s="1954"/>
      <c r="U154" s="12"/>
      <c r="V154" s="12"/>
      <c r="W154" s="12"/>
      <c r="X154" s="12"/>
      <c r="Y154" s="1809">
        <f>SUM('HIV-Other HPs'!$U154:$X154)</f>
        <v>0</v>
      </c>
      <c r="Z154" s="1810">
        <f>'HIV-Other HPs'!$T154*'HIV-Other HPs'!$Y154</f>
        <v>0</v>
      </c>
      <c r="AA154" s="1954"/>
      <c r="AB154" s="12"/>
      <c r="AC154" s="12"/>
      <c r="AD154" s="12"/>
      <c r="AE154" s="12"/>
      <c r="AF154" s="1809">
        <f>SUM('HIV-Other HPs'!$AB154:$AE154)</f>
        <v>0</v>
      </c>
      <c r="AG154" s="1810">
        <f>'HIV-Other HPs'!$AA154*'HIV-Other HPs'!$AF154</f>
        <v>0</v>
      </c>
      <c r="AH154" s="1811">
        <f>'HIV-Other HPs'!$R154+'HIV-Other HPs'!$Y154+'HIV-Other HPs'!$AF154</f>
        <v>0</v>
      </c>
      <c r="AI154" s="1810">
        <f>'HIV-Other HPs'!$S154+'HIV-Other HPs'!$Z154+'HIV-Other HPs'!$AG154</f>
        <v>0</v>
      </c>
      <c r="AJ154" s="1391" t="str">
        <f>IF($A154&lt;&gt;"",IFERROR(INDEX(PMtbl[[WKst]:[Unit of measure*]],MATCH($A$117&amp;$A154&amp;$D154&amp;$G154,INDEX(PMtbl[Sec]&amp;PMtbl[Category]&amp;PMtbl[INN]&amp;PMtbl[Specification],0,),0),7),""),"")</f>
        <v/>
      </c>
      <c r="AK154" s="2508"/>
      <c r="AL154" s="2509"/>
      <c r="AM154" s="1391" t="str">
        <f>IFERROR(INDEX(SETUP!$C$19:$G$62,MATCH((INDEX(PMtbl[[WKst]:[Unit of measure*]],MATCH($A154&amp;$D154&amp;$G154,INDEX(PMtbl[Category]&amp;PMtbl[INN]&amp;PMtbl[Specification],0,),0),3)),SETUP!$D$19:$D$62,0),5),"")</f>
        <v/>
      </c>
      <c r="AN154" s="1391" t="str">
        <f>IFERROR(IF((INDEX(SETUP!$C$19:$G$62,MATCH((INDEX(PMtbl[[WKst]:[Unit of measure*]],MATCH($A154&amp;$D154&amp;$G154,INDEX(PMtbl[Category]&amp;PMtbl[INN]&amp;PMtbl[Specification],0,),0),3)),SETUP!$D$19:$D$62,0),4))="Upfront",0,INDEX(SETUP!$C$19:$G$62,MATCH((INDEX(PMtbl[[WKst]:[Unit of measure*]],MATCH($A154&amp;$D154&amp;$G154,INDEX(PMtbl[Category]&amp;PMtbl[INN]&amp;PMtbl[Specification],0,),0),3)),SETUP!$D$19:$D$62,0),5)),"")</f>
        <v/>
      </c>
    </row>
    <row r="155" spans="1:40" s="198" customFormat="1">
      <c r="A155" s="2377"/>
      <c r="B155" s="2302"/>
      <c r="C155" s="2302"/>
      <c r="D155" s="2377"/>
      <c r="E155" s="2302"/>
      <c r="F155" s="2302"/>
      <c r="G155" s="2464"/>
      <c r="H155" s="2465"/>
      <c r="I155" s="2465"/>
      <c r="J155" s="2466"/>
      <c r="K155" s="209" t="str">
        <f>IF($A155&lt;&gt;"",IFERROR(INDEX(PMsheet!$B:$I,MATCH($A$117&amp;$A155&amp;$D155&amp;$G155,INDEX(PMsheet!$C:$C&amp;PMsheet!$E:$E&amp;PMsheet!$F:$F&amp;PMsheet!$G:$G,0,),0),8),""),"")</f>
        <v/>
      </c>
      <c r="L155" s="204" t="str">
        <f>IF(K155="", "",SETUP!$E$5)</f>
        <v/>
      </c>
      <c r="M155" s="1949"/>
      <c r="N155" s="1950"/>
      <c r="O155" s="1950"/>
      <c r="P155" s="1950"/>
      <c r="Q155" s="1950"/>
      <c r="R155" s="1815">
        <f>SUM('HIV-Other HPs'!$N155:$Q155)</f>
        <v>0</v>
      </c>
      <c r="S155" s="1816">
        <f>'HIV-Other HPs'!$M155*'HIV-Other HPs'!$R155</f>
        <v>0</v>
      </c>
      <c r="T155" s="1956"/>
      <c r="U155" s="1950"/>
      <c r="V155" s="1950"/>
      <c r="W155" s="1950"/>
      <c r="X155" s="1950"/>
      <c r="Y155" s="1815">
        <f>SUM('HIV-Other HPs'!$U155:$X155)</f>
        <v>0</v>
      </c>
      <c r="Z155" s="1816">
        <f>'HIV-Other HPs'!$T155*'HIV-Other HPs'!$Y155</f>
        <v>0</v>
      </c>
      <c r="AA155" s="1956"/>
      <c r="AB155" s="1950"/>
      <c r="AC155" s="1950"/>
      <c r="AD155" s="1950"/>
      <c r="AE155" s="1950"/>
      <c r="AF155" s="1815">
        <f>SUM('HIV-Other HPs'!$AB155:$AE155)</f>
        <v>0</v>
      </c>
      <c r="AG155" s="1816">
        <f>'HIV-Other HPs'!$AA155*'HIV-Other HPs'!$AF155</f>
        <v>0</v>
      </c>
      <c r="AH155" s="1817">
        <f>'HIV-Other HPs'!$R155+'HIV-Other HPs'!$Y155+'HIV-Other HPs'!$AF155</f>
        <v>0</v>
      </c>
      <c r="AI155" s="1816">
        <f>'HIV-Other HPs'!$S155+'HIV-Other HPs'!$Z155+'HIV-Other HPs'!$AG155</f>
        <v>0</v>
      </c>
      <c r="AJ155" s="1390" t="str">
        <f>IF($A155&lt;&gt;"",IFERROR(INDEX(PMtbl[[WKst]:[Unit of measure*]],MATCH($A$117&amp;$A155&amp;$D155&amp;$G155,INDEX(PMtbl[Sec]&amp;PMtbl[Category]&amp;PMtbl[INN]&amp;PMtbl[Specification],0,),0),7),""),"")</f>
        <v/>
      </c>
      <c r="AK155" s="2510"/>
      <c r="AL155" s="2511"/>
      <c r="AM155" s="1390" t="str">
        <f>IFERROR(INDEX(SETUP!$C$19:$G$62,MATCH((INDEX(PMtbl[[WKst]:[Unit of measure*]],MATCH($A155&amp;$D155&amp;$G155,INDEX(PMtbl[Category]&amp;PMtbl[INN]&amp;PMtbl[Specification],0,),0),3)),SETUP!$D$19:$D$62,0),5),"")</f>
        <v/>
      </c>
      <c r="AN155" s="1390" t="str">
        <f>IFERROR(IF((INDEX(SETUP!$C$19:$G$62,MATCH((INDEX(PMtbl[[WKst]:[Unit of measure*]],MATCH($A155&amp;$D155&amp;$G155,INDEX(PMtbl[Category]&amp;PMtbl[INN]&amp;PMtbl[Specification],0,),0),3)),SETUP!$D$19:$D$62,0),4))="Upfront",0,INDEX(SETUP!$C$19:$G$62,MATCH((INDEX(PMtbl[[WKst]:[Unit of measure*]],MATCH($A155&amp;$D155&amp;$G155,INDEX(PMtbl[Category]&amp;PMtbl[INN]&amp;PMtbl[Specification],0,),0),3)),SETUP!$D$19:$D$62,0),5)),"")</f>
        <v/>
      </c>
    </row>
    <row r="156" spans="1:40" s="198" customFormat="1">
      <c r="A156" s="2455"/>
      <c r="B156" s="2435"/>
      <c r="C156" s="2435"/>
      <c r="D156" s="2455"/>
      <c r="E156" s="2435"/>
      <c r="F156" s="2435"/>
      <c r="G156" s="2461"/>
      <c r="H156" s="2462"/>
      <c r="I156" s="2462"/>
      <c r="J156" s="2463"/>
      <c r="K156" s="213" t="str">
        <f>IF($A156&lt;&gt;"",IFERROR(INDEX(PMsheet!$B:$I,MATCH($A$117&amp;$A156&amp;$D156&amp;$G156,INDEX(PMsheet!$C:$C&amp;PMsheet!$E:$E&amp;PMsheet!$F:$F&amp;PMsheet!$G:$G,0,),0),8),""),"")</f>
        <v/>
      </c>
      <c r="L156" s="206" t="str">
        <f>IF(K156="", "",SETUP!$E$5)</f>
        <v/>
      </c>
      <c r="M156" s="1947"/>
      <c r="N156" s="12"/>
      <c r="O156" s="12"/>
      <c r="P156" s="12"/>
      <c r="Q156" s="12"/>
      <c r="R156" s="1809">
        <f>SUM('HIV-Other HPs'!$N156:$Q156)</f>
        <v>0</v>
      </c>
      <c r="S156" s="1810">
        <f>'HIV-Other HPs'!$M156*'HIV-Other HPs'!$R156</f>
        <v>0</v>
      </c>
      <c r="T156" s="1954"/>
      <c r="U156" s="12"/>
      <c r="V156" s="12"/>
      <c r="W156" s="12"/>
      <c r="X156" s="12"/>
      <c r="Y156" s="1809">
        <f>SUM('HIV-Other HPs'!$U156:$X156)</f>
        <v>0</v>
      </c>
      <c r="Z156" s="1810">
        <f>'HIV-Other HPs'!$T156*'HIV-Other HPs'!$Y156</f>
        <v>0</v>
      </c>
      <c r="AA156" s="1954"/>
      <c r="AB156" s="12"/>
      <c r="AC156" s="12"/>
      <c r="AD156" s="12"/>
      <c r="AE156" s="12"/>
      <c r="AF156" s="1809">
        <f>SUM('HIV-Other HPs'!$AB156:$AE156)</f>
        <v>0</v>
      </c>
      <c r="AG156" s="1810">
        <f>'HIV-Other HPs'!$AA156*'HIV-Other HPs'!$AF156</f>
        <v>0</v>
      </c>
      <c r="AH156" s="1811">
        <f>'HIV-Other HPs'!$R156+'HIV-Other HPs'!$Y156+'HIV-Other HPs'!$AF156</f>
        <v>0</v>
      </c>
      <c r="AI156" s="1810">
        <f>'HIV-Other HPs'!$S156+'HIV-Other HPs'!$Z156+'HIV-Other HPs'!$AG156</f>
        <v>0</v>
      </c>
      <c r="AJ156" s="1391" t="str">
        <f>IF($A156&lt;&gt;"",IFERROR(INDEX(PMtbl[[WKst]:[Unit of measure*]],MATCH($A$117&amp;$A156&amp;$D156&amp;$G156,INDEX(PMtbl[Sec]&amp;PMtbl[Category]&amp;PMtbl[INN]&amp;PMtbl[Specification],0,),0),7),""),"")</f>
        <v/>
      </c>
      <c r="AK156" s="2508"/>
      <c r="AL156" s="2509"/>
      <c r="AM156" s="1391" t="str">
        <f>IFERROR(INDEX(SETUP!$C$19:$G$62,MATCH((INDEX(PMtbl[[WKst]:[Unit of measure*]],MATCH($A156&amp;$D156&amp;$G156,INDEX(PMtbl[Category]&amp;PMtbl[INN]&amp;PMtbl[Specification],0,),0),3)),SETUP!$D$19:$D$62,0),5),"")</f>
        <v/>
      </c>
      <c r="AN156" s="1391" t="str">
        <f>IFERROR(IF((INDEX(SETUP!$C$19:$G$62,MATCH((INDEX(PMtbl[[WKst]:[Unit of measure*]],MATCH($A156&amp;$D156&amp;$G156,INDEX(PMtbl[Category]&amp;PMtbl[INN]&amp;PMtbl[Specification],0,),0),3)),SETUP!$D$19:$D$62,0),4))="Upfront",0,INDEX(SETUP!$C$19:$G$62,MATCH((INDEX(PMtbl[[WKst]:[Unit of measure*]],MATCH($A156&amp;$D156&amp;$G156,INDEX(PMtbl[Category]&amp;PMtbl[INN]&amp;PMtbl[Specification],0,),0),3)),SETUP!$D$19:$D$62,0),5)),"")</f>
        <v/>
      </c>
    </row>
    <row r="157" spans="1:40" s="198" customFormat="1">
      <c r="A157" s="2377"/>
      <c r="B157" s="2302"/>
      <c r="C157" s="2302"/>
      <c r="D157" s="2377"/>
      <c r="E157" s="2302"/>
      <c r="F157" s="2302"/>
      <c r="G157" s="2464"/>
      <c r="H157" s="2465"/>
      <c r="I157" s="2465"/>
      <c r="J157" s="2466"/>
      <c r="K157" s="209" t="str">
        <f>IF($A157&lt;&gt;"",IFERROR(INDEX(PMsheet!$B:$I,MATCH($A$117&amp;$A157&amp;$D157&amp;$G157,INDEX(PMsheet!$C:$C&amp;PMsheet!$E:$E&amp;PMsheet!$F:$F&amp;PMsheet!$G:$G,0,),0),8),""),"")</f>
        <v/>
      </c>
      <c r="L157" s="204" t="str">
        <f>IF(K157="", "",SETUP!$E$5)</f>
        <v/>
      </c>
      <c r="M157" s="1949"/>
      <c r="N157" s="1950"/>
      <c r="O157" s="1950"/>
      <c r="P157" s="1950"/>
      <c r="Q157" s="1950"/>
      <c r="R157" s="1815">
        <f>SUM('HIV-Other HPs'!$N157:$Q157)</f>
        <v>0</v>
      </c>
      <c r="S157" s="1816">
        <f>'HIV-Other HPs'!$M157*'HIV-Other HPs'!$R157</f>
        <v>0</v>
      </c>
      <c r="T157" s="1956"/>
      <c r="U157" s="1950"/>
      <c r="V157" s="1950"/>
      <c r="W157" s="1950"/>
      <c r="X157" s="1950"/>
      <c r="Y157" s="1815">
        <f>SUM('HIV-Other HPs'!$U157:$X157)</f>
        <v>0</v>
      </c>
      <c r="Z157" s="1816">
        <f>'HIV-Other HPs'!$T157*'HIV-Other HPs'!$Y157</f>
        <v>0</v>
      </c>
      <c r="AA157" s="1956"/>
      <c r="AB157" s="1950"/>
      <c r="AC157" s="1950"/>
      <c r="AD157" s="1950"/>
      <c r="AE157" s="1950"/>
      <c r="AF157" s="1815">
        <f>SUM('HIV-Other HPs'!$AB157:$AE157)</f>
        <v>0</v>
      </c>
      <c r="AG157" s="1816">
        <f>'HIV-Other HPs'!$AA157*'HIV-Other HPs'!$AF157</f>
        <v>0</v>
      </c>
      <c r="AH157" s="1817">
        <f>'HIV-Other HPs'!$R157+'HIV-Other HPs'!$Y157+'HIV-Other HPs'!$AF157</f>
        <v>0</v>
      </c>
      <c r="AI157" s="1816">
        <f>'HIV-Other HPs'!$S157+'HIV-Other HPs'!$Z157+'HIV-Other HPs'!$AG157</f>
        <v>0</v>
      </c>
      <c r="AJ157" s="1390" t="str">
        <f>IF($A157&lt;&gt;"",IFERROR(INDEX(PMtbl[[WKst]:[Unit of measure*]],MATCH($A$117&amp;$A157&amp;$D157&amp;$G157,INDEX(PMtbl[Sec]&amp;PMtbl[Category]&amp;PMtbl[INN]&amp;PMtbl[Specification],0,),0),7),""),"")</f>
        <v/>
      </c>
      <c r="AK157" s="2510"/>
      <c r="AL157" s="2511"/>
      <c r="AM157" s="1390" t="str">
        <f>IFERROR(INDEX(SETUP!$C$19:$G$62,MATCH((INDEX(PMtbl[[WKst]:[Unit of measure*]],MATCH($A157&amp;$D157&amp;$G157,INDEX(PMtbl[Category]&amp;PMtbl[INN]&amp;PMtbl[Specification],0,),0),3)),SETUP!$D$19:$D$62,0),5),"")</f>
        <v/>
      </c>
      <c r="AN157" s="1390" t="str">
        <f>IFERROR(IF((INDEX(SETUP!$C$19:$G$62,MATCH((INDEX(PMtbl[[WKst]:[Unit of measure*]],MATCH($A157&amp;$D157&amp;$G157,INDEX(PMtbl[Category]&amp;PMtbl[INN]&amp;PMtbl[Specification],0,),0),3)),SETUP!$D$19:$D$62,0),4))="Upfront",0,INDEX(SETUP!$C$19:$G$62,MATCH((INDEX(PMtbl[[WKst]:[Unit of measure*]],MATCH($A157&amp;$D157&amp;$G157,INDEX(PMtbl[Category]&amp;PMtbl[INN]&amp;PMtbl[Specification],0,),0),3)),SETUP!$D$19:$D$62,0),5)),"")</f>
        <v/>
      </c>
    </row>
    <row r="158" spans="1:40" s="198" customFormat="1">
      <c r="A158" s="2455"/>
      <c r="B158" s="2435"/>
      <c r="C158" s="2435"/>
      <c r="D158" s="2455"/>
      <c r="E158" s="2435"/>
      <c r="F158" s="2435"/>
      <c r="G158" s="2461"/>
      <c r="H158" s="2462"/>
      <c r="I158" s="2462"/>
      <c r="J158" s="2463"/>
      <c r="K158" s="213" t="str">
        <f>IF($A158&lt;&gt;"",IFERROR(INDEX(PMsheet!$B:$I,MATCH($A$117&amp;$A158&amp;$D158&amp;$G158,INDEX(PMsheet!$C:$C&amp;PMsheet!$E:$E&amp;PMsheet!$F:$F&amp;PMsheet!$G:$G,0,),0),8),""),"")</f>
        <v/>
      </c>
      <c r="L158" s="206" t="str">
        <f>IF(K158="", "",SETUP!$E$5)</f>
        <v/>
      </c>
      <c r="M158" s="1947"/>
      <c r="N158" s="12"/>
      <c r="O158" s="12"/>
      <c r="P158" s="12"/>
      <c r="Q158" s="12"/>
      <c r="R158" s="1809">
        <f>SUM('HIV-Other HPs'!$N158:$Q158)</f>
        <v>0</v>
      </c>
      <c r="S158" s="1810">
        <f>'HIV-Other HPs'!$M158*'HIV-Other HPs'!$R158</f>
        <v>0</v>
      </c>
      <c r="T158" s="1954"/>
      <c r="U158" s="12"/>
      <c r="V158" s="12"/>
      <c r="W158" s="12"/>
      <c r="X158" s="12"/>
      <c r="Y158" s="1809">
        <f>SUM('HIV-Other HPs'!$U158:$X158)</f>
        <v>0</v>
      </c>
      <c r="Z158" s="1810">
        <f>'HIV-Other HPs'!$T158*'HIV-Other HPs'!$Y158</f>
        <v>0</v>
      </c>
      <c r="AA158" s="1954"/>
      <c r="AB158" s="12"/>
      <c r="AC158" s="12"/>
      <c r="AD158" s="12"/>
      <c r="AE158" s="12"/>
      <c r="AF158" s="1809">
        <f>SUM('HIV-Other HPs'!$AB158:$AE158)</f>
        <v>0</v>
      </c>
      <c r="AG158" s="1810">
        <f>'HIV-Other HPs'!$AA158*'HIV-Other HPs'!$AF158</f>
        <v>0</v>
      </c>
      <c r="AH158" s="1811">
        <f>'HIV-Other HPs'!$R158+'HIV-Other HPs'!$Y158+'HIV-Other HPs'!$AF158</f>
        <v>0</v>
      </c>
      <c r="AI158" s="1810">
        <f>'HIV-Other HPs'!$S158+'HIV-Other HPs'!$Z158+'HIV-Other HPs'!$AG158</f>
        <v>0</v>
      </c>
      <c r="AJ158" s="1391" t="str">
        <f>IF($A158&lt;&gt;"",IFERROR(INDEX(PMtbl[[WKst]:[Unit of measure*]],MATCH($A$117&amp;$A158&amp;$D158&amp;$G158,INDEX(PMtbl[Sec]&amp;PMtbl[Category]&amp;PMtbl[INN]&amp;PMtbl[Specification],0,),0),7),""),"")</f>
        <v/>
      </c>
      <c r="AK158" s="2508"/>
      <c r="AL158" s="2509"/>
      <c r="AM158" s="1391" t="str">
        <f>IFERROR(INDEX(SETUP!$C$19:$G$62,MATCH((INDEX(PMtbl[[WKst]:[Unit of measure*]],MATCH($A158&amp;$D158&amp;$G158,INDEX(PMtbl[Category]&amp;PMtbl[INN]&amp;PMtbl[Specification],0,),0),3)),SETUP!$D$19:$D$62,0),5),"")</f>
        <v/>
      </c>
      <c r="AN158" s="1391" t="str">
        <f>IFERROR(IF((INDEX(SETUP!$C$19:$G$62,MATCH((INDEX(PMtbl[[WKst]:[Unit of measure*]],MATCH($A158&amp;$D158&amp;$G158,INDEX(PMtbl[Category]&amp;PMtbl[INN]&amp;PMtbl[Specification],0,),0),3)),SETUP!$D$19:$D$62,0),4))="Upfront",0,INDEX(SETUP!$C$19:$G$62,MATCH((INDEX(PMtbl[[WKst]:[Unit of measure*]],MATCH($A158&amp;$D158&amp;$G158,INDEX(PMtbl[Category]&amp;PMtbl[INN]&amp;PMtbl[Specification],0,),0),3)),SETUP!$D$19:$D$62,0),5)),"")</f>
        <v/>
      </c>
    </row>
    <row r="159" spans="1:40" s="198" customFormat="1">
      <c r="A159" s="2377"/>
      <c r="B159" s="2302"/>
      <c r="C159" s="2302"/>
      <c r="D159" s="2377"/>
      <c r="E159" s="2302"/>
      <c r="F159" s="2302"/>
      <c r="G159" s="2464"/>
      <c r="H159" s="2465"/>
      <c r="I159" s="2465"/>
      <c r="J159" s="2466"/>
      <c r="K159" s="209" t="str">
        <f>IF($A159&lt;&gt;"",IFERROR(INDEX(PMsheet!$B:$I,MATCH($A$117&amp;$A159&amp;$D159&amp;$G159,INDEX(PMsheet!$C:$C&amp;PMsheet!$E:$E&amp;PMsheet!$F:$F&amp;PMsheet!$G:$G,0,),0),8),""),"")</f>
        <v/>
      </c>
      <c r="L159" s="204" t="str">
        <f>IF(K159="", "",SETUP!$E$5)</f>
        <v/>
      </c>
      <c r="M159" s="1949"/>
      <c r="N159" s="1950"/>
      <c r="O159" s="1950"/>
      <c r="P159" s="1950"/>
      <c r="Q159" s="1950"/>
      <c r="R159" s="1815">
        <f>SUM('HIV-Other HPs'!$N159:$Q159)</f>
        <v>0</v>
      </c>
      <c r="S159" s="1816">
        <f>'HIV-Other HPs'!$M159*'HIV-Other HPs'!$R159</f>
        <v>0</v>
      </c>
      <c r="T159" s="1956"/>
      <c r="U159" s="1950"/>
      <c r="V159" s="1950"/>
      <c r="W159" s="1950"/>
      <c r="X159" s="1950"/>
      <c r="Y159" s="1815">
        <f>SUM('HIV-Other HPs'!$U159:$X159)</f>
        <v>0</v>
      </c>
      <c r="Z159" s="1816">
        <f>'HIV-Other HPs'!$T159*'HIV-Other HPs'!$Y159</f>
        <v>0</v>
      </c>
      <c r="AA159" s="1956"/>
      <c r="AB159" s="1950"/>
      <c r="AC159" s="1950"/>
      <c r="AD159" s="1950"/>
      <c r="AE159" s="1950"/>
      <c r="AF159" s="1815">
        <f>SUM('HIV-Other HPs'!$AB159:$AE159)</f>
        <v>0</v>
      </c>
      <c r="AG159" s="1816">
        <f>'HIV-Other HPs'!$AA159*'HIV-Other HPs'!$AF159</f>
        <v>0</v>
      </c>
      <c r="AH159" s="1817">
        <f>'HIV-Other HPs'!$R159+'HIV-Other HPs'!$Y159+'HIV-Other HPs'!$AF159</f>
        <v>0</v>
      </c>
      <c r="AI159" s="1816">
        <f>'HIV-Other HPs'!$S159+'HIV-Other HPs'!$Z159+'HIV-Other HPs'!$AG159</f>
        <v>0</v>
      </c>
      <c r="AJ159" s="1390" t="str">
        <f>IF($A159&lt;&gt;"",IFERROR(INDEX(PMtbl[[WKst]:[Unit of measure*]],MATCH($A$117&amp;$A159&amp;$D159&amp;$G159,INDEX(PMtbl[Sec]&amp;PMtbl[Category]&amp;PMtbl[INN]&amp;PMtbl[Specification],0,),0),7),""),"")</f>
        <v/>
      </c>
      <c r="AK159" s="2510"/>
      <c r="AL159" s="2511"/>
      <c r="AM159" s="1390" t="str">
        <f>IFERROR(INDEX(SETUP!$C$19:$G$62,MATCH((INDEX(PMtbl[[WKst]:[Unit of measure*]],MATCH($A159&amp;$D159&amp;$G159,INDEX(PMtbl[Category]&amp;PMtbl[INN]&amp;PMtbl[Specification],0,),0),3)),SETUP!$D$19:$D$62,0),5),"")</f>
        <v/>
      </c>
      <c r="AN159" s="1390" t="str">
        <f>IFERROR(IF((INDEX(SETUP!$C$19:$G$62,MATCH((INDEX(PMtbl[[WKst]:[Unit of measure*]],MATCH($A159&amp;$D159&amp;$G159,INDEX(PMtbl[Category]&amp;PMtbl[INN]&amp;PMtbl[Specification],0,),0),3)),SETUP!$D$19:$D$62,0),4))="Upfront",0,INDEX(SETUP!$C$19:$G$62,MATCH((INDEX(PMtbl[[WKst]:[Unit of measure*]],MATCH($A159&amp;$D159&amp;$G159,INDEX(PMtbl[Category]&amp;PMtbl[INN]&amp;PMtbl[Specification],0,),0),3)),SETUP!$D$19:$D$62,0),5)),"")</f>
        <v/>
      </c>
    </row>
    <row r="160" spans="1:40" s="198" customFormat="1">
      <c r="A160" s="2455"/>
      <c r="B160" s="2435"/>
      <c r="C160" s="2435"/>
      <c r="D160" s="2455"/>
      <c r="E160" s="2435"/>
      <c r="F160" s="2435"/>
      <c r="G160" s="2461"/>
      <c r="H160" s="2462"/>
      <c r="I160" s="2462"/>
      <c r="J160" s="2463"/>
      <c r="K160" s="213" t="str">
        <f>IF($A160&lt;&gt;"",IFERROR(INDEX(PMsheet!$B:$I,MATCH($A$117&amp;$A160&amp;$D160&amp;$G160,INDEX(PMsheet!$C:$C&amp;PMsheet!$E:$E&amp;PMsheet!$F:$F&amp;PMsheet!$G:$G,0,),0),8),""),"")</f>
        <v/>
      </c>
      <c r="L160" s="206" t="str">
        <f>IF(K160="", "",SETUP!$E$5)</f>
        <v/>
      </c>
      <c r="M160" s="1947"/>
      <c r="N160" s="12"/>
      <c r="O160" s="12"/>
      <c r="P160" s="12"/>
      <c r="Q160" s="12"/>
      <c r="R160" s="1809">
        <f>SUM('HIV-Other HPs'!$N160:$Q160)</f>
        <v>0</v>
      </c>
      <c r="S160" s="1810">
        <f>'HIV-Other HPs'!$M160*'HIV-Other HPs'!$R160</f>
        <v>0</v>
      </c>
      <c r="T160" s="1954"/>
      <c r="U160" s="12"/>
      <c r="V160" s="12"/>
      <c r="W160" s="12"/>
      <c r="X160" s="12"/>
      <c r="Y160" s="1809">
        <f>SUM('HIV-Other HPs'!$U160:$X160)</f>
        <v>0</v>
      </c>
      <c r="Z160" s="1810">
        <f>'HIV-Other HPs'!$T160*'HIV-Other HPs'!$Y160</f>
        <v>0</v>
      </c>
      <c r="AA160" s="1954"/>
      <c r="AB160" s="12"/>
      <c r="AC160" s="12"/>
      <c r="AD160" s="12"/>
      <c r="AE160" s="12"/>
      <c r="AF160" s="1809">
        <f>SUM('HIV-Other HPs'!$AB160:$AE160)</f>
        <v>0</v>
      </c>
      <c r="AG160" s="1810">
        <f>'HIV-Other HPs'!$AA160*'HIV-Other HPs'!$AF160</f>
        <v>0</v>
      </c>
      <c r="AH160" s="1811">
        <f>'HIV-Other HPs'!$R160+'HIV-Other HPs'!$Y160+'HIV-Other HPs'!$AF160</f>
        <v>0</v>
      </c>
      <c r="AI160" s="1810">
        <f>'HIV-Other HPs'!$S160+'HIV-Other HPs'!$Z160+'HIV-Other HPs'!$AG160</f>
        <v>0</v>
      </c>
      <c r="AJ160" s="1391" t="str">
        <f>IF($A160&lt;&gt;"",IFERROR(INDEX(PMtbl[[WKst]:[Unit of measure*]],MATCH($A$117&amp;$A160&amp;$D160&amp;$G160,INDEX(PMtbl[Sec]&amp;PMtbl[Category]&amp;PMtbl[INN]&amp;PMtbl[Specification],0,),0),7),""),"")</f>
        <v/>
      </c>
      <c r="AK160" s="2508"/>
      <c r="AL160" s="2509"/>
      <c r="AM160" s="1391" t="str">
        <f>IFERROR(INDEX(SETUP!$C$19:$G$62,MATCH((INDEX(PMtbl[[WKst]:[Unit of measure*]],MATCH($A160&amp;$D160&amp;$G160,INDEX(PMtbl[Category]&amp;PMtbl[INN]&amp;PMtbl[Specification],0,),0),3)),SETUP!$D$19:$D$62,0),5),"")</f>
        <v/>
      </c>
      <c r="AN160" s="1391" t="str">
        <f>IFERROR(IF((INDEX(SETUP!$C$19:$G$62,MATCH((INDEX(PMtbl[[WKst]:[Unit of measure*]],MATCH($A160&amp;$D160&amp;$G160,INDEX(PMtbl[Category]&amp;PMtbl[INN]&amp;PMtbl[Specification],0,),0),3)),SETUP!$D$19:$D$62,0),4))="Upfront",0,INDEX(SETUP!$C$19:$G$62,MATCH((INDEX(PMtbl[[WKst]:[Unit of measure*]],MATCH($A160&amp;$D160&amp;$G160,INDEX(PMtbl[Category]&amp;PMtbl[INN]&amp;PMtbl[Specification],0,),0),3)),SETUP!$D$19:$D$62,0),5)),"")</f>
        <v/>
      </c>
    </row>
    <row r="161" spans="1:40" s="198" customFormat="1">
      <c r="A161" s="2377"/>
      <c r="B161" s="2302"/>
      <c r="C161" s="2302"/>
      <c r="D161" s="2377"/>
      <c r="E161" s="2302"/>
      <c r="F161" s="2302"/>
      <c r="G161" s="2464"/>
      <c r="H161" s="2465"/>
      <c r="I161" s="2465"/>
      <c r="J161" s="2466"/>
      <c r="K161" s="209" t="str">
        <f>IF($A161&lt;&gt;"",IFERROR(INDEX(PMsheet!$B:$I,MATCH($A$117&amp;$A161&amp;$D161&amp;$G161,INDEX(PMsheet!$C:$C&amp;PMsheet!$E:$E&amp;PMsheet!$F:$F&amp;PMsheet!$G:$G,0,),0),8),""),"")</f>
        <v/>
      </c>
      <c r="L161" s="204" t="str">
        <f>IF(K161="", "",SETUP!$E$5)</f>
        <v/>
      </c>
      <c r="M161" s="1949"/>
      <c r="N161" s="1950"/>
      <c r="O161" s="1950"/>
      <c r="P161" s="1950"/>
      <c r="Q161" s="1950"/>
      <c r="R161" s="1815">
        <f>SUM('HIV-Other HPs'!$N161:$Q161)</f>
        <v>0</v>
      </c>
      <c r="S161" s="1816">
        <f>'HIV-Other HPs'!$M161*'HIV-Other HPs'!$R161</f>
        <v>0</v>
      </c>
      <c r="T161" s="1956"/>
      <c r="U161" s="1950"/>
      <c r="V161" s="1950"/>
      <c r="W161" s="1950"/>
      <c r="X161" s="1950"/>
      <c r="Y161" s="1815">
        <f>SUM('HIV-Other HPs'!$U161:$X161)</f>
        <v>0</v>
      </c>
      <c r="Z161" s="1816">
        <f>'HIV-Other HPs'!$T161*'HIV-Other HPs'!$Y161</f>
        <v>0</v>
      </c>
      <c r="AA161" s="1956"/>
      <c r="AB161" s="1950"/>
      <c r="AC161" s="1950"/>
      <c r="AD161" s="1950"/>
      <c r="AE161" s="1950"/>
      <c r="AF161" s="1815">
        <f>SUM('HIV-Other HPs'!$AB161:$AE161)</f>
        <v>0</v>
      </c>
      <c r="AG161" s="1816">
        <f>'HIV-Other HPs'!$AA161*'HIV-Other HPs'!$AF161</f>
        <v>0</v>
      </c>
      <c r="AH161" s="1817">
        <f>'HIV-Other HPs'!$R161+'HIV-Other HPs'!$Y161+'HIV-Other HPs'!$AF161</f>
        <v>0</v>
      </c>
      <c r="AI161" s="1816">
        <f>'HIV-Other HPs'!$S161+'HIV-Other HPs'!$Z161+'HIV-Other HPs'!$AG161</f>
        <v>0</v>
      </c>
      <c r="AJ161" s="1390" t="str">
        <f>IF($A161&lt;&gt;"",IFERROR(INDEX(PMtbl[[WKst]:[Unit of measure*]],MATCH($A$117&amp;$A161&amp;$D161&amp;$G161,INDEX(PMtbl[Sec]&amp;PMtbl[Category]&amp;PMtbl[INN]&amp;PMtbl[Specification],0,),0),7),""),"")</f>
        <v/>
      </c>
      <c r="AK161" s="2510"/>
      <c r="AL161" s="2511"/>
      <c r="AM161" s="1390" t="str">
        <f>IFERROR(INDEX(SETUP!$C$19:$G$62,MATCH((INDEX(PMtbl[[WKst]:[Unit of measure*]],MATCH($A161&amp;$D161&amp;$G161,INDEX(PMtbl[Category]&amp;PMtbl[INN]&amp;PMtbl[Specification],0,),0),3)),SETUP!$D$19:$D$62,0),5),"")</f>
        <v/>
      </c>
      <c r="AN161" s="1390" t="str">
        <f>IFERROR(IF((INDEX(SETUP!$C$19:$G$62,MATCH((INDEX(PMtbl[[WKst]:[Unit of measure*]],MATCH($A161&amp;$D161&amp;$G161,INDEX(PMtbl[Category]&amp;PMtbl[INN]&amp;PMtbl[Specification],0,),0),3)),SETUP!$D$19:$D$62,0),4))="Upfront",0,INDEX(SETUP!$C$19:$G$62,MATCH((INDEX(PMtbl[[WKst]:[Unit of measure*]],MATCH($A161&amp;$D161&amp;$G161,INDEX(PMtbl[Category]&amp;PMtbl[INN]&amp;PMtbl[Specification],0,),0),3)),SETUP!$D$19:$D$62,0),5)),"")</f>
        <v/>
      </c>
    </row>
    <row r="162" spans="1:40" s="198" customFormat="1">
      <c r="A162" s="2455"/>
      <c r="B162" s="2435"/>
      <c r="C162" s="2435"/>
      <c r="D162" s="2455"/>
      <c r="E162" s="2435"/>
      <c r="F162" s="2435"/>
      <c r="G162" s="2461"/>
      <c r="H162" s="2462"/>
      <c r="I162" s="2462"/>
      <c r="J162" s="2463"/>
      <c r="K162" s="213" t="str">
        <f>IF($A162&lt;&gt;"",IFERROR(INDEX(PMsheet!$B:$I,MATCH($A$117&amp;$A162&amp;$D162&amp;$G162,INDEX(PMsheet!$C:$C&amp;PMsheet!$E:$E&amp;PMsheet!$F:$F&amp;PMsheet!$G:$G,0,),0),8),""),"")</f>
        <v/>
      </c>
      <c r="L162" s="206" t="str">
        <f>IF(K162="", "",SETUP!$E$5)</f>
        <v/>
      </c>
      <c r="M162" s="1947"/>
      <c r="N162" s="12"/>
      <c r="O162" s="12"/>
      <c r="P162" s="12"/>
      <c r="Q162" s="12"/>
      <c r="R162" s="1809">
        <f>SUM('HIV-Other HPs'!$N162:$Q162)</f>
        <v>0</v>
      </c>
      <c r="S162" s="1810">
        <f>'HIV-Other HPs'!$M162*'HIV-Other HPs'!$R162</f>
        <v>0</v>
      </c>
      <c r="T162" s="1954"/>
      <c r="U162" s="12"/>
      <c r="V162" s="12"/>
      <c r="W162" s="12"/>
      <c r="X162" s="12"/>
      <c r="Y162" s="1809">
        <f>SUM('HIV-Other HPs'!$U162:$X162)</f>
        <v>0</v>
      </c>
      <c r="Z162" s="1810">
        <f>'HIV-Other HPs'!$T162*'HIV-Other HPs'!$Y162</f>
        <v>0</v>
      </c>
      <c r="AA162" s="1954"/>
      <c r="AB162" s="12"/>
      <c r="AC162" s="12"/>
      <c r="AD162" s="12"/>
      <c r="AE162" s="12"/>
      <c r="AF162" s="1809">
        <f>SUM('HIV-Other HPs'!$AB162:$AE162)</f>
        <v>0</v>
      </c>
      <c r="AG162" s="1810">
        <f>'HIV-Other HPs'!$AA162*'HIV-Other HPs'!$AF162</f>
        <v>0</v>
      </c>
      <c r="AH162" s="1811">
        <f>'HIV-Other HPs'!$R162+'HIV-Other HPs'!$Y162+'HIV-Other HPs'!$AF162</f>
        <v>0</v>
      </c>
      <c r="AI162" s="1810">
        <f>'HIV-Other HPs'!$S162+'HIV-Other HPs'!$Z162+'HIV-Other HPs'!$AG162</f>
        <v>0</v>
      </c>
      <c r="AJ162" s="1391" t="str">
        <f>IF($A162&lt;&gt;"",IFERROR(INDEX(PMtbl[[WKst]:[Unit of measure*]],MATCH($A$117&amp;$A162&amp;$D162&amp;$G162,INDEX(PMtbl[Sec]&amp;PMtbl[Category]&amp;PMtbl[INN]&amp;PMtbl[Specification],0,),0),7),""),"")</f>
        <v/>
      </c>
      <c r="AK162" s="2508"/>
      <c r="AL162" s="2509"/>
      <c r="AM162" s="1391" t="str">
        <f>IFERROR(INDEX(SETUP!$C$19:$G$62,MATCH((INDEX(PMtbl[[WKst]:[Unit of measure*]],MATCH($A162&amp;$D162&amp;$G162,INDEX(PMtbl[Category]&amp;PMtbl[INN]&amp;PMtbl[Specification],0,),0),3)),SETUP!$D$19:$D$62,0),5),"")</f>
        <v/>
      </c>
      <c r="AN162" s="1391" t="str">
        <f>IFERROR(IF((INDEX(SETUP!$C$19:$G$62,MATCH((INDEX(PMtbl[[WKst]:[Unit of measure*]],MATCH($A162&amp;$D162&amp;$G162,INDEX(PMtbl[Category]&amp;PMtbl[INN]&amp;PMtbl[Specification],0,),0),3)),SETUP!$D$19:$D$62,0),4))="Upfront",0,INDEX(SETUP!$C$19:$G$62,MATCH((INDEX(PMtbl[[WKst]:[Unit of measure*]],MATCH($A162&amp;$D162&amp;$G162,INDEX(PMtbl[Category]&amp;PMtbl[INN]&amp;PMtbl[Specification],0,),0),3)),SETUP!$D$19:$D$62,0),5)),"")</f>
        <v/>
      </c>
    </row>
    <row r="163" spans="1:40" s="198" customFormat="1">
      <c r="A163" s="2377"/>
      <c r="B163" s="2302"/>
      <c r="C163" s="2302"/>
      <c r="D163" s="2377"/>
      <c r="E163" s="2302"/>
      <c r="F163" s="2302"/>
      <c r="G163" s="2464"/>
      <c r="H163" s="2465"/>
      <c r="I163" s="2465"/>
      <c r="J163" s="2466"/>
      <c r="K163" s="209" t="str">
        <f>IF($A163&lt;&gt;"",IFERROR(INDEX(PMsheet!$B:$I,MATCH($A$117&amp;$A163&amp;$D163&amp;$G163,INDEX(PMsheet!$C:$C&amp;PMsheet!$E:$E&amp;PMsheet!$F:$F&amp;PMsheet!$G:$G,0,),0),8),""),"")</f>
        <v/>
      </c>
      <c r="L163" s="204" t="str">
        <f>IF(K163="", "",SETUP!$E$5)</f>
        <v/>
      </c>
      <c r="M163" s="1949"/>
      <c r="N163" s="1950"/>
      <c r="O163" s="1950"/>
      <c r="P163" s="1950"/>
      <c r="Q163" s="1950"/>
      <c r="R163" s="1815">
        <f>SUM('HIV-Other HPs'!$N163:$Q163)</f>
        <v>0</v>
      </c>
      <c r="S163" s="1816">
        <f>'HIV-Other HPs'!$M163*'HIV-Other HPs'!$R163</f>
        <v>0</v>
      </c>
      <c r="T163" s="1956"/>
      <c r="U163" s="1950"/>
      <c r="V163" s="1950"/>
      <c r="W163" s="1950"/>
      <c r="X163" s="1950"/>
      <c r="Y163" s="1815">
        <f>SUM('HIV-Other HPs'!$U163:$X163)</f>
        <v>0</v>
      </c>
      <c r="Z163" s="1816">
        <f>'HIV-Other HPs'!$T163*'HIV-Other HPs'!$Y163</f>
        <v>0</v>
      </c>
      <c r="AA163" s="1956"/>
      <c r="AB163" s="1950"/>
      <c r="AC163" s="1950"/>
      <c r="AD163" s="1950"/>
      <c r="AE163" s="1950"/>
      <c r="AF163" s="1815">
        <f>SUM('HIV-Other HPs'!$AB163:$AE163)</f>
        <v>0</v>
      </c>
      <c r="AG163" s="1816">
        <f>'HIV-Other HPs'!$AA163*'HIV-Other HPs'!$AF163</f>
        <v>0</v>
      </c>
      <c r="AH163" s="1817">
        <f>'HIV-Other HPs'!$R163+'HIV-Other HPs'!$Y163+'HIV-Other HPs'!$AF163</f>
        <v>0</v>
      </c>
      <c r="AI163" s="1816">
        <f>'HIV-Other HPs'!$S163+'HIV-Other HPs'!$Z163+'HIV-Other HPs'!$AG163</f>
        <v>0</v>
      </c>
      <c r="AJ163" s="1390" t="str">
        <f>IF($A163&lt;&gt;"",IFERROR(INDEX(PMtbl[[WKst]:[Unit of measure*]],MATCH($A$117&amp;$A163&amp;$D163&amp;$G163,INDEX(PMtbl[Sec]&amp;PMtbl[Category]&amp;PMtbl[INN]&amp;PMtbl[Specification],0,),0),7),""),"")</f>
        <v/>
      </c>
      <c r="AK163" s="2510"/>
      <c r="AL163" s="2511"/>
      <c r="AM163" s="1390" t="str">
        <f>IFERROR(INDEX(SETUP!$C$19:$G$62,MATCH((INDEX(PMtbl[[WKst]:[Unit of measure*]],MATCH($A163&amp;$D163&amp;$G163,INDEX(PMtbl[Category]&amp;PMtbl[INN]&amp;PMtbl[Specification],0,),0),3)),SETUP!$D$19:$D$62,0),5),"")</f>
        <v/>
      </c>
      <c r="AN163" s="1390" t="str">
        <f>IFERROR(IF((INDEX(SETUP!$C$19:$G$62,MATCH((INDEX(PMtbl[[WKst]:[Unit of measure*]],MATCH($A163&amp;$D163&amp;$G163,INDEX(PMtbl[Category]&amp;PMtbl[INN]&amp;PMtbl[Specification],0,),0),3)),SETUP!$D$19:$D$62,0),4))="Upfront",0,INDEX(SETUP!$C$19:$G$62,MATCH((INDEX(PMtbl[[WKst]:[Unit of measure*]],MATCH($A163&amp;$D163&amp;$G163,INDEX(PMtbl[Category]&amp;PMtbl[INN]&amp;PMtbl[Specification],0,),0),3)),SETUP!$D$19:$D$62,0),5)),"")</f>
        <v/>
      </c>
    </row>
    <row r="164" spans="1:40" s="198" customFormat="1">
      <c r="A164" s="2455"/>
      <c r="B164" s="2435"/>
      <c r="C164" s="2435"/>
      <c r="D164" s="2455"/>
      <c r="E164" s="2435"/>
      <c r="F164" s="2435"/>
      <c r="G164" s="2461"/>
      <c r="H164" s="2462"/>
      <c r="I164" s="2462"/>
      <c r="J164" s="2463"/>
      <c r="K164" s="213" t="str">
        <f>IF($A164&lt;&gt;"",IFERROR(INDEX(PMsheet!$B:$I,MATCH($A$117&amp;$A164&amp;$D164&amp;$G164,INDEX(PMsheet!$C:$C&amp;PMsheet!$E:$E&amp;PMsheet!$F:$F&amp;PMsheet!$G:$G,0,),0),8),""),"")</f>
        <v/>
      </c>
      <c r="L164" s="206" t="str">
        <f>IF(K164="", "",SETUP!$E$5)</f>
        <v/>
      </c>
      <c r="M164" s="1947"/>
      <c r="N164" s="12"/>
      <c r="O164" s="12"/>
      <c r="P164" s="12"/>
      <c r="Q164" s="12"/>
      <c r="R164" s="1809">
        <f>SUM('HIV-Other HPs'!$N164:$Q164)</f>
        <v>0</v>
      </c>
      <c r="S164" s="1810">
        <f>'HIV-Other HPs'!$M164*'HIV-Other HPs'!$R164</f>
        <v>0</v>
      </c>
      <c r="T164" s="1954"/>
      <c r="U164" s="12"/>
      <c r="V164" s="12"/>
      <c r="W164" s="12"/>
      <c r="X164" s="12"/>
      <c r="Y164" s="1809">
        <f>SUM('HIV-Other HPs'!$U164:$X164)</f>
        <v>0</v>
      </c>
      <c r="Z164" s="1810">
        <f>'HIV-Other HPs'!$T164*'HIV-Other HPs'!$Y164</f>
        <v>0</v>
      </c>
      <c r="AA164" s="1954"/>
      <c r="AB164" s="12"/>
      <c r="AC164" s="12"/>
      <c r="AD164" s="12"/>
      <c r="AE164" s="12"/>
      <c r="AF164" s="1809">
        <f>SUM('HIV-Other HPs'!$AB164:$AE164)</f>
        <v>0</v>
      </c>
      <c r="AG164" s="1810">
        <f>'HIV-Other HPs'!$AA164*'HIV-Other HPs'!$AF164</f>
        <v>0</v>
      </c>
      <c r="AH164" s="1811">
        <f>'HIV-Other HPs'!$R164+'HIV-Other HPs'!$Y164+'HIV-Other HPs'!$AF164</f>
        <v>0</v>
      </c>
      <c r="AI164" s="1810">
        <f>'HIV-Other HPs'!$S164+'HIV-Other HPs'!$Z164+'HIV-Other HPs'!$AG164</f>
        <v>0</v>
      </c>
      <c r="AJ164" s="1391" t="str">
        <f>IF($A164&lt;&gt;"",IFERROR(INDEX(PMtbl[[WKst]:[Unit of measure*]],MATCH($A$117&amp;$A164&amp;$D164&amp;$G164,INDEX(PMtbl[Sec]&amp;PMtbl[Category]&amp;PMtbl[INN]&amp;PMtbl[Specification],0,),0),7),""),"")</f>
        <v/>
      </c>
      <c r="AK164" s="2508"/>
      <c r="AL164" s="2509"/>
      <c r="AM164" s="1391" t="str">
        <f>IFERROR(INDEX(SETUP!$C$19:$G$62,MATCH((INDEX(PMtbl[[WKst]:[Unit of measure*]],MATCH($A164&amp;$D164&amp;$G164,INDEX(PMtbl[Category]&amp;PMtbl[INN]&amp;PMtbl[Specification],0,),0),3)),SETUP!$D$19:$D$62,0),5),"")</f>
        <v/>
      </c>
      <c r="AN164" s="1391" t="str">
        <f>IFERROR(IF((INDEX(SETUP!$C$19:$G$62,MATCH((INDEX(PMtbl[[WKst]:[Unit of measure*]],MATCH($A164&amp;$D164&amp;$G164,INDEX(PMtbl[Category]&amp;PMtbl[INN]&amp;PMtbl[Specification],0,),0),3)),SETUP!$D$19:$D$62,0),4))="Upfront",0,INDEX(SETUP!$C$19:$G$62,MATCH((INDEX(PMtbl[[WKst]:[Unit of measure*]],MATCH($A164&amp;$D164&amp;$G164,INDEX(PMtbl[Category]&amp;PMtbl[INN]&amp;PMtbl[Specification],0,),0),3)),SETUP!$D$19:$D$62,0),5)),"")</f>
        <v/>
      </c>
    </row>
    <row r="165" spans="1:40" s="198" customFormat="1">
      <c r="A165" s="2377"/>
      <c r="B165" s="2302"/>
      <c r="C165" s="2302"/>
      <c r="D165" s="2377"/>
      <c r="E165" s="2302"/>
      <c r="F165" s="2302"/>
      <c r="G165" s="2464"/>
      <c r="H165" s="2465"/>
      <c r="I165" s="2465"/>
      <c r="J165" s="2466"/>
      <c r="K165" s="209" t="str">
        <f>IF($A165&lt;&gt;"",IFERROR(INDEX(PMsheet!$B:$I,MATCH($A$117&amp;$A165&amp;$D165&amp;$G165,INDEX(PMsheet!$C:$C&amp;PMsheet!$E:$E&amp;PMsheet!$F:$F&amp;PMsheet!$G:$G,0,),0),8),""),"")</f>
        <v/>
      </c>
      <c r="L165" s="204" t="str">
        <f>IF(K165="", "",SETUP!$E$5)</f>
        <v/>
      </c>
      <c r="M165" s="1949"/>
      <c r="N165" s="1950"/>
      <c r="O165" s="1950"/>
      <c r="P165" s="1950"/>
      <c r="Q165" s="1950"/>
      <c r="R165" s="1815">
        <f>SUM('HIV-Other HPs'!$N165:$Q165)</f>
        <v>0</v>
      </c>
      <c r="S165" s="1816">
        <f>'HIV-Other HPs'!$M165*'HIV-Other HPs'!$R165</f>
        <v>0</v>
      </c>
      <c r="T165" s="1956"/>
      <c r="U165" s="1950"/>
      <c r="V165" s="1950"/>
      <c r="W165" s="1950"/>
      <c r="X165" s="1950"/>
      <c r="Y165" s="1815">
        <f>SUM('HIV-Other HPs'!$U165:$X165)</f>
        <v>0</v>
      </c>
      <c r="Z165" s="1816">
        <f>'HIV-Other HPs'!$T165*'HIV-Other HPs'!$Y165</f>
        <v>0</v>
      </c>
      <c r="AA165" s="1956"/>
      <c r="AB165" s="1950"/>
      <c r="AC165" s="1950"/>
      <c r="AD165" s="1950"/>
      <c r="AE165" s="1950"/>
      <c r="AF165" s="1815">
        <f>SUM('HIV-Other HPs'!$AB165:$AE165)</f>
        <v>0</v>
      </c>
      <c r="AG165" s="1816">
        <f>'HIV-Other HPs'!$AA165*'HIV-Other HPs'!$AF165</f>
        <v>0</v>
      </c>
      <c r="AH165" s="1817">
        <f>'HIV-Other HPs'!$R165+'HIV-Other HPs'!$Y165+'HIV-Other HPs'!$AF165</f>
        <v>0</v>
      </c>
      <c r="AI165" s="1816">
        <f>'HIV-Other HPs'!$S165+'HIV-Other HPs'!$Z165+'HIV-Other HPs'!$AG165</f>
        <v>0</v>
      </c>
      <c r="AJ165" s="1390" t="str">
        <f>IF($A165&lt;&gt;"",IFERROR(INDEX(PMtbl[[WKst]:[Unit of measure*]],MATCH($A$117&amp;$A165&amp;$D165&amp;$G165,INDEX(PMtbl[Sec]&amp;PMtbl[Category]&amp;PMtbl[INN]&amp;PMtbl[Specification],0,),0),7),""),"")</f>
        <v/>
      </c>
      <c r="AK165" s="2510"/>
      <c r="AL165" s="2511"/>
      <c r="AM165" s="1390" t="str">
        <f>IFERROR(INDEX(SETUP!$C$19:$G$62,MATCH((INDEX(PMtbl[[WKst]:[Unit of measure*]],MATCH($A165&amp;$D165&amp;$G165,INDEX(PMtbl[Category]&amp;PMtbl[INN]&amp;PMtbl[Specification],0,),0),3)),SETUP!$D$19:$D$62,0),5),"")</f>
        <v/>
      </c>
      <c r="AN165" s="1390" t="str">
        <f>IFERROR(IF((INDEX(SETUP!$C$19:$G$62,MATCH((INDEX(PMtbl[[WKst]:[Unit of measure*]],MATCH($A165&amp;$D165&amp;$G165,INDEX(PMtbl[Category]&amp;PMtbl[INN]&amp;PMtbl[Specification],0,),0),3)),SETUP!$D$19:$D$62,0),4))="Upfront",0,INDEX(SETUP!$C$19:$G$62,MATCH((INDEX(PMtbl[[WKst]:[Unit of measure*]],MATCH($A165&amp;$D165&amp;$G165,INDEX(PMtbl[Category]&amp;PMtbl[INN]&amp;PMtbl[Specification],0,),0),3)),SETUP!$D$19:$D$62,0),5)),"")</f>
        <v/>
      </c>
    </row>
    <row r="166" spans="1:40" s="198" customFormat="1">
      <c r="A166" s="2455"/>
      <c r="B166" s="2435"/>
      <c r="C166" s="2435"/>
      <c r="D166" s="2455"/>
      <c r="E166" s="2435"/>
      <c r="F166" s="2435"/>
      <c r="G166" s="2461"/>
      <c r="H166" s="2462"/>
      <c r="I166" s="2462"/>
      <c r="J166" s="2463"/>
      <c r="K166" s="213" t="str">
        <f>IF($A166&lt;&gt;"",IFERROR(INDEX(PMsheet!$B:$I,MATCH($A$117&amp;$A166&amp;$D166&amp;$G166,INDEX(PMsheet!$C:$C&amp;PMsheet!$E:$E&amp;PMsheet!$F:$F&amp;PMsheet!$G:$G,0,),0),8),""),"")</f>
        <v/>
      </c>
      <c r="L166" s="206" t="str">
        <f>IF(K166="", "",SETUP!$E$5)</f>
        <v/>
      </c>
      <c r="M166" s="1947"/>
      <c r="N166" s="12"/>
      <c r="O166" s="12"/>
      <c r="P166" s="12"/>
      <c r="Q166" s="12"/>
      <c r="R166" s="1809">
        <f>SUM('HIV-Other HPs'!$N166:$Q166)</f>
        <v>0</v>
      </c>
      <c r="S166" s="1810">
        <f>'HIV-Other HPs'!$M166*'HIV-Other HPs'!$R166</f>
        <v>0</v>
      </c>
      <c r="T166" s="1954"/>
      <c r="U166" s="12"/>
      <c r="V166" s="12"/>
      <c r="W166" s="12"/>
      <c r="X166" s="12"/>
      <c r="Y166" s="1809">
        <f>SUM('HIV-Other HPs'!$U166:$X166)</f>
        <v>0</v>
      </c>
      <c r="Z166" s="1810">
        <f>'HIV-Other HPs'!$T166*'HIV-Other HPs'!$Y166</f>
        <v>0</v>
      </c>
      <c r="AA166" s="1954"/>
      <c r="AB166" s="12"/>
      <c r="AC166" s="12"/>
      <c r="AD166" s="12"/>
      <c r="AE166" s="12"/>
      <c r="AF166" s="1809">
        <f>SUM('HIV-Other HPs'!$AB166:$AE166)</f>
        <v>0</v>
      </c>
      <c r="AG166" s="1810">
        <f>'HIV-Other HPs'!$AA166*'HIV-Other HPs'!$AF166</f>
        <v>0</v>
      </c>
      <c r="AH166" s="1811">
        <f>'HIV-Other HPs'!$R166+'HIV-Other HPs'!$Y166+'HIV-Other HPs'!$AF166</f>
        <v>0</v>
      </c>
      <c r="AI166" s="1810">
        <f>'HIV-Other HPs'!$S166+'HIV-Other HPs'!$Z166+'HIV-Other HPs'!$AG166</f>
        <v>0</v>
      </c>
      <c r="AJ166" s="1391" t="str">
        <f>IF($A166&lt;&gt;"",IFERROR(INDEX(PMtbl[[WKst]:[Unit of measure*]],MATCH($A$117&amp;$A166&amp;$D166&amp;$G166,INDEX(PMtbl[Sec]&amp;PMtbl[Category]&amp;PMtbl[INN]&amp;PMtbl[Specification],0,),0),7),""),"")</f>
        <v/>
      </c>
      <c r="AK166" s="2508"/>
      <c r="AL166" s="2509"/>
      <c r="AM166" s="1391" t="str">
        <f>IFERROR(INDEX(SETUP!$C$19:$G$62,MATCH((INDEX(PMtbl[[WKst]:[Unit of measure*]],MATCH($A166&amp;$D166&amp;$G166,INDEX(PMtbl[Category]&amp;PMtbl[INN]&amp;PMtbl[Specification],0,),0),3)),SETUP!$D$19:$D$62,0),5),"")</f>
        <v/>
      </c>
      <c r="AN166" s="1391" t="str">
        <f>IFERROR(IF((INDEX(SETUP!$C$19:$G$62,MATCH((INDEX(PMtbl[[WKst]:[Unit of measure*]],MATCH($A166&amp;$D166&amp;$G166,INDEX(PMtbl[Category]&amp;PMtbl[INN]&amp;PMtbl[Specification],0,),0),3)),SETUP!$D$19:$D$62,0),4))="Upfront",0,INDEX(SETUP!$C$19:$G$62,MATCH((INDEX(PMtbl[[WKst]:[Unit of measure*]],MATCH($A166&amp;$D166&amp;$G166,INDEX(PMtbl[Category]&amp;PMtbl[INN]&amp;PMtbl[Specification],0,),0),3)),SETUP!$D$19:$D$62,0),5)),"")</f>
        <v/>
      </c>
    </row>
    <row r="167" spans="1:40" s="198" customFormat="1">
      <c r="A167" s="2377"/>
      <c r="B167" s="2302"/>
      <c r="C167" s="2302"/>
      <c r="D167" s="2377"/>
      <c r="E167" s="2302"/>
      <c r="F167" s="2302"/>
      <c r="G167" s="2464"/>
      <c r="H167" s="2465"/>
      <c r="I167" s="2465"/>
      <c r="J167" s="2466"/>
      <c r="K167" s="209" t="str">
        <f>IF($A167&lt;&gt;"",IFERROR(INDEX(PMsheet!$B:$I,MATCH($A$117&amp;$A167&amp;$D167&amp;$G167,INDEX(PMsheet!$C:$C&amp;PMsheet!$E:$E&amp;PMsheet!$F:$F&amp;PMsheet!$G:$G,0,),0),8),""),"")</f>
        <v/>
      </c>
      <c r="L167" s="204" t="str">
        <f>IF(K167="", "",SETUP!$E$5)</f>
        <v/>
      </c>
      <c r="M167" s="1949"/>
      <c r="N167" s="1950"/>
      <c r="O167" s="1950"/>
      <c r="P167" s="1950"/>
      <c r="Q167" s="1950"/>
      <c r="R167" s="1815">
        <f>SUM('HIV-Other HPs'!$N167:$Q167)</f>
        <v>0</v>
      </c>
      <c r="S167" s="1816">
        <f>'HIV-Other HPs'!$M167*'HIV-Other HPs'!$R167</f>
        <v>0</v>
      </c>
      <c r="T167" s="1956"/>
      <c r="U167" s="1950"/>
      <c r="V167" s="1950"/>
      <c r="W167" s="1950"/>
      <c r="X167" s="1950"/>
      <c r="Y167" s="1815">
        <f>SUM('HIV-Other HPs'!$U167:$X167)</f>
        <v>0</v>
      </c>
      <c r="Z167" s="1816">
        <f>'HIV-Other HPs'!$T167*'HIV-Other HPs'!$Y167</f>
        <v>0</v>
      </c>
      <c r="AA167" s="1956"/>
      <c r="AB167" s="1950"/>
      <c r="AC167" s="1950"/>
      <c r="AD167" s="1950"/>
      <c r="AE167" s="1950"/>
      <c r="AF167" s="1815">
        <f>SUM('HIV-Other HPs'!$AB167:$AE167)</f>
        <v>0</v>
      </c>
      <c r="AG167" s="1816">
        <f>'HIV-Other HPs'!$AA167*'HIV-Other HPs'!$AF167</f>
        <v>0</v>
      </c>
      <c r="AH167" s="1817">
        <f>'HIV-Other HPs'!$R167+'HIV-Other HPs'!$Y167+'HIV-Other HPs'!$AF167</f>
        <v>0</v>
      </c>
      <c r="AI167" s="1816">
        <f>'HIV-Other HPs'!$S167+'HIV-Other HPs'!$Z167+'HIV-Other HPs'!$AG167</f>
        <v>0</v>
      </c>
      <c r="AJ167" s="1390" t="str">
        <f>IF($A167&lt;&gt;"",IFERROR(INDEX(PMtbl[[WKst]:[Unit of measure*]],MATCH($A$117&amp;$A167&amp;$D167&amp;$G167,INDEX(PMtbl[Sec]&amp;PMtbl[Category]&amp;PMtbl[INN]&amp;PMtbl[Specification],0,),0),7),""),"")</f>
        <v/>
      </c>
      <c r="AK167" s="2510"/>
      <c r="AL167" s="2511"/>
      <c r="AM167" s="1390" t="str">
        <f>IFERROR(INDEX(SETUP!$C$19:$G$62,MATCH((INDEX(PMtbl[[WKst]:[Unit of measure*]],MATCH($A167&amp;$D167&amp;$G167,INDEX(PMtbl[Category]&amp;PMtbl[INN]&amp;PMtbl[Specification],0,),0),3)),SETUP!$D$19:$D$62,0),5),"")</f>
        <v/>
      </c>
      <c r="AN167" s="1390" t="str">
        <f>IFERROR(IF((INDEX(SETUP!$C$19:$G$62,MATCH((INDEX(PMtbl[[WKst]:[Unit of measure*]],MATCH($A167&amp;$D167&amp;$G167,INDEX(PMtbl[Category]&amp;PMtbl[INN]&amp;PMtbl[Specification],0,),0),3)),SETUP!$D$19:$D$62,0),4))="Upfront",0,INDEX(SETUP!$C$19:$G$62,MATCH((INDEX(PMtbl[[WKst]:[Unit of measure*]],MATCH($A167&amp;$D167&amp;$G167,INDEX(PMtbl[Category]&amp;PMtbl[INN]&amp;PMtbl[Specification],0,),0),3)),SETUP!$D$19:$D$62,0),5)),"")</f>
        <v/>
      </c>
    </row>
    <row r="168" spans="1:40" s="198" customFormat="1">
      <c r="A168" s="2455"/>
      <c r="B168" s="2435"/>
      <c r="C168" s="2435"/>
      <c r="D168" s="2455"/>
      <c r="E168" s="2435"/>
      <c r="F168" s="2435"/>
      <c r="G168" s="2461"/>
      <c r="H168" s="2462"/>
      <c r="I168" s="2462"/>
      <c r="J168" s="2463"/>
      <c r="K168" s="213" t="str">
        <f>IF($A168&lt;&gt;"",IFERROR(INDEX(PMsheet!$B:$I,MATCH($A$117&amp;$A168&amp;$D168&amp;$G168,INDEX(PMsheet!$C:$C&amp;PMsheet!$E:$E&amp;PMsheet!$F:$F&amp;PMsheet!$G:$G,0,),0),8),""),"")</f>
        <v/>
      </c>
      <c r="L168" s="206" t="str">
        <f>IF(K168="", "",SETUP!$E$5)</f>
        <v/>
      </c>
      <c r="M168" s="1947"/>
      <c r="N168" s="12"/>
      <c r="O168" s="12"/>
      <c r="P168" s="12"/>
      <c r="Q168" s="12"/>
      <c r="R168" s="1809">
        <f>SUM('HIV-Other HPs'!$N168:$Q168)</f>
        <v>0</v>
      </c>
      <c r="S168" s="1810">
        <f>'HIV-Other HPs'!$M168*'HIV-Other HPs'!$R168</f>
        <v>0</v>
      </c>
      <c r="T168" s="1954"/>
      <c r="U168" s="12"/>
      <c r="V168" s="12"/>
      <c r="W168" s="12"/>
      <c r="X168" s="12"/>
      <c r="Y168" s="1809">
        <f>SUM('HIV-Other HPs'!$U168:$X168)</f>
        <v>0</v>
      </c>
      <c r="Z168" s="1810">
        <f>'HIV-Other HPs'!$T168*'HIV-Other HPs'!$Y168</f>
        <v>0</v>
      </c>
      <c r="AA168" s="1954"/>
      <c r="AB168" s="12"/>
      <c r="AC168" s="12"/>
      <c r="AD168" s="12"/>
      <c r="AE168" s="12"/>
      <c r="AF168" s="1809">
        <f>SUM('HIV-Other HPs'!$AB168:$AE168)</f>
        <v>0</v>
      </c>
      <c r="AG168" s="1810">
        <f>'HIV-Other HPs'!$AA168*'HIV-Other HPs'!$AF168</f>
        <v>0</v>
      </c>
      <c r="AH168" s="1811">
        <f>'HIV-Other HPs'!$R168+'HIV-Other HPs'!$Y168+'HIV-Other HPs'!$AF168</f>
        <v>0</v>
      </c>
      <c r="AI168" s="1810">
        <f>'HIV-Other HPs'!$S168+'HIV-Other HPs'!$Z168+'HIV-Other HPs'!$AG168</f>
        <v>0</v>
      </c>
      <c r="AJ168" s="1391" t="str">
        <f>IF($A168&lt;&gt;"",IFERROR(INDEX(PMtbl[[WKst]:[Unit of measure*]],MATCH($A$117&amp;$A168&amp;$D168&amp;$G168,INDEX(PMtbl[Sec]&amp;PMtbl[Category]&amp;PMtbl[INN]&amp;PMtbl[Specification],0,),0),7),""),"")</f>
        <v/>
      </c>
      <c r="AK168" s="2508"/>
      <c r="AL168" s="2509"/>
      <c r="AM168" s="1391" t="str">
        <f>IFERROR(INDEX(SETUP!$C$19:$G$62,MATCH((INDEX(PMtbl[[WKst]:[Unit of measure*]],MATCH($A168&amp;$D168&amp;$G168,INDEX(PMtbl[Category]&amp;PMtbl[INN]&amp;PMtbl[Specification],0,),0),3)),SETUP!$D$19:$D$62,0),5),"")</f>
        <v/>
      </c>
      <c r="AN168" s="1391" t="str">
        <f>IFERROR(IF((INDEX(SETUP!$C$19:$G$62,MATCH((INDEX(PMtbl[[WKst]:[Unit of measure*]],MATCH($A168&amp;$D168&amp;$G168,INDEX(PMtbl[Category]&amp;PMtbl[INN]&amp;PMtbl[Specification],0,),0),3)),SETUP!$D$19:$D$62,0),4))="Upfront",0,INDEX(SETUP!$C$19:$G$62,MATCH((INDEX(PMtbl[[WKst]:[Unit of measure*]],MATCH($A168&amp;$D168&amp;$G168,INDEX(PMtbl[Category]&amp;PMtbl[INN]&amp;PMtbl[Specification],0,),0),3)),SETUP!$D$19:$D$62,0),5)),"")</f>
        <v/>
      </c>
    </row>
    <row r="169" spans="1:40" s="198" customFormat="1">
      <c r="A169" s="2377"/>
      <c r="B169" s="2302"/>
      <c r="C169" s="2302"/>
      <c r="D169" s="2377"/>
      <c r="E169" s="2302"/>
      <c r="F169" s="2302"/>
      <c r="G169" s="2464"/>
      <c r="H169" s="2465"/>
      <c r="I169" s="2465"/>
      <c r="J169" s="2466"/>
      <c r="K169" s="209" t="str">
        <f>IF($A169&lt;&gt;"",IFERROR(INDEX(PMsheet!$B:$I,MATCH($A$117&amp;$A169&amp;$D169&amp;$G169,INDEX(PMsheet!$C:$C&amp;PMsheet!$E:$E&amp;PMsheet!$F:$F&amp;PMsheet!$G:$G,0,),0),8),""),"")</f>
        <v/>
      </c>
      <c r="L169" s="204" t="str">
        <f>IF(K169="", "",SETUP!$E$5)</f>
        <v/>
      </c>
      <c r="M169" s="1949"/>
      <c r="N169" s="1950"/>
      <c r="O169" s="1950"/>
      <c r="P169" s="1950"/>
      <c r="Q169" s="1950"/>
      <c r="R169" s="1815">
        <f>SUM('HIV-Other HPs'!$N169:$Q169)</f>
        <v>0</v>
      </c>
      <c r="S169" s="1816">
        <f>'HIV-Other HPs'!$M169*'HIV-Other HPs'!$R169</f>
        <v>0</v>
      </c>
      <c r="T169" s="1956"/>
      <c r="U169" s="1950"/>
      <c r="V169" s="1950"/>
      <c r="W169" s="1950"/>
      <c r="X169" s="1950"/>
      <c r="Y169" s="1815">
        <f>SUM('HIV-Other HPs'!$U169:$X169)</f>
        <v>0</v>
      </c>
      <c r="Z169" s="1816">
        <f>'HIV-Other HPs'!$T169*'HIV-Other HPs'!$Y169</f>
        <v>0</v>
      </c>
      <c r="AA169" s="1956"/>
      <c r="AB169" s="1950"/>
      <c r="AC169" s="1950"/>
      <c r="AD169" s="1950"/>
      <c r="AE169" s="1950"/>
      <c r="AF169" s="1815">
        <f>SUM('HIV-Other HPs'!$AB169:$AE169)</f>
        <v>0</v>
      </c>
      <c r="AG169" s="1816">
        <f>'HIV-Other HPs'!$AA169*'HIV-Other HPs'!$AF169</f>
        <v>0</v>
      </c>
      <c r="AH169" s="1817">
        <f>'HIV-Other HPs'!$R169+'HIV-Other HPs'!$Y169+'HIV-Other HPs'!$AF169</f>
        <v>0</v>
      </c>
      <c r="AI169" s="1816">
        <f>'HIV-Other HPs'!$S169+'HIV-Other HPs'!$Z169+'HIV-Other HPs'!$AG169</f>
        <v>0</v>
      </c>
      <c r="AJ169" s="1390" t="str">
        <f>IF($A169&lt;&gt;"",IFERROR(INDEX(PMtbl[[WKst]:[Unit of measure*]],MATCH($A$117&amp;$A169&amp;$D169&amp;$G169,INDEX(PMtbl[Sec]&amp;PMtbl[Category]&amp;PMtbl[INN]&amp;PMtbl[Specification],0,),0),7),""),"")</f>
        <v/>
      </c>
      <c r="AK169" s="2510"/>
      <c r="AL169" s="2511"/>
      <c r="AM169" s="1390" t="str">
        <f>IFERROR(INDEX(SETUP!$C$19:$G$62,MATCH((INDEX(PMtbl[[WKst]:[Unit of measure*]],MATCH($A169&amp;$D169&amp;$G169,INDEX(PMtbl[Category]&amp;PMtbl[INN]&amp;PMtbl[Specification],0,),0),3)),SETUP!$D$19:$D$62,0),5),"")</f>
        <v/>
      </c>
      <c r="AN169" s="1390" t="str">
        <f>IFERROR(IF((INDEX(SETUP!$C$19:$G$62,MATCH((INDEX(PMtbl[[WKst]:[Unit of measure*]],MATCH($A169&amp;$D169&amp;$G169,INDEX(PMtbl[Category]&amp;PMtbl[INN]&amp;PMtbl[Specification],0,),0),3)),SETUP!$D$19:$D$62,0),4))="Upfront",0,INDEX(SETUP!$C$19:$G$62,MATCH((INDEX(PMtbl[[WKst]:[Unit of measure*]],MATCH($A169&amp;$D169&amp;$G169,INDEX(PMtbl[Category]&amp;PMtbl[INN]&amp;PMtbl[Specification],0,),0),3)),SETUP!$D$19:$D$62,0),5)),"")</f>
        <v/>
      </c>
    </row>
    <row r="170" spans="1:40" s="198" customFormat="1">
      <c r="A170" s="2455"/>
      <c r="B170" s="2435"/>
      <c r="C170" s="2435"/>
      <c r="D170" s="2455"/>
      <c r="E170" s="2435"/>
      <c r="F170" s="2435"/>
      <c r="G170" s="2461"/>
      <c r="H170" s="2462"/>
      <c r="I170" s="2462"/>
      <c r="J170" s="2463"/>
      <c r="K170" s="213" t="str">
        <f>IF($A170&lt;&gt;"",IFERROR(INDEX(PMsheet!$B:$I,MATCH($A$117&amp;$A170&amp;$D170&amp;$G170,INDEX(PMsheet!$C:$C&amp;PMsheet!$E:$E&amp;PMsheet!$F:$F&amp;PMsheet!$G:$G,0,),0),8),""),"")</f>
        <v/>
      </c>
      <c r="L170" s="206" t="str">
        <f>IF(K170="", "",SETUP!$E$5)</f>
        <v/>
      </c>
      <c r="M170" s="1947"/>
      <c r="N170" s="12"/>
      <c r="O170" s="12"/>
      <c r="P170" s="12"/>
      <c r="Q170" s="12"/>
      <c r="R170" s="1809">
        <f>SUM('HIV-Other HPs'!$N170:$Q170)</f>
        <v>0</v>
      </c>
      <c r="S170" s="1810">
        <f>'HIV-Other HPs'!$M170*'HIV-Other HPs'!$R170</f>
        <v>0</v>
      </c>
      <c r="T170" s="1954"/>
      <c r="U170" s="12"/>
      <c r="V170" s="12"/>
      <c r="W170" s="12"/>
      <c r="X170" s="12"/>
      <c r="Y170" s="1809">
        <f>SUM('HIV-Other HPs'!$U170:$X170)</f>
        <v>0</v>
      </c>
      <c r="Z170" s="1810">
        <f>'HIV-Other HPs'!$T170*'HIV-Other HPs'!$Y170</f>
        <v>0</v>
      </c>
      <c r="AA170" s="1954"/>
      <c r="AB170" s="12"/>
      <c r="AC170" s="12"/>
      <c r="AD170" s="12"/>
      <c r="AE170" s="12"/>
      <c r="AF170" s="1809">
        <f>SUM('HIV-Other HPs'!$AB170:$AE170)</f>
        <v>0</v>
      </c>
      <c r="AG170" s="1810">
        <f>'HIV-Other HPs'!$AA170*'HIV-Other HPs'!$AF170</f>
        <v>0</v>
      </c>
      <c r="AH170" s="1811">
        <f>'HIV-Other HPs'!$R170+'HIV-Other HPs'!$Y170+'HIV-Other HPs'!$AF170</f>
        <v>0</v>
      </c>
      <c r="AI170" s="1810">
        <f>'HIV-Other HPs'!$S170+'HIV-Other HPs'!$Z170+'HIV-Other HPs'!$AG170</f>
        <v>0</v>
      </c>
      <c r="AJ170" s="1391" t="str">
        <f>IF($A170&lt;&gt;"",IFERROR(INDEX(PMtbl[[WKst]:[Unit of measure*]],MATCH($A$117&amp;$A170&amp;$D170&amp;$G170,INDEX(PMtbl[Sec]&amp;PMtbl[Category]&amp;PMtbl[INN]&amp;PMtbl[Specification],0,),0),7),""),"")</f>
        <v/>
      </c>
      <c r="AK170" s="2508"/>
      <c r="AL170" s="2509"/>
      <c r="AM170" s="1391" t="str">
        <f>IFERROR(INDEX(SETUP!$C$19:$G$62,MATCH((INDEX(PMtbl[[WKst]:[Unit of measure*]],MATCH($A170&amp;$D170&amp;$G170,INDEX(PMtbl[Category]&amp;PMtbl[INN]&amp;PMtbl[Specification],0,),0),3)),SETUP!$D$19:$D$62,0),5),"")</f>
        <v/>
      </c>
      <c r="AN170" s="1391" t="str">
        <f>IFERROR(IF((INDEX(SETUP!$C$19:$G$62,MATCH((INDEX(PMtbl[[WKst]:[Unit of measure*]],MATCH($A170&amp;$D170&amp;$G170,INDEX(PMtbl[Category]&amp;PMtbl[INN]&amp;PMtbl[Specification],0,),0),3)),SETUP!$D$19:$D$62,0),4))="Upfront",0,INDEX(SETUP!$C$19:$G$62,MATCH((INDEX(PMtbl[[WKst]:[Unit of measure*]],MATCH($A170&amp;$D170&amp;$G170,INDEX(PMtbl[Category]&amp;PMtbl[INN]&amp;PMtbl[Specification],0,),0),3)),SETUP!$D$19:$D$62,0),5)),"")</f>
        <v/>
      </c>
    </row>
    <row r="171" spans="1:40" s="198" customFormat="1">
      <c r="A171" s="2377"/>
      <c r="B171" s="2302"/>
      <c r="C171" s="2302"/>
      <c r="D171" s="2377"/>
      <c r="E171" s="2302"/>
      <c r="F171" s="2302"/>
      <c r="G171" s="2464"/>
      <c r="H171" s="2465"/>
      <c r="I171" s="2465"/>
      <c r="J171" s="2466"/>
      <c r="K171" s="209" t="str">
        <f>IF($A171&lt;&gt;"",IFERROR(INDEX(PMsheet!$B:$I,MATCH($A$117&amp;$A171&amp;$D171&amp;$G171,INDEX(PMsheet!$C:$C&amp;PMsheet!$E:$E&amp;PMsheet!$F:$F&amp;PMsheet!$G:$G,0,),0),8),""),"")</f>
        <v/>
      </c>
      <c r="L171" s="204" t="str">
        <f>IF(K171="", "",SETUP!$E$5)</f>
        <v/>
      </c>
      <c r="M171" s="1949"/>
      <c r="N171" s="1950"/>
      <c r="O171" s="1950"/>
      <c r="P171" s="1950"/>
      <c r="Q171" s="1950"/>
      <c r="R171" s="1815">
        <f>SUM('HIV-Other HPs'!$N171:$Q171)</f>
        <v>0</v>
      </c>
      <c r="S171" s="1816">
        <f>'HIV-Other HPs'!$M171*'HIV-Other HPs'!$R171</f>
        <v>0</v>
      </c>
      <c r="T171" s="1956"/>
      <c r="U171" s="1950"/>
      <c r="V171" s="1950"/>
      <c r="W171" s="1950"/>
      <c r="X171" s="1950"/>
      <c r="Y171" s="1815">
        <f>SUM('HIV-Other HPs'!$U171:$X171)</f>
        <v>0</v>
      </c>
      <c r="Z171" s="1816">
        <f>'HIV-Other HPs'!$T171*'HIV-Other HPs'!$Y171</f>
        <v>0</v>
      </c>
      <c r="AA171" s="1956"/>
      <c r="AB171" s="1950"/>
      <c r="AC171" s="1950"/>
      <c r="AD171" s="1950"/>
      <c r="AE171" s="1950"/>
      <c r="AF171" s="1815">
        <f>SUM('HIV-Other HPs'!$AB171:$AE171)</f>
        <v>0</v>
      </c>
      <c r="AG171" s="1816">
        <f>'HIV-Other HPs'!$AA171*'HIV-Other HPs'!$AF171</f>
        <v>0</v>
      </c>
      <c r="AH171" s="1817">
        <f>'HIV-Other HPs'!$R171+'HIV-Other HPs'!$Y171+'HIV-Other HPs'!$AF171</f>
        <v>0</v>
      </c>
      <c r="AI171" s="1816">
        <f>'HIV-Other HPs'!$S171+'HIV-Other HPs'!$Z171+'HIV-Other HPs'!$AG171</f>
        <v>0</v>
      </c>
      <c r="AJ171" s="1390" t="str">
        <f>IF($A171&lt;&gt;"",IFERROR(INDEX(PMtbl[[WKst]:[Unit of measure*]],MATCH($A$117&amp;$A171&amp;$D171&amp;$G171,INDEX(PMtbl[Sec]&amp;PMtbl[Category]&amp;PMtbl[INN]&amp;PMtbl[Specification],0,),0),7),""),"")</f>
        <v/>
      </c>
      <c r="AK171" s="2510"/>
      <c r="AL171" s="2511"/>
      <c r="AM171" s="1390" t="str">
        <f>IFERROR(INDEX(SETUP!$C$19:$G$62,MATCH((INDEX(PMtbl[[WKst]:[Unit of measure*]],MATCH($A171&amp;$D171&amp;$G171,INDEX(PMtbl[Category]&amp;PMtbl[INN]&amp;PMtbl[Specification],0,),0),3)),SETUP!$D$19:$D$62,0),5),"")</f>
        <v/>
      </c>
      <c r="AN171" s="1390" t="str">
        <f>IFERROR(IF((INDEX(SETUP!$C$19:$G$62,MATCH((INDEX(PMtbl[[WKst]:[Unit of measure*]],MATCH($A171&amp;$D171&amp;$G171,INDEX(PMtbl[Category]&amp;PMtbl[INN]&amp;PMtbl[Specification],0,),0),3)),SETUP!$D$19:$D$62,0),4))="Upfront",0,INDEX(SETUP!$C$19:$G$62,MATCH((INDEX(PMtbl[[WKst]:[Unit of measure*]],MATCH($A171&amp;$D171&amp;$G171,INDEX(PMtbl[Category]&amp;PMtbl[INN]&amp;PMtbl[Specification],0,),0),3)),SETUP!$D$19:$D$62,0),5)),"")</f>
        <v/>
      </c>
    </row>
    <row r="172" spans="1:40" s="198" customFormat="1">
      <c r="A172" s="2455"/>
      <c r="B172" s="2435"/>
      <c r="C172" s="2435"/>
      <c r="D172" s="2455"/>
      <c r="E172" s="2435"/>
      <c r="F172" s="2435"/>
      <c r="G172" s="2461"/>
      <c r="H172" s="2462"/>
      <c r="I172" s="2462"/>
      <c r="J172" s="2463"/>
      <c r="K172" s="213" t="str">
        <f>IF($A172&lt;&gt;"",IFERROR(INDEX(PMsheet!$B:$I,MATCH($A$117&amp;$A172&amp;$D172&amp;$G172,INDEX(PMsheet!$C:$C&amp;PMsheet!$E:$E&amp;PMsheet!$F:$F&amp;PMsheet!$G:$G,0,),0),8),""),"")</f>
        <v/>
      </c>
      <c r="L172" s="206" t="str">
        <f>IF(K172="", "",SETUP!$E$5)</f>
        <v/>
      </c>
      <c r="M172" s="1947"/>
      <c r="N172" s="12"/>
      <c r="O172" s="12"/>
      <c r="P172" s="12"/>
      <c r="Q172" s="12"/>
      <c r="R172" s="1809">
        <f>SUM('HIV-Other HPs'!$N172:$Q172)</f>
        <v>0</v>
      </c>
      <c r="S172" s="1810">
        <f>'HIV-Other HPs'!$M172*'HIV-Other HPs'!$R172</f>
        <v>0</v>
      </c>
      <c r="T172" s="1954"/>
      <c r="U172" s="12"/>
      <c r="V172" s="12"/>
      <c r="W172" s="12"/>
      <c r="X172" s="12"/>
      <c r="Y172" s="1809">
        <f>SUM('HIV-Other HPs'!$U172:$X172)</f>
        <v>0</v>
      </c>
      <c r="Z172" s="1810">
        <f>'HIV-Other HPs'!$T172*'HIV-Other HPs'!$Y172</f>
        <v>0</v>
      </c>
      <c r="AA172" s="1954"/>
      <c r="AB172" s="12"/>
      <c r="AC172" s="12"/>
      <c r="AD172" s="12"/>
      <c r="AE172" s="12"/>
      <c r="AF172" s="1809">
        <f>SUM('HIV-Other HPs'!$AB172:$AE172)</f>
        <v>0</v>
      </c>
      <c r="AG172" s="1810">
        <f>'HIV-Other HPs'!$AA172*'HIV-Other HPs'!$AF172</f>
        <v>0</v>
      </c>
      <c r="AH172" s="1811">
        <f>'HIV-Other HPs'!$R172+'HIV-Other HPs'!$Y172+'HIV-Other HPs'!$AF172</f>
        <v>0</v>
      </c>
      <c r="AI172" s="1810">
        <f>'HIV-Other HPs'!$S172+'HIV-Other HPs'!$Z172+'HIV-Other HPs'!$AG172</f>
        <v>0</v>
      </c>
      <c r="AJ172" s="1391" t="str">
        <f>IF($A172&lt;&gt;"",IFERROR(INDEX(PMtbl[[WKst]:[Unit of measure*]],MATCH($A$117&amp;$A172&amp;$D172&amp;$G172,INDEX(PMtbl[Sec]&amp;PMtbl[Category]&amp;PMtbl[INN]&amp;PMtbl[Specification],0,),0),7),""),"")</f>
        <v/>
      </c>
      <c r="AK172" s="2508"/>
      <c r="AL172" s="2509"/>
      <c r="AM172" s="1391" t="str">
        <f>IFERROR(INDEX(SETUP!$C$19:$G$62,MATCH((INDEX(PMtbl[[WKst]:[Unit of measure*]],MATCH($A172&amp;$D172&amp;$G172,INDEX(PMtbl[Category]&amp;PMtbl[INN]&amp;PMtbl[Specification],0,),0),3)),SETUP!$D$19:$D$62,0),5),"")</f>
        <v/>
      </c>
      <c r="AN172" s="1391" t="str">
        <f>IFERROR(IF((INDEX(SETUP!$C$19:$G$62,MATCH((INDEX(PMtbl[[WKst]:[Unit of measure*]],MATCH($A172&amp;$D172&amp;$G172,INDEX(PMtbl[Category]&amp;PMtbl[INN]&amp;PMtbl[Specification],0,),0),3)),SETUP!$D$19:$D$62,0),4))="Upfront",0,INDEX(SETUP!$C$19:$G$62,MATCH((INDEX(PMtbl[[WKst]:[Unit of measure*]],MATCH($A172&amp;$D172&amp;$G172,INDEX(PMtbl[Category]&amp;PMtbl[INN]&amp;PMtbl[Specification],0,),0),3)),SETUP!$D$19:$D$62,0),5)),"")</f>
        <v/>
      </c>
    </row>
    <row r="173" spans="1:40" s="198" customFormat="1">
      <c r="A173" s="2377"/>
      <c r="B173" s="2302"/>
      <c r="C173" s="2302"/>
      <c r="D173" s="2377"/>
      <c r="E173" s="2302"/>
      <c r="F173" s="2302"/>
      <c r="G173" s="2464"/>
      <c r="H173" s="2465"/>
      <c r="I173" s="2465"/>
      <c r="J173" s="2466"/>
      <c r="K173" s="209" t="str">
        <f>IF($A173&lt;&gt;"",IFERROR(INDEX(PMsheet!$B:$I,MATCH($A$117&amp;$A173&amp;$D173&amp;$G173,INDEX(PMsheet!$C:$C&amp;PMsheet!$E:$E&amp;PMsheet!$F:$F&amp;PMsheet!$G:$G,0,),0),8),""),"")</f>
        <v/>
      </c>
      <c r="L173" s="204" t="str">
        <f>IF(K173="", "",SETUP!$E$5)</f>
        <v/>
      </c>
      <c r="M173" s="1949"/>
      <c r="N173" s="1950"/>
      <c r="O173" s="1950"/>
      <c r="P173" s="1950"/>
      <c r="Q173" s="1950"/>
      <c r="R173" s="1815">
        <f>SUM('HIV-Other HPs'!$N173:$Q173)</f>
        <v>0</v>
      </c>
      <c r="S173" s="1816">
        <f>'HIV-Other HPs'!$M173*'HIV-Other HPs'!$R173</f>
        <v>0</v>
      </c>
      <c r="T173" s="1956"/>
      <c r="U173" s="1950"/>
      <c r="V173" s="1950"/>
      <c r="W173" s="1950"/>
      <c r="X173" s="1950"/>
      <c r="Y173" s="1815">
        <f>SUM('HIV-Other HPs'!$U173:$X173)</f>
        <v>0</v>
      </c>
      <c r="Z173" s="1816">
        <f>'HIV-Other HPs'!$T173*'HIV-Other HPs'!$Y173</f>
        <v>0</v>
      </c>
      <c r="AA173" s="1956"/>
      <c r="AB173" s="1950"/>
      <c r="AC173" s="1950"/>
      <c r="AD173" s="1950"/>
      <c r="AE173" s="1950"/>
      <c r="AF173" s="1815">
        <f>SUM('HIV-Other HPs'!$AB173:$AE173)</f>
        <v>0</v>
      </c>
      <c r="AG173" s="1816">
        <f>'HIV-Other HPs'!$AA173*'HIV-Other HPs'!$AF173</f>
        <v>0</v>
      </c>
      <c r="AH173" s="1817">
        <f>'HIV-Other HPs'!$R173+'HIV-Other HPs'!$Y173+'HIV-Other HPs'!$AF173</f>
        <v>0</v>
      </c>
      <c r="AI173" s="1816">
        <f>'HIV-Other HPs'!$S173+'HIV-Other HPs'!$Z173+'HIV-Other HPs'!$AG173</f>
        <v>0</v>
      </c>
      <c r="AJ173" s="1390" t="str">
        <f>IF($A173&lt;&gt;"",IFERROR(INDEX(PMtbl[[WKst]:[Unit of measure*]],MATCH($A$117&amp;$A173&amp;$D173&amp;$G173,INDEX(PMtbl[Sec]&amp;PMtbl[Category]&amp;PMtbl[INN]&amp;PMtbl[Specification],0,),0),7),""),"")</f>
        <v/>
      </c>
      <c r="AK173" s="2510"/>
      <c r="AL173" s="2511"/>
      <c r="AM173" s="1390" t="str">
        <f>IFERROR(INDEX(SETUP!$C$19:$G$62,MATCH((INDEX(PMtbl[[WKst]:[Unit of measure*]],MATCH($A173&amp;$D173&amp;$G173,INDEX(PMtbl[Category]&amp;PMtbl[INN]&amp;PMtbl[Specification],0,),0),3)),SETUP!$D$19:$D$62,0),5),"")</f>
        <v/>
      </c>
      <c r="AN173" s="1390" t="str">
        <f>IFERROR(IF((INDEX(SETUP!$C$19:$G$62,MATCH((INDEX(PMtbl[[WKst]:[Unit of measure*]],MATCH($A173&amp;$D173&amp;$G173,INDEX(PMtbl[Category]&amp;PMtbl[INN]&amp;PMtbl[Specification],0,),0),3)),SETUP!$D$19:$D$62,0),4))="Upfront",0,INDEX(SETUP!$C$19:$G$62,MATCH((INDEX(PMtbl[[WKst]:[Unit of measure*]],MATCH($A173&amp;$D173&amp;$G173,INDEX(PMtbl[Category]&amp;PMtbl[INN]&amp;PMtbl[Specification],0,),0),3)),SETUP!$D$19:$D$62,0),5)),"")</f>
        <v/>
      </c>
    </row>
    <row r="174" spans="1:40" s="198" customFormat="1">
      <c r="A174" s="2455"/>
      <c r="B174" s="2435"/>
      <c r="C174" s="2435"/>
      <c r="D174" s="2455"/>
      <c r="E174" s="2435"/>
      <c r="F174" s="2435"/>
      <c r="G174" s="2461"/>
      <c r="H174" s="2462"/>
      <c r="I174" s="2462"/>
      <c r="J174" s="2463"/>
      <c r="K174" s="213" t="str">
        <f>IF($A174&lt;&gt;"",IFERROR(INDEX(PMsheet!$B:$I,MATCH($A$117&amp;$A174&amp;$D174&amp;$G174,INDEX(PMsheet!$C:$C&amp;PMsheet!$E:$E&amp;PMsheet!$F:$F&amp;PMsheet!$G:$G,0,),0),8),""),"")</f>
        <v/>
      </c>
      <c r="L174" s="206" t="str">
        <f>IF(K174="", "",SETUP!$E$5)</f>
        <v/>
      </c>
      <c r="M174" s="1947"/>
      <c r="N174" s="12"/>
      <c r="O174" s="12"/>
      <c r="P174" s="12"/>
      <c r="Q174" s="12"/>
      <c r="R174" s="1809">
        <f>SUM('HIV-Other HPs'!$N174:$Q174)</f>
        <v>0</v>
      </c>
      <c r="S174" s="1810">
        <f>'HIV-Other HPs'!$M174*'HIV-Other HPs'!$R174</f>
        <v>0</v>
      </c>
      <c r="T174" s="1954"/>
      <c r="U174" s="12"/>
      <c r="V174" s="12"/>
      <c r="W174" s="12"/>
      <c r="X174" s="12"/>
      <c r="Y174" s="1809">
        <f>SUM('HIV-Other HPs'!$U174:$X174)</f>
        <v>0</v>
      </c>
      <c r="Z174" s="1810">
        <f>'HIV-Other HPs'!$T174*'HIV-Other HPs'!$Y174</f>
        <v>0</v>
      </c>
      <c r="AA174" s="1954"/>
      <c r="AB174" s="12"/>
      <c r="AC174" s="12"/>
      <c r="AD174" s="12"/>
      <c r="AE174" s="12"/>
      <c r="AF174" s="1809">
        <f>SUM('HIV-Other HPs'!$AB174:$AE174)</f>
        <v>0</v>
      </c>
      <c r="AG174" s="1810">
        <f>'HIV-Other HPs'!$AA174*'HIV-Other HPs'!$AF174</f>
        <v>0</v>
      </c>
      <c r="AH174" s="1811">
        <f>'HIV-Other HPs'!$R174+'HIV-Other HPs'!$Y174+'HIV-Other HPs'!$AF174</f>
        <v>0</v>
      </c>
      <c r="AI174" s="1810">
        <f>'HIV-Other HPs'!$S174+'HIV-Other HPs'!$Z174+'HIV-Other HPs'!$AG174</f>
        <v>0</v>
      </c>
      <c r="AJ174" s="1391" t="str">
        <f>IF($A174&lt;&gt;"",IFERROR(INDEX(PMtbl[[WKst]:[Unit of measure*]],MATCH($A$117&amp;$A174&amp;$D174&amp;$G174,INDEX(PMtbl[Sec]&amp;PMtbl[Category]&amp;PMtbl[INN]&amp;PMtbl[Specification],0,),0),7),""),"")</f>
        <v/>
      </c>
      <c r="AK174" s="2508"/>
      <c r="AL174" s="2509"/>
      <c r="AM174" s="1391" t="str">
        <f>IFERROR(INDEX(SETUP!$C$19:$G$62,MATCH((INDEX(PMtbl[[WKst]:[Unit of measure*]],MATCH($A174&amp;$D174&amp;$G174,INDEX(PMtbl[Category]&amp;PMtbl[INN]&amp;PMtbl[Specification],0,),0),3)),SETUP!$D$19:$D$62,0),5),"")</f>
        <v/>
      </c>
      <c r="AN174" s="1391" t="str">
        <f>IFERROR(IF((INDEX(SETUP!$C$19:$G$62,MATCH((INDEX(PMtbl[[WKst]:[Unit of measure*]],MATCH($A174&amp;$D174&amp;$G174,INDEX(PMtbl[Category]&amp;PMtbl[INN]&amp;PMtbl[Specification],0,),0),3)),SETUP!$D$19:$D$62,0),4))="Upfront",0,INDEX(SETUP!$C$19:$G$62,MATCH((INDEX(PMtbl[[WKst]:[Unit of measure*]],MATCH($A174&amp;$D174&amp;$G174,INDEX(PMtbl[Category]&amp;PMtbl[INN]&amp;PMtbl[Specification],0,),0),3)),SETUP!$D$19:$D$62,0),5)),"")</f>
        <v/>
      </c>
    </row>
    <row r="175" spans="1:40" s="198" customFormat="1">
      <c r="A175" s="2377"/>
      <c r="B175" s="2302"/>
      <c r="C175" s="2302"/>
      <c r="D175" s="2377"/>
      <c r="E175" s="2302"/>
      <c r="F175" s="2302"/>
      <c r="G175" s="2464"/>
      <c r="H175" s="2465"/>
      <c r="I175" s="2465"/>
      <c r="J175" s="2466"/>
      <c r="K175" s="209" t="str">
        <f>IF($A175&lt;&gt;"",IFERROR(INDEX(PMsheet!$B:$I,MATCH($A$117&amp;$A175&amp;$D175&amp;$G175,INDEX(PMsheet!$C:$C&amp;PMsheet!$E:$E&amp;PMsheet!$F:$F&amp;PMsheet!$G:$G,0,),0),8),""),"")</f>
        <v/>
      </c>
      <c r="L175" s="204" t="str">
        <f>IF(K175="", "",SETUP!$E$5)</f>
        <v/>
      </c>
      <c r="M175" s="1949"/>
      <c r="N175" s="1950"/>
      <c r="O175" s="1950"/>
      <c r="P175" s="1950"/>
      <c r="Q175" s="1950"/>
      <c r="R175" s="1815">
        <f>SUM('HIV-Other HPs'!$N175:$Q175)</f>
        <v>0</v>
      </c>
      <c r="S175" s="1816">
        <f>'HIV-Other HPs'!$M175*'HIV-Other HPs'!$R175</f>
        <v>0</v>
      </c>
      <c r="T175" s="1956"/>
      <c r="U175" s="1950"/>
      <c r="V175" s="1950"/>
      <c r="W175" s="1950"/>
      <c r="X175" s="1950"/>
      <c r="Y175" s="1815">
        <f>SUM('HIV-Other HPs'!$U175:$X175)</f>
        <v>0</v>
      </c>
      <c r="Z175" s="1816">
        <f>'HIV-Other HPs'!$T175*'HIV-Other HPs'!$Y175</f>
        <v>0</v>
      </c>
      <c r="AA175" s="1956"/>
      <c r="AB175" s="1950"/>
      <c r="AC175" s="1950"/>
      <c r="AD175" s="1950"/>
      <c r="AE175" s="1950"/>
      <c r="AF175" s="1815">
        <f>SUM('HIV-Other HPs'!$AB175:$AE175)</f>
        <v>0</v>
      </c>
      <c r="AG175" s="1816">
        <f>'HIV-Other HPs'!$AA175*'HIV-Other HPs'!$AF175</f>
        <v>0</v>
      </c>
      <c r="AH175" s="1817">
        <f>'HIV-Other HPs'!$R175+'HIV-Other HPs'!$Y175+'HIV-Other HPs'!$AF175</f>
        <v>0</v>
      </c>
      <c r="AI175" s="1816">
        <f>'HIV-Other HPs'!$S175+'HIV-Other HPs'!$Z175+'HIV-Other HPs'!$AG175</f>
        <v>0</v>
      </c>
      <c r="AJ175" s="1390" t="str">
        <f>IF($A175&lt;&gt;"",IFERROR(INDEX(PMtbl[[WKst]:[Unit of measure*]],MATCH($A$117&amp;$A175&amp;$D175&amp;$G175,INDEX(PMtbl[Sec]&amp;PMtbl[Category]&amp;PMtbl[INN]&amp;PMtbl[Specification],0,),0),7),""),"")</f>
        <v/>
      </c>
      <c r="AK175" s="2510"/>
      <c r="AL175" s="2511"/>
      <c r="AM175" s="1390" t="str">
        <f>IFERROR(INDEX(SETUP!$C$19:$G$62,MATCH((INDEX(PMtbl[[WKst]:[Unit of measure*]],MATCH($A175&amp;$D175&amp;$G175,INDEX(PMtbl[Category]&amp;PMtbl[INN]&amp;PMtbl[Specification],0,),0),3)),SETUP!$D$19:$D$62,0),5),"")</f>
        <v/>
      </c>
      <c r="AN175" s="1390" t="str">
        <f>IFERROR(IF((INDEX(SETUP!$C$19:$G$62,MATCH((INDEX(PMtbl[[WKst]:[Unit of measure*]],MATCH($A175&amp;$D175&amp;$G175,INDEX(PMtbl[Category]&amp;PMtbl[INN]&amp;PMtbl[Specification],0,),0),3)),SETUP!$D$19:$D$62,0),4))="Upfront",0,INDEX(SETUP!$C$19:$G$62,MATCH((INDEX(PMtbl[[WKst]:[Unit of measure*]],MATCH($A175&amp;$D175&amp;$G175,INDEX(PMtbl[Category]&amp;PMtbl[INN]&amp;PMtbl[Specification],0,),0),3)),SETUP!$D$19:$D$62,0),5)),"")</f>
        <v/>
      </c>
    </row>
    <row r="176" spans="1:40" s="198" customFormat="1">
      <c r="A176" s="2455"/>
      <c r="B176" s="2435"/>
      <c r="C176" s="2435"/>
      <c r="D176" s="2455"/>
      <c r="E176" s="2435"/>
      <c r="F176" s="2435"/>
      <c r="G176" s="2461"/>
      <c r="H176" s="2462"/>
      <c r="I176" s="2462"/>
      <c r="J176" s="2463"/>
      <c r="K176" s="213" t="str">
        <f>IF($A176&lt;&gt;"",IFERROR(INDEX(PMsheet!$B:$I,MATCH($A$117&amp;$A176&amp;$D176&amp;$G176,INDEX(PMsheet!$C:$C&amp;PMsheet!$E:$E&amp;PMsheet!$F:$F&amp;PMsheet!$G:$G,0,),0),8),""),"")</f>
        <v/>
      </c>
      <c r="L176" s="206" t="str">
        <f>IF(K176="", "",SETUP!$E$5)</f>
        <v/>
      </c>
      <c r="M176" s="1947"/>
      <c r="N176" s="12"/>
      <c r="O176" s="12"/>
      <c r="P176" s="12"/>
      <c r="Q176" s="12"/>
      <c r="R176" s="1809">
        <f>SUM('HIV-Other HPs'!$N176:$Q176)</f>
        <v>0</v>
      </c>
      <c r="S176" s="1810">
        <f>'HIV-Other HPs'!$M176*'HIV-Other HPs'!$R176</f>
        <v>0</v>
      </c>
      <c r="T176" s="1954"/>
      <c r="U176" s="12"/>
      <c r="V176" s="12"/>
      <c r="W176" s="12"/>
      <c r="X176" s="12"/>
      <c r="Y176" s="1809">
        <f>SUM('HIV-Other HPs'!$U176:$X176)</f>
        <v>0</v>
      </c>
      <c r="Z176" s="1810">
        <f>'HIV-Other HPs'!$T176*'HIV-Other HPs'!$Y176</f>
        <v>0</v>
      </c>
      <c r="AA176" s="1954"/>
      <c r="AB176" s="12"/>
      <c r="AC176" s="12"/>
      <c r="AD176" s="12"/>
      <c r="AE176" s="12"/>
      <c r="AF176" s="1809">
        <f>SUM('HIV-Other HPs'!$AB176:$AE176)</f>
        <v>0</v>
      </c>
      <c r="AG176" s="1810">
        <f>'HIV-Other HPs'!$AA176*'HIV-Other HPs'!$AF176</f>
        <v>0</v>
      </c>
      <c r="AH176" s="1811">
        <f>'HIV-Other HPs'!$R176+'HIV-Other HPs'!$Y176+'HIV-Other HPs'!$AF176</f>
        <v>0</v>
      </c>
      <c r="AI176" s="1810">
        <f>'HIV-Other HPs'!$S176+'HIV-Other HPs'!$Z176+'HIV-Other HPs'!$AG176</f>
        <v>0</v>
      </c>
      <c r="AJ176" s="1391" t="str">
        <f>IF($A176&lt;&gt;"",IFERROR(INDEX(PMtbl[[WKst]:[Unit of measure*]],MATCH($A$117&amp;$A176&amp;$D176&amp;$G176,INDEX(PMtbl[Sec]&amp;PMtbl[Category]&amp;PMtbl[INN]&amp;PMtbl[Specification],0,),0),7),""),"")</f>
        <v/>
      </c>
      <c r="AK176" s="2508"/>
      <c r="AL176" s="2509"/>
      <c r="AM176" s="1391" t="str">
        <f>IFERROR(INDEX(SETUP!$C$19:$G$62,MATCH((INDEX(PMtbl[[WKst]:[Unit of measure*]],MATCH($A176&amp;$D176&amp;$G176,INDEX(PMtbl[Category]&amp;PMtbl[INN]&amp;PMtbl[Specification],0,),0),3)),SETUP!$D$19:$D$62,0),5),"")</f>
        <v/>
      </c>
      <c r="AN176" s="1391" t="str">
        <f>IFERROR(IF((INDEX(SETUP!$C$19:$G$62,MATCH((INDEX(PMtbl[[WKst]:[Unit of measure*]],MATCH($A176&amp;$D176&amp;$G176,INDEX(PMtbl[Category]&amp;PMtbl[INN]&amp;PMtbl[Specification],0,),0),3)),SETUP!$D$19:$D$62,0),4))="Upfront",0,INDEX(SETUP!$C$19:$G$62,MATCH((INDEX(PMtbl[[WKst]:[Unit of measure*]],MATCH($A176&amp;$D176&amp;$G176,INDEX(PMtbl[Category]&amp;PMtbl[INN]&amp;PMtbl[Specification],0,),0),3)),SETUP!$D$19:$D$62,0),5)),"")</f>
        <v/>
      </c>
    </row>
    <row r="177" spans="1:40" s="198" customFormat="1">
      <c r="A177" s="2377"/>
      <c r="B177" s="2302"/>
      <c r="C177" s="2302"/>
      <c r="D177" s="2377"/>
      <c r="E177" s="2302"/>
      <c r="F177" s="2302"/>
      <c r="G177" s="2464"/>
      <c r="H177" s="2465"/>
      <c r="I177" s="2465"/>
      <c r="J177" s="2466"/>
      <c r="K177" s="209" t="str">
        <f>IF($A177&lt;&gt;"",IFERROR(INDEX(PMsheet!$B:$I,MATCH($A$117&amp;$A177&amp;$D177&amp;$G177,INDEX(PMsheet!$C:$C&amp;PMsheet!$E:$E&amp;PMsheet!$F:$F&amp;PMsheet!$G:$G,0,),0),8),""),"")</f>
        <v/>
      </c>
      <c r="L177" s="204" t="str">
        <f>IF(K177="", "",SETUP!$E$5)</f>
        <v/>
      </c>
      <c r="M177" s="1949"/>
      <c r="N177" s="1950"/>
      <c r="O177" s="1950"/>
      <c r="P177" s="1950"/>
      <c r="Q177" s="1950"/>
      <c r="R177" s="1815">
        <f>SUM('HIV-Other HPs'!$N177:$Q177)</f>
        <v>0</v>
      </c>
      <c r="S177" s="1816">
        <f>'HIV-Other HPs'!$M177*'HIV-Other HPs'!$R177</f>
        <v>0</v>
      </c>
      <c r="T177" s="1956"/>
      <c r="U177" s="1950"/>
      <c r="V177" s="1950"/>
      <c r="W177" s="1950"/>
      <c r="X177" s="1950"/>
      <c r="Y177" s="1815">
        <f>SUM('HIV-Other HPs'!$U177:$X177)</f>
        <v>0</v>
      </c>
      <c r="Z177" s="1816">
        <f>'HIV-Other HPs'!$T177*'HIV-Other HPs'!$Y177</f>
        <v>0</v>
      </c>
      <c r="AA177" s="1956"/>
      <c r="AB177" s="1950"/>
      <c r="AC177" s="1950"/>
      <c r="AD177" s="1950"/>
      <c r="AE177" s="1950"/>
      <c r="AF177" s="1815">
        <f>SUM('HIV-Other HPs'!$AB177:$AE177)</f>
        <v>0</v>
      </c>
      <c r="AG177" s="1816">
        <f>'HIV-Other HPs'!$AA177*'HIV-Other HPs'!$AF177</f>
        <v>0</v>
      </c>
      <c r="AH177" s="1817">
        <f>'HIV-Other HPs'!$R177+'HIV-Other HPs'!$Y177+'HIV-Other HPs'!$AF177</f>
        <v>0</v>
      </c>
      <c r="AI177" s="1816">
        <f>'HIV-Other HPs'!$S177+'HIV-Other HPs'!$Z177+'HIV-Other HPs'!$AG177</f>
        <v>0</v>
      </c>
      <c r="AJ177" s="1390" t="str">
        <f>IF($A177&lt;&gt;"",IFERROR(INDEX(PMtbl[[WKst]:[Unit of measure*]],MATCH($A$117&amp;$A177&amp;$D177&amp;$G177,INDEX(PMtbl[Sec]&amp;PMtbl[Category]&amp;PMtbl[INN]&amp;PMtbl[Specification],0,),0),7),""),"")</f>
        <v/>
      </c>
      <c r="AK177" s="2510"/>
      <c r="AL177" s="2511"/>
      <c r="AM177" s="1390" t="str">
        <f>IFERROR(INDEX(SETUP!$C$19:$G$62,MATCH((INDEX(PMtbl[[WKst]:[Unit of measure*]],MATCH($A177&amp;$D177&amp;$G177,INDEX(PMtbl[Category]&amp;PMtbl[INN]&amp;PMtbl[Specification],0,),0),3)),SETUP!$D$19:$D$62,0),5),"")</f>
        <v/>
      </c>
      <c r="AN177" s="1390" t="str">
        <f>IFERROR(IF((INDEX(SETUP!$C$19:$G$62,MATCH((INDEX(PMtbl[[WKst]:[Unit of measure*]],MATCH($A177&amp;$D177&amp;$G177,INDEX(PMtbl[Category]&amp;PMtbl[INN]&amp;PMtbl[Specification],0,),0),3)),SETUP!$D$19:$D$62,0),4))="Upfront",0,INDEX(SETUP!$C$19:$G$62,MATCH((INDEX(PMtbl[[WKst]:[Unit of measure*]],MATCH($A177&amp;$D177&amp;$G177,INDEX(PMtbl[Category]&amp;PMtbl[INN]&amp;PMtbl[Specification],0,),0),3)),SETUP!$D$19:$D$62,0),5)),"")</f>
        <v/>
      </c>
    </row>
    <row r="178" spans="1:40" s="198" customFormat="1">
      <c r="A178" s="2455"/>
      <c r="B178" s="2435"/>
      <c r="C178" s="2435"/>
      <c r="D178" s="2455"/>
      <c r="E178" s="2435"/>
      <c r="F178" s="2435"/>
      <c r="G178" s="2461"/>
      <c r="H178" s="2462"/>
      <c r="I178" s="2462"/>
      <c r="J178" s="2463"/>
      <c r="K178" s="213" t="str">
        <f>IF($A178&lt;&gt;"",IFERROR(INDEX(PMsheet!$B:$I,MATCH($A$117&amp;$A178&amp;$D178&amp;$G178,INDEX(PMsheet!$C:$C&amp;PMsheet!$E:$E&amp;PMsheet!$F:$F&amp;PMsheet!$G:$G,0,),0),8),""),"")</f>
        <v/>
      </c>
      <c r="L178" s="206" t="str">
        <f>IF(K178="", "",SETUP!$E$5)</f>
        <v/>
      </c>
      <c r="M178" s="1947"/>
      <c r="N178" s="12"/>
      <c r="O178" s="12"/>
      <c r="P178" s="12"/>
      <c r="Q178" s="12"/>
      <c r="R178" s="1809">
        <f>SUM('HIV-Other HPs'!$N178:$Q178)</f>
        <v>0</v>
      </c>
      <c r="S178" s="1810">
        <f>'HIV-Other HPs'!$M178*'HIV-Other HPs'!$R178</f>
        <v>0</v>
      </c>
      <c r="T178" s="1954"/>
      <c r="U178" s="12"/>
      <c r="V178" s="12"/>
      <c r="W178" s="12"/>
      <c r="X178" s="12"/>
      <c r="Y178" s="1809">
        <f>SUM('HIV-Other HPs'!$U178:$X178)</f>
        <v>0</v>
      </c>
      <c r="Z178" s="1810">
        <f>'HIV-Other HPs'!$T178*'HIV-Other HPs'!$Y178</f>
        <v>0</v>
      </c>
      <c r="AA178" s="1954"/>
      <c r="AB178" s="12"/>
      <c r="AC178" s="12"/>
      <c r="AD178" s="12"/>
      <c r="AE178" s="12"/>
      <c r="AF178" s="1809">
        <f>SUM('HIV-Other HPs'!$AB178:$AE178)</f>
        <v>0</v>
      </c>
      <c r="AG178" s="1810">
        <f>'HIV-Other HPs'!$AA178*'HIV-Other HPs'!$AF178</f>
        <v>0</v>
      </c>
      <c r="AH178" s="1811">
        <f>'HIV-Other HPs'!$R178+'HIV-Other HPs'!$Y178+'HIV-Other HPs'!$AF178</f>
        <v>0</v>
      </c>
      <c r="AI178" s="1810">
        <f>'HIV-Other HPs'!$S178+'HIV-Other HPs'!$Z178+'HIV-Other HPs'!$AG178</f>
        <v>0</v>
      </c>
      <c r="AJ178" s="1391" t="str">
        <f>IF($A178&lt;&gt;"",IFERROR(INDEX(PMtbl[[WKst]:[Unit of measure*]],MATCH($A$117&amp;$A178&amp;$D178&amp;$G178,INDEX(PMtbl[Sec]&amp;PMtbl[Category]&amp;PMtbl[INN]&amp;PMtbl[Specification],0,),0),7),""),"")</f>
        <v/>
      </c>
      <c r="AK178" s="2508"/>
      <c r="AL178" s="2509"/>
      <c r="AM178" s="1391" t="str">
        <f>IFERROR(INDEX(SETUP!$C$19:$G$62,MATCH((INDEX(PMtbl[[WKst]:[Unit of measure*]],MATCH($A178&amp;$D178&amp;$G178,INDEX(PMtbl[Category]&amp;PMtbl[INN]&amp;PMtbl[Specification],0,),0),3)),SETUP!$D$19:$D$62,0),5),"")</f>
        <v/>
      </c>
      <c r="AN178" s="1391" t="str">
        <f>IFERROR(IF((INDEX(SETUP!$C$19:$G$62,MATCH((INDEX(PMtbl[[WKst]:[Unit of measure*]],MATCH($A178&amp;$D178&amp;$G178,INDEX(PMtbl[Category]&amp;PMtbl[INN]&amp;PMtbl[Specification],0,),0),3)),SETUP!$D$19:$D$62,0),4))="Upfront",0,INDEX(SETUP!$C$19:$G$62,MATCH((INDEX(PMtbl[[WKst]:[Unit of measure*]],MATCH($A178&amp;$D178&amp;$G178,INDEX(PMtbl[Category]&amp;PMtbl[INN]&amp;PMtbl[Specification],0,),0),3)),SETUP!$D$19:$D$62,0),5)),"")</f>
        <v/>
      </c>
    </row>
    <row r="179" spans="1:40" s="198" customFormat="1">
      <c r="A179" s="2377"/>
      <c r="B179" s="2302"/>
      <c r="C179" s="2302"/>
      <c r="D179" s="2377"/>
      <c r="E179" s="2302"/>
      <c r="F179" s="2302"/>
      <c r="G179" s="2464"/>
      <c r="H179" s="2465"/>
      <c r="I179" s="2465"/>
      <c r="J179" s="2466"/>
      <c r="K179" s="209" t="str">
        <f>IF($A179&lt;&gt;"",IFERROR(INDEX(PMsheet!$B:$I,MATCH($A$117&amp;$A179&amp;$D179&amp;$G179,INDEX(PMsheet!$C:$C&amp;PMsheet!$E:$E&amp;PMsheet!$F:$F&amp;PMsheet!$G:$G,0,),0),8),""),"")</f>
        <v/>
      </c>
      <c r="L179" s="204" t="str">
        <f>IF(K179="", "",SETUP!$E$5)</f>
        <v/>
      </c>
      <c r="M179" s="1949"/>
      <c r="N179" s="1950"/>
      <c r="O179" s="1950"/>
      <c r="P179" s="1950"/>
      <c r="Q179" s="1950"/>
      <c r="R179" s="1815">
        <f>SUM('HIV-Other HPs'!$N179:$Q179)</f>
        <v>0</v>
      </c>
      <c r="S179" s="1816">
        <f>'HIV-Other HPs'!$M179*'HIV-Other HPs'!$R179</f>
        <v>0</v>
      </c>
      <c r="T179" s="1956"/>
      <c r="U179" s="1950"/>
      <c r="V179" s="1950"/>
      <c r="W179" s="1950"/>
      <c r="X179" s="1950"/>
      <c r="Y179" s="1815">
        <f>SUM('HIV-Other HPs'!$U179:$X179)</f>
        <v>0</v>
      </c>
      <c r="Z179" s="1816">
        <f>'HIV-Other HPs'!$T179*'HIV-Other HPs'!$Y179</f>
        <v>0</v>
      </c>
      <c r="AA179" s="1956"/>
      <c r="AB179" s="1950"/>
      <c r="AC179" s="1950"/>
      <c r="AD179" s="1950"/>
      <c r="AE179" s="1950"/>
      <c r="AF179" s="1815">
        <f>SUM('HIV-Other HPs'!$AB179:$AE179)</f>
        <v>0</v>
      </c>
      <c r="AG179" s="1816">
        <f>'HIV-Other HPs'!$AA179*'HIV-Other HPs'!$AF179</f>
        <v>0</v>
      </c>
      <c r="AH179" s="1817">
        <f>'HIV-Other HPs'!$R179+'HIV-Other HPs'!$Y179+'HIV-Other HPs'!$AF179</f>
        <v>0</v>
      </c>
      <c r="AI179" s="1816">
        <f>'HIV-Other HPs'!$S179+'HIV-Other HPs'!$Z179+'HIV-Other HPs'!$AG179</f>
        <v>0</v>
      </c>
      <c r="AJ179" s="1390" t="str">
        <f>IF($A179&lt;&gt;"",IFERROR(INDEX(PMtbl[[WKst]:[Unit of measure*]],MATCH($A$117&amp;$A179&amp;$D179&amp;$G179,INDEX(PMtbl[Sec]&amp;PMtbl[Category]&amp;PMtbl[INN]&amp;PMtbl[Specification],0,),0),7),""),"")</f>
        <v/>
      </c>
      <c r="AK179" s="2510"/>
      <c r="AL179" s="2511"/>
      <c r="AM179" s="1390" t="str">
        <f>IFERROR(INDEX(SETUP!$C$19:$G$62,MATCH((INDEX(PMtbl[[WKst]:[Unit of measure*]],MATCH($A179&amp;$D179&amp;$G179,INDEX(PMtbl[Category]&amp;PMtbl[INN]&amp;PMtbl[Specification],0,),0),3)),SETUP!$D$19:$D$62,0),5),"")</f>
        <v/>
      </c>
      <c r="AN179" s="1390" t="str">
        <f>IFERROR(IF((INDEX(SETUP!$C$19:$G$62,MATCH((INDEX(PMtbl[[WKst]:[Unit of measure*]],MATCH($A179&amp;$D179&amp;$G179,INDEX(PMtbl[Category]&amp;PMtbl[INN]&amp;PMtbl[Specification],0,),0),3)),SETUP!$D$19:$D$62,0),4))="Upfront",0,INDEX(SETUP!$C$19:$G$62,MATCH((INDEX(PMtbl[[WKst]:[Unit of measure*]],MATCH($A179&amp;$D179&amp;$G179,INDEX(PMtbl[Category]&amp;PMtbl[INN]&amp;PMtbl[Specification],0,),0),3)),SETUP!$D$19:$D$62,0),5)),"")</f>
        <v/>
      </c>
    </row>
    <row r="180" spans="1:40" s="198" customFormat="1">
      <c r="A180" s="2455"/>
      <c r="B180" s="2435"/>
      <c r="C180" s="2435"/>
      <c r="D180" s="2455"/>
      <c r="E180" s="2435"/>
      <c r="F180" s="2435"/>
      <c r="G180" s="2461"/>
      <c r="H180" s="2462"/>
      <c r="I180" s="2462"/>
      <c r="J180" s="2463"/>
      <c r="K180" s="213" t="str">
        <f>IF($A180&lt;&gt;"",IFERROR(INDEX(PMsheet!$B:$I,MATCH($A$117&amp;$A180&amp;$D180&amp;$G180,INDEX(PMsheet!$C:$C&amp;PMsheet!$E:$E&amp;PMsheet!$F:$F&amp;PMsheet!$G:$G,0,),0),8),""),"")</f>
        <v/>
      </c>
      <c r="L180" s="206" t="str">
        <f>IF(K180="", "",SETUP!$E$5)</f>
        <v/>
      </c>
      <c r="M180" s="1947"/>
      <c r="N180" s="12"/>
      <c r="O180" s="12"/>
      <c r="P180" s="12"/>
      <c r="Q180" s="12"/>
      <c r="R180" s="1809">
        <f>SUM('HIV-Other HPs'!$N180:$Q180)</f>
        <v>0</v>
      </c>
      <c r="S180" s="1810">
        <f>'HIV-Other HPs'!$M180*'HIV-Other HPs'!$R180</f>
        <v>0</v>
      </c>
      <c r="T180" s="1954"/>
      <c r="U180" s="12"/>
      <c r="V180" s="12"/>
      <c r="W180" s="12"/>
      <c r="X180" s="12"/>
      <c r="Y180" s="1809">
        <f>SUM('HIV-Other HPs'!$U180:$X180)</f>
        <v>0</v>
      </c>
      <c r="Z180" s="1810">
        <f>'HIV-Other HPs'!$T180*'HIV-Other HPs'!$Y180</f>
        <v>0</v>
      </c>
      <c r="AA180" s="1954"/>
      <c r="AB180" s="12"/>
      <c r="AC180" s="12"/>
      <c r="AD180" s="12"/>
      <c r="AE180" s="12"/>
      <c r="AF180" s="1809">
        <f>SUM('HIV-Other HPs'!$AB180:$AE180)</f>
        <v>0</v>
      </c>
      <c r="AG180" s="1810">
        <f>'HIV-Other HPs'!$AA180*'HIV-Other HPs'!$AF180</f>
        <v>0</v>
      </c>
      <c r="AH180" s="1811">
        <f>'HIV-Other HPs'!$R180+'HIV-Other HPs'!$Y180+'HIV-Other HPs'!$AF180</f>
        <v>0</v>
      </c>
      <c r="AI180" s="1810">
        <f>'HIV-Other HPs'!$S180+'HIV-Other HPs'!$Z180+'HIV-Other HPs'!$AG180</f>
        <v>0</v>
      </c>
      <c r="AJ180" s="1391" t="str">
        <f>IF($A180&lt;&gt;"",IFERROR(INDEX(PMtbl[[WKst]:[Unit of measure*]],MATCH($A$117&amp;$A180&amp;$D180&amp;$G180,INDEX(PMtbl[Sec]&amp;PMtbl[Category]&amp;PMtbl[INN]&amp;PMtbl[Specification],0,),0),7),""),"")</f>
        <v/>
      </c>
      <c r="AK180" s="2508"/>
      <c r="AL180" s="2509"/>
      <c r="AM180" s="1391" t="str">
        <f>IFERROR(INDEX(SETUP!$C$19:$G$62,MATCH((INDEX(PMtbl[[WKst]:[Unit of measure*]],MATCH($A180&amp;$D180&amp;$G180,INDEX(PMtbl[Category]&amp;PMtbl[INN]&amp;PMtbl[Specification],0,),0),3)),SETUP!$D$19:$D$62,0),5),"")</f>
        <v/>
      </c>
      <c r="AN180" s="1391" t="str">
        <f>IFERROR(IF((INDEX(SETUP!$C$19:$G$62,MATCH((INDEX(PMtbl[[WKst]:[Unit of measure*]],MATCH($A180&amp;$D180&amp;$G180,INDEX(PMtbl[Category]&amp;PMtbl[INN]&amp;PMtbl[Specification],0,),0),3)),SETUP!$D$19:$D$62,0),4))="Upfront",0,INDEX(SETUP!$C$19:$G$62,MATCH((INDEX(PMtbl[[WKst]:[Unit of measure*]],MATCH($A180&amp;$D180&amp;$G180,INDEX(PMtbl[Category]&amp;PMtbl[INN]&amp;PMtbl[Specification],0,),0),3)),SETUP!$D$19:$D$62,0),5)),"")</f>
        <v/>
      </c>
    </row>
    <row r="181" spans="1:40" s="198" customFormat="1">
      <c r="A181" s="2377"/>
      <c r="B181" s="2302"/>
      <c r="C181" s="2302"/>
      <c r="D181" s="2377"/>
      <c r="E181" s="2302"/>
      <c r="F181" s="2302"/>
      <c r="G181" s="2464"/>
      <c r="H181" s="2465"/>
      <c r="I181" s="2465"/>
      <c r="J181" s="2466"/>
      <c r="K181" s="209" t="str">
        <f>IF($A181&lt;&gt;"",IFERROR(INDEX(PMsheet!$B:$I,MATCH($A$117&amp;$A181&amp;$D181&amp;$G181,INDEX(PMsheet!$C:$C&amp;PMsheet!$E:$E&amp;PMsheet!$F:$F&amp;PMsheet!$G:$G,0,),0),8),""),"")</f>
        <v/>
      </c>
      <c r="L181" s="204" t="str">
        <f>IF(K181="", "",SETUP!$E$5)</f>
        <v/>
      </c>
      <c r="M181" s="1949"/>
      <c r="N181" s="1950"/>
      <c r="O181" s="1950"/>
      <c r="P181" s="1950"/>
      <c r="Q181" s="1950"/>
      <c r="R181" s="1815">
        <f>SUM('HIV-Other HPs'!$N181:$Q181)</f>
        <v>0</v>
      </c>
      <c r="S181" s="1816">
        <f>'HIV-Other HPs'!$M181*'HIV-Other HPs'!$R181</f>
        <v>0</v>
      </c>
      <c r="T181" s="1956"/>
      <c r="U181" s="1950"/>
      <c r="V181" s="1950"/>
      <c r="W181" s="1950"/>
      <c r="X181" s="1950"/>
      <c r="Y181" s="1815">
        <f>SUM('HIV-Other HPs'!$U181:$X181)</f>
        <v>0</v>
      </c>
      <c r="Z181" s="1816">
        <f>'HIV-Other HPs'!$T181*'HIV-Other HPs'!$Y181</f>
        <v>0</v>
      </c>
      <c r="AA181" s="1956"/>
      <c r="AB181" s="1950"/>
      <c r="AC181" s="1950"/>
      <c r="AD181" s="1950"/>
      <c r="AE181" s="1950"/>
      <c r="AF181" s="1815">
        <f>SUM('HIV-Other HPs'!$AB181:$AE181)</f>
        <v>0</v>
      </c>
      <c r="AG181" s="1816">
        <f>'HIV-Other HPs'!$AA181*'HIV-Other HPs'!$AF181</f>
        <v>0</v>
      </c>
      <c r="AH181" s="1817">
        <f>'HIV-Other HPs'!$R181+'HIV-Other HPs'!$Y181+'HIV-Other HPs'!$AF181</f>
        <v>0</v>
      </c>
      <c r="AI181" s="1816">
        <f>'HIV-Other HPs'!$S181+'HIV-Other HPs'!$Z181+'HIV-Other HPs'!$AG181</f>
        <v>0</v>
      </c>
      <c r="AJ181" s="1390" t="str">
        <f>IF($A181&lt;&gt;"",IFERROR(INDEX(PMtbl[[WKst]:[Unit of measure*]],MATCH($A$117&amp;$A181&amp;$D181&amp;$G181,INDEX(PMtbl[Sec]&amp;PMtbl[Category]&amp;PMtbl[INN]&amp;PMtbl[Specification],0,),0),7),""),"")</f>
        <v/>
      </c>
      <c r="AK181" s="2510"/>
      <c r="AL181" s="2511"/>
      <c r="AM181" s="1390" t="str">
        <f>IFERROR(INDEX(SETUP!$C$19:$G$62,MATCH((INDEX(PMtbl[[WKst]:[Unit of measure*]],MATCH($A181&amp;$D181&amp;$G181,INDEX(PMtbl[Category]&amp;PMtbl[INN]&amp;PMtbl[Specification],0,),0),3)),SETUP!$D$19:$D$62,0),5),"")</f>
        <v/>
      </c>
      <c r="AN181" s="1390" t="str">
        <f>IFERROR(IF((INDEX(SETUP!$C$19:$G$62,MATCH((INDEX(PMtbl[[WKst]:[Unit of measure*]],MATCH($A181&amp;$D181&amp;$G181,INDEX(PMtbl[Category]&amp;PMtbl[INN]&amp;PMtbl[Specification],0,),0),3)),SETUP!$D$19:$D$62,0),4))="Upfront",0,INDEX(SETUP!$C$19:$G$62,MATCH((INDEX(PMtbl[[WKst]:[Unit of measure*]],MATCH($A181&amp;$D181&amp;$G181,INDEX(PMtbl[Category]&amp;PMtbl[INN]&amp;PMtbl[Specification],0,),0),3)),SETUP!$D$19:$D$62,0),5)),"")</f>
        <v/>
      </c>
    </row>
    <row r="182" spans="1:40" s="198" customFormat="1">
      <c r="A182" s="2455"/>
      <c r="B182" s="2435"/>
      <c r="C182" s="2435"/>
      <c r="D182" s="2455"/>
      <c r="E182" s="2435"/>
      <c r="F182" s="2435"/>
      <c r="G182" s="2461"/>
      <c r="H182" s="2462"/>
      <c r="I182" s="2462"/>
      <c r="J182" s="2463"/>
      <c r="K182" s="213" t="str">
        <f>IF($A182&lt;&gt;"",IFERROR(INDEX(PMsheet!$B:$I,MATCH($A$117&amp;$A182&amp;$D182&amp;$G182,INDEX(PMsheet!$C:$C&amp;PMsheet!$E:$E&amp;PMsheet!$F:$F&amp;PMsheet!$G:$G,0,),0),8),""),"")</f>
        <v/>
      </c>
      <c r="L182" s="206" t="str">
        <f>IF(K182="", "",SETUP!$E$5)</f>
        <v/>
      </c>
      <c r="M182" s="1947"/>
      <c r="N182" s="12"/>
      <c r="O182" s="12"/>
      <c r="P182" s="12"/>
      <c r="Q182" s="12"/>
      <c r="R182" s="1809">
        <f>SUM('HIV-Other HPs'!$N182:$Q182)</f>
        <v>0</v>
      </c>
      <c r="S182" s="1810">
        <f>'HIV-Other HPs'!$M182*'HIV-Other HPs'!$R182</f>
        <v>0</v>
      </c>
      <c r="T182" s="1954"/>
      <c r="U182" s="12"/>
      <c r="V182" s="12"/>
      <c r="W182" s="12"/>
      <c r="X182" s="12"/>
      <c r="Y182" s="1809">
        <f>SUM('HIV-Other HPs'!$U182:$X182)</f>
        <v>0</v>
      </c>
      <c r="Z182" s="1810">
        <f>'HIV-Other HPs'!$T182*'HIV-Other HPs'!$Y182</f>
        <v>0</v>
      </c>
      <c r="AA182" s="1954"/>
      <c r="AB182" s="12"/>
      <c r="AC182" s="12"/>
      <c r="AD182" s="12"/>
      <c r="AE182" s="12"/>
      <c r="AF182" s="1809">
        <f>SUM('HIV-Other HPs'!$AB182:$AE182)</f>
        <v>0</v>
      </c>
      <c r="AG182" s="1810">
        <f>'HIV-Other HPs'!$AA182*'HIV-Other HPs'!$AF182</f>
        <v>0</v>
      </c>
      <c r="AH182" s="1811">
        <f>'HIV-Other HPs'!$R182+'HIV-Other HPs'!$Y182+'HIV-Other HPs'!$AF182</f>
        <v>0</v>
      </c>
      <c r="AI182" s="1810">
        <f>'HIV-Other HPs'!$S182+'HIV-Other HPs'!$Z182+'HIV-Other HPs'!$AG182</f>
        <v>0</v>
      </c>
      <c r="AJ182" s="1391" t="str">
        <f>IF($A182&lt;&gt;"",IFERROR(INDEX(PMtbl[[WKst]:[Unit of measure*]],MATCH($A$117&amp;$A182&amp;$D182&amp;$G182,INDEX(PMtbl[Sec]&amp;PMtbl[Category]&amp;PMtbl[INN]&amp;PMtbl[Specification],0,),0),7),""),"")</f>
        <v/>
      </c>
      <c r="AK182" s="2508"/>
      <c r="AL182" s="2509"/>
      <c r="AM182" s="1391" t="str">
        <f>IFERROR(INDEX(SETUP!$C$19:$G$62,MATCH((INDEX(PMtbl[[WKst]:[Unit of measure*]],MATCH($A182&amp;$D182&amp;$G182,INDEX(PMtbl[Category]&amp;PMtbl[INN]&amp;PMtbl[Specification],0,),0),3)),SETUP!$D$19:$D$62,0),5),"")</f>
        <v/>
      </c>
      <c r="AN182" s="1391" t="str">
        <f>IFERROR(IF((INDEX(SETUP!$C$19:$G$62,MATCH((INDEX(PMtbl[[WKst]:[Unit of measure*]],MATCH($A182&amp;$D182&amp;$G182,INDEX(PMtbl[Category]&amp;PMtbl[INN]&amp;PMtbl[Specification],0,),0),3)),SETUP!$D$19:$D$62,0),4))="Upfront",0,INDEX(SETUP!$C$19:$G$62,MATCH((INDEX(PMtbl[[WKst]:[Unit of measure*]],MATCH($A182&amp;$D182&amp;$G182,INDEX(PMtbl[Category]&amp;PMtbl[INN]&amp;PMtbl[Specification],0,),0),3)),SETUP!$D$19:$D$62,0),5)),"")</f>
        <v/>
      </c>
    </row>
    <row r="183" spans="1:40" s="198" customFormat="1">
      <c r="A183" s="2377"/>
      <c r="B183" s="2302"/>
      <c r="C183" s="2302"/>
      <c r="D183" s="2377"/>
      <c r="E183" s="2302"/>
      <c r="F183" s="2302"/>
      <c r="G183" s="2464"/>
      <c r="H183" s="2465"/>
      <c r="I183" s="2465"/>
      <c r="J183" s="2466"/>
      <c r="K183" s="209" t="str">
        <f>IF($A183&lt;&gt;"",IFERROR(INDEX(PMsheet!$B:$I,MATCH($A$117&amp;$A183&amp;$D183&amp;$G183,INDEX(PMsheet!$C:$C&amp;PMsheet!$E:$E&amp;PMsheet!$F:$F&amp;PMsheet!$G:$G,0,),0),8),""),"")</f>
        <v/>
      </c>
      <c r="L183" s="204" t="str">
        <f>IF(K183="", "",SETUP!$E$5)</f>
        <v/>
      </c>
      <c r="M183" s="1949"/>
      <c r="N183" s="1950"/>
      <c r="O183" s="1950"/>
      <c r="P183" s="1950"/>
      <c r="Q183" s="1950"/>
      <c r="R183" s="1815">
        <f>SUM('HIV-Other HPs'!$N183:$Q183)</f>
        <v>0</v>
      </c>
      <c r="S183" s="1816">
        <f>'HIV-Other HPs'!$M183*'HIV-Other HPs'!$R183</f>
        <v>0</v>
      </c>
      <c r="T183" s="1956"/>
      <c r="U183" s="1950"/>
      <c r="V183" s="1950"/>
      <c r="W183" s="1950"/>
      <c r="X183" s="1950"/>
      <c r="Y183" s="1815">
        <f>SUM('HIV-Other HPs'!$U183:$X183)</f>
        <v>0</v>
      </c>
      <c r="Z183" s="1816">
        <f>'HIV-Other HPs'!$T183*'HIV-Other HPs'!$Y183</f>
        <v>0</v>
      </c>
      <c r="AA183" s="1956"/>
      <c r="AB183" s="1950"/>
      <c r="AC183" s="1950"/>
      <c r="AD183" s="1950"/>
      <c r="AE183" s="1950"/>
      <c r="AF183" s="1815">
        <f>SUM('HIV-Other HPs'!$AB183:$AE183)</f>
        <v>0</v>
      </c>
      <c r="AG183" s="1816">
        <f>'HIV-Other HPs'!$AA183*'HIV-Other HPs'!$AF183</f>
        <v>0</v>
      </c>
      <c r="AH183" s="1817">
        <f>'HIV-Other HPs'!$R183+'HIV-Other HPs'!$Y183+'HIV-Other HPs'!$AF183</f>
        <v>0</v>
      </c>
      <c r="AI183" s="1816">
        <f>'HIV-Other HPs'!$S183+'HIV-Other HPs'!$Z183+'HIV-Other HPs'!$AG183</f>
        <v>0</v>
      </c>
      <c r="AJ183" s="1390" t="str">
        <f>IF($A183&lt;&gt;"",IFERROR(INDEX(PMtbl[[WKst]:[Unit of measure*]],MATCH($A$117&amp;$A183&amp;$D183&amp;$G183,INDEX(PMtbl[Sec]&amp;PMtbl[Category]&amp;PMtbl[INN]&amp;PMtbl[Specification],0,),0),7),""),"")</f>
        <v/>
      </c>
      <c r="AK183" s="2510"/>
      <c r="AL183" s="2511"/>
      <c r="AM183" s="1390" t="str">
        <f>IFERROR(INDEX(SETUP!$C$19:$G$62,MATCH((INDEX(PMtbl[[WKst]:[Unit of measure*]],MATCH($A183&amp;$D183&amp;$G183,INDEX(PMtbl[Category]&amp;PMtbl[INN]&amp;PMtbl[Specification],0,),0),3)),SETUP!$D$19:$D$62,0),5),"")</f>
        <v/>
      </c>
      <c r="AN183" s="1390" t="str">
        <f>IFERROR(IF((INDEX(SETUP!$C$19:$G$62,MATCH((INDEX(PMtbl[[WKst]:[Unit of measure*]],MATCH($A183&amp;$D183&amp;$G183,INDEX(PMtbl[Category]&amp;PMtbl[INN]&amp;PMtbl[Specification],0,),0),3)),SETUP!$D$19:$D$62,0),4))="Upfront",0,INDEX(SETUP!$C$19:$G$62,MATCH((INDEX(PMtbl[[WKst]:[Unit of measure*]],MATCH($A183&amp;$D183&amp;$G183,INDEX(PMtbl[Category]&amp;PMtbl[INN]&amp;PMtbl[Specification],0,),0),3)),SETUP!$D$19:$D$62,0),5)),"")</f>
        <v/>
      </c>
    </row>
    <row r="184" spans="1:40" s="198" customFormat="1">
      <c r="A184" s="2455"/>
      <c r="B184" s="2435"/>
      <c r="C184" s="2435"/>
      <c r="D184" s="2455"/>
      <c r="E184" s="2435"/>
      <c r="F184" s="2435"/>
      <c r="G184" s="2461"/>
      <c r="H184" s="2462"/>
      <c r="I184" s="2462"/>
      <c r="J184" s="2463"/>
      <c r="K184" s="213" t="str">
        <f>IF($A184&lt;&gt;"",IFERROR(INDEX(PMsheet!$B:$I,MATCH($A$117&amp;$A184&amp;$D184&amp;$G184,INDEX(PMsheet!$C:$C&amp;PMsheet!$E:$E&amp;PMsheet!$F:$F&amp;PMsheet!$G:$G,0,),0),8),""),"")</f>
        <v/>
      </c>
      <c r="L184" s="206" t="str">
        <f>IF(K184="", "",SETUP!$E$5)</f>
        <v/>
      </c>
      <c r="M184" s="1947"/>
      <c r="N184" s="12"/>
      <c r="O184" s="12"/>
      <c r="P184" s="12"/>
      <c r="Q184" s="12"/>
      <c r="R184" s="1809">
        <f>SUM('HIV-Other HPs'!$N184:$Q184)</f>
        <v>0</v>
      </c>
      <c r="S184" s="1810">
        <f>'HIV-Other HPs'!$M184*'HIV-Other HPs'!$R184</f>
        <v>0</v>
      </c>
      <c r="T184" s="1954"/>
      <c r="U184" s="12"/>
      <c r="V184" s="12"/>
      <c r="W184" s="12"/>
      <c r="X184" s="12"/>
      <c r="Y184" s="1809">
        <f>SUM('HIV-Other HPs'!$U184:$X184)</f>
        <v>0</v>
      </c>
      <c r="Z184" s="1810">
        <f>'HIV-Other HPs'!$T184*'HIV-Other HPs'!$Y184</f>
        <v>0</v>
      </c>
      <c r="AA184" s="1954"/>
      <c r="AB184" s="12"/>
      <c r="AC184" s="12"/>
      <c r="AD184" s="12"/>
      <c r="AE184" s="12"/>
      <c r="AF184" s="1809">
        <f>SUM('HIV-Other HPs'!$AB184:$AE184)</f>
        <v>0</v>
      </c>
      <c r="AG184" s="1810">
        <f>'HIV-Other HPs'!$AA184*'HIV-Other HPs'!$AF184</f>
        <v>0</v>
      </c>
      <c r="AH184" s="1811">
        <f>'HIV-Other HPs'!$R184+'HIV-Other HPs'!$Y184+'HIV-Other HPs'!$AF184</f>
        <v>0</v>
      </c>
      <c r="AI184" s="1810">
        <f>'HIV-Other HPs'!$S184+'HIV-Other HPs'!$Z184+'HIV-Other HPs'!$AG184</f>
        <v>0</v>
      </c>
      <c r="AJ184" s="1391" t="str">
        <f>IF($A184&lt;&gt;"",IFERROR(INDEX(PMtbl[[WKst]:[Unit of measure*]],MATCH($A$117&amp;$A184&amp;$D184&amp;$G184,INDEX(PMtbl[Sec]&amp;PMtbl[Category]&amp;PMtbl[INN]&amp;PMtbl[Specification],0,),0),7),""),"")</f>
        <v/>
      </c>
      <c r="AK184" s="2508"/>
      <c r="AL184" s="2509"/>
      <c r="AM184" s="1391" t="str">
        <f>IFERROR(INDEX(SETUP!$C$19:$G$62,MATCH((INDEX(PMtbl[[WKst]:[Unit of measure*]],MATCH($A184&amp;$D184&amp;$G184,INDEX(PMtbl[Category]&amp;PMtbl[INN]&amp;PMtbl[Specification],0,),0),3)),SETUP!$D$19:$D$62,0),5),"")</f>
        <v/>
      </c>
      <c r="AN184" s="1391" t="str">
        <f>IFERROR(IF((INDEX(SETUP!$C$19:$G$62,MATCH((INDEX(PMtbl[[WKst]:[Unit of measure*]],MATCH($A184&amp;$D184&amp;$G184,INDEX(PMtbl[Category]&amp;PMtbl[INN]&amp;PMtbl[Specification],0,),0),3)),SETUP!$D$19:$D$62,0),4))="Upfront",0,INDEX(SETUP!$C$19:$G$62,MATCH((INDEX(PMtbl[[WKst]:[Unit of measure*]],MATCH($A184&amp;$D184&amp;$G184,INDEX(PMtbl[Category]&amp;PMtbl[INN]&amp;PMtbl[Specification],0,),0),3)),SETUP!$D$19:$D$62,0),5)),"")</f>
        <v/>
      </c>
    </row>
    <row r="185" spans="1:40" s="198" customFormat="1">
      <c r="A185" s="2377"/>
      <c r="B185" s="2302"/>
      <c r="C185" s="2302"/>
      <c r="D185" s="2377"/>
      <c r="E185" s="2302"/>
      <c r="F185" s="2302"/>
      <c r="G185" s="2464"/>
      <c r="H185" s="2465"/>
      <c r="I185" s="2465"/>
      <c r="J185" s="2466"/>
      <c r="K185" s="209" t="str">
        <f>IF($A185&lt;&gt;"",IFERROR(INDEX(PMsheet!$B:$I,MATCH($A$117&amp;$A185&amp;$D185&amp;$G185,INDEX(PMsheet!$C:$C&amp;PMsheet!$E:$E&amp;PMsheet!$F:$F&amp;PMsheet!$G:$G,0,),0),8),""),"")</f>
        <v/>
      </c>
      <c r="L185" s="204" t="str">
        <f>IF(K185="", "",SETUP!$E$5)</f>
        <v/>
      </c>
      <c r="M185" s="1949"/>
      <c r="N185" s="1950"/>
      <c r="O185" s="1950"/>
      <c r="P185" s="1950"/>
      <c r="Q185" s="1950"/>
      <c r="R185" s="1815">
        <f>SUM('HIV-Other HPs'!$N185:$Q185)</f>
        <v>0</v>
      </c>
      <c r="S185" s="1816">
        <f>'HIV-Other HPs'!$M185*'HIV-Other HPs'!$R185</f>
        <v>0</v>
      </c>
      <c r="T185" s="1956"/>
      <c r="U185" s="1950"/>
      <c r="V185" s="1950"/>
      <c r="W185" s="1950"/>
      <c r="X185" s="1950"/>
      <c r="Y185" s="1815">
        <f>SUM('HIV-Other HPs'!$U185:$X185)</f>
        <v>0</v>
      </c>
      <c r="Z185" s="1816">
        <f>'HIV-Other HPs'!$T185*'HIV-Other HPs'!$Y185</f>
        <v>0</v>
      </c>
      <c r="AA185" s="1956"/>
      <c r="AB185" s="1950"/>
      <c r="AC185" s="1950"/>
      <c r="AD185" s="1950"/>
      <c r="AE185" s="1950"/>
      <c r="AF185" s="1815">
        <f>SUM('HIV-Other HPs'!$AB185:$AE185)</f>
        <v>0</v>
      </c>
      <c r="AG185" s="1816">
        <f>'HIV-Other HPs'!$AA185*'HIV-Other HPs'!$AF185</f>
        <v>0</v>
      </c>
      <c r="AH185" s="1817">
        <f>'HIV-Other HPs'!$R185+'HIV-Other HPs'!$Y185+'HIV-Other HPs'!$AF185</f>
        <v>0</v>
      </c>
      <c r="AI185" s="1816">
        <f>'HIV-Other HPs'!$S185+'HIV-Other HPs'!$Z185+'HIV-Other HPs'!$AG185</f>
        <v>0</v>
      </c>
      <c r="AJ185" s="1390" t="str">
        <f>IF($A185&lt;&gt;"",IFERROR(INDEX(PMtbl[[WKst]:[Unit of measure*]],MATCH($A$117&amp;$A185&amp;$D185&amp;$G185,INDEX(PMtbl[Sec]&amp;PMtbl[Category]&amp;PMtbl[INN]&amp;PMtbl[Specification],0,),0),7),""),"")</f>
        <v/>
      </c>
      <c r="AK185" s="2510"/>
      <c r="AL185" s="2511"/>
      <c r="AM185" s="1390" t="str">
        <f>IFERROR(INDEX(SETUP!$C$19:$G$62,MATCH((INDEX(PMtbl[[WKst]:[Unit of measure*]],MATCH($A185&amp;$D185&amp;$G185,INDEX(PMtbl[Category]&amp;PMtbl[INN]&amp;PMtbl[Specification],0,),0),3)),SETUP!$D$19:$D$62,0),5),"")</f>
        <v/>
      </c>
      <c r="AN185" s="1390" t="str">
        <f>IFERROR(IF((INDEX(SETUP!$C$19:$G$62,MATCH((INDEX(PMtbl[[WKst]:[Unit of measure*]],MATCH($A185&amp;$D185&amp;$G185,INDEX(PMtbl[Category]&amp;PMtbl[INN]&amp;PMtbl[Specification],0,),0),3)),SETUP!$D$19:$D$62,0),4))="Upfront",0,INDEX(SETUP!$C$19:$G$62,MATCH((INDEX(PMtbl[[WKst]:[Unit of measure*]],MATCH($A185&amp;$D185&amp;$G185,INDEX(PMtbl[Category]&amp;PMtbl[INN]&amp;PMtbl[Specification],0,),0),3)),SETUP!$D$19:$D$62,0),5)),"")</f>
        <v/>
      </c>
    </row>
    <row r="186" spans="1:40" s="198" customFormat="1">
      <c r="A186" s="2455"/>
      <c r="B186" s="2435"/>
      <c r="C186" s="2435"/>
      <c r="D186" s="2455"/>
      <c r="E186" s="2435"/>
      <c r="F186" s="2435"/>
      <c r="G186" s="2461"/>
      <c r="H186" s="2462"/>
      <c r="I186" s="2462"/>
      <c r="J186" s="2463"/>
      <c r="K186" s="213" t="str">
        <f>IF($A186&lt;&gt;"",IFERROR(INDEX(PMsheet!$B:$I,MATCH($A$117&amp;$A186&amp;$D186&amp;$G186,INDEX(PMsheet!$C:$C&amp;PMsheet!$E:$E&amp;PMsheet!$F:$F&amp;PMsheet!$G:$G,0,),0),8),""),"")</f>
        <v/>
      </c>
      <c r="L186" s="206" t="str">
        <f>IF(K186="", "",SETUP!$E$5)</f>
        <v/>
      </c>
      <c r="M186" s="1947"/>
      <c r="N186" s="12"/>
      <c r="O186" s="12"/>
      <c r="P186" s="12"/>
      <c r="Q186" s="12"/>
      <c r="R186" s="1809">
        <f>SUM('HIV-Other HPs'!$N186:$Q186)</f>
        <v>0</v>
      </c>
      <c r="S186" s="1810">
        <f>'HIV-Other HPs'!$M186*'HIV-Other HPs'!$R186</f>
        <v>0</v>
      </c>
      <c r="T186" s="1954"/>
      <c r="U186" s="12"/>
      <c r="V186" s="12"/>
      <c r="W186" s="12"/>
      <c r="X186" s="12"/>
      <c r="Y186" s="1809">
        <f>SUM('HIV-Other HPs'!$U186:$X186)</f>
        <v>0</v>
      </c>
      <c r="Z186" s="1810">
        <f>'HIV-Other HPs'!$T186*'HIV-Other HPs'!$Y186</f>
        <v>0</v>
      </c>
      <c r="AA186" s="1954"/>
      <c r="AB186" s="12"/>
      <c r="AC186" s="12"/>
      <c r="AD186" s="12"/>
      <c r="AE186" s="12"/>
      <c r="AF186" s="1809">
        <f>SUM('HIV-Other HPs'!$AB186:$AE186)</f>
        <v>0</v>
      </c>
      <c r="AG186" s="1810">
        <f>'HIV-Other HPs'!$AA186*'HIV-Other HPs'!$AF186</f>
        <v>0</v>
      </c>
      <c r="AH186" s="1811">
        <f>'HIV-Other HPs'!$R186+'HIV-Other HPs'!$Y186+'HIV-Other HPs'!$AF186</f>
        <v>0</v>
      </c>
      <c r="AI186" s="1810">
        <f>'HIV-Other HPs'!$S186+'HIV-Other HPs'!$Z186+'HIV-Other HPs'!$AG186</f>
        <v>0</v>
      </c>
      <c r="AJ186" s="1391" t="str">
        <f>IF($A186&lt;&gt;"",IFERROR(INDEX(PMtbl[[WKst]:[Unit of measure*]],MATCH($A$117&amp;$A186&amp;$D186&amp;$G186,INDEX(PMtbl[Sec]&amp;PMtbl[Category]&amp;PMtbl[INN]&amp;PMtbl[Specification],0,),0),7),""),"")</f>
        <v/>
      </c>
      <c r="AK186" s="2508"/>
      <c r="AL186" s="2509"/>
      <c r="AM186" s="1391" t="str">
        <f>IFERROR(INDEX(SETUP!$C$19:$G$62,MATCH((INDEX(PMtbl[[WKst]:[Unit of measure*]],MATCH($A186&amp;$D186&amp;$G186,INDEX(PMtbl[Category]&amp;PMtbl[INN]&amp;PMtbl[Specification],0,),0),3)),SETUP!$D$19:$D$62,0),5),"")</f>
        <v/>
      </c>
      <c r="AN186" s="1391" t="str">
        <f>IFERROR(IF((INDEX(SETUP!$C$19:$G$62,MATCH((INDEX(PMtbl[[WKst]:[Unit of measure*]],MATCH($A186&amp;$D186&amp;$G186,INDEX(PMtbl[Category]&amp;PMtbl[INN]&amp;PMtbl[Specification],0,),0),3)),SETUP!$D$19:$D$62,0),4))="Upfront",0,INDEX(SETUP!$C$19:$G$62,MATCH((INDEX(PMtbl[[WKst]:[Unit of measure*]],MATCH($A186&amp;$D186&amp;$G186,INDEX(PMtbl[Category]&amp;PMtbl[INN]&amp;PMtbl[Specification],0,),0),3)),SETUP!$D$19:$D$62,0),5)),"")</f>
        <v/>
      </c>
    </row>
    <row r="187" spans="1:40" s="198" customFormat="1">
      <c r="A187" s="2377"/>
      <c r="B187" s="2302"/>
      <c r="C187" s="2302"/>
      <c r="D187" s="2377"/>
      <c r="E187" s="2302"/>
      <c r="F187" s="2302"/>
      <c r="G187" s="2464"/>
      <c r="H187" s="2465"/>
      <c r="I187" s="2465"/>
      <c r="J187" s="2466"/>
      <c r="K187" s="209" t="str">
        <f>IF($A187&lt;&gt;"",IFERROR(INDEX(PMsheet!$B:$I,MATCH($A$117&amp;$A187&amp;$D187&amp;$G187,INDEX(PMsheet!$C:$C&amp;PMsheet!$E:$E&amp;PMsheet!$F:$F&amp;PMsheet!$G:$G,0,),0),8),""),"")</f>
        <v/>
      </c>
      <c r="L187" s="204" t="str">
        <f>IF(K187="", "",SETUP!$E$5)</f>
        <v/>
      </c>
      <c r="M187" s="1949"/>
      <c r="N187" s="1950"/>
      <c r="O187" s="1950"/>
      <c r="P187" s="1950"/>
      <c r="Q187" s="1950"/>
      <c r="R187" s="1815">
        <f>SUM('HIV-Other HPs'!$N187:$Q187)</f>
        <v>0</v>
      </c>
      <c r="S187" s="1816">
        <f>'HIV-Other HPs'!$M187*'HIV-Other HPs'!$R187</f>
        <v>0</v>
      </c>
      <c r="T187" s="1956"/>
      <c r="U187" s="1950"/>
      <c r="V187" s="1950"/>
      <c r="W187" s="1950"/>
      <c r="X187" s="1950"/>
      <c r="Y187" s="1815">
        <f>SUM('HIV-Other HPs'!$U187:$X187)</f>
        <v>0</v>
      </c>
      <c r="Z187" s="1816">
        <f>'HIV-Other HPs'!$T187*'HIV-Other HPs'!$Y187</f>
        <v>0</v>
      </c>
      <c r="AA187" s="1956"/>
      <c r="AB187" s="1950"/>
      <c r="AC187" s="1950"/>
      <c r="AD187" s="1950"/>
      <c r="AE187" s="1950"/>
      <c r="AF187" s="1815">
        <f>SUM('HIV-Other HPs'!$AB187:$AE187)</f>
        <v>0</v>
      </c>
      <c r="AG187" s="1816">
        <f>'HIV-Other HPs'!$AA187*'HIV-Other HPs'!$AF187</f>
        <v>0</v>
      </c>
      <c r="AH187" s="1817">
        <f>'HIV-Other HPs'!$R187+'HIV-Other HPs'!$Y187+'HIV-Other HPs'!$AF187</f>
        <v>0</v>
      </c>
      <c r="AI187" s="1816">
        <f>'HIV-Other HPs'!$S187+'HIV-Other HPs'!$Z187+'HIV-Other HPs'!$AG187</f>
        <v>0</v>
      </c>
      <c r="AJ187" s="1390" t="str">
        <f>IF($A187&lt;&gt;"",IFERROR(INDEX(PMtbl[[WKst]:[Unit of measure*]],MATCH($A$117&amp;$A187&amp;$D187&amp;$G187,INDEX(PMtbl[Sec]&amp;PMtbl[Category]&amp;PMtbl[INN]&amp;PMtbl[Specification],0,),0),7),""),"")</f>
        <v/>
      </c>
      <c r="AK187" s="2510"/>
      <c r="AL187" s="2511"/>
      <c r="AM187" s="1390" t="str">
        <f>IFERROR(INDEX(SETUP!$C$19:$G$62,MATCH((INDEX(PMtbl[[WKst]:[Unit of measure*]],MATCH($A187&amp;$D187&amp;$G187,INDEX(PMtbl[Category]&amp;PMtbl[INN]&amp;PMtbl[Specification],0,),0),3)),SETUP!$D$19:$D$62,0),5),"")</f>
        <v/>
      </c>
      <c r="AN187" s="1390" t="str">
        <f>IFERROR(IF((INDEX(SETUP!$C$19:$G$62,MATCH((INDEX(PMtbl[[WKst]:[Unit of measure*]],MATCH($A187&amp;$D187&amp;$G187,INDEX(PMtbl[Category]&amp;PMtbl[INN]&amp;PMtbl[Specification],0,),0),3)),SETUP!$D$19:$D$62,0),4))="Upfront",0,INDEX(SETUP!$C$19:$G$62,MATCH((INDEX(PMtbl[[WKst]:[Unit of measure*]],MATCH($A187&amp;$D187&amp;$G187,INDEX(PMtbl[Category]&amp;PMtbl[INN]&amp;PMtbl[Specification],0,),0),3)),SETUP!$D$19:$D$62,0),5)),"")</f>
        <v/>
      </c>
    </row>
    <row r="188" spans="1:40" s="198" customFormat="1">
      <c r="A188" s="2455"/>
      <c r="B188" s="2435"/>
      <c r="C188" s="2435"/>
      <c r="D188" s="2455"/>
      <c r="E188" s="2435"/>
      <c r="F188" s="2435"/>
      <c r="G188" s="2461"/>
      <c r="H188" s="2462"/>
      <c r="I188" s="2462"/>
      <c r="J188" s="2463"/>
      <c r="K188" s="213" t="str">
        <f>IF($A188&lt;&gt;"",IFERROR(INDEX(PMsheet!$B:$I,MATCH($A$117&amp;$A188&amp;$D188&amp;$G188,INDEX(PMsheet!$C:$C&amp;PMsheet!$E:$E&amp;PMsheet!$F:$F&amp;PMsheet!$G:$G,0,),0),8),""),"")</f>
        <v/>
      </c>
      <c r="L188" s="206" t="str">
        <f>IF(K188="", "",SETUP!$E$5)</f>
        <v/>
      </c>
      <c r="M188" s="1947"/>
      <c r="N188" s="12"/>
      <c r="O188" s="12"/>
      <c r="P188" s="12"/>
      <c r="Q188" s="12"/>
      <c r="R188" s="1809">
        <f>SUM('HIV-Other HPs'!$N188:$Q188)</f>
        <v>0</v>
      </c>
      <c r="S188" s="1810">
        <f>'HIV-Other HPs'!$M188*'HIV-Other HPs'!$R188</f>
        <v>0</v>
      </c>
      <c r="T188" s="1954"/>
      <c r="U188" s="12"/>
      <c r="V188" s="12"/>
      <c r="W188" s="12"/>
      <c r="X188" s="12"/>
      <c r="Y188" s="1809">
        <f>SUM('HIV-Other HPs'!$U188:$X188)</f>
        <v>0</v>
      </c>
      <c r="Z188" s="1810">
        <f>'HIV-Other HPs'!$T188*'HIV-Other HPs'!$Y188</f>
        <v>0</v>
      </c>
      <c r="AA188" s="1954"/>
      <c r="AB188" s="12"/>
      <c r="AC188" s="12"/>
      <c r="AD188" s="12"/>
      <c r="AE188" s="12"/>
      <c r="AF188" s="1809">
        <f>SUM('HIV-Other HPs'!$AB188:$AE188)</f>
        <v>0</v>
      </c>
      <c r="AG188" s="1810">
        <f>'HIV-Other HPs'!$AA188*'HIV-Other HPs'!$AF188</f>
        <v>0</v>
      </c>
      <c r="AH188" s="1811">
        <f>'HIV-Other HPs'!$R188+'HIV-Other HPs'!$Y188+'HIV-Other HPs'!$AF188</f>
        <v>0</v>
      </c>
      <c r="AI188" s="1810">
        <f>'HIV-Other HPs'!$S188+'HIV-Other HPs'!$Z188+'HIV-Other HPs'!$AG188</f>
        <v>0</v>
      </c>
      <c r="AJ188" s="1391" t="str">
        <f>IF($A188&lt;&gt;"",IFERROR(INDEX(PMtbl[[WKst]:[Unit of measure*]],MATCH($A$117&amp;$A188&amp;$D188&amp;$G188,INDEX(PMtbl[Sec]&amp;PMtbl[Category]&amp;PMtbl[INN]&amp;PMtbl[Specification],0,),0),7),""),"")</f>
        <v/>
      </c>
      <c r="AK188" s="2508"/>
      <c r="AL188" s="2509"/>
      <c r="AM188" s="1391" t="str">
        <f>IFERROR(INDEX(SETUP!$C$19:$G$62,MATCH((INDEX(PMtbl[[WKst]:[Unit of measure*]],MATCH($A188&amp;$D188&amp;$G188,INDEX(PMtbl[Category]&amp;PMtbl[INN]&amp;PMtbl[Specification],0,),0),3)),SETUP!$D$19:$D$62,0),5),"")</f>
        <v/>
      </c>
      <c r="AN188" s="1391" t="str">
        <f>IFERROR(IF((INDEX(SETUP!$C$19:$G$62,MATCH((INDEX(PMtbl[[WKst]:[Unit of measure*]],MATCH($A188&amp;$D188&amp;$G188,INDEX(PMtbl[Category]&amp;PMtbl[INN]&amp;PMtbl[Specification],0,),0),3)),SETUP!$D$19:$D$62,0),4))="Upfront",0,INDEX(SETUP!$C$19:$G$62,MATCH((INDEX(PMtbl[[WKst]:[Unit of measure*]],MATCH($A188&amp;$D188&amp;$G188,INDEX(PMtbl[Category]&amp;PMtbl[INN]&amp;PMtbl[Specification],0,),0),3)),SETUP!$D$19:$D$62,0),5)),"")</f>
        <v/>
      </c>
    </row>
    <row r="189" spans="1:40" s="198" customFormat="1">
      <c r="A189" s="2377"/>
      <c r="B189" s="2302"/>
      <c r="C189" s="2302"/>
      <c r="D189" s="2377"/>
      <c r="E189" s="2302"/>
      <c r="F189" s="2302"/>
      <c r="G189" s="2464"/>
      <c r="H189" s="2465"/>
      <c r="I189" s="2465"/>
      <c r="J189" s="2466"/>
      <c r="K189" s="209" t="str">
        <f>IF($A189&lt;&gt;"",IFERROR(INDEX(PMsheet!$B:$I,MATCH($A$117&amp;$A189&amp;$D189&amp;$G189,INDEX(PMsheet!$C:$C&amp;PMsheet!$E:$E&amp;PMsheet!$F:$F&amp;PMsheet!$G:$G,0,),0),8),""),"")</f>
        <v/>
      </c>
      <c r="L189" s="204" t="str">
        <f>IF(K189="", "",SETUP!$E$5)</f>
        <v/>
      </c>
      <c r="M189" s="1949"/>
      <c r="N189" s="1950"/>
      <c r="O189" s="1950"/>
      <c r="P189" s="1950"/>
      <c r="Q189" s="1950"/>
      <c r="R189" s="1815">
        <f>SUM('HIV-Other HPs'!$N189:$Q189)</f>
        <v>0</v>
      </c>
      <c r="S189" s="1816">
        <f>'HIV-Other HPs'!$M189*'HIV-Other HPs'!$R189</f>
        <v>0</v>
      </c>
      <c r="T189" s="1956"/>
      <c r="U189" s="1950"/>
      <c r="V189" s="1950"/>
      <c r="W189" s="1950"/>
      <c r="X189" s="1950"/>
      <c r="Y189" s="1815">
        <f>SUM('HIV-Other HPs'!$U189:$X189)</f>
        <v>0</v>
      </c>
      <c r="Z189" s="1816">
        <f>'HIV-Other HPs'!$T189*'HIV-Other HPs'!$Y189</f>
        <v>0</v>
      </c>
      <c r="AA189" s="1956"/>
      <c r="AB189" s="1950"/>
      <c r="AC189" s="1950"/>
      <c r="AD189" s="1950"/>
      <c r="AE189" s="1950"/>
      <c r="AF189" s="1815">
        <f>SUM('HIV-Other HPs'!$AB189:$AE189)</f>
        <v>0</v>
      </c>
      <c r="AG189" s="1816">
        <f>'HIV-Other HPs'!$AA189*'HIV-Other HPs'!$AF189</f>
        <v>0</v>
      </c>
      <c r="AH189" s="1817">
        <f>'HIV-Other HPs'!$R189+'HIV-Other HPs'!$Y189+'HIV-Other HPs'!$AF189</f>
        <v>0</v>
      </c>
      <c r="AI189" s="1816">
        <f>'HIV-Other HPs'!$S189+'HIV-Other HPs'!$Z189+'HIV-Other HPs'!$AG189</f>
        <v>0</v>
      </c>
      <c r="AJ189" s="1390" t="str">
        <f>IF($A189&lt;&gt;"",IFERROR(INDEX(PMtbl[[WKst]:[Unit of measure*]],MATCH($A$117&amp;$A189&amp;$D189&amp;$G189,INDEX(PMtbl[Sec]&amp;PMtbl[Category]&amp;PMtbl[INN]&amp;PMtbl[Specification],0,),0),7),""),"")</f>
        <v/>
      </c>
      <c r="AK189" s="2510"/>
      <c r="AL189" s="2511"/>
      <c r="AM189" s="1390" t="str">
        <f>IFERROR(INDEX(SETUP!$C$19:$G$62,MATCH((INDEX(PMtbl[[WKst]:[Unit of measure*]],MATCH($A189&amp;$D189&amp;$G189,INDEX(PMtbl[Category]&amp;PMtbl[INN]&amp;PMtbl[Specification],0,),0),3)),SETUP!$D$19:$D$62,0),5),"")</f>
        <v/>
      </c>
      <c r="AN189" s="1390" t="str">
        <f>IFERROR(IF((INDEX(SETUP!$C$19:$G$62,MATCH((INDEX(PMtbl[[WKst]:[Unit of measure*]],MATCH($A189&amp;$D189&amp;$G189,INDEX(PMtbl[Category]&amp;PMtbl[INN]&amp;PMtbl[Specification],0,),0),3)),SETUP!$D$19:$D$62,0),4))="Upfront",0,INDEX(SETUP!$C$19:$G$62,MATCH((INDEX(PMtbl[[WKst]:[Unit of measure*]],MATCH($A189&amp;$D189&amp;$G189,INDEX(PMtbl[Category]&amp;PMtbl[INN]&amp;PMtbl[Specification],0,),0),3)),SETUP!$D$19:$D$62,0),5)),"")</f>
        <v/>
      </c>
    </row>
    <row r="190" spans="1:40" s="198" customFormat="1">
      <c r="A190" s="2455"/>
      <c r="B190" s="2435"/>
      <c r="C190" s="2435"/>
      <c r="D190" s="2455"/>
      <c r="E190" s="2435"/>
      <c r="F190" s="2435"/>
      <c r="G190" s="2461"/>
      <c r="H190" s="2462"/>
      <c r="I190" s="2462"/>
      <c r="J190" s="2463"/>
      <c r="K190" s="213" t="str">
        <f>IF($A190&lt;&gt;"",IFERROR(INDEX(PMsheet!$B:$I,MATCH($A$117&amp;$A190&amp;$D190&amp;$G190,INDEX(PMsheet!$C:$C&amp;PMsheet!$E:$E&amp;PMsheet!$F:$F&amp;PMsheet!$G:$G,0,),0),8),""),"")</f>
        <v/>
      </c>
      <c r="L190" s="206" t="str">
        <f>IF(K190="", "",SETUP!$E$5)</f>
        <v/>
      </c>
      <c r="M190" s="1947"/>
      <c r="N190" s="12"/>
      <c r="O190" s="12"/>
      <c r="P190" s="12"/>
      <c r="Q190" s="12"/>
      <c r="R190" s="1809">
        <f>SUM('HIV-Other HPs'!$N190:$Q190)</f>
        <v>0</v>
      </c>
      <c r="S190" s="1810">
        <f>'HIV-Other HPs'!$M190*'HIV-Other HPs'!$R190</f>
        <v>0</v>
      </c>
      <c r="T190" s="1954"/>
      <c r="U190" s="12"/>
      <c r="V190" s="12"/>
      <c r="W190" s="12"/>
      <c r="X190" s="12"/>
      <c r="Y190" s="1809">
        <f>SUM('HIV-Other HPs'!$U190:$X190)</f>
        <v>0</v>
      </c>
      <c r="Z190" s="1810">
        <f>'HIV-Other HPs'!$T190*'HIV-Other HPs'!$Y190</f>
        <v>0</v>
      </c>
      <c r="AA190" s="1954"/>
      <c r="AB190" s="12"/>
      <c r="AC190" s="12"/>
      <c r="AD190" s="12"/>
      <c r="AE190" s="12"/>
      <c r="AF190" s="1809">
        <f>SUM('HIV-Other HPs'!$AB190:$AE190)</f>
        <v>0</v>
      </c>
      <c r="AG190" s="1810">
        <f>'HIV-Other HPs'!$AA190*'HIV-Other HPs'!$AF190</f>
        <v>0</v>
      </c>
      <c r="AH190" s="1811">
        <f>'HIV-Other HPs'!$R190+'HIV-Other HPs'!$Y190+'HIV-Other HPs'!$AF190</f>
        <v>0</v>
      </c>
      <c r="AI190" s="1810">
        <f>'HIV-Other HPs'!$S190+'HIV-Other HPs'!$Z190+'HIV-Other HPs'!$AG190</f>
        <v>0</v>
      </c>
      <c r="AJ190" s="1391" t="str">
        <f>IF($A190&lt;&gt;"",IFERROR(INDEX(PMtbl[[WKst]:[Unit of measure*]],MATCH($A$117&amp;$A190&amp;$D190&amp;$G190,INDEX(PMtbl[Sec]&amp;PMtbl[Category]&amp;PMtbl[INN]&amp;PMtbl[Specification],0,),0),7),""),"")</f>
        <v/>
      </c>
      <c r="AK190" s="2508"/>
      <c r="AL190" s="2509"/>
      <c r="AM190" s="1391" t="str">
        <f>IFERROR(INDEX(SETUP!$C$19:$G$62,MATCH((INDEX(PMtbl[[WKst]:[Unit of measure*]],MATCH($A190&amp;$D190&amp;$G190,INDEX(PMtbl[Category]&amp;PMtbl[INN]&amp;PMtbl[Specification],0,),0),3)),SETUP!$D$19:$D$62,0),5),"")</f>
        <v/>
      </c>
      <c r="AN190" s="1391" t="str">
        <f>IFERROR(IF((INDEX(SETUP!$C$19:$G$62,MATCH((INDEX(PMtbl[[WKst]:[Unit of measure*]],MATCH($A190&amp;$D190&amp;$G190,INDEX(PMtbl[Category]&amp;PMtbl[INN]&amp;PMtbl[Specification],0,),0),3)),SETUP!$D$19:$D$62,0),4))="Upfront",0,INDEX(SETUP!$C$19:$G$62,MATCH((INDEX(PMtbl[[WKst]:[Unit of measure*]],MATCH($A190&amp;$D190&amp;$G190,INDEX(PMtbl[Category]&amp;PMtbl[INN]&amp;PMtbl[Specification],0,),0),3)),SETUP!$D$19:$D$62,0),5)),"")</f>
        <v/>
      </c>
    </row>
    <row r="191" spans="1:40" s="198" customFormat="1">
      <c r="A191" s="2377"/>
      <c r="B191" s="2302"/>
      <c r="C191" s="2302"/>
      <c r="D191" s="2377"/>
      <c r="E191" s="2302"/>
      <c r="F191" s="2302"/>
      <c r="G191" s="2464"/>
      <c r="H191" s="2465"/>
      <c r="I191" s="2465"/>
      <c r="J191" s="2466"/>
      <c r="K191" s="209" t="str">
        <f>IF($A191&lt;&gt;"",IFERROR(INDEX(PMsheet!$B:$I,MATCH($A$117&amp;$A191&amp;$D191&amp;$G191,INDEX(PMsheet!$C:$C&amp;PMsheet!$E:$E&amp;PMsheet!$F:$F&amp;PMsheet!$G:$G,0,),0),8),""),"")</f>
        <v/>
      </c>
      <c r="L191" s="204" t="str">
        <f>IF(K191="", "",SETUP!$E$5)</f>
        <v/>
      </c>
      <c r="M191" s="1949"/>
      <c r="N191" s="1950"/>
      <c r="O191" s="1950"/>
      <c r="P191" s="1950"/>
      <c r="Q191" s="1950"/>
      <c r="R191" s="1815">
        <f>SUM('HIV-Other HPs'!$N191:$Q191)</f>
        <v>0</v>
      </c>
      <c r="S191" s="1816">
        <f>'HIV-Other HPs'!$M191*'HIV-Other HPs'!$R191</f>
        <v>0</v>
      </c>
      <c r="T191" s="1956"/>
      <c r="U191" s="1950"/>
      <c r="V191" s="1950"/>
      <c r="W191" s="1950"/>
      <c r="X191" s="1950"/>
      <c r="Y191" s="1815">
        <f>SUM('HIV-Other HPs'!$U191:$X191)</f>
        <v>0</v>
      </c>
      <c r="Z191" s="1816">
        <f>'HIV-Other HPs'!$T191*'HIV-Other HPs'!$Y191</f>
        <v>0</v>
      </c>
      <c r="AA191" s="1956"/>
      <c r="AB191" s="1950"/>
      <c r="AC191" s="1950"/>
      <c r="AD191" s="1950"/>
      <c r="AE191" s="1950"/>
      <c r="AF191" s="1815">
        <f>SUM('HIV-Other HPs'!$AB191:$AE191)</f>
        <v>0</v>
      </c>
      <c r="AG191" s="1816">
        <f>'HIV-Other HPs'!$AA191*'HIV-Other HPs'!$AF191</f>
        <v>0</v>
      </c>
      <c r="AH191" s="1817">
        <f>'HIV-Other HPs'!$R191+'HIV-Other HPs'!$Y191+'HIV-Other HPs'!$AF191</f>
        <v>0</v>
      </c>
      <c r="AI191" s="1816">
        <f>'HIV-Other HPs'!$S191+'HIV-Other HPs'!$Z191+'HIV-Other HPs'!$AG191</f>
        <v>0</v>
      </c>
      <c r="AJ191" s="1390" t="str">
        <f>IF($A191&lt;&gt;"",IFERROR(INDEX(PMtbl[[WKst]:[Unit of measure*]],MATCH($A$117&amp;$A191&amp;$D191&amp;$G191,INDEX(PMtbl[Sec]&amp;PMtbl[Category]&amp;PMtbl[INN]&amp;PMtbl[Specification],0,),0),7),""),"")</f>
        <v/>
      </c>
      <c r="AK191" s="2510"/>
      <c r="AL191" s="2511"/>
      <c r="AM191" s="1390" t="str">
        <f>IFERROR(INDEX(SETUP!$C$19:$G$62,MATCH((INDEX(PMtbl[[WKst]:[Unit of measure*]],MATCH($A191&amp;$D191&amp;$G191,INDEX(PMtbl[Category]&amp;PMtbl[INN]&amp;PMtbl[Specification],0,),0),3)),SETUP!$D$19:$D$62,0),5),"")</f>
        <v/>
      </c>
      <c r="AN191" s="1390" t="str">
        <f>IFERROR(IF((INDEX(SETUP!$C$19:$G$62,MATCH((INDEX(PMtbl[[WKst]:[Unit of measure*]],MATCH($A191&amp;$D191&amp;$G191,INDEX(PMtbl[Category]&amp;PMtbl[INN]&amp;PMtbl[Specification],0,),0),3)),SETUP!$D$19:$D$62,0),4))="Upfront",0,INDEX(SETUP!$C$19:$G$62,MATCH((INDEX(PMtbl[[WKst]:[Unit of measure*]],MATCH($A191&amp;$D191&amp;$G191,INDEX(PMtbl[Category]&amp;PMtbl[INN]&amp;PMtbl[Specification],0,),0),3)),SETUP!$D$19:$D$62,0),5)),"")</f>
        <v/>
      </c>
    </row>
    <row r="192" spans="1:40" s="198" customFormat="1">
      <c r="A192" s="2455"/>
      <c r="B192" s="2435"/>
      <c r="C192" s="2435"/>
      <c r="D192" s="2455"/>
      <c r="E192" s="2435"/>
      <c r="F192" s="2435"/>
      <c r="G192" s="2461"/>
      <c r="H192" s="2462"/>
      <c r="I192" s="2462"/>
      <c r="J192" s="2463"/>
      <c r="K192" s="213" t="str">
        <f>IF($A192&lt;&gt;"",IFERROR(INDEX(PMsheet!$B:$I,MATCH($A$117&amp;$A192&amp;$D192&amp;$G192,INDEX(PMsheet!$C:$C&amp;PMsheet!$E:$E&amp;PMsheet!$F:$F&amp;PMsheet!$G:$G,0,),0),8),""),"")</f>
        <v/>
      </c>
      <c r="L192" s="206" t="str">
        <f>IF(K192="", "",SETUP!$E$5)</f>
        <v/>
      </c>
      <c r="M192" s="1947"/>
      <c r="N192" s="12"/>
      <c r="O192" s="12"/>
      <c r="P192" s="12"/>
      <c r="Q192" s="12"/>
      <c r="R192" s="1809">
        <f>SUM('HIV-Other HPs'!$N192:$Q192)</f>
        <v>0</v>
      </c>
      <c r="S192" s="1810">
        <f>'HIV-Other HPs'!$M192*'HIV-Other HPs'!$R192</f>
        <v>0</v>
      </c>
      <c r="T192" s="1954"/>
      <c r="U192" s="12"/>
      <c r="V192" s="12"/>
      <c r="W192" s="12"/>
      <c r="X192" s="12"/>
      <c r="Y192" s="1809">
        <f>SUM('HIV-Other HPs'!$U192:$X192)</f>
        <v>0</v>
      </c>
      <c r="Z192" s="1810">
        <f>'HIV-Other HPs'!$T192*'HIV-Other HPs'!$Y192</f>
        <v>0</v>
      </c>
      <c r="AA192" s="1954"/>
      <c r="AB192" s="12"/>
      <c r="AC192" s="12"/>
      <c r="AD192" s="12"/>
      <c r="AE192" s="12"/>
      <c r="AF192" s="1809">
        <f>SUM('HIV-Other HPs'!$AB192:$AE192)</f>
        <v>0</v>
      </c>
      <c r="AG192" s="1810">
        <f>'HIV-Other HPs'!$AA192*'HIV-Other HPs'!$AF192</f>
        <v>0</v>
      </c>
      <c r="AH192" s="1811">
        <f>'HIV-Other HPs'!$R192+'HIV-Other HPs'!$Y192+'HIV-Other HPs'!$AF192</f>
        <v>0</v>
      </c>
      <c r="AI192" s="1810">
        <f>'HIV-Other HPs'!$S192+'HIV-Other HPs'!$Z192+'HIV-Other HPs'!$AG192</f>
        <v>0</v>
      </c>
      <c r="AJ192" s="1391" t="str">
        <f>IF($A192&lt;&gt;"",IFERROR(INDEX(PMtbl[[WKst]:[Unit of measure*]],MATCH($A$117&amp;$A192&amp;$D192&amp;$G192,INDEX(PMtbl[Sec]&amp;PMtbl[Category]&amp;PMtbl[INN]&amp;PMtbl[Specification],0,),0),7),""),"")</f>
        <v/>
      </c>
      <c r="AK192" s="2508"/>
      <c r="AL192" s="2509"/>
      <c r="AM192" s="1391" t="str">
        <f>IFERROR(INDEX(SETUP!$C$19:$G$62,MATCH((INDEX(PMtbl[[WKst]:[Unit of measure*]],MATCH($A192&amp;$D192&amp;$G192,INDEX(PMtbl[Category]&amp;PMtbl[INN]&amp;PMtbl[Specification],0,),0),3)),SETUP!$D$19:$D$62,0),5),"")</f>
        <v/>
      </c>
      <c r="AN192" s="1391" t="str">
        <f>IFERROR(IF((INDEX(SETUP!$C$19:$G$62,MATCH((INDEX(PMtbl[[WKst]:[Unit of measure*]],MATCH($A192&amp;$D192&amp;$G192,INDEX(PMtbl[Category]&amp;PMtbl[INN]&amp;PMtbl[Specification],0,),0),3)),SETUP!$D$19:$D$62,0),4))="Upfront",0,INDEX(SETUP!$C$19:$G$62,MATCH((INDEX(PMtbl[[WKst]:[Unit of measure*]],MATCH($A192&amp;$D192&amp;$G192,INDEX(PMtbl[Category]&amp;PMtbl[INN]&amp;PMtbl[Specification],0,),0),3)),SETUP!$D$19:$D$62,0),5)),"")</f>
        <v/>
      </c>
    </row>
    <row r="193" spans="1:40" s="198" customFormat="1">
      <c r="A193" s="2377"/>
      <c r="B193" s="2302"/>
      <c r="C193" s="2302"/>
      <c r="D193" s="2377"/>
      <c r="E193" s="2302"/>
      <c r="F193" s="2302"/>
      <c r="G193" s="2464"/>
      <c r="H193" s="2465"/>
      <c r="I193" s="2465"/>
      <c r="J193" s="2466"/>
      <c r="K193" s="209" t="str">
        <f>IF($A193&lt;&gt;"",IFERROR(INDEX(PMsheet!$B:$I,MATCH($A$117&amp;$A193&amp;$D193&amp;$G193,INDEX(PMsheet!$C:$C&amp;PMsheet!$E:$E&amp;PMsheet!$F:$F&amp;PMsheet!$G:$G,0,),0),8),""),"")</f>
        <v/>
      </c>
      <c r="L193" s="204" t="str">
        <f>IF(K193="", "",SETUP!$E$5)</f>
        <v/>
      </c>
      <c r="M193" s="1949"/>
      <c r="N193" s="1950"/>
      <c r="O193" s="1950"/>
      <c r="P193" s="1950"/>
      <c r="Q193" s="1950"/>
      <c r="R193" s="1815">
        <f>SUM('HIV-Other HPs'!$N193:$Q193)</f>
        <v>0</v>
      </c>
      <c r="S193" s="1816">
        <f>'HIV-Other HPs'!$M193*'HIV-Other HPs'!$R193</f>
        <v>0</v>
      </c>
      <c r="T193" s="1956"/>
      <c r="U193" s="1950"/>
      <c r="V193" s="1950"/>
      <c r="W193" s="1950"/>
      <c r="X193" s="1950"/>
      <c r="Y193" s="1815">
        <f>SUM('HIV-Other HPs'!$U193:$X193)</f>
        <v>0</v>
      </c>
      <c r="Z193" s="1816">
        <f>'HIV-Other HPs'!$T193*'HIV-Other HPs'!$Y193</f>
        <v>0</v>
      </c>
      <c r="AA193" s="1956"/>
      <c r="AB193" s="1950"/>
      <c r="AC193" s="1950"/>
      <c r="AD193" s="1950"/>
      <c r="AE193" s="1950"/>
      <c r="AF193" s="1815">
        <f>SUM('HIV-Other HPs'!$AB193:$AE193)</f>
        <v>0</v>
      </c>
      <c r="AG193" s="1816">
        <f>'HIV-Other HPs'!$AA193*'HIV-Other HPs'!$AF193</f>
        <v>0</v>
      </c>
      <c r="AH193" s="1817">
        <f>'HIV-Other HPs'!$R193+'HIV-Other HPs'!$Y193+'HIV-Other HPs'!$AF193</f>
        <v>0</v>
      </c>
      <c r="AI193" s="1816">
        <f>'HIV-Other HPs'!$S193+'HIV-Other HPs'!$Z193+'HIV-Other HPs'!$AG193</f>
        <v>0</v>
      </c>
      <c r="AJ193" s="1390" t="str">
        <f>IF($A193&lt;&gt;"",IFERROR(INDEX(PMtbl[[WKst]:[Unit of measure*]],MATCH($A$117&amp;$A193&amp;$D193&amp;$G193,INDEX(PMtbl[Sec]&amp;PMtbl[Category]&amp;PMtbl[INN]&amp;PMtbl[Specification],0,),0),7),""),"")</f>
        <v/>
      </c>
      <c r="AK193" s="2510"/>
      <c r="AL193" s="2511"/>
      <c r="AM193" s="1390" t="str">
        <f>IFERROR(INDEX(SETUP!$C$19:$G$62,MATCH((INDEX(PMtbl[[WKst]:[Unit of measure*]],MATCH($A193&amp;$D193&amp;$G193,INDEX(PMtbl[Category]&amp;PMtbl[INN]&amp;PMtbl[Specification],0,),0),3)),SETUP!$D$19:$D$62,0),5),"")</f>
        <v/>
      </c>
      <c r="AN193" s="1390" t="str">
        <f>IFERROR(IF((INDEX(SETUP!$C$19:$G$62,MATCH((INDEX(PMtbl[[WKst]:[Unit of measure*]],MATCH($A193&amp;$D193&amp;$G193,INDEX(PMtbl[Category]&amp;PMtbl[INN]&amp;PMtbl[Specification],0,),0),3)),SETUP!$D$19:$D$62,0),4))="Upfront",0,INDEX(SETUP!$C$19:$G$62,MATCH((INDEX(PMtbl[[WKst]:[Unit of measure*]],MATCH($A193&amp;$D193&amp;$G193,INDEX(PMtbl[Category]&amp;PMtbl[INN]&amp;PMtbl[Specification],0,),0),3)),SETUP!$D$19:$D$62,0),5)),"")</f>
        <v/>
      </c>
    </row>
    <row r="194" spans="1:40" s="198" customFormat="1">
      <c r="A194" s="2455"/>
      <c r="B194" s="2435"/>
      <c r="C194" s="2435"/>
      <c r="D194" s="2455"/>
      <c r="E194" s="2435"/>
      <c r="F194" s="2435"/>
      <c r="G194" s="2461"/>
      <c r="H194" s="2462"/>
      <c r="I194" s="2462"/>
      <c r="J194" s="2463"/>
      <c r="K194" s="213" t="str">
        <f>IF($A194&lt;&gt;"",IFERROR(INDEX(PMsheet!$B:$I,MATCH($A$117&amp;$A194&amp;$D194&amp;$G194,INDEX(PMsheet!$C:$C&amp;PMsheet!$E:$E&amp;PMsheet!$F:$F&amp;PMsheet!$G:$G,0,),0),8),""),"")</f>
        <v/>
      </c>
      <c r="L194" s="206" t="str">
        <f>IF(K194="", "",SETUP!$E$5)</f>
        <v/>
      </c>
      <c r="M194" s="1947"/>
      <c r="N194" s="12"/>
      <c r="O194" s="12"/>
      <c r="P194" s="12"/>
      <c r="Q194" s="12"/>
      <c r="R194" s="1809">
        <f>SUM('HIV-Other HPs'!$N194:$Q194)</f>
        <v>0</v>
      </c>
      <c r="S194" s="1810">
        <f>'HIV-Other HPs'!$M194*'HIV-Other HPs'!$R194</f>
        <v>0</v>
      </c>
      <c r="T194" s="1954"/>
      <c r="U194" s="12"/>
      <c r="V194" s="12"/>
      <c r="W194" s="12"/>
      <c r="X194" s="12"/>
      <c r="Y194" s="1809">
        <f>SUM('HIV-Other HPs'!$U194:$X194)</f>
        <v>0</v>
      </c>
      <c r="Z194" s="1810">
        <f>'HIV-Other HPs'!$T194*'HIV-Other HPs'!$Y194</f>
        <v>0</v>
      </c>
      <c r="AA194" s="1954"/>
      <c r="AB194" s="12"/>
      <c r="AC194" s="12"/>
      <c r="AD194" s="12"/>
      <c r="AE194" s="12"/>
      <c r="AF194" s="1809">
        <f>SUM('HIV-Other HPs'!$AB194:$AE194)</f>
        <v>0</v>
      </c>
      <c r="AG194" s="1810">
        <f>'HIV-Other HPs'!$AA194*'HIV-Other HPs'!$AF194</f>
        <v>0</v>
      </c>
      <c r="AH194" s="1811">
        <f>'HIV-Other HPs'!$R194+'HIV-Other HPs'!$Y194+'HIV-Other HPs'!$AF194</f>
        <v>0</v>
      </c>
      <c r="AI194" s="1810">
        <f>'HIV-Other HPs'!$S194+'HIV-Other HPs'!$Z194+'HIV-Other HPs'!$AG194</f>
        <v>0</v>
      </c>
      <c r="AJ194" s="1391" t="str">
        <f>IF($A194&lt;&gt;"",IFERROR(INDEX(PMtbl[[WKst]:[Unit of measure*]],MATCH($A$117&amp;$A194&amp;$D194&amp;$G194,INDEX(PMtbl[Sec]&amp;PMtbl[Category]&amp;PMtbl[INN]&amp;PMtbl[Specification],0,),0),7),""),"")</f>
        <v/>
      </c>
      <c r="AK194" s="2508"/>
      <c r="AL194" s="2509"/>
      <c r="AM194" s="1391" t="str">
        <f>IFERROR(INDEX(SETUP!$C$19:$G$62,MATCH((INDEX(PMtbl[[WKst]:[Unit of measure*]],MATCH($A194&amp;$D194&amp;$G194,INDEX(PMtbl[Category]&amp;PMtbl[INN]&amp;PMtbl[Specification],0,),0),3)),SETUP!$D$19:$D$62,0),5),"")</f>
        <v/>
      </c>
      <c r="AN194" s="1391" t="str">
        <f>IFERROR(IF((INDEX(SETUP!$C$19:$G$62,MATCH((INDEX(PMtbl[[WKst]:[Unit of measure*]],MATCH($A194&amp;$D194&amp;$G194,INDEX(PMtbl[Category]&amp;PMtbl[INN]&amp;PMtbl[Specification],0,),0),3)),SETUP!$D$19:$D$62,0),4))="Upfront",0,INDEX(SETUP!$C$19:$G$62,MATCH((INDEX(PMtbl[[WKst]:[Unit of measure*]],MATCH($A194&amp;$D194&amp;$G194,INDEX(PMtbl[Category]&amp;PMtbl[INN]&amp;PMtbl[Specification],0,),0),3)),SETUP!$D$19:$D$62,0),5)),"")</f>
        <v/>
      </c>
    </row>
    <row r="195" spans="1:40" s="198" customFormat="1">
      <c r="A195" s="2377"/>
      <c r="B195" s="2302"/>
      <c r="C195" s="2302"/>
      <c r="D195" s="2377"/>
      <c r="E195" s="2302"/>
      <c r="F195" s="2302"/>
      <c r="G195" s="2464"/>
      <c r="H195" s="2465"/>
      <c r="I195" s="2465"/>
      <c r="J195" s="2466"/>
      <c r="K195" s="209" t="str">
        <f>IF($A195&lt;&gt;"",IFERROR(INDEX(PMsheet!$B:$I,MATCH($A$117&amp;$A195&amp;$D195&amp;$G195,INDEX(PMsheet!$C:$C&amp;PMsheet!$E:$E&amp;PMsheet!$F:$F&amp;PMsheet!$G:$G,0,),0),8),""),"")</f>
        <v/>
      </c>
      <c r="L195" s="204" t="str">
        <f>IF(K195="", "",SETUP!$E$5)</f>
        <v/>
      </c>
      <c r="M195" s="1949"/>
      <c r="N195" s="1950"/>
      <c r="O195" s="1950"/>
      <c r="P195" s="1950"/>
      <c r="Q195" s="1950"/>
      <c r="R195" s="1815">
        <f>SUM('HIV-Other HPs'!$N195:$Q195)</f>
        <v>0</v>
      </c>
      <c r="S195" s="1816">
        <f>'HIV-Other HPs'!$M195*'HIV-Other HPs'!$R195</f>
        <v>0</v>
      </c>
      <c r="T195" s="1956"/>
      <c r="U195" s="1950"/>
      <c r="V195" s="1950"/>
      <c r="W195" s="1950"/>
      <c r="X195" s="1950"/>
      <c r="Y195" s="1815">
        <f>SUM('HIV-Other HPs'!$U195:$X195)</f>
        <v>0</v>
      </c>
      <c r="Z195" s="1816">
        <f>'HIV-Other HPs'!$T195*'HIV-Other HPs'!$Y195</f>
        <v>0</v>
      </c>
      <c r="AA195" s="1956"/>
      <c r="AB195" s="1950"/>
      <c r="AC195" s="1950"/>
      <c r="AD195" s="1950"/>
      <c r="AE195" s="1950"/>
      <c r="AF195" s="1815">
        <f>SUM('HIV-Other HPs'!$AB195:$AE195)</f>
        <v>0</v>
      </c>
      <c r="AG195" s="1816">
        <f>'HIV-Other HPs'!$AA195*'HIV-Other HPs'!$AF195</f>
        <v>0</v>
      </c>
      <c r="AH195" s="1817">
        <f>'HIV-Other HPs'!$R195+'HIV-Other HPs'!$Y195+'HIV-Other HPs'!$AF195</f>
        <v>0</v>
      </c>
      <c r="AI195" s="1816">
        <f>'HIV-Other HPs'!$S195+'HIV-Other HPs'!$Z195+'HIV-Other HPs'!$AG195</f>
        <v>0</v>
      </c>
      <c r="AJ195" s="1390" t="str">
        <f>IF($A195&lt;&gt;"",IFERROR(INDEX(PMtbl[[WKst]:[Unit of measure*]],MATCH($A$117&amp;$A195&amp;$D195&amp;$G195,INDEX(PMtbl[Sec]&amp;PMtbl[Category]&amp;PMtbl[INN]&amp;PMtbl[Specification],0,),0),7),""),"")</f>
        <v/>
      </c>
      <c r="AK195" s="2510"/>
      <c r="AL195" s="2511"/>
      <c r="AM195" s="1390" t="str">
        <f>IFERROR(INDEX(SETUP!$C$19:$G$62,MATCH((INDEX(PMtbl[[WKst]:[Unit of measure*]],MATCH($A195&amp;$D195&amp;$G195,INDEX(PMtbl[Category]&amp;PMtbl[INN]&amp;PMtbl[Specification],0,),0),3)),SETUP!$D$19:$D$62,0),5),"")</f>
        <v/>
      </c>
      <c r="AN195" s="1390" t="str">
        <f>IFERROR(IF((INDEX(SETUP!$C$19:$G$62,MATCH((INDEX(PMtbl[[WKst]:[Unit of measure*]],MATCH($A195&amp;$D195&amp;$G195,INDEX(PMtbl[Category]&amp;PMtbl[INN]&amp;PMtbl[Specification],0,),0),3)),SETUP!$D$19:$D$62,0),4))="Upfront",0,INDEX(SETUP!$C$19:$G$62,MATCH((INDEX(PMtbl[[WKst]:[Unit of measure*]],MATCH($A195&amp;$D195&amp;$G195,INDEX(PMtbl[Category]&amp;PMtbl[INN]&amp;PMtbl[Specification],0,),0),3)),SETUP!$D$19:$D$62,0),5)),"")</f>
        <v/>
      </c>
    </row>
    <row r="196" spans="1:40" s="198" customFormat="1">
      <c r="A196" s="2455"/>
      <c r="B196" s="2435"/>
      <c r="C196" s="2435"/>
      <c r="D196" s="2455"/>
      <c r="E196" s="2435"/>
      <c r="F196" s="2435"/>
      <c r="G196" s="2461"/>
      <c r="H196" s="2462"/>
      <c r="I196" s="2462"/>
      <c r="J196" s="2463"/>
      <c r="K196" s="213" t="str">
        <f>IF($A196&lt;&gt;"",IFERROR(INDEX(PMsheet!$B:$I,MATCH($A$117&amp;$A196&amp;$D196&amp;$G196,INDEX(PMsheet!$C:$C&amp;PMsheet!$E:$E&amp;PMsheet!$F:$F&amp;PMsheet!$G:$G,0,),0),8),""),"")</f>
        <v/>
      </c>
      <c r="L196" s="206" t="str">
        <f>IF(K196="", "",SETUP!$E$5)</f>
        <v/>
      </c>
      <c r="M196" s="1947"/>
      <c r="N196" s="12"/>
      <c r="O196" s="12"/>
      <c r="P196" s="12"/>
      <c r="Q196" s="12"/>
      <c r="R196" s="1809">
        <f>SUM('HIV-Other HPs'!$N196:$Q196)</f>
        <v>0</v>
      </c>
      <c r="S196" s="1810">
        <f>'HIV-Other HPs'!$M196*'HIV-Other HPs'!$R196</f>
        <v>0</v>
      </c>
      <c r="T196" s="1954"/>
      <c r="U196" s="12"/>
      <c r="V196" s="12"/>
      <c r="W196" s="12"/>
      <c r="X196" s="12"/>
      <c r="Y196" s="1809">
        <f>SUM('HIV-Other HPs'!$U196:$X196)</f>
        <v>0</v>
      </c>
      <c r="Z196" s="1810">
        <f>'HIV-Other HPs'!$T196*'HIV-Other HPs'!$Y196</f>
        <v>0</v>
      </c>
      <c r="AA196" s="1954"/>
      <c r="AB196" s="12"/>
      <c r="AC196" s="12"/>
      <c r="AD196" s="12"/>
      <c r="AE196" s="12"/>
      <c r="AF196" s="1809">
        <f>SUM('HIV-Other HPs'!$AB196:$AE196)</f>
        <v>0</v>
      </c>
      <c r="AG196" s="1810">
        <f>'HIV-Other HPs'!$AA196*'HIV-Other HPs'!$AF196</f>
        <v>0</v>
      </c>
      <c r="AH196" s="1811">
        <f>'HIV-Other HPs'!$R196+'HIV-Other HPs'!$Y196+'HIV-Other HPs'!$AF196</f>
        <v>0</v>
      </c>
      <c r="AI196" s="1810">
        <f>'HIV-Other HPs'!$S196+'HIV-Other HPs'!$Z196+'HIV-Other HPs'!$AG196</f>
        <v>0</v>
      </c>
      <c r="AJ196" s="1391" t="str">
        <f>IF($A196&lt;&gt;"",IFERROR(INDEX(PMtbl[[WKst]:[Unit of measure*]],MATCH($A$117&amp;$A196&amp;$D196&amp;$G196,INDEX(PMtbl[Sec]&amp;PMtbl[Category]&amp;PMtbl[INN]&amp;PMtbl[Specification],0,),0),7),""),"")</f>
        <v/>
      </c>
      <c r="AK196" s="2508"/>
      <c r="AL196" s="2509"/>
      <c r="AM196" s="1391" t="str">
        <f>IFERROR(INDEX(SETUP!$C$19:$G$62,MATCH((INDEX(PMtbl[[WKst]:[Unit of measure*]],MATCH($A196&amp;$D196&amp;$G196,INDEX(PMtbl[Category]&amp;PMtbl[INN]&amp;PMtbl[Specification],0,),0),3)),SETUP!$D$19:$D$62,0),5),"")</f>
        <v/>
      </c>
      <c r="AN196" s="1391" t="str">
        <f>IFERROR(IF((INDEX(SETUP!$C$19:$G$62,MATCH((INDEX(PMtbl[[WKst]:[Unit of measure*]],MATCH($A196&amp;$D196&amp;$G196,INDEX(PMtbl[Category]&amp;PMtbl[INN]&amp;PMtbl[Specification],0,),0),3)),SETUP!$D$19:$D$62,0),4))="Upfront",0,INDEX(SETUP!$C$19:$G$62,MATCH((INDEX(PMtbl[[WKst]:[Unit of measure*]],MATCH($A196&amp;$D196&amp;$G196,INDEX(PMtbl[Category]&amp;PMtbl[INN]&amp;PMtbl[Specification],0,),0),3)),SETUP!$D$19:$D$62,0),5)),"")</f>
        <v/>
      </c>
    </row>
    <row r="197" spans="1:40" s="198" customFormat="1">
      <c r="A197" s="2377"/>
      <c r="B197" s="2302"/>
      <c r="C197" s="2302"/>
      <c r="D197" s="2377"/>
      <c r="E197" s="2302"/>
      <c r="F197" s="2302"/>
      <c r="G197" s="2464"/>
      <c r="H197" s="2465"/>
      <c r="I197" s="2465"/>
      <c r="J197" s="2466"/>
      <c r="K197" s="209" t="str">
        <f>IF($A197&lt;&gt;"",IFERROR(INDEX(PMsheet!$B:$I,MATCH($A$117&amp;$A197&amp;$D197&amp;$G197,INDEX(PMsheet!$C:$C&amp;PMsheet!$E:$E&amp;PMsheet!$F:$F&amp;PMsheet!$G:$G,0,),0),8),""),"")</f>
        <v/>
      </c>
      <c r="L197" s="204" t="str">
        <f>IF(K197="", "",SETUP!$E$5)</f>
        <v/>
      </c>
      <c r="M197" s="1949"/>
      <c r="N197" s="1950"/>
      <c r="O197" s="1950"/>
      <c r="P197" s="1950"/>
      <c r="Q197" s="1950"/>
      <c r="R197" s="1815">
        <f>SUM('HIV-Other HPs'!$N197:$Q197)</f>
        <v>0</v>
      </c>
      <c r="S197" s="1816">
        <f>'HIV-Other HPs'!$M197*'HIV-Other HPs'!$R197</f>
        <v>0</v>
      </c>
      <c r="T197" s="1956"/>
      <c r="U197" s="1950"/>
      <c r="V197" s="1950"/>
      <c r="W197" s="1950"/>
      <c r="X197" s="1950"/>
      <c r="Y197" s="1815">
        <f>SUM('HIV-Other HPs'!$U197:$X197)</f>
        <v>0</v>
      </c>
      <c r="Z197" s="1816">
        <f>'HIV-Other HPs'!$T197*'HIV-Other HPs'!$Y197</f>
        <v>0</v>
      </c>
      <c r="AA197" s="1956"/>
      <c r="AB197" s="1950"/>
      <c r="AC197" s="1950"/>
      <c r="AD197" s="1950"/>
      <c r="AE197" s="1950"/>
      <c r="AF197" s="1815">
        <f>SUM('HIV-Other HPs'!$AB197:$AE197)</f>
        <v>0</v>
      </c>
      <c r="AG197" s="1816">
        <f>'HIV-Other HPs'!$AA197*'HIV-Other HPs'!$AF197</f>
        <v>0</v>
      </c>
      <c r="AH197" s="1817">
        <f>'HIV-Other HPs'!$R197+'HIV-Other HPs'!$Y197+'HIV-Other HPs'!$AF197</f>
        <v>0</v>
      </c>
      <c r="AI197" s="1816">
        <f>'HIV-Other HPs'!$S197+'HIV-Other HPs'!$Z197+'HIV-Other HPs'!$AG197</f>
        <v>0</v>
      </c>
      <c r="AJ197" s="1390" t="str">
        <f>IF($A197&lt;&gt;"",IFERROR(INDEX(PMtbl[[WKst]:[Unit of measure*]],MATCH($A$117&amp;$A197&amp;$D197&amp;$G197,INDEX(PMtbl[Sec]&amp;PMtbl[Category]&amp;PMtbl[INN]&amp;PMtbl[Specification],0,),0),7),""),"")</f>
        <v/>
      </c>
      <c r="AK197" s="2510"/>
      <c r="AL197" s="2511"/>
      <c r="AM197" s="1390" t="str">
        <f>IFERROR(INDEX(SETUP!$C$19:$G$62,MATCH((INDEX(PMtbl[[WKst]:[Unit of measure*]],MATCH($A197&amp;$D197&amp;$G197,INDEX(PMtbl[Category]&amp;PMtbl[INN]&amp;PMtbl[Specification],0,),0),3)),SETUP!$D$19:$D$62,0),5),"")</f>
        <v/>
      </c>
      <c r="AN197" s="1390" t="str">
        <f>IFERROR(IF((INDEX(SETUP!$C$19:$G$62,MATCH((INDEX(PMtbl[[WKst]:[Unit of measure*]],MATCH($A197&amp;$D197&amp;$G197,INDEX(PMtbl[Category]&amp;PMtbl[INN]&amp;PMtbl[Specification],0,),0),3)),SETUP!$D$19:$D$62,0),4))="Upfront",0,INDEX(SETUP!$C$19:$G$62,MATCH((INDEX(PMtbl[[WKst]:[Unit of measure*]],MATCH($A197&amp;$D197&amp;$G197,INDEX(PMtbl[Category]&amp;PMtbl[INN]&amp;PMtbl[Specification],0,),0),3)),SETUP!$D$19:$D$62,0),5)),"")</f>
        <v/>
      </c>
    </row>
    <row r="198" spans="1:40" s="198" customFormat="1">
      <c r="A198" s="2455"/>
      <c r="B198" s="2435"/>
      <c r="C198" s="2435"/>
      <c r="D198" s="2455"/>
      <c r="E198" s="2435"/>
      <c r="F198" s="2435"/>
      <c r="G198" s="2461"/>
      <c r="H198" s="2462"/>
      <c r="I198" s="2462"/>
      <c r="J198" s="2463"/>
      <c r="K198" s="213" t="str">
        <f>IF($A198&lt;&gt;"",IFERROR(INDEX(PMsheet!$B:$I,MATCH($A$117&amp;$A198&amp;$D198&amp;$G198,INDEX(PMsheet!$C:$C&amp;PMsheet!$E:$E&amp;PMsheet!$F:$F&amp;PMsheet!$G:$G,0,),0),8),""),"")</f>
        <v/>
      </c>
      <c r="L198" s="206" t="str">
        <f>IF(K198="", "",SETUP!$E$5)</f>
        <v/>
      </c>
      <c r="M198" s="1947"/>
      <c r="N198" s="12"/>
      <c r="O198" s="12"/>
      <c r="P198" s="12"/>
      <c r="Q198" s="12"/>
      <c r="R198" s="1809">
        <f>SUM('HIV-Other HPs'!$N198:$Q198)</f>
        <v>0</v>
      </c>
      <c r="S198" s="1810">
        <f>'HIV-Other HPs'!$M198*'HIV-Other HPs'!$R198</f>
        <v>0</v>
      </c>
      <c r="T198" s="1954"/>
      <c r="U198" s="12"/>
      <c r="V198" s="12"/>
      <c r="W198" s="12"/>
      <c r="X198" s="12"/>
      <c r="Y198" s="1809">
        <f>SUM('HIV-Other HPs'!$U198:$X198)</f>
        <v>0</v>
      </c>
      <c r="Z198" s="1810">
        <f>'HIV-Other HPs'!$T198*'HIV-Other HPs'!$Y198</f>
        <v>0</v>
      </c>
      <c r="AA198" s="1954"/>
      <c r="AB198" s="12"/>
      <c r="AC198" s="12"/>
      <c r="AD198" s="12"/>
      <c r="AE198" s="12"/>
      <c r="AF198" s="1809">
        <f>SUM('HIV-Other HPs'!$AB198:$AE198)</f>
        <v>0</v>
      </c>
      <c r="AG198" s="1810">
        <f>'HIV-Other HPs'!$AA198*'HIV-Other HPs'!$AF198</f>
        <v>0</v>
      </c>
      <c r="AH198" s="1811">
        <f>'HIV-Other HPs'!$R198+'HIV-Other HPs'!$Y198+'HIV-Other HPs'!$AF198</f>
        <v>0</v>
      </c>
      <c r="AI198" s="1810">
        <f>'HIV-Other HPs'!$S198+'HIV-Other HPs'!$Z198+'HIV-Other HPs'!$AG198</f>
        <v>0</v>
      </c>
      <c r="AJ198" s="1391" t="str">
        <f>IF($A198&lt;&gt;"",IFERROR(INDEX(PMtbl[[WKst]:[Unit of measure*]],MATCH($A$117&amp;$A198&amp;$D198&amp;$G198,INDEX(PMtbl[Sec]&amp;PMtbl[Category]&amp;PMtbl[INN]&amp;PMtbl[Specification],0,),0),7),""),"")</f>
        <v/>
      </c>
      <c r="AK198" s="2508"/>
      <c r="AL198" s="2509"/>
      <c r="AM198" s="1391" t="str">
        <f>IFERROR(INDEX(SETUP!$C$19:$G$62,MATCH((INDEX(PMtbl[[WKst]:[Unit of measure*]],MATCH($A198&amp;$D198&amp;$G198,INDEX(PMtbl[Category]&amp;PMtbl[INN]&amp;PMtbl[Specification],0,),0),3)),SETUP!$D$19:$D$62,0),5),"")</f>
        <v/>
      </c>
      <c r="AN198" s="1391" t="str">
        <f>IFERROR(IF((INDEX(SETUP!$C$19:$G$62,MATCH((INDEX(PMtbl[[WKst]:[Unit of measure*]],MATCH($A198&amp;$D198&amp;$G198,INDEX(PMtbl[Category]&amp;PMtbl[INN]&amp;PMtbl[Specification],0,),0),3)),SETUP!$D$19:$D$62,0),4))="Upfront",0,INDEX(SETUP!$C$19:$G$62,MATCH((INDEX(PMtbl[[WKst]:[Unit of measure*]],MATCH($A198&amp;$D198&amp;$G198,INDEX(PMtbl[Category]&amp;PMtbl[INN]&amp;PMtbl[Specification],0,),0),3)),SETUP!$D$19:$D$62,0),5)),"")</f>
        <v/>
      </c>
    </row>
    <row r="199" spans="1:40" s="198" customFormat="1">
      <c r="A199" s="2377"/>
      <c r="B199" s="2302"/>
      <c r="C199" s="2302"/>
      <c r="D199" s="2377"/>
      <c r="E199" s="2302"/>
      <c r="F199" s="2302"/>
      <c r="G199" s="2464"/>
      <c r="H199" s="2465"/>
      <c r="I199" s="2465"/>
      <c r="J199" s="2466"/>
      <c r="K199" s="209" t="str">
        <f>IF($A199&lt;&gt;"",IFERROR(INDEX(PMsheet!$B:$I,MATCH($A$117&amp;$A199&amp;$D199&amp;$G199,INDEX(PMsheet!$C:$C&amp;PMsheet!$E:$E&amp;PMsheet!$F:$F&amp;PMsheet!$G:$G,0,),0),8),""),"")</f>
        <v/>
      </c>
      <c r="L199" s="204" t="str">
        <f>IF(K199="", "",SETUP!$E$5)</f>
        <v/>
      </c>
      <c r="M199" s="1949"/>
      <c r="N199" s="1950"/>
      <c r="O199" s="1950"/>
      <c r="P199" s="1950"/>
      <c r="Q199" s="1950"/>
      <c r="R199" s="1815">
        <f>SUM('HIV-Other HPs'!$N199:$Q199)</f>
        <v>0</v>
      </c>
      <c r="S199" s="1816">
        <f>'HIV-Other HPs'!$M199*'HIV-Other HPs'!$R199</f>
        <v>0</v>
      </c>
      <c r="T199" s="1956"/>
      <c r="U199" s="1950"/>
      <c r="V199" s="1950"/>
      <c r="W199" s="1950"/>
      <c r="X199" s="1950"/>
      <c r="Y199" s="1815">
        <f>SUM('HIV-Other HPs'!$U199:$X199)</f>
        <v>0</v>
      </c>
      <c r="Z199" s="1816">
        <f>'HIV-Other HPs'!$T199*'HIV-Other HPs'!$Y199</f>
        <v>0</v>
      </c>
      <c r="AA199" s="1956"/>
      <c r="AB199" s="1950"/>
      <c r="AC199" s="1950"/>
      <c r="AD199" s="1950"/>
      <c r="AE199" s="1950"/>
      <c r="AF199" s="1815">
        <f>SUM('HIV-Other HPs'!$AB199:$AE199)</f>
        <v>0</v>
      </c>
      <c r="AG199" s="1816">
        <f>'HIV-Other HPs'!$AA199*'HIV-Other HPs'!$AF199</f>
        <v>0</v>
      </c>
      <c r="AH199" s="1817">
        <f>'HIV-Other HPs'!$R199+'HIV-Other HPs'!$Y199+'HIV-Other HPs'!$AF199</f>
        <v>0</v>
      </c>
      <c r="AI199" s="1816">
        <f>'HIV-Other HPs'!$S199+'HIV-Other HPs'!$Z199+'HIV-Other HPs'!$AG199</f>
        <v>0</v>
      </c>
      <c r="AJ199" s="1390" t="str">
        <f>IF($A199&lt;&gt;"",IFERROR(INDEX(PMtbl[[WKst]:[Unit of measure*]],MATCH($A$117&amp;$A199&amp;$D199&amp;$G199,INDEX(PMtbl[Sec]&amp;PMtbl[Category]&amp;PMtbl[INN]&amp;PMtbl[Specification],0,),0),7),""),"")</f>
        <v/>
      </c>
      <c r="AK199" s="2510"/>
      <c r="AL199" s="2511"/>
      <c r="AM199" s="1390" t="str">
        <f>IFERROR(INDEX(SETUP!$C$19:$G$62,MATCH((INDEX(PMtbl[[WKst]:[Unit of measure*]],MATCH($A199&amp;$D199&amp;$G199,INDEX(PMtbl[Category]&amp;PMtbl[INN]&amp;PMtbl[Specification],0,),0),3)),SETUP!$D$19:$D$62,0),5),"")</f>
        <v/>
      </c>
      <c r="AN199" s="1390" t="str">
        <f>IFERROR(IF((INDEX(SETUP!$C$19:$G$62,MATCH((INDEX(PMtbl[[WKst]:[Unit of measure*]],MATCH($A199&amp;$D199&amp;$G199,INDEX(PMtbl[Category]&amp;PMtbl[INN]&amp;PMtbl[Specification],0,),0),3)),SETUP!$D$19:$D$62,0),4))="Upfront",0,INDEX(SETUP!$C$19:$G$62,MATCH((INDEX(PMtbl[[WKst]:[Unit of measure*]],MATCH($A199&amp;$D199&amp;$G199,INDEX(PMtbl[Category]&amp;PMtbl[INN]&amp;PMtbl[Specification],0,),0),3)),SETUP!$D$19:$D$62,0),5)),"")</f>
        <v/>
      </c>
    </row>
    <row r="200" spans="1:40" s="198" customFormat="1">
      <c r="A200" s="2455"/>
      <c r="B200" s="2435"/>
      <c r="C200" s="2435"/>
      <c r="D200" s="2455"/>
      <c r="E200" s="2435"/>
      <c r="F200" s="2435"/>
      <c r="G200" s="2461"/>
      <c r="H200" s="2462"/>
      <c r="I200" s="2462"/>
      <c r="J200" s="2463"/>
      <c r="K200" s="213" t="str">
        <f>IF($A200&lt;&gt;"",IFERROR(INDEX(PMsheet!$B:$I,MATCH($A$117&amp;$A200&amp;$D200&amp;$G200,INDEX(PMsheet!$C:$C&amp;PMsheet!$E:$E&amp;PMsheet!$F:$F&amp;PMsheet!$G:$G,0,),0),8),""),"")</f>
        <v/>
      </c>
      <c r="L200" s="206" t="str">
        <f>IF(K200="", "",SETUP!$E$5)</f>
        <v/>
      </c>
      <c r="M200" s="1947"/>
      <c r="N200" s="12"/>
      <c r="O200" s="12"/>
      <c r="P200" s="12"/>
      <c r="Q200" s="12"/>
      <c r="R200" s="1809">
        <f>SUM('HIV-Other HPs'!$N200:$Q200)</f>
        <v>0</v>
      </c>
      <c r="S200" s="1810">
        <f>'HIV-Other HPs'!$M200*'HIV-Other HPs'!$R200</f>
        <v>0</v>
      </c>
      <c r="T200" s="1954"/>
      <c r="U200" s="12"/>
      <c r="V200" s="12"/>
      <c r="W200" s="12"/>
      <c r="X200" s="12"/>
      <c r="Y200" s="1809">
        <f>SUM('HIV-Other HPs'!$U200:$X200)</f>
        <v>0</v>
      </c>
      <c r="Z200" s="1810">
        <f>'HIV-Other HPs'!$T200*'HIV-Other HPs'!$Y200</f>
        <v>0</v>
      </c>
      <c r="AA200" s="1954"/>
      <c r="AB200" s="12"/>
      <c r="AC200" s="12"/>
      <c r="AD200" s="12"/>
      <c r="AE200" s="12"/>
      <c r="AF200" s="1809">
        <f>SUM('HIV-Other HPs'!$AB200:$AE200)</f>
        <v>0</v>
      </c>
      <c r="AG200" s="1810">
        <f>'HIV-Other HPs'!$AA200*'HIV-Other HPs'!$AF200</f>
        <v>0</v>
      </c>
      <c r="AH200" s="1811">
        <f>'HIV-Other HPs'!$R200+'HIV-Other HPs'!$Y200+'HIV-Other HPs'!$AF200</f>
        <v>0</v>
      </c>
      <c r="AI200" s="1810">
        <f>'HIV-Other HPs'!$S200+'HIV-Other HPs'!$Z200+'HIV-Other HPs'!$AG200</f>
        <v>0</v>
      </c>
      <c r="AJ200" s="1391" t="str">
        <f>IF($A200&lt;&gt;"",IFERROR(INDEX(PMtbl[[WKst]:[Unit of measure*]],MATCH($A$117&amp;$A200&amp;$D200&amp;$G200,INDEX(PMtbl[Sec]&amp;PMtbl[Category]&amp;PMtbl[INN]&amp;PMtbl[Specification],0,),0),7),""),"")</f>
        <v/>
      </c>
      <c r="AK200" s="2508"/>
      <c r="AL200" s="2509"/>
      <c r="AM200" s="1391" t="str">
        <f>IFERROR(INDEX(SETUP!$C$19:$G$62,MATCH((INDEX(PMtbl[[WKst]:[Unit of measure*]],MATCH($A200&amp;$D200&amp;$G200,INDEX(PMtbl[Category]&amp;PMtbl[INN]&amp;PMtbl[Specification],0,),0),3)),SETUP!$D$19:$D$62,0),5),"")</f>
        <v/>
      </c>
      <c r="AN200" s="1391" t="str">
        <f>IFERROR(IF((INDEX(SETUP!$C$19:$G$62,MATCH((INDEX(PMtbl[[WKst]:[Unit of measure*]],MATCH($A200&amp;$D200&amp;$G200,INDEX(PMtbl[Category]&amp;PMtbl[INN]&amp;PMtbl[Specification],0,),0),3)),SETUP!$D$19:$D$62,0),4))="Upfront",0,INDEX(SETUP!$C$19:$G$62,MATCH((INDEX(PMtbl[[WKst]:[Unit of measure*]],MATCH($A200&amp;$D200&amp;$G200,INDEX(PMtbl[Category]&amp;PMtbl[INN]&amp;PMtbl[Specification],0,),0),3)),SETUP!$D$19:$D$62,0),5)),"")</f>
        <v/>
      </c>
    </row>
    <row r="201" spans="1:40" s="198" customFormat="1">
      <c r="A201" s="2377"/>
      <c r="B201" s="2302"/>
      <c r="C201" s="2302"/>
      <c r="D201" s="2377"/>
      <c r="E201" s="2302"/>
      <c r="F201" s="2302"/>
      <c r="G201" s="2464"/>
      <c r="H201" s="2465"/>
      <c r="I201" s="2465"/>
      <c r="J201" s="2466"/>
      <c r="K201" s="209" t="str">
        <f>IF($A201&lt;&gt;"",IFERROR(INDEX(PMsheet!$B:$I,MATCH($A$117&amp;$A201&amp;$D201&amp;$G201,INDEX(PMsheet!$C:$C&amp;PMsheet!$E:$E&amp;PMsheet!$F:$F&amp;PMsheet!$G:$G,0,),0),8),""),"")</f>
        <v/>
      </c>
      <c r="L201" s="204" t="str">
        <f>IF(K201="", "",SETUP!$E$5)</f>
        <v/>
      </c>
      <c r="M201" s="1949"/>
      <c r="N201" s="1950"/>
      <c r="O201" s="1950"/>
      <c r="P201" s="1950"/>
      <c r="Q201" s="1950"/>
      <c r="R201" s="1815">
        <f>SUM('HIV-Other HPs'!$N201:$Q201)</f>
        <v>0</v>
      </c>
      <c r="S201" s="1816">
        <f>'HIV-Other HPs'!$M201*'HIV-Other HPs'!$R201</f>
        <v>0</v>
      </c>
      <c r="T201" s="1956"/>
      <c r="U201" s="1950"/>
      <c r="V201" s="1950"/>
      <c r="W201" s="1950"/>
      <c r="X201" s="1950"/>
      <c r="Y201" s="1815">
        <f>SUM('HIV-Other HPs'!$U201:$X201)</f>
        <v>0</v>
      </c>
      <c r="Z201" s="1816">
        <f>'HIV-Other HPs'!$T201*'HIV-Other HPs'!$Y201</f>
        <v>0</v>
      </c>
      <c r="AA201" s="1956"/>
      <c r="AB201" s="1950"/>
      <c r="AC201" s="1950"/>
      <c r="AD201" s="1950"/>
      <c r="AE201" s="1950"/>
      <c r="AF201" s="1815">
        <f>SUM('HIV-Other HPs'!$AB201:$AE201)</f>
        <v>0</v>
      </c>
      <c r="AG201" s="1816">
        <f>'HIV-Other HPs'!$AA201*'HIV-Other HPs'!$AF201</f>
        <v>0</v>
      </c>
      <c r="AH201" s="1817">
        <f>'HIV-Other HPs'!$R201+'HIV-Other HPs'!$Y201+'HIV-Other HPs'!$AF201</f>
        <v>0</v>
      </c>
      <c r="AI201" s="1816">
        <f>'HIV-Other HPs'!$S201+'HIV-Other HPs'!$Z201+'HIV-Other HPs'!$AG201</f>
        <v>0</v>
      </c>
      <c r="AJ201" s="1390" t="str">
        <f>IF($A201&lt;&gt;"",IFERROR(INDEX(PMtbl[[WKst]:[Unit of measure*]],MATCH($A$117&amp;$A201&amp;$D201&amp;$G201,INDEX(PMtbl[Sec]&amp;PMtbl[Category]&amp;PMtbl[INN]&amp;PMtbl[Specification],0,),0),7),""),"")</f>
        <v/>
      </c>
      <c r="AK201" s="2510"/>
      <c r="AL201" s="2511"/>
      <c r="AM201" s="1390" t="str">
        <f>IFERROR(INDEX(SETUP!$C$19:$G$62,MATCH((INDEX(PMtbl[[WKst]:[Unit of measure*]],MATCH($A201&amp;$D201&amp;$G201,INDEX(PMtbl[Category]&amp;PMtbl[INN]&amp;PMtbl[Specification],0,),0),3)),SETUP!$D$19:$D$62,0),5),"")</f>
        <v/>
      </c>
      <c r="AN201" s="1390" t="str">
        <f>IFERROR(IF((INDEX(SETUP!$C$19:$G$62,MATCH((INDEX(PMtbl[[WKst]:[Unit of measure*]],MATCH($A201&amp;$D201&amp;$G201,INDEX(PMtbl[Category]&amp;PMtbl[INN]&amp;PMtbl[Specification],0,),0),3)),SETUP!$D$19:$D$62,0),4))="Upfront",0,INDEX(SETUP!$C$19:$G$62,MATCH((INDEX(PMtbl[[WKst]:[Unit of measure*]],MATCH($A201&amp;$D201&amp;$G201,INDEX(PMtbl[Category]&amp;PMtbl[INN]&amp;PMtbl[Specification],0,),0),3)),SETUP!$D$19:$D$62,0),5)),"")</f>
        <v/>
      </c>
    </row>
    <row r="202" spans="1:40" s="198" customFormat="1">
      <c r="A202" s="2455"/>
      <c r="B202" s="2435"/>
      <c r="C202" s="2435"/>
      <c r="D202" s="2455"/>
      <c r="E202" s="2435"/>
      <c r="F202" s="2435"/>
      <c r="G202" s="2461"/>
      <c r="H202" s="2462"/>
      <c r="I202" s="2462"/>
      <c r="J202" s="2463"/>
      <c r="K202" s="213" t="str">
        <f>IF($A202&lt;&gt;"",IFERROR(INDEX(PMsheet!$B:$I,MATCH($A$117&amp;$A202&amp;$D202&amp;$G202,INDEX(PMsheet!$C:$C&amp;PMsheet!$E:$E&amp;PMsheet!$F:$F&amp;PMsheet!$G:$G,0,),0),8),""),"")</f>
        <v/>
      </c>
      <c r="L202" s="206" t="str">
        <f>IF(K202="", "",SETUP!$E$5)</f>
        <v/>
      </c>
      <c r="M202" s="1947"/>
      <c r="N202" s="12"/>
      <c r="O202" s="12"/>
      <c r="P202" s="12"/>
      <c r="Q202" s="12"/>
      <c r="R202" s="1809">
        <f>SUM('HIV-Other HPs'!$N202:$Q202)</f>
        <v>0</v>
      </c>
      <c r="S202" s="1810">
        <f>'HIV-Other HPs'!$M202*'HIV-Other HPs'!$R202</f>
        <v>0</v>
      </c>
      <c r="T202" s="1954"/>
      <c r="U202" s="12"/>
      <c r="V202" s="12"/>
      <c r="W202" s="12"/>
      <c r="X202" s="12"/>
      <c r="Y202" s="1809">
        <f>SUM('HIV-Other HPs'!$U202:$X202)</f>
        <v>0</v>
      </c>
      <c r="Z202" s="1810">
        <f>'HIV-Other HPs'!$T202*'HIV-Other HPs'!$Y202</f>
        <v>0</v>
      </c>
      <c r="AA202" s="1954"/>
      <c r="AB202" s="12"/>
      <c r="AC202" s="12"/>
      <c r="AD202" s="12"/>
      <c r="AE202" s="12"/>
      <c r="AF202" s="1809">
        <f>SUM('HIV-Other HPs'!$AB202:$AE202)</f>
        <v>0</v>
      </c>
      <c r="AG202" s="1810">
        <f>'HIV-Other HPs'!$AA202*'HIV-Other HPs'!$AF202</f>
        <v>0</v>
      </c>
      <c r="AH202" s="1811">
        <f>'HIV-Other HPs'!$R202+'HIV-Other HPs'!$Y202+'HIV-Other HPs'!$AF202</f>
        <v>0</v>
      </c>
      <c r="AI202" s="1810">
        <f>'HIV-Other HPs'!$S202+'HIV-Other HPs'!$Z202+'HIV-Other HPs'!$AG202</f>
        <v>0</v>
      </c>
      <c r="AJ202" s="1391" t="str">
        <f>IF($A202&lt;&gt;"",IFERROR(INDEX(PMtbl[[WKst]:[Unit of measure*]],MATCH($A$117&amp;$A202&amp;$D202&amp;$G202,INDEX(PMtbl[Sec]&amp;PMtbl[Category]&amp;PMtbl[INN]&amp;PMtbl[Specification],0,),0),7),""),"")</f>
        <v/>
      </c>
      <c r="AK202" s="2508"/>
      <c r="AL202" s="2509"/>
      <c r="AM202" s="1391" t="str">
        <f>IFERROR(INDEX(SETUP!$C$19:$G$62,MATCH((INDEX(PMtbl[[WKst]:[Unit of measure*]],MATCH($A202&amp;$D202&amp;$G202,INDEX(PMtbl[Category]&amp;PMtbl[INN]&amp;PMtbl[Specification],0,),0),3)),SETUP!$D$19:$D$62,0),5),"")</f>
        <v/>
      </c>
      <c r="AN202" s="1391" t="str">
        <f>IFERROR(IF((INDEX(SETUP!$C$19:$G$62,MATCH((INDEX(PMtbl[[WKst]:[Unit of measure*]],MATCH($A202&amp;$D202&amp;$G202,INDEX(PMtbl[Category]&amp;PMtbl[INN]&amp;PMtbl[Specification],0,),0),3)),SETUP!$D$19:$D$62,0),4))="Upfront",0,INDEX(SETUP!$C$19:$G$62,MATCH((INDEX(PMtbl[[WKst]:[Unit of measure*]],MATCH($A202&amp;$D202&amp;$G202,INDEX(PMtbl[Category]&amp;PMtbl[INN]&amp;PMtbl[Specification],0,),0),3)),SETUP!$D$19:$D$62,0),5)),"")</f>
        <v/>
      </c>
    </row>
    <row r="203" spans="1:40" s="198" customFormat="1">
      <c r="A203" s="2377"/>
      <c r="B203" s="2302"/>
      <c r="C203" s="2302"/>
      <c r="D203" s="2377"/>
      <c r="E203" s="2302"/>
      <c r="F203" s="2302"/>
      <c r="G203" s="2464"/>
      <c r="H203" s="2465"/>
      <c r="I203" s="2465"/>
      <c r="J203" s="2466"/>
      <c r="K203" s="209" t="str">
        <f>IF($A203&lt;&gt;"",IFERROR(INDEX(PMsheet!$B:$I,MATCH($A$117&amp;$A203&amp;$D203&amp;$G203,INDEX(PMsheet!$C:$C&amp;PMsheet!$E:$E&amp;PMsheet!$F:$F&amp;PMsheet!$G:$G,0,),0),8),""),"")</f>
        <v/>
      </c>
      <c r="L203" s="204" t="str">
        <f>IF(K203="", "",SETUP!$E$5)</f>
        <v/>
      </c>
      <c r="M203" s="1949"/>
      <c r="N203" s="1950"/>
      <c r="O203" s="1950"/>
      <c r="P203" s="1950"/>
      <c r="Q203" s="1950"/>
      <c r="R203" s="1815">
        <f>SUM('HIV-Other HPs'!$N203:$Q203)</f>
        <v>0</v>
      </c>
      <c r="S203" s="1816">
        <f>'HIV-Other HPs'!$M203*'HIV-Other HPs'!$R203</f>
        <v>0</v>
      </c>
      <c r="T203" s="1956"/>
      <c r="U203" s="1950"/>
      <c r="V203" s="1950"/>
      <c r="W203" s="1950"/>
      <c r="X203" s="1950"/>
      <c r="Y203" s="1815">
        <f>SUM('HIV-Other HPs'!$U203:$X203)</f>
        <v>0</v>
      </c>
      <c r="Z203" s="1816">
        <f>'HIV-Other HPs'!$T203*'HIV-Other HPs'!$Y203</f>
        <v>0</v>
      </c>
      <c r="AA203" s="1956"/>
      <c r="AB203" s="1950"/>
      <c r="AC203" s="1950"/>
      <c r="AD203" s="1950"/>
      <c r="AE203" s="1950"/>
      <c r="AF203" s="1815">
        <f>SUM('HIV-Other HPs'!$AB203:$AE203)</f>
        <v>0</v>
      </c>
      <c r="AG203" s="1816">
        <f>'HIV-Other HPs'!$AA203*'HIV-Other HPs'!$AF203</f>
        <v>0</v>
      </c>
      <c r="AH203" s="1817">
        <f>'HIV-Other HPs'!$R203+'HIV-Other HPs'!$Y203+'HIV-Other HPs'!$AF203</f>
        <v>0</v>
      </c>
      <c r="AI203" s="1816">
        <f>'HIV-Other HPs'!$S203+'HIV-Other HPs'!$Z203+'HIV-Other HPs'!$AG203</f>
        <v>0</v>
      </c>
      <c r="AJ203" s="1390" t="str">
        <f>IF($A203&lt;&gt;"",IFERROR(INDEX(PMtbl[[WKst]:[Unit of measure*]],MATCH($A$117&amp;$A203&amp;$D203&amp;$G203,INDEX(PMtbl[Sec]&amp;PMtbl[Category]&amp;PMtbl[INN]&amp;PMtbl[Specification],0,),0),7),""),"")</f>
        <v/>
      </c>
      <c r="AK203" s="2510"/>
      <c r="AL203" s="2511"/>
      <c r="AM203" s="1390" t="str">
        <f>IFERROR(INDEX(SETUP!$C$19:$G$62,MATCH((INDEX(PMtbl[[WKst]:[Unit of measure*]],MATCH($A203&amp;$D203&amp;$G203,INDEX(PMtbl[Category]&amp;PMtbl[INN]&amp;PMtbl[Specification],0,),0),3)),SETUP!$D$19:$D$62,0),5),"")</f>
        <v/>
      </c>
      <c r="AN203" s="1390" t="str">
        <f>IFERROR(IF((INDEX(SETUP!$C$19:$G$62,MATCH((INDEX(PMtbl[[WKst]:[Unit of measure*]],MATCH($A203&amp;$D203&amp;$G203,INDEX(PMtbl[Category]&amp;PMtbl[INN]&amp;PMtbl[Specification],0,),0),3)),SETUP!$D$19:$D$62,0),4))="Upfront",0,INDEX(SETUP!$C$19:$G$62,MATCH((INDEX(PMtbl[[WKst]:[Unit of measure*]],MATCH($A203&amp;$D203&amp;$G203,INDEX(PMtbl[Category]&amp;PMtbl[INN]&amp;PMtbl[Specification],0,),0),3)),SETUP!$D$19:$D$62,0),5)),"")</f>
        <v/>
      </c>
    </row>
    <row r="204" spans="1:40" s="198" customFormat="1">
      <c r="A204" s="2455"/>
      <c r="B204" s="2435"/>
      <c r="C204" s="2435"/>
      <c r="D204" s="2455"/>
      <c r="E204" s="2435"/>
      <c r="F204" s="2435"/>
      <c r="G204" s="2461"/>
      <c r="H204" s="2462"/>
      <c r="I204" s="2462"/>
      <c r="J204" s="2463"/>
      <c r="K204" s="213" t="str">
        <f>IF($A204&lt;&gt;"",IFERROR(INDEX(PMsheet!$B:$I,MATCH($A$117&amp;$A204&amp;$D204&amp;$G204,INDEX(PMsheet!$C:$C&amp;PMsheet!$E:$E&amp;PMsheet!$F:$F&amp;PMsheet!$G:$G,0,),0),8),""),"")</f>
        <v/>
      </c>
      <c r="L204" s="206" t="str">
        <f>IF(K204="", "",SETUP!$E$5)</f>
        <v/>
      </c>
      <c r="M204" s="1947"/>
      <c r="N204" s="12"/>
      <c r="O204" s="12"/>
      <c r="P204" s="12"/>
      <c r="Q204" s="12"/>
      <c r="R204" s="1809">
        <f>SUM('HIV-Other HPs'!$N204:$Q204)</f>
        <v>0</v>
      </c>
      <c r="S204" s="1810">
        <f>'HIV-Other HPs'!$M204*'HIV-Other HPs'!$R204</f>
        <v>0</v>
      </c>
      <c r="T204" s="1954"/>
      <c r="U204" s="12"/>
      <c r="V204" s="12"/>
      <c r="W204" s="12"/>
      <c r="X204" s="12"/>
      <c r="Y204" s="1809">
        <f>SUM('HIV-Other HPs'!$U204:$X204)</f>
        <v>0</v>
      </c>
      <c r="Z204" s="1810">
        <f>'HIV-Other HPs'!$T204*'HIV-Other HPs'!$Y204</f>
        <v>0</v>
      </c>
      <c r="AA204" s="1954"/>
      <c r="AB204" s="12"/>
      <c r="AC204" s="12"/>
      <c r="AD204" s="12"/>
      <c r="AE204" s="12"/>
      <c r="AF204" s="1809">
        <f>SUM('HIV-Other HPs'!$AB204:$AE204)</f>
        <v>0</v>
      </c>
      <c r="AG204" s="1810">
        <f>'HIV-Other HPs'!$AA204*'HIV-Other HPs'!$AF204</f>
        <v>0</v>
      </c>
      <c r="AH204" s="1811">
        <f>'HIV-Other HPs'!$R204+'HIV-Other HPs'!$Y204+'HIV-Other HPs'!$AF204</f>
        <v>0</v>
      </c>
      <c r="AI204" s="1810">
        <f>'HIV-Other HPs'!$S204+'HIV-Other HPs'!$Z204+'HIV-Other HPs'!$AG204</f>
        <v>0</v>
      </c>
      <c r="AJ204" s="1391" t="str">
        <f>IF($A204&lt;&gt;"",IFERROR(INDEX(PMtbl[[WKst]:[Unit of measure*]],MATCH($A$117&amp;$A204&amp;$D204&amp;$G204,INDEX(PMtbl[Sec]&amp;PMtbl[Category]&amp;PMtbl[INN]&amp;PMtbl[Specification],0,),0),7),""),"")</f>
        <v/>
      </c>
      <c r="AK204" s="2508"/>
      <c r="AL204" s="2509"/>
      <c r="AM204" s="1391" t="str">
        <f>IFERROR(INDEX(SETUP!$C$19:$G$62,MATCH((INDEX(PMtbl[[WKst]:[Unit of measure*]],MATCH($A204&amp;$D204&amp;$G204,INDEX(PMtbl[Category]&amp;PMtbl[INN]&amp;PMtbl[Specification],0,),0),3)),SETUP!$D$19:$D$62,0),5),"")</f>
        <v/>
      </c>
      <c r="AN204" s="1391" t="str">
        <f>IFERROR(IF((INDEX(SETUP!$C$19:$G$62,MATCH((INDEX(PMtbl[[WKst]:[Unit of measure*]],MATCH($A204&amp;$D204&amp;$G204,INDEX(PMtbl[Category]&amp;PMtbl[INN]&amp;PMtbl[Specification],0,),0),3)),SETUP!$D$19:$D$62,0),4))="Upfront",0,INDEX(SETUP!$C$19:$G$62,MATCH((INDEX(PMtbl[[WKst]:[Unit of measure*]],MATCH($A204&amp;$D204&amp;$G204,INDEX(PMtbl[Category]&amp;PMtbl[INN]&amp;PMtbl[Specification],0,),0),3)),SETUP!$D$19:$D$62,0),5)),"")</f>
        <v/>
      </c>
    </row>
    <row r="205" spans="1:40" s="198" customFormat="1">
      <c r="A205" s="2377"/>
      <c r="B205" s="2302"/>
      <c r="C205" s="2302"/>
      <c r="D205" s="2377"/>
      <c r="E205" s="2302"/>
      <c r="F205" s="2302"/>
      <c r="G205" s="2464"/>
      <c r="H205" s="2465"/>
      <c r="I205" s="2465"/>
      <c r="J205" s="2466"/>
      <c r="K205" s="209" t="str">
        <f>IF($A205&lt;&gt;"",IFERROR(INDEX(PMsheet!$B:$I,MATCH($A$117&amp;$A205&amp;$D205&amp;$G205,INDEX(PMsheet!$C:$C&amp;PMsheet!$E:$E&amp;PMsheet!$F:$F&amp;PMsheet!$G:$G,0,),0),8),""),"")</f>
        <v/>
      </c>
      <c r="L205" s="204" t="str">
        <f>IF(K205="", "",SETUP!$E$5)</f>
        <v/>
      </c>
      <c r="M205" s="1949"/>
      <c r="N205" s="1950"/>
      <c r="O205" s="1950"/>
      <c r="P205" s="1950"/>
      <c r="Q205" s="1950"/>
      <c r="R205" s="1815">
        <f>SUM('HIV-Other HPs'!$N205:$Q205)</f>
        <v>0</v>
      </c>
      <c r="S205" s="1816">
        <f>'HIV-Other HPs'!$M205*'HIV-Other HPs'!$R205</f>
        <v>0</v>
      </c>
      <c r="T205" s="1956"/>
      <c r="U205" s="1950"/>
      <c r="V205" s="1950"/>
      <c r="W205" s="1950"/>
      <c r="X205" s="1950"/>
      <c r="Y205" s="1815">
        <f>SUM('HIV-Other HPs'!$U205:$X205)</f>
        <v>0</v>
      </c>
      <c r="Z205" s="1816">
        <f>'HIV-Other HPs'!$T205*'HIV-Other HPs'!$Y205</f>
        <v>0</v>
      </c>
      <c r="AA205" s="1956"/>
      <c r="AB205" s="1950"/>
      <c r="AC205" s="1950"/>
      <c r="AD205" s="1950"/>
      <c r="AE205" s="1950"/>
      <c r="AF205" s="1815">
        <f>SUM('HIV-Other HPs'!$AB205:$AE205)</f>
        <v>0</v>
      </c>
      <c r="AG205" s="1816">
        <f>'HIV-Other HPs'!$AA205*'HIV-Other HPs'!$AF205</f>
        <v>0</v>
      </c>
      <c r="AH205" s="1817">
        <f>'HIV-Other HPs'!$R205+'HIV-Other HPs'!$Y205+'HIV-Other HPs'!$AF205</f>
        <v>0</v>
      </c>
      <c r="AI205" s="1816">
        <f>'HIV-Other HPs'!$S205+'HIV-Other HPs'!$Z205+'HIV-Other HPs'!$AG205</f>
        <v>0</v>
      </c>
      <c r="AJ205" s="1390" t="str">
        <f>IF($A205&lt;&gt;"",IFERROR(INDEX(PMtbl[[WKst]:[Unit of measure*]],MATCH($A$117&amp;$A205&amp;$D205&amp;$G205,INDEX(PMtbl[Sec]&amp;PMtbl[Category]&amp;PMtbl[INN]&amp;PMtbl[Specification],0,),0),7),""),"")</f>
        <v/>
      </c>
      <c r="AK205" s="2510"/>
      <c r="AL205" s="2511"/>
      <c r="AM205" s="1390" t="str">
        <f>IFERROR(INDEX(SETUP!$C$19:$G$62,MATCH((INDEX(PMtbl[[WKst]:[Unit of measure*]],MATCH($A205&amp;$D205&amp;$G205,INDEX(PMtbl[Category]&amp;PMtbl[INN]&amp;PMtbl[Specification],0,),0),3)),SETUP!$D$19:$D$62,0),5),"")</f>
        <v/>
      </c>
      <c r="AN205" s="1390" t="str">
        <f>IFERROR(IF((INDEX(SETUP!$C$19:$G$62,MATCH((INDEX(PMtbl[[WKst]:[Unit of measure*]],MATCH($A205&amp;$D205&amp;$G205,INDEX(PMtbl[Category]&amp;PMtbl[INN]&amp;PMtbl[Specification],0,),0),3)),SETUP!$D$19:$D$62,0),4))="Upfront",0,INDEX(SETUP!$C$19:$G$62,MATCH((INDEX(PMtbl[[WKst]:[Unit of measure*]],MATCH($A205&amp;$D205&amp;$G205,INDEX(PMtbl[Category]&amp;PMtbl[INN]&amp;PMtbl[Specification],0,),0),3)),SETUP!$D$19:$D$62,0),5)),"")</f>
        <v/>
      </c>
    </row>
    <row r="206" spans="1:40" s="198" customFormat="1">
      <c r="A206" s="2455"/>
      <c r="B206" s="2435"/>
      <c r="C206" s="2435"/>
      <c r="D206" s="2455"/>
      <c r="E206" s="2435"/>
      <c r="F206" s="2435"/>
      <c r="G206" s="2461"/>
      <c r="H206" s="2462"/>
      <c r="I206" s="2462"/>
      <c r="J206" s="2463"/>
      <c r="K206" s="213" t="str">
        <f>IF($A206&lt;&gt;"",IFERROR(INDEX(PMsheet!$B:$I,MATCH($A$117&amp;$A206&amp;$D206&amp;$G206,INDEX(PMsheet!$C:$C&amp;PMsheet!$E:$E&amp;PMsheet!$F:$F&amp;PMsheet!$G:$G,0,),0),8),""),"")</f>
        <v/>
      </c>
      <c r="L206" s="206" t="str">
        <f>IF(K206="", "",SETUP!$E$5)</f>
        <v/>
      </c>
      <c r="M206" s="1947"/>
      <c r="N206" s="12"/>
      <c r="O206" s="12"/>
      <c r="P206" s="12"/>
      <c r="Q206" s="12"/>
      <c r="R206" s="1809">
        <f>SUM('HIV-Other HPs'!$N206:$Q206)</f>
        <v>0</v>
      </c>
      <c r="S206" s="1810">
        <f>'HIV-Other HPs'!$M206*'HIV-Other HPs'!$R206</f>
        <v>0</v>
      </c>
      <c r="T206" s="1954"/>
      <c r="U206" s="12"/>
      <c r="V206" s="12"/>
      <c r="W206" s="12"/>
      <c r="X206" s="12"/>
      <c r="Y206" s="1809">
        <f>SUM('HIV-Other HPs'!$U206:$X206)</f>
        <v>0</v>
      </c>
      <c r="Z206" s="1810">
        <f>'HIV-Other HPs'!$T206*'HIV-Other HPs'!$Y206</f>
        <v>0</v>
      </c>
      <c r="AA206" s="1954"/>
      <c r="AB206" s="12"/>
      <c r="AC206" s="12"/>
      <c r="AD206" s="12"/>
      <c r="AE206" s="12"/>
      <c r="AF206" s="1809">
        <f>SUM('HIV-Other HPs'!$AB206:$AE206)</f>
        <v>0</v>
      </c>
      <c r="AG206" s="1810">
        <f>'HIV-Other HPs'!$AA206*'HIV-Other HPs'!$AF206</f>
        <v>0</v>
      </c>
      <c r="AH206" s="1811">
        <f>'HIV-Other HPs'!$R206+'HIV-Other HPs'!$Y206+'HIV-Other HPs'!$AF206</f>
        <v>0</v>
      </c>
      <c r="AI206" s="1810">
        <f>'HIV-Other HPs'!$S206+'HIV-Other HPs'!$Z206+'HIV-Other HPs'!$AG206</f>
        <v>0</v>
      </c>
      <c r="AJ206" s="1391" t="str">
        <f>IF($A206&lt;&gt;"",IFERROR(INDEX(PMtbl[[WKst]:[Unit of measure*]],MATCH($A$117&amp;$A206&amp;$D206&amp;$G206,INDEX(PMtbl[Sec]&amp;PMtbl[Category]&amp;PMtbl[INN]&amp;PMtbl[Specification],0,),0),7),""),"")</f>
        <v/>
      </c>
      <c r="AK206" s="2508"/>
      <c r="AL206" s="2509"/>
      <c r="AM206" s="1391" t="str">
        <f>IFERROR(INDEX(SETUP!$C$19:$G$62,MATCH((INDEX(PMtbl[[WKst]:[Unit of measure*]],MATCH($A206&amp;$D206&amp;$G206,INDEX(PMtbl[Category]&amp;PMtbl[INN]&amp;PMtbl[Specification],0,),0),3)),SETUP!$D$19:$D$62,0),5),"")</f>
        <v/>
      </c>
      <c r="AN206" s="1391" t="str">
        <f>IFERROR(IF((INDEX(SETUP!$C$19:$G$62,MATCH((INDEX(PMtbl[[WKst]:[Unit of measure*]],MATCH($A206&amp;$D206&amp;$G206,INDEX(PMtbl[Category]&amp;PMtbl[INN]&amp;PMtbl[Specification],0,),0),3)),SETUP!$D$19:$D$62,0),4))="Upfront",0,INDEX(SETUP!$C$19:$G$62,MATCH((INDEX(PMtbl[[WKst]:[Unit of measure*]],MATCH($A206&amp;$D206&amp;$G206,INDEX(PMtbl[Category]&amp;PMtbl[INN]&amp;PMtbl[Specification],0,),0),3)),SETUP!$D$19:$D$62,0),5)),"")</f>
        <v/>
      </c>
    </row>
    <row r="207" spans="1:40" s="198" customFormat="1">
      <c r="A207" s="2377"/>
      <c r="B207" s="2302"/>
      <c r="C207" s="2302"/>
      <c r="D207" s="2377"/>
      <c r="E207" s="2302"/>
      <c r="F207" s="2302"/>
      <c r="G207" s="2464"/>
      <c r="H207" s="2465"/>
      <c r="I207" s="2465"/>
      <c r="J207" s="2466"/>
      <c r="K207" s="209" t="str">
        <f>IF($A207&lt;&gt;"",IFERROR(INDEX(PMsheet!$B:$I,MATCH($A$117&amp;$A207&amp;$D207&amp;$G207,INDEX(PMsheet!$C:$C&amp;PMsheet!$E:$E&amp;PMsheet!$F:$F&amp;PMsheet!$G:$G,0,),0),8),""),"")</f>
        <v/>
      </c>
      <c r="L207" s="204" t="str">
        <f>IF(K207="", "",SETUP!$E$5)</f>
        <v/>
      </c>
      <c r="M207" s="1949"/>
      <c r="N207" s="1950"/>
      <c r="O207" s="1950"/>
      <c r="P207" s="1950"/>
      <c r="Q207" s="1950"/>
      <c r="R207" s="1815">
        <f>SUM('HIV-Other HPs'!$N207:$Q207)</f>
        <v>0</v>
      </c>
      <c r="S207" s="1816">
        <f>'HIV-Other HPs'!$M207*'HIV-Other HPs'!$R207</f>
        <v>0</v>
      </c>
      <c r="T207" s="1956"/>
      <c r="U207" s="1950"/>
      <c r="V207" s="1950"/>
      <c r="W207" s="1950"/>
      <c r="X207" s="1950"/>
      <c r="Y207" s="1815">
        <f>SUM('HIV-Other HPs'!$U207:$X207)</f>
        <v>0</v>
      </c>
      <c r="Z207" s="1816">
        <f>'HIV-Other HPs'!$T207*'HIV-Other HPs'!$Y207</f>
        <v>0</v>
      </c>
      <c r="AA207" s="1956"/>
      <c r="AB207" s="1950"/>
      <c r="AC207" s="1950"/>
      <c r="AD207" s="1950"/>
      <c r="AE207" s="1950"/>
      <c r="AF207" s="1815">
        <f>SUM('HIV-Other HPs'!$AB207:$AE207)</f>
        <v>0</v>
      </c>
      <c r="AG207" s="1816">
        <f>'HIV-Other HPs'!$AA207*'HIV-Other HPs'!$AF207</f>
        <v>0</v>
      </c>
      <c r="AH207" s="1817">
        <f>'HIV-Other HPs'!$R207+'HIV-Other HPs'!$Y207+'HIV-Other HPs'!$AF207</f>
        <v>0</v>
      </c>
      <c r="AI207" s="1816">
        <f>'HIV-Other HPs'!$S207+'HIV-Other HPs'!$Z207+'HIV-Other HPs'!$AG207</f>
        <v>0</v>
      </c>
      <c r="AJ207" s="1390" t="str">
        <f>IF($A207&lt;&gt;"",IFERROR(INDEX(PMtbl[[WKst]:[Unit of measure*]],MATCH($A$117&amp;$A207&amp;$D207&amp;$G207,INDEX(PMtbl[Sec]&amp;PMtbl[Category]&amp;PMtbl[INN]&amp;PMtbl[Specification],0,),0),7),""),"")</f>
        <v/>
      </c>
      <c r="AK207" s="2510"/>
      <c r="AL207" s="2511"/>
      <c r="AM207" s="1390" t="str">
        <f>IFERROR(INDEX(SETUP!$C$19:$G$62,MATCH((INDEX(PMtbl[[WKst]:[Unit of measure*]],MATCH($A207&amp;$D207&amp;$G207,INDEX(PMtbl[Category]&amp;PMtbl[INN]&amp;PMtbl[Specification],0,),0),3)),SETUP!$D$19:$D$62,0),5),"")</f>
        <v/>
      </c>
      <c r="AN207" s="1390" t="str">
        <f>IFERROR(IF((INDEX(SETUP!$C$19:$G$62,MATCH((INDEX(PMtbl[[WKst]:[Unit of measure*]],MATCH($A207&amp;$D207&amp;$G207,INDEX(PMtbl[Category]&amp;PMtbl[INN]&amp;PMtbl[Specification],0,),0),3)),SETUP!$D$19:$D$62,0),4))="Upfront",0,INDEX(SETUP!$C$19:$G$62,MATCH((INDEX(PMtbl[[WKst]:[Unit of measure*]],MATCH($A207&amp;$D207&amp;$G207,INDEX(PMtbl[Category]&amp;PMtbl[INN]&amp;PMtbl[Specification],0,),0),3)),SETUP!$D$19:$D$62,0),5)),"")</f>
        <v/>
      </c>
    </row>
    <row r="208" spans="1:40" s="198" customFormat="1">
      <c r="A208" s="2455"/>
      <c r="B208" s="2435"/>
      <c r="C208" s="2435"/>
      <c r="D208" s="2455"/>
      <c r="E208" s="2435"/>
      <c r="F208" s="2435"/>
      <c r="G208" s="2461"/>
      <c r="H208" s="2462"/>
      <c r="I208" s="2462"/>
      <c r="J208" s="2463"/>
      <c r="K208" s="213" t="str">
        <f>IF($A208&lt;&gt;"",IFERROR(INDEX(PMsheet!$B:$I,MATCH($A$117&amp;$A208&amp;$D208&amp;$G208,INDEX(PMsheet!$C:$C&amp;PMsheet!$E:$E&amp;PMsheet!$F:$F&amp;PMsheet!$G:$G,0,),0),8),""),"")</f>
        <v/>
      </c>
      <c r="L208" s="206" t="str">
        <f>IF(K208="", "",SETUP!$E$5)</f>
        <v/>
      </c>
      <c r="M208" s="1947"/>
      <c r="N208" s="12"/>
      <c r="O208" s="12"/>
      <c r="P208" s="12"/>
      <c r="Q208" s="12"/>
      <c r="R208" s="1809">
        <f>SUM('HIV-Other HPs'!$N208:$Q208)</f>
        <v>0</v>
      </c>
      <c r="S208" s="1810">
        <f>'HIV-Other HPs'!$M208*'HIV-Other HPs'!$R208</f>
        <v>0</v>
      </c>
      <c r="T208" s="1954"/>
      <c r="U208" s="12"/>
      <c r="V208" s="12"/>
      <c r="W208" s="12"/>
      <c r="X208" s="12"/>
      <c r="Y208" s="1809">
        <f>SUM('HIV-Other HPs'!$U208:$X208)</f>
        <v>0</v>
      </c>
      <c r="Z208" s="1810">
        <f>'HIV-Other HPs'!$T208*'HIV-Other HPs'!$Y208</f>
        <v>0</v>
      </c>
      <c r="AA208" s="1954"/>
      <c r="AB208" s="12"/>
      <c r="AC208" s="12"/>
      <c r="AD208" s="12"/>
      <c r="AE208" s="12"/>
      <c r="AF208" s="1809">
        <f>SUM('HIV-Other HPs'!$AB208:$AE208)</f>
        <v>0</v>
      </c>
      <c r="AG208" s="1810">
        <f>'HIV-Other HPs'!$AA208*'HIV-Other HPs'!$AF208</f>
        <v>0</v>
      </c>
      <c r="AH208" s="1811">
        <f>'HIV-Other HPs'!$R208+'HIV-Other HPs'!$Y208+'HIV-Other HPs'!$AF208</f>
        <v>0</v>
      </c>
      <c r="AI208" s="1810">
        <f>'HIV-Other HPs'!$S208+'HIV-Other HPs'!$Z208+'HIV-Other HPs'!$AG208</f>
        <v>0</v>
      </c>
      <c r="AJ208" s="1391" t="str">
        <f>IF($A208&lt;&gt;"",IFERROR(INDEX(PMtbl[[WKst]:[Unit of measure*]],MATCH($A$117&amp;$A208&amp;$D208&amp;$G208,INDEX(PMtbl[Sec]&amp;PMtbl[Category]&amp;PMtbl[INN]&amp;PMtbl[Specification],0,),0),7),""),"")</f>
        <v/>
      </c>
      <c r="AK208" s="2508"/>
      <c r="AL208" s="2509"/>
      <c r="AM208" s="1391" t="str">
        <f>IFERROR(INDEX(SETUP!$C$19:$G$62,MATCH((INDEX(PMtbl[[WKst]:[Unit of measure*]],MATCH($A208&amp;$D208&amp;$G208,INDEX(PMtbl[Category]&amp;PMtbl[INN]&amp;PMtbl[Specification],0,),0),3)),SETUP!$D$19:$D$62,0),5),"")</f>
        <v/>
      </c>
      <c r="AN208" s="1391" t="str">
        <f>IFERROR(IF((INDEX(SETUP!$C$19:$G$62,MATCH((INDEX(PMtbl[[WKst]:[Unit of measure*]],MATCH($A208&amp;$D208&amp;$G208,INDEX(PMtbl[Category]&amp;PMtbl[INN]&amp;PMtbl[Specification],0,),0),3)),SETUP!$D$19:$D$62,0),4))="Upfront",0,INDEX(SETUP!$C$19:$G$62,MATCH((INDEX(PMtbl[[WKst]:[Unit of measure*]],MATCH($A208&amp;$D208&amp;$G208,INDEX(PMtbl[Category]&amp;PMtbl[INN]&amp;PMtbl[Specification],0,),0),3)),SETUP!$D$19:$D$62,0),5)),"")</f>
        <v/>
      </c>
    </row>
    <row r="209" spans="1:61" s="198" customFormat="1">
      <c r="A209" s="2377"/>
      <c r="B209" s="2302"/>
      <c r="C209" s="2302"/>
      <c r="D209" s="2377"/>
      <c r="E209" s="2302"/>
      <c r="F209" s="2302"/>
      <c r="G209" s="2464"/>
      <c r="H209" s="2465"/>
      <c r="I209" s="2465"/>
      <c r="J209" s="2466"/>
      <c r="K209" s="209" t="str">
        <f>IF($A209&lt;&gt;"",IFERROR(INDEX(PMsheet!$B:$I,MATCH($A$117&amp;$A209&amp;$D209&amp;$G209,INDEX(PMsheet!$C:$C&amp;PMsheet!$E:$E&amp;PMsheet!$F:$F&amp;PMsheet!$G:$G,0,),0),8),""),"")</f>
        <v/>
      </c>
      <c r="L209" s="204" t="str">
        <f>IF(K209="", "",SETUP!$E$5)</f>
        <v/>
      </c>
      <c r="M209" s="1949"/>
      <c r="N209" s="1950"/>
      <c r="O209" s="1950"/>
      <c r="P209" s="1950"/>
      <c r="Q209" s="1950"/>
      <c r="R209" s="1815">
        <f>SUM('HIV-Other HPs'!$N209:$Q209)</f>
        <v>0</v>
      </c>
      <c r="S209" s="1816">
        <f>'HIV-Other HPs'!$M209*'HIV-Other HPs'!$R209</f>
        <v>0</v>
      </c>
      <c r="T209" s="1956"/>
      <c r="U209" s="1950"/>
      <c r="V209" s="1950"/>
      <c r="W209" s="1950"/>
      <c r="X209" s="1950"/>
      <c r="Y209" s="1815">
        <f>SUM('HIV-Other HPs'!$U209:$X209)</f>
        <v>0</v>
      </c>
      <c r="Z209" s="1816">
        <f>'HIV-Other HPs'!$T209*'HIV-Other HPs'!$Y209</f>
        <v>0</v>
      </c>
      <c r="AA209" s="1956"/>
      <c r="AB209" s="1950"/>
      <c r="AC209" s="1950"/>
      <c r="AD209" s="1950"/>
      <c r="AE209" s="1950"/>
      <c r="AF209" s="1815">
        <f>SUM('HIV-Other HPs'!$AB209:$AE209)</f>
        <v>0</v>
      </c>
      <c r="AG209" s="1816">
        <f>'HIV-Other HPs'!$AA209*'HIV-Other HPs'!$AF209</f>
        <v>0</v>
      </c>
      <c r="AH209" s="1817">
        <f>'HIV-Other HPs'!$R209+'HIV-Other HPs'!$Y209+'HIV-Other HPs'!$AF209</f>
        <v>0</v>
      </c>
      <c r="AI209" s="1816">
        <f>'HIV-Other HPs'!$S209+'HIV-Other HPs'!$Z209+'HIV-Other HPs'!$AG209</f>
        <v>0</v>
      </c>
      <c r="AJ209" s="1390" t="str">
        <f>IF($A209&lt;&gt;"",IFERROR(INDEX(PMtbl[[WKst]:[Unit of measure*]],MATCH($A$117&amp;$A209&amp;$D209&amp;$G209,INDEX(PMtbl[Sec]&amp;PMtbl[Category]&amp;PMtbl[INN]&amp;PMtbl[Specification],0,),0),7),""),"")</f>
        <v/>
      </c>
      <c r="AK209" s="2510"/>
      <c r="AL209" s="2511"/>
      <c r="AM209" s="1390" t="str">
        <f>IFERROR(INDEX(SETUP!$C$19:$G$62,MATCH((INDEX(PMtbl[[WKst]:[Unit of measure*]],MATCH($A209&amp;$D209&amp;$G209,INDEX(PMtbl[Category]&amp;PMtbl[INN]&amp;PMtbl[Specification],0,),0),3)),SETUP!$D$19:$D$62,0),5),"")</f>
        <v/>
      </c>
      <c r="AN209" s="1390" t="str">
        <f>IFERROR(IF((INDEX(SETUP!$C$19:$G$62,MATCH((INDEX(PMtbl[[WKst]:[Unit of measure*]],MATCH($A209&amp;$D209&amp;$G209,INDEX(PMtbl[Category]&amp;PMtbl[INN]&amp;PMtbl[Specification],0,),0),3)),SETUP!$D$19:$D$62,0),4))="Upfront",0,INDEX(SETUP!$C$19:$G$62,MATCH((INDEX(PMtbl[[WKst]:[Unit of measure*]],MATCH($A209&amp;$D209&amp;$G209,INDEX(PMtbl[Category]&amp;PMtbl[INN]&amp;PMtbl[Specification],0,),0),3)),SETUP!$D$19:$D$62,0),5)),"")</f>
        <v/>
      </c>
    </row>
    <row r="210" spans="1:61" s="198" customFormat="1">
      <c r="A210" s="2455"/>
      <c r="B210" s="2435"/>
      <c r="C210" s="2435"/>
      <c r="D210" s="2455"/>
      <c r="E210" s="2435"/>
      <c r="F210" s="2435"/>
      <c r="G210" s="2461"/>
      <c r="H210" s="2462"/>
      <c r="I210" s="2462"/>
      <c r="J210" s="2463"/>
      <c r="K210" s="213" t="str">
        <f>IF($A210&lt;&gt;"",IFERROR(INDEX(PMsheet!$B:$I,MATCH($A$117&amp;$A210&amp;$D210&amp;$G210,INDEX(PMsheet!$C:$C&amp;PMsheet!$E:$E&amp;PMsheet!$F:$F&amp;PMsheet!$G:$G,0,),0),8),""),"")</f>
        <v/>
      </c>
      <c r="L210" s="206" t="str">
        <f>IF(K210="", "",SETUP!$E$5)</f>
        <v/>
      </c>
      <c r="M210" s="1947"/>
      <c r="N210" s="12"/>
      <c r="O210" s="12"/>
      <c r="P210" s="12"/>
      <c r="Q210" s="12"/>
      <c r="R210" s="1809">
        <f>SUM('HIV-Other HPs'!$N210:$Q210)</f>
        <v>0</v>
      </c>
      <c r="S210" s="1810">
        <f>'HIV-Other HPs'!$M210*'HIV-Other HPs'!$R210</f>
        <v>0</v>
      </c>
      <c r="T210" s="1954"/>
      <c r="U210" s="12"/>
      <c r="V210" s="12"/>
      <c r="W210" s="12"/>
      <c r="X210" s="12"/>
      <c r="Y210" s="1809">
        <f>SUM('HIV-Other HPs'!$U210:$X210)</f>
        <v>0</v>
      </c>
      <c r="Z210" s="1810">
        <f>'HIV-Other HPs'!$T210*'HIV-Other HPs'!$Y210</f>
        <v>0</v>
      </c>
      <c r="AA210" s="1954"/>
      <c r="AB210" s="12"/>
      <c r="AC210" s="12"/>
      <c r="AD210" s="12"/>
      <c r="AE210" s="12"/>
      <c r="AF210" s="1809">
        <f>SUM('HIV-Other HPs'!$AB210:$AE210)</f>
        <v>0</v>
      </c>
      <c r="AG210" s="1810">
        <f>'HIV-Other HPs'!$AA210*'HIV-Other HPs'!$AF210</f>
        <v>0</v>
      </c>
      <c r="AH210" s="1811">
        <f>'HIV-Other HPs'!$R210+'HIV-Other HPs'!$Y210+'HIV-Other HPs'!$AF210</f>
        <v>0</v>
      </c>
      <c r="AI210" s="1810">
        <f>'HIV-Other HPs'!$S210+'HIV-Other HPs'!$Z210+'HIV-Other HPs'!$AG210</f>
        <v>0</v>
      </c>
      <c r="AJ210" s="1391" t="str">
        <f>IF($A210&lt;&gt;"",IFERROR(INDEX(PMtbl[[WKst]:[Unit of measure*]],MATCH($A$117&amp;$A210&amp;$D210&amp;$G210,INDEX(PMtbl[Sec]&amp;PMtbl[Category]&amp;PMtbl[INN]&amp;PMtbl[Specification],0,),0),7),""),"")</f>
        <v/>
      </c>
      <c r="AK210" s="2508"/>
      <c r="AL210" s="2509"/>
      <c r="AM210" s="1391" t="str">
        <f>IFERROR(INDEX(SETUP!$C$19:$G$62,MATCH((INDEX(PMtbl[[WKst]:[Unit of measure*]],MATCH($A210&amp;$D210&amp;$G210,INDEX(PMtbl[Category]&amp;PMtbl[INN]&amp;PMtbl[Specification],0,),0),3)),SETUP!$D$19:$D$62,0),5),"")</f>
        <v/>
      </c>
      <c r="AN210" s="1391" t="str">
        <f>IFERROR(IF((INDEX(SETUP!$C$19:$G$62,MATCH((INDEX(PMtbl[[WKst]:[Unit of measure*]],MATCH($A210&amp;$D210&amp;$G210,INDEX(PMtbl[Category]&amp;PMtbl[INN]&amp;PMtbl[Specification],0,),0),3)),SETUP!$D$19:$D$62,0),4))="Upfront",0,INDEX(SETUP!$C$19:$G$62,MATCH((INDEX(PMtbl[[WKst]:[Unit of measure*]],MATCH($A210&amp;$D210&amp;$G210,INDEX(PMtbl[Category]&amp;PMtbl[INN]&amp;PMtbl[Specification],0,),0),3)),SETUP!$D$19:$D$62,0),5)),"")</f>
        <v/>
      </c>
    </row>
    <row r="211" spans="1:61" s="198" customFormat="1">
      <c r="A211" s="2377"/>
      <c r="B211" s="2302"/>
      <c r="C211" s="2302"/>
      <c r="D211" s="2377"/>
      <c r="E211" s="2302"/>
      <c r="F211" s="2302"/>
      <c r="G211" s="2464"/>
      <c r="H211" s="2465"/>
      <c r="I211" s="2465"/>
      <c r="J211" s="2466"/>
      <c r="K211" s="209" t="str">
        <f>IF($A211&lt;&gt;"",IFERROR(INDEX(PMsheet!$B:$I,MATCH($A$117&amp;$A211&amp;$D211&amp;$G211,INDEX(PMsheet!$C:$C&amp;PMsheet!$E:$E&amp;PMsheet!$F:$F&amp;PMsheet!$G:$G,0,),0),8),""),"")</f>
        <v/>
      </c>
      <c r="L211" s="204" t="str">
        <f>IF(K211="", "",SETUP!$E$5)</f>
        <v/>
      </c>
      <c r="M211" s="1949"/>
      <c r="N211" s="1950"/>
      <c r="O211" s="1950"/>
      <c r="P211" s="1950"/>
      <c r="Q211" s="1950"/>
      <c r="R211" s="1815">
        <f>SUM('HIV-Other HPs'!$N211:$Q211)</f>
        <v>0</v>
      </c>
      <c r="S211" s="1816">
        <f>'HIV-Other HPs'!$M211*'HIV-Other HPs'!$R211</f>
        <v>0</v>
      </c>
      <c r="T211" s="1956"/>
      <c r="U211" s="1950"/>
      <c r="V211" s="1950"/>
      <c r="W211" s="1950"/>
      <c r="X211" s="1950"/>
      <c r="Y211" s="1815">
        <f>SUM('HIV-Other HPs'!$U211:$X211)</f>
        <v>0</v>
      </c>
      <c r="Z211" s="1816">
        <f>'HIV-Other HPs'!$T211*'HIV-Other HPs'!$Y211</f>
        <v>0</v>
      </c>
      <c r="AA211" s="1956"/>
      <c r="AB211" s="1950"/>
      <c r="AC211" s="1950"/>
      <c r="AD211" s="1950"/>
      <c r="AE211" s="1950"/>
      <c r="AF211" s="1815">
        <f>SUM('HIV-Other HPs'!$AB211:$AE211)</f>
        <v>0</v>
      </c>
      <c r="AG211" s="1816">
        <f>'HIV-Other HPs'!$AA211*'HIV-Other HPs'!$AF211</f>
        <v>0</v>
      </c>
      <c r="AH211" s="1817">
        <f>'HIV-Other HPs'!$R211+'HIV-Other HPs'!$Y211+'HIV-Other HPs'!$AF211</f>
        <v>0</v>
      </c>
      <c r="AI211" s="1816">
        <f>'HIV-Other HPs'!$S211+'HIV-Other HPs'!$Z211+'HIV-Other HPs'!$AG211</f>
        <v>0</v>
      </c>
      <c r="AJ211" s="1390" t="str">
        <f>IF($A211&lt;&gt;"",IFERROR(INDEX(PMtbl[[WKst]:[Unit of measure*]],MATCH($A$117&amp;$A211&amp;$D211&amp;$G211,INDEX(PMtbl[Sec]&amp;PMtbl[Category]&amp;PMtbl[INN]&amp;PMtbl[Specification],0,),0),7),""),"")</f>
        <v/>
      </c>
      <c r="AK211" s="2510"/>
      <c r="AL211" s="2511"/>
      <c r="AM211" s="1390" t="str">
        <f>IFERROR(INDEX(SETUP!$C$19:$G$62,MATCH((INDEX(PMtbl[[WKst]:[Unit of measure*]],MATCH($A211&amp;$D211&amp;$G211,INDEX(PMtbl[Category]&amp;PMtbl[INN]&amp;PMtbl[Specification],0,),0),3)),SETUP!$D$19:$D$62,0),5),"")</f>
        <v/>
      </c>
      <c r="AN211" s="1390" t="str">
        <f>IFERROR(IF((INDEX(SETUP!$C$19:$G$62,MATCH((INDEX(PMtbl[[WKst]:[Unit of measure*]],MATCH($A211&amp;$D211&amp;$G211,INDEX(PMtbl[Category]&amp;PMtbl[INN]&amp;PMtbl[Specification],0,),0),3)),SETUP!$D$19:$D$62,0),4))="Upfront",0,INDEX(SETUP!$C$19:$G$62,MATCH((INDEX(PMtbl[[WKst]:[Unit of measure*]],MATCH($A211&amp;$D211&amp;$G211,INDEX(PMtbl[Category]&amp;PMtbl[INN]&amp;PMtbl[Specification],0,),0),3)),SETUP!$D$19:$D$62,0),5)),"")</f>
        <v/>
      </c>
    </row>
    <row r="212" spans="1:61" s="198" customFormat="1">
      <c r="A212" s="2455"/>
      <c r="B212" s="2435"/>
      <c r="C212" s="2435"/>
      <c r="D212" s="2455"/>
      <c r="E212" s="2435"/>
      <c r="F212" s="2435"/>
      <c r="G212" s="2461"/>
      <c r="H212" s="2462"/>
      <c r="I212" s="2462"/>
      <c r="J212" s="2463"/>
      <c r="K212" s="213" t="str">
        <f>IF($A212&lt;&gt;"",IFERROR(INDEX(PMsheet!$B:$I,MATCH($A$117&amp;$A212&amp;$D212&amp;$G212,INDEX(PMsheet!$C:$C&amp;PMsheet!$E:$E&amp;PMsheet!$F:$F&amp;PMsheet!$G:$G,0,),0),8),""),"")</f>
        <v/>
      </c>
      <c r="L212" s="206" t="str">
        <f>IF(K212="", "",SETUP!$E$5)</f>
        <v/>
      </c>
      <c r="M212" s="1947"/>
      <c r="N212" s="12"/>
      <c r="O212" s="12"/>
      <c r="P212" s="12"/>
      <c r="Q212" s="12"/>
      <c r="R212" s="1809">
        <f>SUM('HIV-Other HPs'!$N212:$Q212)</f>
        <v>0</v>
      </c>
      <c r="S212" s="1810">
        <f>'HIV-Other HPs'!$M212*'HIV-Other HPs'!$R212</f>
        <v>0</v>
      </c>
      <c r="T212" s="1954"/>
      <c r="U212" s="12"/>
      <c r="V212" s="12"/>
      <c r="W212" s="12"/>
      <c r="X212" s="12"/>
      <c r="Y212" s="1809">
        <f>SUM('HIV-Other HPs'!$U212:$X212)</f>
        <v>0</v>
      </c>
      <c r="Z212" s="1810">
        <f>'HIV-Other HPs'!$T212*'HIV-Other HPs'!$Y212</f>
        <v>0</v>
      </c>
      <c r="AA212" s="1954"/>
      <c r="AB212" s="12"/>
      <c r="AC212" s="12"/>
      <c r="AD212" s="12"/>
      <c r="AE212" s="12"/>
      <c r="AF212" s="1809">
        <f>SUM('HIV-Other HPs'!$AB212:$AE212)</f>
        <v>0</v>
      </c>
      <c r="AG212" s="1810">
        <f>'HIV-Other HPs'!$AA212*'HIV-Other HPs'!$AF212</f>
        <v>0</v>
      </c>
      <c r="AH212" s="1811">
        <f>'HIV-Other HPs'!$R212+'HIV-Other HPs'!$Y212+'HIV-Other HPs'!$AF212</f>
        <v>0</v>
      </c>
      <c r="AI212" s="1810">
        <f>'HIV-Other HPs'!$S212+'HIV-Other HPs'!$Z212+'HIV-Other HPs'!$AG212</f>
        <v>0</v>
      </c>
      <c r="AJ212" s="1391" t="str">
        <f>IF($A212&lt;&gt;"",IFERROR(INDEX(PMtbl[[WKst]:[Unit of measure*]],MATCH($A$117&amp;$A212&amp;$D212&amp;$G212,INDEX(PMtbl[Sec]&amp;PMtbl[Category]&amp;PMtbl[INN]&amp;PMtbl[Specification],0,),0),7),""),"")</f>
        <v/>
      </c>
      <c r="AK212" s="2508"/>
      <c r="AL212" s="2509"/>
      <c r="AM212" s="1391" t="str">
        <f>IFERROR(INDEX(SETUP!$C$19:$G$62,MATCH((INDEX(PMtbl[[WKst]:[Unit of measure*]],MATCH($A212&amp;$D212&amp;$G212,INDEX(PMtbl[Category]&amp;PMtbl[INN]&amp;PMtbl[Specification],0,),0),3)),SETUP!$D$19:$D$62,0),5),"")</f>
        <v/>
      </c>
      <c r="AN212" s="1391" t="str">
        <f>IFERROR(IF((INDEX(SETUP!$C$19:$G$62,MATCH((INDEX(PMtbl[[WKst]:[Unit of measure*]],MATCH($A212&amp;$D212&amp;$G212,INDEX(PMtbl[Category]&amp;PMtbl[INN]&amp;PMtbl[Specification],0,),0),3)),SETUP!$D$19:$D$62,0),4))="Upfront",0,INDEX(SETUP!$C$19:$G$62,MATCH((INDEX(PMtbl[[WKst]:[Unit of measure*]],MATCH($A212&amp;$D212&amp;$G212,INDEX(PMtbl[Category]&amp;PMtbl[INN]&amp;PMtbl[Specification],0,),0),3)),SETUP!$D$19:$D$62,0),5)),"")</f>
        <v/>
      </c>
    </row>
    <row r="213" spans="1:61" s="198" customFormat="1">
      <c r="A213" s="2377"/>
      <c r="B213" s="2302"/>
      <c r="C213" s="2302"/>
      <c r="D213" s="2377"/>
      <c r="E213" s="2302"/>
      <c r="F213" s="2302"/>
      <c r="G213" s="2464"/>
      <c r="H213" s="2465"/>
      <c r="I213" s="2465"/>
      <c r="J213" s="2466"/>
      <c r="K213" s="209" t="str">
        <f>IF($A213&lt;&gt;"",IFERROR(INDEX(PMsheet!$B:$I,MATCH($A$117&amp;$A213&amp;$D213&amp;$G213,INDEX(PMsheet!$C:$C&amp;PMsheet!$E:$E&amp;PMsheet!$F:$F&amp;PMsheet!$G:$G,0,),0),8),""),"")</f>
        <v/>
      </c>
      <c r="L213" s="204" t="str">
        <f>IF(K213="", "",SETUP!$E$5)</f>
        <v/>
      </c>
      <c r="M213" s="1949"/>
      <c r="N213" s="1950"/>
      <c r="O213" s="1950"/>
      <c r="P213" s="1950"/>
      <c r="Q213" s="1950"/>
      <c r="R213" s="1815">
        <f>SUM('HIV-Other HPs'!$N213:$Q213)</f>
        <v>0</v>
      </c>
      <c r="S213" s="1816">
        <f>'HIV-Other HPs'!$M213*'HIV-Other HPs'!$R213</f>
        <v>0</v>
      </c>
      <c r="T213" s="1956"/>
      <c r="U213" s="1950"/>
      <c r="V213" s="1950"/>
      <c r="W213" s="1950"/>
      <c r="X213" s="1950"/>
      <c r="Y213" s="1815">
        <f>SUM('HIV-Other HPs'!$U213:$X213)</f>
        <v>0</v>
      </c>
      <c r="Z213" s="1816">
        <f>'HIV-Other HPs'!$T213*'HIV-Other HPs'!$Y213</f>
        <v>0</v>
      </c>
      <c r="AA213" s="1956"/>
      <c r="AB213" s="1950"/>
      <c r="AC213" s="1950"/>
      <c r="AD213" s="1950"/>
      <c r="AE213" s="1950"/>
      <c r="AF213" s="1815">
        <f>SUM('HIV-Other HPs'!$AB213:$AE213)</f>
        <v>0</v>
      </c>
      <c r="AG213" s="1816">
        <f>'HIV-Other HPs'!$AA213*'HIV-Other HPs'!$AF213</f>
        <v>0</v>
      </c>
      <c r="AH213" s="1817">
        <f>'HIV-Other HPs'!$R213+'HIV-Other HPs'!$Y213+'HIV-Other HPs'!$AF213</f>
        <v>0</v>
      </c>
      <c r="AI213" s="1816">
        <f>'HIV-Other HPs'!$S213+'HIV-Other HPs'!$Z213+'HIV-Other HPs'!$AG213</f>
        <v>0</v>
      </c>
      <c r="AJ213" s="1390" t="str">
        <f>IF($A213&lt;&gt;"",IFERROR(INDEX(PMtbl[[WKst]:[Unit of measure*]],MATCH($A$117&amp;$A213&amp;$D213&amp;$G213,INDEX(PMtbl[Sec]&amp;PMtbl[Category]&amp;PMtbl[INN]&amp;PMtbl[Specification],0,),0),7),""),"")</f>
        <v/>
      </c>
      <c r="AK213" s="2510"/>
      <c r="AL213" s="2511"/>
      <c r="AM213" s="1390" t="str">
        <f>IFERROR(INDEX(SETUP!$C$19:$G$62,MATCH((INDEX(PMtbl[[WKst]:[Unit of measure*]],MATCH($A213&amp;$D213&amp;$G213,INDEX(PMtbl[Category]&amp;PMtbl[INN]&amp;PMtbl[Specification],0,),0),3)),SETUP!$D$19:$D$62,0),5),"")</f>
        <v/>
      </c>
      <c r="AN213" s="1390" t="str">
        <f>IFERROR(IF((INDEX(SETUP!$C$19:$G$62,MATCH((INDEX(PMtbl[[WKst]:[Unit of measure*]],MATCH($A213&amp;$D213&amp;$G213,INDEX(PMtbl[Category]&amp;PMtbl[INN]&amp;PMtbl[Specification],0,),0),3)),SETUP!$D$19:$D$62,0),4))="Upfront",0,INDEX(SETUP!$C$19:$G$62,MATCH((INDEX(PMtbl[[WKst]:[Unit of measure*]],MATCH($A213&amp;$D213&amp;$G213,INDEX(PMtbl[Category]&amp;PMtbl[INN]&amp;PMtbl[Specification],0,),0),3)),SETUP!$D$19:$D$62,0),5)),"")</f>
        <v/>
      </c>
    </row>
    <row r="214" spans="1:61" s="198" customFormat="1">
      <c r="A214" s="2455"/>
      <c r="B214" s="2435"/>
      <c r="C214" s="2435"/>
      <c r="D214" s="2455"/>
      <c r="E214" s="2435"/>
      <c r="F214" s="2435"/>
      <c r="G214" s="2461"/>
      <c r="H214" s="2462"/>
      <c r="I214" s="2462"/>
      <c r="J214" s="2463"/>
      <c r="K214" s="213" t="str">
        <f>IF($A214&lt;&gt;"",IFERROR(INDEX(PMsheet!$B:$I,MATCH($A$117&amp;$A214&amp;$D214&amp;$G214,INDEX(PMsheet!$C:$C&amp;PMsheet!$E:$E&amp;PMsheet!$F:$F&amp;PMsheet!$G:$G,0,),0),8),""),"")</f>
        <v/>
      </c>
      <c r="L214" s="206" t="str">
        <f>IF(K214="", "",SETUP!$E$5)</f>
        <v/>
      </c>
      <c r="M214" s="1947"/>
      <c r="N214" s="12"/>
      <c r="O214" s="12"/>
      <c r="P214" s="12"/>
      <c r="Q214" s="12"/>
      <c r="R214" s="1809">
        <f>SUM('HIV-Other HPs'!$N214:$Q214)</f>
        <v>0</v>
      </c>
      <c r="S214" s="1810">
        <f>'HIV-Other HPs'!$M214*'HIV-Other HPs'!$R214</f>
        <v>0</v>
      </c>
      <c r="T214" s="1954"/>
      <c r="U214" s="12"/>
      <c r="V214" s="12"/>
      <c r="W214" s="12"/>
      <c r="X214" s="12"/>
      <c r="Y214" s="1809">
        <f>SUM('HIV-Other HPs'!$U214:$X214)</f>
        <v>0</v>
      </c>
      <c r="Z214" s="1810">
        <f>'HIV-Other HPs'!$T214*'HIV-Other HPs'!$Y214</f>
        <v>0</v>
      </c>
      <c r="AA214" s="1954"/>
      <c r="AB214" s="12"/>
      <c r="AC214" s="12"/>
      <c r="AD214" s="12"/>
      <c r="AE214" s="12"/>
      <c r="AF214" s="1809">
        <f>SUM('HIV-Other HPs'!$AB214:$AE214)</f>
        <v>0</v>
      </c>
      <c r="AG214" s="1810">
        <f>'HIV-Other HPs'!$AA214*'HIV-Other HPs'!$AF214</f>
        <v>0</v>
      </c>
      <c r="AH214" s="1811">
        <f>'HIV-Other HPs'!$R214+'HIV-Other HPs'!$Y214+'HIV-Other HPs'!$AF214</f>
        <v>0</v>
      </c>
      <c r="AI214" s="1810">
        <f>'HIV-Other HPs'!$S214+'HIV-Other HPs'!$Z214+'HIV-Other HPs'!$AG214</f>
        <v>0</v>
      </c>
      <c r="AJ214" s="1391" t="str">
        <f>IF($A214&lt;&gt;"",IFERROR(INDEX(PMtbl[[WKst]:[Unit of measure*]],MATCH($A$117&amp;$A214&amp;$D214&amp;$G214,INDEX(PMtbl[Sec]&amp;PMtbl[Category]&amp;PMtbl[INN]&amp;PMtbl[Specification],0,),0),7),""),"")</f>
        <v/>
      </c>
      <c r="AK214" s="2508"/>
      <c r="AL214" s="2509"/>
      <c r="AM214" s="1391" t="str">
        <f>IFERROR(INDEX(SETUP!$C$19:$G$62,MATCH((INDEX(PMtbl[[WKst]:[Unit of measure*]],MATCH($A214&amp;$D214&amp;$G214,INDEX(PMtbl[Category]&amp;PMtbl[INN]&amp;PMtbl[Specification],0,),0),3)),SETUP!$D$19:$D$62,0),5),"")</f>
        <v/>
      </c>
      <c r="AN214" s="1391" t="str">
        <f>IFERROR(IF((INDEX(SETUP!$C$19:$G$62,MATCH((INDEX(PMtbl[[WKst]:[Unit of measure*]],MATCH($A214&amp;$D214&amp;$G214,INDEX(PMtbl[Category]&amp;PMtbl[INN]&amp;PMtbl[Specification],0,),0),3)),SETUP!$D$19:$D$62,0),4))="Upfront",0,INDEX(SETUP!$C$19:$G$62,MATCH((INDEX(PMtbl[[WKst]:[Unit of measure*]],MATCH($A214&amp;$D214&amp;$G214,INDEX(PMtbl[Category]&amp;PMtbl[INN]&amp;PMtbl[Specification],0,),0),3)),SETUP!$D$19:$D$62,0),5)),"")</f>
        <v/>
      </c>
    </row>
    <row r="215" spans="1:61" s="198" customFormat="1">
      <c r="A215" s="2377"/>
      <c r="B215" s="2302"/>
      <c r="C215" s="2302"/>
      <c r="D215" s="2377"/>
      <c r="E215" s="2302"/>
      <c r="F215" s="2302"/>
      <c r="G215" s="2464"/>
      <c r="H215" s="2465"/>
      <c r="I215" s="2465"/>
      <c r="J215" s="2466"/>
      <c r="K215" s="209" t="str">
        <f>IF($A215&lt;&gt;"",IFERROR(INDEX(PMsheet!$B:$I,MATCH($A$117&amp;$A215&amp;$D215&amp;$G215,INDEX(PMsheet!$C:$C&amp;PMsheet!$E:$E&amp;PMsheet!$F:$F&amp;PMsheet!$G:$G,0,),0),8),""),"")</f>
        <v/>
      </c>
      <c r="L215" s="204" t="str">
        <f>IF(K215="", "",SETUP!$E$5)</f>
        <v/>
      </c>
      <c r="M215" s="1949"/>
      <c r="N215" s="1950"/>
      <c r="O215" s="1950"/>
      <c r="P215" s="1950"/>
      <c r="Q215" s="1950"/>
      <c r="R215" s="1815">
        <f>SUM('HIV-Other HPs'!$N215:$Q215)</f>
        <v>0</v>
      </c>
      <c r="S215" s="1816">
        <f>'HIV-Other HPs'!$M215*'HIV-Other HPs'!$R215</f>
        <v>0</v>
      </c>
      <c r="T215" s="1956"/>
      <c r="U215" s="1950"/>
      <c r="V215" s="1950"/>
      <c r="W215" s="1950"/>
      <c r="X215" s="1950"/>
      <c r="Y215" s="1815">
        <f>SUM('HIV-Other HPs'!$U215:$X215)</f>
        <v>0</v>
      </c>
      <c r="Z215" s="1816">
        <f>'HIV-Other HPs'!$T215*'HIV-Other HPs'!$Y215</f>
        <v>0</v>
      </c>
      <c r="AA215" s="1956"/>
      <c r="AB215" s="1950"/>
      <c r="AC215" s="1950"/>
      <c r="AD215" s="1950"/>
      <c r="AE215" s="1950"/>
      <c r="AF215" s="1815">
        <f>SUM('HIV-Other HPs'!$AB215:$AE215)</f>
        <v>0</v>
      </c>
      <c r="AG215" s="1816">
        <f>'HIV-Other HPs'!$AA215*'HIV-Other HPs'!$AF215</f>
        <v>0</v>
      </c>
      <c r="AH215" s="1817">
        <f>'HIV-Other HPs'!$R215+'HIV-Other HPs'!$Y215+'HIV-Other HPs'!$AF215</f>
        <v>0</v>
      </c>
      <c r="AI215" s="1816">
        <f>'HIV-Other HPs'!$S215+'HIV-Other HPs'!$Z215+'HIV-Other HPs'!$AG215</f>
        <v>0</v>
      </c>
      <c r="AJ215" s="1390" t="str">
        <f>IF($A215&lt;&gt;"",IFERROR(INDEX(PMtbl[[WKst]:[Unit of measure*]],MATCH($A$117&amp;$A215&amp;$D215&amp;$G215,INDEX(PMtbl[Sec]&amp;PMtbl[Category]&amp;PMtbl[INN]&amp;PMtbl[Specification],0,),0),7),""),"")</f>
        <v/>
      </c>
      <c r="AK215" s="2510"/>
      <c r="AL215" s="2511"/>
      <c r="AM215" s="1390" t="str">
        <f>IFERROR(INDEX(SETUP!$C$19:$G$62,MATCH((INDEX(PMtbl[[WKst]:[Unit of measure*]],MATCH($A215&amp;$D215&amp;$G215,INDEX(PMtbl[Category]&amp;PMtbl[INN]&amp;PMtbl[Specification],0,),0),3)),SETUP!$D$19:$D$62,0),5),"")</f>
        <v/>
      </c>
      <c r="AN215" s="1390" t="str">
        <f>IFERROR(IF((INDEX(SETUP!$C$19:$G$62,MATCH((INDEX(PMtbl[[WKst]:[Unit of measure*]],MATCH($A215&amp;$D215&amp;$G215,INDEX(PMtbl[Category]&amp;PMtbl[INN]&amp;PMtbl[Specification],0,),0),3)),SETUP!$D$19:$D$62,0),4))="Upfront",0,INDEX(SETUP!$C$19:$G$62,MATCH((INDEX(PMtbl[[WKst]:[Unit of measure*]],MATCH($A215&amp;$D215&amp;$G215,INDEX(PMtbl[Category]&amp;PMtbl[INN]&amp;PMtbl[Specification],0,),0),3)),SETUP!$D$19:$D$62,0),5)),"")</f>
        <v/>
      </c>
    </row>
    <row r="216" spans="1:61" s="198" customFormat="1">
      <c r="A216" s="2455"/>
      <c r="B216" s="2435"/>
      <c r="C216" s="2435"/>
      <c r="D216" s="2455"/>
      <c r="E216" s="2435"/>
      <c r="F216" s="2435"/>
      <c r="G216" s="2461"/>
      <c r="H216" s="2462"/>
      <c r="I216" s="2462"/>
      <c r="J216" s="2463"/>
      <c r="K216" s="213" t="str">
        <f>IF($A216&lt;&gt;"",IFERROR(INDEX(PMsheet!$B:$I,MATCH($A$117&amp;$A216&amp;$D216&amp;$G216,INDEX(PMsheet!$C:$C&amp;PMsheet!$E:$E&amp;PMsheet!$F:$F&amp;PMsheet!$G:$G,0,),0),8),""),"")</f>
        <v/>
      </c>
      <c r="L216" s="206" t="str">
        <f>IF(K216="", "",SETUP!$E$5)</f>
        <v/>
      </c>
      <c r="M216" s="1947"/>
      <c r="N216" s="12"/>
      <c r="O216" s="12"/>
      <c r="P216" s="12"/>
      <c r="Q216" s="12"/>
      <c r="R216" s="1809">
        <f>SUM('HIV-Other HPs'!$N216:$Q216)</f>
        <v>0</v>
      </c>
      <c r="S216" s="1810">
        <f>'HIV-Other HPs'!$M216*'HIV-Other HPs'!$R216</f>
        <v>0</v>
      </c>
      <c r="T216" s="1954"/>
      <c r="U216" s="12"/>
      <c r="V216" s="12"/>
      <c r="W216" s="12"/>
      <c r="X216" s="12"/>
      <c r="Y216" s="1809">
        <f>SUM('HIV-Other HPs'!$U216:$X216)</f>
        <v>0</v>
      </c>
      <c r="Z216" s="1810">
        <f>'HIV-Other HPs'!$T216*'HIV-Other HPs'!$Y216</f>
        <v>0</v>
      </c>
      <c r="AA216" s="1954"/>
      <c r="AB216" s="12"/>
      <c r="AC216" s="12"/>
      <c r="AD216" s="12"/>
      <c r="AE216" s="12"/>
      <c r="AF216" s="1809">
        <f>SUM('HIV-Other HPs'!$AB216:$AE216)</f>
        <v>0</v>
      </c>
      <c r="AG216" s="1810">
        <f>'HIV-Other HPs'!$AA216*'HIV-Other HPs'!$AF216</f>
        <v>0</v>
      </c>
      <c r="AH216" s="1811">
        <f>'HIV-Other HPs'!$R216+'HIV-Other HPs'!$Y216+'HIV-Other HPs'!$AF216</f>
        <v>0</v>
      </c>
      <c r="AI216" s="1810">
        <f>'HIV-Other HPs'!$S216+'HIV-Other HPs'!$Z216+'HIV-Other HPs'!$AG216</f>
        <v>0</v>
      </c>
      <c r="AJ216" s="1391" t="str">
        <f>IF($A216&lt;&gt;"",IFERROR(INDEX(PMtbl[[WKst]:[Unit of measure*]],MATCH($A$117&amp;$A216&amp;$D216&amp;$G216,INDEX(PMtbl[Sec]&amp;PMtbl[Category]&amp;PMtbl[INN]&amp;PMtbl[Specification],0,),0),7),""),"")</f>
        <v/>
      </c>
      <c r="AK216" s="2508"/>
      <c r="AL216" s="2509"/>
      <c r="AM216" s="1391" t="str">
        <f>IFERROR(INDEX(SETUP!$C$19:$G$62,MATCH((INDEX(PMtbl[[WKst]:[Unit of measure*]],MATCH($A216&amp;$D216&amp;$G216,INDEX(PMtbl[Category]&amp;PMtbl[INN]&amp;PMtbl[Specification],0,),0),3)),SETUP!$D$19:$D$62,0),5),"")</f>
        <v/>
      </c>
      <c r="AN216" s="1391" t="str">
        <f>IFERROR(IF((INDEX(SETUP!$C$19:$G$62,MATCH((INDEX(PMtbl[[WKst]:[Unit of measure*]],MATCH($A216&amp;$D216&amp;$G216,INDEX(PMtbl[Category]&amp;PMtbl[INN]&amp;PMtbl[Specification],0,),0),3)),SETUP!$D$19:$D$62,0),4))="Upfront",0,INDEX(SETUP!$C$19:$G$62,MATCH((INDEX(PMtbl[[WKst]:[Unit of measure*]],MATCH($A216&amp;$D216&amp;$G216,INDEX(PMtbl[Category]&amp;PMtbl[INN]&amp;PMtbl[Specification],0,),0),3)),SETUP!$D$19:$D$62,0),5)),"")</f>
        <v/>
      </c>
    </row>
    <row r="217" spans="1:61" s="198" customFormat="1">
      <c r="A217" s="2377"/>
      <c r="B217" s="2302"/>
      <c r="C217" s="2302"/>
      <c r="D217" s="2377"/>
      <c r="E217" s="2302"/>
      <c r="F217" s="2302"/>
      <c r="G217" s="2464"/>
      <c r="H217" s="2465"/>
      <c r="I217" s="2465"/>
      <c r="J217" s="2466"/>
      <c r="K217" s="209" t="str">
        <f>IF($A217&lt;&gt;"",IFERROR(INDEX(PMsheet!$B:$I,MATCH($A$117&amp;$A217&amp;$D217&amp;$G217,INDEX(PMsheet!$C:$C&amp;PMsheet!$E:$E&amp;PMsheet!$F:$F&amp;PMsheet!$G:$G,0,),0),8),""),"")</f>
        <v/>
      </c>
      <c r="L217" s="204" t="str">
        <f>IF(K217="", "",SETUP!$E$5)</f>
        <v/>
      </c>
      <c r="M217" s="1949"/>
      <c r="N217" s="1950"/>
      <c r="O217" s="1950"/>
      <c r="P217" s="1950"/>
      <c r="Q217" s="1950"/>
      <c r="R217" s="1815">
        <f>SUM('HIV-Other HPs'!$N217:$Q217)</f>
        <v>0</v>
      </c>
      <c r="S217" s="1816">
        <f>'HIV-Other HPs'!$M217*'HIV-Other HPs'!$R217</f>
        <v>0</v>
      </c>
      <c r="T217" s="1956"/>
      <c r="U217" s="1950"/>
      <c r="V217" s="1950"/>
      <c r="W217" s="1950"/>
      <c r="X217" s="1950"/>
      <c r="Y217" s="1815">
        <f>SUM('HIV-Other HPs'!$U217:$X217)</f>
        <v>0</v>
      </c>
      <c r="Z217" s="1816">
        <f>'HIV-Other HPs'!$T217*'HIV-Other HPs'!$Y217</f>
        <v>0</v>
      </c>
      <c r="AA217" s="1956"/>
      <c r="AB217" s="1950"/>
      <c r="AC217" s="1950"/>
      <c r="AD217" s="1950"/>
      <c r="AE217" s="1950"/>
      <c r="AF217" s="1815">
        <f>SUM('HIV-Other HPs'!$AB217:$AE217)</f>
        <v>0</v>
      </c>
      <c r="AG217" s="1816">
        <f>'HIV-Other HPs'!$AA217*'HIV-Other HPs'!$AF217</f>
        <v>0</v>
      </c>
      <c r="AH217" s="1817">
        <f>'HIV-Other HPs'!$R217+'HIV-Other HPs'!$Y217+'HIV-Other HPs'!$AF217</f>
        <v>0</v>
      </c>
      <c r="AI217" s="1816">
        <f>'HIV-Other HPs'!$S217+'HIV-Other HPs'!$Z217+'HIV-Other HPs'!$AG217</f>
        <v>0</v>
      </c>
      <c r="AJ217" s="1390" t="str">
        <f>IF($A217&lt;&gt;"",IFERROR(INDEX(PMtbl[[WKst]:[Unit of measure*]],MATCH($A$117&amp;$A217&amp;$D217&amp;$G217,INDEX(PMtbl[Sec]&amp;PMtbl[Category]&amp;PMtbl[INN]&amp;PMtbl[Specification],0,),0),7),""),"")</f>
        <v/>
      </c>
      <c r="AK217" s="2510"/>
      <c r="AL217" s="2511"/>
      <c r="AM217" s="1390" t="str">
        <f>IFERROR(INDEX(SETUP!$C$19:$G$62,MATCH((INDEX(PMtbl[[WKst]:[Unit of measure*]],MATCH($A217&amp;$D217&amp;$G217,INDEX(PMtbl[Category]&amp;PMtbl[INN]&amp;PMtbl[Specification],0,),0),3)),SETUP!$D$19:$D$62,0),5),"")</f>
        <v/>
      </c>
      <c r="AN217" s="1390" t="str">
        <f>IFERROR(IF((INDEX(SETUP!$C$19:$G$62,MATCH((INDEX(PMtbl[[WKst]:[Unit of measure*]],MATCH($A217&amp;$D217&amp;$G217,INDEX(PMtbl[Category]&amp;PMtbl[INN]&amp;PMtbl[Specification],0,),0),3)),SETUP!$D$19:$D$62,0),4))="Upfront",0,INDEX(SETUP!$C$19:$G$62,MATCH((INDEX(PMtbl[[WKst]:[Unit of measure*]],MATCH($A217&amp;$D217&amp;$G217,INDEX(PMtbl[Category]&amp;PMtbl[INN]&amp;PMtbl[Specification],0,),0),3)),SETUP!$D$19:$D$62,0),5)),"")</f>
        <v/>
      </c>
    </row>
    <row r="218" spans="1:61" s="198" customFormat="1">
      <c r="A218" s="2455"/>
      <c r="B218" s="2435"/>
      <c r="C218" s="2435"/>
      <c r="D218" s="2455"/>
      <c r="E218" s="2435"/>
      <c r="F218" s="2435"/>
      <c r="G218" s="2461"/>
      <c r="H218" s="2462"/>
      <c r="I218" s="2462"/>
      <c r="J218" s="2463"/>
      <c r="K218" s="213" t="str">
        <f>IF($A218&lt;&gt;"",IFERROR(INDEX(PMsheet!$B:$I,MATCH($A$117&amp;$A218&amp;$D218&amp;$G218,INDEX(PMsheet!$C:$C&amp;PMsheet!$E:$E&amp;PMsheet!$F:$F&amp;PMsheet!$G:$G,0,),0),8),""),"")</f>
        <v/>
      </c>
      <c r="L218" s="206" t="str">
        <f>IF(K218="", "",SETUP!$E$5)</f>
        <v/>
      </c>
      <c r="M218" s="1947"/>
      <c r="N218" s="12"/>
      <c r="O218" s="12"/>
      <c r="P218" s="12"/>
      <c r="Q218" s="12"/>
      <c r="R218" s="1809">
        <f>SUM('HIV-Other HPs'!$N218:$Q218)</f>
        <v>0</v>
      </c>
      <c r="S218" s="1810">
        <f>'HIV-Other HPs'!$M218*'HIV-Other HPs'!$R218</f>
        <v>0</v>
      </c>
      <c r="T218" s="1954"/>
      <c r="U218" s="12"/>
      <c r="V218" s="12"/>
      <c r="W218" s="12"/>
      <c r="X218" s="12"/>
      <c r="Y218" s="1809">
        <f>SUM('HIV-Other HPs'!$U218:$X218)</f>
        <v>0</v>
      </c>
      <c r="Z218" s="1810">
        <f>'HIV-Other HPs'!$T218*'HIV-Other HPs'!$Y218</f>
        <v>0</v>
      </c>
      <c r="AA218" s="1954"/>
      <c r="AB218" s="12"/>
      <c r="AC218" s="12"/>
      <c r="AD218" s="12"/>
      <c r="AE218" s="12"/>
      <c r="AF218" s="1809">
        <f>SUM('HIV-Other HPs'!$AB218:$AE218)</f>
        <v>0</v>
      </c>
      <c r="AG218" s="1810">
        <f>'HIV-Other HPs'!$AA218*'HIV-Other HPs'!$AF218</f>
        <v>0</v>
      </c>
      <c r="AH218" s="1811">
        <f>'HIV-Other HPs'!$R218+'HIV-Other HPs'!$Y218+'HIV-Other HPs'!$AF218</f>
        <v>0</v>
      </c>
      <c r="AI218" s="1810">
        <f>'HIV-Other HPs'!$S218+'HIV-Other HPs'!$Z218+'HIV-Other HPs'!$AG218</f>
        <v>0</v>
      </c>
      <c r="AJ218" s="1391" t="str">
        <f>IF($A218&lt;&gt;"",IFERROR(INDEX(PMtbl[[WKst]:[Unit of measure*]],MATCH($A$117&amp;$A218&amp;$D218&amp;$G218,INDEX(PMtbl[Sec]&amp;PMtbl[Category]&amp;PMtbl[INN]&amp;PMtbl[Specification],0,),0),7),""),"")</f>
        <v/>
      </c>
      <c r="AK218" s="2508"/>
      <c r="AL218" s="2509"/>
      <c r="AM218" s="1391" t="str">
        <f>IFERROR(INDEX(SETUP!$C$19:$G$62,MATCH((INDEX(PMtbl[[WKst]:[Unit of measure*]],MATCH($A218&amp;$D218&amp;$G218,INDEX(PMtbl[Category]&amp;PMtbl[INN]&amp;PMtbl[Specification],0,),0),3)),SETUP!$D$19:$D$62,0),5),"")</f>
        <v/>
      </c>
      <c r="AN218" s="1391" t="str">
        <f>IFERROR(IF((INDEX(SETUP!$C$19:$G$62,MATCH((INDEX(PMtbl[[WKst]:[Unit of measure*]],MATCH($A218&amp;$D218&amp;$G218,INDEX(PMtbl[Category]&amp;PMtbl[INN]&amp;PMtbl[Specification],0,),0),3)),SETUP!$D$19:$D$62,0),4))="Upfront",0,INDEX(SETUP!$C$19:$G$62,MATCH((INDEX(PMtbl[[WKst]:[Unit of measure*]],MATCH($A218&amp;$D218&amp;$G218,INDEX(PMtbl[Category]&amp;PMtbl[INN]&amp;PMtbl[Specification],0,),0),3)),SETUP!$D$19:$D$62,0),5)),"")</f>
        <v/>
      </c>
    </row>
    <row r="219" spans="1:61" s="198" customFormat="1">
      <c r="A219" s="2377"/>
      <c r="B219" s="2302"/>
      <c r="C219" s="2302"/>
      <c r="D219" s="2377"/>
      <c r="E219" s="2302"/>
      <c r="F219" s="2302"/>
      <c r="G219" s="2464"/>
      <c r="H219" s="2465"/>
      <c r="I219" s="2465"/>
      <c r="J219" s="2466"/>
      <c r="K219" s="209" t="str">
        <f>IF($A219&lt;&gt;"",IFERROR(INDEX(PMsheet!$B:$I,MATCH($A$117&amp;$A219&amp;$D219&amp;$G219,INDEX(PMsheet!$C:$C&amp;PMsheet!$E:$E&amp;PMsheet!$F:$F&amp;PMsheet!$G:$G,0,),0),8),""),"")</f>
        <v/>
      </c>
      <c r="L219" s="204" t="str">
        <f>IF(K219="", "",SETUP!$E$5)</f>
        <v/>
      </c>
      <c r="M219" s="1949"/>
      <c r="N219" s="1950"/>
      <c r="O219" s="1950"/>
      <c r="P219" s="1950"/>
      <c r="Q219" s="1950"/>
      <c r="R219" s="1815">
        <f>SUM('HIV-Other HPs'!$N219:$Q219)</f>
        <v>0</v>
      </c>
      <c r="S219" s="1816">
        <f>'HIV-Other HPs'!$M219*'HIV-Other HPs'!$R219</f>
        <v>0</v>
      </c>
      <c r="T219" s="1956"/>
      <c r="U219" s="1950"/>
      <c r="V219" s="1950"/>
      <c r="W219" s="1950"/>
      <c r="X219" s="1950"/>
      <c r="Y219" s="1815">
        <f>SUM('HIV-Other HPs'!$U219:$X219)</f>
        <v>0</v>
      </c>
      <c r="Z219" s="1816">
        <f>'HIV-Other HPs'!$T219*'HIV-Other HPs'!$Y219</f>
        <v>0</v>
      </c>
      <c r="AA219" s="1956"/>
      <c r="AB219" s="1950"/>
      <c r="AC219" s="1950"/>
      <c r="AD219" s="1950"/>
      <c r="AE219" s="1950"/>
      <c r="AF219" s="1815">
        <f>SUM('HIV-Other HPs'!$AB219:$AE219)</f>
        <v>0</v>
      </c>
      <c r="AG219" s="1816">
        <f>'HIV-Other HPs'!$AA219*'HIV-Other HPs'!$AF219</f>
        <v>0</v>
      </c>
      <c r="AH219" s="1817">
        <f>'HIV-Other HPs'!$R219+'HIV-Other HPs'!$Y219+'HIV-Other HPs'!$AF219</f>
        <v>0</v>
      </c>
      <c r="AI219" s="1816">
        <f>'HIV-Other HPs'!$S219+'HIV-Other HPs'!$Z219+'HIV-Other HPs'!$AG219</f>
        <v>0</v>
      </c>
      <c r="AJ219" s="1390" t="str">
        <f>IF($A219&lt;&gt;"",IFERROR(INDEX(PMtbl[[WKst]:[Unit of measure*]],MATCH($A$117&amp;$A219&amp;$D219&amp;$G219,INDEX(PMtbl[Sec]&amp;PMtbl[Category]&amp;PMtbl[INN]&amp;PMtbl[Specification],0,),0),7),""),"")</f>
        <v/>
      </c>
      <c r="AK219" s="2510"/>
      <c r="AL219" s="2511"/>
      <c r="AM219" s="1390" t="str">
        <f>IFERROR(INDEX(SETUP!$C$19:$G$62,MATCH((INDEX(PMtbl[[WKst]:[Unit of measure*]],MATCH($A219&amp;$D219&amp;$G219,INDEX(PMtbl[Category]&amp;PMtbl[INN]&amp;PMtbl[Specification],0,),0),3)),SETUP!$D$19:$D$62,0),5),"")</f>
        <v/>
      </c>
      <c r="AN219" s="1390" t="str">
        <f>IFERROR(IF((INDEX(SETUP!$C$19:$G$62,MATCH((INDEX(PMtbl[[WKst]:[Unit of measure*]],MATCH($A219&amp;$D219&amp;$G219,INDEX(PMtbl[Category]&amp;PMtbl[INN]&amp;PMtbl[Specification],0,),0),3)),SETUP!$D$19:$D$62,0),4))="Upfront",0,INDEX(SETUP!$C$19:$G$62,MATCH((INDEX(PMtbl[[WKst]:[Unit of measure*]],MATCH($A219&amp;$D219&amp;$G219,INDEX(PMtbl[Category]&amp;PMtbl[INN]&amp;PMtbl[Specification],0,),0),3)),SETUP!$D$19:$D$62,0),5)),"")</f>
        <v/>
      </c>
    </row>
    <row r="220" spans="1:61" s="198" customFormat="1">
      <c r="A220" s="2455"/>
      <c r="B220" s="2435"/>
      <c r="C220" s="2435"/>
      <c r="D220" s="2455"/>
      <c r="E220" s="2435"/>
      <c r="F220" s="2435"/>
      <c r="G220" s="2461"/>
      <c r="H220" s="2462"/>
      <c r="I220" s="2462"/>
      <c r="J220" s="2463"/>
      <c r="K220" s="213" t="str">
        <f>IF($A220&lt;&gt;"",IFERROR(INDEX(PMsheet!$B:$I,MATCH($A$117&amp;$A220&amp;$D220&amp;$G220,INDEX(PMsheet!$C:$C&amp;PMsheet!$E:$E&amp;PMsheet!$F:$F&amp;PMsheet!$G:$G,0,),0),8),""),"")</f>
        <v/>
      </c>
      <c r="L220" s="206" t="str">
        <f>IF(K220="", "",SETUP!$E$5)</f>
        <v/>
      </c>
      <c r="M220" s="1947"/>
      <c r="N220" s="12"/>
      <c r="O220" s="12"/>
      <c r="P220" s="12"/>
      <c r="Q220" s="12"/>
      <c r="R220" s="1809">
        <f>SUM('HIV-Other HPs'!$N220:$Q220)</f>
        <v>0</v>
      </c>
      <c r="S220" s="1810">
        <f>'HIV-Other HPs'!$M220*'HIV-Other HPs'!$R220</f>
        <v>0</v>
      </c>
      <c r="T220" s="1954"/>
      <c r="U220" s="12"/>
      <c r="V220" s="12"/>
      <c r="W220" s="12"/>
      <c r="X220" s="12"/>
      <c r="Y220" s="1809">
        <f>SUM('HIV-Other HPs'!$U220:$X220)</f>
        <v>0</v>
      </c>
      <c r="Z220" s="1810">
        <f>'HIV-Other HPs'!$T220*'HIV-Other HPs'!$Y220</f>
        <v>0</v>
      </c>
      <c r="AA220" s="1954"/>
      <c r="AB220" s="12"/>
      <c r="AC220" s="12"/>
      <c r="AD220" s="12"/>
      <c r="AE220" s="12"/>
      <c r="AF220" s="1809">
        <f>SUM('HIV-Other HPs'!$AB220:$AE220)</f>
        <v>0</v>
      </c>
      <c r="AG220" s="1810">
        <f>'HIV-Other HPs'!$AA220*'HIV-Other HPs'!$AF220</f>
        <v>0</v>
      </c>
      <c r="AH220" s="1811">
        <f>'HIV-Other HPs'!$R220+'HIV-Other HPs'!$Y220+'HIV-Other HPs'!$AF220</f>
        <v>0</v>
      </c>
      <c r="AI220" s="1810">
        <f>'HIV-Other HPs'!$S220+'HIV-Other HPs'!$Z220+'HIV-Other HPs'!$AG220</f>
        <v>0</v>
      </c>
      <c r="AJ220" s="1391" t="str">
        <f>IF($A220&lt;&gt;"",IFERROR(INDEX(PMtbl[[WKst]:[Unit of measure*]],MATCH($A$117&amp;$A220&amp;$D220&amp;$G220,INDEX(PMtbl[Sec]&amp;PMtbl[Category]&amp;PMtbl[INN]&amp;PMtbl[Specification],0,),0),7),""),"")</f>
        <v/>
      </c>
      <c r="AK220" s="2508"/>
      <c r="AL220" s="2509"/>
      <c r="AM220" s="1391" t="str">
        <f>IFERROR(INDEX(SETUP!$C$19:$G$62,MATCH((INDEX(PMtbl[[WKst]:[Unit of measure*]],MATCH($A220&amp;$D220&amp;$G220,INDEX(PMtbl[Category]&amp;PMtbl[INN]&amp;PMtbl[Specification],0,),0),3)),SETUP!$D$19:$D$62,0),5),"")</f>
        <v/>
      </c>
      <c r="AN220" s="1391" t="str">
        <f>IFERROR(IF((INDEX(SETUP!$C$19:$G$62,MATCH((INDEX(PMtbl[[WKst]:[Unit of measure*]],MATCH($A220&amp;$D220&amp;$G220,INDEX(PMtbl[Category]&amp;PMtbl[INN]&amp;PMtbl[Specification],0,),0),3)),SETUP!$D$19:$D$62,0),4))="Upfront",0,INDEX(SETUP!$C$19:$G$62,MATCH((INDEX(PMtbl[[WKst]:[Unit of measure*]],MATCH($A220&amp;$D220&amp;$G220,INDEX(PMtbl[Category]&amp;PMtbl[INN]&amp;PMtbl[Specification],0,),0),3)),SETUP!$D$19:$D$62,0),5)),"")</f>
        <v/>
      </c>
    </row>
    <row r="221" spans="1:61" s="198" customFormat="1">
      <c r="A221" s="2377"/>
      <c r="B221" s="2302"/>
      <c r="C221" s="2302"/>
      <c r="D221" s="2377"/>
      <c r="E221" s="2302"/>
      <c r="F221" s="2302"/>
      <c r="G221" s="2464"/>
      <c r="H221" s="2465"/>
      <c r="I221" s="2465"/>
      <c r="J221" s="2466"/>
      <c r="K221" s="209" t="str">
        <f>IF($A221&lt;&gt;"",IFERROR(INDEX(PMsheet!$B:$I,MATCH($A$117&amp;$A221&amp;$D221&amp;$G221,INDEX(PMsheet!$C:$C&amp;PMsheet!$E:$E&amp;PMsheet!$F:$F&amp;PMsheet!$G:$G,0,),0),8),""),"")</f>
        <v/>
      </c>
      <c r="L221" s="204" t="str">
        <f>IF(K221="", "",SETUP!$E$5)</f>
        <v/>
      </c>
      <c r="M221" s="1949"/>
      <c r="N221" s="1950"/>
      <c r="O221" s="1950"/>
      <c r="P221" s="1950"/>
      <c r="Q221" s="1950"/>
      <c r="R221" s="1815">
        <f>SUM('HIV-Other HPs'!$N221:$Q221)</f>
        <v>0</v>
      </c>
      <c r="S221" s="1816">
        <f>'HIV-Other HPs'!$M221*'HIV-Other HPs'!$R221</f>
        <v>0</v>
      </c>
      <c r="T221" s="1956"/>
      <c r="U221" s="1950"/>
      <c r="V221" s="1950"/>
      <c r="W221" s="1950"/>
      <c r="X221" s="1950"/>
      <c r="Y221" s="1815">
        <f>SUM('HIV-Other HPs'!$U221:$X221)</f>
        <v>0</v>
      </c>
      <c r="Z221" s="1816">
        <f>'HIV-Other HPs'!$T221*'HIV-Other HPs'!$Y221</f>
        <v>0</v>
      </c>
      <c r="AA221" s="1956"/>
      <c r="AB221" s="1950"/>
      <c r="AC221" s="1950"/>
      <c r="AD221" s="1950"/>
      <c r="AE221" s="1950"/>
      <c r="AF221" s="1815">
        <f>SUM('HIV-Other HPs'!$AB221:$AE221)</f>
        <v>0</v>
      </c>
      <c r="AG221" s="1816">
        <f>'HIV-Other HPs'!$AA221*'HIV-Other HPs'!$AF221</f>
        <v>0</v>
      </c>
      <c r="AH221" s="1817">
        <f>'HIV-Other HPs'!$R221+'HIV-Other HPs'!$Y221+'HIV-Other HPs'!$AF221</f>
        <v>0</v>
      </c>
      <c r="AI221" s="1816">
        <f>'HIV-Other HPs'!$S221+'HIV-Other HPs'!$Z221+'HIV-Other HPs'!$AG221</f>
        <v>0</v>
      </c>
      <c r="AJ221" s="1390" t="str">
        <f>IF($A221&lt;&gt;"",IFERROR(INDEX(PMtbl[[WKst]:[Unit of measure*]],MATCH($A$117&amp;$A221&amp;$D221&amp;$G221,INDEX(PMtbl[Sec]&amp;PMtbl[Category]&amp;PMtbl[INN]&amp;PMtbl[Specification],0,),0),7),""),"")</f>
        <v/>
      </c>
      <c r="AK221" s="2510"/>
      <c r="AL221" s="2511"/>
      <c r="AM221" s="1390" t="str">
        <f>IFERROR(INDEX(SETUP!$C$19:$G$62,MATCH((INDEX(PMtbl[[WKst]:[Unit of measure*]],MATCH($A221&amp;$D221&amp;$G221,INDEX(PMtbl[Category]&amp;PMtbl[INN]&amp;PMtbl[Specification],0,),0),3)),SETUP!$D$19:$D$62,0),5),"")</f>
        <v/>
      </c>
      <c r="AN221" s="1390" t="str">
        <f>IFERROR(IF((INDEX(SETUP!$C$19:$G$62,MATCH((INDEX(PMtbl[[WKst]:[Unit of measure*]],MATCH($A221&amp;$D221&amp;$G221,INDEX(PMtbl[Category]&amp;PMtbl[INN]&amp;PMtbl[Specification],0,),0),3)),SETUP!$D$19:$D$62,0),4))="Upfront",0,INDEX(SETUP!$C$19:$G$62,MATCH((INDEX(PMtbl[[WKst]:[Unit of measure*]],MATCH($A221&amp;$D221&amp;$G221,INDEX(PMtbl[Category]&amp;PMtbl[INN]&amp;PMtbl[Specification],0,),0),3)),SETUP!$D$19:$D$62,0),5)),"")</f>
        <v/>
      </c>
    </row>
    <row r="222" spans="1:61" s="198" customFormat="1">
      <c r="A222" s="2455"/>
      <c r="B222" s="2435"/>
      <c r="C222" s="2435"/>
      <c r="D222" s="2455"/>
      <c r="E222" s="2435"/>
      <c r="F222" s="2435"/>
      <c r="G222" s="2461"/>
      <c r="H222" s="2462"/>
      <c r="I222" s="2462"/>
      <c r="J222" s="2463"/>
      <c r="K222" s="213" t="str">
        <f>IF($A222&lt;&gt;"",IFERROR(INDEX(PMsheet!$B:$I,MATCH($A$117&amp;$A222&amp;$D222&amp;$G222,INDEX(PMsheet!$C:$C&amp;PMsheet!$E:$E&amp;PMsheet!$F:$F&amp;PMsheet!$G:$G,0,),0),8),""),"")</f>
        <v/>
      </c>
      <c r="L222" s="206" t="str">
        <f>IF(K222="", "",SETUP!$E$5)</f>
        <v/>
      </c>
      <c r="M222" s="1947"/>
      <c r="N222" s="12"/>
      <c r="O222" s="12"/>
      <c r="P222" s="12"/>
      <c r="Q222" s="12"/>
      <c r="R222" s="1809">
        <f>SUM('HIV-Other HPs'!$N222:$Q222)</f>
        <v>0</v>
      </c>
      <c r="S222" s="1810">
        <f>'HIV-Other HPs'!$M222*'HIV-Other HPs'!$R222</f>
        <v>0</v>
      </c>
      <c r="T222" s="1954"/>
      <c r="U222" s="12"/>
      <c r="V222" s="12"/>
      <c r="W222" s="12"/>
      <c r="X222" s="12"/>
      <c r="Y222" s="1809">
        <f>SUM('HIV-Other HPs'!$U222:$X222)</f>
        <v>0</v>
      </c>
      <c r="Z222" s="1810">
        <f>'HIV-Other HPs'!$T222*'HIV-Other HPs'!$Y222</f>
        <v>0</v>
      </c>
      <c r="AA222" s="1954"/>
      <c r="AB222" s="12"/>
      <c r="AC222" s="12"/>
      <c r="AD222" s="12"/>
      <c r="AE222" s="12"/>
      <c r="AF222" s="1809">
        <f>SUM('HIV-Other HPs'!$AB222:$AE222)</f>
        <v>0</v>
      </c>
      <c r="AG222" s="1810">
        <f>'HIV-Other HPs'!$AA222*'HIV-Other HPs'!$AF222</f>
        <v>0</v>
      </c>
      <c r="AH222" s="1811">
        <f>'HIV-Other HPs'!$R222+'HIV-Other HPs'!$Y222+'HIV-Other HPs'!$AF222</f>
        <v>0</v>
      </c>
      <c r="AI222" s="1810">
        <f>'HIV-Other HPs'!$S222+'HIV-Other HPs'!$Z222+'HIV-Other HPs'!$AG222</f>
        <v>0</v>
      </c>
      <c r="AJ222" s="1391" t="str">
        <f>IF($A222&lt;&gt;"",IFERROR(INDEX(PMtbl[[WKst]:[Unit of measure*]],MATCH($A$117&amp;$A222&amp;$D222&amp;$G222,INDEX(PMtbl[Sec]&amp;PMtbl[Category]&amp;PMtbl[INN]&amp;PMtbl[Specification],0,),0),7),""),"")</f>
        <v/>
      </c>
      <c r="AK222" s="2508"/>
      <c r="AL222" s="2509"/>
      <c r="AM222" s="1391" t="str">
        <f>IFERROR(INDEX(SETUP!$C$19:$G$62,MATCH((INDEX(PMtbl[[WKst]:[Unit of measure*]],MATCH($A222&amp;$D222&amp;$G222,INDEX(PMtbl[Category]&amp;PMtbl[INN]&amp;PMtbl[Specification],0,),0),3)),SETUP!$D$19:$D$62,0),5),"")</f>
        <v/>
      </c>
      <c r="AN222" s="1391" t="str">
        <f>IFERROR(IF((INDEX(SETUP!$C$19:$G$62,MATCH((INDEX(PMtbl[[WKst]:[Unit of measure*]],MATCH($A222&amp;$D222&amp;$G222,INDEX(PMtbl[Category]&amp;PMtbl[INN]&amp;PMtbl[Specification],0,),0),3)),SETUP!$D$19:$D$62,0),4))="Upfront",0,INDEX(SETUP!$C$19:$G$62,MATCH((INDEX(PMtbl[[WKst]:[Unit of measure*]],MATCH($A222&amp;$D222&amp;$G222,INDEX(PMtbl[Category]&amp;PMtbl[INN]&amp;PMtbl[Specification],0,),0),3)),SETUP!$D$19:$D$62,0),5)),"")</f>
        <v/>
      </c>
    </row>
    <row r="223" spans="1:61" s="198" customFormat="1" ht="15" thickBot="1">
      <c r="A223" s="2379"/>
      <c r="B223" s="2380"/>
      <c r="C223" s="2380"/>
      <c r="D223" s="2379"/>
      <c r="E223" s="2380"/>
      <c r="F223" s="2380"/>
      <c r="G223" s="2467"/>
      <c r="H223" s="2468"/>
      <c r="I223" s="2468"/>
      <c r="J223" s="2469"/>
      <c r="K223" s="214" t="str">
        <f>IF($A223&lt;&gt;"",IFERROR(INDEX(PMsheet!$B:$I,MATCH($A$117&amp;$A223&amp;$D223&amp;$G223,INDEX(PMsheet!$C:$C&amp;PMsheet!$E:$E&amp;PMsheet!$F:$F&amp;PMsheet!$G:$G,0,),0),8),""),"")</f>
        <v/>
      </c>
      <c r="L223" s="215" t="str">
        <f>IF(K223="", "",SETUP!$E$5)</f>
        <v/>
      </c>
      <c r="M223" s="1951"/>
      <c r="N223" s="1952"/>
      <c r="O223" s="1952"/>
      <c r="P223" s="1952"/>
      <c r="Q223" s="1952"/>
      <c r="R223" s="1818">
        <f>SUM('HIV-Other HPs'!$N223:$Q223)</f>
        <v>0</v>
      </c>
      <c r="S223" s="1819">
        <f>'HIV-Other HPs'!$M223*'HIV-Other HPs'!$R223</f>
        <v>0</v>
      </c>
      <c r="T223" s="1957"/>
      <c r="U223" s="1952"/>
      <c r="V223" s="1952"/>
      <c r="W223" s="1952"/>
      <c r="X223" s="1952"/>
      <c r="Y223" s="1818">
        <f>SUM('HIV-Other HPs'!$U223:$X223)</f>
        <v>0</v>
      </c>
      <c r="Z223" s="1819">
        <f>'HIV-Other HPs'!$T223*'HIV-Other HPs'!$Y223</f>
        <v>0</v>
      </c>
      <c r="AA223" s="1957"/>
      <c r="AB223" s="1952"/>
      <c r="AC223" s="1952"/>
      <c r="AD223" s="1952"/>
      <c r="AE223" s="1952"/>
      <c r="AF223" s="1818">
        <f>SUM('HIV-Other HPs'!$AB223:$AE223)</f>
        <v>0</v>
      </c>
      <c r="AG223" s="1819">
        <f>'HIV-Other HPs'!$AA223*'HIV-Other HPs'!$AF223</f>
        <v>0</v>
      </c>
      <c r="AH223" s="1820">
        <f>'HIV-Other HPs'!$R223+'HIV-Other HPs'!$Y223+'HIV-Other HPs'!$AF223</f>
        <v>0</v>
      </c>
      <c r="AI223" s="1819">
        <f>'HIV-Other HPs'!$S223+'HIV-Other HPs'!$Z223+'HIV-Other HPs'!$AG223</f>
        <v>0</v>
      </c>
      <c r="AJ223" s="1397" t="str">
        <f>IF($A223&lt;&gt;"",IFERROR(INDEX(PMtbl[[WKst]:[Unit of measure*]],MATCH($A$117&amp;$A223&amp;$D223&amp;$G223,INDEX(PMtbl[Sec]&amp;PMtbl[Category]&amp;PMtbl[INN]&amp;PMtbl[Specification],0,),0),7),""),"")</f>
        <v/>
      </c>
      <c r="AK223" s="2516"/>
      <c r="AL223" s="2517"/>
      <c r="AM223" s="1397" t="str">
        <f>IFERROR(INDEX(SETUP!$C$19:$G$62,MATCH((INDEX(PMtbl[[WKst]:[Unit of measure*]],MATCH($A223&amp;$D223&amp;$G223,INDEX(PMtbl[Category]&amp;PMtbl[INN]&amp;PMtbl[Specification],0,),0),3)),SETUP!$D$19:$D$62,0),5),"")</f>
        <v/>
      </c>
      <c r="AN223" s="1397" t="str">
        <f>IFERROR(IF((INDEX(SETUP!$C$19:$G$62,MATCH((INDEX(PMtbl[[WKst]:[Unit of measure*]],MATCH($A223&amp;$D223&amp;$G223,INDEX(PMtbl[Category]&amp;PMtbl[INN]&amp;PMtbl[Specification],0,),0),3)),SETUP!$D$19:$D$62,0),4))="Upfront",0,INDEX(SETUP!$C$19:$G$62,MATCH((INDEX(PMtbl[[WKst]:[Unit of measure*]],MATCH($A223&amp;$D223&amp;$G223,INDEX(PMtbl[Category]&amp;PMtbl[INN]&amp;PMtbl[Specification],0,),0),3)),SETUP!$D$19:$D$62,0),5)),"")</f>
        <v/>
      </c>
    </row>
    <row r="224" spans="1:6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c r="AJ224"/>
      <c r="AK224"/>
      <c r="AL224"/>
      <c r="AM224"/>
      <c r="AW224" s="198"/>
      <c r="AX224" s="198"/>
      <c r="AY224" s="198"/>
      <c r="AZ224" s="198"/>
      <c r="BA224" s="198"/>
      <c r="BB224" s="198"/>
      <c r="BC224" s="198"/>
      <c r="BD224" s="198"/>
      <c r="BE224" s="198"/>
      <c r="BF224" s="198"/>
      <c r="BG224" s="198"/>
      <c r="BH224" s="198"/>
      <c r="BI224" s="198"/>
    </row>
    <row r="229" spans="38:39">
      <c r="AL229" s="324"/>
      <c r="AM229" s="1492"/>
    </row>
    <row r="230" spans="38:39">
      <c r="AL230" s="324"/>
      <c r="AM230" s="1492"/>
    </row>
    <row r="231" spans="38:39">
      <c r="AL231" s="324"/>
      <c r="AM231" s="1492"/>
    </row>
    <row r="232" spans="38:39">
      <c r="AL232" s="324"/>
      <c r="AM232" s="1492"/>
    </row>
    <row r="233" spans="38:39">
      <c r="AL233" s="324"/>
      <c r="AM233" s="1492"/>
    </row>
    <row r="234" spans="38:39">
      <c r="AL234" s="324"/>
      <c r="AM234" s="1492"/>
    </row>
    <row r="235" spans="38:39">
      <c r="AL235" s="324"/>
      <c r="AM235" s="1492"/>
    </row>
    <row r="236" spans="38:39">
      <c r="AL236" s="324"/>
      <c r="AM236" s="1492"/>
    </row>
    <row r="237" spans="38:39">
      <c r="AL237" s="324"/>
      <c r="AM237" s="1492"/>
    </row>
    <row r="238" spans="38:39">
      <c r="AL238" s="324"/>
      <c r="AM238" s="1492"/>
    </row>
    <row r="239" spans="38:39">
      <c r="AL239" s="324"/>
      <c r="AM239" s="1492"/>
    </row>
    <row r="240" spans="38:39">
      <c r="AL240" s="324"/>
      <c r="AM240" s="1492"/>
    </row>
    <row r="241" spans="38:39">
      <c r="AL241" s="324"/>
      <c r="AM241" s="1492"/>
    </row>
    <row r="242" spans="38:39">
      <c r="AL242" s="324"/>
      <c r="AM242" s="1492"/>
    </row>
    <row r="243" spans="38:39">
      <c r="AL243" s="324"/>
      <c r="AM243" s="1492"/>
    </row>
    <row r="244" spans="38:39">
      <c r="AL244" s="324"/>
      <c r="AM244" s="1492"/>
    </row>
    <row r="245" spans="38:39">
      <c r="AL245" s="324"/>
      <c r="AM245" s="1492"/>
    </row>
    <row r="246" spans="38:39">
      <c r="AL246" s="324"/>
      <c r="AM246" s="1492"/>
    </row>
    <row r="247" spans="38:39">
      <c r="AL247" s="324"/>
      <c r="AM247" s="1492"/>
    </row>
    <row r="248" spans="38:39">
      <c r="AL248" s="324"/>
      <c r="AM248" s="1492"/>
    </row>
    <row r="249" spans="38:39">
      <c r="AL249" s="324"/>
      <c r="AM249" s="1492"/>
    </row>
    <row r="250" spans="38:39">
      <c r="AL250" s="324"/>
      <c r="AM250" s="1492"/>
    </row>
    <row r="251" spans="38:39">
      <c r="AL251" s="324"/>
      <c r="AM251" s="1492"/>
    </row>
    <row r="252" spans="38:39">
      <c r="AL252" s="324"/>
      <c r="AM252" s="1492"/>
    </row>
    <row r="253" spans="38:39">
      <c r="AL253" s="324"/>
      <c r="AM253" s="1492"/>
    </row>
    <row r="254" spans="38:39">
      <c r="AL254" s="324"/>
      <c r="AM254" s="1492"/>
    </row>
    <row r="255" spans="38:39">
      <c r="AL255" s="324"/>
      <c r="AM255" s="1492"/>
    </row>
    <row r="256" spans="38:39">
      <c r="AL256" s="324"/>
      <c r="AM256" s="1492"/>
    </row>
    <row r="257" spans="38:39">
      <c r="AL257" s="324"/>
      <c r="AM257" s="1492"/>
    </row>
    <row r="258" spans="38:39">
      <c r="AL258" s="324"/>
      <c r="AM258" s="1492"/>
    </row>
    <row r="259" spans="38:39">
      <c r="AL259" s="324"/>
      <c r="AM259" s="1492"/>
    </row>
    <row r="260" spans="38:39">
      <c r="AL260" s="324"/>
      <c r="AM260" s="1492"/>
    </row>
    <row r="261" spans="38:39">
      <c r="AL261" s="324"/>
      <c r="AM261" s="1492"/>
    </row>
    <row r="262" spans="38:39">
      <c r="AL262" s="324"/>
      <c r="AM262" s="1492"/>
    </row>
    <row r="263" spans="38:39">
      <c r="AL263" s="324"/>
      <c r="AM263" s="1492"/>
    </row>
    <row r="264" spans="38:39">
      <c r="AL264" s="324"/>
      <c r="AM264" s="1492"/>
    </row>
    <row r="265" spans="38:39">
      <c r="AL265" s="324"/>
      <c r="AM265" s="1492"/>
    </row>
    <row r="266" spans="38:39">
      <c r="AL266" s="324"/>
      <c r="AM266" s="1492"/>
    </row>
    <row r="267" spans="38:39">
      <c r="AL267" s="324"/>
      <c r="AM267" s="1492"/>
    </row>
    <row r="268" spans="38:39">
      <c r="AL268" s="324"/>
      <c r="AM268" s="1492"/>
    </row>
    <row r="269" spans="38:39">
      <c r="AL269" s="324"/>
      <c r="AM269" s="1492"/>
    </row>
    <row r="270" spans="38:39">
      <c r="AL270" s="324"/>
      <c r="AM270" s="1492"/>
    </row>
    <row r="271" spans="38:39">
      <c r="AL271" s="324"/>
      <c r="AM271" s="1492"/>
    </row>
    <row r="272" spans="38:39">
      <c r="AL272" s="324"/>
      <c r="AM272" s="1492"/>
    </row>
    <row r="273" spans="38:39">
      <c r="AL273" s="324"/>
      <c r="AM273" s="1492"/>
    </row>
    <row r="274" spans="38:39">
      <c r="AL274" s="324"/>
      <c r="AM274" s="1492"/>
    </row>
    <row r="275" spans="38:39">
      <c r="AL275" s="324"/>
      <c r="AM275" s="1492"/>
    </row>
    <row r="276" spans="38:39">
      <c r="AL276" s="324"/>
      <c r="AM276" s="1492"/>
    </row>
    <row r="277" spans="38:39">
      <c r="AL277" s="324"/>
      <c r="AM277" s="1492"/>
    </row>
    <row r="278" spans="38:39">
      <c r="AL278" s="324"/>
      <c r="AM278" s="1492"/>
    </row>
    <row r="279" spans="38:39">
      <c r="AL279" s="324"/>
      <c r="AM279" s="1492"/>
    </row>
    <row r="280" spans="38:39">
      <c r="AL280" s="324"/>
      <c r="AM280" s="1492"/>
    </row>
    <row r="281" spans="38:39">
      <c r="AL281" s="324"/>
      <c r="AM281" s="1492"/>
    </row>
    <row r="282" spans="38:39">
      <c r="AL282" s="324"/>
      <c r="AM282" s="1492"/>
    </row>
    <row r="283" spans="38:39">
      <c r="AL283" s="324"/>
      <c r="AM283" s="1492"/>
    </row>
    <row r="284" spans="38:39">
      <c r="AL284" s="324"/>
      <c r="AM284" s="1492"/>
    </row>
    <row r="285" spans="38:39">
      <c r="AL285" s="324"/>
      <c r="AM285" s="1492"/>
    </row>
    <row r="286" spans="38:39">
      <c r="AL286" s="324"/>
      <c r="AM286" s="1492"/>
    </row>
    <row r="287" spans="38:39">
      <c r="AL287" s="324"/>
      <c r="AM287" s="1492"/>
    </row>
    <row r="288" spans="38:39">
      <c r="AL288" s="324"/>
      <c r="AM288" s="1492"/>
    </row>
    <row r="289" spans="38:39">
      <c r="AL289" s="324"/>
      <c r="AM289" s="1492"/>
    </row>
    <row r="290" spans="38:39">
      <c r="AL290" s="324"/>
      <c r="AM290" s="1492"/>
    </row>
    <row r="291" spans="38:39">
      <c r="AL291" s="324"/>
      <c r="AM291" s="1492"/>
    </row>
    <row r="292" spans="38:39">
      <c r="AL292" s="324"/>
      <c r="AM292" s="1492"/>
    </row>
    <row r="293" spans="38:39">
      <c r="AL293" s="324"/>
      <c r="AM293" s="1492"/>
    </row>
    <row r="294" spans="38:39">
      <c r="AL294" s="324"/>
      <c r="AM294" s="1492"/>
    </row>
    <row r="295" spans="38:39">
      <c r="AL295" s="324"/>
      <c r="AM295" s="1492"/>
    </row>
    <row r="296" spans="38:39">
      <c r="AL296" s="324"/>
      <c r="AM296" s="1492"/>
    </row>
    <row r="297" spans="38:39">
      <c r="AL297" s="324"/>
      <c r="AM297" s="1492"/>
    </row>
    <row r="298" spans="38:39">
      <c r="AL298" s="382"/>
      <c r="AM298" s="1492"/>
    </row>
  </sheetData>
  <sheetProtection algorithmName="SHA-512" hashValue="6vQXjX6QUuKH1Q1R43NbkvaOErifXYdN8yxGJaQCFgNaZ5FAiT1EaK1fwLNW91xXUYodMIU3ChPoc/hpvkaE7Q==" saltValue="eQlj9kG0XqGxkZbZ2JPUDA==" spinCount="100000" sheet="1" autoFilter="0"/>
  <mergeCells count="788">
    <mergeCell ref="AK127:AL127"/>
    <mergeCell ref="AM12:AM13"/>
    <mergeCell ref="AM47:AM48"/>
    <mergeCell ref="AM81:AM82"/>
    <mergeCell ref="AM121:AM122"/>
    <mergeCell ref="AK86:AL86"/>
    <mergeCell ref="AK87:AL87"/>
    <mergeCell ref="AK88:AL88"/>
    <mergeCell ref="AK89:AL89"/>
    <mergeCell ref="AK90:AL90"/>
    <mergeCell ref="AK93:AL93"/>
    <mergeCell ref="AK94:AL94"/>
    <mergeCell ref="AK95:AL95"/>
    <mergeCell ref="AL12:AL13"/>
    <mergeCell ref="AL47:AL48"/>
    <mergeCell ref="AK121:AL122"/>
    <mergeCell ref="AK91:AL91"/>
    <mergeCell ref="AK92:AL92"/>
    <mergeCell ref="AK124:AL124"/>
    <mergeCell ref="AK125:AL125"/>
    <mergeCell ref="AK123:AL123"/>
    <mergeCell ref="AK98:AL98"/>
    <mergeCell ref="AK99:AL99"/>
    <mergeCell ref="AK100:AL100"/>
    <mergeCell ref="AK186:AL186"/>
    <mergeCell ref="AK97:AL97"/>
    <mergeCell ref="AK170:AL170"/>
    <mergeCell ref="AK171:AL171"/>
    <mergeCell ref="AK154:AL154"/>
    <mergeCell ref="AK155:AL155"/>
    <mergeCell ref="AK156:AL156"/>
    <mergeCell ref="AK157:AL157"/>
    <mergeCell ref="AK158:AL158"/>
    <mergeCell ref="AK159:AL159"/>
    <mergeCell ref="AK160:AL160"/>
    <mergeCell ref="AK161:AL161"/>
    <mergeCell ref="AK162:AL162"/>
    <mergeCell ref="AK145:AL145"/>
    <mergeCell ref="AK146:AL146"/>
    <mergeCell ref="AK147:AL147"/>
    <mergeCell ref="AK148:AL148"/>
    <mergeCell ref="AK149:AL149"/>
    <mergeCell ref="AK150:AL150"/>
    <mergeCell ref="AK151:AL151"/>
    <mergeCell ref="AK152:AL152"/>
    <mergeCell ref="AK153:AL153"/>
    <mergeCell ref="AK136:AL136"/>
    <mergeCell ref="AK137:AL137"/>
    <mergeCell ref="AK187:AL187"/>
    <mergeCell ref="AK188:AL188"/>
    <mergeCell ref="AK189:AL189"/>
    <mergeCell ref="AK218:AL218"/>
    <mergeCell ref="AK219:AL219"/>
    <mergeCell ref="AK220:AL220"/>
    <mergeCell ref="AK221:AL221"/>
    <mergeCell ref="A10:M10"/>
    <mergeCell ref="A45:M45"/>
    <mergeCell ref="A79:M79"/>
    <mergeCell ref="A119:M119"/>
    <mergeCell ref="AK196:AL196"/>
    <mergeCell ref="AK197:AL197"/>
    <mergeCell ref="AK198:AL198"/>
    <mergeCell ref="AK181:AL181"/>
    <mergeCell ref="AK182:AL182"/>
    <mergeCell ref="AK183:AL183"/>
    <mergeCell ref="AK184:AL184"/>
    <mergeCell ref="AK185:AL185"/>
    <mergeCell ref="AK81:AL82"/>
    <mergeCell ref="AK83:AL83"/>
    <mergeCell ref="AK84:AL84"/>
    <mergeCell ref="AK85:AL85"/>
    <mergeCell ref="AK96:AL96"/>
    <mergeCell ref="AK222:AL222"/>
    <mergeCell ref="AK223:AL223"/>
    <mergeCell ref="AK210:AL210"/>
    <mergeCell ref="AK211:AL211"/>
    <mergeCell ref="AK212:AL212"/>
    <mergeCell ref="AK213:AL213"/>
    <mergeCell ref="AK214:AL214"/>
    <mergeCell ref="AK215:AL215"/>
    <mergeCell ref="AK216:AL216"/>
    <mergeCell ref="AK217:AL217"/>
    <mergeCell ref="AK208:AL208"/>
    <mergeCell ref="AK209:AL209"/>
    <mergeCell ref="AK199:AL199"/>
    <mergeCell ref="AK200:AL200"/>
    <mergeCell ref="AK201:AL201"/>
    <mergeCell ref="AK202:AL202"/>
    <mergeCell ref="AK203:AL203"/>
    <mergeCell ref="AK204:AL204"/>
    <mergeCell ref="AK205:AL205"/>
    <mergeCell ref="AK206:AL206"/>
    <mergeCell ref="AK207:AL207"/>
    <mergeCell ref="AK190:AL190"/>
    <mergeCell ref="AK191:AL191"/>
    <mergeCell ref="AK192:AL192"/>
    <mergeCell ref="AK193:AL193"/>
    <mergeCell ref="AK194:AL194"/>
    <mergeCell ref="AK195:AL195"/>
    <mergeCell ref="AK113:AL113"/>
    <mergeCell ref="AK114:AL114"/>
    <mergeCell ref="AK172:AL172"/>
    <mergeCell ref="AK173:AL173"/>
    <mergeCell ref="AK174:AL174"/>
    <mergeCell ref="AK175:AL175"/>
    <mergeCell ref="AK176:AL176"/>
    <mergeCell ref="AK177:AL177"/>
    <mergeCell ref="AK178:AL178"/>
    <mergeCell ref="AK179:AL179"/>
    <mergeCell ref="AK180:AL180"/>
    <mergeCell ref="AK163:AL163"/>
    <mergeCell ref="AK164:AL164"/>
    <mergeCell ref="AK165:AL165"/>
    <mergeCell ref="AK166:AL166"/>
    <mergeCell ref="AK167:AL167"/>
    <mergeCell ref="AK168:AL168"/>
    <mergeCell ref="AK169:AL169"/>
    <mergeCell ref="AK138:AL138"/>
    <mergeCell ref="AK139:AL139"/>
    <mergeCell ref="AK140:AL140"/>
    <mergeCell ref="AK141:AL141"/>
    <mergeCell ref="AK142:AL142"/>
    <mergeCell ref="AK143:AL143"/>
    <mergeCell ref="AK144:AL144"/>
    <mergeCell ref="AK129:AL129"/>
    <mergeCell ref="AK131:AL131"/>
    <mergeCell ref="AK132:AL132"/>
    <mergeCell ref="AK133:AL133"/>
    <mergeCell ref="AK135:AL135"/>
    <mergeCell ref="AK101:AL101"/>
    <mergeCell ref="AK102:AL102"/>
    <mergeCell ref="AK103:AL103"/>
    <mergeCell ref="AK104:AL104"/>
    <mergeCell ref="AK105:AL105"/>
    <mergeCell ref="AK106:AL106"/>
    <mergeCell ref="AK107:AL107"/>
    <mergeCell ref="AK108:AL108"/>
    <mergeCell ref="AK109:AL109"/>
    <mergeCell ref="AK110:AL110"/>
    <mergeCell ref="AK111:AL111"/>
    <mergeCell ref="AK112:AL112"/>
    <mergeCell ref="A219:C219"/>
    <mergeCell ref="A220:C220"/>
    <mergeCell ref="A221:C221"/>
    <mergeCell ref="A222:C222"/>
    <mergeCell ref="A223:C223"/>
    <mergeCell ref="A210:C210"/>
    <mergeCell ref="A211:C211"/>
    <mergeCell ref="A212:C212"/>
    <mergeCell ref="A213:C213"/>
    <mergeCell ref="A214:C214"/>
    <mergeCell ref="A215:C215"/>
    <mergeCell ref="A216:C216"/>
    <mergeCell ref="A217:C217"/>
    <mergeCell ref="A218:C218"/>
    <mergeCell ref="A201:C201"/>
    <mergeCell ref="A202:C202"/>
    <mergeCell ref="A203:C203"/>
    <mergeCell ref="A204:C204"/>
    <mergeCell ref="A205:C205"/>
    <mergeCell ref="A206:C206"/>
    <mergeCell ref="A207:C207"/>
    <mergeCell ref="A208:C208"/>
    <mergeCell ref="A209:C209"/>
    <mergeCell ref="A192:C192"/>
    <mergeCell ref="A193:C193"/>
    <mergeCell ref="A194:C194"/>
    <mergeCell ref="A195:C195"/>
    <mergeCell ref="A196:C196"/>
    <mergeCell ref="A197:C197"/>
    <mergeCell ref="A198:C198"/>
    <mergeCell ref="A199:C199"/>
    <mergeCell ref="A200:C200"/>
    <mergeCell ref="A183:C183"/>
    <mergeCell ref="A184:C184"/>
    <mergeCell ref="A185:C185"/>
    <mergeCell ref="A186:C186"/>
    <mergeCell ref="A187:C187"/>
    <mergeCell ref="A188:C188"/>
    <mergeCell ref="A189:C189"/>
    <mergeCell ref="A190:C190"/>
    <mergeCell ref="A191:C191"/>
    <mergeCell ref="A174:C174"/>
    <mergeCell ref="A175:C175"/>
    <mergeCell ref="A176:C176"/>
    <mergeCell ref="A177:C177"/>
    <mergeCell ref="A178:C178"/>
    <mergeCell ref="A179:C179"/>
    <mergeCell ref="A180:C180"/>
    <mergeCell ref="A181:C181"/>
    <mergeCell ref="A182:C182"/>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7:C147"/>
    <mergeCell ref="A148:C148"/>
    <mergeCell ref="A149:C149"/>
    <mergeCell ref="A150:C150"/>
    <mergeCell ref="A151:C151"/>
    <mergeCell ref="A152:C152"/>
    <mergeCell ref="A153:C153"/>
    <mergeCell ref="A154:C154"/>
    <mergeCell ref="A155:C155"/>
    <mergeCell ref="A138:C138"/>
    <mergeCell ref="A139:C139"/>
    <mergeCell ref="A140:C140"/>
    <mergeCell ref="A141:C141"/>
    <mergeCell ref="A142:C142"/>
    <mergeCell ref="A143:C143"/>
    <mergeCell ref="A144:C144"/>
    <mergeCell ref="A145:C145"/>
    <mergeCell ref="A146:C146"/>
    <mergeCell ref="A129:C129"/>
    <mergeCell ref="A130:C130"/>
    <mergeCell ref="A131:C131"/>
    <mergeCell ref="A132:C132"/>
    <mergeCell ref="A133:C133"/>
    <mergeCell ref="A134:C134"/>
    <mergeCell ref="A135:C135"/>
    <mergeCell ref="A136:C136"/>
    <mergeCell ref="A137:C137"/>
    <mergeCell ref="A128:C128"/>
    <mergeCell ref="A107:C107"/>
    <mergeCell ref="A108:C108"/>
    <mergeCell ref="A109:C109"/>
    <mergeCell ref="A110:C110"/>
    <mergeCell ref="A111:C111"/>
    <mergeCell ref="A112:C112"/>
    <mergeCell ref="A113:C113"/>
    <mergeCell ref="A114:C114"/>
    <mergeCell ref="A121:C122"/>
    <mergeCell ref="A103:C103"/>
    <mergeCell ref="A104:C104"/>
    <mergeCell ref="A105:C105"/>
    <mergeCell ref="A106:C106"/>
    <mergeCell ref="A123:C123"/>
    <mergeCell ref="A124:C124"/>
    <mergeCell ref="A125:C125"/>
    <mergeCell ref="A126:C126"/>
    <mergeCell ref="A127:C127"/>
    <mergeCell ref="A77:A78"/>
    <mergeCell ref="D81:F82"/>
    <mergeCell ref="D83:F83"/>
    <mergeCell ref="A86:C86"/>
    <mergeCell ref="A74:D74"/>
    <mergeCell ref="B77:D78"/>
    <mergeCell ref="D89:F89"/>
    <mergeCell ref="D90:F90"/>
    <mergeCell ref="A70:D70"/>
    <mergeCell ref="A71:D71"/>
    <mergeCell ref="A72:D72"/>
    <mergeCell ref="A87:C87"/>
    <mergeCell ref="A88:C88"/>
    <mergeCell ref="A89:C89"/>
    <mergeCell ref="A90:C90"/>
    <mergeCell ref="A73:D73"/>
    <mergeCell ref="E77:G77"/>
    <mergeCell ref="E78:G78"/>
    <mergeCell ref="A91:C91"/>
    <mergeCell ref="A92:C92"/>
    <mergeCell ref="A93:C93"/>
    <mergeCell ref="A94:C94"/>
    <mergeCell ref="A81:C82"/>
    <mergeCell ref="A83:C83"/>
    <mergeCell ref="A84:C84"/>
    <mergeCell ref="A85:C85"/>
    <mergeCell ref="D102:F102"/>
    <mergeCell ref="D98:F98"/>
    <mergeCell ref="D99:F99"/>
    <mergeCell ref="D100:F100"/>
    <mergeCell ref="D101:F101"/>
    <mergeCell ref="A95:C95"/>
    <mergeCell ref="A96:C96"/>
    <mergeCell ref="A97:C97"/>
    <mergeCell ref="A98:C98"/>
    <mergeCell ref="A99:C99"/>
    <mergeCell ref="A100:C100"/>
    <mergeCell ref="A101:C101"/>
    <mergeCell ref="A102:C102"/>
    <mergeCell ref="D103:F103"/>
    <mergeCell ref="D104:F104"/>
    <mergeCell ref="D105:F105"/>
    <mergeCell ref="D106:F106"/>
    <mergeCell ref="D111:F111"/>
    <mergeCell ref="D110:F110"/>
    <mergeCell ref="G109:J109"/>
    <mergeCell ref="G102:J102"/>
    <mergeCell ref="G103:J103"/>
    <mergeCell ref="G104:J104"/>
    <mergeCell ref="G105:J105"/>
    <mergeCell ref="G106:J106"/>
    <mergeCell ref="G107:J107"/>
    <mergeCell ref="L81:L82"/>
    <mergeCell ref="G87:J87"/>
    <mergeCell ref="G85:J85"/>
    <mergeCell ref="G84:J84"/>
    <mergeCell ref="AH121:AI121"/>
    <mergeCell ref="I117:I118"/>
    <mergeCell ref="J117:J118"/>
    <mergeCell ref="G108:J108"/>
    <mergeCell ref="H117:H118"/>
    <mergeCell ref="K121:K122"/>
    <mergeCell ref="L121:L122"/>
    <mergeCell ref="M121:S121"/>
    <mergeCell ref="T121:Z121"/>
    <mergeCell ref="AA121:AG121"/>
    <mergeCell ref="G110:J110"/>
    <mergeCell ref="G111:J111"/>
    <mergeCell ref="I36:K36"/>
    <mergeCell ref="I40:K40"/>
    <mergeCell ref="A69:D69"/>
    <mergeCell ref="G99:J99"/>
    <mergeCell ref="A67:D67"/>
    <mergeCell ref="AI47:AJ47"/>
    <mergeCell ref="E63:H63"/>
    <mergeCell ref="I63:K63"/>
    <mergeCell ref="E70:H70"/>
    <mergeCell ref="I70:K70"/>
    <mergeCell ref="E71:H71"/>
    <mergeCell ref="I71:K71"/>
    <mergeCell ref="M47:M48"/>
    <mergeCell ref="E61:H61"/>
    <mergeCell ref="I61:K61"/>
    <mergeCell ref="E62:H62"/>
    <mergeCell ref="I62:K62"/>
    <mergeCell ref="E58:H58"/>
    <mergeCell ref="I58:K58"/>
    <mergeCell ref="E59:H59"/>
    <mergeCell ref="I59:K59"/>
    <mergeCell ref="E60:H60"/>
    <mergeCell ref="E66:H66"/>
    <mergeCell ref="I66:K66"/>
    <mergeCell ref="I50:K50"/>
    <mergeCell ref="E52:H52"/>
    <mergeCell ref="I52:K52"/>
    <mergeCell ref="I60:K60"/>
    <mergeCell ref="I53:K53"/>
    <mergeCell ref="E54:H54"/>
    <mergeCell ref="I54:K54"/>
    <mergeCell ref="E55:H55"/>
    <mergeCell ref="I55:K55"/>
    <mergeCell ref="E56:H56"/>
    <mergeCell ref="I56:K56"/>
    <mergeCell ref="E57:H57"/>
    <mergeCell ref="I57:K57"/>
    <mergeCell ref="E51:H51"/>
    <mergeCell ref="E53:H53"/>
    <mergeCell ref="I51:K51"/>
    <mergeCell ref="E50:H50"/>
    <mergeCell ref="O1:O2"/>
    <mergeCell ref="G5:G6"/>
    <mergeCell ref="I16:K16"/>
    <mergeCell ref="I15:K15"/>
    <mergeCell ref="I14:K14"/>
    <mergeCell ref="I18:K18"/>
    <mergeCell ref="J8:K9"/>
    <mergeCell ref="N12:T12"/>
    <mergeCell ref="M1:M2"/>
    <mergeCell ref="A1:K1"/>
    <mergeCell ref="B8:D9"/>
    <mergeCell ref="E8:G8"/>
    <mergeCell ref="E9:G9"/>
    <mergeCell ref="A8:A9"/>
    <mergeCell ref="B3:B4"/>
    <mergeCell ref="C3:E4"/>
    <mergeCell ref="G3:G4"/>
    <mergeCell ref="A12:D13"/>
    <mergeCell ref="A14:D14"/>
    <mergeCell ref="H3:J4"/>
    <mergeCell ref="H5:J6"/>
    <mergeCell ref="I8:I9"/>
    <mergeCell ref="A15:D15"/>
    <mergeCell ref="A16:D16"/>
    <mergeCell ref="A17:D17"/>
    <mergeCell ref="B5:B6"/>
    <mergeCell ref="C5:E6"/>
    <mergeCell ref="H8:H9"/>
    <mergeCell ref="E32:H32"/>
    <mergeCell ref="E34:H34"/>
    <mergeCell ref="I30:K30"/>
    <mergeCell ref="I32:K32"/>
    <mergeCell ref="I21:K21"/>
    <mergeCell ref="I22:K22"/>
    <mergeCell ref="I23:K23"/>
    <mergeCell ref="I24:K24"/>
    <mergeCell ref="I25:K25"/>
    <mergeCell ref="I26:K26"/>
    <mergeCell ref="I27:K27"/>
    <mergeCell ref="E20:H20"/>
    <mergeCell ref="E19:H19"/>
    <mergeCell ref="I31:K31"/>
    <mergeCell ref="I33:K33"/>
    <mergeCell ref="E14:H14"/>
    <mergeCell ref="E15:H15"/>
    <mergeCell ref="E21:H21"/>
    <mergeCell ref="A18:D18"/>
    <mergeCell ref="A19:D19"/>
    <mergeCell ref="B43:D44"/>
    <mergeCell ref="I39:K39"/>
    <mergeCell ref="A29:D29"/>
    <mergeCell ref="A30:D30"/>
    <mergeCell ref="E35:H35"/>
    <mergeCell ref="E37:H37"/>
    <mergeCell ref="E36:H36"/>
    <mergeCell ref="A34:D34"/>
    <mergeCell ref="A35:D35"/>
    <mergeCell ref="A36:D36"/>
    <mergeCell ref="A37:D37"/>
    <mergeCell ref="E39:H39"/>
    <mergeCell ref="I35:K35"/>
    <mergeCell ref="I37:K37"/>
    <mergeCell ref="E29:H29"/>
    <mergeCell ref="E30:H30"/>
    <mergeCell ref="A43:A44"/>
    <mergeCell ref="I38:K38"/>
    <mergeCell ref="I29:K29"/>
    <mergeCell ref="I43:I44"/>
    <mergeCell ref="J43:K44"/>
    <mergeCell ref="H43:H44"/>
    <mergeCell ref="A31:D31"/>
    <mergeCell ref="A32:D32"/>
    <mergeCell ref="G128:J128"/>
    <mergeCell ref="G113:J113"/>
    <mergeCell ref="G114:J114"/>
    <mergeCell ref="D84:F84"/>
    <mergeCell ref="D85:F85"/>
    <mergeCell ref="D86:F86"/>
    <mergeCell ref="D87:F87"/>
    <mergeCell ref="D88:F88"/>
    <mergeCell ref="D107:F107"/>
    <mergeCell ref="D108:F108"/>
    <mergeCell ref="D109:F109"/>
    <mergeCell ref="D112:F112"/>
    <mergeCell ref="D113:F113"/>
    <mergeCell ref="D114:F114"/>
    <mergeCell ref="G112:J112"/>
    <mergeCell ref="G98:J98"/>
    <mergeCell ref="D97:F97"/>
    <mergeCell ref="G97:J97"/>
    <mergeCell ref="D91:F91"/>
    <mergeCell ref="D92:F92"/>
    <mergeCell ref="D93:F93"/>
    <mergeCell ref="D94:F94"/>
    <mergeCell ref="D95:F95"/>
    <mergeCell ref="D96:F96"/>
    <mergeCell ref="G133:J133"/>
    <mergeCell ref="G134:J134"/>
    <mergeCell ref="G135:J135"/>
    <mergeCell ref="G136:J136"/>
    <mergeCell ref="A117:A118"/>
    <mergeCell ref="B117:D118"/>
    <mergeCell ref="D121:F122"/>
    <mergeCell ref="D123:F123"/>
    <mergeCell ref="G121:J122"/>
    <mergeCell ref="G123:J123"/>
    <mergeCell ref="D124:F124"/>
    <mergeCell ref="G124:J124"/>
    <mergeCell ref="D125:F125"/>
    <mergeCell ref="D126:F126"/>
    <mergeCell ref="D127:F127"/>
    <mergeCell ref="G126:J126"/>
    <mergeCell ref="G127:J127"/>
    <mergeCell ref="G125:J125"/>
    <mergeCell ref="D128:F128"/>
    <mergeCell ref="D129:F129"/>
    <mergeCell ref="E117:G117"/>
    <mergeCell ref="G129:J129"/>
    <mergeCell ref="D130:F130"/>
    <mergeCell ref="G130:J130"/>
    <mergeCell ref="D141:F141"/>
    <mergeCell ref="G141:J141"/>
    <mergeCell ref="D142:F142"/>
    <mergeCell ref="G142:J142"/>
    <mergeCell ref="D143:F143"/>
    <mergeCell ref="G143:J143"/>
    <mergeCell ref="D144:F144"/>
    <mergeCell ref="G144:J144"/>
    <mergeCell ref="D131:F131"/>
    <mergeCell ref="D137:F137"/>
    <mergeCell ref="G137:J137"/>
    <mergeCell ref="D138:F138"/>
    <mergeCell ref="G138:J138"/>
    <mergeCell ref="D139:F139"/>
    <mergeCell ref="G139:J139"/>
    <mergeCell ref="D140:F140"/>
    <mergeCell ref="G140:J140"/>
    <mergeCell ref="D132:F132"/>
    <mergeCell ref="D133:F133"/>
    <mergeCell ref="D134:F134"/>
    <mergeCell ref="D135:F135"/>
    <mergeCell ref="D136:F136"/>
    <mergeCell ref="G131:J131"/>
    <mergeCell ref="G132:J132"/>
    <mergeCell ref="D145:F145"/>
    <mergeCell ref="G145:J145"/>
    <mergeCell ref="D146:F146"/>
    <mergeCell ref="G146:J146"/>
    <mergeCell ref="D147:F147"/>
    <mergeCell ref="G147:J147"/>
    <mergeCell ref="D148:F148"/>
    <mergeCell ref="G148:J148"/>
    <mergeCell ref="D149:F149"/>
    <mergeCell ref="G149:J149"/>
    <mergeCell ref="D150:F150"/>
    <mergeCell ref="G150:J150"/>
    <mergeCell ref="D151:F151"/>
    <mergeCell ref="G151:J151"/>
    <mergeCell ref="D152:F152"/>
    <mergeCell ref="G152:J152"/>
    <mergeCell ref="D153:F153"/>
    <mergeCell ref="G153:J153"/>
    <mergeCell ref="D154:F154"/>
    <mergeCell ref="G154:J154"/>
    <mergeCell ref="D155:F155"/>
    <mergeCell ref="G155:J155"/>
    <mergeCell ref="D156:F156"/>
    <mergeCell ref="G156:J156"/>
    <mergeCell ref="D165:F165"/>
    <mergeCell ref="G165:J165"/>
    <mergeCell ref="D166:F166"/>
    <mergeCell ref="G166:J166"/>
    <mergeCell ref="D167:F167"/>
    <mergeCell ref="G167:J167"/>
    <mergeCell ref="D157:F157"/>
    <mergeCell ref="G157:J157"/>
    <mergeCell ref="D158:F158"/>
    <mergeCell ref="G158:J158"/>
    <mergeCell ref="D159:F159"/>
    <mergeCell ref="G159:J159"/>
    <mergeCell ref="D160:F160"/>
    <mergeCell ref="G160:J160"/>
    <mergeCell ref="D162:F162"/>
    <mergeCell ref="G162:J162"/>
    <mergeCell ref="D173:F173"/>
    <mergeCell ref="G173:J173"/>
    <mergeCell ref="D161:F161"/>
    <mergeCell ref="G161:J161"/>
    <mergeCell ref="D174:F174"/>
    <mergeCell ref="G174:J174"/>
    <mergeCell ref="D175:F175"/>
    <mergeCell ref="G175:J175"/>
    <mergeCell ref="D176:F176"/>
    <mergeCell ref="G176:J176"/>
    <mergeCell ref="D168:F168"/>
    <mergeCell ref="G168:J168"/>
    <mergeCell ref="D169:F169"/>
    <mergeCell ref="G169:J169"/>
    <mergeCell ref="D170:F170"/>
    <mergeCell ref="G170:J170"/>
    <mergeCell ref="D171:F171"/>
    <mergeCell ref="G171:J171"/>
    <mergeCell ref="D172:F172"/>
    <mergeCell ref="G172:J172"/>
    <mergeCell ref="D163:F163"/>
    <mergeCell ref="G163:J163"/>
    <mergeCell ref="D164:F164"/>
    <mergeCell ref="G164:J164"/>
    <mergeCell ref="D177:F177"/>
    <mergeCell ref="G177:J177"/>
    <mergeCell ref="D178:F178"/>
    <mergeCell ref="G178:J178"/>
    <mergeCell ref="D179:F179"/>
    <mergeCell ref="G179:J179"/>
    <mergeCell ref="D180:F180"/>
    <mergeCell ref="G180:J180"/>
    <mergeCell ref="D181:F181"/>
    <mergeCell ref="G181:J181"/>
    <mergeCell ref="D182:F182"/>
    <mergeCell ref="G182:J182"/>
    <mergeCell ref="D183:F183"/>
    <mergeCell ref="G183:J183"/>
    <mergeCell ref="D184:F184"/>
    <mergeCell ref="G184:J184"/>
    <mergeCell ref="D185:F185"/>
    <mergeCell ref="G185:J185"/>
    <mergeCell ref="D186:F186"/>
    <mergeCell ref="G186:J186"/>
    <mergeCell ref="D195:F195"/>
    <mergeCell ref="G195:J195"/>
    <mergeCell ref="D196:F196"/>
    <mergeCell ref="G196:J196"/>
    <mergeCell ref="D187:F187"/>
    <mergeCell ref="G187:J187"/>
    <mergeCell ref="D188:F188"/>
    <mergeCell ref="G188:J188"/>
    <mergeCell ref="D189:F189"/>
    <mergeCell ref="G189:J189"/>
    <mergeCell ref="D190:F190"/>
    <mergeCell ref="G190:J190"/>
    <mergeCell ref="D191:F191"/>
    <mergeCell ref="G191:J191"/>
    <mergeCell ref="D200:F200"/>
    <mergeCell ref="G200:J200"/>
    <mergeCell ref="D201:F201"/>
    <mergeCell ref="G201:J201"/>
    <mergeCell ref="D192:F192"/>
    <mergeCell ref="D223:F223"/>
    <mergeCell ref="G223:J223"/>
    <mergeCell ref="D217:F217"/>
    <mergeCell ref="G217:J217"/>
    <mergeCell ref="D218:F218"/>
    <mergeCell ref="G218:J218"/>
    <mergeCell ref="D219:F219"/>
    <mergeCell ref="G219:J219"/>
    <mergeCell ref="D220:F220"/>
    <mergeCell ref="G220:J220"/>
    <mergeCell ref="D221:F221"/>
    <mergeCell ref="G221:J221"/>
    <mergeCell ref="D222:F222"/>
    <mergeCell ref="G222:J222"/>
    <mergeCell ref="G192:J192"/>
    <mergeCell ref="D193:F193"/>
    <mergeCell ref="G193:J193"/>
    <mergeCell ref="D194:F194"/>
    <mergeCell ref="G194:J194"/>
    <mergeCell ref="D213:F213"/>
    <mergeCell ref="G213:J213"/>
    <mergeCell ref="D214:F214"/>
    <mergeCell ref="G214:J214"/>
    <mergeCell ref="D215:F215"/>
    <mergeCell ref="G215:J215"/>
    <mergeCell ref="D216:F216"/>
    <mergeCell ref="G216:J216"/>
    <mergeCell ref="D207:F207"/>
    <mergeCell ref="G207:J207"/>
    <mergeCell ref="D208:F208"/>
    <mergeCell ref="G208:J208"/>
    <mergeCell ref="D209:F209"/>
    <mergeCell ref="G209:J209"/>
    <mergeCell ref="D210:F210"/>
    <mergeCell ref="G210:J210"/>
    <mergeCell ref="D211:F211"/>
    <mergeCell ref="G211:J211"/>
    <mergeCell ref="P1:P2"/>
    <mergeCell ref="N1:N2"/>
    <mergeCell ref="Q1:Q2"/>
    <mergeCell ref="D212:F212"/>
    <mergeCell ref="G212:J212"/>
    <mergeCell ref="D202:F202"/>
    <mergeCell ref="G202:J202"/>
    <mergeCell ref="D203:F203"/>
    <mergeCell ref="G203:J203"/>
    <mergeCell ref="D204:F204"/>
    <mergeCell ref="G204:J204"/>
    <mergeCell ref="D205:F205"/>
    <mergeCell ref="G205:J205"/>
    <mergeCell ref="D206:F206"/>
    <mergeCell ref="G206:J206"/>
    <mergeCell ref="D197:F197"/>
    <mergeCell ref="G197:J197"/>
    <mergeCell ref="D198:F198"/>
    <mergeCell ref="G198:J198"/>
    <mergeCell ref="D199:F199"/>
    <mergeCell ref="G199:J199"/>
    <mergeCell ref="G100:J100"/>
    <mergeCell ref="G101:J101"/>
    <mergeCell ref="I69:K69"/>
    <mergeCell ref="A47:D48"/>
    <mergeCell ref="A56:D56"/>
    <mergeCell ref="E72:H72"/>
    <mergeCell ref="A65:D65"/>
    <mergeCell ref="A66:D66"/>
    <mergeCell ref="A49:D49"/>
    <mergeCell ref="A50:D50"/>
    <mergeCell ref="A51:D51"/>
    <mergeCell ref="A52:D52"/>
    <mergeCell ref="A53:D53"/>
    <mergeCell ref="A54:D54"/>
    <mergeCell ref="A55:D55"/>
    <mergeCell ref="E64:H64"/>
    <mergeCell ref="A57:D57"/>
    <mergeCell ref="A58:D58"/>
    <mergeCell ref="A59:D59"/>
    <mergeCell ref="A60:D60"/>
    <mergeCell ref="A61:D61"/>
    <mergeCell ref="A62:D62"/>
    <mergeCell ref="A63:D63"/>
    <mergeCell ref="A64:D64"/>
    <mergeCell ref="E67:H67"/>
    <mergeCell ref="E47:H48"/>
    <mergeCell ref="A68:D68"/>
    <mergeCell ref="AX11:BI11"/>
    <mergeCell ref="AX12:BA12"/>
    <mergeCell ref="BB12:BE12"/>
    <mergeCell ref="BF12:BI12"/>
    <mergeCell ref="N47:T47"/>
    <mergeCell ref="I49:K49"/>
    <mergeCell ref="L47:L48"/>
    <mergeCell ref="E17:H17"/>
    <mergeCell ref="E18:H18"/>
    <mergeCell ref="E31:H31"/>
    <mergeCell ref="E33:H33"/>
    <mergeCell ref="I34:K34"/>
    <mergeCell ref="E49:H49"/>
    <mergeCell ref="E22:H22"/>
    <mergeCell ref="I20:K20"/>
    <mergeCell ref="I28:K28"/>
    <mergeCell ref="E28:H28"/>
    <mergeCell ref="I47:K48"/>
    <mergeCell ref="AI12:AJ12"/>
    <mergeCell ref="M12:M13"/>
    <mergeCell ref="U12:AA12"/>
    <mergeCell ref="AB12:AH12"/>
    <mergeCell ref="I19:K19"/>
    <mergeCell ref="I17:K17"/>
    <mergeCell ref="A33:D33"/>
    <mergeCell ref="A38:D38"/>
    <mergeCell ref="A39:D39"/>
    <mergeCell ref="A40:D40"/>
    <mergeCell ref="E23:H23"/>
    <mergeCell ref="E24:H24"/>
    <mergeCell ref="A20:D20"/>
    <mergeCell ref="A21:D21"/>
    <mergeCell ref="A22:D22"/>
    <mergeCell ref="A23:D23"/>
    <mergeCell ref="A24:D24"/>
    <mergeCell ref="A25:D25"/>
    <mergeCell ref="A26:D26"/>
    <mergeCell ref="A27:D27"/>
    <mergeCell ref="A28:D28"/>
    <mergeCell ref="E40:H40"/>
    <mergeCell ref="E38:H38"/>
    <mergeCell ref="E25:H25"/>
    <mergeCell ref="E26:H26"/>
    <mergeCell ref="E27:H27"/>
    <mergeCell ref="AN12:AN13"/>
    <mergeCell ref="AN47:AN48"/>
    <mergeCell ref="AN81:AN82"/>
    <mergeCell ref="AN121:AN122"/>
    <mergeCell ref="G96:J96"/>
    <mergeCell ref="E65:H65"/>
    <mergeCell ref="U47:AA47"/>
    <mergeCell ref="AB47:AH47"/>
    <mergeCell ref="I73:K73"/>
    <mergeCell ref="E16:H16"/>
    <mergeCell ref="E43:G43"/>
    <mergeCell ref="E44:G44"/>
    <mergeCell ref="I65:K65"/>
    <mergeCell ref="E74:H74"/>
    <mergeCell ref="E68:H68"/>
    <mergeCell ref="I68:K68"/>
    <mergeCell ref="E69:H69"/>
    <mergeCell ref="I72:K72"/>
    <mergeCell ref="E73:H73"/>
    <mergeCell ref="I64:K64"/>
    <mergeCell ref="E12:H13"/>
    <mergeCell ref="I12:K13"/>
    <mergeCell ref="L12:L13"/>
    <mergeCell ref="I77:I78"/>
    <mergeCell ref="AX38:BI38"/>
    <mergeCell ref="AX39:BA39"/>
    <mergeCell ref="BB39:BE39"/>
    <mergeCell ref="BF39:BI39"/>
    <mergeCell ref="I74:K74"/>
    <mergeCell ref="AH81:AI81"/>
    <mergeCell ref="G93:J93"/>
    <mergeCell ref="G94:J94"/>
    <mergeCell ref="G95:J95"/>
    <mergeCell ref="G89:J89"/>
    <mergeCell ref="G90:J90"/>
    <mergeCell ref="G91:J91"/>
    <mergeCell ref="G92:J92"/>
    <mergeCell ref="K81:K82"/>
    <mergeCell ref="G83:J83"/>
    <mergeCell ref="G88:J88"/>
    <mergeCell ref="G81:J82"/>
    <mergeCell ref="M81:S81"/>
    <mergeCell ref="T81:Z81"/>
    <mergeCell ref="J77:K78"/>
    <mergeCell ref="I67:K67"/>
    <mergeCell ref="H77:H78"/>
    <mergeCell ref="AA81:AG81"/>
    <mergeCell ref="G86:J86"/>
  </mergeCells>
  <conditionalFormatting sqref="A14:K17 A21:K40 E20:K20 A19:K19 E18:K18">
    <cfRule type="expression" dxfId="773" priority="14">
      <formula>AND($I14&lt;&gt;"",$L14="")</formula>
    </cfRule>
  </conditionalFormatting>
  <conditionalFormatting sqref="A49:K52 A54:K74 E53:K53">
    <cfRule type="expression" dxfId="772" priority="12">
      <formula>AND($I49&lt;&gt;"",$L49="")</formula>
    </cfRule>
  </conditionalFormatting>
  <conditionalFormatting sqref="A83:J114">
    <cfRule type="expression" dxfId="771" priority="11">
      <formula>AND($G83&lt;&gt;"",$K83="")</formula>
    </cfRule>
  </conditionalFormatting>
  <conditionalFormatting sqref="A123:J223">
    <cfRule type="expression" dxfId="770" priority="10">
      <formula>AND($G123&lt;&gt;"",$K123="")</formula>
    </cfRule>
  </conditionalFormatting>
  <conditionalFormatting sqref="A20:D20">
    <cfRule type="expression" dxfId="769" priority="8">
      <formula>AND($I20&lt;&gt;"",$L20="")</formula>
    </cfRule>
  </conditionalFormatting>
  <conditionalFormatting sqref="A53:D53">
    <cfRule type="expression" dxfId="768" priority="4">
      <formula>AND($I53&lt;&gt;"",$L53="")</formula>
    </cfRule>
  </conditionalFormatting>
  <conditionalFormatting sqref="A18:D18">
    <cfRule type="expression" dxfId="767" priority="1">
      <formula>AND($I18&lt;&gt;"",$L18="")</formula>
    </cfRule>
  </conditionalFormatting>
  <dataValidations count="14">
    <dataValidation type="decimal" allowBlank="1" showInputMessage="1" showErrorMessage="1" sqref="AF83:AI114 AG14:AJ40 AG49:AJ74 N14:N40 S14:U40 Z14:AB40 AF123:AI223 S49:U74 R83:AA114 Z49:AB74 M123:M223 M83:M114 N49:N74 R123:AA125 R129:AA223 Q126:W128 Y126:AA128" xr:uid="{00000000-0002-0000-0800-000000000000}">
      <formula1>0</formula1>
      <formula2>1E+24</formula2>
    </dataValidation>
    <dataValidation type="list" allowBlank="1" showInputMessage="1" showErrorMessage="1" sqref="A14:D40" xr:uid="{00000000-0002-0000-0800-000001000000}">
      <formula1>HIV3S1T1C1</formula1>
    </dataValidation>
    <dataValidation type="list" allowBlank="1" showInputMessage="1" showErrorMessage="1" sqref="E14:H40" xr:uid="{00000000-0002-0000-0800-000002000000}">
      <formula1>HIV3S1T1C2</formula1>
    </dataValidation>
    <dataValidation type="list" allowBlank="1" showInputMessage="1" showErrorMessage="1" sqref="I14:K40" xr:uid="{00000000-0002-0000-0800-000003000000}">
      <formula1>HIV3S1T1C3</formula1>
    </dataValidation>
    <dataValidation type="list" allowBlank="1" showInputMessage="1" showErrorMessage="1" sqref="A49:D74" xr:uid="{00000000-0002-0000-0800-000004000000}">
      <formula1>HIV3S2T1C1</formula1>
    </dataValidation>
    <dataValidation type="list" allowBlank="1" showInputMessage="1" showErrorMessage="1" sqref="E49:H74" xr:uid="{00000000-0002-0000-0800-000005000000}">
      <formula1>HIV3S2T1C2</formula1>
    </dataValidation>
    <dataValidation type="list" allowBlank="1" showInputMessage="1" showErrorMessage="1" sqref="I49:K74" xr:uid="{00000000-0002-0000-0800-000006000000}">
      <formula1>HIV3S2T1C3</formula1>
    </dataValidation>
    <dataValidation type="list" allowBlank="1" showInputMessage="1" showErrorMessage="1" sqref="A83:C114" xr:uid="{00000000-0002-0000-0800-000007000000}">
      <formula1>HIV3S3T1C1</formula1>
    </dataValidation>
    <dataValidation type="list" allowBlank="1" showInputMessage="1" showErrorMessage="1" sqref="D83:F114" xr:uid="{00000000-0002-0000-0800-000008000000}">
      <formula1>HIV3S3T1C2</formula1>
    </dataValidation>
    <dataValidation type="list" allowBlank="1" showInputMessage="1" showErrorMessage="1" sqref="G83:J114" xr:uid="{00000000-0002-0000-0800-000009000000}">
      <formula1>HIV3S3T1C3</formula1>
    </dataValidation>
    <dataValidation type="list" allowBlank="1" showInputMessage="1" showErrorMessage="1" sqref="A123:C223" xr:uid="{00000000-0002-0000-0800-00000A000000}">
      <formula1>HIV3S4T1C1</formula1>
    </dataValidation>
    <dataValidation type="list" allowBlank="1" showInputMessage="1" showErrorMessage="1" sqref="D123:F223" xr:uid="{00000000-0002-0000-0800-00000B000000}">
      <formula1>HIV3S4T1C2</formula1>
    </dataValidation>
    <dataValidation type="list" allowBlank="1" showInputMessage="1" showErrorMessage="1" sqref="G123:J223" xr:uid="{00000000-0002-0000-0800-00000C000000}">
      <formula1>HIV3S4T1C3</formula1>
    </dataValidation>
    <dataValidation type="whole" operator="greaterThanOrEqual" allowBlank="1" showInputMessage="1" showErrorMessage="1" error="Do not input value in Fractions" sqref="O14:R40 V14:Y40 AC14:AF40 AC49:AF74 AB83:AE114 V49:Y74 O49:R74 N83:Q114 N123:Q223 AD135:AE135 AB123:AE133 AB136:AE223 AB134:AC135" xr:uid="{00000000-0002-0000-0800-00000D000000}">
      <formula1>0</formula1>
    </dataValidation>
  </dataValidations>
  <hyperlinks>
    <hyperlink ref="H8" location="'HIV-Non Pharmaceuticals'!A36" display="Go to RDTs" xr:uid="{00000000-0004-0000-0800-000000000000}"/>
    <hyperlink ref="H43" location="'HIV-Non Pharmaceuticals'!A8" display="Back to condoms/lub" xr:uid="{00000000-0004-0000-0800-000001000000}"/>
    <hyperlink ref="N1:N2" location="'HIV-Key Info'!A1" display="Back to HIV-Key Info" xr:uid="{00000000-0004-0000-0800-000002000000}"/>
    <hyperlink ref="H8:H9" location="'HIV-Other HPs'!A49" display="Go to RDTs (Section 2)" xr:uid="{00000000-0004-0000-0800-000003000000}"/>
    <hyperlink ref="H43:H44" location="'HIV-Other HPs'!A8" display="Go to condoms (Section 1)" xr:uid="{00000000-0004-0000-0800-000004000000}"/>
    <hyperlink ref="P1:P2" location="'HIV-Equipment'!A1" display="Go to HIV-Equipment" xr:uid="{00000000-0004-0000-0800-000005000000}"/>
    <hyperlink ref="O1:O2" location="'HIV-Pharmaceuticals'!A1" display="Back to HIV-Pharma" xr:uid="{00000000-0004-0000-0800-000006000000}"/>
    <hyperlink ref="I8" location="'HIV-Non Pharmaceuticals'!A66" display="Go to VL/EID" xr:uid="{00000000-0004-0000-0800-000007000000}"/>
    <hyperlink ref="I8:I9" location="'HIV-Other HPs'!A83" display="Go to VL/EID (Section 3)" xr:uid="{00000000-0004-0000-0800-000008000000}"/>
    <hyperlink ref="J8:J9" location="'HIV-Other HPs'!A68" display="Go to VL/EID (Section 3)" xr:uid="{00000000-0004-0000-0800-000009000000}"/>
    <hyperlink ref="J8" location="'HIV-Non Pharmaceuticals'!A66" display="Go to VL/EID" xr:uid="{00000000-0004-0000-0800-00000A000000}"/>
    <hyperlink ref="J8:K9" location="'HIV-Other HPs'!A123" display="'HIV-Other HPs'!A123" xr:uid="{00000000-0004-0000-0800-00000B000000}"/>
    <hyperlink ref="I77" location="'HIV-Non Pharmaceuticals'!A36" display="Go to RDTs" xr:uid="{00000000-0004-0000-0800-00000C000000}"/>
    <hyperlink ref="I77:I78" location="'HIV-Other HPs'!A49" display="Go to RDTs (Section 2)" xr:uid="{00000000-0004-0000-0800-00000D000000}"/>
    <hyperlink ref="I117" location="'HIV-Non Pharmaceuticals'!A36" display="Go to RDTs" xr:uid="{00000000-0004-0000-0800-00000E000000}"/>
    <hyperlink ref="I117:I118" location="'HIV-Other HPs'!A49" display="Go to RDTs (Section 2)" xr:uid="{00000000-0004-0000-0800-00000F000000}"/>
    <hyperlink ref="I43" location="'HIV-Non Pharmaceuticals'!A66" display="Go to VL/EID" xr:uid="{00000000-0004-0000-0800-000010000000}"/>
    <hyperlink ref="I43:I44" location="'HIV-Other HPs'!A83" display="Go to VL/EID (Section 3)" xr:uid="{00000000-0004-0000-0800-000011000000}"/>
    <hyperlink ref="J117" location="'HIV-Non Pharmaceuticals'!A66" display="Go to VL/EID" xr:uid="{00000000-0004-0000-0800-000012000000}"/>
    <hyperlink ref="J117:J118" location="'HIV-Other HPs'!A83" display="Go to VL/EID (Section 3)" xr:uid="{00000000-0004-0000-0800-000013000000}"/>
    <hyperlink ref="J43:J44" location="'HIV-Other HPs'!A68" display="Go to VL/EID (Section 3)" xr:uid="{00000000-0004-0000-0800-000014000000}"/>
    <hyperlink ref="J43" location="'HIV-Non Pharmaceuticals'!A66" display="Go to VL/EID" xr:uid="{00000000-0004-0000-0800-000015000000}"/>
    <hyperlink ref="J43:K44" location="'HIV-Other HPs'!A123" display="'HIV-Other HPs'!A123" xr:uid="{00000000-0004-0000-0800-000016000000}"/>
    <hyperlink ref="J77:J78" location="'HIV-Other HPs'!A68" display="Go to VL/EID (Section 3)" xr:uid="{00000000-0004-0000-0800-000017000000}"/>
    <hyperlink ref="J77" location="'HIV-Non Pharmaceuticals'!A66" display="Go to VL/EID" xr:uid="{00000000-0004-0000-0800-000018000000}"/>
    <hyperlink ref="J77:K78" location="'HIV-Other HPs'!A123" display="'HIV-Other HPs'!A123" xr:uid="{00000000-0004-0000-0800-000019000000}"/>
    <hyperlink ref="H77" location="'HIV-Non Pharmaceuticals'!A8" display="Back to condoms/lub" xr:uid="{00000000-0004-0000-0800-00001A000000}"/>
    <hyperlink ref="H77:H78" location="'HIV-Other HPs'!A8" display="Go to condoms (Section 1)" xr:uid="{00000000-0004-0000-0800-00001B000000}"/>
    <hyperlink ref="H117" location="'HIV-Non Pharmaceuticals'!A8" display="Back to condoms/lub" xr:uid="{00000000-0004-0000-0800-00001C000000}"/>
    <hyperlink ref="H117:H118" location="'HIV-Other HPs'!A8" display="Go to condoms (Section 1)" xr:uid="{00000000-0004-0000-0800-00001D000000}"/>
  </hyperlinks>
  <pageMargins left="0.25" right="0.25" top="0.75" bottom="0.75" header="0.3" footer="0.3"/>
  <pageSetup paperSize="8" scale="34" fitToHeight="0" orientation="landscape" r:id="rId1"/>
  <ignoredErrors>
    <ignoredError sqref="AV47" formula="1"/>
    <ignoredError sqref="AM14 AM15:AM40 AM49:AM74 AM83 AM84:AM114 AM123:AM223"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56E2247245C34892272380726E6B93" ma:contentTypeVersion="15" ma:contentTypeDescription="Create a new document." ma:contentTypeScope="" ma:versionID="e358257cca43fdc7d0af7cdd498a0d68">
  <xsd:schema xmlns:xsd="http://www.w3.org/2001/XMLSchema" xmlns:xs="http://www.w3.org/2001/XMLSchema" xmlns:p="http://schemas.microsoft.com/office/2006/metadata/properties" xmlns:ns1="http://schemas.microsoft.com/sharepoint/v3" xmlns:ns3="d0a831a0-6696-4432-bbc8-e6cd0c277a0d" xmlns:ns4="63fc5b73-a046-4d67-9c4a-ffc4ec2035a6" targetNamespace="http://schemas.microsoft.com/office/2006/metadata/properties" ma:root="true" ma:fieldsID="cf6277abba8a72fd32f9053a578b150a" ns1:_="" ns3:_="" ns4:_="">
    <xsd:import namespace="http://schemas.microsoft.com/sharepoint/v3"/>
    <xsd:import namespace="d0a831a0-6696-4432-bbc8-e6cd0c277a0d"/>
    <xsd:import namespace="63fc5b73-a046-4d67-9c4a-ffc4ec2035a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a831a0-6696-4432-bbc8-e6cd0c277a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c5b73-a046-4d67-9c4a-ffc4ec2035a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1F54B21-1827-43B8-B7F0-0CFBB4F0B5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a831a0-6696-4432-bbc8-e6cd0c277a0d"/>
    <ds:schemaRef ds:uri="63fc5b73-a046-4d67-9c4a-ffc4ec2035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A7C496-2038-4E93-8FDE-8E9876956DAE}">
  <ds:schemaRefs>
    <ds:schemaRef ds:uri="http://schemas.microsoft.com/sharepoint/v3/contenttype/forms"/>
  </ds:schemaRefs>
</ds:datastoreItem>
</file>

<file path=customXml/itemProps3.xml><?xml version="1.0" encoding="utf-8"?>
<ds:datastoreItem xmlns:ds="http://schemas.openxmlformats.org/officeDocument/2006/customXml" ds:itemID="{557D63AF-2CF5-4DBE-A465-F00F42842A60}">
  <ds:schemaRefs>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purl.org/dc/dcmitype/"/>
    <ds:schemaRef ds:uri="http://schemas.microsoft.com/office/infopath/2007/PartnerControls"/>
    <ds:schemaRef ds:uri="63fc5b73-a046-4d67-9c4a-ffc4ec2035a6"/>
    <ds:schemaRef ds:uri="http://purl.org/dc/elements/1.1/"/>
    <ds:schemaRef ds:uri="d0a831a0-6696-4432-bbc8-e6cd0c277a0d"/>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39</vt:i4>
      </vt:variant>
    </vt:vector>
  </HeadingPairs>
  <TitlesOfParts>
    <vt:vector size="69" baseType="lpstr">
      <vt:lpstr>DOCUMENTS_ESP</vt:lpstr>
      <vt:lpstr>DOCUMENTS_FRA</vt:lpstr>
      <vt:lpstr>DOCUMENTS_ENG</vt:lpstr>
      <vt:lpstr>SETUP</vt:lpstr>
      <vt:lpstr>SEARCH</vt:lpstr>
      <vt:lpstr>HIV-Key Info</vt:lpstr>
      <vt:lpstr>HIV-Pharmaceuticals</vt:lpstr>
      <vt:lpstr>HIV-Equipment</vt:lpstr>
      <vt:lpstr>HIV-Other HPs</vt:lpstr>
      <vt:lpstr>TB-Key Info</vt:lpstr>
      <vt:lpstr>TB-Pharmaceuticals</vt:lpstr>
      <vt:lpstr>TB-EQUIPMENT &amp; OTHER HPs</vt:lpstr>
      <vt:lpstr>Malaria-Key Info</vt:lpstr>
      <vt:lpstr>Malaria-Pharmaceuticals</vt:lpstr>
      <vt:lpstr>Malaria-Equipment &amp; Other HPs</vt:lpstr>
      <vt:lpstr>COVID</vt:lpstr>
      <vt:lpstr>HPM costs</vt:lpstr>
      <vt:lpstr>RSSH- HPM &amp;Lab System</vt:lpstr>
      <vt:lpstr>Detailed Budget</vt:lpstr>
      <vt:lpstr>PMsheet</vt:lpstr>
      <vt:lpstr>Language</vt:lpstr>
      <vt:lpstr>Grant</vt:lpstr>
      <vt:lpstr>Cost Input SB</vt:lpstr>
      <vt:lpstr>Mod Int SB</vt:lpstr>
      <vt:lpstr>Mod Int with HIV KP SB</vt:lpstr>
      <vt:lpstr>HIV Aggregation SB</vt:lpstr>
      <vt:lpstr>Population SB</vt:lpstr>
      <vt:lpstr>Blank Pivot</vt:lpstr>
      <vt:lpstr>HPM LIST</vt:lpstr>
      <vt:lpstr>LISTS</vt:lpstr>
      <vt:lpstr>Abbott</vt:lpstr>
      <vt:lpstr>AbbottEquip</vt:lpstr>
      <vt:lpstr>'Detailed Budget'!Área_de_impresión</vt:lpstr>
      <vt:lpstr>SETUP!Área_de_impresión</vt:lpstr>
      <vt:lpstr>At_delivery</vt:lpstr>
      <vt:lpstr>bioMerieux</vt:lpstr>
      <vt:lpstr>Cepheid</vt:lpstr>
      <vt:lpstr>COMPONENT</vt:lpstr>
      <vt:lpstr>COUNTRYLIST</vt:lpstr>
      <vt:lpstr>COUTRYLIST</vt:lpstr>
      <vt:lpstr>CURRENCY</vt:lpstr>
      <vt:lpstr>DRW</vt:lpstr>
      <vt:lpstr>GRAN_NO</vt:lpstr>
      <vt:lpstr>Hologic</vt:lpstr>
      <vt:lpstr>HPMInvestAutho</vt:lpstr>
      <vt:lpstr>HPMTypeOfInvest</vt:lpstr>
      <vt:lpstr>HPMTypeOfLab</vt:lpstr>
      <vt:lpstr>HPMTypeOfProd</vt:lpstr>
      <vt:lpstr>IMP_ST_DATE</vt:lpstr>
      <vt:lpstr>KEY</vt:lpstr>
      <vt:lpstr>KEY_1</vt:lpstr>
      <vt:lpstr>LANGUAGELIST</vt:lpstr>
      <vt:lpstr>Lumpsumpharma</vt:lpstr>
      <vt:lpstr>MO_CHECK</vt:lpstr>
      <vt:lpstr>NbMachin</vt:lpstr>
      <vt:lpstr>Other</vt:lpstr>
      <vt:lpstr>PROCUREMENTENTITY</vt:lpstr>
      <vt:lpstr>Qiagen</vt:lpstr>
      <vt:lpstr>Roche</vt:lpstr>
      <vt:lpstr>RSHHHPMSystems</vt:lpstr>
      <vt:lpstr>SampleTypeVLEID</vt:lpstr>
      <vt:lpstr>TypeOfPay</vt:lpstr>
      <vt:lpstr>Upfront</vt:lpstr>
      <vt:lpstr>VERSION</vt:lpstr>
      <vt:lpstr>ViralLoadBrand</vt:lpstr>
      <vt:lpstr>VL</vt:lpstr>
      <vt:lpstr>VLBrand</vt:lpstr>
      <vt:lpstr>VLEIDBrand</vt:lpstr>
      <vt:lpstr>YesNo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Delphine De Quina</dc:creator>
  <cp:lastModifiedBy>FONDOS EXTERNOS</cp:lastModifiedBy>
  <cp:revision/>
  <cp:lastPrinted>2020-04-05T09:44:29Z</cp:lastPrinted>
  <dcterms:created xsi:type="dcterms:W3CDTF">2017-02-22T09:29:42Z</dcterms:created>
  <dcterms:modified xsi:type="dcterms:W3CDTF">2021-02-06T03:57:09Z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0x0101007256E2247245C34892272380726E6B93</vt:lpwstr>
  </property>
</Properties>
</file>